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AC5" i="7" l="1"/>
  <c r="AB5" i="7"/>
  <c r="L8" i="19" l="1"/>
  <c r="K8" i="19"/>
  <c r="M7" i="19" l="1"/>
  <c r="F10" i="7" l="1"/>
  <c r="B31" i="19" l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N10" i="7"/>
  <c r="P10" i="7" s="1"/>
  <c r="E10" i="7"/>
  <c r="C10" i="7"/>
  <c r="L10" i="7" s="1"/>
  <c r="R10" i="7" s="1"/>
  <c r="B10" i="7"/>
  <c r="D10" i="7" s="1"/>
  <c r="F9" i="7"/>
  <c r="B9" i="7"/>
  <c r="O10" i="7" l="1"/>
  <c r="H9" i="7"/>
  <c r="C9" i="7"/>
  <c r="V10" i="7"/>
  <c r="X9" i="7"/>
  <c r="U10" i="7"/>
  <c r="I9" i="7" l="1"/>
  <c r="N9" i="7"/>
  <c r="T9" i="7" l="1"/>
  <c r="O9" i="7"/>
  <c r="Z9" i="7" l="1"/>
  <c r="U9" i="7"/>
  <c r="AF9" i="7" l="1"/>
  <c r="AA9" i="7"/>
  <c r="AG9" i="7" l="1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B380" i="17" l="1"/>
  <c r="B71" i="17"/>
  <c r="B274" i="17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I37" i="27" l="1"/>
  <c r="I38" i="27" s="1"/>
  <c r="I39" i="27" s="1"/>
  <c r="H37" i="27"/>
  <c r="H38" i="27" s="1"/>
  <c r="H39" i="27" s="1"/>
  <c r="S5" i="27"/>
  <c r="N14" i="27"/>
  <c r="R5" i="27"/>
  <c r="H35" i="27" s="1"/>
  <c r="H34" i="27" l="1"/>
  <c r="E11" i="27"/>
  <c r="D11" i="27"/>
  <c r="H40" i="27" l="1"/>
  <c r="I40" i="27"/>
  <c r="H33" i="27"/>
  <c r="D12" i="27"/>
  <c r="E12" i="27"/>
  <c r="D10" i="27"/>
  <c r="E10" i="27" s="1"/>
  <c r="W12" i="27"/>
  <c r="W11" i="27"/>
  <c r="I5" i="27" l="1"/>
  <c r="H27" i="27" l="1"/>
  <c r="H24" i="27"/>
  <c r="H23" i="27"/>
  <c r="H28" i="27"/>
  <c r="A1" i="27" l="1"/>
  <c r="M5" i="27" l="1"/>
  <c r="M32" i="19" l="1"/>
  <c r="H10" i="7"/>
  <c r="Z10" i="7"/>
  <c r="L32" i="19"/>
  <c r="K32" i="19"/>
  <c r="AB10" i="7" l="1"/>
  <c r="AD9" i="7"/>
  <c r="AF10" i="7" s="1"/>
  <c r="K10" i="7"/>
  <c r="Q10" i="7" s="1"/>
  <c r="W10" i="7" s="1"/>
  <c r="AC10" i="7" s="1"/>
  <c r="J10" i="7"/>
  <c r="L9" i="7"/>
  <c r="R9" i="7" s="1"/>
  <c r="K19" i="27"/>
  <c r="J19" i="27"/>
  <c r="K18" i="27"/>
  <c r="K17" i="27"/>
  <c r="K16" i="27"/>
  <c r="M42" i="27"/>
  <c r="N78" i="27" s="1"/>
  <c r="K42" i="27"/>
  <c r="J42" i="27"/>
  <c r="L42" i="27" s="1"/>
  <c r="F78" i="27" s="1"/>
  <c r="M41" i="27"/>
  <c r="N77" i="27" s="1"/>
  <c r="K41" i="27"/>
  <c r="J41" i="27"/>
  <c r="M40" i="27"/>
  <c r="N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N70" i="27" s="1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56" i="27"/>
  <c r="N79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AY79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P54" i="27"/>
  <c r="D5" i="27"/>
  <c r="F5" i="27"/>
  <c r="C6" i="19" s="1"/>
  <c r="J3" i="27"/>
  <c r="I20" i="27" s="1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BP14" i="6"/>
  <c r="AF70" i="27"/>
  <c r="AF65" i="27"/>
  <c r="BW15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C54" i="27"/>
  <c r="H25" i="27"/>
  <c r="H30" i="27"/>
  <c r="H22" i="27"/>
  <c r="H29" i="27"/>
  <c r="H21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S29" i="6"/>
  <c r="T31" i="6" s="1"/>
  <c r="AI10" i="7" l="1"/>
  <c r="AO10" i="7" s="1"/>
  <c r="AU10" i="7" s="1"/>
  <c r="BA10" i="7" s="1"/>
  <c r="BG10" i="7" s="1"/>
  <c r="BM10" i="7" s="1"/>
  <c r="BS10" i="7" s="1"/>
  <c r="BY10" i="7" s="1"/>
  <c r="AJ9" i="7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O44" i="6"/>
  <c r="P46" i="6" s="1"/>
  <c r="E120" i="6"/>
  <c r="L41" i="27"/>
  <c r="K77" i="27" s="1"/>
  <c r="L40" i="27"/>
  <c r="K76" i="27" s="1"/>
  <c r="G12" i="27"/>
  <c r="I12" i="27" s="1"/>
  <c r="E78" i="6"/>
  <c r="E358" i="6"/>
  <c r="AE16" i="6"/>
  <c r="R44" i="6"/>
  <c r="Q50" i="6" s="1"/>
  <c r="E232" i="6"/>
  <c r="AC18" i="6"/>
  <c r="AC20" i="6"/>
  <c r="R35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S46" i="6"/>
  <c r="AB20" i="6"/>
  <c r="AB24" i="6" s="1"/>
  <c r="AB23" i="6" s="1"/>
  <c r="AB25" i="6" s="1"/>
  <c r="X20" i="6"/>
  <c r="V16" i="6"/>
  <c r="E64" i="6"/>
  <c r="R16" i="6"/>
  <c r="N20" i="6"/>
  <c r="E204" i="6"/>
  <c r="Q48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S33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AD24" i="6" s="1"/>
  <c r="AD23" i="6" s="1"/>
  <c r="AD25" i="6" s="1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N50" i="6"/>
  <c r="R18" i="6"/>
  <c r="P33" i="6"/>
  <c r="O35" i="6"/>
  <c r="Q31" i="6"/>
  <c r="Q16" i="6"/>
  <c r="AB29" i="6"/>
  <c r="AA35" i="6" s="1"/>
  <c r="P20" i="6"/>
  <c r="AB44" i="6"/>
  <c r="AA50" i="6" s="1"/>
  <c r="E22" i="6"/>
  <c r="AN13" i="6"/>
  <c r="N29" i="6"/>
  <c r="N33" i="6" s="1"/>
  <c r="O16" i="6"/>
  <c r="M20" i="6"/>
  <c r="O55" i="27"/>
  <c r="H26" i="27"/>
  <c r="Q54" i="27"/>
  <c r="P70" i="27"/>
  <c r="I41" i="27"/>
  <c r="I42" i="27" s="1"/>
  <c r="I43" i="27" s="1"/>
  <c r="AY60" i="27"/>
  <c r="AY64" i="27"/>
  <c r="AY68" i="27"/>
  <c r="AY72" i="27"/>
  <c r="AY76" i="27"/>
  <c r="AY58" i="27"/>
  <c r="AY62" i="27"/>
  <c r="AY66" i="27"/>
  <c r="AY70" i="27"/>
  <c r="AY74" i="27"/>
  <c r="AY78" i="27"/>
  <c r="AY57" i="27"/>
  <c r="AO57" i="27" s="1"/>
  <c r="AY59" i="27"/>
  <c r="AY61" i="27"/>
  <c r="AY63" i="27"/>
  <c r="AY65" i="27"/>
  <c r="AY67" i="27"/>
  <c r="AY69" i="27"/>
  <c r="AY71" i="27"/>
  <c r="AY73" i="27"/>
  <c r="AY75" i="27"/>
  <c r="AY77" i="27"/>
  <c r="H31" i="27"/>
  <c r="AE66" i="27" s="1"/>
  <c r="H32" i="27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E63" i="27"/>
  <c r="AO79" i="27"/>
  <c r="C78" i="27"/>
  <c r="D78" i="27"/>
  <c r="H56" i="27"/>
  <c r="E78" i="27"/>
  <c r="G56" i="27"/>
  <c r="J77" i="27"/>
  <c r="I78" i="27"/>
  <c r="L78" i="27"/>
  <c r="C5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K68" i="27"/>
  <c r="F77" i="27"/>
  <c r="K78" i="27"/>
  <c r="J78" i="27"/>
  <c r="M78" i="27"/>
  <c r="F11" i="27"/>
  <c r="I11" i="27" s="1"/>
  <c r="BQ15" i="7"/>
  <c r="BK15" i="7"/>
  <c r="J1" i="15"/>
  <c r="A62" i="19" s="1"/>
  <c r="A6" i="6"/>
  <c r="V14" i="1"/>
  <c r="A3" i="7"/>
  <c r="B11" i="7" s="1"/>
  <c r="BS13" i="7"/>
  <c r="A11" i="19"/>
  <c r="A35" i="19" s="1"/>
  <c r="O11" i="1"/>
  <c r="BX13" i="7" s="1"/>
  <c r="F14" i="15"/>
  <c r="L1" i="1"/>
  <c r="A15" i="1"/>
  <c r="F7" i="1"/>
  <c r="AC12" i="1" s="1"/>
  <c r="X1" i="1"/>
  <c r="A61" i="19"/>
  <c r="F14" i="1"/>
  <c r="L12" i="1"/>
  <c r="H77" i="27"/>
  <c r="G77" i="27"/>
  <c r="E77" i="27"/>
  <c r="G78" i="27"/>
  <c r="H78" i="27"/>
  <c r="P71" i="27"/>
  <c r="H20" i="27"/>
  <c r="P56" i="27" s="1"/>
  <c r="BH9" i="6"/>
  <c r="U12" i="1" s="1"/>
  <c r="P65" i="27"/>
  <c r="AE65" i="27"/>
  <c r="AE64" i="27"/>
  <c r="AE58" i="27"/>
  <c r="P59" i="27"/>
  <c r="P57" i="27"/>
  <c r="AE57" i="27"/>
  <c r="AE60" i="27"/>
  <c r="AE59" i="27"/>
  <c r="E7" i="1"/>
  <c r="J1" i="16"/>
  <c r="L1" i="16" s="1"/>
  <c r="A12" i="19"/>
  <c r="A36" i="19" s="1"/>
  <c r="BJ13" i="7"/>
  <c r="B15" i="7"/>
  <c r="P11" i="1"/>
  <c r="E8" i="1"/>
  <c r="K11" i="19" s="1"/>
  <c r="K35" i="19" s="1"/>
  <c r="AJ380" i="1"/>
  <c r="BM13" i="7"/>
  <c r="BY13" i="7"/>
  <c r="J1" i="17"/>
  <c r="C6" i="6"/>
  <c r="AB15" i="1"/>
  <c r="A16" i="1"/>
  <c r="BV13" i="7"/>
  <c r="B13" i="7"/>
  <c r="AV9" i="7" l="1"/>
  <c r="AX10" i="7" s="1"/>
  <c r="BB9" i="7" s="1"/>
  <c r="BD10" i="7" s="1"/>
  <c r="O46" i="6"/>
  <c r="P50" i="6"/>
  <c r="AC9" i="1"/>
  <c r="O48" i="6"/>
  <c r="N48" i="6"/>
  <c r="R48" i="6"/>
  <c r="R54" i="6" s="1"/>
  <c r="R53" i="6" s="1"/>
  <c r="R55" i="6" s="1"/>
  <c r="AO72" i="27"/>
  <c r="J76" i="27"/>
  <c r="F76" i="27"/>
  <c r="C76" i="27"/>
  <c r="M77" i="27"/>
  <c r="D77" i="27"/>
  <c r="L77" i="27"/>
  <c r="C77" i="27"/>
  <c r="I77" i="27"/>
  <c r="D76" i="27"/>
  <c r="I76" i="27"/>
  <c r="L76" i="27"/>
  <c r="E76" i="27"/>
  <c r="M76" i="27"/>
  <c r="G76" i="27"/>
  <c r="H76" i="27"/>
  <c r="AO78" i="27"/>
  <c r="AO65" i="27"/>
  <c r="AO73" i="27"/>
  <c r="X1" i="16"/>
  <c r="Y14" i="15"/>
  <c r="L1" i="15"/>
  <c r="A15" i="15"/>
  <c r="X15" i="15" s="1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Z31" i="6"/>
  <c r="Y24" i="6"/>
  <c r="Y23" i="6" s="1"/>
  <c r="Y25" i="6" s="1"/>
  <c r="P48" i="6"/>
  <c r="Q54" i="6"/>
  <c r="Q53" i="6" s="1"/>
  <c r="Q55" i="6" s="1"/>
  <c r="Q24" i="6"/>
  <c r="Q23" i="6" s="1"/>
  <c r="Q25" i="6" s="1"/>
  <c r="J227" i="6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J316" i="6"/>
  <c r="X48" i="6"/>
  <c r="Y46" i="6"/>
  <c r="W50" i="6"/>
  <c r="J324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R39" i="6"/>
  <c r="R38" i="6" s="1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5" i="27" s="1"/>
  <c r="AE72" i="27"/>
  <c r="AE67" i="27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J33" i="27"/>
  <c r="L33" i="27" s="1"/>
  <c r="J38" i="27"/>
  <c r="L38" i="27" s="1"/>
  <c r="M74" i="27" s="1"/>
  <c r="J36" i="27"/>
  <c r="L36" i="27" s="1"/>
  <c r="J34" i="27"/>
  <c r="L34" i="27" s="1"/>
  <c r="P73" i="27"/>
  <c r="E68" i="27"/>
  <c r="J68" i="27"/>
  <c r="J18" i="27"/>
  <c r="J17" i="27"/>
  <c r="L17" i="27" s="1"/>
  <c r="J16" i="27"/>
  <c r="J30" i="27"/>
  <c r="L30" i="27" s="1"/>
  <c r="J28" i="27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AI12" i="1"/>
  <c r="G20" i="27"/>
  <c r="BL13" i="7"/>
  <c r="D13" i="7"/>
  <c r="J237" i="6"/>
  <c r="B6" i="6"/>
  <c r="X1" i="15"/>
  <c r="G3" i="7"/>
  <c r="V14" i="15"/>
  <c r="L15" i="1"/>
  <c r="K15" i="1"/>
  <c r="AB15" i="15"/>
  <c r="X15" i="1"/>
  <c r="AK15" i="1"/>
  <c r="AJ15" i="1"/>
  <c r="L12" i="15"/>
  <c r="L11" i="15"/>
  <c r="G34" i="27"/>
  <c r="AT56" i="27"/>
  <c r="AV56" i="27"/>
  <c r="AE56" i="27"/>
  <c r="AP56" i="27"/>
  <c r="AR56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BH9" i="7" l="1"/>
  <c r="BJ10" i="7" s="1"/>
  <c r="P54" i="6"/>
  <c r="P53" i="6" s="1"/>
  <c r="P55" i="6" s="1"/>
  <c r="AY113" i="6" s="1"/>
  <c r="O54" i="6"/>
  <c r="O53" i="6" s="1"/>
  <c r="J268" i="6"/>
  <c r="J229" i="6"/>
  <c r="J238" i="6"/>
  <c r="L28" i="27"/>
  <c r="F64" i="27" s="1"/>
  <c r="H72" i="27"/>
  <c r="F71" i="27"/>
  <c r="G36" i="27"/>
  <c r="L19" i="27"/>
  <c r="L18" i="27"/>
  <c r="G72" i="27"/>
  <c r="K72" i="27"/>
  <c r="J80" i="6"/>
  <c r="J204" i="6"/>
  <c r="J83" i="6"/>
  <c r="K15" i="15"/>
  <c r="A16" i="15"/>
  <c r="X16" i="15" s="1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R40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P74" i="27"/>
  <c r="G37" i="27" s="1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L16" i="27"/>
  <c r="H62" i="27"/>
  <c r="C65" i="27"/>
  <c r="L65" i="27"/>
  <c r="D65" i="27"/>
  <c r="G60" i="27"/>
  <c r="M60" i="27"/>
  <c r="H64" i="27"/>
  <c r="G62" i="27"/>
  <c r="F62" i="27"/>
  <c r="G65" i="27"/>
  <c r="M65" i="27"/>
  <c r="F65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A17" i="15"/>
  <c r="L16" i="15"/>
  <c r="D16" i="15" s="1"/>
  <c r="L15" i="15"/>
  <c r="D15" i="15" s="1"/>
  <c r="L11" i="16"/>
  <c r="AE74" i="27"/>
  <c r="G39" i="27"/>
  <c r="P75" i="27"/>
  <c r="BH11" i="6"/>
  <c r="BH12" i="6" s="1"/>
  <c r="BH220" i="6" s="1"/>
  <c r="L12" i="16"/>
  <c r="L15" i="16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Q17" i="1" s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AT311" i="6" l="1"/>
  <c r="BK10" i="7"/>
  <c r="BN9" i="7"/>
  <c r="BP10" i="7" s="1"/>
  <c r="BH161" i="6"/>
  <c r="BH337" i="6"/>
  <c r="AY109" i="6"/>
  <c r="AY99" i="6"/>
  <c r="BH286" i="6"/>
  <c r="BH327" i="6"/>
  <c r="G64" i="27"/>
  <c r="J64" i="27"/>
  <c r="M64" i="27"/>
  <c r="L64" i="27"/>
  <c r="D64" i="27"/>
  <c r="C64" i="27"/>
  <c r="G38" i="27"/>
  <c r="BH290" i="6"/>
  <c r="BH104" i="6"/>
  <c r="BH45" i="6"/>
  <c r="L14" i="27"/>
  <c r="R3" i="27" s="1"/>
  <c r="K16" i="15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Z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Z109" i="6" s="1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BH32" i="6"/>
  <c r="BH15" i="6"/>
  <c r="BH20" i="6"/>
  <c r="BH250" i="6"/>
  <c r="BH373" i="6"/>
  <c r="BH217" i="6"/>
  <c r="BH26" i="6"/>
  <c r="BH261" i="6"/>
  <c r="BH162" i="6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3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BQ10" i="7" l="1"/>
  <c r="BT9" i="7"/>
  <c r="BV10" i="7" s="1"/>
  <c r="AZ85" i="6"/>
  <c r="AF17" i="1"/>
  <c r="AD17" i="1" s="1"/>
  <c r="AZ99" i="6"/>
  <c r="E7" i="15"/>
  <c r="AC10" i="15" s="1"/>
  <c r="AD46" i="1"/>
  <c r="AD244" i="1"/>
  <c r="AD301" i="1"/>
  <c r="AD221" i="1"/>
  <c r="AD322" i="1"/>
  <c r="AD149" i="1"/>
  <c r="AD194" i="1"/>
  <c r="I24" i="27"/>
  <c r="I33" i="27"/>
  <c r="I32" i="27"/>
  <c r="I25" i="27"/>
  <c r="I21" i="27"/>
  <c r="I28" i="27"/>
  <c r="I22" i="27"/>
  <c r="I29" i="27"/>
  <c r="I30" i="27"/>
  <c r="I27" i="27"/>
  <c r="I31" i="27"/>
  <c r="I26" i="27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Y295" i="6"/>
  <c r="AZ295" i="6" s="1"/>
  <c r="AY289" i="6"/>
  <c r="AZ289" i="6" s="1"/>
  <c r="AY308" i="6"/>
  <c r="AZ308" i="6" s="1"/>
  <c r="AY310" i="6"/>
  <c r="AZ310" i="6" s="1"/>
  <c r="AY292" i="6"/>
  <c r="AZ296" i="6"/>
  <c r="AZ292" i="6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Z234" i="6" s="1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1" i="18"/>
  <c r="L15" i="18" s="1"/>
  <c r="H42" i="27"/>
  <c r="G41" i="27" s="1"/>
  <c r="AE76" i="27"/>
  <c r="P77" i="27"/>
  <c r="G40" i="27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L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AZ236" i="6" l="1"/>
  <c r="J13" i="7"/>
  <c r="K13" i="7"/>
  <c r="BW10" i="7"/>
  <c r="BZ9" i="7"/>
  <c r="U11" i="7"/>
  <c r="Q11" i="17" s="1"/>
  <c r="AD378" i="1"/>
  <c r="O10" i="15"/>
  <c r="O20" i="15" s="1"/>
  <c r="AD377" i="1"/>
  <c r="AD376" i="1"/>
  <c r="AZ210" i="6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G42" i="27" s="1"/>
  <c r="AE77" i="27"/>
  <c r="P78" i="27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AA11" i="7" l="1"/>
  <c r="Q11" i="18" s="1"/>
  <c r="O18" i="15"/>
  <c r="E18" i="15" s="1"/>
  <c r="O15" i="15"/>
  <c r="E15" i="15" s="1"/>
  <c r="I13" i="7"/>
  <c r="E7" i="16" s="1"/>
  <c r="O17" i="15"/>
  <c r="E17" i="15" s="1"/>
  <c r="O19" i="15"/>
  <c r="E19" i="15" s="1"/>
  <c r="O16" i="15"/>
  <c r="E16" i="15" s="1"/>
  <c r="AY13" i="6"/>
  <c r="AY12" i="6"/>
  <c r="AT12" i="6"/>
  <c r="AT13" i="6"/>
  <c r="AJ380" i="6"/>
  <c r="AJ381" i="6" s="1"/>
  <c r="AZ12" i="6"/>
  <c r="AZ13" i="6"/>
  <c r="O9" i="18"/>
  <c r="AJ18" i="18" s="1"/>
  <c r="AC9" i="16"/>
  <c r="AC12" i="16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E20" i="15" s="1"/>
  <c r="K20" i="15"/>
  <c r="L15" i="20"/>
  <c r="L16" i="20"/>
  <c r="L11" i="22"/>
  <c r="AR57" i="27"/>
  <c r="AP57" i="27"/>
  <c r="AE79" i="27"/>
  <c r="AV57" i="27"/>
  <c r="AT57" i="27"/>
  <c r="AE78" i="27"/>
  <c r="P79" i="27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F8" i="20"/>
  <c r="AK15" i="20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Q13" i="7" l="1"/>
  <c r="E8" i="16"/>
  <c r="K13" i="19" s="1"/>
  <c r="K37" i="19" s="1"/>
  <c r="AG11" i="7"/>
  <c r="Q11" i="20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E21" i="15" s="1"/>
  <c r="L11" i="23"/>
  <c r="K20" i="16"/>
  <c r="A21" i="16"/>
  <c r="L20" i="16"/>
  <c r="D20" i="16" s="1"/>
  <c r="AJ20" i="16"/>
  <c r="X20" i="16"/>
  <c r="AB20" i="16"/>
  <c r="AK20" i="16"/>
  <c r="K19" i="18"/>
  <c r="L19" i="18"/>
  <c r="AB19" i="18"/>
  <c r="A20" i="18"/>
  <c r="X19" i="18"/>
  <c r="AK19" i="18"/>
  <c r="AJ19" i="18"/>
  <c r="P15" i="1"/>
  <c r="O10" i="16"/>
  <c r="AC10" i="16"/>
  <c r="AC19" i="16" s="1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W13" i="7" l="1"/>
  <c r="AC15" i="16"/>
  <c r="AC18" i="16"/>
  <c r="AC20" i="16"/>
  <c r="AC17" i="16"/>
  <c r="AC16" i="16"/>
  <c r="AM11" i="7"/>
  <c r="Q11" i="22" s="1"/>
  <c r="AN56" i="27"/>
  <c r="AK61" i="27" s="1"/>
  <c r="AC20" i="17"/>
  <c r="O9" i="22"/>
  <c r="AJ18" i="22" s="1"/>
  <c r="O12" i="18"/>
  <c r="AC12" i="18"/>
  <c r="AC9" i="18"/>
  <c r="AJ16" i="20"/>
  <c r="AF13" i="7"/>
  <c r="F7" i="20"/>
  <c r="AJ15" i="20"/>
  <c r="AJ17" i="20"/>
  <c r="AB13" i="7"/>
  <c r="O11" i="20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P10" i="22"/>
  <c r="L17" i="19"/>
  <c r="V22" i="1"/>
  <c r="L12" i="24"/>
  <c r="L15" i="24" s="1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AS11" i="7"/>
  <c r="Q11" i="23" s="1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4" i="27"/>
  <c r="AM68" i="27"/>
  <c r="AM69" i="27"/>
  <c r="AL67" i="27"/>
  <c r="AM58" i="27"/>
  <c r="AM60" i="27"/>
  <c r="AL65" i="27"/>
  <c r="AM61" i="27"/>
  <c r="AL61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AI13" i="7" l="1"/>
  <c r="BE11" i="7"/>
  <c r="Q11" i="25" s="1"/>
  <c r="AL71" i="27"/>
  <c r="AM73" i="27"/>
  <c r="AJ73" i="27" s="1"/>
  <c r="R73" i="27" s="1"/>
  <c r="AM56" i="27"/>
  <c r="AJ56" i="27" s="1"/>
  <c r="AA56" i="27" s="1"/>
  <c r="AM76" i="27"/>
  <c r="AJ76" i="27" s="1"/>
  <c r="Y76" i="27" s="1"/>
  <c r="AM66" i="27"/>
  <c r="AJ66" i="27" s="1"/>
  <c r="Q66" i="27" s="1"/>
  <c r="AM70" i="27"/>
  <c r="AJ70" i="27" s="1"/>
  <c r="U70" i="27" s="1"/>
  <c r="AM77" i="27"/>
  <c r="AJ77" i="27" s="1"/>
  <c r="Z77" i="27" s="1"/>
  <c r="AM78" i="27"/>
  <c r="AJ78" i="27" s="1"/>
  <c r="AL63" i="27"/>
  <c r="AJ63" i="27" s="1"/>
  <c r="AM74" i="27"/>
  <c r="AJ74" i="27" s="1"/>
  <c r="AL79" i="27"/>
  <c r="AJ79" i="27" s="1"/>
  <c r="U79" i="27" s="1"/>
  <c r="AM72" i="27"/>
  <c r="AJ72" i="27" s="1"/>
  <c r="AL75" i="27"/>
  <c r="AJ75" i="27" s="1"/>
  <c r="AL59" i="27"/>
  <c r="AJ59" i="27" s="1"/>
  <c r="AM62" i="27"/>
  <c r="AJ62" i="27" s="1"/>
  <c r="AJ58" i="27"/>
  <c r="Z58" i="27" s="1"/>
  <c r="AJ67" i="27"/>
  <c r="T67" i="27" s="1"/>
  <c r="AJ69" i="27"/>
  <c r="R69" i="27" s="1"/>
  <c r="AJ68" i="27"/>
  <c r="V68" i="27" s="1"/>
  <c r="AJ64" i="27"/>
  <c r="Q64" i="27" s="1"/>
  <c r="AJ61" i="27"/>
  <c r="U61" i="27" s="1"/>
  <c r="AJ65" i="27"/>
  <c r="AJ60" i="27"/>
  <c r="AJ57" i="27"/>
  <c r="AJ71" i="27"/>
  <c r="X71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AC22" i="18" s="1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T63" i="27"/>
  <c r="W63" i="27"/>
  <c r="R71" i="27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AF63" i="27" s="1"/>
  <c r="P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C18" i="18"/>
  <c r="AC19" i="18"/>
  <c r="AC15" i="18"/>
  <c r="AC16" i="18"/>
  <c r="AC17" i="18"/>
  <c r="AC20" i="18"/>
  <c r="AC21" i="18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U13" i="7" l="1"/>
  <c r="AZ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F68" i="27" s="1"/>
  <c r="P68" i="27" s="1"/>
  <c r="AB67" i="27"/>
  <c r="AC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B61" i="27"/>
  <c r="AC61" i="27" s="1"/>
  <c r="AF62" i="27" s="1"/>
  <c r="P62" i="27" s="1"/>
  <c r="G26" i="27" s="1"/>
  <c r="AD62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BA13" i="7" l="1"/>
  <c r="AF67" i="27"/>
  <c r="P67" i="27" s="1"/>
  <c r="G31" i="27" s="1"/>
  <c r="AD67" i="27" s="1"/>
  <c r="AF61" i="27"/>
  <c r="P61" i="27" s="1"/>
  <c r="G25" i="27" s="1"/>
  <c r="AD61" i="27" s="1"/>
  <c r="AF60" i="27"/>
  <c r="P60" i="27" s="1"/>
  <c r="AF64" i="27"/>
  <c r="P64" i="27" s="1"/>
  <c r="G21" i="27"/>
  <c r="AD57" i="27" s="1"/>
  <c r="G22" i="27"/>
  <c r="AD58" i="27" s="1"/>
  <c r="AF69" i="27"/>
  <c r="P69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4" i="20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30" i="27" l="1"/>
  <c r="AD66" i="27" s="1"/>
  <c r="G23" i="27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40" i="19" l="1"/>
  <c r="O10" i="20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7" i="22" l="1"/>
  <c r="E8" i="22"/>
  <c r="K17" i="19" s="1"/>
  <c r="K41" i="19" s="1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AC10" i="22" l="1"/>
  <c r="AC28" i="23" s="1"/>
  <c r="O10" i="22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2" l="1"/>
  <c r="AM13" i="7"/>
  <c r="AS10" i="7" s="1"/>
  <c r="O15" i="22"/>
  <c r="O16" i="22"/>
  <c r="O19" i="22"/>
  <c r="O21" i="22"/>
  <c r="O23" i="22"/>
  <c r="O25" i="22"/>
  <c r="O28" i="22"/>
  <c r="O17" i="22"/>
  <c r="O18" i="22"/>
  <c r="O20" i="22"/>
  <c r="O22" i="22"/>
  <c r="O24" i="22"/>
  <c r="O26" i="22"/>
  <c r="O29" i="22"/>
  <c r="AG32" i="7" s="1"/>
  <c r="AC26" i="23"/>
  <c r="AC16" i="23"/>
  <c r="AC15" i="23"/>
  <c r="AC18" i="23"/>
  <c r="AC22" i="23"/>
  <c r="AC24" i="23"/>
  <c r="AC17" i="23"/>
  <c r="AC20" i="23"/>
  <c r="AC19" i="23"/>
  <c r="AC21" i="23"/>
  <c r="AC23" i="23"/>
  <c r="AC25" i="23"/>
  <c r="AC27" i="23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8" i="23" l="1"/>
  <c r="K18" i="19" s="1"/>
  <c r="K42" i="19" s="1"/>
  <c r="E7" i="23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29" i="24"/>
  <c r="AC16" i="24"/>
  <c r="AC20" i="24"/>
  <c r="AC24" i="24"/>
  <c r="AC18" i="24"/>
  <c r="AC21" i="24"/>
  <c r="AC25" i="24"/>
  <c r="AS13" i="7"/>
  <c r="AY10" i="7" s="1"/>
  <c r="O18" i="23"/>
  <c r="O15" i="23"/>
  <c r="O20" i="23"/>
  <c r="O22" i="23"/>
  <c r="O28" i="23"/>
  <c r="O25" i="23"/>
  <c r="O21" i="23"/>
  <c r="O17" i="23"/>
  <c r="O29" i="23"/>
  <c r="AG44" i="7" s="1"/>
  <c r="O24" i="23"/>
  <c r="O26" i="23"/>
  <c r="O27" i="23"/>
  <c r="O23" i="23"/>
  <c r="O19" i="23"/>
  <c r="O16" i="23"/>
  <c r="O30" i="23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8" i="24" l="1"/>
  <c r="K19" i="19" s="1"/>
  <c r="K43" i="19" s="1"/>
  <c r="E7" i="24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AC10" i="24" l="1"/>
  <c r="O10" i="24"/>
  <c r="O33" i="24" s="1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O29" i="24" l="1"/>
  <c r="AG56" i="7" s="1"/>
  <c r="O27" i="24"/>
  <c r="O17" i="24"/>
  <c r="O22" i="24"/>
  <c r="O26" i="24"/>
  <c r="O18" i="24"/>
  <c r="O19" i="24"/>
  <c r="O23" i="24"/>
  <c r="O28" i="24"/>
  <c r="O30" i="24"/>
  <c r="O15" i="24"/>
  <c r="O20" i="24"/>
  <c r="O24" i="24"/>
  <c r="AY13" i="7"/>
  <c r="BE10" i="7" s="1"/>
  <c r="O16" i="24"/>
  <c r="O21" i="24"/>
  <c r="O25" i="24"/>
  <c r="O31" i="24"/>
  <c r="O32" i="24"/>
  <c r="AC26" i="25"/>
  <c r="AC16" i="25"/>
  <c r="AC23" i="25"/>
  <c r="AC19" i="25"/>
  <c r="AC17" i="25"/>
  <c r="AC22" i="25"/>
  <c r="AC27" i="25"/>
  <c r="AC29" i="25"/>
  <c r="AC18" i="25"/>
  <c r="AC21" i="25"/>
  <c r="AC25" i="25"/>
  <c r="AC15" i="25"/>
  <c r="AC20" i="25"/>
  <c r="AC24" i="25"/>
  <c r="AC28" i="25"/>
  <c r="AC30" i="25"/>
  <c r="AC31" i="25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7" i="25" l="1"/>
  <c r="E8" i="25"/>
  <c r="K20" i="19" s="1"/>
  <c r="K44" i="19" s="1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32" i="25"/>
  <c r="O18" i="25"/>
  <c r="O17" i="25"/>
  <c r="O16" i="25"/>
  <c r="O24" i="25"/>
  <c r="O27" i="25"/>
  <c r="O21" i="25"/>
  <c r="O26" i="25"/>
  <c r="O15" i="25"/>
  <c r="O30" i="25"/>
  <c r="O33" i="25"/>
  <c r="O23" i="25"/>
  <c r="O25" i="25"/>
  <c r="O20" i="25"/>
  <c r="O29" i="25"/>
  <c r="AG68" i="7" s="1"/>
  <c r="O19" i="25"/>
  <c r="O28" i="25"/>
  <c r="O22" i="25"/>
  <c r="O31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L48" i="15" l="1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E65" i="16" l="1"/>
  <c r="AB67" i="15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L76" i="15" l="1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AA96" i="1" l="1"/>
  <c r="Z96" i="1" s="1"/>
  <c r="Y96" i="1" s="1"/>
  <c r="L98" i="15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AA98" i="1"/>
  <c r="Z98" i="1" s="1"/>
  <c r="Y98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G98" i="1" l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F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2" i="15" l="1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F117" i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E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4" i="15" l="1"/>
  <c r="O135" i="15"/>
  <c r="AB135" i="15"/>
  <c r="AK135" i="15"/>
  <c r="K135" i="15"/>
  <c r="L135" i="15"/>
  <c r="D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5" l="1"/>
  <c r="X136" i="15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9" i="15" l="1"/>
  <c r="AA138" i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V142" i="1" s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A141" i="1" l="1"/>
  <c r="Z141" i="1" s="1"/>
  <c r="Y141" i="1" s="1"/>
  <c r="G141" i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G142" i="1" l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3" i="15" l="1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AA184" i="1"/>
  <c r="Z184" i="1" s="1"/>
  <c r="Y184" i="1" s="1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B186" i="15" l="1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5" l="1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G202" i="1"/>
  <c r="BW202" i="6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G238" i="1" l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A248" i="15" l="1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G248" i="1" l="1"/>
  <c r="BW248" i="6" s="1"/>
  <c r="I248" i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I251" i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G251" i="1" l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3" i="15" l="1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AA253" i="1" l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P257" i="1" l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K262" i="15" l="1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5" l="1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I279" i="1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AA279" i="1" l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I285" i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6" i="15" l="1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E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AA294" i="1" l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9" i="15" l="1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8" i="16" l="1"/>
  <c r="E309" i="15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AA310" i="1" l="1"/>
  <c r="Z310" i="1" s="1"/>
  <c r="Y310" i="1" s="1"/>
  <c r="L312" i="15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V322" i="1"/>
  <c r="AA319" i="1"/>
  <c r="Z319" i="1" s="1"/>
  <c r="Y319" i="1" s="1"/>
  <c r="G319" i="1"/>
  <c r="BW319" i="6" s="1"/>
  <c r="I319" i="1"/>
  <c r="E322" i="15" l="1"/>
  <c r="P323" i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V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I331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AB333" i="15" l="1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E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V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E361" i="15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E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K371" i="15" l="1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6" l="1"/>
  <c r="G375" i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AK6" i="15"/>
  <c r="AM5" i="15"/>
  <c r="E380" i="15"/>
  <c r="AJ9" i="15"/>
  <c r="AJ7" i="15"/>
  <c r="AJ5" i="15"/>
  <c r="AJ6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70" i="15" s="1"/>
  <c r="T70" i="15" s="1"/>
  <c r="S70" i="15" s="1"/>
  <c r="R70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AJ9" i="1" s="1"/>
  <c r="I15" i="7"/>
  <c r="Q10" i="15"/>
  <c r="I16" i="7"/>
  <c r="U38" i="15"/>
  <c r="T38" i="15" s="1"/>
  <c r="S38" i="15" s="1"/>
  <c r="R38" i="15" s="1"/>
  <c r="U239" i="15"/>
  <c r="T239" i="15" s="1"/>
  <c r="S239" i="15" s="1"/>
  <c r="R239" i="15" s="1"/>
  <c r="U367" i="15"/>
  <c r="T367" i="15" s="1"/>
  <c r="S367" i="15" s="1"/>
  <c r="R367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16" i="15"/>
  <c r="AI114" i="15"/>
  <c r="AI178" i="15"/>
  <c r="AI240" i="15"/>
  <c r="AH240" i="15" s="1"/>
  <c r="AI272" i="15"/>
  <c r="AI304" i="15"/>
  <c r="AI336" i="15"/>
  <c r="AH336" i="15" s="1"/>
  <c r="AI368" i="15"/>
  <c r="AH368" i="15" s="1"/>
  <c r="A374" i="25"/>
  <c r="L373" i="25"/>
  <c r="K373" i="25"/>
  <c r="AJ373" i="25"/>
  <c r="AK373" i="25"/>
  <c r="X373" i="25"/>
  <c r="AB373" i="25"/>
  <c r="O373" i="25"/>
  <c r="AC373" i="25"/>
  <c r="AI352" i="15" l="1"/>
  <c r="AI320" i="15"/>
  <c r="AI288" i="15"/>
  <c r="AH288" i="15" s="1"/>
  <c r="AI256" i="15"/>
  <c r="AI210" i="15"/>
  <c r="AH210" i="15" s="1"/>
  <c r="AI146" i="15"/>
  <c r="AI82" i="15"/>
  <c r="U303" i="15"/>
  <c r="T303" i="15" s="1"/>
  <c r="S303" i="15" s="1"/>
  <c r="R303" i="15" s="1"/>
  <c r="U166" i="15"/>
  <c r="T166" i="15" s="1"/>
  <c r="S166" i="15" s="1"/>
  <c r="R166" i="15" s="1"/>
  <c r="AI376" i="15"/>
  <c r="AH376" i="15" s="1"/>
  <c r="AI360" i="15"/>
  <c r="AH360" i="15" s="1"/>
  <c r="AG360" i="15" s="1"/>
  <c r="AF360" i="15" s="1"/>
  <c r="AI344" i="15"/>
  <c r="AH344" i="15" s="1"/>
  <c r="AI328" i="15"/>
  <c r="AI312" i="15"/>
  <c r="AH312" i="15" s="1"/>
  <c r="AI296" i="15"/>
  <c r="AH296" i="15" s="1"/>
  <c r="AI280" i="15"/>
  <c r="AH280" i="15" s="1"/>
  <c r="AI264" i="15"/>
  <c r="AH264" i="15" s="1"/>
  <c r="AI248" i="15"/>
  <c r="AH248" i="15" s="1"/>
  <c r="AI226" i="15"/>
  <c r="AI194" i="15"/>
  <c r="AI162" i="15"/>
  <c r="AH162" i="15" s="1"/>
  <c r="AI130" i="15"/>
  <c r="AH130" i="15" s="1"/>
  <c r="AG130" i="15" s="1"/>
  <c r="AF130" i="15" s="1"/>
  <c r="AI98" i="15"/>
  <c r="AH98" i="15" s="1"/>
  <c r="AI58" i="15"/>
  <c r="AH58" i="15" s="1"/>
  <c r="U335" i="15"/>
  <c r="T335" i="15" s="1"/>
  <c r="S335" i="15" s="1"/>
  <c r="R335" i="15" s="1"/>
  <c r="U271" i="15"/>
  <c r="T271" i="15" s="1"/>
  <c r="S271" i="15" s="1"/>
  <c r="R271" i="15" s="1"/>
  <c r="U207" i="15"/>
  <c r="T207" i="15" s="1"/>
  <c r="S207" i="15" s="1"/>
  <c r="R207" i="15" s="1"/>
  <c r="U102" i="15"/>
  <c r="T102" i="15" s="1"/>
  <c r="S102" i="15" s="1"/>
  <c r="R102" i="15" s="1"/>
  <c r="AI372" i="15"/>
  <c r="AH372" i="15" s="1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G340" i="15" s="1"/>
  <c r="AF340" i="15" s="1"/>
  <c r="AI332" i="15"/>
  <c r="AI324" i="15"/>
  <c r="AH324" i="15" s="1"/>
  <c r="AG324" i="15" s="1"/>
  <c r="AF324" i="15" s="1"/>
  <c r="AI316" i="15"/>
  <c r="AH316" i="15" s="1"/>
  <c r="AG316" i="15" s="1"/>
  <c r="AF316" i="15" s="1"/>
  <c r="AI308" i="15"/>
  <c r="AH308" i="15" s="1"/>
  <c r="AI300" i="15"/>
  <c r="AH300" i="15" s="1"/>
  <c r="AI292" i="15"/>
  <c r="AH292" i="15" s="1"/>
  <c r="AI284" i="15"/>
  <c r="AH284" i="15" s="1"/>
  <c r="AI276" i="15"/>
  <c r="AH276" i="15" s="1"/>
  <c r="AI268" i="15"/>
  <c r="AI260" i="15"/>
  <c r="AH260" i="15" s="1"/>
  <c r="AI252" i="15"/>
  <c r="AH252" i="15" s="1"/>
  <c r="AI244" i="15"/>
  <c r="AH244" i="15" s="1"/>
  <c r="AG244" i="15" s="1"/>
  <c r="AF244" i="15" s="1"/>
  <c r="AI234" i="15"/>
  <c r="AH234" i="15" s="1"/>
  <c r="AG234" i="15" s="1"/>
  <c r="AF234" i="15" s="1"/>
  <c r="AI218" i="15"/>
  <c r="AH218" i="15" s="1"/>
  <c r="AI202" i="15"/>
  <c r="AH202" i="15" s="1"/>
  <c r="AG202" i="15" s="1"/>
  <c r="AF202" i="15" s="1"/>
  <c r="AI186" i="15"/>
  <c r="AH186" i="15" s="1"/>
  <c r="AI170" i="15"/>
  <c r="AH170" i="15" s="1"/>
  <c r="AG170" i="15" s="1"/>
  <c r="AF170" i="15" s="1"/>
  <c r="AI154" i="15"/>
  <c r="AH154" i="15" s="1"/>
  <c r="AI138" i="15"/>
  <c r="AH138" i="15" s="1"/>
  <c r="AI122" i="15"/>
  <c r="AH122" i="15" s="1"/>
  <c r="AI106" i="15"/>
  <c r="AH106" i="15" s="1"/>
  <c r="AI90" i="15"/>
  <c r="AH90" i="15" s="1"/>
  <c r="AI74" i="15"/>
  <c r="AH74" i="15" s="1"/>
  <c r="AI42" i="15"/>
  <c r="AH42" i="15" s="1"/>
  <c r="AG42" i="15" s="1"/>
  <c r="AF42" i="15" s="1"/>
  <c r="U351" i="15"/>
  <c r="T351" i="15" s="1"/>
  <c r="S351" i="15" s="1"/>
  <c r="R351" i="15" s="1"/>
  <c r="U319" i="15"/>
  <c r="T319" i="15" s="1"/>
  <c r="S319" i="15" s="1"/>
  <c r="R319" i="15" s="1"/>
  <c r="U287" i="15"/>
  <c r="T287" i="15" s="1"/>
  <c r="S287" i="15" s="1"/>
  <c r="R287" i="15" s="1"/>
  <c r="U255" i="15"/>
  <c r="T255" i="15" s="1"/>
  <c r="S255" i="15" s="1"/>
  <c r="R255" i="15" s="1"/>
  <c r="U223" i="15"/>
  <c r="T223" i="15" s="1"/>
  <c r="S223" i="15" s="1"/>
  <c r="R223" i="15" s="1"/>
  <c r="U191" i="15"/>
  <c r="T191" i="15" s="1"/>
  <c r="S191" i="15" s="1"/>
  <c r="R191" i="15" s="1"/>
  <c r="U134" i="15"/>
  <c r="T134" i="15" s="1"/>
  <c r="L36" i="19"/>
  <c r="D379" i="16"/>
  <c r="B37" i="19"/>
  <c r="AJ11" i="15"/>
  <c r="Q37" i="15"/>
  <c r="Q195" i="15"/>
  <c r="U30" i="15"/>
  <c r="T30" i="15" s="1"/>
  <c r="S30" i="15" s="1"/>
  <c r="R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P195" i="15" s="1"/>
  <c r="V195" i="15" s="1"/>
  <c r="F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I76" i="15"/>
  <c r="AH76" i="15" s="1"/>
  <c r="AG76" i="15" s="1"/>
  <c r="AF76" i="15" s="1"/>
  <c r="AI80" i="15"/>
  <c r="AH80" i="15" s="1"/>
  <c r="AI84" i="15"/>
  <c r="AI88" i="15"/>
  <c r="AH88" i="15" s="1"/>
  <c r="AI92" i="15"/>
  <c r="AH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I216" i="15"/>
  <c r="AH216" i="15" s="1"/>
  <c r="AG216" i="15" s="1"/>
  <c r="AF216" i="15" s="1"/>
  <c r="AI220" i="15"/>
  <c r="AH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I322" i="15"/>
  <c r="AH322" i="15" s="1"/>
  <c r="AG322" i="15" s="1"/>
  <c r="AF322" i="15" s="1"/>
  <c r="AI318" i="15"/>
  <c r="AH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I258" i="15"/>
  <c r="AH258" i="15" s="1"/>
  <c r="AG258" i="15" s="1"/>
  <c r="AF258" i="15" s="1"/>
  <c r="AI254" i="15"/>
  <c r="AH254" i="15" s="1"/>
  <c r="AI250" i="15"/>
  <c r="AH250" i="15" s="1"/>
  <c r="AI246" i="15"/>
  <c r="AH246" i="15" s="1"/>
  <c r="AI242" i="15"/>
  <c r="AH242" i="15" s="1"/>
  <c r="AI238" i="15"/>
  <c r="AH238" i="15" s="1"/>
  <c r="AG238" i="15" s="1"/>
  <c r="AF238" i="15" s="1"/>
  <c r="AI230" i="15"/>
  <c r="AH230" i="15" s="1"/>
  <c r="AG230" i="15" s="1"/>
  <c r="AF230" i="15" s="1"/>
  <c r="AI222" i="15"/>
  <c r="AH222" i="15" s="1"/>
  <c r="AI214" i="15"/>
  <c r="AI206" i="15"/>
  <c r="AH206" i="15" s="1"/>
  <c r="AI198" i="15"/>
  <c r="AI190" i="15"/>
  <c r="AH190" i="15" s="1"/>
  <c r="AI182" i="15"/>
  <c r="AH182" i="15" s="1"/>
  <c r="AI174" i="15"/>
  <c r="AH174" i="15" s="1"/>
  <c r="AI166" i="15"/>
  <c r="AH166" i="15" s="1"/>
  <c r="AG166" i="15" s="1"/>
  <c r="AF166" i="15" s="1"/>
  <c r="AI158" i="15"/>
  <c r="AH158" i="15" s="1"/>
  <c r="AI150" i="15"/>
  <c r="AH150" i="15" s="1"/>
  <c r="AG150" i="15" s="1"/>
  <c r="AF150" i="15" s="1"/>
  <c r="AI142" i="15"/>
  <c r="AH142" i="15" s="1"/>
  <c r="AG142" i="15" s="1"/>
  <c r="AF142" i="15" s="1"/>
  <c r="AI134" i="15"/>
  <c r="AH134" i="15" s="1"/>
  <c r="AI126" i="15"/>
  <c r="AI118" i="15"/>
  <c r="AH118" i="15" s="1"/>
  <c r="AI110" i="15"/>
  <c r="AH110" i="15" s="1"/>
  <c r="AI102" i="15"/>
  <c r="AH102" i="15" s="1"/>
  <c r="AG102" i="15" s="1"/>
  <c r="AF102" i="15" s="1"/>
  <c r="AI94" i="15"/>
  <c r="AH94" i="15" s="1"/>
  <c r="AI86" i="15"/>
  <c r="AI78" i="15"/>
  <c r="AH78" i="15" s="1"/>
  <c r="AI66" i="15"/>
  <c r="AH66" i="15" s="1"/>
  <c r="AI50" i="15"/>
  <c r="AH50" i="15" s="1"/>
  <c r="AG50" i="15" s="1"/>
  <c r="AF50" i="15" s="1"/>
  <c r="AI34" i="15"/>
  <c r="AH34" i="15" s="1"/>
  <c r="AG34" i="15" s="1"/>
  <c r="AF34" i="15" s="1"/>
  <c r="AI18" i="15"/>
  <c r="AH18" i="15" s="1"/>
  <c r="U375" i="15"/>
  <c r="T375" i="15" s="1"/>
  <c r="S375" i="15" s="1"/>
  <c r="R375" i="15" s="1"/>
  <c r="U359" i="15"/>
  <c r="T359" i="15" s="1"/>
  <c r="S359" i="15" s="1"/>
  <c r="R359" i="15" s="1"/>
  <c r="U343" i="15"/>
  <c r="T343" i="15" s="1"/>
  <c r="S343" i="15" s="1"/>
  <c r="R343" i="15" s="1"/>
  <c r="U327" i="15"/>
  <c r="T327" i="15" s="1"/>
  <c r="S327" i="15" s="1"/>
  <c r="R327" i="15" s="1"/>
  <c r="U311" i="15"/>
  <c r="T311" i="15" s="1"/>
  <c r="S311" i="15" s="1"/>
  <c r="R311" i="15" s="1"/>
  <c r="U295" i="15"/>
  <c r="T295" i="15" s="1"/>
  <c r="S295" i="15" s="1"/>
  <c r="R295" i="15" s="1"/>
  <c r="U279" i="15"/>
  <c r="T279" i="15" s="1"/>
  <c r="S279" i="15" s="1"/>
  <c r="R279" i="15" s="1"/>
  <c r="U263" i="15"/>
  <c r="T263" i="15" s="1"/>
  <c r="S263" i="15" s="1"/>
  <c r="R263" i="15" s="1"/>
  <c r="U247" i="15"/>
  <c r="T247" i="15" s="1"/>
  <c r="S247" i="15" s="1"/>
  <c r="R247" i="15" s="1"/>
  <c r="U231" i="15"/>
  <c r="T231" i="15" s="1"/>
  <c r="S231" i="15" s="1"/>
  <c r="R231" i="15" s="1"/>
  <c r="U215" i="15"/>
  <c r="T215" i="15" s="1"/>
  <c r="S215" i="15" s="1"/>
  <c r="R215" i="15" s="1"/>
  <c r="U199" i="15"/>
  <c r="T199" i="15" s="1"/>
  <c r="S199" i="15" s="1"/>
  <c r="R199" i="15" s="1"/>
  <c r="U182" i="15"/>
  <c r="T182" i="15" s="1"/>
  <c r="S182" i="15" s="1"/>
  <c r="R182" i="15" s="1"/>
  <c r="U150" i="15"/>
  <c r="T150" i="15" s="1"/>
  <c r="S150" i="15" s="1"/>
  <c r="R150" i="15" s="1"/>
  <c r="U118" i="15"/>
  <c r="T118" i="15" s="1"/>
  <c r="S118" i="15" s="1"/>
  <c r="R118" i="15" s="1"/>
  <c r="U86" i="15"/>
  <c r="T86" i="15" s="1"/>
  <c r="S86" i="15" s="1"/>
  <c r="R86" i="15" s="1"/>
  <c r="U54" i="15"/>
  <c r="T54" i="15" s="1"/>
  <c r="S54" i="15" s="1"/>
  <c r="R54" i="15" s="1"/>
  <c r="U15" i="15"/>
  <c r="T15" i="15" s="1"/>
  <c r="Q319" i="15"/>
  <c r="P319" i="15" s="1"/>
  <c r="V319" i="15" s="1"/>
  <c r="F319" i="15" s="1"/>
  <c r="Q351" i="15"/>
  <c r="P351" i="15" s="1"/>
  <c r="V351" i="15" s="1"/>
  <c r="F351" i="15" s="1"/>
  <c r="Q259" i="15"/>
  <c r="Q131" i="15"/>
  <c r="Q367" i="15"/>
  <c r="P367" i="15" s="1"/>
  <c r="V367" i="15" s="1"/>
  <c r="F367" i="15" s="1"/>
  <c r="Q335" i="15"/>
  <c r="Q291" i="15"/>
  <c r="Q227" i="15"/>
  <c r="Q163" i="15"/>
  <c r="Q99" i="15"/>
  <c r="Q375" i="15"/>
  <c r="Q359" i="15"/>
  <c r="Q343" i="15"/>
  <c r="Q327" i="15"/>
  <c r="Q307" i="15"/>
  <c r="Q275" i="15"/>
  <c r="Q243" i="15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S56" i="15" s="1"/>
  <c r="R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S294" i="15" s="1"/>
  <c r="R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S318" i="15" s="1"/>
  <c r="R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S326" i="15" s="1"/>
  <c r="R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G21" i="15" s="1"/>
  <c r="AF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9" i="15"/>
  <c r="AH39" i="15" s="1"/>
  <c r="AI41" i="15"/>
  <c r="AH41" i="15" s="1"/>
  <c r="AI43" i="15"/>
  <c r="AH43" i="15" s="1"/>
  <c r="AG43" i="15" s="1"/>
  <c r="AF43" i="15" s="1"/>
  <c r="AI45" i="15"/>
  <c r="AH45" i="15" s="1"/>
  <c r="AG45" i="15" s="1"/>
  <c r="AF45" i="15" s="1"/>
  <c r="AI47" i="15"/>
  <c r="AH47" i="15" s="1"/>
  <c r="AG47" i="15" s="1"/>
  <c r="AF47" i="15" s="1"/>
  <c r="AI49" i="15"/>
  <c r="AH49" i="15" s="1"/>
  <c r="AG49" i="15" s="1"/>
  <c r="AF49" i="15" s="1"/>
  <c r="AI51" i="15"/>
  <c r="AH51" i="15" s="1"/>
  <c r="AI53" i="15"/>
  <c r="AH53" i="15" s="1"/>
  <c r="AG53" i="15" s="1"/>
  <c r="AF53" i="15" s="1"/>
  <c r="AI55" i="15"/>
  <c r="AH55" i="15" s="1"/>
  <c r="AI57" i="15"/>
  <c r="AH57" i="15" s="1"/>
  <c r="AG57" i="15" s="1"/>
  <c r="AF57" i="15" s="1"/>
  <c r="AI59" i="15"/>
  <c r="AH59" i="15" s="1"/>
  <c r="AG59" i="15" s="1"/>
  <c r="AF59" i="15" s="1"/>
  <c r="AI61" i="15"/>
  <c r="AH61" i="15" s="1"/>
  <c r="AI63" i="15"/>
  <c r="AH63" i="15" s="1"/>
  <c r="AI65" i="15"/>
  <c r="AH65" i="15" s="1"/>
  <c r="AG65" i="15" s="1"/>
  <c r="AF65" i="15" s="1"/>
  <c r="AI67" i="15"/>
  <c r="AH67" i="15" s="1"/>
  <c r="AG67" i="15" s="1"/>
  <c r="AF67" i="15" s="1"/>
  <c r="AI69" i="15"/>
  <c r="AH69" i="15" s="1"/>
  <c r="AG69" i="15" s="1"/>
  <c r="AF69" i="15" s="1"/>
  <c r="AI71" i="15"/>
  <c r="AH71" i="15" s="1"/>
  <c r="AG71" i="15" s="1"/>
  <c r="AF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H121" i="15" s="1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G89" i="15" s="1"/>
  <c r="AF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J15" i="7" s="1"/>
  <c r="Q371" i="15"/>
  <c r="Q363" i="15"/>
  <c r="Q355" i="15"/>
  <c r="Q347" i="15"/>
  <c r="Q339" i="15"/>
  <c r="Q331" i="15"/>
  <c r="Q323" i="15"/>
  <c r="Q315" i="15"/>
  <c r="Q299" i="15"/>
  <c r="Q283" i="15"/>
  <c r="Q267" i="15"/>
  <c r="Q251" i="15"/>
  <c r="Q235" i="15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P303" i="15" s="1"/>
  <c r="V303" i="15" s="1"/>
  <c r="F303" i="15" s="1"/>
  <c r="Q295" i="15"/>
  <c r="P295" i="15" s="1"/>
  <c r="V295" i="15" s="1"/>
  <c r="F295" i="15" s="1"/>
  <c r="Q287" i="15"/>
  <c r="Q279" i="15"/>
  <c r="Q271" i="15"/>
  <c r="Q263" i="15"/>
  <c r="P263" i="15" s="1"/>
  <c r="V263" i="15" s="1"/>
  <c r="F263" i="15" s="1"/>
  <c r="Q255" i="15"/>
  <c r="P255" i="15" s="1"/>
  <c r="V255" i="15" s="1"/>
  <c r="F255" i="15" s="1"/>
  <c r="Q247" i="15"/>
  <c r="Q239" i="15"/>
  <c r="P239" i="15" s="1"/>
  <c r="V239" i="15" s="1"/>
  <c r="F239" i="15" s="1"/>
  <c r="Q231" i="15"/>
  <c r="Q223" i="15"/>
  <c r="Q215" i="15"/>
  <c r="Q207" i="15"/>
  <c r="Q199" i="15"/>
  <c r="P199" i="15" s="1"/>
  <c r="V199" i="15" s="1"/>
  <c r="F199" i="15" s="1"/>
  <c r="Q191" i="15"/>
  <c r="P191" i="15" s="1"/>
  <c r="V191" i="15" s="1"/>
  <c r="F191" i="15" s="1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Q29" i="15"/>
  <c r="Q380" i="15"/>
  <c r="AE380" i="15"/>
  <c r="AI380" i="15"/>
  <c r="U380" i="15"/>
  <c r="T380" i="15" s="1"/>
  <c r="Q79" i="15"/>
  <c r="P79" i="15" s="1"/>
  <c r="V79" i="15" s="1"/>
  <c r="F79" i="15" s="1"/>
  <c r="Q75" i="15"/>
  <c r="Q71" i="15"/>
  <c r="Q67" i="15"/>
  <c r="Q61" i="15"/>
  <c r="Q45" i="15"/>
  <c r="Q19" i="15"/>
  <c r="Q25" i="15"/>
  <c r="Q33" i="15"/>
  <c r="Q41" i="15"/>
  <c r="Q49" i="15"/>
  <c r="Q57" i="15"/>
  <c r="Q63" i="15"/>
  <c r="P63" i="15" s="1"/>
  <c r="V63" i="15" s="1"/>
  <c r="F63" i="15" s="1"/>
  <c r="Q66" i="15"/>
  <c r="Q68" i="15"/>
  <c r="P68" i="15" s="1"/>
  <c r="V68" i="15" s="1"/>
  <c r="F68" i="15" s="1"/>
  <c r="Q70" i="15"/>
  <c r="P70" i="15" s="1"/>
  <c r="V70" i="15" s="1"/>
  <c r="F70" i="15" s="1"/>
  <c r="Q72" i="15"/>
  <c r="Q74" i="15"/>
  <c r="Q76" i="15"/>
  <c r="P76" i="15" s="1"/>
  <c r="V76" i="15" s="1"/>
  <c r="F76" i="15" s="1"/>
  <c r="Q78" i="15"/>
  <c r="P78" i="15" s="1"/>
  <c r="V78" i="15" s="1"/>
  <c r="F78" i="15" s="1"/>
  <c r="Q80" i="15"/>
  <c r="Q82" i="15"/>
  <c r="Q84" i="15"/>
  <c r="P84" i="15" s="1"/>
  <c r="V84" i="15" s="1"/>
  <c r="F84" i="15" s="1"/>
  <c r="Q86" i="15"/>
  <c r="P86" i="15" s="1"/>
  <c r="V86" i="15" s="1"/>
  <c r="F86" i="15" s="1"/>
  <c r="Q88" i="15"/>
  <c r="Q90" i="15"/>
  <c r="Q92" i="15"/>
  <c r="Q94" i="15"/>
  <c r="Q96" i="15"/>
  <c r="Q98" i="15"/>
  <c r="Q100" i="15"/>
  <c r="Q102" i="15"/>
  <c r="P102" i="15" s="1"/>
  <c r="V102" i="15" s="1"/>
  <c r="F102" i="15" s="1"/>
  <c r="Q104" i="15"/>
  <c r="Q106" i="15"/>
  <c r="Q108" i="15"/>
  <c r="Q110" i="15"/>
  <c r="P110" i="15" s="1"/>
  <c r="V110" i="15" s="1"/>
  <c r="F110" i="15" s="1"/>
  <c r="Q112" i="15"/>
  <c r="Q114" i="15"/>
  <c r="Q116" i="15"/>
  <c r="P116" i="15" s="1"/>
  <c r="V116" i="15" s="1"/>
  <c r="F116" i="15" s="1"/>
  <c r="Q118" i="15"/>
  <c r="Q120" i="15"/>
  <c r="Q122" i="15"/>
  <c r="Q124" i="15"/>
  <c r="P124" i="15" s="1"/>
  <c r="V124" i="15" s="1"/>
  <c r="F124" i="15" s="1"/>
  <c r="Q126" i="15"/>
  <c r="Q128" i="15"/>
  <c r="Q130" i="15"/>
  <c r="Q132" i="15"/>
  <c r="P132" i="15" s="1"/>
  <c r="V132" i="15" s="1"/>
  <c r="F132" i="15" s="1"/>
  <c r="Q134" i="15"/>
  <c r="Q136" i="15"/>
  <c r="Q138" i="15"/>
  <c r="Q140" i="15"/>
  <c r="P140" i="15" s="1"/>
  <c r="V140" i="15" s="1"/>
  <c r="F140" i="15" s="1"/>
  <c r="Q142" i="15"/>
  <c r="P142" i="15" s="1"/>
  <c r="V142" i="15" s="1"/>
  <c r="F142" i="15" s="1"/>
  <c r="Q144" i="15"/>
  <c r="Q146" i="15"/>
  <c r="Q148" i="15"/>
  <c r="P148" i="15" s="1"/>
  <c r="V148" i="15" s="1"/>
  <c r="F148" i="15" s="1"/>
  <c r="Q150" i="15"/>
  <c r="Q152" i="15"/>
  <c r="Q154" i="15"/>
  <c r="Q156" i="15"/>
  <c r="P156" i="15" s="1"/>
  <c r="V156" i="15" s="1"/>
  <c r="F156" i="15" s="1"/>
  <c r="Q158" i="15"/>
  <c r="Q160" i="15"/>
  <c r="Q162" i="15"/>
  <c r="Q164" i="15"/>
  <c r="P164" i="15" s="1"/>
  <c r="V164" i="15" s="1"/>
  <c r="F164" i="15" s="1"/>
  <c r="Q166" i="15"/>
  <c r="Q168" i="15"/>
  <c r="Q170" i="15"/>
  <c r="Q172" i="15"/>
  <c r="Q174" i="15"/>
  <c r="P174" i="15" s="1"/>
  <c r="V174" i="15" s="1"/>
  <c r="F174" i="15" s="1"/>
  <c r="Q176" i="15"/>
  <c r="Q178" i="15"/>
  <c r="Q180" i="15"/>
  <c r="P180" i="15" s="1"/>
  <c r="Q182" i="15"/>
  <c r="Q184" i="15"/>
  <c r="Q186" i="15"/>
  <c r="Q188" i="15"/>
  <c r="Q190" i="15"/>
  <c r="Q192" i="15"/>
  <c r="Q194" i="15"/>
  <c r="Q196" i="15"/>
  <c r="Q198" i="15"/>
  <c r="Q200" i="15"/>
  <c r="Q202" i="15"/>
  <c r="Q204" i="15"/>
  <c r="Q206" i="15"/>
  <c r="Q208" i="15"/>
  <c r="Q210" i="15"/>
  <c r="Q212" i="15"/>
  <c r="Q214" i="15"/>
  <c r="Q216" i="15"/>
  <c r="Q218" i="15"/>
  <c r="Q220" i="15"/>
  <c r="Q222" i="15"/>
  <c r="Q224" i="15"/>
  <c r="Q226" i="15"/>
  <c r="Q228" i="15"/>
  <c r="Q230" i="15"/>
  <c r="Q232" i="15"/>
  <c r="Q234" i="15"/>
  <c r="Q236" i="15"/>
  <c r="Q238" i="15"/>
  <c r="Q240" i="15"/>
  <c r="Q242" i="15"/>
  <c r="Q244" i="15"/>
  <c r="Q246" i="15"/>
  <c r="Q248" i="15"/>
  <c r="Q250" i="15"/>
  <c r="Q252" i="15"/>
  <c r="Q254" i="15"/>
  <c r="Q256" i="15"/>
  <c r="Q258" i="15"/>
  <c r="Q260" i="15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Q294" i="15"/>
  <c r="Q296" i="15"/>
  <c r="Q298" i="15"/>
  <c r="Q300" i="15"/>
  <c r="Q302" i="15"/>
  <c r="Q304" i="15"/>
  <c r="Q306" i="15"/>
  <c r="Q308" i="15"/>
  <c r="Q310" i="15"/>
  <c r="Q312" i="15"/>
  <c r="Q314" i="15"/>
  <c r="Q316" i="15"/>
  <c r="Q318" i="15"/>
  <c r="Q320" i="15"/>
  <c r="Q322" i="15"/>
  <c r="Q324" i="15"/>
  <c r="Q326" i="15"/>
  <c r="Q328" i="15"/>
  <c r="Q330" i="15"/>
  <c r="Q332" i="15"/>
  <c r="Q334" i="15"/>
  <c r="Q336" i="15"/>
  <c r="Q338" i="15"/>
  <c r="Q340" i="15"/>
  <c r="Q342" i="15"/>
  <c r="Q344" i="15"/>
  <c r="Q346" i="15"/>
  <c r="Q348" i="15"/>
  <c r="Q350" i="15"/>
  <c r="Q352" i="15"/>
  <c r="Q354" i="15"/>
  <c r="Q356" i="15"/>
  <c r="Q358" i="15"/>
  <c r="Q360" i="15"/>
  <c r="Q362" i="15"/>
  <c r="Q364" i="15"/>
  <c r="Q366" i="15"/>
  <c r="Q368" i="15"/>
  <c r="Q370" i="15"/>
  <c r="Q372" i="15"/>
  <c r="Q374" i="15"/>
  <c r="Q376" i="15"/>
  <c r="Q378" i="15"/>
  <c r="AK3" i="15"/>
  <c r="Q12" i="19" s="1"/>
  <c r="D382" i="15"/>
  <c r="D9" i="15"/>
  <c r="D11" i="15" s="1"/>
  <c r="E36" i="19" s="1"/>
  <c r="E379" i="15"/>
  <c r="D381" i="15"/>
  <c r="D383" i="15"/>
  <c r="AJ8" i="15"/>
  <c r="Q59" i="15"/>
  <c r="Q55" i="15"/>
  <c r="Q51" i="15"/>
  <c r="Q47" i="15"/>
  <c r="P47" i="15" s="1"/>
  <c r="V47" i="15" s="1"/>
  <c r="F47" i="15" s="1"/>
  <c r="Q43" i="15"/>
  <c r="Q39" i="15"/>
  <c r="Q35" i="15"/>
  <c r="Q31" i="15"/>
  <c r="P31" i="15" s="1"/>
  <c r="V31" i="15" s="1"/>
  <c r="F31" i="15" s="1"/>
  <c r="Q27" i="15"/>
  <c r="P55" i="15"/>
  <c r="V55" i="15" s="1"/>
  <c r="F55" i="15" s="1"/>
  <c r="AC382" i="17"/>
  <c r="AC383" i="17"/>
  <c r="AC381" i="17"/>
  <c r="R379" i="1"/>
  <c r="S381" i="1"/>
  <c r="S382" i="1"/>
  <c r="S383" i="1"/>
  <c r="AK380" i="16"/>
  <c r="K380" i="16"/>
  <c r="AJ380" i="16"/>
  <c r="E379" i="16"/>
  <c r="AG368" i="15"/>
  <c r="AF368" i="15" s="1"/>
  <c r="AH352" i="15"/>
  <c r="AG344" i="15"/>
  <c r="AF344" i="15" s="1"/>
  <c r="AG336" i="15"/>
  <c r="AF336" i="15" s="1"/>
  <c r="AH332" i="15"/>
  <c r="AH328" i="15"/>
  <c r="AH326" i="15"/>
  <c r="AH320" i="15"/>
  <c r="AG318" i="15"/>
  <c r="AF318" i="15" s="1"/>
  <c r="AH304" i="15"/>
  <c r="AG288" i="15"/>
  <c r="AF288" i="15" s="1"/>
  <c r="AG280" i="15"/>
  <c r="AF280" i="15" s="1"/>
  <c r="AH272" i="15"/>
  <c r="AH268" i="15"/>
  <c r="AG264" i="15"/>
  <c r="AF264" i="15" s="1"/>
  <c r="AG262" i="15"/>
  <c r="AF262" i="15" s="1"/>
  <c r="AH256" i="15"/>
  <c r="AG254" i="15"/>
  <c r="AF254" i="15" s="1"/>
  <c r="AG240" i="15"/>
  <c r="AF240" i="15" s="1"/>
  <c r="AH226" i="15"/>
  <c r="AG220" i="15"/>
  <c r="AF220" i="15" s="1"/>
  <c r="AH214" i="15"/>
  <c r="AH212" i="15"/>
  <c r="AG210" i="15"/>
  <c r="AF210" i="15" s="1"/>
  <c r="AG206" i="15"/>
  <c r="AF206" i="15" s="1"/>
  <c r="AH198" i="15"/>
  <c r="AH194" i="15"/>
  <c r="AG182" i="15"/>
  <c r="AF182" i="15" s="1"/>
  <c r="AH178" i="15"/>
  <c r="AH172" i="15"/>
  <c r="AG162" i="15"/>
  <c r="AF162" i="15" s="1"/>
  <c r="AH146" i="15"/>
  <c r="AG138" i="15"/>
  <c r="AF138" i="15" s="1"/>
  <c r="AG134" i="15"/>
  <c r="AF134" i="15" s="1"/>
  <c r="AH132" i="15"/>
  <c r="AH126" i="15"/>
  <c r="AH114" i="15"/>
  <c r="AG98" i="15"/>
  <c r="AF98" i="15" s="1"/>
  <c r="AG92" i="15"/>
  <c r="AF92" i="15" s="1"/>
  <c r="AH86" i="15"/>
  <c r="AH84" i="15"/>
  <c r="AH82" i="15"/>
  <c r="AG78" i="15"/>
  <c r="AF78" i="15" s="1"/>
  <c r="AG70" i="15"/>
  <c r="AF70" i="15" s="1"/>
  <c r="AG58" i="15"/>
  <c r="AF58" i="15" s="1"/>
  <c r="AH48" i="15"/>
  <c r="AH16" i="15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AJ5" i="17"/>
  <c r="L382" i="17"/>
  <c r="L381" i="17"/>
  <c r="L383" i="17"/>
  <c r="S227" i="15"/>
  <c r="R227" i="15" s="1"/>
  <c r="P227" i="15" s="1"/>
  <c r="S171" i="15"/>
  <c r="R171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39" i="15"/>
  <c r="AH275" i="15"/>
  <c r="AG211" i="15"/>
  <c r="AF211" i="15" s="1"/>
  <c r="AH141" i="15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134" i="15"/>
  <c r="R134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P38" i="15" s="1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166" i="15" l="1"/>
  <c r="V166" i="15" s="1"/>
  <c r="F166" i="15" s="1"/>
  <c r="P335" i="15"/>
  <c r="V335" i="15" s="1"/>
  <c r="F335" i="15" s="1"/>
  <c r="P46" i="15"/>
  <c r="V46" i="15" s="1"/>
  <c r="F46" i="15" s="1"/>
  <c r="AI12" i="16"/>
  <c r="P287" i="15"/>
  <c r="V287" i="15" s="1"/>
  <c r="F287" i="15" s="1"/>
  <c r="G287" i="15" s="1"/>
  <c r="BX287" i="6" s="1"/>
  <c r="P323" i="15"/>
  <c r="V323" i="15" s="1"/>
  <c r="F323" i="15" s="1"/>
  <c r="G323" i="15" s="1"/>
  <c r="BX323" i="6" s="1"/>
  <c r="P339" i="15"/>
  <c r="V339" i="15" s="1"/>
  <c r="F339" i="15" s="1"/>
  <c r="H339" i="15" s="1"/>
  <c r="P355" i="15"/>
  <c r="V355" i="15" s="1"/>
  <c r="F355" i="15" s="1"/>
  <c r="H355" i="15" s="1"/>
  <c r="P371" i="15"/>
  <c r="V371" i="15" s="1"/>
  <c r="F371" i="15" s="1"/>
  <c r="G371" i="15" s="1"/>
  <c r="BX371" i="6" s="1"/>
  <c r="P277" i="15"/>
  <c r="V277" i="15" s="1"/>
  <c r="F277" i="15" s="1"/>
  <c r="G277" i="15" s="1"/>
  <c r="BX277" i="6" s="1"/>
  <c r="P23" i="15"/>
  <c r="P16" i="15"/>
  <c r="P36" i="15"/>
  <c r="V36" i="15" s="1"/>
  <c r="F36" i="15" s="1"/>
  <c r="P44" i="15"/>
  <c r="V44" i="15" s="1"/>
  <c r="F44" i="15" s="1"/>
  <c r="P52" i="15"/>
  <c r="V52" i="15" s="1"/>
  <c r="F52" i="15" s="1"/>
  <c r="P60" i="15"/>
  <c r="D33" i="7" s="1"/>
  <c r="P19" i="15"/>
  <c r="V19" i="15" s="1"/>
  <c r="F19" i="15" s="1"/>
  <c r="G19" i="15" s="1"/>
  <c r="BX19" i="6" s="1"/>
  <c r="P207" i="15"/>
  <c r="V207" i="15" s="1"/>
  <c r="F207" i="15" s="1"/>
  <c r="H207" i="15" s="1"/>
  <c r="P211" i="15"/>
  <c r="V211" i="15" s="1"/>
  <c r="F211" i="15" s="1"/>
  <c r="H211" i="15" s="1"/>
  <c r="P275" i="15"/>
  <c r="V275" i="15" s="1"/>
  <c r="F275" i="15" s="1"/>
  <c r="H275" i="15" s="1"/>
  <c r="P327" i="15"/>
  <c r="V327" i="15" s="1"/>
  <c r="F327" i="15" s="1"/>
  <c r="H327" i="15" s="1"/>
  <c r="P359" i="15"/>
  <c r="V359" i="15" s="1"/>
  <c r="F359" i="15" s="1"/>
  <c r="H359" i="15" s="1"/>
  <c r="L38" i="19"/>
  <c r="P131" i="15"/>
  <c r="V131" i="15" s="1"/>
  <c r="F131" i="15" s="1"/>
  <c r="G131" i="15" s="1"/>
  <c r="BX131" i="6" s="1"/>
  <c r="P99" i="15"/>
  <c r="V99" i="15" s="1"/>
  <c r="F99" i="15" s="1"/>
  <c r="H99" i="15" s="1"/>
  <c r="P243" i="15"/>
  <c r="V243" i="15" s="1"/>
  <c r="F243" i="15" s="1"/>
  <c r="G243" i="15" s="1"/>
  <c r="BX243" i="6" s="1"/>
  <c r="P307" i="15"/>
  <c r="V307" i="15" s="1"/>
  <c r="F307" i="15" s="1"/>
  <c r="H307" i="15" s="1"/>
  <c r="P291" i="15"/>
  <c r="V291" i="15" s="1"/>
  <c r="F291" i="15" s="1"/>
  <c r="G291" i="15" s="1"/>
  <c r="BX291" i="6" s="1"/>
  <c r="P259" i="15"/>
  <c r="V259" i="15" s="1"/>
  <c r="F259" i="15" s="1"/>
  <c r="G259" i="15" s="1"/>
  <c r="BX259" i="6" s="1"/>
  <c r="P150" i="15"/>
  <c r="V150" i="15" s="1"/>
  <c r="F150" i="15" s="1"/>
  <c r="G150" i="15" s="1"/>
  <c r="BX150" i="6" s="1"/>
  <c r="P171" i="15"/>
  <c r="V171" i="15" s="1"/>
  <c r="AD219" i="15"/>
  <c r="AD235" i="15"/>
  <c r="AD251" i="15"/>
  <c r="AD267" i="15"/>
  <c r="AD283" i="15"/>
  <c r="AD299" i="15"/>
  <c r="AD315" i="15"/>
  <c r="AD347" i="15"/>
  <c r="P100" i="15"/>
  <c r="V100" i="15" s="1"/>
  <c r="F100" i="15" s="1"/>
  <c r="H100" i="15" s="1"/>
  <c r="P17" i="15"/>
  <c r="V17" i="15" s="1"/>
  <c r="F17" i="15" s="1"/>
  <c r="Q12" i="16"/>
  <c r="Q10" i="16" s="1"/>
  <c r="Q202" i="16" s="1"/>
  <c r="P313" i="15"/>
  <c r="V313" i="15" s="1"/>
  <c r="F313" i="15" s="1"/>
  <c r="G313" i="15" s="1"/>
  <c r="BX313" i="6" s="1"/>
  <c r="P214" i="15"/>
  <c r="V214" i="15" s="1"/>
  <c r="F214" i="15" s="1"/>
  <c r="G214" i="15" s="1"/>
  <c r="BX214" i="6" s="1"/>
  <c r="P95" i="15"/>
  <c r="V95" i="15" s="1"/>
  <c r="F95" i="15" s="1"/>
  <c r="H95" i="15" s="1"/>
  <c r="P22" i="15"/>
  <c r="V22" i="15" s="1"/>
  <c r="F22" i="15" s="1"/>
  <c r="P50" i="15"/>
  <c r="AD195" i="15"/>
  <c r="AA195" i="15" s="1"/>
  <c r="Z195" i="15" s="1"/>
  <c r="Y195" i="15" s="1"/>
  <c r="AD211" i="15"/>
  <c r="AA211" i="15" s="1"/>
  <c r="Z211" i="15" s="1"/>
  <c r="Y211" i="15" s="1"/>
  <c r="AD227" i="15"/>
  <c r="AD259" i="15"/>
  <c r="AD291" i="15"/>
  <c r="AD307" i="15"/>
  <c r="P24" i="15"/>
  <c r="V24" i="15" s="1"/>
  <c r="F24" i="15" s="1"/>
  <c r="P26" i="15"/>
  <c r="V26" i="15" s="1"/>
  <c r="F26" i="15" s="1"/>
  <c r="P42" i="15"/>
  <c r="V42" i="15" s="1"/>
  <c r="F42" i="15" s="1"/>
  <c r="P58" i="15"/>
  <c r="V58" i="15" s="1"/>
  <c r="F58" i="15" s="1"/>
  <c r="P161" i="15"/>
  <c r="V161" i="15" s="1"/>
  <c r="F161" i="15" s="1"/>
  <c r="H161" i="15" s="1"/>
  <c r="P81" i="15"/>
  <c r="V81" i="15" s="1"/>
  <c r="F81" i="15" s="1"/>
  <c r="G81" i="15" s="1"/>
  <c r="BX81" i="6" s="1"/>
  <c r="P201" i="15"/>
  <c r="V201" i="15" s="1"/>
  <c r="F201" i="15" s="1"/>
  <c r="G201" i="15" s="1"/>
  <c r="BX201" i="6" s="1"/>
  <c r="P377" i="15"/>
  <c r="V377" i="15" s="1"/>
  <c r="F377" i="15" s="1"/>
  <c r="H377" i="15" s="1"/>
  <c r="P333" i="15"/>
  <c r="D42" i="7" s="1"/>
  <c r="P203" i="15"/>
  <c r="V203" i="15" s="1"/>
  <c r="F203" i="15" s="1"/>
  <c r="H203" i="15" s="1"/>
  <c r="U12" i="16"/>
  <c r="J16" i="7"/>
  <c r="P11" i="7" s="1"/>
  <c r="U11" i="16" s="1"/>
  <c r="P54" i="15"/>
  <c r="V54" i="15" s="1"/>
  <c r="F54" i="15" s="1"/>
  <c r="P62" i="15"/>
  <c r="V62" i="15" s="1"/>
  <c r="F62" i="15" s="1"/>
  <c r="P284" i="15"/>
  <c r="V284" i="15" s="1"/>
  <c r="F284" i="15" s="1"/>
  <c r="G284" i="15" s="1"/>
  <c r="BX284" i="6" s="1"/>
  <c r="P296" i="15"/>
  <c r="V296" i="15" s="1"/>
  <c r="F296" i="15" s="1"/>
  <c r="H296" i="15" s="1"/>
  <c r="P316" i="15"/>
  <c r="V316" i="15" s="1"/>
  <c r="F316" i="15" s="1"/>
  <c r="H316" i="15" s="1"/>
  <c r="P324" i="15"/>
  <c r="V324" i="15" s="1"/>
  <c r="AD22" i="15"/>
  <c r="AD31" i="15"/>
  <c r="AA31" i="15" s="1"/>
  <c r="Z31" i="15" s="1"/>
  <c r="Y31" i="15" s="1"/>
  <c r="AD35" i="15"/>
  <c r="AD43" i="15"/>
  <c r="AD47" i="15"/>
  <c r="AA47" i="15" s="1"/>
  <c r="Z47" i="15" s="1"/>
  <c r="Y47" i="15" s="1"/>
  <c r="AD59" i="15"/>
  <c r="AD67" i="15"/>
  <c r="AD71" i="15"/>
  <c r="AD79" i="15"/>
  <c r="AA79" i="15" s="1"/>
  <c r="Z79" i="15" s="1"/>
  <c r="Y79" i="15" s="1"/>
  <c r="AD95" i="15"/>
  <c r="AA95" i="15" s="1"/>
  <c r="Z95" i="15" s="1"/>
  <c r="Y95" i="15" s="1"/>
  <c r="AD103" i="15"/>
  <c r="AD119" i="15"/>
  <c r="AD123" i="15"/>
  <c r="AD135" i="15"/>
  <c r="AD139" i="15"/>
  <c r="AA139" i="15" s="1"/>
  <c r="Z139" i="15" s="1"/>
  <c r="Y139" i="15" s="1"/>
  <c r="AD143" i="15"/>
  <c r="AD163" i="15"/>
  <c r="AD171" i="15"/>
  <c r="AD175" i="15"/>
  <c r="AA175" i="15" s="1"/>
  <c r="Z175" i="15" s="1"/>
  <c r="Y175" i="15" s="1"/>
  <c r="AD183" i="15"/>
  <c r="AD187" i="15"/>
  <c r="AD199" i="15"/>
  <c r="AA199" i="15" s="1"/>
  <c r="Z199" i="15" s="1"/>
  <c r="Y199" i="15" s="1"/>
  <c r="AD207" i="15"/>
  <c r="AA207" i="15" s="1"/>
  <c r="Z207" i="15" s="1"/>
  <c r="Y207" i="15" s="1"/>
  <c r="AD215" i="15"/>
  <c r="AD231" i="15"/>
  <c r="AD239" i="15"/>
  <c r="AA239" i="15" s="1"/>
  <c r="Z239" i="15" s="1"/>
  <c r="Y239" i="15" s="1"/>
  <c r="AD255" i="15"/>
  <c r="AA255" i="15" s="1"/>
  <c r="Z255" i="15" s="1"/>
  <c r="Y255" i="15" s="1"/>
  <c r="AD263" i="15"/>
  <c r="AA263" i="15" s="1"/>
  <c r="Z263" i="15" s="1"/>
  <c r="Y263" i="15" s="1"/>
  <c r="AD271" i="15"/>
  <c r="AD279" i="15"/>
  <c r="AD303" i="15"/>
  <c r="AA303" i="15" s="1"/>
  <c r="Z303" i="15" s="1"/>
  <c r="Y303" i="15" s="1"/>
  <c r="AD311" i="15"/>
  <c r="AD351" i="15"/>
  <c r="AA351" i="15" s="1"/>
  <c r="Z351" i="15" s="1"/>
  <c r="Y351" i="15" s="1"/>
  <c r="AD359" i="15"/>
  <c r="AD367" i="15"/>
  <c r="AA367" i="15" s="1"/>
  <c r="Z367" i="15" s="1"/>
  <c r="Y367" i="15" s="1"/>
  <c r="AD375" i="15"/>
  <c r="T379" i="15"/>
  <c r="T383" i="15" s="1"/>
  <c r="P235" i="15"/>
  <c r="V235" i="15" s="1"/>
  <c r="F235" i="15" s="1"/>
  <c r="AA235" i="15" s="1"/>
  <c r="Z235" i="15" s="1"/>
  <c r="Y235" i="15" s="1"/>
  <c r="P267" i="15"/>
  <c r="V267" i="15" s="1"/>
  <c r="F267" i="15" s="1"/>
  <c r="H267" i="15" s="1"/>
  <c r="P299" i="15"/>
  <c r="V299" i="15" s="1"/>
  <c r="F299" i="15" s="1"/>
  <c r="AI381" i="15"/>
  <c r="P163" i="15"/>
  <c r="V163" i="15" s="1"/>
  <c r="F163" i="15" s="1"/>
  <c r="H163" i="15" s="1"/>
  <c r="P143" i="15"/>
  <c r="V143" i="15" s="1"/>
  <c r="F143" i="15" s="1"/>
  <c r="G143" i="15" s="1"/>
  <c r="BX143" i="6" s="1"/>
  <c r="S43" i="15"/>
  <c r="R43" i="15" s="1"/>
  <c r="P43" i="15" s="1"/>
  <c r="V43" i="15" s="1"/>
  <c r="F43" i="15" s="1"/>
  <c r="G43" i="15" s="1"/>
  <c r="BX43" i="6" s="1"/>
  <c r="P343" i="15"/>
  <c r="V343" i="15" s="1"/>
  <c r="F343" i="15" s="1"/>
  <c r="H343" i="15" s="1"/>
  <c r="P375" i="15"/>
  <c r="V375" i="15" s="1"/>
  <c r="F375" i="15" s="1"/>
  <c r="G375" i="15" s="1"/>
  <c r="BX375" i="6" s="1"/>
  <c r="P20" i="15"/>
  <c r="V20" i="15" s="1"/>
  <c r="F20" i="15" s="1"/>
  <c r="P18" i="15"/>
  <c r="V18" i="15" s="1"/>
  <c r="F18" i="15" s="1"/>
  <c r="P223" i="15"/>
  <c r="V223" i="15" s="1"/>
  <c r="F223" i="15" s="1"/>
  <c r="H223" i="15" s="1"/>
  <c r="P271" i="15"/>
  <c r="V271" i="15" s="1"/>
  <c r="F271" i="15" s="1"/>
  <c r="P27" i="15"/>
  <c r="V27" i="15" s="1"/>
  <c r="F27" i="15" s="1"/>
  <c r="H27" i="15" s="1"/>
  <c r="P59" i="15"/>
  <c r="V59" i="15" s="1"/>
  <c r="F59" i="15" s="1"/>
  <c r="H59" i="15" s="1"/>
  <c r="P378" i="15"/>
  <c r="V378" i="15" s="1"/>
  <c r="F378" i="15" s="1"/>
  <c r="G378" i="15" s="1"/>
  <c r="BX378" i="6" s="1"/>
  <c r="P374" i="15"/>
  <c r="V374" i="15" s="1"/>
  <c r="F374" i="15" s="1"/>
  <c r="G374" i="15" s="1"/>
  <c r="BX374" i="6" s="1"/>
  <c r="P366" i="15"/>
  <c r="V366" i="15" s="1"/>
  <c r="F366" i="15" s="1"/>
  <c r="G366" i="15" s="1"/>
  <c r="BX366" i="6" s="1"/>
  <c r="P354" i="15"/>
  <c r="V354" i="15" s="1"/>
  <c r="F354" i="15" s="1"/>
  <c r="G354" i="15" s="1"/>
  <c r="BX354" i="6" s="1"/>
  <c r="P350" i="15"/>
  <c r="V350" i="15" s="1"/>
  <c r="F350" i="15" s="1"/>
  <c r="H350" i="15" s="1"/>
  <c r="P346" i="15"/>
  <c r="V346" i="15" s="1"/>
  <c r="F346" i="15" s="1"/>
  <c r="H346" i="15" s="1"/>
  <c r="P342" i="15"/>
  <c r="V342" i="15" s="1"/>
  <c r="F342" i="15" s="1"/>
  <c r="G342" i="15" s="1"/>
  <c r="BX342" i="6" s="1"/>
  <c r="P338" i="15"/>
  <c r="V338" i="15" s="1"/>
  <c r="F338" i="15" s="1"/>
  <c r="H338" i="15" s="1"/>
  <c r="P334" i="15"/>
  <c r="V334" i="15" s="1"/>
  <c r="F334" i="15" s="1"/>
  <c r="G334" i="15" s="1"/>
  <c r="BX334" i="6" s="1"/>
  <c r="P330" i="15"/>
  <c r="V330" i="15" s="1"/>
  <c r="F330" i="15" s="1"/>
  <c r="H330" i="15" s="1"/>
  <c r="P322" i="15"/>
  <c r="V322" i="15" s="1"/>
  <c r="F322" i="15" s="1"/>
  <c r="G322" i="15" s="1"/>
  <c r="BX322" i="6" s="1"/>
  <c r="P314" i="15"/>
  <c r="V314" i="15" s="1"/>
  <c r="F314" i="15" s="1"/>
  <c r="G314" i="15" s="1"/>
  <c r="BX314" i="6" s="1"/>
  <c r="P310" i="15"/>
  <c r="V310" i="15" s="1"/>
  <c r="F310" i="15" s="1"/>
  <c r="H310" i="15" s="1"/>
  <c r="P306" i="15"/>
  <c r="V306" i="15" s="1"/>
  <c r="F306" i="15" s="1"/>
  <c r="H306" i="15" s="1"/>
  <c r="P302" i="15"/>
  <c r="D41" i="7" s="1"/>
  <c r="P290" i="15"/>
  <c r="V290" i="15" s="1"/>
  <c r="F290" i="15" s="1"/>
  <c r="G290" i="15" s="1"/>
  <c r="BX290" i="6" s="1"/>
  <c r="P286" i="15"/>
  <c r="V286" i="15" s="1"/>
  <c r="F286" i="15" s="1"/>
  <c r="H286" i="15" s="1"/>
  <c r="P282" i="15"/>
  <c r="V282" i="15" s="1"/>
  <c r="F282" i="15" s="1"/>
  <c r="H282" i="15" s="1"/>
  <c r="P278" i="15"/>
  <c r="V278" i="15" s="1"/>
  <c r="F278" i="15" s="1"/>
  <c r="G278" i="15" s="1"/>
  <c r="BX278" i="6" s="1"/>
  <c r="P274" i="15"/>
  <c r="V274" i="15" s="1"/>
  <c r="F274" i="15" s="1"/>
  <c r="G274" i="15" s="1"/>
  <c r="BX274" i="6" s="1"/>
  <c r="P270" i="15"/>
  <c r="V270" i="15" s="1"/>
  <c r="F270" i="15" s="1"/>
  <c r="H270" i="15" s="1"/>
  <c r="P266" i="15"/>
  <c r="V266" i="15" s="1"/>
  <c r="F266" i="15" s="1"/>
  <c r="G266" i="15" s="1"/>
  <c r="BX266" i="6" s="1"/>
  <c r="P262" i="15"/>
  <c r="V262" i="15" s="1"/>
  <c r="F262" i="15" s="1"/>
  <c r="H262" i="15" s="1"/>
  <c r="P258" i="15"/>
  <c r="V258" i="15" s="1"/>
  <c r="F258" i="15" s="1"/>
  <c r="H258" i="15" s="1"/>
  <c r="P250" i="15"/>
  <c r="V250" i="15" s="1"/>
  <c r="F250" i="15" s="1"/>
  <c r="G250" i="15" s="1"/>
  <c r="BX250" i="6" s="1"/>
  <c r="P246" i="15"/>
  <c r="V246" i="15" s="1"/>
  <c r="F246" i="15" s="1"/>
  <c r="H246" i="15" s="1"/>
  <c r="P242" i="15"/>
  <c r="V242" i="15" s="1"/>
  <c r="F242" i="15" s="1"/>
  <c r="H242" i="15" s="1"/>
  <c r="P238" i="15"/>
  <c r="V238" i="15" s="1"/>
  <c r="F238" i="15" s="1"/>
  <c r="H238" i="15" s="1"/>
  <c r="P234" i="15"/>
  <c r="V234" i="15" s="1"/>
  <c r="F234" i="15" s="1"/>
  <c r="H234" i="15" s="1"/>
  <c r="P230" i="15"/>
  <c r="V230" i="15" s="1"/>
  <c r="F230" i="15" s="1"/>
  <c r="G230" i="15" s="1"/>
  <c r="BX230" i="6" s="1"/>
  <c r="P226" i="15"/>
  <c r="V226" i="15" s="1"/>
  <c r="F226" i="15" s="1"/>
  <c r="G226" i="15" s="1"/>
  <c r="BX226" i="6" s="1"/>
  <c r="P222" i="15"/>
  <c r="V222" i="15" s="1"/>
  <c r="F222" i="15" s="1"/>
  <c r="G222" i="15" s="1"/>
  <c r="BX222" i="6" s="1"/>
  <c r="P218" i="15"/>
  <c r="V218" i="15" s="1"/>
  <c r="F218" i="15" s="1"/>
  <c r="H218" i="15" s="1"/>
  <c r="P210" i="15"/>
  <c r="V210" i="15" s="1"/>
  <c r="F210" i="15" s="1"/>
  <c r="G210" i="15" s="1"/>
  <c r="BX210" i="6" s="1"/>
  <c r="P206" i="15"/>
  <c r="V206" i="15" s="1"/>
  <c r="F206" i="15" s="1"/>
  <c r="G206" i="15" s="1"/>
  <c r="BX206" i="6" s="1"/>
  <c r="P202" i="15"/>
  <c r="V202" i="15" s="1"/>
  <c r="F202" i="15" s="1"/>
  <c r="H202" i="15" s="1"/>
  <c r="P198" i="15"/>
  <c r="V198" i="15" s="1"/>
  <c r="F198" i="15" s="1"/>
  <c r="G198" i="15" s="1"/>
  <c r="BX198" i="6" s="1"/>
  <c r="P194" i="15"/>
  <c r="V194" i="15" s="1"/>
  <c r="F194" i="15" s="1"/>
  <c r="H194" i="15" s="1"/>
  <c r="P190" i="15"/>
  <c r="V190" i="15" s="1"/>
  <c r="F190" i="15" s="1"/>
  <c r="H190" i="15" s="1"/>
  <c r="P186" i="15"/>
  <c r="V186" i="15" s="1"/>
  <c r="F186" i="15" s="1"/>
  <c r="G186" i="15" s="1"/>
  <c r="BX186" i="6" s="1"/>
  <c r="P182" i="15"/>
  <c r="V182" i="15" s="1"/>
  <c r="F182" i="15" s="1"/>
  <c r="G182" i="15" s="1"/>
  <c r="BX182" i="6" s="1"/>
  <c r="P178" i="15"/>
  <c r="V178" i="15" s="1"/>
  <c r="F178" i="15" s="1"/>
  <c r="H178" i="15" s="1"/>
  <c r="P162" i="15"/>
  <c r="V162" i="15" s="1"/>
  <c r="F162" i="15" s="1"/>
  <c r="H162" i="15" s="1"/>
  <c r="P158" i="15"/>
  <c r="V158" i="15" s="1"/>
  <c r="F158" i="15" s="1"/>
  <c r="H158" i="15" s="1"/>
  <c r="P146" i="15"/>
  <c r="V146" i="15" s="1"/>
  <c r="F146" i="15" s="1"/>
  <c r="G146" i="15" s="1"/>
  <c r="BX146" i="6" s="1"/>
  <c r="P130" i="15"/>
  <c r="V130" i="15" s="1"/>
  <c r="F130" i="15" s="1"/>
  <c r="H130" i="15" s="1"/>
  <c r="P126" i="15"/>
  <c r="V126" i="15" s="1"/>
  <c r="F126" i="15" s="1"/>
  <c r="G126" i="15" s="1"/>
  <c r="BX126" i="6" s="1"/>
  <c r="P118" i="15"/>
  <c r="V118" i="15" s="1"/>
  <c r="F118" i="15" s="1"/>
  <c r="H118" i="15" s="1"/>
  <c r="P114" i="15"/>
  <c r="V114" i="15" s="1"/>
  <c r="F114" i="15" s="1"/>
  <c r="G114" i="15" s="1"/>
  <c r="BX114" i="6" s="1"/>
  <c r="P98" i="15"/>
  <c r="V98" i="15" s="1"/>
  <c r="F98" i="15" s="1"/>
  <c r="H98" i="15" s="1"/>
  <c r="P94" i="15"/>
  <c r="V94" i="15" s="1"/>
  <c r="F94" i="15" s="1"/>
  <c r="H94" i="15" s="1"/>
  <c r="P67" i="15"/>
  <c r="V67" i="15" s="1"/>
  <c r="F67" i="15" s="1"/>
  <c r="P245" i="15"/>
  <c r="V245" i="15" s="1"/>
  <c r="F245" i="15" s="1"/>
  <c r="H245" i="15" s="1"/>
  <c r="P349" i="15"/>
  <c r="V349" i="15" s="1"/>
  <c r="F349" i="15" s="1"/>
  <c r="H349" i="15" s="1"/>
  <c r="P87" i="15"/>
  <c r="V87" i="15" s="1"/>
  <c r="F87" i="15" s="1"/>
  <c r="G87" i="15" s="1"/>
  <c r="BX87" i="6" s="1"/>
  <c r="P103" i="15"/>
  <c r="V103" i="15" s="1"/>
  <c r="F103" i="15" s="1"/>
  <c r="G103" i="15" s="1"/>
  <c r="BX103" i="6" s="1"/>
  <c r="P119" i="15"/>
  <c r="V119" i="15" s="1"/>
  <c r="F119" i="15" s="1"/>
  <c r="P135" i="15"/>
  <c r="V135" i="15" s="1"/>
  <c r="F135" i="15" s="1"/>
  <c r="H135" i="15" s="1"/>
  <c r="P151" i="15"/>
  <c r="V151" i="15" s="1"/>
  <c r="F151" i="15" s="1"/>
  <c r="G151" i="15" s="1"/>
  <c r="BX151" i="6" s="1"/>
  <c r="P167" i="15"/>
  <c r="V167" i="15" s="1"/>
  <c r="F167" i="15" s="1"/>
  <c r="G167" i="15" s="1"/>
  <c r="BX167" i="6" s="1"/>
  <c r="P183" i="15"/>
  <c r="V183" i="15" s="1"/>
  <c r="F183" i="15" s="1"/>
  <c r="H183" i="15" s="1"/>
  <c r="P215" i="15"/>
  <c r="V215" i="15" s="1"/>
  <c r="F215" i="15" s="1"/>
  <c r="H215" i="15" s="1"/>
  <c r="P247" i="15"/>
  <c r="V247" i="15" s="1"/>
  <c r="F247" i="15" s="1"/>
  <c r="H247" i="15" s="1"/>
  <c r="P279" i="15"/>
  <c r="V279" i="15" s="1"/>
  <c r="F279" i="15" s="1"/>
  <c r="H279" i="15" s="1"/>
  <c r="P311" i="15"/>
  <c r="V311" i="15" s="1"/>
  <c r="F311" i="15" s="1"/>
  <c r="H311" i="15" s="1"/>
  <c r="P91" i="15"/>
  <c r="V91" i="15" s="1"/>
  <c r="F91" i="15" s="1"/>
  <c r="G91" i="15" s="1"/>
  <c r="BX91" i="6" s="1"/>
  <c r="P123" i="15"/>
  <c r="V123" i="15" s="1"/>
  <c r="F123" i="15" s="1"/>
  <c r="H123" i="15" s="1"/>
  <c r="P155" i="15"/>
  <c r="V155" i="15" s="1"/>
  <c r="F155" i="15" s="1"/>
  <c r="G155" i="15" s="1"/>
  <c r="BX155" i="6" s="1"/>
  <c r="P187" i="15"/>
  <c r="V187" i="15" s="1"/>
  <c r="F187" i="15" s="1"/>
  <c r="G187" i="15" s="1"/>
  <c r="BX187" i="6" s="1"/>
  <c r="P219" i="15"/>
  <c r="V219" i="15" s="1"/>
  <c r="F219" i="15" s="1"/>
  <c r="P251" i="15"/>
  <c r="V251" i="15" s="1"/>
  <c r="F251" i="15" s="1"/>
  <c r="G251" i="15" s="1"/>
  <c r="BX251" i="6" s="1"/>
  <c r="P283" i="15"/>
  <c r="V283" i="15" s="1"/>
  <c r="F283" i="15" s="1"/>
  <c r="G283" i="15" s="1"/>
  <c r="BX283" i="6" s="1"/>
  <c r="P315" i="15"/>
  <c r="V315" i="15" s="1"/>
  <c r="F315" i="15" s="1"/>
  <c r="H315" i="15" s="1"/>
  <c r="P331" i="15"/>
  <c r="V331" i="15" s="1"/>
  <c r="F331" i="15" s="1"/>
  <c r="G331" i="15" s="1"/>
  <c r="BX331" i="6" s="1"/>
  <c r="P347" i="15"/>
  <c r="V347" i="15" s="1"/>
  <c r="F347" i="15" s="1"/>
  <c r="H347" i="15" s="1"/>
  <c r="P363" i="15"/>
  <c r="V363" i="15" s="1"/>
  <c r="F363" i="15" s="1"/>
  <c r="G363" i="15" s="1"/>
  <c r="BX363" i="6" s="1"/>
  <c r="P37" i="15"/>
  <c r="V37" i="15" s="1"/>
  <c r="F37" i="15" s="1"/>
  <c r="H37" i="15" s="1"/>
  <c r="P193" i="15"/>
  <c r="V193" i="15" s="1"/>
  <c r="F193" i="15" s="1"/>
  <c r="H193" i="15" s="1"/>
  <c r="P82" i="15"/>
  <c r="V82" i="15" s="1"/>
  <c r="F82" i="15" s="1"/>
  <c r="H82" i="15" s="1"/>
  <c r="P66" i="15"/>
  <c r="V66" i="15" s="1"/>
  <c r="F66" i="15" s="1"/>
  <c r="G66" i="15" s="1"/>
  <c r="BX66" i="6" s="1"/>
  <c r="P189" i="15"/>
  <c r="V189" i="15" s="1"/>
  <c r="F189" i="15" s="1"/>
  <c r="G189" i="15" s="1"/>
  <c r="BX189" i="6" s="1"/>
  <c r="P205" i="15"/>
  <c r="V205" i="15" s="1"/>
  <c r="F205" i="15" s="1"/>
  <c r="G205" i="15" s="1"/>
  <c r="BX205" i="6" s="1"/>
  <c r="P213" i="15"/>
  <c r="V213" i="15" s="1"/>
  <c r="F213" i="15" s="1"/>
  <c r="G213" i="15" s="1"/>
  <c r="BX213" i="6" s="1"/>
  <c r="P221" i="15"/>
  <c r="V221" i="15" s="1"/>
  <c r="F221" i="15" s="1"/>
  <c r="G221" i="15" s="1"/>
  <c r="BX221" i="6" s="1"/>
  <c r="P229" i="15"/>
  <c r="V229" i="15" s="1"/>
  <c r="F229" i="15" s="1"/>
  <c r="H229" i="15" s="1"/>
  <c r="P237" i="15"/>
  <c r="V237" i="15" s="1"/>
  <c r="F237" i="15" s="1"/>
  <c r="G237" i="15" s="1"/>
  <c r="BX237" i="6" s="1"/>
  <c r="P253" i="15"/>
  <c r="V253" i="15" s="1"/>
  <c r="F253" i="15" s="1"/>
  <c r="G253" i="15" s="1"/>
  <c r="BX253" i="6" s="1"/>
  <c r="P261" i="15"/>
  <c r="V261" i="15" s="1"/>
  <c r="F261" i="15" s="1"/>
  <c r="G261" i="15" s="1"/>
  <c r="BX261" i="6" s="1"/>
  <c r="P285" i="15"/>
  <c r="V285" i="15" s="1"/>
  <c r="F285" i="15" s="1"/>
  <c r="G285" i="15" s="1"/>
  <c r="BX285" i="6" s="1"/>
  <c r="P293" i="15"/>
  <c r="V293" i="15" s="1"/>
  <c r="F293" i="15" s="1"/>
  <c r="G293" i="15" s="1"/>
  <c r="BX293" i="6" s="1"/>
  <c r="P301" i="15"/>
  <c r="V301" i="15" s="1"/>
  <c r="F301" i="15" s="1"/>
  <c r="H301" i="15" s="1"/>
  <c r="P309" i="15"/>
  <c r="V309" i="15" s="1"/>
  <c r="F309" i="15" s="1"/>
  <c r="G309" i="15" s="1"/>
  <c r="BX309" i="6" s="1"/>
  <c r="P317" i="15"/>
  <c r="V317" i="15" s="1"/>
  <c r="F317" i="15" s="1"/>
  <c r="H317" i="15" s="1"/>
  <c r="P325" i="15"/>
  <c r="V325" i="15" s="1"/>
  <c r="F325" i="15" s="1"/>
  <c r="G325" i="15" s="1"/>
  <c r="BX325" i="6" s="1"/>
  <c r="P341" i="15"/>
  <c r="V341" i="15" s="1"/>
  <c r="F341" i="15" s="1"/>
  <c r="H341" i="15" s="1"/>
  <c r="P357" i="15"/>
  <c r="V357" i="15" s="1"/>
  <c r="F357" i="15" s="1"/>
  <c r="G357" i="15" s="1"/>
  <c r="BX357" i="6" s="1"/>
  <c r="P373" i="15"/>
  <c r="V373" i="15" s="1"/>
  <c r="F373" i="15" s="1"/>
  <c r="G373" i="15" s="1"/>
  <c r="BX373" i="6" s="1"/>
  <c r="P73" i="15"/>
  <c r="V73" i="15" s="1"/>
  <c r="F73" i="15" s="1"/>
  <c r="G73" i="15" s="1"/>
  <c r="BX73" i="6" s="1"/>
  <c r="AI383" i="15"/>
  <c r="P294" i="15"/>
  <c r="V294" i="15" s="1"/>
  <c r="F294" i="15" s="1"/>
  <c r="G294" i="15" s="1"/>
  <c r="BX294" i="6" s="1"/>
  <c r="P298" i="15"/>
  <c r="V298" i="15" s="1"/>
  <c r="F298" i="15" s="1"/>
  <c r="P49" i="15"/>
  <c r="V49" i="15" s="1"/>
  <c r="F49" i="15" s="1"/>
  <c r="H49" i="15" s="1"/>
  <c r="P72" i="15"/>
  <c r="V72" i="15" s="1"/>
  <c r="F72" i="15" s="1"/>
  <c r="H72" i="15" s="1"/>
  <c r="P376" i="15"/>
  <c r="V376" i="15" s="1"/>
  <c r="F376" i="15" s="1"/>
  <c r="G376" i="15" s="1"/>
  <c r="BX376" i="6" s="1"/>
  <c r="P372" i="15"/>
  <c r="V372" i="15" s="1"/>
  <c r="F372" i="15" s="1"/>
  <c r="G372" i="15" s="1"/>
  <c r="BX372" i="6" s="1"/>
  <c r="P368" i="15"/>
  <c r="V368" i="15" s="1"/>
  <c r="F368" i="15" s="1"/>
  <c r="H368" i="15" s="1"/>
  <c r="P364" i="15"/>
  <c r="V364" i="15" s="1"/>
  <c r="F364" i="15" s="1"/>
  <c r="G364" i="15" s="1"/>
  <c r="BX364" i="6" s="1"/>
  <c r="P360" i="15"/>
  <c r="V360" i="15" s="1"/>
  <c r="F360" i="15" s="1"/>
  <c r="H360" i="15" s="1"/>
  <c r="P356" i="15"/>
  <c r="V356" i="15" s="1"/>
  <c r="F356" i="15" s="1"/>
  <c r="G356" i="15" s="1"/>
  <c r="BX356" i="6" s="1"/>
  <c r="P352" i="15"/>
  <c r="V352" i="15" s="1"/>
  <c r="F352" i="15" s="1"/>
  <c r="H352" i="15" s="1"/>
  <c r="P348" i="15"/>
  <c r="V348" i="15" s="1"/>
  <c r="F348" i="15" s="1"/>
  <c r="G348" i="15" s="1"/>
  <c r="BX348" i="6" s="1"/>
  <c r="P344" i="15"/>
  <c r="V344" i="15" s="1"/>
  <c r="F344" i="15" s="1"/>
  <c r="H344" i="15" s="1"/>
  <c r="P340" i="15"/>
  <c r="V340" i="15" s="1"/>
  <c r="F340" i="15" s="1"/>
  <c r="G340" i="15" s="1"/>
  <c r="BX340" i="6" s="1"/>
  <c r="P336" i="15"/>
  <c r="V336" i="15" s="1"/>
  <c r="F336" i="15" s="1"/>
  <c r="G336" i="15" s="1"/>
  <c r="BX336" i="6" s="1"/>
  <c r="P332" i="15"/>
  <c r="V332" i="15" s="1"/>
  <c r="F332" i="15" s="1"/>
  <c r="G332" i="15" s="1"/>
  <c r="BX332" i="6" s="1"/>
  <c r="P328" i="15"/>
  <c r="V328" i="15" s="1"/>
  <c r="F328" i="15" s="1"/>
  <c r="H328" i="15" s="1"/>
  <c r="P320" i="15"/>
  <c r="V320" i="15" s="1"/>
  <c r="F320" i="15" s="1"/>
  <c r="H320" i="15" s="1"/>
  <c r="P312" i="15"/>
  <c r="V312" i="15" s="1"/>
  <c r="F312" i="15" s="1"/>
  <c r="H312" i="15" s="1"/>
  <c r="P308" i="15"/>
  <c r="V308" i="15" s="1"/>
  <c r="F308" i="15" s="1"/>
  <c r="G308" i="15" s="1"/>
  <c r="BX308" i="6" s="1"/>
  <c r="P304" i="15"/>
  <c r="V304" i="15" s="1"/>
  <c r="F304" i="15" s="1"/>
  <c r="H304" i="15" s="1"/>
  <c r="P300" i="15"/>
  <c r="V300" i="15" s="1"/>
  <c r="F300" i="15" s="1"/>
  <c r="G300" i="15" s="1"/>
  <c r="BX300" i="6" s="1"/>
  <c r="P292" i="15"/>
  <c r="V292" i="15" s="1"/>
  <c r="F292" i="15" s="1"/>
  <c r="H292" i="15" s="1"/>
  <c r="P288" i="15"/>
  <c r="V288" i="15" s="1"/>
  <c r="P280" i="15"/>
  <c r="V280" i="15" s="1"/>
  <c r="F280" i="15" s="1"/>
  <c r="H280" i="15" s="1"/>
  <c r="P268" i="15"/>
  <c r="V268" i="15" s="1"/>
  <c r="F268" i="15" s="1"/>
  <c r="G268" i="15" s="1"/>
  <c r="BX268" i="6" s="1"/>
  <c r="P260" i="15"/>
  <c r="V260" i="15" s="1"/>
  <c r="F260" i="15" s="1"/>
  <c r="H260" i="15" s="1"/>
  <c r="P256" i="15"/>
  <c r="V256" i="15" s="1"/>
  <c r="F256" i="15" s="1"/>
  <c r="G256" i="15" s="1"/>
  <c r="BX256" i="6" s="1"/>
  <c r="P244" i="15"/>
  <c r="V244" i="15" s="1"/>
  <c r="F244" i="15" s="1"/>
  <c r="H244" i="15" s="1"/>
  <c r="P240" i="15"/>
  <c r="V240" i="15" s="1"/>
  <c r="F240" i="15" s="1"/>
  <c r="G240" i="15" s="1"/>
  <c r="BX240" i="6" s="1"/>
  <c r="P236" i="15"/>
  <c r="V236" i="15" s="1"/>
  <c r="F236" i="15" s="1"/>
  <c r="G236" i="15" s="1"/>
  <c r="BX236" i="6" s="1"/>
  <c r="P232" i="15"/>
  <c r="V232" i="15" s="1"/>
  <c r="F232" i="15" s="1"/>
  <c r="H232" i="15" s="1"/>
  <c r="P228" i="15"/>
  <c r="V228" i="15" s="1"/>
  <c r="F228" i="15" s="1"/>
  <c r="G228" i="15" s="1"/>
  <c r="BX228" i="6" s="1"/>
  <c r="P224" i="15"/>
  <c r="V224" i="15" s="1"/>
  <c r="F224" i="15" s="1"/>
  <c r="H224" i="15" s="1"/>
  <c r="P220" i="15"/>
  <c r="V220" i="15" s="1"/>
  <c r="F220" i="15" s="1"/>
  <c r="H220" i="15" s="1"/>
  <c r="P216" i="15"/>
  <c r="V216" i="15" s="1"/>
  <c r="F216" i="15" s="1"/>
  <c r="G216" i="15" s="1"/>
  <c r="BX216" i="6" s="1"/>
  <c r="P212" i="15"/>
  <c r="V212" i="15" s="1"/>
  <c r="F212" i="15" s="1"/>
  <c r="G212" i="15" s="1"/>
  <c r="BX212" i="6" s="1"/>
  <c r="P208" i="15"/>
  <c r="V208" i="15" s="1"/>
  <c r="F208" i="15" s="1"/>
  <c r="H208" i="15" s="1"/>
  <c r="P204" i="15"/>
  <c r="V204" i="15" s="1"/>
  <c r="F204" i="15" s="1"/>
  <c r="H204" i="15" s="1"/>
  <c r="P200" i="15"/>
  <c r="V200" i="15" s="1"/>
  <c r="F200" i="15" s="1"/>
  <c r="G200" i="15" s="1"/>
  <c r="BX200" i="6" s="1"/>
  <c r="P196" i="15"/>
  <c r="V196" i="15" s="1"/>
  <c r="F196" i="15" s="1"/>
  <c r="G196" i="15" s="1"/>
  <c r="BX196" i="6" s="1"/>
  <c r="P192" i="15"/>
  <c r="V192" i="15" s="1"/>
  <c r="F192" i="15" s="1"/>
  <c r="G192" i="15" s="1"/>
  <c r="BX192" i="6" s="1"/>
  <c r="P188" i="15"/>
  <c r="V188" i="15" s="1"/>
  <c r="F188" i="15" s="1"/>
  <c r="G188" i="15" s="1"/>
  <c r="BX188" i="6" s="1"/>
  <c r="P184" i="15"/>
  <c r="V184" i="15" s="1"/>
  <c r="F184" i="15" s="1"/>
  <c r="G184" i="15" s="1"/>
  <c r="BX184" i="6" s="1"/>
  <c r="P176" i="15"/>
  <c r="V176" i="15" s="1"/>
  <c r="F176" i="15" s="1"/>
  <c r="H176" i="15" s="1"/>
  <c r="P168" i="15"/>
  <c r="V168" i="15" s="1"/>
  <c r="F168" i="15" s="1"/>
  <c r="H168" i="15" s="1"/>
  <c r="P160" i="15"/>
  <c r="V160" i="15" s="1"/>
  <c r="F160" i="15" s="1"/>
  <c r="H160" i="15" s="1"/>
  <c r="P152" i="15"/>
  <c r="V152" i="15" s="1"/>
  <c r="F152" i="15" s="1"/>
  <c r="G152" i="15" s="1"/>
  <c r="BX152" i="6" s="1"/>
  <c r="P144" i="15"/>
  <c r="V144" i="15" s="1"/>
  <c r="F144" i="15" s="1"/>
  <c r="H144" i="15" s="1"/>
  <c r="P128" i="15"/>
  <c r="V128" i="15" s="1"/>
  <c r="F128" i="15" s="1"/>
  <c r="G128" i="15" s="1"/>
  <c r="BX128" i="6" s="1"/>
  <c r="P120" i="15"/>
  <c r="V120" i="15" s="1"/>
  <c r="F120" i="15" s="1"/>
  <c r="H120" i="15" s="1"/>
  <c r="P112" i="15"/>
  <c r="V112" i="15" s="1"/>
  <c r="F112" i="15" s="1"/>
  <c r="H112" i="15" s="1"/>
  <c r="P104" i="15"/>
  <c r="V104" i="15" s="1"/>
  <c r="F104" i="15" s="1"/>
  <c r="G104" i="15" s="1"/>
  <c r="BX104" i="6" s="1"/>
  <c r="P96" i="15"/>
  <c r="V96" i="15" s="1"/>
  <c r="F96" i="15" s="1"/>
  <c r="H96" i="15" s="1"/>
  <c r="P88" i="15"/>
  <c r="V88" i="15" s="1"/>
  <c r="F88" i="15" s="1"/>
  <c r="G88" i="15" s="1"/>
  <c r="BX88" i="6" s="1"/>
  <c r="P80" i="15"/>
  <c r="V80" i="15" s="1"/>
  <c r="F80" i="15" s="1"/>
  <c r="H80" i="15" s="1"/>
  <c r="P61" i="15"/>
  <c r="V61" i="15" s="1"/>
  <c r="F61" i="15" s="1"/>
  <c r="H61" i="15" s="1"/>
  <c r="P97" i="15"/>
  <c r="V97" i="15" s="1"/>
  <c r="F97" i="15" s="1"/>
  <c r="G97" i="15" s="1"/>
  <c r="BX97" i="6" s="1"/>
  <c r="P177" i="15"/>
  <c r="V177" i="15" s="1"/>
  <c r="F177" i="15" s="1"/>
  <c r="H177" i="15" s="1"/>
  <c r="P217" i="15"/>
  <c r="V217" i="15" s="1"/>
  <c r="F217" i="15" s="1"/>
  <c r="H217" i="15" s="1"/>
  <c r="P273" i="15"/>
  <c r="V273" i="15" s="1"/>
  <c r="F273" i="15" s="1"/>
  <c r="G273" i="15" s="1"/>
  <c r="BX273" i="6" s="1"/>
  <c r="P329" i="15"/>
  <c r="V329" i="15" s="1"/>
  <c r="F329" i="15" s="1"/>
  <c r="G329" i="15" s="1"/>
  <c r="BX329" i="6" s="1"/>
  <c r="P353" i="15"/>
  <c r="V353" i="15" s="1"/>
  <c r="F353" i="15" s="1"/>
  <c r="G353" i="15" s="1"/>
  <c r="BX353" i="6" s="1"/>
  <c r="P361" i="15"/>
  <c r="V361" i="15" s="1"/>
  <c r="F361" i="15" s="1"/>
  <c r="H361" i="15" s="1"/>
  <c r="P233" i="15"/>
  <c r="V233" i="15" s="1"/>
  <c r="F233" i="15" s="1"/>
  <c r="P297" i="15"/>
  <c r="V297" i="15" s="1"/>
  <c r="F297" i="15" s="1"/>
  <c r="P337" i="15"/>
  <c r="V337" i="15" s="1"/>
  <c r="F337" i="15" s="1"/>
  <c r="P345" i="15"/>
  <c r="V345" i="15" s="1"/>
  <c r="F345" i="15" s="1"/>
  <c r="G345" i="15" s="1"/>
  <c r="BX345" i="6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D53" i="15"/>
  <c r="AA53" i="15" s="1"/>
  <c r="Z53" i="15" s="1"/>
  <c r="Y53" i="15" s="1"/>
  <c r="AD57" i="15"/>
  <c r="AD65" i="15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G90" i="15" s="1"/>
  <c r="BX90" i="6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G25" i="15" s="1"/>
  <c r="BX25" i="6" s="1"/>
  <c r="P29" i="15"/>
  <c r="V29" i="15" s="1"/>
  <c r="F29" i="15" s="1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35" i="7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A201" i="15" s="1"/>
  <c r="Z201" i="15" s="1"/>
  <c r="Y201" i="15" s="1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A313" i="15" s="1"/>
  <c r="Z313" i="15" s="1"/>
  <c r="Y313" i="15" s="1"/>
  <c r="AD317" i="15"/>
  <c r="AA317" i="15" s="1"/>
  <c r="Z317" i="15" s="1"/>
  <c r="Y317" i="15" s="1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V180" i="15"/>
  <c r="F180" i="15" s="1"/>
  <c r="H180" i="15" s="1"/>
  <c r="D37" i="7"/>
  <c r="AD349" i="15"/>
  <c r="AD353" i="15"/>
  <c r="AD357" i="15"/>
  <c r="AD365" i="15"/>
  <c r="AD373" i="15"/>
  <c r="V302" i="15"/>
  <c r="F302" i="15" s="1"/>
  <c r="G302" i="15" s="1"/>
  <c r="BX302" i="6" s="1"/>
  <c r="D38" i="7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A68" i="15" s="1"/>
  <c r="Z68" i="15" s="1"/>
  <c r="Y68" i="15" s="1"/>
  <c r="AD72" i="15"/>
  <c r="AD76" i="15"/>
  <c r="AA76" i="15" s="1"/>
  <c r="Z76" i="15" s="1"/>
  <c r="Y76" i="15" s="1"/>
  <c r="AD92" i="15"/>
  <c r="AD104" i="15"/>
  <c r="AD112" i="15"/>
  <c r="AD124" i="15"/>
  <c r="AA124" i="15" s="1"/>
  <c r="Z124" i="15" s="1"/>
  <c r="Y124" i="15" s="1"/>
  <c r="AD136" i="15"/>
  <c r="AD140" i="15"/>
  <c r="AA140" i="15" s="1"/>
  <c r="Z140" i="15" s="1"/>
  <c r="Y140" i="15" s="1"/>
  <c r="AD156" i="15"/>
  <c r="AA156" i="15" s="1"/>
  <c r="Z156" i="15" s="1"/>
  <c r="Y156" i="15" s="1"/>
  <c r="AD160" i="15"/>
  <c r="AD164" i="15"/>
  <c r="AA164" i="15" s="1"/>
  <c r="Z164" i="15" s="1"/>
  <c r="Y164" i="15" s="1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AD34" i="15"/>
  <c r="AD42" i="15"/>
  <c r="AD50" i="15"/>
  <c r="AD58" i="15"/>
  <c r="AD70" i="15"/>
  <c r="AA70" i="15" s="1"/>
  <c r="Z70" i="15" s="1"/>
  <c r="Y70" i="15" s="1"/>
  <c r="AD78" i="15"/>
  <c r="AA78" i="15" s="1"/>
  <c r="Z78" i="15" s="1"/>
  <c r="Y78" i="15" s="1"/>
  <c r="AD98" i="15"/>
  <c r="AD102" i="15"/>
  <c r="AA102" i="15" s="1"/>
  <c r="Z102" i="15" s="1"/>
  <c r="Y102" i="15" s="1"/>
  <c r="AD130" i="15"/>
  <c r="AD134" i="15"/>
  <c r="AD138" i="15"/>
  <c r="AD142" i="15"/>
  <c r="AA142" i="15" s="1"/>
  <c r="Z142" i="15" s="1"/>
  <c r="Y142" i="15" s="1"/>
  <c r="AD150" i="15"/>
  <c r="AA150" i="15" s="1"/>
  <c r="Z150" i="15" s="1"/>
  <c r="Y150" i="15" s="1"/>
  <c r="AD162" i="15"/>
  <c r="AD166" i="15"/>
  <c r="AA166" i="15" s="1"/>
  <c r="Z166" i="15" s="1"/>
  <c r="Y166" i="15" s="1"/>
  <c r="AD170" i="15"/>
  <c r="AD182" i="15"/>
  <c r="AA182" i="15" s="1"/>
  <c r="Z182" i="15" s="1"/>
  <c r="Y182" i="15" s="1"/>
  <c r="AD202" i="15"/>
  <c r="AA202" i="15" s="1"/>
  <c r="Z202" i="15" s="1"/>
  <c r="Y202" i="15" s="1"/>
  <c r="AD206" i="15"/>
  <c r="AA206" i="15" s="1"/>
  <c r="Z206" i="15" s="1"/>
  <c r="Y206" i="15" s="1"/>
  <c r="AD210" i="15"/>
  <c r="AD230" i="15"/>
  <c r="AD234" i="15"/>
  <c r="AD238" i="15"/>
  <c r="AD254" i="15"/>
  <c r="AD258" i="15"/>
  <c r="AD262" i="15"/>
  <c r="AD278" i="15"/>
  <c r="AA278" i="15" s="1"/>
  <c r="Z278" i="15" s="1"/>
  <c r="Y278" i="15" s="1"/>
  <c r="AD282" i="15"/>
  <c r="AA282" i="15" s="1"/>
  <c r="Z282" i="15" s="1"/>
  <c r="Y282" i="15" s="1"/>
  <c r="AD290" i="15"/>
  <c r="AD294" i="15"/>
  <c r="AA294" i="15" s="1"/>
  <c r="Z294" i="15" s="1"/>
  <c r="Y294" i="15" s="1"/>
  <c r="AD310" i="15"/>
  <c r="AA310" i="15" s="1"/>
  <c r="Z310" i="15" s="1"/>
  <c r="Y310" i="15" s="1"/>
  <c r="AD318" i="15"/>
  <c r="AD322" i="15"/>
  <c r="AA322" i="15" s="1"/>
  <c r="Z322" i="15" s="1"/>
  <c r="Y322" i="15" s="1"/>
  <c r="AD342" i="15"/>
  <c r="AD350" i="15"/>
  <c r="AA350" i="15" s="1"/>
  <c r="Z350" i="15" s="1"/>
  <c r="Y350" i="15" s="1"/>
  <c r="AD374" i="15"/>
  <c r="AA374" i="15" s="1"/>
  <c r="Z374" i="15" s="1"/>
  <c r="Y374" i="15" s="1"/>
  <c r="AD378" i="15"/>
  <c r="AA378" i="15" s="1"/>
  <c r="Z378" i="15" s="1"/>
  <c r="Y378" i="15" s="1"/>
  <c r="AC382" i="16"/>
  <c r="AC381" i="16"/>
  <c r="AC383" i="16"/>
  <c r="O383" i="16"/>
  <c r="O382" i="16"/>
  <c r="O381" i="16"/>
  <c r="V38" i="15"/>
  <c r="F38" i="15" s="1"/>
  <c r="V50" i="15"/>
  <c r="F50" i="15" s="1"/>
  <c r="G116" i="15"/>
  <c r="BX116" i="6" s="1"/>
  <c r="H116" i="15"/>
  <c r="G124" i="15"/>
  <c r="BX124" i="6" s="1"/>
  <c r="H124" i="15"/>
  <c r="G164" i="15"/>
  <c r="BX164" i="6" s="1"/>
  <c r="H164" i="15"/>
  <c r="H214" i="15"/>
  <c r="G127" i="15"/>
  <c r="BX127" i="6" s="1"/>
  <c r="H127" i="15"/>
  <c r="AA259" i="15"/>
  <c r="Z259" i="15" s="1"/>
  <c r="Y259" i="15" s="1"/>
  <c r="G263" i="15"/>
  <c r="BX263" i="6" s="1"/>
  <c r="H263" i="15"/>
  <c r="G275" i="15"/>
  <c r="BX275" i="6" s="1"/>
  <c r="H323" i="15"/>
  <c r="G339" i="15"/>
  <c r="BX339" i="6" s="1"/>
  <c r="G355" i="15"/>
  <c r="BX355" i="6" s="1"/>
  <c r="V23" i="15"/>
  <c r="F23" i="15" s="1"/>
  <c r="V16" i="15"/>
  <c r="F16" i="15" s="1"/>
  <c r="G102" i="15"/>
  <c r="BX102" i="6" s="1"/>
  <c r="H102" i="15"/>
  <c r="G110" i="15"/>
  <c r="BX110" i="6" s="1"/>
  <c r="H110" i="15"/>
  <c r="G142" i="15"/>
  <c r="BX142" i="6" s="1"/>
  <c r="H142" i="15"/>
  <c r="G166" i="15"/>
  <c r="BX166" i="6" s="1"/>
  <c r="H166" i="15"/>
  <c r="H174" i="15"/>
  <c r="G174" i="15"/>
  <c r="BX174" i="6" s="1"/>
  <c r="G125" i="15"/>
  <c r="BX125" i="6" s="1"/>
  <c r="H125" i="15"/>
  <c r="G133" i="15"/>
  <c r="BX133" i="6" s="1"/>
  <c r="H133" i="15"/>
  <c r="G141" i="15"/>
  <c r="BX141" i="6" s="1"/>
  <c r="H141" i="15"/>
  <c r="H132" i="15"/>
  <c r="G132" i="15"/>
  <c r="BX132" i="6" s="1"/>
  <c r="G140" i="15"/>
  <c r="BX140" i="6" s="1"/>
  <c r="H140" i="15"/>
  <c r="H148" i="15"/>
  <c r="G148" i="15"/>
  <c r="BX148" i="6" s="1"/>
  <c r="G156" i="15"/>
  <c r="BX156" i="6" s="1"/>
  <c r="H156" i="15"/>
  <c r="G139" i="15"/>
  <c r="BX139" i="6" s="1"/>
  <c r="H139" i="15"/>
  <c r="G255" i="15"/>
  <c r="BX255" i="6" s="1"/>
  <c r="H255" i="15"/>
  <c r="H287" i="15"/>
  <c r="H295" i="15"/>
  <c r="G295" i="15"/>
  <c r="BX295" i="6" s="1"/>
  <c r="G303" i="15"/>
  <c r="BX303" i="6" s="1"/>
  <c r="H303" i="15"/>
  <c r="G319" i="15"/>
  <c r="BX319" i="6" s="1"/>
  <c r="H319" i="15"/>
  <c r="G335" i="15"/>
  <c r="BX335" i="6" s="1"/>
  <c r="H335" i="15"/>
  <c r="G351" i="15"/>
  <c r="BX351" i="6" s="1"/>
  <c r="H351" i="15"/>
  <c r="G70" i="15"/>
  <c r="BX70" i="6" s="1"/>
  <c r="H70" i="15"/>
  <c r="G78" i="15"/>
  <c r="BX78" i="6" s="1"/>
  <c r="H78" i="15"/>
  <c r="G86" i="15"/>
  <c r="BX86" i="6" s="1"/>
  <c r="H86" i="15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1" i="15"/>
  <c r="BX31" i="6" s="1"/>
  <c r="H31" i="15"/>
  <c r="G47" i="15"/>
  <c r="BX47" i="6" s="1"/>
  <c r="H47" i="15"/>
  <c r="H53" i="15"/>
  <c r="G53" i="15"/>
  <c r="BX53" i="6" s="1"/>
  <c r="G55" i="15"/>
  <c r="BX55" i="6" s="1"/>
  <c r="H55" i="15"/>
  <c r="G63" i="15"/>
  <c r="BX63" i="6" s="1"/>
  <c r="H63" i="15"/>
  <c r="G79" i="15"/>
  <c r="BX79" i="6" s="1"/>
  <c r="H79" i="15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1" i="15"/>
  <c r="BX191" i="6" s="1"/>
  <c r="H191" i="15"/>
  <c r="G195" i="15"/>
  <c r="BX195" i="6" s="1"/>
  <c r="H195" i="15"/>
  <c r="G199" i="15"/>
  <c r="BX199" i="6" s="1"/>
  <c r="H199" i="15"/>
  <c r="V227" i="15"/>
  <c r="H239" i="15"/>
  <c r="G239" i="15"/>
  <c r="BX239" i="6" s="1"/>
  <c r="G367" i="15"/>
  <c r="BX367" i="6" s="1"/>
  <c r="H367" i="15"/>
  <c r="H371" i="15"/>
  <c r="AK3" i="17"/>
  <c r="Q14" i="19" s="1"/>
  <c r="AG15" i="15"/>
  <c r="AG379" i="15"/>
  <c r="AF379" i="15" s="1"/>
  <c r="AD379" i="15" s="1"/>
  <c r="E11" i="1"/>
  <c r="F35" i="19" s="1"/>
  <c r="S15" i="15"/>
  <c r="H68" i="15"/>
  <c r="G68" i="15"/>
  <c r="BX68" i="6" s="1"/>
  <c r="G76" i="15"/>
  <c r="BX76" i="6" s="1"/>
  <c r="H76" i="15"/>
  <c r="G84" i="15"/>
  <c r="BX84" i="6" s="1"/>
  <c r="H84" i="15"/>
  <c r="AJ13" i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A55" i="15" s="1"/>
  <c r="Z55" i="15" s="1"/>
  <c r="Y55" i="15" s="1"/>
  <c r="AG61" i="15"/>
  <c r="AF61" i="15" s="1"/>
  <c r="AD61" i="15" s="1"/>
  <c r="AG63" i="15"/>
  <c r="AF63" i="15" s="1"/>
  <c r="AD63" i="15" s="1"/>
  <c r="AA63" i="15" s="1"/>
  <c r="Z63" i="15" s="1"/>
  <c r="Y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A191" i="15" s="1"/>
  <c r="Z191" i="15" s="1"/>
  <c r="Y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A319" i="15" s="1"/>
  <c r="Z319" i="15" s="1"/>
  <c r="Y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A84" i="15" s="1"/>
  <c r="Z84" i="15" s="1"/>
  <c r="Y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A110" i="15" s="1"/>
  <c r="Z110" i="15" s="1"/>
  <c r="Y110" i="15" s="1"/>
  <c r="AG114" i="15"/>
  <c r="AF114" i="15" s="1"/>
  <c r="AD114" i="15" s="1"/>
  <c r="AG116" i="15"/>
  <c r="AF116" i="15" s="1"/>
  <c r="AD116" i="15" s="1"/>
  <c r="AA116" i="15" s="1"/>
  <c r="Z116" i="15" s="1"/>
  <c r="Y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A132" i="15" s="1"/>
  <c r="Z132" i="15" s="1"/>
  <c r="Y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A174" i="15" s="1"/>
  <c r="Z174" i="15" s="1"/>
  <c r="Y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AA287" i="15" l="1"/>
  <c r="Z287" i="15" s="1"/>
  <c r="Y287" i="15" s="1"/>
  <c r="AA355" i="15"/>
  <c r="Z355" i="15" s="1"/>
  <c r="Y355" i="15" s="1"/>
  <c r="AA323" i="15"/>
  <c r="Z323" i="15" s="1"/>
  <c r="Y323" i="15" s="1"/>
  <c r="L39" i="19"/>
  <c r="O15" i="7"/>
  <c r="H277" i="15"/>
  <c r="J277" i="15" s="1"/>
  <c r="AA299" i="15"/>
  <c r="Z299" i="15" s="1"/>
  <c r="Y299" i="15" s="1"/>
  <c r="G327" i="15"/>
  <c r="BX327" i="6" s="1"/>
  <c r="V60" i="15"/>
  <c r="F60" i="15" s="1"/>
  <c r="AA60" i="15" s="1"/>
  <c r="Z60" i="15" s="1"/>
  <c r="Y60" i="15" s="1"/>
  <c r="H19" i="15"/>
  <c r="I19" i="15" s="1"/>
  <c r="AA19" i="15"/>
  <c r="Z19" i="15" s="1"/>
  <c r="Y19" i="15" s="1"/>
  <c r="W2" i="7"/>
  <c r="G207" i="15"/>
  <c r="BX207" i="6" s="1"/>
  <c r="AA277" i="15"/>
  <c r="Z277" i="15" s="1"/>
  <c r="Y277" i="15" s="1"/>
  <c r="AA327" i="15"/>
  <c r="Z327" i="15" s="1"/>
  <c r="Y327" i="15" s="1"/>
  <c r="G211" i="15"/>
  <c r="BX211" i="6" s="1"/>
  <c r="AA275" i="15"/>
  <c r="Z275" i="15" s="1"/>
  <c r="Y275" i="15" s="1"/>
  <c r="G359" i="15"/>
  <c r="BX359" i="6" s="1"/>
  <c r="AA359" i="15"/>
  <c r="Z359" i="15" s="1"/>
  <c r="Y359" i="15" s="1"/>
  <c r="G99" i="15"/>
  <c r="BX99" i="6" s="1"/>
  <c r="G282" i="15"/>
  <c r="BX282" i="6" s="1"/>
  <c r="AA214" i="15"/>
  <c r="Z214" i="15" s="1"/>
  <c r="Y214" i="15" s="1"/>
  <c r="AA100" i="15"/>
  <c r="Z100" i="15" s="1"/>
  <c r="Y100" i="15" s="1"/>
  <c r="AA243" i="15"/>
  <c r="Z243" i="15" s="1"/>
  <c r="Y243" i="15" s="1"/>
  <c r="H201" i="15"/>
  <c r="I201" i="15" s="1"/>
  <c r="G37" i="15"/>
  <c r="BX37" i="6" s="1"/>
  <c r="H313" i="15"/>
  <c r="I313" i="15" s="1"/>
  <c r="G349" i="15"/>
  <c r="BX349" i="6" s="1"/>
  <c r="H299" i="15"/>
  <c r="J299" i="15" s="1"/>
  <c r="G343" i="15"/>
  <c r="BX343" i="6" s="1"/>
  <c r="G247" i="15"/>
  <c r="BX247" i="6" s="1"/>
  <c r="V333" i="15"/>
  <c r="F333" i="15" s="1"/>
  <c r="G333" i="15" s="1"/>
  <c r="BX333" i="6" s="1"/>
  <c r="H114" i="15"/>
  <c r="J114" i="15" s="1"/>
  <c r="H243" i="15"/>
  <c r="J243" i="15" s="1"/>
  <c r="G203" i="15"/>
  <c r="BX203" i="6" s="1"/>
  <c r="G95" i="15"/>
  <c r="BX95" i="6" s="1"/>
  <c r="G158" i="15"/>
  <c r="BX158" i="6" s="1"/>
  <c r="AA291" i="15"/>
  <c r="Z291" i="15" s="1"/>
  <c r="Y291" i="15" s="1"/>
  <c r="H334" i="15"/>
  <c r="I334" i="15" s="1"/>
  <c r="H131" i="15"/>
  <c r="J131" i="15" s="1"/>
  <c r="G234" i="15"/>
  <c r="BX234" i="6" s="1"/>
  <c r="H150" i="15"/>
  <c r="J150" i="15" s="1"/>
  <c r="H291" i="15"/>
  <c r="J291" i="15" s="1"/>
  <c r="G262" i="15"/>
  <c r="BX262" i="6" s="1"/>
  <c r="G100" i="15"/>
  <c r="BX100" i="6" s="1"/>
  <c r="AA131" i="15"/>
  <c r="Z131" i="15" s="1"/>
  <c r="Y131" i="15" s="1"/>
  <c r="G161" i="15"/>
  <c r="BX161" i="6" s="1"/>
  <c r="H378" i="15"/>
  <c r="I378" i="15" s="1"/>
  <c r="H206" i="15"/>
  <c r="I206" i="15" s="1"/>
  <c r="AA315" i="15"/>
  <c r="Z315" i="15" s="1"/>
  <c r="Y315" i="15" s="1"/>
  <c r="AA251" i="15"/>
  <c r="Z251" i="15" s="1"/>
  <c r="Y251" i="15" s="1"/>
  <c r="AA219" i="15"/>
  <c r="Z219" i="15" s="1"/>
  <c r="Y219" i="15" s="1"/>
  <c r="AA307" i="15"/>
  <c r="Z307" i="15" s="1"/>
  <c r="Y307" i="15" s="1"/>
  <c r="AA203" i="15"/>
  <c r="Z203" i="15" s="1"/>
  <c r="Y203" i="15" s="1"/>
  <c r="AA99" i="15"/>
  <c r="Z99" i="15" s="1"/>
  <c r="Y99" i="15" s="1"/>
  <c r="G377" i="15"/>
  <c r="BX377" i="6" s="1"/>
  <c r="G296" i="15"/>
  <c r="BX296" i="6" s="1"/>
  <c r="G307" i="15"/>
  <c r="BX307" i="6" s="1"/>
  <c r="H259" i="15"/>
  <c r="J259" i="15" s="1"/>
  <c r="L37" i="19"/>
  <c r="C12" i="19"/>
  <c r="F36" i="19"/>
  <c r="Q378" i="16"/>
  <c r="Q358" i="16"/>
  <c r="AA35" i="15"/>
  <c r="Z35" i="15" s="1"/>
  <c r="Y35" i="15" s="1"/>
  <c r="AA271" i="15"/>
  <c r="Z271" i="15" s="1"/>
  <c r="Y271" i="15" s="1"/>
  <c r="Q370" i="16"/>
  <c r="Q342" i="16"/>
  <c r="Q374" i="16"/>
  <c r="Q366" i="16"/>
  <c r="Q350" i="16"/>
  <c r="Q318" i="16"/>
  <c r="Q362" i="16"/>
  <c r="Q354" i="16"/>
  <c r="Q346" i="16"/>
  <c r="Q334" i="16"/>
  <c r="Q292" i="16"/>
  <c r="AA183" i="15"/>
  <c r="Z183" i="15" s="1"/>
  <c r="Y183" i="15" s="1"/>
  <c r="H151" i="15"/>
  <c r="I151" i="15" s="1"/>
  <c r="G350" i="15"/>
  <c r="BX350" i="6" s="1"/>
  <c r="H322" i="15"/>
  <c r="I322" i="15" s="1"/>
  <c r="G190" i="15"/>
  <c r="BX190" i="6" s="1"/>
  <c r="G286" i="15"/>
  <c r="BX286" i="6" s="1"/>
  <c r="H250" i="15"/>
  <c r="J250" i="15" s="1"/>
  <c r="G218" i="15"/>
  <c r="BX218" i="6" s="1"/>
  <c r="G245" i="15"/>
  <c r="BX245" i="6" s="1"/>
  <c r="G162" i="15"/>
  <c r="BX162" i="6" s="1"/>
  <c r="H146" i="15"/>
  <c r="J146" i="15" s="1"/>
  <c r="AA347" i="15"/>
  <c r="Z347" i="15" s="1"/>
  <c r="Y347" i="15" s="1"/>
  <c r="H278" i="15"/>
  <c r="I278" i="15" s="1"/>
  <c r="AA316" i="15"/>
  <c r="Z316" i="15" s="1"/>
  <c r="Y316" i="15" s="1"/>
  <c r="AA161" i="15"/>
  <c r="Z161" i="15" s="1"/>
  <c r="Y161" i="15" s="1"/>
  <c r="Q338" i="16"/>
  <c r="Q326" i="16"/>
  <c r="Q308" i="16"/>
  <c r="Q260" i="16"/>
  <c r="AJ11" i="16"/>
  <c r="AA377" i="15"/>
  <c r="Z377" i="15" s="1"/>
  <c r="Y377" i="15" s="1"/>
  <c r="AA81" i="15"/>
  <c r="Z81" i="15" s="1"/>
  <c r="Y81" i="15" s="1"/>
  <c r="H81" i="15"/>
  <c r="I81" i="15" s="1"/>
  <c r="AA119" i="15"/>
  <c r="Z119" i="15" s="1"/>
  <c r="Y119" i="15" s="1"/>
  <c r="Q276" i="16"/>
  <c r="Q228" i="16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146" i="15"/>
  <c r="Z146" i="15" s="1"/>
  <c r="Y146" i="15" s="1"/>
  <c r="AA126" i="15"/>
  <c r="Z126" i="15" s="1"/>
  <c r="Y126" i="15" s="1"/>
  <c r="AA245" i="15"/>
  <c r="Z245" i="15" s="1"/>
  <c r="Y245" i="15" s="1"/>
  <c r="AA151" i="15"/>
  <c r="Z151" i="15" s="1"/>
  <c r="Y151" i="15" s="1"/>
  <c r="G235" i="15"/>
  <c r="BX235" i="6" s="1"/>
  <c r="G223" i="15"/>
  <c r="BX223" i="6" s="1"/>
  <c r="G183" i="15"/>
  <c r="BX183" i="6" s="1"/>
  <c r="G163" i="15"/>
  <c r="BX163" i="6" s="1"/>
  <c r="H87" i="15"/>
  <c r="I87" i="15" s="1"/>
  <c r="H366" i="15"/>
  <c r="I366" i="15" s="1"/>
  <c r="H342" i="15"/>
  <c r="J342" i="15" s="1"/>
  <c r="G310" i="15"/>
  <c r="BX310" i="6" s="1"/>
  <c r="H198" i="15"/>
  <c r="J198" i="15" s="1"/>
  <c r="H182" i="15"/>
  <c r="I182" i="15" s="1"/>
  <c r="AA311" i="15"/>
  <c r="Z311" i="15" s="1"/>
  <c r="Y311" i="15" s="1"/>
  <c r="G123" i="15"/>
  <c r="BX123" i="6" s="1"/>
  <c r="G242" i="15"/>
  <c r="BX242" i="6" s="1"/>
  <c r="H226" i="15"/>
  <c r="I226" i="15" s="1"/>
  <c r="G27" i="15"/>
  <c r="BX27" i="6" s="1"/>
  <c r="G232" i="15"/>
  <c r="BX232" i="6" s="1"/>
  <c r="H126" i="15"/>
  <c r="I126" i="15" s="1"/>
  <c r="G94" i="15"/>
  <c r="BX94" i="6" s="1"/>
  <c r="G315" i="15"/>
  <c r="BX315" i="6" s="1"/>
  <c r="G299" i="15"/>
  <c r="BX299" i="6" s="1"/>
  <c r="H251" i="15"/>
  <c r="J251" i="15" s="1"/>
  <c r="G270" i="15"/>
  <c r="BX270" i="6" s="1"/>
  <c r="AA187" i="15"/>
  <c r="Z187" i="15" s="1"/>
  <c r="Y187" i="15" s="1"/>
  <c r="H354" i="15"/>
  <c r="J354" i="15" s="1"/>
  <c r="G202" i="15"/>
  <c r="BX202" i="6" s="1"/>
  <c r="H91" i="15"/>
  <c r="J91" i="15" s="1"/>
  <c r="AA273" i="15"/>
  <c r="Z273" i="15" s="1"/>
  <c r="Y273" i="15" s="1"/>
  <c r="AA85" i="15"/>
  <c r="Z85" i="15" s="1"/>
  <c r="Y85" i="15" s="1"/>
  <c r="AA45" i="15"/>
  <c r="Z45" i="15" s="1"/>
  <c r="Y45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118" i="15"/>
  <c r="Z118" i="15" s="1"/>
  <c r="Y118" i="15" s="1"/>
  <c r="AA167" i="15"/>
  <c r="Z167" i="15" s="1"/>
  <c r="Y167" i="15" s="1"/>
  <c r="AA155" i="15"/>
  <c r="Z155" i="15" s="1"/>
  <c r="Y155" i="15" s="1"/>
  <c r="H375" i="15"/>
  <c r="I375" i="15" s="1"/>
  <c r="AA215" i="15"/>
  <c r="Z215" i="15" s="1"/>
  <c r="Y215" i="15" s="1"/>
  <c r="H155" i="15"/>
  <c r="J155" i="15" s="1"/>
  <c r="H103" i="15"/>
  <c r="I103" i="15" s="1"/>
  <c r="H43" i="15"/>
  <c r="J43" i="15" s="1"/>
  <c r="G338" i="15"/>
  <c r="BX338" i="6" s="1"/>
  <c r="H314" i="15"/>
  <c r="J314" i="15" s="1"/>
  <c r="H186" i="15"/>
  <c r="J186" i="15" s="1"/>
  <c r="H266" i="15"/>
  <c r="I266" i="15" s="1"/>
  <c r="G246" i="15"/>
  <c r="BX246" i="6" s="1"/>
  <c r="G118" i="15"/>
  <c r="BX118" i="6" s="1"/>
  <c r="H283" i="15"/>
  <c r="J283" i="15" s="1"/>
  <c r="H230" i="15"/>
  <c r="J230" i="15" s="1"/>
  <c r="D34" i="7"/>
  <c r="D43" i="7"/>
  <c r="AA279" i="15"/>
  <c r="Z279" i="15" s="1"/>
  <c r="Y279" i="15" s="1"/>
  <c r="AA135" i="15"/>
  <c r="Z135" i="15" s="1"/>
  <c r="Y135" i="15" s="1"/>
  <c r="AA334" i="15"/>
  <c r="Z334" i="15" s="1"/>
  <c r="Y334" i="15" s="1"/>
  <c r="AA296" i="15"/>
  <c r="Z296" i="15" s="1"/>
  <c r="Y296" i="15" s="1"/>
  <c r="AA286" i="15"/>
  <c r="Z286" i="15" s="1"/>
  <c r="Y286" i="15" s="1"/>
  <c r="AA242" i="15"/>
  <c r="Z242" i="15" s="1"/>
  <c r="Y242" i="15" s="1"/>
  <c r="AA198" i="15"/>
  <c r="Z198" i="15" s="1"/>
  <c r="Y198" i="15" s="1"/>
  <c r="AA114" i="15"/>
  <c r="Z114" i="15" s="1"/>
  <c r="Y114" i="15" s="1"/>
  <c r="AA94" i="15"/>
  <c r="Z94" i="15" s="1"/>
  <c r="Y94" i="15" s="1"/>
  <c r="AA343" i="15"/>
  <c r="Z343" i="15" s="1"/>
  <c r="Y343" i="15" s="1"/>
  <c r="AA247" i="15"/>
  <c r="Z247" i="15" s="1"/>
  <c r="Y247" i="15" s="1"/>
  <c r="AA223" i="15"/>
  <c r="Z223" i="15" s="1"/>
  <c r="Y223" i="15" s="1"/>
  <c r="AA87" i="15"/>
  <c r="Z87" i="15" s="1"/>
  <c r="Y87" i="15" s="1"/>
  <c r="H235" i="15"/>
  <c r="J235" i="15" s="1"/>
  <c r="H187" i="15"/>
  <c r="J187" i="15" s="1"/>
  <c r="G311" i="15"/>
  <c r="BX311" i="6" s="1"/>
  <c r="G347" i="15"/>
  <c r="BX347" i="6" s="1"/>
  <c r="AA342" i="15"/>
  <c r="Z342" i="15" s="1"/>
  <c r="Y342" i="15" s="1"/>
  <c r="AA262" i="15"/>
  <c r="Z262" i="15" s="1"/>
  <c r="Y262" i="15" s="1"/>
  <c r="AA234" i="15"/>
  <c r="Z234" i="15" s="1"/>
  <c r="Y234" i="15" s="1"/>
  <c r="AA162" i="15"/>
  <c r="Z162" i="15" s="1"/>
  <c r="Y162" i="15" s="1"/>
  <c r="AA200" i="15"/>
  <c r="Z200" i="15" s="1"/>
  <c r="Y200" i="15" s="1"/>
  <c r="AA184" i="15"/>
  <c r="Z184" i="15" s="1"/>
  <c r="Y184" i="15" s="1"/>
  <c r="AA112" i="15"/>
  <c r="Z112" i="15" s="1"/>
  <c r="Y112" i="15" s="1"/>
  <c r="AA72" i="15"/>
  <c r="Z72" i="15" s="1"/>
  <c r="Y72" i="15" s="1"/>
  <c r="AA27" i="15"/>
  <c r="Z27" i="15" s="1"/>
  <c r="Y27" i="15" s="1"/>
  <c r="AA71" i="15"/>
  <c r="Z71" i="15" s="1"/>
  <c r="Y71" i="15" s="1"/>
  <c r="AA59" i="15"/>
  <c r="Z59" i="15" s="1"/>
  <c r="Y59" i="15" s="1"/>
  <c r="AA163" i="15"/>
  <c r="Z163" i="15" s="1"/>
  <c r="Y163" i="15" s="1"/>
  <c r="AA289" i="15"/>
  <c r="Z289" i="15" s="1"/>
  <c r="Y289" i="15" s="1"/>
  <c r="AA265" i="15"/>
  <c r="Z265" i="15" s="1"/>
  <c r="Y265" i="15" s="1"/>
  <c r="AA249" i="15"/>
  <c r="Z249" i="15" s="1"/>
  <c r="Y249" i="15" s="1"/>
  <c r="AA123" i="15"/>
  <c r="Z123" i="15" s="1"/>
  <c r="Y123" i="15" s="1"/>
  <c r="G219" i="15"/>
  <c r="BX219" i="6" s="1"/>
  <c r="H219" i="15"/>
  <c r="I219" i="15" s="1"/>
  <c r="AA67" i="15"/>
  <c r="Z67" i="15" s="1"/>
  <c r="Y67" i="15" s="1"/>
  <c r="H67" i="15"/>
  <c r="J67" i="15" s="1"/>
  <c r="H271" i="15"/>
  <c r="I271" i="15" s="1"/>
  <c r="G271" i="15"/>
  <c r="BX271" i="6" s="1"/>
  <c r="AA143" i="15"/>
  <c r="Z143" i="15" s="1"/>
  <c r="Y143" i="15" s="1"/>
  <c r="H143" i="15"/>
  <c r="J143" i="15" s="1"/>
  <c r="G267" i="15"/>
  <c r="BX267" i="6" s="1"/>
  <c r="AA267" i="15"/>
  <c r="Z267" i="15" s="1"/>
  <c r="Y267" i="15" s="1"/>
  <c r="S379" i="15"/>
  <c r="R379" i="15" s="1"/>
  <c r="P379" i="15" s="1"/>
  <c r="T381" i="15"/>
  <c r="O16" i="7"/>
  <c r="T382" i="15"/>
  <c r="AA375" i="15"/>
  <c r="Z375" i="15" s="1"/>
  <c r="Y375" i="15" s="1"/>
  <c r="G215" i="15"/>
  <c r="BX215" i="6" s="1"/>
  <c r="H167" i="15"/>
  <c r="J167" i="15" s="1"/>
  <c r="AA103" i="15"/>
  <c r="Z103" i="15" s="1"/>
  <c r="Y103" i="15" s="1"/>
  <c r="G67" i="15"/>
  <c r="BX67" i="6" s="1"/>
  <c r="G59" i="15"/>
  <c r="BX59" i="6" s="1"/>
  <c r="AA43" i="15"/>
  <c r="Z43" i="15" s="1"/>
  <c r="Y43" i="15" s="1"/>
  <c r="H374" i="15"/>
  <c r="I374" i="15" s="1"/>
  <c r="G346" i="15"/>
  <c r="BX346" i="6" s="1"/>
  <c r="G330" i="15"/>
  <c r="BX330" i="6" s="1"/>
  <c r="G316" i="15"/>
  <c r="BX316" i="6" s="1"/>
  <c r="G306" i="15"/>
  <c r="BX306" i="6" s="1"/>
  <c r="G194" i="15"/>
  <c r="BX194" i="6" s="1"/>
  <c r="G279" i="15"/>
  <c r="BX279" i="6" s="1"/>
  <c r="G135" i="15"/>
  <c r="BX135" i="6" s="1"/>
  <c r="H290" i="15"/>
  <c r="I290" i="15" s="1"/>
  <c r="H274" i="15"/>
  <c r="J274" i="15" s="1"/>
  <c r="G258" i="15"/>
  <c r="BX258" i="6" s="1"/>
  <c r="H293" i="15"/>
  <c r="I293" i="15" s="1"/>
  <c r="H284" i="15"/>
  <c r="J284" i="15" s="1"/>
  <c r="G178" i="15"/>
  <c r="BX178" i="6" s="1"/>
  <c r="G130" i="15"/>
  <c r="BX130" i="6" s="1"/>
  <c r="G98" i="15"/>
  <c r="BX98" i="6" s="1"/>
  <c r="H331" i="15"/>
  <c r="I331" i="15" s="1"/>
  <c r="AA283" i="15"/>
  <c r="Z283" i="15" s="1"/>
  <c r="Y283" i="15" s="1"/>
  <c r="G238" i="15"/>
  <c r="BX238" i="6" s="1"/>
  <c r="H222" i="15"/>
  <c r="J222" i="15" s="1"/>
  <c r="AA357" i="15"/>
  <c r="Z357" i="15" s="1"/>
  <c r="Y357" i="15" s="1"/>
  <c r="AA349" i="15"/>
  <c r="Z349" i="15" s="1"/>
  <c r="Y349" i="15" s="1"/>
  <c r="D32" i="7"/>
  <c r="AA261" i="15"/>
  <c r="Z261" i="15" s="1"/>
  <c r="Y261" i="15" s="1"/>
  <c r="AA221" i="15"/>
  <c r="Z221" i="15" s="1"/>
  <c r="Y221" i="15" s="1"/>
  <c r="AA354" i="15"/>
  <c r="Z354" i="15" s="1"/>
  <c r="Y354" i="15" s="1"/>
  <c r="AA338" i="15"/>
  <c r="Z338" i="15" s="1"/>
  <c r="Y338" i="15" s="1"/>
  <c r="AA306" i="15"/>
  <c r="Z306" i="15" s="1"/>
  <c r="Y306" i="15" s="1"/>
  <c r="AA284" i="15"/>
  <c r="Z284" i="15" s="1"/>
  <c r="Y284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178" i="15"/>
  <c r="Z178" i="15" s="1"/>
  <c r="Y178" i="15" s="1"/>
  <c r="AA158" i="15"/>
  <c r="Z158" i="15" s="1"/>
  <c r="Y158" i="15" s="1"/>
  <c r="AA331" i="15"/>
  <c r="Z331" i="15" s="1"/>
  <c r="Y331" i="15" s="1"/>
  <c r="AA91" i="15"/>
  <c r="Z91" i="15" s="1"/>
  <c r="Y91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30" i="15"/>
  <c r="Z130" i="15" s="1"/>
  <c r="Y130" i="15" s="1"/>
  <c r="AA98" i="15"/>
  <c r="Z98" i="15" s="1"/>
  <c r="Y98" i="15" s="1"/>
  <c r="U10" i="16"/>
  <c r="AA376" i="15"/>
  <c r="Z376" i="15" s="1"/>
  <c r="Y376" i="15" s="1"/>
  <c r="AA352" i="15"/>
  <c r="Z352" i="15" s="1"/>
  <c r="Y352" i="15" s="1"/>
  <c r="AA304" i="15"/>
  <c r="Z304" i="15" s="1"/>
  <c r="Y304" i="15" s="1"/>
  <c r="AA260" i="15"/>
  <c r="Z260" i="15" s="1"/>
  <c r="Y260" i="15" s="1"/>
  <c r="AA228" i="15"/>
  <c r="Z228" i="15" s="1"/>
  <c r="Y228" i="15" s="1"/>
  <c r="AA188" i="15"/>
  <c r="Z188" i="15" s="1"/>
  <c r="Y188" i="15" s="1"/>
  <c r="AA144" i="15"/>
  <c r="Z144" i="15" s="1"/>
  <c r="Y144" i="15" s="1"/>
  <c r="H192" i="15"/>
  <c r="I192" i="15" s="1"/>
  <c r="H357" i="15"/>
  <c r="J357" i="15" s="1"/>
  <c r="H237" i="15"/>
  <c r="I237" i="15" s="1"/>
  <c r="H348" i="15"/>
  <c r="J348" i="15" s="1"/>
  <c r="H66" i="15"/>
  <c r="J66" i="15" s="1"/>
  <c r="H128" i="15"/>
  <c r="J128" i="15" s="1"/>
  <c r="H309" i="15"/>
  <c r="J309" i="15" s="1"/>
  <c r="H261" i="15"/>
  <c r="J261" i="15" s="1"/>
  <c r="H268" i="15"/>
  <c r="J268" i="15" s="1"/>
  <c r="H189" i="15"/>
  <c r="I189" i="15" s="1"/>
  <c r="G341" i="15"/>
  <c r="BX341" i="6" s="1"/>
  <c r="G301" i="15"/>
  <c r="BX301" i="6" s="1"/>
  <c r="H285" i="15"/>
  <c r="I285" i="15" s="1"/>
  <c r="AA361" i="15"/>
  <c r="Z361" i="15" s="1"/>
  <c r="Y361" i="15" s="1"/>
  <c r="AA329" i="15"/>
  <c r="Z329" i="15" s="1"/>
  <c r="Y329" i="15" s="1"/>
  <c r="AA325" i="15"/>
  <c r="Z325" i="15" s="1"/>
  <c r="Y325" i="15" s="1"/>
  <c r="AA205" i="15"/>
  <c r="Z205" i="15" s="1"/>
  <c r="Y205" i="15" s="1"/>
  <c r="AA193" i="15"/>
  <c r="Z193" i="15" s="1"/>
  <c r="Y193" i="15" s="1"/>
  <c r="F288" i="15"/>
  <c r="G288" i="15" s="1"/>
  <c r="BX288" i="6" s="1"/>
  <c r="G208" i="15"/>
  <c r="BX208" i="6" s="1"/>
  <c r="G80" i="15"/>
  <c r="BX80" i="6" s="1"/>
  <c r="G193" i="15"/>
  <c r="BX193" i="6" s="1"/>
  <c r="H97" i="15"/>
  <c r="I97" i="15" s="1"/>
  <c r="H364" i="15"/>
  <c r="J364" i="15" s="1"/>
  <c r="H332" i="15"/>
  <c r="I332" i="15" s="1"/>
  <c r="G320" i="15"/>
  <c r="BX320" i="6" s="1"/>
  <c r="G96" i="15"/>
  <c r="BX96" i="6" s="1"/>
  <c r="H345" i="15"/>
  <c r="I345" i="15" s="1"/>
  <c r="H329" i="15"/>
  <c r="I329" i="15" s="1"/>
  <c r="G248" i="15"/>
  <c r="BX248" i="6" s="1"/>
  <c r="H216" i="15"/>
  <c r="J216" i="15" s="1"/>
  <c r="G168" i="15"/>
  <c r="BX168" i="6" s="1"/>
  <c r="AA372" i="15"/>
  <c r="Z372" i="15" s="1"/>
  <c r="Y372" i="15" s="1"/>
  <c r="AA348" i="15"/>
  <c r="Z348" i="15" s="1"/>
  <c r="Y348" i="15" s="1"/>
  <c r="AA332" i="15"/>
  <c r="Z332" i="15" s="1"/>
  <c r="Y332" i="15" s="1"/>
  <c r="AA320" i="15"/>
  <c r="Z320" i="15" s="1"/>
  <c r="Y320" i="15" s="1"/>
  <c r="AA256" i="15"/>
  <c r="Z256" i="15" s="1"/>
  <c r="Y256" i="15" s="1"/>
  <c r="AA232" i="15"/>
  <c r="Z232" i="15" s="1"/>
  <c r="Y232" i="15" s="1"/>
  <c r="AA152" i="15"/>
  <c r="Z152" i="15" s="1"/>
  <c r="Y152" i="15" s="1"/>
  <c r="AA96" i="15"/>
  <c r="Z96" i="15" s="1"/>
  <c r="Y96" i="15" s="1"/>
  <c r="H200" i="15"/>
  <c r="I200" i="15" s="1"/>
  <c r="H184" i="15"/>
  <c r="J184" i="15" s="1"/>
  <c r="G72" i="15"/>
  <c r="BX72" i="6" s="1"/>
  <c r="H221" i="15"/>
  <c r="J221" i="15" s="1"/>
  <c r="G217" i="15"/>
  <c r="BX217" i="6" s="1"/>
  <c r="H205" i="15"/>
  <c r="J205" i="15" s="1"/>
  <c r="H73" i="15"/>
  <c r="J73" i="15" s="1"/>
  <c r="H372" i="15"/>
  <c r="I372" i="15" s="1"/>
  <c r="H356" i="15"/>
  <c r="J356" i="15" s="1"/>
  <c r="H340" i="15"/>
  <c r="J340" i="15" s="1"/>
  <c r="H308" i="15"/>
  <c r="J308" i="15" s="1"/>
  <c r="G112" i="15"/>
  <c r="BX112" i="6" s="1"/>
  <c r="G361" i="15"/>
  <c r="BX361" i="6" s="1"/>
  <c r="H325" i="15"/>
  <c r="J325" i="15" s="1"/>
  <c r="G137" i="15"/>
  <c r="BX137" i="6" s="1"/>
  <c r="H300" i="15"/>
  <c r="J300" i="15" s="1"/>
  <c r="H256" i="15"/>
  <c r="J256" i="15" s="1"/>
  <c r="H240" i="15"/>
  <c r="J240" i="15" s="1"/>
  <c r="G224" i="15"/>
  <c r="BX224" i="6" s="1"/>
  <c r="G106" i="15"/>
  <c r="BX106" i="6" s="1"/>
  <c r="H294" i="15"/>
  <c r="J294" i="15" s="1"/>
  <c r="H152" i="15"/>
  <c r="J152" i="15" s="1"/>
  <c r="AA364" i="15"/>
  <c r="Z364" i="15" s="1"/>
  <c r="Y364" i="15" s="1"/>
  <c r="AA308" i="15"/>
  <c r="Z308" i="15" s="1"/>
  <c r="Y308" i="15" s="1"/>
  <c r="AA300" i="15"/>
  <c r="Z300" i="15" s="1"/>
  <c r="Y300" i="15" s="1"/>
  <c r="AA268" i="15"/>
  <c r="Z268" i="15" s="1"/>
  <c r="Y268" i="15" s="1"/>
  <c r="AA208" i="15"/>
  <c r="Z208" i="15" s="1"/>
  <c r="Y208" i="15" s="1"/>
  <c r="AA168" i="15"/>
  <c r="Z168" i="15" s="1"/>
  <c r="Y168" i="15" s="1"/>
  <c r="AA128" i="15"/>
  <c r="Z128" i="15" s="1"/>
  <c r="Y128" i="15" s="1"/>
  <c r="AA80" i="15"/>
  <c r="Z80" i="15" s="1"/>
  <c r="Y80" i="15" s="1"/>
  <c r="AA66" i="15"/>
  <c r="Z66" i="15" s="1"/>
  <c r="Y66" i="15" s="1"/>
  <c r="AA293" i="15"/>
  <c r="Z293" i="15" s="1"/>
  <c r="Y293" i="15" s="1"/>
  <c r="AA137" i="15"/>
  <c r="Z137" i="15" s="1"/>
  <c r="Y137" i="15" s="1"/>
  <c r="G154" i="15"/>
  <c r="BX154" i="6" s="1"/>
  <c r="AA309" i="15"/>
  <c r="Z309" i="15" s="1"/>
  <c r="Y309" i="15" s="1"/>
  <c r="AA237" i="15"/>
  <c r="Z237" i="15" s="1"/>
  <c r="Y237" i="15" s="1"/>
  <c r="AA73" i="15"/>
  <c r="Z73" i="15" s="1"/>
  <c r="Y73" i="15" s="1"/>
  <c r="H373" i="15"/>
  <c r="I373" i="15" s="1"/>
  <c r="G229" i="15"/>
  <c r="BX229" i="6" s="1"/>
  <c r="H213" i="15"/>
  <c r="J213" i="15" s="1"/>
  <c r="G82" i="15"/>
  <c r="BX82" i="6" s="1"/>
  <c r="G317" i="15"/>
  <c r="BX317" i="6" s="1"/>
  <c r="H253" i="15"/>
  <c r="J253" i="15" s="1"/>
  <c r="AA82" i="15"/>
  <c r="Z82" i="15" s="1"/>
  <c r="Y82" i="15" s="1"/>
  <c r="AA229" i="15"/>
  <c r="Z229" i="15" s="1"/>
  <c r="Y229" i="15" s="1"/>
  <c r="H188" i="15"/>
  <c r="I188" i="15" s="1"/>
  <c r="G328" i="15"/>
  <c r="BX328" i="6" s="1"/>
  <c r="G312" i="15"/>
  <c r="BX312" i="6" s="1"/>
  <c r="G120" i="15"/>
  <c r="BX120" i="6" s="1"/>
  <c r="G252" i="15"/>
  <c r="BX252" i="6" s="1"/>
  <c r="G244" i="15"/>
  <c r="BX244" i="6" s="1"/>
  <c r="AA373" i="15"/>
  <c r="Z373" i="15" s="1"/>
  <c r="Y37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Q376" i="16"/>
  <c r="Q372" i="16"/>
  <c r="Q368" i="16"/>
  <c r="Q364" i="16"/>
  <c r="Q360" i="16"/>
  <c r="Q356" i="16"/>
  <c r="Q352" i="16"/>
  <c r="Q348" i="16"/>
  <c r="Q344" i="16"/>
  <c r="Q340" i="16"/>
  <c r="Q336" i="16"/>
  <c r="Q330" i="16"/>
  <c r="Q322" i="16"/>
  <c r="Q314" i="16"/>
  <c r="Q300" i="16"/>
  <c r="Q284" i="16"/>
  <c r="Q268" i="16"/>
  <c r="Q244" i="16"/>
  <c r="Q212" i="16"/>
  <c r="Q252" i="16"/>
  <c r="Q236" i="16"/>
  <c r="Q220" i="16"/>
  <c r="AA61" i="15"/>
  <c r="Z61" i="15" s="1"/>
  <c r="Y61" i="15" s="1"/>
  <c r="G360" i="15"/>
  <c r="BX360" i="6" s="1"/>
  <c r="H212" i="15"/>
  <c r="J212" i="15" s="1"/>
  <c r="AA337" i="15"/>
  <c r="Z337" i="15" s="1"/>
  <c r="Y337" i="15" s="1"/>
  <c r="AA356" i="15"/>
  <c r="Z356" i="15" s="1"/>
  <c r="Y356" i="15" s="1"/>
  <c r="AA340" i="15"/>
  <c r="Z340" i="15" s="1"/>
  <c r="Y340" i="15" s="1"/>
  <c r="AA240" i="15"/>
  <c r="Z240" i="15" s="1"/>
  <c r="Y240" i="15" s="1"/>
  <c r="AA224" i="15"/>
  <c r="Z224" i="15" s="1"/>
  <c r="Y224" i="15" s="1"/>
  <c r="AA216" i="15"/>
  <c r="Z216" i="15" s="1"/>
  <c r="Y216" i="15" s="1"/>
  <c r="AA192" i="15"/>
  <c r="Z192" i="15" s="1"/>
  <c r="Y192" i="15" s="1"/>
  <c r="AA345" i="15"/>
  <c r="Z345" i="15" s="1"/>
  <c r="Y345" i="15" s="1"/>
  <c r="AA217" i="15"/>
  <c r="Z217" i="15" s="1"/>
  <c r="Y217" i="15" s="1"/>
  <c r="AA97" i="15"/>
  <c r="Z97" i="15" s="1"/>
  <c r="Y97" i="15" s="1"/>
  <c r="G204" i="15"/>
  <c r="BX204" i="6" s="1"/>
  <c r="H376" i="15"/>
  <c r="J376" i="15" s="1"/>
  <c r="G344" i="15"/>
  <c r="BX344" i="6" s="1"/>
  <c r="H353" i="15"/>
  <c r="I353" i="15" s="1"/>
  <c r="H269" i="15"/>
  <c r="I269" i="15" s="1"/>
  <c r="G280" i="15"/>
  <c r="BX280" i="6" s="1"/>
  <c r="H228" i="15"/>
  <c r="J228" i="15" s="1"/>
  <c r="G160" i="15"/>
  <c r="BX160" i="6" s="1"/>
  <c r="H337" i="15"/>
  <c r="I337" i="15" s="1"/>
  <c r="G337" i="15"/>
  <c r="BX337" i="6" s="1"/>
  <c r="AA328" i="15"/>
  <c r="Z328" i="15" s="1"/>
  <c r="Y328" i="15" s="1"/>
  <c r="AA312" i="15"/>
  <c r="Z312" i="15" s="1"/>
  <c r="Y312" i="15" s="1"/>
  <c r="AA292" i="15"/>
  <c r="Z292" i="15" s="1"/>
  <c r="Y292" i="15" s="1"/>
  <c r="AA212" i="15"/>
  <c r="Z212" i="15" s="1"/>
  <c r="Y212" i="15" s="1"/>
  <c r="AA204" i="15"/>
  <c r="Z204" i="15" s="1"/>
  <c r="Y204" i="15" s="1"/>
  <c r="AA196" i="15"/>
  <c r="Z196" i="15" s="1"/>
  <c r="Y196" i="15" s="1"/>
  <c r="AA120" i="15"/>
  <c r="Z120" i="15" s="1"/>
  <c r="Y120" i="15" s="1"/>
  <c r="H196" i="15"/>
  <c r="J196" i="15" s="1"/>
  <c r="AH382" i="15"/>
  <c r="G177" i="15"/>
  <c r="BX177" i="6" s="1"/>
  <c r="G61" i="15"/>
  <c r="BX61" i="6" s="1"/>
  <c r="G49" i="15"/>
  <c r="BX49" i="6" s="1"/>
  <c r="Q59" i="16"/>
  <c r="Q194" i="16"/>
  <c r="Q208" i="16"/>
  <c r="Q216" i="16"/>
  <c r="Q224" i="16"/>
  <c r="Q232" i="16"/>
  <c r="Q240" i="16"/>
  <c r="Q248" i="16"/>
  <c r="Q256" i="16"/>
  <c r="Q264" i="16"/>
  <c r="Q272" i="16"/>
  <c r="Q280" i="16"/>
  <c r="Q288" i="16"/>
  <c r="Q296" i="16"/>
  <c r="Q304" i="16"/>
  <c r="Q312" i="16"/>
  <c r="Q316" i="16"/>
  <c r="Q320" i="16"/>
  <c r="Q324" i="16"/>
  <c r="Q328" i="16"/>
  <c r="Q332" i="16"/>
  <c r="Q335" i="16"/>
  <c r="Q337" i="16"/>
  <c r="Q339" i="16"/>
  <c r="Q341" i="16"/>
  <c r="Q343" i="16"/>
  <c r="Q345" i="16"/>
  <c r="Q347" i="16"/>
  <c r="Q349" i="16"/>
  <c r="Q351" i="16"/>
  <c r="Q353" i="16"/>
  <c r="Q355" i="16"/>
  <c r="Q357" i="16"/>
  <c r="Q359" i="16"/>
  <c r="Q361" i="16"/>
  <c r="Q363" i="16"/>
  <c r="Q365" i="16"/>
  <c r="Q367" i="16"/>
  <c r="Q369" i="16"/>
  <c r="Q371" i="16"/>
  <c r="Q373" i="16"/>
  <c r="Q375" i="16"/>
  <c r="Q377" i="16"/>
  <c r="Q379" i="16"/>
  <c r="P15" i="7" s="1"/>
  <c r="G368" i="15"/>
  <c r="BX368" i="6" s="1"/>
  <c r="G352" i="15"/>
  <c r="BX352" i="6" s="1"/>
  <c r="H336" i="15"/>
  <c r="I336" i="15" s="1"/>
  <c r="G304" i="15"/>
  <c r="BX304" i="6" s="1"/>
  <c r="G176" i="15"/>
  <c r="BX176" i="6" s="1"/>
  <c r="H104" i="15"/>
  <c r="J104" i="15" s="1"/>
  <c r="H321" i="15"/>
  <c r="I321" i="15" s="1"/>
  <c r="H273" i="15"/>
  <c r="J273" i="15" s="1"/>
  <c r="G145" i="15"/>
  <c r="BX145" i="6" s="1"/>
  <c r="G292" i="15"/>
  <c r="BX292" i="6" s="1"/>
  <c r="G260" i="15"/>
  <c r="BX260" i="6" s="1"/>
  <c r="H236" i="15"/>
  <c r="J236" i="15" s="1"/>
  <c r="G220" i="15"/>
  <c r="BX220" i="6" s="1"/>
  <c r="G170" i="15"/>
  <c r="BX170" i="6" s="1"/>
  <c r="H122" i="15"/>
  <c r="J122" i="15" s="1"/>
  <c r="H90" i="15"/>
  <c r="J90" i="15" s="1"/>
  <c r="H363" i="15"/>
  <c r="J363" i="15" s="1"/>
  <c r="H25" i="15"/>
  <c r="I25" i="15" s="1"/>
  <c r="G144" i="15"/>
  <c r="BX144" i="6" s="1"/>
  <c r="AA360" i="15"/>
  <c r="Z360" i="15" s="1"/>
  <c r="Y360" i="15" s="1"/>
  <c r="AA344" i="15"/>
  <c r="Z344" i="15" s="1"/>
  <c r="Y344" i="15" s="1"/>
  <c r="AA336" i="15"/>
  <c r="Z336" i="15" s="1"/>
  <c r="Y336" i="15" s="1"/>
  <c r="AA280" i="15"/>
  <c r="Z280" i="15" s="1"/>
  <c r="Y280" i="15" s="1"/>
  <c r="AA244" i="15"/>
  <c r="Z244" i="15" s="1"/>
  <c r="Y244" i="15" s="1"/>
  <c r="AA236" i="15"/>
  <c r="Z236" i="15" s="1"/>
  <c r="Y236" i="15" s="1"/>
  <c r="AA220" i="15"/>
  <c r="Z220" i="15" s="1"/>
  <c r="Y220" i="15" s="1"/>
  <c r="AA92" i="15"/>
  <c r="Z92" i="15" s="1"/>
  <c r="Y92" i="15" s="1"/>
  <c r="AA368" i="15"/>
  <c r="Z368" i="15" s="1"/>
  <c r="Y368" i="15" s="1"/>
  <c r="AA176" i="15"/>
  <c r="Z176" i="15" s="1"/>
  <c r="Y176" i="15" s="1"/>
  <c r="AA160" i="15"/>
  <c r="Z160" i="15" s="1"/>
  <c r="Y160" i="15" s="1"/>
  <c r="AA104" i="15"/>
  <c r="Z104" i="15" s="1"/>
  <c r="Y104" i="15" s="1"/>
  <c r="AA353" i="15"/>
  <c r="Z353" i="15" s="1"/>
  <c r="Y353" i="15" s="1"/>
  <c r="AA177" i="15"/>
  <c r="Z177" i="15" s="1"/>
  <c r="Y177" i="15" s="1"/>
  <c r="AA145" i="15"/>
  <c r="Z145" i="15" s="1"/>
  <c r="Y145" i="15" s="1"/>
  <c r="AA49" i="15"/>
  <c r="Z49" i="15" s="1"/>
  <c r="Y49" i="15" s="1"/>
  <c r="Q333" i="16"/>
  <c r="Q331" i="16"/>
  <c r="Q329" i="16"/>
  <c r="Q327" i="16"/>
  <c r="Q325" i="16"/>
  <c r="Q323" i="16"/>
  <c r="Q321" i="16"/>
  <c r="Q319" i="16"/>
  <c r="Q317" i="16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363" i="15"/>
  <c r="Z363" i="15" s="1"/>
  <c r="Y363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G119" i="15"/>
  <c r="BX119" i="6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G29" i="15"/>
  <c r="BX29" i="6" s="1"/>
  <c r="AA29" i="15"/>
  <c r="Z29" i="15" s="1"/>
  <c r="Y2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H119" i="15"/>
  <c r="I119" i="15" s="1"/>
  <c r="H302" i="15"/>
  <c r="J302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80" i="15"/>
  <c r="BX180" i="6" s="1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AA302" i="15"/>
  <c r="Z302" i="15" s="1"/>
  <c r="Y302" i="15" s="1"/>
  <c r="G62" i="19"/>
  <c r="H35" i="15"/>
  <c r="I35" i="15" s="1"/>
  <c r="E62" i="19"/>
  <c r="H365" i="15"/>
  <c r="I365" i="15" s="1"/>
  <c r="H165" i="15"/>
  <c r="J165" i="15" s="1"/>
  <c r="G85" i="15"/>
  <c r="BX85" i="6" s="1"/>
  <c r="H45" i="15"/>
  <c r="J45" i="15" s="1"/>
  <c r="H210" i="15"/>
  <c r="J210" i="15" s="1"/>
  <c r="AA34" i="15"/>
  <c r="Z34" i="15" s="1"/>
  <c r="Y34" i="15" s="1"/>
  <c r="G138" i="15"/>
  <c r="BX138" i="6" s="1"/>
  <c r="H62" i="19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210" i="15"/>
  <c r="Z210" i="15" s="1"/>
  <c r="Y210" i="15" s="1"/>
  <c r="H29" i="15"/>
  <c r="J29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J208" i="15"/>
  <c r="I208" i="15"/>
  <c r="I204" i="15"/>
  <c r="J204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I377" i="15"/>
  <c r="J377" i="15"/>
  <c r="I239" i="15"/>
  <c r="J239" i="15"/>
  <c r="I229" i="15"/>
  <c r="J229" i="15"/>
  <c r="J225" i="15"/>
  <c r="I225" i="15"/>
  <c r="J223" i="15"/>
  <c r="I223" i="15"/>
  <c r="J217" i="15"/>
  <c r="I217" i="15"/>
  <c r="J211" i="15"/>
  <c r="I211" i="15"/>
  <c r="J207" i="15"/>
  <c r="I207" i="15"/>
  <c r="J203" i="15"/>
  <c r="I203" i="15"/>
  <c r="J195" i="15"/>
  <c r="I195" i="15"/>
  <c r="J193" i="15"/>
  <c r="I193" i="15"/>
  <c r="I183" i="15"/>
  <c r="J183" i="15"/>
  <c r="J181" i="15"/>
  <c r="I181" i="15"/>
  <c r="I173" i="15"/>
  <c r="J173" i="15"/>
  <c r="I159" i="15"/>
  <c r="J159" i="15"/>
  <c r="I155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I95" i="15"/>
  <c r="J95" i="15"/>
  <c r="J93" i="15"/>
  <c r="I93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I47" i="15"/>
  <c r="J47" i="15"/>
  <c r="I39" i="15"/>
  <c r="J39" i="15"/>
  <c r="J31" i="15"/>
  <c r="I31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C41" i="19" s="1"/>
  <c r="AC379" i="22"/>
  <c r="I368" i="15"/>
  <c r="J368" i="15"/>
  <c r="F358" i="15"/>
  <c r="I352" i="15"/>
  <c r="J352" i="15"/>
  <c r="I346" i="15"/>
  <c r="J346" i="15"/>
  <c r="J344" i="15"/>
  <c r="I344" i="15"/>
  <c r="J328" i="15"/>
  <c r="I328" i="15"/>
  <c r="F324" i="15"/>
  <c r="J318" i="15"/>
  <c r="I318" i="15"/>
  <c r="J316" i="15"/>
  <c r="I316" i="15"/>
  <c r="I312" i="15"/>
  <c r="J312" i="15"/>
  <c r="I306" i="15"/>
  <c r="J306" i="15"/>
  <c r="J202" i="15"/>
  <c r="I202" i="15"/>
  <c r="J86" i="15"/>
  <c r="I86" i="15"/>
  <c r="J78" i="15"/>
  <c r="I78" i="15"/>
  <c r="I70" i="15"/>
  <c r="J70" i="15"/>
  <c r="I351" i="15"/>
  <c r="J351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J139" i="15"/>
  <c r="I139" i="15"/>
  <c r="J135" i="15"/>
  <c r="I135" i="15"/>
  <c r="J123" i="15"/>
  <c r="I123" i="15"/>
  <c r="J282" i="15"/>
  <c r="I282" i="15"/>
  <c r="J234" i="15"/>
  <c r="I234" i="15"/>
  <c r="I156" i="15"/>
  <c r="J156" i="15"/>
  <c r="I140" i="15"/>
  <c r="J140" i="15"/>
  <c r="J132" i="15"/>
  <c r="I132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17" i="15"/>
  <c r="J317" i="15"/>
  <c r="J301" i="15"/>
  <c r="I301" i="15"/>
  <c r="I257" i="15"/>
  <c r="J257" i="15"/>
  <c r="I149" i="15"/>
  <c r="J149" i="15"/>
  <c r="J145" i="15"/>
  <c r="I145" i="15"/>
  <c r="J133" i="15"/>
  <c r="I133" i="15"/>
  <c r="I296" i="15"/>
  <c r="J296" i="15"/>
  <c r="I292" i="15"/>
  <c r="J292" i="15"/>
  <c r="J280" i="15"/>
  <c r="I280" i="15"/>
  <c r="J276" i="15"/>
  <c r="I276" i="15"/>
  <c r="I248" i="15"/>
  <c r="J248" i="15"/>
  <c r="I244" i="15"/>
  <c r="J244" i="15"/>
  <c r="J224" i="15"/>
  <c r="I224" i="15"/>
  <c r="J220" i="15"/>
  <c r="I220" i="15"/>
  <c r="I178" i="15"/>
  <c r="J178" i="15"/>
  <c r="I162" i="15"/>
  <c r="J162" i="15"/>
  <c r="J154" i="15"/>
  <c r="I154" i="15"/>
  <c r="I134" i="15"/>
  <c r="J134" i="15"/>
  <c r="I130" i="15"/>
  <c r="J130" i="15"/>
  <c r="J355" i="15"/>
  <c r="I355" i="15"/>
  <c r="I347" i="15"/>
  <c r="J347" i="15"/>
  <c r="J339" i="15"/>
  <c r="I339" i="15"/>
  <c r="J323" i="15"/>
  <c r="I323" i="15"/>
  <c r="I307" i="15"/>
  <c r="J307" i="15"/>
  <c r="I275" i="15"/>
  <c r="J275" i="15"/>
  <c r="I127" i="15"/>
  <c r="J127" i="15"/>
  <c r="J214" i="15"/>
  <c r="I214" i="15"/>
  <c r="J168" i="15"/>
  <c r="I168" i="15"/>
  <c r="I164" i="15"/>
  <c r="J164" i="15"/>
  <c r="I160" i="15"/>
  <c r="J160" i="15"/>
  <c r="I116" i="15"/>
  <c r="J116" i="15"/>
  <c r="AG382" i="15"/>
  <c r="AF17" i="15"/>
  <c r="I84" i="15"/>
  <c r="J84" i="15"/>
  <c r="J80" i="15"/>
  <c r="I80" i="15"/>
  <c r="J76" i="15"/>
  <c r="I76" i="15"/>
  <c r="J68" i="15"/>
  <c r="I68" i="15"/>
  <c r="R15" i="15"/>
  <c r="J371" i="15"/>
  <c r="I371" i="15"/>
  <c r="J369" i="15"/>
  <c r="I369" i="15"/>
  <c r="I367" i="15"/>
  <c r="J367" i="15"/>
  <c r="I231" i="15"/>
  <c r="J231" i="15"/>
  <c r="F227" i="15"/>
  <c r="J215" i="15"/>
  <c r="I215" i="15"/>
  <c r="J199" i="15"/>
  <c r="I199" i="15"/>
  <c r="F197" i="15"/>
  <c r="J191" i="15"/>
  <c r="I191" i="15"/>
  <c r="J179" i="15"/>
  <c r="I179" i="15"/>
  <c r="I177" i="15"/>
  <c r="J177" i="15"/>
  <c r="J175" i="15"/>
  <c r="I175" i="15"/>
  <c r="F171" i="15"/>
  <c r="I163" i="15"/>
  <c r="J163" i="15"/>
  <c r="I161" i="15"/>
  <c r="J161" i="15"/>
  <c r="J157" i="15"/>
  <c r="I157" i="15"/>
  <c r="J117" i="15"/>
  <c r="I117" i="15"/>
  <c r="J115" i="15"/>
  <c r="I115" i="15"/>
  <c r="J107" i="15"/>
  <c r="I107" i="15"/>
  <c r="J63" i="15"/>
  <c r="I63" i="15"/>
  <c r="J59" i="15"/>
  <c r="I59" i="15"/>
  <c r="J55" i="15"/>
  <c r="I55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AA362" i="15"/>
  <c r="Z362" i="15" s="1"/>
  <c r="Y362" i="15" s="1"/>
  <c r="H362" i="15"/>
  <c r="G362" i="15"/>
  <c r="BX362" i="6" s="1"/>
  <c r="I360" i="15"/>
  <c r="J360" i="15"/>
  <c r="J350" i="15"/>
  <c r="I350" i="15"/>
  <c r="J338" i="15"/>
  <c r="I338" i="15"/>
  <c r="J330" i="15"/>
  <c r="I330" i="15"/>
  <c r="J320" i="15"/>
  <c r="I320" i="15"/>
  <c r="J310" i="15"/>
  <c r="I310" i="15"/>
  <c r="I304" i="15"/>
  <c r="J304" i="15"/>
  <c r="J194" i="15"/>
  <c r="I194" i="15"/>
  <c r="J190" i="15"/>
  <c r="I190" i="15"/>
  <c r="J82" i="15"/>
  <c r="I82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J319" i="15"/>
  <c r="I319" i="15"/>
  <c r="I311" i="15"/>
  <c r="J311" i="15"/>
  <c r="J255" i="15"/>
  <c r="I255" i="15"/>
  <c r="J147" i="15"/>
  <c r="I147" i="15"/>
  <c r="J286" i="15"/>
  <c r="I286" i="15"/>
  <c r="J258" i="15"/>
  <c r="I258" i="15"/>
  <c r="I246" i="15"/>
  <c r="J246" i="15"/>
  <c r="J242" i="15"/>
  <c r="I242" i="15"/>
  <c r="I218" i="15"/>
  <c r="J218" i="15"/>
  <c r="J180" i="15"/>
  <c r="I180" i="15"/>
  <c r="I176" i="15"/>
  <c r="J176" i="15"/>
  <c r="J172" i="15"/>
  <c r="I172" i="15"/>
  <c r="J148" i="15"/>
  <c r="I148" i="15"/>
  <c r="I112" i="15"/>
  <c r="J112" i="15"/>
  <c r="J361" i="15"/>
  <c r="I361" i="15"/>
  <c r="I349" i="15"/>
  <c r="J349" i="15"/>
  <c r="I341" i="15"/>
  <c r="J341" i="15"/>
  <c r="J305" i="15"/>
  <c r="I305" i="15"/>
  <c r="J281" i="15"/>
  <c r="I281" i="15"/>
  <c r="J245" i="15"/>
  <c r="I245" i="15"/>
  <c r="J141" i="15"/>
  <c r="I141" i="15"/>
  <c r="I137" i="15"/>
  <c r="J137" i="15"/>
  <c r="J125" i="15"/>
  <c r="I125" i="15"/>
  <c r="I27" i="15"/>
  <c r="J27" i="15"/>
  <c r="F264" i="15"/>
  <c r="I260" i="15"/>
  <c r="J260" i="15"/>
  <c r="J252" i="15"/>
  <c r="I252" i="15"/>
  <c r="J232" i="15"/>
  <c r="I232" i="15"/>
  <c r="J174" i="15"/>
  <c r="I174" i="15"/>
  <c r="J170" i="15"/>
  <c r="I170" i="15"/>
  <c r="J166" i="15"/>
  <c r="I166" i="15"/>
  <c r="J158" i="15"/>
  <c r="I158" i="15"/>
  <c r="J142" i="15"/>
  <c r="I142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I315" i="15"/>
  <c r="J315" i="15"/>
  <c r="J267" i="15"/>
  <c r="I267" i="15"/>
  <c r="I263" i="15"/>
  <c r="J263" i="15"/>
  <c r="J270" i="15"/>
  <c r="I270" i="15"/>
  <c r="I262" i="15"/>
  <c r="J262" i="15"/>
  <c r="I238" i="15"/>
  <c r="J238" i="15"/>
  <c r="I144" i="15"/>
  <c r="J144" i="15"/>
  <c r="J124" i="15"/>
  <c r="I124" i="15"/>
  <c r="J100" i="15"/>
  <c r="I100" i="15"/>
  <c r="J19" i="15" l="1"/>
  <c r="J219" i="15"/>
  <c r="I277" i="15"/>
  <c r="H60" i="15"/>
  <c r="J60" i="15" s="1"/>
  <c r="S382" i="15"/>
  <c r="AA333" i="15"/>
  <c r="Z333" i="15" s="1"/>
  <c r="Y333" i="15" s="1"/>
  <c r="I131" i="15"/>
  <c r="G60" i="15"/>
  <c r="BX60" i="6" s="1"/>
  <c r="J313" i="15"/>
  <c r="J201" i="15"/>
  <c r="S381" i="15"/>
  <c r="L40" i="19"/>
  <c r="I243" i="15"/>
  <c r="I198" i="15"/>
  <c r="J378" i="15"/>
  <c r="H333" i="15"/>
  <c r="I333" i="15" s="1"/>
  <c r="I114" i="15"/>
  <c r="I150" i="15"/>
  <c r="I299" i="15"/>
  <c r="I291" i="15"/>
  <c r="I143" i="15"/>
  <c r="J334" i="15"/>
  <c r="J206" i="15"/>
  <c r="J322" i="15"/>
  <c r="I259" i="15"/>
  <c r="J366" i="15"/>
  <c r="I91" i="15"/>
  <c r="J151" i="15"/>
  <c r="J103" i="15"/>
  <c r="I187" i="15"/>
  <c r="V379" i="15"/>
  <c r="F379" i="15" s="1"/>
  <c r="AA379" i="15" s="1"/>
  <c r="Z379" i="15" s="1"/>
  <c r="Y379" i="15" s="1"/>
  <c r="D36" i="19"/>
  <c r="I230" i="15"/>
  <c r="J226" i="15"/>
  <c r="J182" i="15"/>
  <c r="AA288" i="15"/>
  <c r="Z288" i="15" s="1"/>
  <c r="Y288" i="15" s="1"/>
  <c r="G379" i="15"/>
  <c r="BX379" i="6" s="1"/>
  <c r="J81" i="15"/>
  <c r="I283" i="15"/>
  <c r="Q12" i="17"/>
  <c r="U15" i="7" s="1"/>
  <c r="I251" i="15"/>
  <c r="J126" i="15"/>
  <c r="I284" i="15"/>
  <c r="I250" i="15"/>
  <c r="I186" i="15"/>
  <c r="I342" i="15"/>
  <c r="J374" i="15"/>
  <c r="I67" i="15"/>
  <c r="J87" i="15"/>
  <c r="J278" i="15"/>
  <c r="I146" i="15"/>
  <c r="J331" i="15"/>
  <c r="J290" i="15"/>
  <c r="I196" i="15"/>
  <c r="I354" i="15"/>
  <c r="J375" i="15"/>
  <c r="I314" i="15"/>
  <c r="J266" i="15"/>
  <c r="I43" i="15"/>
  <c r="I222" i="15"/>
  <c r="J271" i="15"/>
  <c r="I235" i="15"/>
  <c r="J293" i="15"/>
  <c r="I274" i="15"/>
  <c r="I167" i="15"/>
  <c r="Q16" i="7"/>
  <c r="AI18" i="16"/>
  <c r="AH18" i="16" s="1"/>
  <c r="AG18" i="16" s="1"/>
  <c r="AF18" i="16" s="1"/>
  <c r="AI16" i="16"/>
  <c r="AH16" i="16" s="1"/>
  <c r="AG16" i="16" s="1"/>
  <c r="AF16" i="16" s="1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G29" i="16" s="1"/>
  <c r="AF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G53" i="16" s="1"/>
  <c r="AF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AI63" i="16"/>
  <c r="AH63" i="16" s="1"/>
  <c r="AG63" i="16" s="1"/>
  <c r="AF63" i="16" s="1"/>
  <c r="AI65" i="16"/>
  <c r="AH65" i="16" s="1"/>
  <c r="AG65" i="16" s="1"/>
  <c r="AF65" i="16" s="1"/>
  <c r="AI67" i="16"/>
  <c r="AH67" i="16" s="1"/>
  <c r="AG67" i="16" s="1"/>
  <c r="AF67" i="16" s="1"/>
  <c r="AI69" i="16"/>
  <c r="AH69" i="16" s="1"/>
  <c r="AG69" i="16" s="1"/>
  <c r="AF69" i="16" s="1"/>
  <c r="AI71" i="16"/>
  <c r="AH71" i="16" s="1"/>
  <c r="AG71" i="16" s="1"/>
  <c r="AF71" i="16" s="1"/>
  <c r="AI73" i="16"/>
  <c r="AH73" i="16" s="1"/>
  <c r="AG73" i="16" s="1"/>
  <c r="AF73" i="16" s="1"/>
  <c r="AI75" i="16"/>
  <c r="AH75" i="16" s="1"/>
  <c r="AG75" i="16" s="1"/>
  <c r="AF75" i="16" s="1"/>
  <c r="AI77" i="16"/>
  <c r="AH77" i="16" s="1"/>
  <c r="AG77" i="16" s="1"/>
  <c r="AF77" i="16" s="1"/>
  <c r="AI79" i="16"/>
  <c r="AH79" i="16" s="1"/>
  <c r="AG79" i="16" s="1"/>
  <c r="AF79" i="16" s="1"/>
  <c r="AI81" i="16"/>
  <c r="AH81" i="16" s="1"/>
  <c r="AG81" i="16" s="1"/>
  <c r="AF81" i="16" s="1"/>
  <c r="AI83" i="16"/>
  <c r="AH83" i="16" s="1"/>
  <c r="AG83" i="16" s="1"/>
  <c r="AF83" i="16" s="1"/>
  <c r="AI85" i="16"/>
  <c r="AH85" i="16" s="1"/>
  <c r="AG85" i="16" s="1"/>
  <c r="AF85" i="16" s="1"/>
  <c r="AI87" i="16"/>
  <c r="AH87" i="16" s="1"/>
  <c r="AG87" i="16" s="1"/>
  <c r="AF87" i="16" s="1"/>
  <c r="AI89" i="16"/>
  <c r="AH89" i="16" s="1"/>
  <c r="AG89" i="16" s="1"/>
  <c r="AF89" i="16" s="1"/>
  <c r="AI91" i="16"/>
  <c r="AH91" i="16" s="1"/>
  <c r="AG91" i="16" s="1"/>
  <c r="AF91" i="16" s="1"/>
  <c r="AI93" i="16"/>
  <c r="AH93" i="16" s="1"/>
  <c r="AG93" i="16" s="1"/>
  <c r="AF93" i="16" s="1"/>
  <c r="AI95" i="16"/>
  <c r="AH95" i="16" s="1"/>
  <c r="AG95" i="16" s="1"/>
  <c r="AF95" i="16" s="1"/>
  <c r="AI97" i="16"/>
  <c r="AH97" i="16" s="1"/>
  <c r="AG97" i="16" s="1"/>
  <c r="AF97" i="16" s="1"/>
  <c r="AI99" i="16"/>
  <c r="AH99" i="16" s="1"/>
  <c r="AG99" i="16" s="1"/>
  <c r="AF99" i="16" s="1"/>
  <c r="AI101" i="16"/>
  <c r="AH101" i="16" s="1"/>
  <c r="AG101" i="16" s="1"/>
  <c r="AF101" i="16" s="1"/>
  <c r="AI103" i="16"/>
  <c r="AH103" i="16" s="1"/>
  <c r="AG103" i="16" s="1"/>
  <c r="AF103" i="16" s="1"/>
  <c r="AI105" i="16"/>
  <c r="AH105" i="16" s="1"/>
  <c r="AG105" i="16" s="1"/>
  <c r="AF105" i="16" s="1"/>
  <c r="AI107" i="16"/>
  <c r="AH107" i="16" s="1"/>
  <c r="AG107" i="16" s="1"/>
  <c r="AF107" i="16" s="1"/>
  <c r="AI109" i="16"/>
  <c r="AH109" i="16" s="1"/>
  <c r="AG109" i="16" s="1"/>
  <c r="AF109" i="16" s="1"/>
  <c r="AI111" i="16"/>
  <c r="AH111" i="16" s="1"/>
  <c r="AG111" i="16" s="1"/>
  <c r="AF111" i="16" s="1"/>
  <c r="AI113" i="16"/>
  <c r="AH113" i="16" s="1"/>
  <c r="AG113" i="16" s="1"/>
  <c r="AF113" i="16" s="1"/>
  <c r="AI115" i="16"/>
  <c r="AH115" i="16" s="1"/>
  <c r="AG115" i="16" s="1"/>
  <c r="AF115" i="16" s="1"/>
  <c r="AI117" i="16"/>
  <c r="AH117" i="16" s="1"/>
  <c r="AG117" i="16" s="1"/>
  <c r="AF117" i="16" s="1"/>
  <c r="AI119" i="16"/>
  <c r="AH119" i="16" s="1"/>
  <c r="AG119" i="16" s="1"/>
  <c r="AF119" i="16" s="1"/>
  <c r="AI121" i="16"/>
  <c r="AH121" i="16" s="1"/>
  <c r="AG121" i="16" s="1"/>
  <c r="AF121" i="16" s="1"/>
  <c r="AI123" i="16"/>
  <c r="AH123" i="16" s="1"/>
  <c r="AG123" i="16" s="1"/>
  <c r="AF123" i="16" s="1"/>
  <c r="AI125" i="16"/>
  <c r="AH125" i="16" s="1"/>
  <c r="AG125" i="16" s="1"/>
  <c r="AF125" i="16" s="1"/>
  <c r="AI127" i="16"/>
  <c r="AH127" i="16" s="1"/>
  <c r="AG127" i="16" s="1"/>
  <c r="AF127" i="16" s="1"/>
  <c r="AI129" i="16"/>
  <c r="AH129" i="16" s="1"/>
  <c r="AG129" i="16" s="1"/>
  <c r="AF129" i="16" s="1"/>
  <c r="AI131" i="16"/>
  <c r="AH131" i="16" s="1"/>
  <c r="AG131" i="16" s="1"/>
  <c r="AF131" i="16" s="1"/>
  <c r="AI133" i="16"/>
  <c r="AH133" i="16" s="1"/>
  <c r="AG133" i="16" s="1"/>
  <c r="AF133" i="16" s="1"/>
  <c r="AI135" i="16"/>
  <c r="AH135" i="16" s="1"/>
  <c r="AG135" i="16" s="1"/>
  <c r="AF135" i="16" s="1"/>
  <c r="AI137" i="16"/>
  <c r="AH137" i="16" s="1"/>
  <c r="AG137" i="16" s="1"/>
  <c r="AF137" i="16" s="1"/>
  <c r="AI139" i="16"/>
  <c r="AH139" i="16" s="1"/>
  <c r="AG139" i="16" s="1"/>
  <c r="AF139" i="16" s="1"/>
  <c r="AI141" i="16"/>
  <c r="AH141" i="16" s="1"/>
  <c r="AG141" i="16" s="1"/>
  <c r="AF141" i="16" s="1"/>
  <c r="AI143" i="16"/>
  <c r="AH143" i="16" s="1"/>
  <c r="AG143" i="16" s="1"/>
  <c r="AF143" i="16" s="1"/>
  <c r="AI145" i="16"/>
  <c r="AH145" i="16" s="1"/>
  <c r="AG145" i="16" s="1"/>
  <c r="AF145" i="16" s="1"/>
  <c r="AI147" i="16"/>
  <c r="AH147" i="16" s="1"/>
  <c r="AG147" i="16" s="1"/>
  <c r="AF147" i="16" s="1"/>
  <c r="AI149" i="16"/>
  <c r="AH149" i="16" s="1"/>
  <c r="AG149" i="16" s="1"/>
  <c r="AF149" i="16" s="1"/>
  <c r="AI151" i="16"/>
  <c r="AH151" i="16" s="1"/>
  <c r="AG151" i="16" s="1"/>
  <c r="AF151" i="16" s="1"/>
  <c r="AI153" i="16"/>
  <c r="AH153" i="16" s="1"/>
  <c r="AG153" i="16" s="1"/>
  <c r="AF153" i="16" s="1"/>
  <c r="AI155" i="16"/>
  <c r="AH155" i="16" s="1"/>
  <c r="AG155" i="16" s="1"/>
  <c r="AF155" i="16" s="1"/>
  <c r="AI157" i="16"/>
  <c r="AH157" i="16" s="1"/>
  <c r="AG157" i="16" s="1"/>
  <c r="AF157" i="16" s="1"/>
  <c r="AI159" i="16"/>
  <c r="AH159" i="16" s="1"/>
  <c r="AG159" i="16" s="1"/>
  <c r="AF159" i="16" s="1"/>
  <c r="AI161" i="16"/>
  <c r="AH161" i="16" s="1"/>
  <c r="AG161" i="16" s="1"/>
  <c r="AF161" i="16" s="1"/>
  <c r="AI163" i="16"/>
  <c r="AH163" i="16" s="1"/>
  <c r="AG163" i="16" s="1"/>
  <c r="AF163" i="16" s="1"/>
  <c r="AI165" i="16"/>
  <c r="AH165" i="16" s="1"/>
  <c r="AG165" i="16" s="1"/>
  <c r="AF165" i="16" s="1"/>
  <c r="AI167" i="16"/>
  <c r="AH167" i="16" s="1"/>
  <c r="AG167" i="16" s="1"/>
  <c r="AF167" i="16" s="1"/>
  <c r="AI169" i="16"/>
  <c r="AH169" i="16" s="1"/>
  <c r="AG169" i="16" s="1"/>
  <c r="AF169" i="16" s="1"/>
  <c r="AI171" i="16"/>
  <c r="AH171" i="16" s="1"/>
  <c r="AG171" i="16" s="1"/>
  <c r="AF171" i="16" s="1"/>
  <c r="AI173" i="16"/>
  <c r="AH173" i="16" s="1"/>
  <c r="AG173" i="16" s="1"/>
  <c r="AF173" i="16" s="1"/>
  <c r="AI15" i="16"/>
  <c r="AI20" i="16"/>
  <c r="AH20" i="16" s="1"/>
  <c r="AG20" i="16" s="1"/>
  <c r="AF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44" i="16"/>
  <c r="AH44" i="16" s="1"/>
  <c r="AG44" i="16" s="1"/>
  <c r="AF44" i="16" s="1"/>
  <c r="AI48" i="16"/>
  <c r="AH48" i="16" s="1"/>
  <c r="AG48" i="16" s="1"/>
  <c r="AF48" i="16" s="1"/>
  <c r="AI52" i="16"/>
  <c r="AH52" i="16" s="1"/>
  <c r="AG52" i="16" s="1"/>
  <c r="AF52" i="16" s="1"/>
  <c r="AI56" i="16"/>
  <c r="AH56" i="16" s="1"/>
  <c r="AG56" i="16" s="1"/>
  <c r="AF56" i="16" s="1"/>
  <c r="AI60" i="16"/>
  <c r="AH60" i="16" s="1"/>
  <c r="AG60" i="16" s="1"/>
  <c r="AF60" i="16" s="1"/>
  <c r="AI64" i="16"/>
  <c r="AH64" i="16" s="1"/>
  <c r="AG64" i="16" s="1"/>
  <c r="AF64" i="16" s="1"/>
  <c r="AI68" i="16"/>
  <c r="AH68" i="16" s="1"/>
  <c r="AG68" i="16" s="1"/>
  <c r="AF68" i="16" s="1"/>
  <c r="AI72" i="16"/>
  <c r="AH72" i="16" s="1"/>
  <c r="AG72" i="16" s="1"/>
  <c r="AF72" i="16" s="1"/>
  <c r="AI76" i="16"/>
  <c r="AH76" i="16" s="1"/>
  <c r="AG76" i="16" s="1"/>
  <c r="AF76" i="16" s="1"/>
  <c r="AI80" i="16"/>
  <c r="AH80" i="16" s="1"/>
  <c r="AG80" i="16" s="1"/>
  <c r="AF80" i="16" s="1"/>
  <c r="AI84" i="16"/>
  <c r="AH84" i="16" s="1"/>
  <c r="AG84" i="16" s="1"/>
  <c r="AF84" i="16" s="1"/>
  <c r="AI88" i="16"/>
  <c r="AH88" i="16" s="1"/>
  <c r="AG88" i="16" s="1"/>
  <c r="AF88" i="16" s="1"/>
  <c r="AI92" i="16"/>
  <c r="AH92" i="16" s="1"/>
  <c r="AG92" i="16" s="1"/>
  <c r="AF92" i="16" s="1"/>
  <c r="AI96" i="16"/>
  <c r="AH96" i="16" s="1"/>
  <c r="AG96" i="16" s="1"/>
  <c r="AF96" i="16" s="1"/>
  <c r="AI100" i="16"/>
  <c r="AH100" i="16" s="1"/>
  <c r="AG100" i="16" s="1"/>
  <c r="AF100" i="16" s="1"/>
  <c r="AI104" i="16"/>
  <c r="AH104" i="16" s="1"/>
  <c r="AG104" i="16" s="1"/>
  <c r="AF104" i="16" s="1"/>
  <c r="AI108" i="16"/>
  <c r="AH108" i="16" s="1"/>
  <c r="AG108" i="16" s="1"/>
  <c r="AF108" i="16" s="1"/>
  <c r="AI112" i="16"/>
  <c r="AH112" i="16" s="1"/>
  <c r="AG112" i="16" s="1"/>
  <c r="AF112" i="16" s="1"/>
  <c r="AI116" i="16"/>
  <c r="AH116" i="16" s="1"/>
  <c r="AG116" i="16" s="1"/>
  <c r="AF116" i="16" s="1"/>
  <c r="AI120" i="16"/>
  <c r="AH120" i="16" s="1"/>
  <c r="AG120" i="16" s="1"/>
  <c r="AF120" i="16" s="1"/>
  <c r="AI124" i="16"/>
  <c r="AH124" i="16" s="1"/>
  <c r="AG124" i="16" s="1"/>
  <c r="AF124" i="16" s="1"/>
  <c r="AI128" i="16"/>
  <c r="AH128" i="16" s="1"/>
  <c r="AG128" i="16" s="1"/>
  <c r="AF128" i="16" s="1"/>
  <c r="AI132" i="16"/>
  <c r="AH132" i="16" s="1"/>
  <c r="AG132" i="16" s="1"/>
  <c r="AF132" i="16" s="1"/>
  <c r="AI136" i="16"/>
  <c r="AH136" i="16" s="1"/>
  <c r="AG136" i="16" s="1"/>
  <c r="AF136" i="16" s="1"/>
  <c r="AI140" i="16"/>
  <c r="AH140" i="16" s="1"/>
  <c r="AG140" i="16" s="1"/>
  <c r="AF140" i="16" s="1"/>
  <c r="AI144" i="16"/>
  <c r="AH144" i="16" s="1"/>
  <c r="AG144" i="16" s="1"/>
  <c r="AF144" i="16" s="1"/>
  <c r="AI148" i="16"/>
  <c r="AH148" i="16" s="1"/>
  <c r="AG148" i="16" s="1"/>
  <c r="AF148" i="16" s="1"/>
  <c r="AI152" i="16"/>
  <c r="AH152" i="16" s="1"/>
  <c r="AG152" i="16" s="1"/>
  <c r="AF152" i="16" s="1"/>
  <c r="AI156" i="16"/>
  <c r="AH156" i="16" s="1"/>
  <c r="AG156" i="16" s="1"/>
  <c r="AF156" i="16" s="1"/>
  <c r="AI160" i="16"/>
  <c r="AH160" i="16" s="1"/>
  <c r="AG160" i="16" s="1"/>
  <c r="AF160" i="16" s="1"/>
  <c r="AI164" i="16"/>
  <c r="AH164" i="16" s="1"/>
  <c r="AG164" i="16" s="1"/>
  <c r="AF164" i="16" s="1"/>
  <c r="AI168" i="16"/>
  <c r="AH168" i="16" s="1"/>
  <c r="AG168" i="16" s="1"/>
  <c r="AF168" i="16" s="1"/>
  <c r="AI172" i="16"/>
  <c r="AH172" i="16" s="1"/>
  <c r="AG172" i="16" s="1"/>
  <c r="AF172" i="16" s="1"/>
  <c r="AI175" i="16"/>
  <c r="AH175" i="16" s="1"/>
  <c r="AG175" i="16" s="1"/>
  <c r="AF175" i="16" s="1"/>
  <c r="AI177" i="16"/>
  <c r="AH177" i="16" s="1"/>
  <c r="AG177" i="16" s="1"/>
  <c r="AF177" i="16" s="1"/>
  <c r="AI179" i="16"/>
  <c r="AH179" i="16" s="1"/>
  <c r="AG179" i="16" s="1"/>
  <c r="AF179" i="16" s="1"/>
  <c r="AI181" i="16"/>
  <c r="AH181" i="16" s="1"/>
  <c r="AG181" i="16" s="1"/>
  <c r="AF181" i="16" s="1"/>
  <c r="AI183" i="16"/>
  <c r="AH183" i="16" s="1"/>
  <c r="AG183" i="16" s="1"/>
  <c r="AF183" i="16" s="1"/>
  <c r="AI185" i="16"/>
  <c r="AH185" i="16" s="1"/>
  <c r="AG185" i="16" s="1"/>
  <c r="AF185" i="16" s="1"/>
  <c r="AI187" i="16"/>
  <c r="AH187" i="16" s="1"/>
  <c r="AG187" i="16" s="1"/>
  <c r="AF187" i="16" s="1"/>
  <c r="AI189" i="16"/>
  <c r="AH189" i="16" s="1"/>
  <c r="AG189" i="16" s="1"/>
  <c r="AF189" i="16" s="1"/>
  <c r="AI191" i="16"/>
  <c r="AH191" i="16" s="1"/>
  <c r="AG191" i="16" s="1"/>
  <c r="AF191" i="16" s="1"/>
  <c r="AI193" i="16"/>
  <c r="AH193" i="16" s="1"/>
  <c r="AG193" i="16" s="1"/>
  <c r="AF193" i="16" s="1"/>
  <c r="AI195" i="16"/>
  <c r="AH195" i="16" s="1"/>
  <c r="AG195" i="16" s="1"/>
  <c r="AF195" i="16" s="1"/>
  <c r="AI197" i="16"/>
  <c r="AH197" i="16" s="1"/>
  <c r="AG197" i="16" s="1"/>
  <c r="AF197" i="16" s="1"/>
  <c r="AI199" i="16"/>
  <c r="AH199" i="16" s="1"/>
  <c r="AG199" i="16" s="1"/>
  <c r="AF199" i="16" s="1"/>
  <c r="AI201" i="16"/>
  <c r="AH201" i="16" s="1"/>
  <c r="AG201" i="16" s="1"/>
  <c r="AF201" i="16" s="1"/>
  <c r="AI203" i="16"/>
  <c r="AH203" i="16" s="1"/>
  <c r="AG203" i="16" s="1"/>
  <c r="AF203" i="16" s="1"/>
  <c r="AI205" i="16"/>
  <c r="AH205" i="16" s="1"/>
  <c r="AG205" i="16" s="1"/>
  <c r="AF205" i="16" s="1"/>
  <c r="AI207" i="16"/>
  <c r="AH207" i="16" s="1"/>
  <c r="AG207" i="16" s="1"/>
  <c r="AF207" i="16" s="1"/>
  <c r="AI209" i="16"/>
  <c r="AH209" i="16" s="1"/>
  <c r="AG209" i="16" s="1"/>
  <c r="AF209" i="16" s="1"/>
  <c r="AI211" i="16"/>
  <c r="AH211" i="16" s="1"/>
  <c r="AG211" i="16" s="1"/>
  <c r="AF211" i="16" s="1"/>
  <c r="AI213" i="16"/>
  <c r="AH213" i="16" s="1"/>
  <c r="AG213" i="16" s="1"/>
  <c r="AF213" i="16" s="1"/>
  <c r="AI215" i="16"/>
  <c r="AH215" i="16" s="1"/>
  <c r="AG215" i="16" s="1"/>
  <c r="AF215" i="16" s="1"/>
  <c r="AI217" i="16"/>
  <c r="AH217" i="16" s="1"/>
  <c r="AG217" i="16" s="1"/>
  <c r="AF217" i="16" s="1"/>
  <c r="AI219" i="16"/>
  <c r="AH219" i="16" s="1"/>
  <c r="AG219" i="16" s="1"/>
  <c r="AF219" i="16" s="1"/>
  <c r="AI221" i="16"/>
  <c r="AH221" i="16" s="1"/>
  <c r="AG221" i="16" s="1"/>
  <c r="AF221" i="16" s="1"/>
  <c r="AI223" i="16"/>
  <c r="AH223" i="16" s="1"/>
  <c r="AG223" i="16" s="1"/>
  <c r="AF223" i="16" s="1"/>
  <c r="AI225" i="16"/>
  <c r="AH225" i="16" s="1"/>
  <c r="AG225" i="16" s="1"/>
  <c r="AF225" i="16" s="1"/>
  <c r="AI227" i="16"/>
  <c r="AH227" i="16" s="1"/>
  <c r="AG227" i="16" s="1"/>
  <c r="AF227" i="16" s="1"/>
  <c r="AI229" i="16"/>
  <c r="AH229" i="16" s="1"/>
  <c r="AG229" i="16" s="1"/>
  <c r="AF229" i="16" s="1"/>
  <c r="AI231" i="16"/>
  <c r="AH231" i="16" s="1"/>
  <c r="AG231" i="16" s="1"/>
  <c r="AF231" i="16" s="1"/>
  <c r="AI233" i="16"/>
  <c r="AH233" i="16" s="1"/>
  <c r="AG233" i="16" s="1"/>
  <c r="AF233" i="16" s="1"/>
  <c r="AI235" i="16"/>
  <c r="AH235" i="16" s="1"/>
  <c r="AG235" i="16" s="1"/>
  <c r="AF235" i="16" s="1"/>
  <c r="AI237" i="16"/>
  <c r="AH237" i="16" s="1"/>
  <c r="AG237" i="16" s="1"/>
  <c r="AF237" i="16" s="1"/>
  <c r="AI239" i="16"/>
  <c r="AH239" i="16" s="1"/>
  <c r="AG239" i="16" s="1"/>
  <c r="AF239" i="16" s="1"/>
  <c r="AI241" i="16"/>
  <c r="AH241" i="16" s="1"/>
  <c r="AG241" i="16" s="1"/>
  <c r="AF241" i="16" s="1"/>
  <c r="AI243" i="16"/>
  <c r="AH243" i="16" s="1"/>
  <c r="AG243" i="16" s="1"/>
  <c r="AF243" i="16" s="1"/>
  <c r="AI245" i="16"/>
  <c r="AH245" i="16" s="1"/>
  <c r="AG245" i="16" s="1"/>
  <c r="AF245" i="16" s="1"/>
  <c r="AI247" i="16"/>
  <c r="AH247" i="16" s="1"/>
  <c r="AG247" i="16" s="1"/>
  <c r="AF247" i="16" s="1"/>
  <c r="AI249" i="16"/>
  <c r="AH249" i="16" s="1"/>
  <c r="AG249" i="16" s="1"/>
  <c r="AF249" i="16" s="1"/>
  <c r="AI251" i="16"/>
  <c r="AH251" i="16" s="1"/>
  <c r="AG251" i="16" s="1"/>
  <c r="AF251" i="16" s="1"/>
  <c r="AI253" i="16"/>
  <c r="AH253" i="16" s="1"/>
  <c r="AG253" i="16" s="1"/>
  <c r="AF253" i="16" s="1"/>
  <c r="AI255" i="16"/>
  <c r="AH255" i="16" s="1"/>
  <c r="AG255" i="16" s="1"/>
  <c r="AF255" i="16" s="1"/>
  <c r="AI257" i="16"/>
  <c r="AH257" i="16" s="1"/>
  <c r="AG257" i="16" s="1"/>
  <c r="AF257" i="16" s="1"/>
  <c r="AI259" i="16"/>
  <c r="AH259" i="16" s="1"/>
  <c r="AG259" i="16" s="1"/>
  <c r="AF259" i="16" s="1"/>
  <c r="AD259" i="16" s="1"/>
  <c r="AI261" i="16"/>
  <c r="AH261" i="16" s="1"/>
  <c r="AG261" i="16" s="1"/>
  <c r="AF261" i="16" s="1"/>
  <c r="AI263" i="16"/>
  <c r="AH263" i="16" s="1"/>
  <c r="AG263" i="16" s="1"/>
  <c r="AF263" i="16" s="1"/>
  <c r="AI265" i="16"/>
  <c r="AH265" i="16" s="1"/>
  <c r="AG265" i="16" s="1"/>
  <c r="AF265" i="16" s="1"/>
  <c r="AI267" i="16"/>
  <c r="AH267" i="16" s="1"/>
  <c r="AG267" i="16" s="1"/>
  <c r="AF267" i="16" s="1"/>
  <c r="AD267" i="16" s="1"/>
  <c r="AI269" i="16"/>
  <c r="AH269" i="16" s="1"/>
  <c r="AG269" i="16" s="1"/>
  <c r="AF269" i="16" s="1"/>
  <c r="AI271" i="16"/>
  <c r="AH271" i="16" s="1"/>
  <c r="AG271" i="16" s="1"/>
  <c r="AF271" i="16" s="1"/>
  <c r="AI273" i="16"/>
  <c r="AH273" i="16" s="1"/>
  <c r="AG273" i="16" s="1"/>
  <c r="AF273" i="16" s="1"/>
  <c r="AI275" i="16"/>
  <c r="AH275" i="16" s="1"/>
  <c r="AG275" i="16" s="1"/>
  <c r="AF275" i="16" s="1"/>
  <c r="AI277" i="16"/>
  <c r="AH277" i="16" s="1"/>
  <c r="AG277" i="16" s="1"/>
  <c r="AF277" i="16" s="1"/>
  <c r="AI279" i="16"/>
  <c r="AH279" i="16" s="1"/>
  <c r="AG279" i="16" s="1"/>
  <c r="AF279" i="16" s="1"/>
  <c r="AI281" i="16"/>
  <c r="AH281" i="16" s="1"/>
  <c r="AG281" i="16" s="1"/>
  <c r="AF281" i="16" s="1"/>
  <c r="AI283" i="16"/>
  <c r="AH283" i="16" s="1"/>
  <c r="AG283" i="16" s="1"/>
  <c r="AF283" i="16" s="1"/>
  <c r="AI285" i="16"/>
  <c r="AH285" i="16" s="1"/>
  <c r="AG285" i="16" s="1"/>
  <c r="AF285" i="16" s="1"/>
  <c r="AI287" i="16"/>
  <c r="AH287" i="16" s="1"/>
  <c r="AG287" i="16" s="1"/>
  <c r="AF287" i="16" s="1"/>
  <c r="AI289" i="16"/>
  <c r="AH289" i="16" s="1"/>
  <c r="AG289" i="16" s="1"/>
  <c r="AF289" i="16" s="1"/>
  <c r="AI291" i="16"/>
  <c r="AH291" i="16" s="1"/>
  <c r="AI293" i="16"/>
  <c r="AH293" i="16" s="1"/>
  <c r="AG293" i="16" s="1"/>
  <c r="AF293" i="16" s="1"/>
  <c r="AI295" i="16"/>
  <c r="AH295" i="16" s="1"/>
  <c r="AG295" i="16" s="1"/>
  <c r="AF295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G327" i="16" s="1"/>
  <c r="AF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G339" i="16" s="1"/>
  <c r="AF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375" i="16"/>
  <c r="AH375" i="16" s="1"/>
  <c r="AG375" i="16" s="1"/>
  <c r="AF375" i="16" s="1"/>
  <c r="AI377" i="16"/>
  <c r="AH377" i="16" s="1"/>
  <c r="AG377" i="16" s="1"/>
  <c r="AF377" i="16" s="1"/>
  <c r="AI379" i="16"/>
  <c r="U18" i="16"/>
  <c r="T18" i="16" s="1"/>
  <c r="S18" i="16" s="1"/>
  <c r="R18" i="16" s="1"/>
  <c r="U21" i="16"/>
  <c r="T21" i="16" s="1"/>
  <c r="S21" i="16" s="1"/>
  <c r="R21" i="16" s="1"/>
  <c r="P21" i="16" s="1"/>
  <c r="V21" i="16" s="1"/>
  <c r="U25" i="16"/>
  <c r="T25" i="16" s="1"/>
  <c r="S25" i="16" s="1"/>
  <c r="R25" i="16" s="1"/>
  <c r="P25" i="16" s="1"/>
  <c r="V25" i="16" s="1"/>
  <c r="U29" i="16"/>
  <c r="T29" i="16" s="1"/>
  <c r="S29" i="16" s="1"/>
  <c r="R29" i="16" s="1"/>
  <c r="U33" i="16"/>
  <c r="T33" i="16" s="1"/>
  <c r="S33" i="16" s="1"/>
  <c r="R33" i="16" s="1"/>
  <c r="U37" i="16"/>
  <c r="T37" i="16" s="1"/>
  <c r="S37" i="16" s="1"/>
  <c r="R37" i="16" s="1"/>
  <c r="U41" i="16"/>
  <c r="T41" i="16" s="1"/>
  <c r="S41" i="16" s="1"/>
  <c r="R41" i="16" s="1"/>
  <c r="U45" i="16"/>
  <c r="T45" i="16" s="1"/>
  <c r="S45" i="16" s="1"/>
  <c r="R45" i="16" s="1"/>
  <c r="U49" i="16"/>
  <c r="T49" i="16" s="1"/>
  <c r="S49" i="16" s="1"/>
  <c r="R49" i="16" s="1"/>
  <c r="U53" i="16"/>
  <c r="T53" i="16" s="1"/>
  <c r="S53" i="16" s="1"/>
  <c r="R53" i="16" s="1"/>
  <c r="U57" i="16"/>
  <c r="T57" i="16" s="1"/>
  <c r="S57" i="16" s="1"/>
  <c r="R57" i="16" s="1"/>
  <c r="U61" i="16"/>
  <c r="T61" i="16" s="1"/>
  <c r="S61" i="16" s="1"/>
  <c r="R61" i="16" s="1"/>
  <c r="U65" i="16"/>
  <c r="T65" i="16" s="1"/>
  <c r="S65" i="16" s="1"/>
  <c r="R65" i="16" s="1"/>
  <c r="U69" i="16"/>
  <c r="T69" i="16" s="1"/>
  <c r="S69" i="16" s="1"/>
  <c r="R69" i="16" s="1"/>
  <c r="U73" i="16"/>
  <c r="T73" i="16" s="1"/>
  <c r="S73" i="16" s="1"/>
  <c r="R73" i="16" s="1"/>
  <c r="U77" i="16"/>
  <c r="T77" i="16" s="1"/>
  <c r="S77" i="16" s="1"/>
  <c r="R77" i="16" s="1"/>
  <c r="U81" i="16"/>
  <c r="T81" i="16" s="1"/>
  <c r="S81" i="16" s="1"/>
  <c r="R81" i="16" s="1"/>
  <c r="P81" i="16" s="1"/>
  <c r="V81" i="16" s="1"/>
  <c r="U85" i="16"/>
  <c r="T85" i="16" s="1"/>
  <c r="U89" i="16"/>
  <c r="T89" i="16" s="1"/>
  <c r="S89" i="16" s="1"/>
  <c r="R89" i="16" s="1"/>
  <c r="U93" i="16"/>
  <c r="T93" i="16" s="1"/>
  <c r="S93" i="16" s="1"/>
  <c r="R93" i="16" s="1"/>
  <c r="U97" i="16"/>
  <c r="T97" i="16" s="1"/>
  <c r="S97" i="16" s="1"/>
  <c r="R97" i="16" s="1"/>
  <c r="U101" i="16"/>
  <c r="T101" i="16" s="1"/>
  <c r="S101" i="16" s="1"/>
  <c r="R101" i="16" s="1"/>
  <c r="U105" i="16"/>
  <c r="T105" i="16" s="1"/>
  <c r="S105" i="16" s="1"/>
  <c r="R105" i="16" s="1"/>
  <c r="U109" i="16"/>
  <c r="T109" i="16" s="1"/>
  <c r="U113" i="16"/>
  <c r="T113" i="16" s="1"/>
  <c r="S113" i="16" s="1"/>
  <c r="R113" i="16" s="1"/>
  <c r="U117" i="16"/>
  <c r="T117" i="16" s="1"/>
  <c r="S117" i="16" s="1"/>
  <c r="R117" i="16" s="1"/>
  <c r="U121" i="16"/>
  <c r="T121" i="16" s="1"/>
  <c r="S121" i="16" s="1"/>
  <c r="R121" i="16" s="1"/>
  <c r="P121" i="16" s="1"/>
  <c r="V121" i="16" s="1"/>
  <c r="U125" i="16"/>
  <c r="T125" i="16" s="1"/>
  <c r="S125" i="16" s="1"/>
  <c r="R125" i="16" s="1"/>
  <c r="U129" i="16"/>
  <c r="T129" i="16" s="1"/>
  <c r="S129" i="16" s="1"/>
  <c r="R129" i="16" s="1"/>
  <c r="U133" i="16"/>
  <c r="T133" i="16" s="1"/>
  <c r="S133" i="16" s="1"/>
  <c r="R133" i="16" s="1"/>
  <c r="U137" i="16"/>
  <c r="T137" i="16" s="1"/>
  <c r="S137" i="16" s="1"/>
  <c r="R137" i="16" s="1"/>
  <c r="U141" i="16"/>
  <c r="T141" i="16" s="1"/>
  <c r="S141" i="16" s="1"/>
  <c r="R141" i="16" s="1"/>
  <c r="U145" i="16"/>
  <c r="T145" i="16" s="1"/>
  <c r="S145" i="16" s="1"/>
  <c r="R145" i="16" s="1"/>
  <c r="U149" i="16"/>
  <c r="T149" i="16" s="1"/>
  <c r="S149" i="16" s="1"/>
  <c r="R149" i="16" s="1"/>
  <c r="P149" i="16" s="1"/>
  <c r="V149" i="16" s="1"/>
  <c r="U153" i="16"/>
  <c r="T153" i="16" s="1"/>
  <c r="S153" i="16" s="1"/>
  <c r="R153" i="16" s="1"/>
  <c r="U157" i="16"/>
  <c r="T157" i="16" s="1"/>
  <c r="S157" i="16" s="1"/>
  <c r="R157" i="16" s="1"/>
  <c r="U161" i="16"/>
  <c r="T161" i="16" s="1"/>
  <c r="S161" i="16" s="1"/>
  <c r="R161" i="16" s="1"/>
  <c r="P161" i="16" s="1"/>
  <c r="V161" i="16" s="1"/>
  <c r="U165" i="16"/>
  <c r="T165" i="16" s="1"/>
  <c r="S165" i="16" s="1"/>
  <c r="R165" i="16" s="1"/>
  <c r="U169" i="16"/>
  <c r="T169" i="16" s="1"/>
  <c r="S169" i="16" s="1"/>
  <c r="R169" i="16" s="1"/>
  <c r="P169" i="16" s="1"/>
  <c r="V169" i="16" s="1"/>
  <c r="F169" i="16" s="1"/>
  <c r="U173" i="16"/>
  <c r="T173" i="16" s="1"/>
  <c r="S173" i="16" s="1"/>
  <c r="R173" i="16" s="1"/>
  <c r="P173" i="16" s="1"/>
  <c r="V173" i="16" s="1"/>
  <c r="U177" i="16"/>
  <c r="T177" i="16" s="1"/>
  <c r="S177" i="16" s="1"/>
  <c r="R177" i="16" s="1"/>
  <c r="U181" i="16"/>
  <c r="T181" i="16" s="1"/>
  <c r="S181" i="16" s="1"/>
  <c r="R181" i="16" s="1"/>
  <c r="U185" i="16"/>
  <c r="T185" i="16" s="1"/>
  <c r="S185" i="16" s="1"/>
  <c r="R185" i="16" s="1"/>
  <c r="P185" i="16" s="1"/>
  <c r="V185" i="16" s="1"/>
  <c r="U189" i="16"/>
  <c r="T189" i="16" s="1"/>
  <c r="S189" i="16" s="1"/>
  <c r="R189" i="16" s="1"/>
  <c r="U193" i="16"/>
  <c r="T193" i="16" s="1"/>
  <c r="S193" i="16" s="1"/>
  <c r="R193" i="16" s="1"/>
  <c r="U197" i="16"/>
  <c r="T197" i="16" s="1"/>
  <c r="S197" i="16" s="1"/>
  <c r="R197" i="16" s="1"/>
  <c r="U201" i="16"/>
  <c r="T201" i="16" s="1"/>
  <c r="S201" i="16" s="1"/>
  <c r="R201" i="16" s="1"/>
  <c r="U205" i="16"/>
  <c r="T205" i="16" s="1"/>
  <c r="S205" i="16" s="1"/>
  <c r="R205" i="16" s="1"/>
  <c r="U209" i="16"/>
  <c r="T209" i="16" s="1"/>
  <c r="S209" i="16" s="1"/>
  <c r="R209" i="16" s="1"/>
  <c r="U213" i="16"/>
  <c r="T213" i="16" s="1"/>
  <c r="S213" i="16" s="1"/>
  <c r="R213" i="16" s="1"/>
  <c r="P213" i="16" s="1"/>
  <c r="V213" i="16" s="1"/>
  <c r="U217" i="16"/>
  <c r="T217" i="16" s="1"/>
  <c r="S217" i="16" s="1"/>
  <c r="R217" i="16" s="1"/>
  <c r="U221" i="16"/>
  <c r="T221" i="16" s="1"/>
  <c r="S221" i="16" s="1"/>
  <c r="R221" i="16" s="1"/>
  <c r="U225" i="16"/>
  <c r="T225" i="16" s="1"/>
  <c r="S225" i="16" s="1"/>
  <c r="R225" i="16" s="1"/>
  <c r="U229" i="16"/>
  <c r="T229" i="16" s="1"/>
  <c r="S229" i="16" s="1"/>
  <c r="R229" i="16" s="1"/>
  <c r="U233" i="16"/>
  <c r="T233" i="16" s="1"/>
  <c r="S233" i="16" s="1"/>
  <c r="R233" i="16" s="1"/>
  <c r="P233" i="16" s="1"/>
  <c r="V233" i="16" s="1"/>
  <c r="U237" i="16"/>
  <c r="T237" i="16" s="1"/>
  <c r="S237" i="16" s="1"/>
  <c r="R237" i="16" s="1"/>
  <c r="U241" i="16"/>
  <c r="T241" i="16" s="1"/>
  <c r="S241" i="16" s="1"/>
  <c r="R241" i="16" s="1"/>
  <c r="U245" i="16"/>
  <c r="T245" i="16" s="1"/>
  <c r="S245" i="16" s="1"/>
  <c r="R245" i="16" s="1"/>
  <c r="U249" i="16"/>
  <c r="T249" i="16" s="1"/>
  <c r="S249" i="16" s="1"/>
  <c r="R249" i="16" s="1"/>
  <c r="U253" i="16"/>
  <c r="T253" i="16" s="1"/>
  <c r="S253" i="16" s="1"/>
  <c r="R253" i="16" s="1"/>
  <c r="U257" i="16"/>
  <c r="T257" i="16" s="1"/>
  <c r="S257" i="16" s="1"/>
  <c r="R257" i="16" s="1"/>
  <c r="P257" i="16" s="1"/>
  <c r="V257" i="16" s="1"/>
  <c r="U261" i="16"/>
  <c r="T261" i="16" s="1"/>
  <c r="S261" i="16" s="1"/>
  <c r="R261" i="16" s="1"/>
  <c r="U265" i="16"/>
  <c r="T265" i="16" s="1"/>
  <c r="S265" i="16" s="1"/>
  <c r="R265" i="16" s="1"/>
  <c r="U269" i="16"/>
  <c r="T269" i="16" s="1"/>
  <c r="S269" i="16" s="1"/>
  <c r="R269" i="16" s="1"/>
  <c r="U273" i="16"/>
  <c r="T273" i="16" s="1"/>
  <c r="S273" i="16" s="1"/>
  <c r="R273" i="16" s="1"/>
  <c r="U277" i="16"/>
  <c r="T277" i="16" s="1"/>
  <c r="S277" i="16" s="1"/>
  <c r="R277" i="16" s="1"/>
  <c r="U281" i="16"/>
  <c r="T281" i="16" s="1"/>
  <c r="S281" i="16" s="1"/>
  <c r="R281" i="16" s="1"/>
  <c r="U285" i="16"/>
  <c r="T285" i="16" s="1"/>
  <c r="S285" i="16" s="1"/>
  <c r="R285" i="16" s="1"/>
  <c r="U289" i="16"/>
  <c r="T289" i="16" s="1"/>
  <c r="S289" i="16" s="1"/>
  <c r="R289" i="16" s="1"/>
  <c r="U293" i="16"/>
  <c r="T293" i="16" s="1"/>
  <c r="S293" i="16" s="1"/>
  <c r="R293" i="16" s="1"/>
  <c r="P293" i="16" s="1"/>
  <c r="V293" i="16" s="1"/>
  <c r="U297" i="16"/>
  <c r="T297" i="16" s="1"/>
  <c r="S297" i="16" s="1"/>
  <c r="R297" i="16" s="1"/>
  <c r="U301" i="16"/>
  <c r="T301" i="16" s="1"/>
  <c r="S301" i="16" s="1"/>
  <c r="R301" i="16" s="1"/>
  <c r="U305" i="16"/>
  <c r="T305" i="16" s="1"/>
  <c r="S305" i="16" s="1"/>
  <c r="R305" i="16" s="1"/>
  <c r="U309" i="16"/>
  <c r="T309" i="16" s="1"/>
  <c r="S309" i="16" s="1"/>
  <c r="R309" i="16" s="1"/>
  <c r="U313" i="16"/>
  <c r="T313" i="16" s="1"/>
  <c r="S313" i="16" s="1"/>
  <c r="R313" i="16" s="1"/>
  <c r="P313" i="16" s="1"/>
  <c r="V313" i="16" s="1"/>
  <c r="U317" i="16"/>
  <c r="T317" i="16" s="1"/>
  <c r="S317" i="16" s="1"/>
  <c r="R317" i="16" s="1"/>
  <c r="U321" i="16"/>
  <c r="T321" i="16" s="1"/>
  <c r="S321" i="16" s="1"/>
  <c r="R321" i="16" s="1"/>
  <c r="P321" i="16" s="1"/>
  <c r="V321" i="16" s="1"/>
  <c r="U325" i="16"/>
  <c r="T325" i="16" s="1"/>
  <c r="S325" i="16" s="1"/>
  <c r="R325" i="16" s="1"/>
  <c r="P325" i="16" s="1"/>
  <c r="V325" i="16" s="1"/>
  <c r="U329" i="16"/>
  <c r="T329" i="16" s="1"/>
  <c r="S329" i="16" s="1"/>
  <c r="R329" i="16" s="1"/>
  <c r="U333" i="16"/>
  <c r="T333" i="16" s="1"/>
  <c r="S333" i="16" s="1"/>
  <c r="R333" i="16" s="1"/>
  <c r="P333" i="16" s="1"/>
  <c r="D54" i="7" s="1"/>
  <c r="U337" i="16"/>
  <c r="T337" i="16" s="1"/>
  <c r="S337" i="16" s="1"/>
  <c r="R337" i="16" s="1"/>
  <c r="P337" i="16" s="1"/>
  <c r="V337" i="16" s="1"/>
  <c r="U341" i="16"/>
  <c r="T341" i="16" s="1"/>
  <c r="S341" i="16" s="1"/>
  <c r="R341" i="16" s="1"/>
  <c r="P341" i="16" s="1"/>
  <c r="V341" i="16" s="1"/>
  <c r="U345" i="16"/>
  <c r="T345" i="16" s="1"/>
  <c r="S345" i="16" s="1"/>
  <c r="R345" i="16" s="1"/>
  <c r="U349" i="16"/>
  <c r="T349" i="16" s="1"/>
  <c r="S349" i="16" s="1"/>
  <c r="R349" i="16" s="1"/>
  <c r="U353" i="16"/>
  <c r="T353" i="16" s="1"/>
  <c r="S353" i="16" s="1"/>
  <c r="R353" i="16" s="1"/>
  <c r="U357" i="16"/>
  <c r="T357" i="16" s="1"/>
  <c r="S357" i="16" s="1"/>
  <c r="R357" i="16" s="1"/>
  <c r="U361" i="16"/>
  <c r="T361" i="16" s="1"/>
  <c r="S361" i="16" s="1"/>
  <c r="R361" i="16" s="1"/>
  <c r="U365" i="16"/>
  <c r="T365" i="16" s="1"/>
  <c r="S365" i="16" s="1"/>
  <c r="R365" i="16" s="1"/>
  <c r="U369" i="16"/>
  <c r="T369" i="16" s="1"/>
  <c r="S369" i="16" s="1"/>
  <c r="R369" i="16" s="1"/>
  <c r="P369" i="16" s="1"/>
  <c r="V369" i="16" s="1"/>
  <c r="U373" i="16"/>
  <c r="T373" i="16" s="1"/>
  <c r="S373" i="16" s="1"/>
  <c r="R373" i="16" s="1"/>
  <c r="U377" i="16"/>
  <c r="T377" i="16" s="1"/>
  <c r="S377" i="16" s="1"/>
  <c r="R377" i="16" s="1"/>
  <c r="AI17" i="16"/>
  <c r="AH17" i="16" s="1"/>
  <c r="AG17" i="16" s="1"/>
  <c r="AF17" i="16" s="1"/>
  <c r="AI22" i="16"/>
  <c r="AH22" i="16" s="1"/>
  <c r="AG22" i="16" s="1"/>
  <c r="AF22" i="16" s="1"/>
  <c r="AI26" i="16"/>
  <c r="AH26" i="16" s="1"/>
  <c r="AG26" i="16" s="1"/>
  <c r="AF26" i="16" s="1"/>
  <c r="AI30" i="16"/>
  <c r="AH30" i="16" s="1"/>
  <c r="AG30" i="16" s="1"/>
  <c r="AF30" i="16" s="1"/>
  <c r="AI34" i="16"/>
  <c r="AH34" i="16" s="1"/>
  <c r="AG34" i="16" s="1"/>
  <c r="AF34" i="16" s="1"/>
  <c r="AI38" i="16"/>
  <c r="AH38" i="16" s="1"/>
  <c r="AG38" i="16" s="1"/>
  <c r="AF38" i="16" s="1"/>
  <c r="AI42" i="16"/>
  <c r="AH42" i="16" s="1"/>
  <c r="AG42" i="16" s="1"/>
  <c r="AF42" i="16" s="1"/>
  <c r="AI46" i="16"/>
  <c r="AH46" i="16" s="1"/>
  <c r="AG46" i="16" s="1"/>
  <c r="AF46" i="16" s="1"/>
  <c r="AI50" i="16"/>
  <c r="AH50" i="16" s="1"/>
  <c r="AG50" i="16" s="1"/>
  <c r="AF50" i="16" s="1"/>
  <c r="AI54" i="16"/>
  <c r="AH54" i="16" s="1"/>
  <c r="AG54" i="16" s="1"/>
  <c r="AF54" i="16" s="1"/>
  <c r="AI58" i="16"/>
  <c r="AH58" i="16" s="1"/>
  <c r="AG58" i="16" s="1"/>
  <c r="AF58" i="16" s="1"/>
  <c r="AI62" i="16"/>
  <c r="AH62" i="16" s="1"/>
  <c r="AG62" i="16" s="1"/>
  <c r="AF62" i="16" s="1"/>
  <c r="AI66" i="16"/>
  <c r="AH66" i="16" s="1"/>
  <c r="AG66" i="16" s="1"/>
  <c r="AF66" i="16" s="1"/>
  <c r="AI70" i="16"/>
  <c r="AH70" i="16" s="1"/>
  <c r="AG70" i="16" s="1"/>
  <c r="AF70" i="16" s="1"/>
  <c r="AI74" i="16"/>
  <c r="AH74" i="16" s="1"/>
  <c r="AG74" i="16" s="1"/>
  <c r="AF74" i="16" s="1"/>
  <c r="AI78" i="16"/>
  <c r="AH78" i="16" s="1"/>
  <c r="AG78" i="16" s="1"/>
  <c r="AF78" i="16" s="1"/>
  <c r="AI82" i="16"/>
  <c r="AH82" i="16" s="1"/>
  <c r="AG82" i="16" s="1"/>
  <c r="AF82" i="16" s="1"/>
  <c r="AI86" i="16"/>
  <c r="AH86" i="16" s="1"/>
  <c r="AG86" i="16" s="1"/>
  <c r="AF86" i="16" s="1"/>
  <c r="AI90" i="16"/>
  <c r="AH90" i="16" s="1"/>
  <c r="AG90" i="16" s="1"/>
  <c r="AF90" i="16" s="1"/>
  <c r="AI94" i="16"/>
  <c r="AH94" i="16" s="1"/>
  <c r="AG94" i="16" s="1"/>
  <c r="AF94" i="16" s="1"/>
  <c r="AI98" i="16"/>
  <c r="AH98" i="16" s="1"/>
  <c r="AG98" i="16" s="1"/>
  <c r="AF98" i="16" s="1"/>
  <c r="AI102" i="16"/>
  <c r="AH102" i="16" s="1"/>
  <c r="AG102" i="16" s="1"/>
  <c r="AF102" i="16" s="1"/>
  <c r="AI106" i="16"/>
  <c r="AH106" i="16" s="1"/>
  <c r="AG106" i="16" s="1"/>
  <c r="AF106" i="16" s="1"/>
  <c r="AI110" i="16"/>
  <c r="AH110" i="16" s="1"/>
  <c r="AG110" i="16" s="1"/>
  <c r="AF110" i="16" s="1"/>
  <c r="AI114" i="16"/>
  <c r="AH114" i="16" s="1"/>
  <c r="AG114" i="16" s="1"/>
  <c r="AF114" i="16" s="1"/>
  <c r="AI118" i="16"/>
  <c r="AH118" i="16" s="1"/>
  <c r="AG118" i="16" s="1"/>
  <c r="AF118" i="16" s="1"/>
  <c r="AI122" i="16"/>
  <c r="AH122" i="16" s="1"/>
  <c r="AG122" i="16" s="1"/>
  <c r="AF122" i="16" s="1"/>
  <c r="AI126" i="16"/>
  <c r="AH126" i="16" s="1"/>
  <c r="AG126" i="16" s="1"/>
  <c r="AF126" i="16" s="1"/>
  <c r="AI130" i="16"/>
  <c r="AH130" i="16" s="1"/>
  <c r="AG130" i="16" s="1"/>
  <c r="AF130" i="16" s="1"/>
  <c r="AI134" i="16"/>
  <c r="AH134" i="16" s="1"/>
  <c r="AG134" i="16" s="1"/>
  <c r="AF134" i="16" s="1"/>
  <c r="AI138" i="16"/>
  <c r="AH138" i="16" s="1"/>
  <c r="AG138" i="16" s="1"/>
  <c r="AF138" i="16" s="1"/>
  <c r="AI142" i="16"/>
  <c r="AH142" i="16" s="1"/>
  <c r="AG142" i="16" s="1"/>
  <c r="AF142" i="16" s="1"/>
  <c r="AI146" i="16"/>
  <c r="AH146" i="16" s="1"/>
  <c r="AG146" i="16" s="1"/>
  <c r="AF146" i="16" s="1"/>
  <c r="AI150" i="16"/>
  <c r="AH150" i="16" s="1"/>
  <c r="AG150" i="16" s="1"/>
  <c r="AF150" i="16" s="1"/>
  <c r="AI154" i="16"/>
  <c r="AH154" i="16" s="1"/>
  <c r="AG154" i="16" s="1"/>
  <c r="AF154" i="16" s="1"/>
  <c r="AI158" i="16"/>
  <c r="AH158" i="16" s="1"/>
  <c r="AG158" i="16" s="1"/>
  <c r="AF158" i="16" s="1"/>
  <c r="AI162" i="16"/>
  <c r="AH162" i="16" s="1"/>
  <c r="AG162" i="16" s="1"/>
  <c r="AF162" i="16" s="1"/>
  <c r="AI166" i="16"/>
  <c r="AH166" i="16" s="1"/>
  <c r="AG166" i="16" s="1"/>
  <c r="AF166" i="16" s="1"/>
  <c r="AI170" i="16"/>
  <c r="AH170" i="16" s="1"/>
  <c r="AG170" i="16" s="1"/>
  <c r="AF170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U19" i="16"/>
  <c r="T19" i="16" s="1"/>
  <c r="S19" i="16" s="1"/>
  <c r="R19" i="16" s="1"/>
  <c r="P19" i="16" s="1"/>
  <c r="V19" i="16" s="1"/>
  <c r="U27" i="16"/>
  <c r="T27" i="16" s="1"/>
  <c r="S27" i="16" s="1"/>
  <c r="R27" i="16" s="1"/>
  <c r="U35" i="16"/>
  <c r="T35" i="16" s="1"/>
  <c r="S35" i="16" s="1"/>
  <c r="R35" i="16" s="1"/>
  <c r="U43" i="16"/>
  <c r="T43" i="16" s="1"/>
  <c r="S43" i="16" s="1"/>
  <c r="R43" i="16" s="1"/>
  <c r="U51" i="16"/>
  <c r="T51" i="16" s="1"/>
  <c r="S51" i="16" s="1"/>
  <c r="R51" i="16" s="1"/>
  <c r="P51" i="16" s="1"/>
  <c r="V51" i="16" s="1"/>
  <c r="U59" i="16"/>
  <c r="T59" i="16" s="1"/>
  <c r="S59" i="16" s="1"/>
  <c r="R59" i="16" s="1"/>
  <c r="P59" i="16" s="1"/>
  <c r="V59" i="16" s="1"/>
  <c r="U67" i="16"/>
  <c r="T67" i="16" s="1"/>
  <c r="S67" i="16" s="1"/>
  <c r="R67" i="16" s="1"/>
  <c r="P67" i="16" s="1"/>
  <c r="V67" i="16" s="1"/>
  <c r="U75" i="16"/>
  <c r="T75" i="16" s="1"/>
  <c r="S75" i="16" s="1"/>
  <c r="R75" i="16" s="1"/>
  <c r="P75" i="16" s="1"/>
  <c r="V75" i="16" s="1"/>
  <c r="U83" i="16"/>
  <c r="T83" i="16" s="1"/>
  <c r="S83" i="16" s="1"/>
  <c r="R83" i="16" s="1"/>
  <c r="U91" i="16"/>
  <c r="T91" i="16" s="1"/>
  <c r="S91" i="16" s="1"/>
  <c r="R91" i="16" s="1"/>
  <c r="U99" i="16"/>
  <c r="T99" i="16" s="1"/>
  <c r="S99" i="16" s="1"/>
  <c r="R99" i="16" s="1"/>
  <c r="U107" i="16"/>
  <c r="T107" i="16" s="1"/>
  <c r="S107" i="16" s="1"/>
  <c r="R107" i="16" s="1"/>
  <c r="U115" i="16"/>
  <c r="T115" i="16" s="1"/>
  <c r="S115" i="16" s="1"/>
  <c r="R115" i="16" s="1"/>
  <c r="U123" i="16"/>
  <c r="T123" i="16" s="1"/>
  <c r="S123" i="16" s="1"/>
  <c r="R123" i="16" s="1"/>
  <c r="U131" i="16"/>
  <c r="T131" i="16" s="1"/>
  <c r="S131" i="16" s="1"/>
  <c r="R131" i="16" s="1"/>
  <c r="U139" i="16"/>
  <c r="T139" i="16" s="1"/>
  <c r="S139" i="16" s="1"/>
  <c r="R139" i="16" s="1"/>
  <c r="P139" i="16" s="1"/>
  <c r="V139" i="16" s="1"/>
  <c r="U147" i="16"/>
  <c r="T147" i="16" s="1"/>
  <c r="S147" i="16" s="1"/>
  <c r="R147" i="16" s="1"/>
  <c r="U155" i="16"/>
  <c r="T155" i="16" s="1"/>
  <c r="S155" i="16" s="1"/>
  <c r="R155" i="16" s="1"/>
  <c r="U163" i="16"/>
  <c r="T163" i="16" s="1"/>
  <c r="S163" i="16" s="1"/>
  <c r="R163" i="16" s="1"/>
  <c r="U171" i="16"/>
  <c r="T171" i="16" s="1"/>
  <c r="S171" i="16" s="1"/>
  <c r="R171" i="16" s="1"/>
  <c r="U179" i="16"/>
  <c r="T179" i="16" s="1"/>
  <c r="S179" i="16" s="1"/>
  <c r="R179" i="16" s="1"/>
  <c r="U187" i="16"/>
  <c r="T187" i="16" s="1"/>
  <c r="S187" i="16" s="1"/>
  <c r="R187" i="16" s="1"/>
  <c r="U195" i="16"/>
  <c r="T195" i="16" s="1"/>
  <c r="S195" i="16" s="1"/>
  <c r="R195" i="16" s="1"/>
  <c r="U203" i="16"/>
  <c r="T203" i="16" s="1"/>
  <c r="S203" i="16" s="1"/>
  <c r="R203" i="16" s="1"/>
  <c r="U211" i="16"/>
  <c r="T211" i="16" s="1"/>
  <c r="S211" i="16" s="1"/>
  <c r="R211" i="16" s="1"/>
  <c r="U219" i="16"/>
  <c r="T219" i="16" s="1"/>
  <c r="S219" i="16" s="1"/>
  <c r="R219" i="16" s="1"/>
  <c r="P219" i="16" s="1"/>
  <c r="V219" i="16" s="1"/>
  <c r="U227" i="16"/>
  <c r="T227" i="16" s="1"/>
  <c r="S227" i="16" s="1"/>
  <c r="R227" i="16" s="1"/>
  <c r="U235" i="16"/>
  <c r="T235" i="16" s="1"/>
  <c r="S235" i="16" s="1"/>
  <c r="R235" i="16" s="1"/>
  <c r="U243" i="16"/>
  <c r="T243" i="16" s="1"/>
  <c r="S243" i="16" s="1"/>
  <c r="R243" i="16" s="1"/>
  <c r="P243" i="16" s="1"/>
  <c r="V243" i="16" s="1"/>
  <c r="U251" i="16"/>
  <c r="T251" i="16" s="1"/>
  <c r="S251" i="16" s="1"/>
  <c r="R251" i="16" s="1"/>
  <c r="U259" i="16"/>
  <c r="T259" i="16" s="1"/>
  <c r="S259" i="16" s="1"/>
  <c r="R259" i="16" s="1"/>
  <c r="U267" i="16"/>
  <c r="T267" i="16" s="1"/>
  <c r="S267" i="16" s="1"/>
  <c r="R267" i="16" s="1"/>
  <c r="U275" i="16"/>
  <c r="T275" i="16" s="1"/>
  <c r="S275" i="16" s="1"/>
  <c r="R275" i="16" s="1"/>
  <c r="U283" i="16"/>
  <c r="T283" i="16" s="1"/>
  <c r="S283" i="16" s="1"/>
  <c r="R283" i="16" s="1"/>
  <c r="U291" i="16"/>
  <c r="T291" i="16" s="1"/>
  <c r="S291" i="16" s="1"/>
  <c r="R291" i="16" s="1"/>
  <c r="U299" i="16"/>
  <c r="T299" i="16" s="1"/>
  <c r="S299" i="16" s="1"/>
  <c r="R299" i="16" s="1"/>
  <c r="P299" i="16" s="1"/>
  <c r="V299" i="16" s="1"/>
  <c r="U307" i="16"/>
  <c r="T307" i="16" s="1"/>
  <c r="S307" i="16" s="1"/>
  <c r="R307" i="16" s="1"/>
  <c r="P307" i="16" s="1"/>
  <c r="V307" i="16" s="1"/>
  <c r="U315" i="16"/>
  <c r="T315" i="16" s="1"/>
  <c r="S315" i="16" s="1"/>
  <c r="R315" i="16" s="1"/>
  <c r="P315" i="16" s="1"/>
  <c r="V315" i="16" s="1"/>
  <c r="U323" i="16"/>
  <c r="T323" i="16" s="1"/>
  <c r="U331" i="16"/>
  <c r="T331" i="16" s="1"/>
  <c r="U339" i="16"/>
  <c r="T339" i="16" s="1"/>
  <c r="S339" i="16" s="1"/>
  <c r="R339" i="16" s="1"/>
  <c r="U347" i="16"/>
  <c r="T347" i="16" s="1"/>
  <c r="S347" i="16" s="1"/>
  <c r="R347" i="16" s="1"/>
  <c r="P347" i="16" s="1"/>
  <c r="V347" i="16" s="1"/>
  <c r="U355" i="16"/>
  <c r="T355" i="16" s="1"/>
  <c r="S355" i="16" s="1"/>
  <c r="R355" i="16" s="1"/>
  <c r="P355" i="16" s="1"/>
  <c r="V355" i="16" s="1"/>
  <c r="U363" i="16"/>
  <c r="T363" i="16" s="1"/>
  <c r="S363" i="16" s="1"/>
  <c r="R363" i="16" s="1"/>
  <c r="P363" i="16" s="1"/>
  <c r="D55" i="7" s="1"/>
  <c r="U371" i="16"/>
  <c r="T371" i="16" s="1"/>
  <c r="S371" i="16" s="1"/>
  <c r="R371" i="16" s="1"/>
  <c r="U379" i="16"/>
  <c r="U378" i="16"/>
  <c r="T378" i="16" s="1"/>
  <c r="S378" i="16" s="1"/>
  <c r="R378" i="16" s="1"/>
  <c r="P378" i="16" s="1"/>
  <c r="V378" i="16" s="1"/>
  <c r="U374" i="16"/>
  <c r="T374" i="16" s="1"/>
  <c r="S374" i="16" s="1"/>
  <c r="R374" i="16" s="1"/>
  <c r="P374" i="16" s="1"/>
  <c r="V374" i="16" s="1"/>
  <c r="U370" i="16"/>
  <c r="T370" i="16" s="1"/>
  <c r="U366" i="16"/>
  <c r="T366" i="16" s="1"/>
  <c r="U362" i="16"/>
  <c r="T362" i="16" s="1"/>
  <c r="S362" i="16" s="1"/>
  <c r="R362" i="16" s="1"/>
  <c r="P362" i="16" s="1"/>
  <c r="V362" i="16" s="1"/>
  <c r="U358" i="16"/>
  <c r="T358" i="16" s="1"/>
  <c r="S358" i="16" s="1"/>
  <c r="R358" i="16" s="1"/>
  <c r="P358" i="16" s="1"/>
  <c r="V358" i="16" s="1"/>
  <c r="U354" i="16"/>
  <c r="T354" i="16" s="1"/>
  <c r="U350" i="16"/>
  <c r="T350" i="16" s="1"/>
  <c r="U346" i="16"/>
  <c r="T346" i="16" s="1"/>
  <c r="U342" i="16"/>
  <c r="T342" i="16" s="1"/>
  <c r="S342" i="16" s="1"/>
  <c r="R342" i="16" s="1"/>
  <c r="P342" i="16" s="1"/>
  <c r="V342" i="16" s="1"/>
  <c r="U338" i="16"/>
  <c r="T338" i="16" s="1"/>
  <c r="U334" i="16"/>
  <c r="T334" i="16" s="1"/>
  <c r="U330" i="16"/>
  <c r="T330" i="16" s="1"/>
  <c r="U326" i="16"/>
  <c r="T326" i="16" s="1"/>
  <c r="S326" i="16" s="1"/>
  <c r="R326" i="16" s="1"/>
  <c r="P326" i="16" s="1"/>
  <c r="V326" i="16" s="1"/>
  <c r="F326" i="16" s="1"/>
  <c r="H326" i="16" s="1"/>
  <c r="U322" i="16"/>
  <c r="T322" i="16" s="1"/>
  <c r="S322" i="16" s="1"/>
  <c r="R322" i="16" s="1"/>
  <c r="P322" i="16" s="1"/>
  <c r="V322" i="16" s="1"/>
  <c r="U318" i="16"/>
  <c r="T318" i="16" s="1"/>
  <c r="S318" i="16" s="1"/>
  <c r="R318" i="16" s="1"/>
  <c r="P318" i="16" s="1"/>
  <c r="V318" i="16" s="1"/>
  <c r="U314" i="16"/>
  <c r="T314" i="16" s="1"/>
  <c r="U310" i="16"/>
  <c r="T310" i="16" s="1"/>
  <c r="S310" i="16" s="1"/>
  <c r="R310" i="16" s="1"/>
  <c r="P310" i="16" s="1"/>
  <c r="V310" i="16" s="1"/>
  <c r="U306" i="16"/>
  <c r="T306" i="16" s="1"/>
  <c r="U302" i="16"/>
  <c r="T302" i="16" s="1"/>
  <c r="U298" i="16"/>
  <c r="T298" i="16" s="1"/>
  <c r="U294" i="16"/>
  <c r="T294" i="16" s="1"/>
  <c r="S294" i="16" s="1"/>
  <c r="R294" i="16" s="1"/>
  <c r="P294" i="16" s="1"/>
  <c r="V294" i="16" s="1"/>
  <c r="U290" i="16"/>
  <c r="T290" i="16" s="1"/>
  <c r="U286" i="16"/>
  <c r="T286" i="16" s="1"/>
  <c r="U282" i="16"/>
  <c r="T282" i="16" s="1"/>
  <c r="U278" i="16"/>
  <c r="T278" i="16" s="1"/>
  <c r="S278" i="16" s="1"/>
  <c r="R278" i="16" s="1"/>
  <c r="P278" i="16" s="1"/>
  <c r="V278" i="16" s="1"/>
  <c r="U274" i="16"/>
  <c r="T274" i="16" s="1"/>
  <c r="S274" i="16" s="1"/>
  <c r="R274" i="16" s="1"/>
  <c r="P274" i="16" s="1"/>
  <c r="V274" i="16" s="1"/>
  <c r="U270" i="16"/>
  <c r="T270" i="16" s="1"/>
  <c r="U266" i="16"/>
  <c r="T266" i="16" s="1"/>
  <c r="S266" i="16" s="1"/>
  <c r="R266" i="16" s="1"/>
  <c r="P266" i="16" s="1"/>
  <c r="V266" i="16" s="1"/>
  <c r="U262" i="16"/>
  <c r="T262" i="16" s="1"/>
  <c r="S262" i="16" s="1"/>
  <c r="R262" i="16" s="1"/>
  <c r="P262" i="16" s="1"/>
  <c r="V262" i="16" s="1"/>
  <c r="U258" i="16"/>
  <c r="T258" i="16" s="1"/>
  <c r="U254" i="16"/>
  <c r="T254" i="16" s="1"/>
  <c r="U250" i="16"/>
  <c r="T250" i="16" s="1"/>
  <c r="U246" i="16"/>
  <c r="T246" i="16" s="1"/>
  <c r="U242" i="16"/>
  <c r="T242" i="16" s="1"/>
  <c r="S242" i="16" s="1"/>
  <c r="R242" i="16" s="1"/>
  <c r="P242" i="16" s="1"/>
  <c r="V242" i="16" s="1"/>
  <c r="U238" i="16"/>
  <c r="T238" i="16" s="1"/>
  <c r="S238" i="16" s="1"/>
  <c r="R238" i="16" s="1"/>
  <c r="P238" i="16" s="1"/>
  <c r="V238" i="16" s="1"/>
  <c r="U234" i="16"/>
  <c r="T234" i="16" s="1"/>
  <c r="U230" i="16"/>
  <c r="T230" i="16" s="1"/>
  <c r="S230" i="16" s="1"/>
  <c r="R230" i="16" s="1"/>
  <c r="P230" i="16" s="1"/>
  <c r="V230" i="16" s="1"/>
  <c r="U226" i="16"/>
  <c r="T226" i="16" s="1"/>
  <c r="S226" i="16" s="1"/>
  <c r="R226" i="16" s="1"/>
  <c r="P226" i="16" s="1"/>
  <c r="V226" i="16" s="1"/>
  <c r="F226" i="16" s="1"/>
  <c r="H226" i="16" s="1"/>
  <c r="U222" i="16"/>
  <c r="T222" i="16" s="1"/>
  <c r="S222" i="16" s="1"/>
  <c r="R222" i="16" s="1"/>
  <c r="P222" i="16" s="1"/>
  <c r="V222" i="16" s="1"/>
  <c r="U218" i="16"/>
  <c r="T218" i="16" s="1"/>
  <c r="U214" i="16"/>
  <c r="T214" i="16" s="1"/>
  <c r="U210" i="16"/>
  <c r="T210" i="16" s="1"/>
  <c r="S210" i="16" s="1"/>
  <c r="R210" i="16" s="1"/>
  <c r="P210" i="16" s="1"/>
  <c r="D50" i="7" s="1"/>
  <c r="U206" i="16"/>
  <c r="T206" i="16" s="1"/>
  <c r="U202" i="16"/>
  <c r="T202" i="16" s="1"/>
  <c r="U198" i="16"/>
  <c r="T198" i="16" s="1"/>
  <c r="S198" i="16" s="1"/>
  <c r="R198" i="16" s="1"/>
  <c r="P198" i="16" s="1"/>
  <c r="V198" i="16" s="1"/>
  <c r="U194" i="16"/>
  <c r="T194" i="16" s="1"/>
  <c r="U190" i="16"/>
  <c r="T190" i="16" s="1"/>
  <c r="S190" i="16" s="1"/>
  <c r="R190" i="16" s="1"/>
  <c r="U186" i="16"/>
  <c r="T186" i="16" s="1"/>
  <c r="U182" i="16"/>
  <c r="T182" i="16" s="1"/>
  <c r="S182" i="16" s="1"/>
  <c r="R182" i="16" s="1"/>
  <c r="P182" i="16" s="1"/>
  <c r="V182" i="16" s="1"/>
  <c r="U178" i="16"/>
  <c r="T178" i="16" s="1"/>
  <c r="S178" i="16" s="1"/>
  <c r="R178" i="16" s="1"/>
  <c r="U174" i="16"/>
  <c r="T174" i="16" s="1"/>
  <c r="S174" i="16" s="1"/>
  <c r="R174" i="16" s="1"/>
  <c r="U170" i="16"/>
  <c r="T170" i="16" s="1"/>
  <c r="S170" i="16" s="1"/>
  <c r="R170" i="16" s="1"/>
  <c r="U166" i="16"/>
  <c r="T166" i="16" s="1"/>
  <c r="S166" i="16" s="1"/>
  <c r="R166" i="16" s="1"/>
  <c r="U162" i="16"/>
  <c r="T162" i="16" s="1"/>
  <c r="S162" i="16" s="1"/>
  <c r="R162" i="16" s="1"/>
  <c r="U158" i="16"/>
  <c r="T158" i="16" s="1"/>
  <c r="S158" i="16" s="1"/>
  <c r="R158" i="16" s="1"/>
  <c r="U154" i="16"/>
  <c r="T154" i="16" s="1"/>
  <c r="S154" i="16" s="1"/>
  <c r="R154" i="16" s="1"/>
  <c r="U150" i="16"/>
  <c r="T150" i="16" s="1"/>
  <c r="S150" i="16" s="1"/>
  <c r="R150" i="16" s="1"/>
  <c r="U146" i="16"/>
  <c r="T146" i="16" s="1"/>
  <c r="S146" i="16" s="1"/>
  <c r="R146" i="16" s="1"/>
  <c r="U142" i="16"/>
  <c r="T142" i="16" s="1"/>
  <c r="S142" i="16" s="1"/>
  <c r="R142" i="16" s="1"/>
  <c r="U138" i="16"/>
  <c r="T138" i="16" s="1"/>
  <c r="S138" i="16" s="1"/>
  <c r="R138" i="16" s="1"/>
  <c r="P138" i="16" s="1"/>
  <c r="V138" i="16" s="1"/>
  <c r="U134" i="16"/>
  <c r="T134" i="16" s="1"/>
  <c r="S134" i="16" s="1"/>
  <c r="R134" i="16" s="1"/>
  <c r="U130" i="16"/>
  <c r="T130" i="16" s="1"/>
  <c r="S130" i="16" s="1"/>
  <c r="R130" i="16" s="1"/>
  <c r="U126" i="16"/>
  <c r="T126" i="16" s="1"/>
  <c r="S126" i="16" s="1"/>
  <c r="R126" i="16" s="1"/>
  <c r="U122" i="16"/>
  <c r="T122" i="16" s="1"/>
  <c r="S122" i="16" s="1"/>
  <c r="R122" i="16" s="1"/>
  <c r="U118" i="16"/>
  <c r="T118" i="16" s="1"/>
  <c r="S118" i="16" s="1"/>
  <c r="R118" i="16" s="1"/>
  <c r="U114" i="16"/>
  <c r="T114" i="16" s="1"/>
  <c r="S114" i="16" s="1"/>
  <c r="R114" i="16" s="1"/>
  <c r="P114" i="16" s="1"/>
  <c r="V114" i="16" s="1"/>
  <c r="U110" i="16"/>
  <c r="T110" i="16" s="1"/>
  <c r="S110" i="16" s="1"/>
  <c r="R110" i="16" s="1"/>
  <c r="U106" i="16"/>
  <c r="T106" i="16" s="1"/>
  <c r="S106" i="16" s="1"/>
  <c r="R106" i="16" s="1"/>
  <c r="U102" i="16"/>
  <c r="T102" i="16" s="1"/>
  <c r="S102" i="16" s="1"/>
  <c r="R102" i="16" s="1"/>
  <c r="U98" i="16"/>
  <c r="T98" i="16" s="1"/>
  <c r="S98" i="16" s="1"/>
  <c r="R98" i="16" s="1"/>
  <c r="U94" i="16"/>
  <c r="T94" i="16" s="1"/>
  <c r="S94" i="16" s="1"/>
  <c r="R94" i="16" s="1"/>
  <c r="P94" i="16" s="1"/>
  <c r="V94" i="16" s="1"/>
  <c r="U90" i="16"/>
  <c r="T90" i="16" s="1"/>
  <c r="S90" i="16" s="1"/>
  <c r="R90" i="16" s="1"/>
  <c r="P90" i="16" s="1"/>
  <c r="V90" i="16" s="1"/>
  <c r="U86" i="16"/>
  <c r="T86" i="16" s="1"/>
  <c r="S86" i="16" s="1"/>
  <c r="R86" i="16" s="1"/>
  <c r="U82" i="16"/>
  <c r="T82" i="16" s="1"/>
  <c r="S82" i="16" s="1"/>
  <c r="R82" i="16" s="1"/>
  <c r="U78" i="16"/>
  <c r="T78" i="16" s="1"/>
  <c r="S78" i="16" s="1"/>
  <c r="R78" i="16" s="1"/>
  <c r="U74" i="16"/>
  <c r="T74" i="16" s="1"/>
  <c r="S74" i="16" s="1"/>
  <c r="R74" i="16" s="1"/>
  <c r="U70" i="16"/>
  <c r="T70" i="16" s="1"/>
  <c r="S70" i="16" s="1"/>
  <c r="R70" i="16" s="1"/>
  <c r="U66" i="16"/>
  <c r="T66" i="16" s="1"/>
  <c r="S66" i="16" s="1"/>
  <c r="R66" i="16" s="1"/>
  <c r="U62" i="16"/>
  <c r="T62" i="16" s="1"/>
  <c r="S62" i="16" s="1"/>
  <c r="R62" i="16" s="1"/>
  <c r="U58" i="16"/>
  <c r="T58" i="16" s="1"/>
  <c r="S58" i="16" s="1"/>
  <c r="R58" i="16" s="1"/>
  <c r="U54" i="16"/>
  <c r="T54" i="16" s="1"/>
  <c r="S54" i="16" s="1"/>
  <c r="R54" i="16" s="1"/>
  <c r="U50" i="16"/>
  <c r="T50" i="16" s="1"/>
  <c r="S50" i="16" s="1"/>
  <c r="R50" i="16" s="1"/>
  <c r="U46" i="16"/>
  <c r="T46" i="16" s="1"/>
  <c r="S46" i="16" s="1"/>
  <c r="R46" i="16" s="1"/>
  <c r="U42" i="16"/>
  <c r="T42" i="16" s="1"/>
  <c r="S42" i="16" s="1"/>
  <c r="R42" i="16" s="1"/>
  <c r="U38" i="16"/>
  <c r="T38" i="16" s="1"/>
  <c r="S38" i="16" s="1"/>
  <c r="R38" i="16" s="1"/>
  <c r="U34" i="16"/>
  <c r="T34" i="16" s="1"/>
  <c r="S34" i="16" s="1"/>
  <c r="R34" i="16" s="1"/>
  <c r="U30" i="16"/>
  <c r="T30" i="16" s="1"/>
  <c r="S30" i="16" s="1"/>
  <c r="R30" i="16" s="1"/>
  <c r="U26" i="16"/>
  <c r="T26" i="16" s="1"/>
  <c r="S26" i="16" s="1"/>
  <c r="R26" i="16" s="1"/>
  <c r="U22" i="16"/>
  <c r="T22" i="16" s="1"/>
  <c r="S22" i="16" s="1"/>
  <c r="R22" i="16" s="1"/>
  <c r="U16" i="16"/>
  <c r="T16" i="16" s="1"/>
  <c r="S16" i="16" s="1"/>
  <c r="R16" i="16" s="1"/>
  <c r="AD22" i="16"/>
  <c r="AD42" i="16"/>
  <c r="AD62" i="16"/>
  <c r="AD162" i="16"/>
  <c r="AD198" i="16"/>
  <c r="S383" i="15"/>
  <c r="AD113" i="16"/>
  <c r="P146" i="16"/>
  <c r="V146" i="16" s="1"/>
  <c r="P122" i="16"/>
  <c r="V122" i="16" s="1"/>
  <c r="P82" i="16"/>
  <c r="V82" i="16" s="1"/>
  <c r="P245" i="16"/>
  <c r="V245" i="16" s="1"/>
  <c r="F245" i="16" s="1"/>
  <c r="U15" i="16"/>
  <c r="U23" i="16"/>
  <c r="T23" i="16" s="1"/>
  <c r="S23" i="16" s="1"/>
  <c r="R23" i="16" s="1"/>
  <c r="U31" i="16"/>
  <c r="T31" i="16" s="1"/>
  <c r="S31" i="16" s="1"/>
  <c r="R31" i="16" s="1"/>
  <c r="P31" i="16" s="1"/>
  <c r="V31" i="16" s="1"/>
  <c r="U39" i="16"/>
  <c r="T39" i="16" s="1"/>
  <c r="S39" i="16" s="1"/>
  <c r="R39" i="16" s="1"/>
  <c r="U47" i="16"/>
  <c r="T47" i="16" s="1"/>
  <c r="S47" i="16" s="1"/>
  <c r="R47" i="16" s="1"/>
  <c r="U55" i="16"/>
  <c r="T55" i="16" s="1"/>
  <c r="S55" i="16" s="1"/>
  <c r="R55" i="16" s="1"/>
  <c r="U63" i="16"/>
  <c r="T63" i="16" s="1"/>
  <c r="S63" i="16" s="1"/>
  <c r="R63" i="16" s="1"/>
  <c r="U71" i="16"/>
  <c r="T71" i="16" s="1"/>
  <c r="S71" i="16" s="1"/>
  <c r="R71" i="16" s="1"/>
  <c r="P71" i="16" s="1"/>
  <c r="V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U119" i="16"/>
  <c r="T119" i="16" s="1"/>
  <c r="S119" i="16" s="1"/>
  <c r="R119" i="16" s="1"/>
  <c r="U127" i="16"/>
  <c r="T127" i="16" s="1"/>
  <c r="S127" i="16" s="1"/>
  <c r="R127" i="16" s="1"/>
  <c r="U135" i="16"/>
  <c r="T135" i="16" s="1"/>
  <c r="S135" i="16" s="1"/>
  <c r="R135" i="16" s="1"/>
  <c r="P135" i="16" s="1"/>
  <c r="V135" i="16" s="1"/>
  <c r="U143" i="16"/>
  <c r="T143" i="16" s="1"/>
  <c r="S143" i="16" s="1"/>
  <c r="R143" i="16" s="1"/>
  <c r="P143" i="16" s="1"/>
  <c r="V143" i="16" s="1"/>
  <c r="U151" i="16"/>
  <c r="T151" i="16" s="1"/>
  <c r="S151" i="16" s="1"/>
  <c r="R151" i="16" s="1"/>
  <c r="P151" i="16" s="1"/>
  <c r="V151" i="16" s="1"/>
  <c r="U159" i="16"/>
  <c r="T159" i="16" s="1"/>
  <c r="U167" i="16"/>
  <c r="T167" i="16" s="1"/>
  <c r="U175" i="16"/>
  <c r="T175" i="16" s="1"/>
  <c r="U183" i="16"/>
  <c r="T183" i="16" s="1"/>
  <c r="S183" i="16" s="1"/>
  <c r="R183" i="16" s="1"/>
  <c r="U191" i="16"/>
  <c r="T191" i="16" s="1"/>
  <c r="S191" i="16" s="1"/>
  <c r="R191" i="16" s="1"/>
  <c r="U199" i="16"/>
  <c r="T199" i="16" s="1"/>
  <c r="S199" i="16" s="1"/>
  <c r="R199" i="16" s="1"/>
  <c r="P199" i="16" s="1"/>
  <c r="V199" i="16" s="1"/>
  <c r="U207" i="16"/>
  <c r="T207" i="16" s="1"/>
  <c r="S207" i="16" s="1"/>
  <c r="R207" i="16" s="1"/>
  <c r="U215" i="16"/>
  <c r="T215" i="16" s="1"/>
  <c r="S215" i="16" s="1"/>
  <c r="R215" i="16" s="1"/>
  <c r="U223" i="16"/>
  <c r="T223" i="16" s="1"/>
  <c r="S223" i="16" s="1"/>
  <c r="R223" i="16" s="1"/>
  <c r="U231" i="16"/>
  <c r="T231" i="16" s="1"/>
  <c r="S231" i="16" s="1"/>
  <c r="R231" i="16" s="1"/>
  <c r="U239" i="16"/>
  <c r="T239" i="16" s="1"/>
  <c r="S239" i="16" s="1"/>
  <c r="R239" i="16" s="1"/>
  <c r="U247" i="16"/>
  <c r="T247" i="16" s="1"/>
  <c r="S247" i="16" s="1"/>
  <c r="R247" i="16" s="1"/>
  <c r="U255" i="16"/>
  <c r="T255" i="16" s="1"/>
  <c r="S255" i="16" s="1"/>
  <c r="R255" i="16" s="1"/>
  <c r="U263" i="16"/>
  <c r="T263" i="16" s="1"/>
  <c r="S263" i="16" s="1"/>
  <c r="R263" i="16" s="1"/>
  <c r="U271" i="16"/>
  <c r="T271" i="16" s="1"/>
  <c r="S271" i="16" s="1"/>
  <c r="R271" i="16" s="1"/>
  <c r="P271" i="16" s="1"/>
  <c r="V271" i="16" s="1"/>
  <c r="U279" i="16"/>
  <c r="T279" i="16" s="1"/>
  <c r="S279" i="16" s="1"/>
  <c r="R279" i="16" s="1"/>
  <c r="U287" i="16"/>
  <c r="T287" i="16" s="1"/>
  <c r="S287" i="16" s="1"/>
  <c r="R287" i="16" s="1"/>
  <c r="P287" i="16" s="1"/>
  <c r="V287" i="16" s="1"/>
  <c r="U295" i="16"/>
  <c r="T295" i="16" s="1"/>
  <c r="S295" i="16" s="1"/>
  <c r="R295" i="16" s="1"/>
  <c r="U303" i="16"/>
  <c r="T303" i="16" s="1"/>
  <c r="S303" i="16" s="1"/>
  <c r="R303" i="16" s="1"/>
  <c r="U311" i="16"/>
  <c r="T311" i="16" s="1"/>
  <c r="S311" i="16" s="1"/>
  <c r="R311" i="16" s="1"/>
  <c r="U319" i="16"/>
  <c r="T319" i="16" s="1"/>
  <c r="U327" i="16"/>
  <c r="T327" i="16" s="1"/>
  <c r="U335" i="16"/>
  <c r="T335" i="16" s="1"/>
  <c r="S335" i="16" s="1"/>
  <c r="R335" i="16" s="1"/>
  <c r="U343" i="16"/>
  <c r="T343" i="16" s="1"/>
  <c r="S343" i="16" s="1"/>
  <c r="R343" i="16" s="1"/>
  <c r="U351" i="16"/>
  <c r="T351" i="16" s="1"/>
  <c r="S351" i="16" s="1"/>
  <c r="R351" i="16" s="1"/>
  <c r="U359" i="16"/>
  <c r="T359" i="16" s="1"/>
  <c r="S359" i="16" s="1"/>
  <c r="R359" i="16" s="1"/>
  <c r="P359" i="16" s="1"/>
  <c r="V359" i="16" s="1"/>
  <c r="U367" i="16"/>
  <c r="T367" i="16" s="1"/>
  <c r="S367" i="16" s="1"/>
  <c r="R367" i="16" s="1"/>
  <c r="U375" i="16"/>
  <c r="T375" i="16" s="1"/>
  <c r="S375" i="16" s="1"/>
  <c r="R375" i="16" s="1"/>
  <c r="U376" i="16"/>
  <c r="T376" i="16" s="1"/>
  <c r="S376" i="16" s="1"/>
  <c r="R376" i="16" s="1"/>
  <c r="P376" i="16" s="1"/>
  <c r="V376" i="16" s="1"/>
  <c r="F376" i="16" s="1"/>
  <c r="G376" i="16" s="1"/>
  <c r="BY376" i="6" s="1"/>
  <c r="U372" i="16"/>
  <c r="T372" i="16" s="1"/>
  <c r="S372" i="16" s="1"/>
  <c r="R372" i="16" s="1"/>
  <c r="P372" i="16" s="1"/>
  <c r="V372" i="16" s="1"/>
  <c r="U368" i="16"/>
  <c r="T368" i="16" s="1"/>
  <c r="S368" i="16" s="1"/>
  <c r="R368" i="16" s="1"/>
  <c r="P368" i="16" s="1"/>
  <c r="V368" i="16" s="1"/>
  <c r="U364" i="16"/>
  <c r="T364" i="16" s="1"/>
  <c r="S364" i="16" s="1"/>
  <c r="R364" i="16" s="1"/>
  <c r="P364" i="16" s="1"/>
  <c r="V364" i="16" s="1"/>
  <c r="U360" i="16"/>
  <c r="T360" i="16" s="1"/>
  <c r="U356" i="16"/>
  <c r="T356" i="16" s="1"/>
  <c r="U352" i="16"/>
  <c r="T352" i="16" s="1"/>
  <c r="U348" i="16"/>
  <c r="T348" i="16" s="1"/>
  <c r="U344" i="16"/>
  <c r="T344" i="16" s="1"/>
  <c r="U340" i="16"/>
  <c r="T340" i="16" s="1"/>
  <c r="U336" i="16"/>
  <c r="T336" i="16" s="1"/>
  <c r="U332" i="16"/>
  <c r="T332" i="16" s="1"/>
  <c r="U328" i="16"/>
  <c r="T328" i="16" s="1"/>
  <c r="S328" i="16" s="1"/>
  <c r="R328" i="16" s="1"/>
  <c r="P328" i="16" s="1"/>
  <c r="V328" i="16" s="1"/>
  <c r="U324" i="16"/>
  <c r="T324" i="16" s="1"/>
  <c r="U320" i="16"/>
  <c r="T320" i="16" s="1"/>
  <c r="U316" i="16"/>
  <c r="T316" i="16" s="1"/>
  <c r="S316" i="16" s="1"/>
  <c r="R316" i="16" s="1"/>
  <c r="P316" i="16" s="1"/>
  <c r="V316" i="16" s="1"/>
  <c r="U312" i="16"/>
  <c r="T312" i="16" s="1"/>
  <c r="U308" i="16"/>
  <c r="T308" i="16" s="1"/>
  <c r="S308" i="16" s="1"/>
  <c r="R308" i="16" s="1"/>
  <c r="P308" i="16" s="1"/>
  <c r="V308" i="16" s="1"/>
  <c r="U304" i="16"/>
  <c r="T304" i="16" s="1"/>
  <c r="S304" i="16" s="1"/>
  <c r="R304" i="16" s="1"/>
  <c r="P304" i="16" s="1"/>
  <c r="V304" i="16" s="1"/>
  <c r="U300" i="16"/>
  <c r="T300" i="16" s="1"/>
  <c r="S300" i="16" s="1"/>
  <c r="R300" i="16" s="1"/>
  <c r="P300" i="16" s="1"/>
  <c r="V300" i="16" s="1"/>
  <c r="U296" i="16"/>
  <c r="T296" i="16" s="1"/>
  <c r="S296" i="16" s="1"/>
  <c r="R296" i="16" s="1"/>
  <c r="P296" i="16" s="1"/>
  <c r="V296" i="16" s="1"/>
  <c r="U292" i="16"/>
  <c r="T292" i="16" s="1"/>
  <c r="U288" i="16"/>
  <c r="T288" i="16" s="1"/>
  <c r="U284" i="16"/>
  <c r="T284" i="16" s="1"/>
  <c r="S284" i="16" s="1"/>
  <c r="R284" i="16" s="1"/>
  <c r="P284" i="16" s="1"/>
  <c r="V284" i="16" s="1"/>
  <c r="U280" i="16"/>
  <c r="T280" i="16" s="1"/>
  <c r="U276" i="16"/>
  <c r="T276" i="16" s="1"/>
  <c r="U272" i="16"/>
  <c r="T272" i="16" s="1"/>
  <c r="U268" i="16"/>
  <c r="T268" i="16" s="1"/>
  <c r="U264" i="16"/>
  <c r="T264" i="16" s="1"/>
  <c r="U260" i="16"/>
  <c r="T260" i="16" s="1"/>
  <c r="S260" i="16" s="1"/>
  <c r="R260" i="16" s="1"/>
  <c r="P260" i="16" s="1"/>
  <c r="V260" i="16" s="1"/>
  <c r="U256" i="16"/>
  <c r="T256" i="16" s="1"/>
  <c r="U252" i="16"/>
  <c r="T252" i="16" s="1"/>
  <c r="U248" i="16"/>
  <c r="T248" i="16" s="1"/>
  <c r="U244" i="16"/>
  <c r="T244" i="16" s="1"/>
  <c r="U240" i="16"/>
  <c r="T240" i="16" s="1"/>
  <c r="U236" i="16"/>
  <c r="T236" i="16" s="1"/>
  <c r="U232" i="16"/>
  <c r="T232" i="16" s="1"/>
  <c r="U228" i="16"/>
  <c r="T228" i="16" s="1"/>
  <c r="S228" i="16" s="1"/>
  <c r="R228" i="16" s="1"/>
  <c r="P228" i="16" s="1"/>
  <c r="V228" i="16" s="1"/>
  <c r="U224" i="16"/>
  <c r="T224" i="16" s="1"/>
  <c r="S224" i="16" s="1"/>
  <c r="R224" i="16" s="1"/>
  <c r="P224" i="16" s="1"/>
  <c r="V224" i="16" s="1"/>
  <c r="U220" i="16"/>
  <c r="T220" i="16" s="1"/>
  <c r="U216" i="16"/>
  <c r="T216" i="16" s="1"/>
  <c r="U212" i="16"/>
  <c r="T212" i="16" s="1"/>
  <c r="S212" i="16" s="1"/>
  <c r="R212" i="16" s="1"/>
  <c r="P212" i="16" s="1"/>
  <c r="V212" i="16" s="1"/>
  <c r="U208" i="16"/>
  <c r="T208" i="16" s="1"/>
  <c r="S208" i="16" s="1"/>
  <c r="R208" i="16" s="1"/>
  <c r="P208" i="16" s="1"/>
  <c r="V208" i="16" s="1"/>
  <c r="U204" i="16"/>
  <c r="T204" i="16" s="1"/>
  <c r="U200" i="16"/>
  <c r="T200" i="16" s="1"/>
  <c r="S200" i="16" s="1"/>
  <c r="R200" i="16" s="1"/>
  <c r="P200" i="16" s="1"/>
  <c r="V200" i="16" s="1"/>
  <c r="U196" i="16"/>
  <c r="T196" i="16" s="1"/>
  <c r="U192" i="16"/>
  <c r="T192" i="16" s="1"/>
  <c r="U188" i="16"/>
  <c r="T188" i="16" s="1"/>
  <c r="S188" i="16" s="1"/>
  <c r="R188" i="16" s="1"/>
  <c r="P188" i="16" s="1"/>
  <c r="V188" i="16" s="1"/>
  <c r="U184" i="16"/>
  <c r="T184" i="16" s="1"/>
  <c r="S184" i="16" s="1"/>
  <c r="R184" i="16" s="1"/>
  <c r="U180" i="16"/>
  <c r="T180" i="16" s="1"/>
  <c r="S180" i="16" s="1"/>
  <c r="R180" i="16" s="1"/>
  <c r="U176" i="16"/>
  <c r="T176" i="16" s="1"/>
  <c r="S176" i="16" s="1"/>
  <c r="R176" i="16" s="1"/>
  <c r="U172" i="16"/>
  <c r="T172" i="16" s="1"/>
  <c r="S172" i="16" s="1"/>
  <c r="R172" i="16" s="1"/>
  <c r="U168" i="16"/>
  <c r="T168" i="16" s="1"/>
  <c r="S168" i="16" s="1"/>
  <c r="R168" i="16" s="1"/>
  <c r="U164" i="16"/>
  <c r="T164" i="16" s="1"/>
  <c r="S164" i="16" s="1"/>
  <c r="R164" i="16" s="1"/>
  <c r="U160" i="16"/>
  <c r="T160" i="16" s="1"/>
  <c r="S160" i="16" s="1"/>
  <c r="R160" i="16" s="1"/>
  <c r="U156" i="16"/>
  <c r="T156" i="16" s="1"/>
  <c r="S156" i="16" s="1"/>
  <c r="R156" i="16" s="1"/>
  <c r="U152" i="16"/>
  <c r="T152" i="16" s="1"/>
  <c r="S152" i="16" s="1"/>
  <c r="R152" i="16" s="1"/>
  <c r="U148" i="16"/>
  <c r="T148" i="16" s="1"/>
  <c r="S148" i="16" s="1"/>
  <c r="R148" i="16" s="1"/>
  <c r="U144" i="16"/>
  <c r="T144" i="16" s="1"/>
  <c r="S144" i="16" s="1"/>
  <c r="R144" i="16" s="1"/>
  <c r="U140" i="16"/>
  <c r="T140" i="16" s="1"/>
  <c r="S140" i="16" s="1"/>
  <c r="R140" i="16" s="1"/>
  <c r="U136" i="16"/>
  <c r="T136" i="16" s="1"/>
  <c r="S136" i="16" s="1"/>
  <c r="R136" i="16" s="1"/>
  <c r="U132" i="16"/>
  <c r="T132" i="16" s="1"/>
  <c r="S132" i="16" s="1"/>
  <c r="R132" i="16" s="1"/>
  <c r="U128" i="16"/>
  <c r="T128" i="16" s="1"/>
  <c r="S128" i="16" s="1"/>
  <c r="R128" i="16" s="1"/>
  <c r="U124" i="16"/>
  <c r="T124" i="16" s="1"/>
  <c r="S124" i="16" s="1"/>
  <c r="R124" i="16" s="1"/>
  <c r="U120" i="16"/>
  <c r="T120" i="16" s="1"/>
  <c r="S120" i="16" s="1"/>
  <c r="R120" i="16" s="1"/>
  <c r="U116" i="16"/>
  <c r="T116" i="16" s="1"/>
  <c r="S116" i="16" s="1"/>
  <c r="R116" i="16" s="1"/>
  <c r="U112" i="16"/>
  <c r="T112" i="16" s="1"/>
  <c r="S112" i="16" s="1"/>
  <c r="R112" i="16" s="1"/>
  <c r="U108" i="16"/>
  <c r="T108" i="16" s="1"/>
  <c r="S108" i="16" s="1"/>
  <c r="R108" i="16" s="1"/>
  <c r="U104" i="16"/>
  <c r="T104" i="16" s="1"/>
  <c r="S104" i="16" s="1"/>
  <c r="R104" i="16" s="1"/>
  <c r="U100" i="16"/>
  <c r="T100" i="16" s="1"/>
  <c r="S100" i="16" s="1"/>
  <c r="R100" i="16" s="1"/>
  <c r="U96" i="16"/>
  <c r="T96" i="16" s="1"/>
  <c r="S96" i="16" s="1"/>
  <c r="R96" i="16" s="1"/>
  <c r="U92" i="16"/>
  <c r="T92" i="16" s="1"/>
  <c r="S92" i="16" s="1"/>
  <c r="R92" i="16" s="1"/>
  <c r="U88" i="16"/>
  <c r="T88" i="16" s="1"/>
  <c r="S88" i="16" s="1"/>
  <c r="R88" i="16" s="1"/>
  <c r="U84" i="16"/>
  <c r="T84" i="16" s="1"/>
  <c r="S84" i="16" s="1"/>
  <c r="R84" i="16" s="1"/>
  <c r="U80" i="16"/>
  <c r="T80" i="16" s="1"/>
  <c r="S80" i="16" s="1"/>
  <c r="R80" i="16" s="1"/>
  <c r="U76" i="16"/>
  <c r="T76" i="16" s="1"/>
  <c r="S76" i="16" s="1"/>
  <c r="R76" i="16" s="1"/>
  <c r="U72" i="16"/>
  <c r="T72" i="16" s="1"/>
  <c r="S72" i="16" s="1"/>
  <c r="R72" i="16" s="1"/>
  <c r="U68" i="16"/>
  <c r="T68" i="16" s="1"/>
  <c r="S68" i="16" s="1"/>
  <c r="R68" i="16" s="1"/>
  <c r="U64" i="16"/>
  <c r="T64" i="16" s="1"/>
  <c r="S64" i="16" s="1"/>
  <c r="R64" i="16" s="1"/>
  <c r="U60" i="16"/>
  <c r="T60" i="16" s="1"/>
  <c r="S60" i="16" s="1"/>
  <c r="R60" i="16" s="1"/>
  <c r="U56" i="16"/>
  <c r="T56" i="16" s="1"/>
  <c r="S56" i="16" s="1"/>
  <c r="R56" i="16" s="1"/>
  <c r="U52" i="16"/>
  <c r="T52" i="16" s="1"/>
  <c r="S52" i="16" s="1"/>
  <c r="R52" i="16" s="1"/>
  <c r="U48" i="16"/>
  <c r="T48" i="16" s="1"/>
  <c r="S48" i="16" s="1"/>
  <c r="R48" i="16" s="1"/>
  <c r="U44" i="16"/>
  <c r="T44" i="16" s="1"/>
  <c r="S44" i="16" s="1"/>
  <c r="R44" i="16" s="1"/>
  <c r="U40" i="16"/>
  <c r="T40" i="16" s="1"/>
  <c r="S40" i="16" s="1"/>
  <c r="R40" i="16" s="1"/>
  <c r="U36" i="16"/>
  <c r="T36" i="16" s="1"/>
  <c r="S36" i="16" s="1"/>
  <c r="R36" i="16" s="1"/>
  <c r="U32" i="16"/>
  <c r="T32" i="16" s="1"/>
  <c r="S32" i="16" s="1"/>
  <c r="R32" i="16" s="1"/>
  <c r="U28" i="16"/>
  <c r="T28" i="16" s="1"/>
  <c r="S28" i="16" s="1"/>
  <c r="R28" i="16" s="1"/>
  <c r="U24" i="16"/>
  <c r="T24" i="16" s="1"/>
  <c r="S24" i="16" s="1"/>
  <c r="R24" i="16" s="1"/>
  <c r="U20" i="16"/>
  <c r="T20" i="16" s="1"/>
  <c r="S20" i="16" s="1"/>
  <c r="R20" i="16" s="1"/>
  <c r="U17" i="16"/>
  <c r="T17" i="16" s="1"/>
  <c r="S17" i="16" s="1"/>
  <c r="R17" i="16" s="1"/>
  <c r="I152" i="15"/>
  <c r="I236" i="15"/>
  <c r="I325" i="15"/>
  <c r="J345" i="15"/>
  <c r="J372" i="15"/>
  <c r="I221" i="15"/>
  <c r="I184" i="15"/>
  <c r="I205" i="15"/>
  <c r="I240" i="15"/>
  <c r="I300" i="15"/>
  <c r="I348" i="15"/>
  <c r="I261" i="15"/>
  <c r="I357" i="15"/>
  <c r="I128" i="15"/>
  <c r="I340" i="15"/>
  <c r="I364" i="15"/>
  <c r="J189" i="15"/>
  <c r="J373" i="15"/>
  <c r="I212" i="15"/>
  <c r="I213" i="15"/>
  <c r="I90" i="15"/>
  <c r="J188" i="15"/>
  <c r="I309" i="15"/>
  <c r="I66" i="15"/>
  <c r="I294" i="15"/>
  <c r="J192" i="15"/>
  <c r="I268" i="15"/>
  <c r="J237" i="15"/>
  <c r="J285" i="15"/>
  <c r="I73" i="15"/>
  <c r="I216" i="15"/>
  <c r="J97" i="15"/>
  <c r="J329" i="15"/>
  <c r="J332" i="15"/>
  <c r="H288" i="15"/>
  <c r="J288" i="15" s="1"/>
  <c r="J337" i="15"/>
  <c r="I308" i="15"/>
  <c r="J200" i="15"/>
  <c r="I256" i="15"/>
  <c r="I356" i="15"/>
  <c r="J25" i="15"/>
  <c r="I104" i="15"/>
  <c r="I69" i="15"/>
  <c r="I122" i="15"/>
  <c r="I228" i="15"/>
  <c r="J336" i="15"/>
  <c r="I253" i="15"/>
  <c r="J269" i="15"/>
  <c r="J74" i="15"/>
  <c r="I363" i="15"/>
  <c r="J321" i="15"/>
  <c r="J353" i="15"/>
  <c r="I273" i="15"/>
  <c r="I376" i="15"/>
  <c r="I62" i="19"/>
  <c r="AD83" i="16"/>
  <c r="AD143" i="16"/>
  <c r="I71" i="15"/>
  <c r="AD43" i="16"/>
  <c r="AD355" i="16"/>
  <c r="I121" i="15"/>
  <c r="I265" i="15"/>
  <c r="I370" i="15"/>
  <c r="I129" i="15"/>
  <c r="I92" i="15"/>
  <c r="J105" i="15"/>
  <c r="I249" i="15"/>
  <c r="I45" i="15"/>
  <c r="J119" i="15"/>
  <c r="I185" i="15"/>
  <c r="I289" i="15"/>
  <c r="I29" i="15"/>
  <c r="J57" i="15"/>
  <c r="I169" i="15"/>
  <c r="J326" i="15"/>
  <c r="J33" i="15"/>
  <c r="I209" i="15"/>
  <c r="J113" i="15"/>
  <c r="J254" i="15"/>
  <c r="I302" i="15"/>
  <c r="I165" i="15"/>
  <c r="I88" i="15"/>
  <c r="J138" i="15"/>
  <c r="I210" i="15"/>
  <c r="AD34" i="16"/>
  <c r="J35" i="15"/>
  <c r="J365" i="15"/>
  <c r="G241" i="15"/>
  <c r="BX241" i="6" s="1"/>
  <c r="AA241" i="15"/>
  <c r="Z241" i="15" s="1"/>
  <c r="Y241" i="15" s="1"/>
  <c r="H241" i="15"/>
  <c r="I85" i="15"/>
  <c r="P178" i="16"/>
  <c r="V178" i="16" s="1"/>
  <c r="F178" i="16" s="1"/>
  <c r="AD147" i="16"/>
  <c r="AD275" i="16"/>
  <c r="I34" i="15"/>
  <c r="P197" i="16"/>
  <c r="V197" i="16" s="1"/>
  <c r="G136" i="15"/>
  <c r="BX136" i="6" s="1"/>
  <c r="AA380" i="15"/>
  <c r="Z380" i="15" s="1"/>
  <c r="Y380" i="15" s="1"/>
  <c r="G380" i="15"/>
  <c r="BX380" i="6" s="1"/>
  <c r="H380" i="15"/>
  <c r="AA108" i="15"/>
  <c r="Z108" i="15" s="1"/>
  <c r="Y108" i="15" s="1"/>
  <c r="H136" i="15"/>
  <c r="J136" i="15" s="1"/>
  <c r="H108" i="15"/>
  <c r="J108" i="15" s="1"/>
  <c r="AD65" i="16"/>
  <c r="P42" i="16"/>
  <c r="V42" i="16" s="1"/>
  <c r="AD176" i="16"/>
  <c r="AD229" i="16"/>
  <c r="AD120" i="16"/>
  <c r="F379" i="1"/>
  <c r="V382" i="1"/>
  <c r="V383" i="1"/>
  <c r="V381" i="1"/>
  <c r="M61" i="19"/>
  <c r="AD168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I60" i="15" l="1"/>
  <c r="AD33" i="16"/>
  <c r="P18" i="16"/>
  <c r="V18" i="16" s="1"/>
  <c r="AD277" i="16"/>
  <c r="AD317" i="16"/>
  <c r="AD358" i="16"/>
  <c r="AD84" i="16"/>
  <c r="AD253" i="16"/>
  <c r="AD201" i="16"/>
  <c r="AD244" i="16"/>
  <c r="AD212" i="16"/>
  <c r="AD74" i="16"/>
  <c r="AD56" i="16"/>
  <c r="AD324" i="16"/>
  <c r="AD90" i="16"/>
  <c r="P69" i="16"/>
  <c r="V69" i="16" s="1"/>
  <c r="AD331" i="16"/>
  <c r="AD247" i="16"/>
  <c r="AD87" i="16"/>
  <c r="P98" i="16"/>
  <c r="V98" i="16" s="1"/>
  <c r="F98" i="16" s="1"/>
  <c r="G98" i="16" s="1"/>
  <c r="BY98" i="6" s="1"/>
  <c r="P93" i="16"/>
  <c r="V93" i="16" s="1"/>
  <c r="AD175" i="16"/>
  <c r="AD111" i="16"/>
  <c r="P163" i="16"/>
  <c r="V163" i="16" s="1"/>
  <c r="F163" i="16" s="1"/>
  <c r="H163" i="16" s="1"/>
  <c r="P301" i="16"/>
  <c r="V301" i="16" s="1"/>
  <c r="F301" i="16" s="1"/>
  <c r="P106" i="16"/>
  <c r="V106" i="16" s="1"/>
  <c r="P130" i="16"/>
  <c r="V130" i="16" s="1"/>
  <c r="AD318" i="16"/>
  <c r="P193" i="16"/>
  <c r="V193" i="16" s="1"/>
  <c r="F193" i="16" s="1"/>
  <c r="P265" i="16"/>
  <c r="V265" i="16" s="1"/>
  <c r="F265" i="16" s="1"/>
  <c r="G265" i="16" s="1"/>
  <c r="BY265" i="6" s="1"/>
  <c r="Q10" i="17"/>
  <c r="AD140" i="16"/>
  <c r="AD105" i="16"/>
  <c r="AD53" i="16"/>
  <c r="AD233" i="16"/>
  <c r="P27" i="16"/>
  <c r="V27" i="16" s="1"/>
  <c r="F27" i="16" s="1"/>
  <c r="G27" i="16" s="1"/>
  <c r="BY27" i="6" s="1"/>
  <c r="AD133" i="16"/>
  <c r="AD52" i="16"/>
  <c r="AD186" i="16"/>
  <c r="AD158" i="16"/>
  <c r="P153" i="16"/>
  <c r="P89" i="16"/>
  <c r="V89" i="16" s="1"/>
  <c r="F89" i="16" s="1"/>
  <c r="AD377" i="16"/>
  <c r="AD269" i="16"/>
  <c r="AD157" i="16"/>
  <c r="AD25" i="16"/>
  <c r="AD314" i="16"/>
  <c r="AD378" i="16"/>
  <c r="AD238" i="16"/>
  <c r="M62" i="19"/>
  <c r="AD274" i="16"/>
  <c r="AD206" i="16"/>
  <c r="AD254" i="16"/>
  <c r="P289" i="16"/>
  <c r="V289" i="16" s="1"/>
  <c r="F289" i="16" s="1"/>
  <c r="P91" i="16"/>
  <c r="V91" i="16" s="1"/>
  <c r="F91" i="16" s="1"/>
  <c r="AD366" i="16"/>
  <c r="P137" i="16"/>
  <c r="V137" i="16" s="1"/>
  <c r="F137" i="16" s="1"/>
  <c r="AD353" i="16"/>
  <c r="AD289" i="16"/>
  <c r="AD245" i="16"/>
  <c r="AA245" i="16" s="1"/>
  <c r="Z245" i="16" s="1"/>
  <c r="Y245" i="16" s="1"/>
  <c r="AD181" i="16"/>
  <c r="AD137" i="16"/>
  <c r="AD85" i="16"/>
  <c r="AD350" i="16"/>
  <c r="AD282" i="16"/>
  <c r="AD218" i="16"/>
  <c r="AD178" i="16"/>
  <c r="AA178" i="16" s="1"/>
  <c r="Z178" i="16" s="1"/>
  <c r="Y178" i="16" s="1"/>
  <c r="AD118" i="16"/>
  <c r="P127" i="16"/>
  <c r="V127" i="16" s="1"/>
  <c r="F127" i="16" s="1"/>
  <c r="AD306" i="16"/>
  <c r="AD110" i="16"/>
  <c r="AD60" i="16"/>
  <c r="AD333" i="16"/>
  <c r="AD298" i="16"/>
  <c r="AD94" i="16"/>
  <c r="AD30" i="16"/>
  <c r="AD221" i="16"/>
  <c r="AD69" i="16"/>
  <c r="AD16" i="16"/>
  <c r="AD132" i="16"/>
  <c r="AD109" i="16"/>
  <c r="P70" i="16"/>
  <c r="V70" i="16" s="1"/>
  <c r="F70" i="16" s="1"/>
  <c r="H70" i="16" s="1"/>
  <c r="AD301" i="16"/>
  <c r="AA301" i="16" s="1"/>
  <c r="Z301" i="16" s="1"/>
  <c r="Y301" i="16" s="1"/>
  <c r="AD205" i="16"/>
  <c r="P54" i="16"/>
  <c r="V54" i="16" s="1"/>
  <c r="F54" i="16" s="1"/>
  <c r="AD329" i="16"/>
  <c r="AD185" i="16"/>
  <c r="P57" i="16"/>
  <c r="V57" i="16" s="1"/>
  <c r="AD338" i="16"/>
  <c r="AD126" i="16"/>
  <c r="P87" i="16"/>
  <c r="V87" i="16" s="1"/>
  <c r="F87" i="16" s="1"/>
  <c r="G87" i="16" s="1"/>
  <c r="BY87" i="6" s="1"/>
  <c r="AD29" i="16"/>
  <c r="P305" i="16"/>
  <c r="V305" i="16" s="1"/>
  <c r="P118" i="16"/>
  <c r="V118" i="16" s="1"/>
  <c r="F118" i="16" s="1"/>
  <c r="H118" i="16" s="1"/>
  <c r="AD369" i="16"/>
  <c r="AD258" i="16"/>
  <c r="P113" i="16"/>
  <c r="V113" i="16" s="1"/>
  <c r="F113" i="16" s="1"/>
  <c r="G113" i="16" s="1"/>
  <c r="BY113" i="6" s="1"/>
  <c r="P177" i="16"/>
  <c r="V177" i="16" s="1"/>
  <c r="F177" i="16" s="1"/>
  <c r="G177" i="16" s="1"/>
  <c r="BY177" i="6" s="1"/>
  <c r="AD361" i="16"/>
  <c r="AD325" i="16"/>
  <c r="AD297" i="16"/>
  <c r="AD281" i="16"/>
  <c r="AD261" i="16"/>
  <c r="AD213" i="16"/>
  <c r="AD193" i="16"/>
  <c r="AA193" i="16" s="1"/>
  <c r="Z193" i="16" s="1"/>
  <c r="Y193" i="16" s="1"/>
  <c r="AD169" i="16"/>
  <c r="AA169" i="16" s="1"/>
  <c r="Z169" i="16" s="1"/>
  <c r="Y169" i="16" s="1"/>
  <c r="AD145" i="16"/>
  <c r="AD121" i="16"/>
  <c r="AD97" i="16"/>
  <c r="AD57" i="16"/>
  <c r="AD362" i="16"/>
  <c r="AD330" i="16"/>
  <c r="AD294" i="16"/>
  <c r="AD266" i="16"/>
  <c r="AD230" i="16"/>
  <c r="AD210" i="16"/>
  <c r="AD190" i="16"/>
  <c r="AD70" i="16"/>
  <c r="P102" i="16"/>
  <c r="V102" i="16" s="1"/>
  <c r="F102" i="16" s="1"/>
  <c r="H102" i="16" s="1"/>
  <c r="P110" i="16"/>
  <c r="V110" i="16" s="1"/>
  <c r="F110" i="16" s="1"/>
  <c r="G110" i="16" s="1"/>
  <c r="BY110" i="6" s="1"/>
  <c r="P126" i="16"/>
  <c r="V126" i="16" s="1"/>
  <c r="P134" i="16"/>
  <c r="V134" i="16" s="1"/>
  <c r="J333" i="15"/>
  <c r="C13" i="19"/>
  <c r="F37" i="19"/>
  <c r="AD367" i="16"/>
  <c r="AD328" i="16"/>
  <c r="AD96" i="16"/>
  <c r="AD224" i="16"/>
  <c r="AD188" i="16"/>
  <c r="AD18" i="16"/>
  <c r="AD260" i="16"/>
  <c r="AD368" i="16"/>
  <c r="P37" i="16"/>
  <c r="V37" i="16" s="1"/>
  <c r="P269" i="16"/>
  <c r="V269" i="16" s="1"/>
  <c r="F269" i="16" s="1"/>
  <c r="G269" i="16" s="1"/>
  <c r="BY269" i="6" s="1"/>
  <c r="P45" i="16"/>
  <c r="V45" i="16" s="1"/>
  <c r="AD363" i="16"/>
  <c r="AD295" i="16"/>
  <c r="AD255" i="16"/>
  <c r="AD203" i="16"/>
  <c r="AD115" i="16"/>
  <c r="AD35" i="16"/>
  <c r="AD154" i="16"/>
  <c r="AD223" i="16"/>
  <c r="AD55" i="16"/>
  <c r="AD19" i="16"/>
  <c r="AD159" i="16"/>
  <c r="AD131" i="16"/>
  <c r="AD103" i="16"/>
  <c r="P317" i="16"/>
  <c r="V317" i="16" s="1"/>
  <c r="P221" i="16"/>
  <c r="V221" i="16" s="1"/>
  <c r="F221" i="16" s="1"/>
  <c r="G221" i="16" s="1"/>
  <c r="BY221" i="6" s="1"/>
  <c r="P261" i="16"/>
  <c r="V261" i="16" s="1"/>
  <c r="F261" i="16" s="1"/>
  <c r="P277" i="16"/>
  <c r="V277" i="16" s="1"/>
  <c r="F277" i="16" s="1"/>
  <c r="H277" i="16" s="1"/>
  <c r="P61" i="16"/>
  <c r="V61" i="16" s="1"/>
  <c r="P29" i="16"/>
  <c r="V29" i="16" s="1"/>
  <c r="AD130" i="16"/>
  <c r="AD98" i="16"/>
  <c r="P176" i="16"/>
  <c r="V176" i="16" s="1"/>
  <c r="P207" i="16"/>
  <c r="V207" i="16" s="1"/>
  <c r="F207" i="16" s="1"/>
  <c r="P62" i="16"/>
  <c r="V62" i="16" s="1"/>
  <c r="P84" i="16"/>
  <c r="V84" i="16" s="1"/>
  <c r="F84" i="16" s="1"/>
  <c r="G84" i="16" s="1"/>
  <c r="BY84" i="6" s="1"/>
  <c r="F300" i="16"/>
  <c r="G300" i="16" s="1"/>
  <c r="BY300" i="6" s="1"/>
  <c r="AD256" i="16"/>
  <c r="AD232" i="16"/>
  <c r="AD196" i="16"/>
  <c r="AD144" i="16"/>
  <c r="AD24" i="16"/>
  <c r="AD304" i="16"/>
  <c r="AD220" i="16"/>
  <c r="AD200" i="16"/>
  <c r="AD146" i="16"/>
  <c r="AD114" i="16"/>
  <c r="AD88" i="16"/>
  <c r="AD48" i="16"/>
  <c r="AD192" i="16"/>
  <c r="AD17" i="16"/>
  <c r="P40" i="16"/>
  <c r="V40" i="16" s="1"/>
  <c r="P152" i="16"/>
  <c r="V152" i="16" s="1"/>
  <c r="AD372" i="16"/>
  <c r="AD360" i="16"/>
  <c r="AD208" i="16"/>
  <c r="P184" i="16"/>
  <c r="V184" i="16" s="1"/>
  <c r="P275" i="16"/>
  <c r="V275" i="16" s="1"/>
  <c r="P141" i="16"/>
  <c r="V141" i="16" s="1"/>
  <c r="F141" i="16" s="1"/>
  <c r="H141" i="16" s="1"/>
  <c r="J141" i="16" s="1"/>
  <c r="P111" i="16"/>
  <c r="V111" i="16" s="1"/>
  <c r="P79" i="16"/>
  <c r="V79" i="16" s="1"/>
  <c r="F79" i="16" s="1"/>
  <c r="P309" i="16"/>
  <c r="V309" i="16" s="1"/>
  <c r="F309" i="16" s="1"/>
  <c r="G309" i="16" s="1"/>
  <c r="BY309" i="6" s="1"/>
  <c r="P237" i="16"/>
  <c r="V237" i="16" s="1"/>
  <c r="P147" i="16"/>
  <c r="V147" i="16" s="1"/>
  <c r="F147" i="16" s="1"/>
  <c r="G147" i="16" s="1"/>
  <c r="BY147" i="6" s="1"/>
  <c r="P83" i="16"/>
  <c r="V83" i="16" s="1"/>
  <c r="F83" i="16" s="1"/>
  <c r="G83" i="16" s="1"/>
  <c r="BY83" i="6" s="1"/>
  <c r="P53" i="16"/>
  <c r="V53" i="16" s="1"/>
  <c r="AD339" i="16"/>
  <c r="AD327" i="16"/>
  <c r="AD287" i="16"/>
  <c r="AD263" i="16"/>
  <c r="AD251" i="16"/>
  <c r="AD207" i="16"/>
  <c r="AD183" i="16"/>
  <c r="AD139" i="16"/>
  <c r="AD99" i="16"/>
  <c r="AD75" i="16"/>
  <c r="AD27" i="16"/>
  <c r="P17" i="16"/>
  <c r="V17" i="16" s="1"/>
  <c r="AD50" i="16"/>
  <c r="AD26" i="16"/>
  <c r="P101" i="16"/>
  <c r="V101" i="16" s="1"/>
  <c r="AD227" i="16"/>
  <c r="AD211" i="16"/>
  <c r="AD63" i="16"/>
  <c r="AD51" i="16"/>
  <c r="AD23" i="16"/>
  <c r="AD151" i="16"/>
  <c r="AD135" i="16"/>
  <c r="AD123" i="16"/>
  <c r="AD107" i="16"/>
  <c r="AD91" i="16"/>
  <c r="P339" i="16"/>
  <c r="P179" i="16"/>
  <c r="V179" i="16" s="1"/>
  <c r="F179" i="16" s="1"/>
  <c r="G179" i="16" s="1"/>
  <c r="BY179" i="6" s="1"/>
  <c r="P131" i="16"/>
  <c r="V131" i="16" s="1"/>
  <c r="F131" i="16" s="1"/>
  <c r="H131" i="16" s="1"/>
  <c r="I131" i="16" s="1"/>
  <c r="P189" i="16"/>
  <c r="V189" i="16" s="1"/>
  <c r="F189" i="16" s="1"/>
  <c r="H189" i="16" s="1"/>
  <c r="P205" i="16"/>
  <c r="V205" i="16" s="1"/>
  <c r="P229" i="16"/>
  <c r="V229" i="16" s="1"/>
  <c r="F229" i="16" s="1"/>
  <c r="H229" i="16" s="1"/>
  <c r="P253" i="16"/>
  <c r="V253" i="16" s="1"/>
  <c r="F253" i="16" s="1"/>
  <c r="H253" i="16" s="1"/>
  <c r="P285" i="16"/>
  <c r="V285" i="16" s="1"/>
  <c r="P35" i="16"/>
  <c r="V35" i="16" s="1"/>
  <c r="P77" i="16"/>
  <c r="V77" i="16" s="1"/>
  <c r="P162" i="16"/>
  <c r="V162" i="16" s="1"/>
  <c r="AD170" i="16"/>
  <c r="AD138" i="16"/>
  <c r="AD122" i="16"/>
  <c r="AD106" i="16"/>
  <c r="AD82" i="16"/>
  <c r="AD66" i="16"/>
  <c r="AD58" i="16"/>
  <c r="P16" i="16"/>
  <c r="V16" i="16" s="1"/>
  <c r="F16" i="16" s="1"/>
  <c r="H16" i="16" s="1"/>
  <c r="P50" i="16"/>
  <c r="V50" i="16" s="1"/>
  <c r="P58" i="16"/>
  <c r="V58" i="16" s="1"/>
  <c r="F58" i="16" s="1"/>
  <c r="P36" i="16"/>
  <c r="V36" i="16" s="1"/>
  <c r="F36" i="16" s="1"/>
  <c r="H36" i="16" s="1"/>
  <c r="P92" i="16"/>
  <c r="V92" i="16" s="1"/>
  <c r="F92" i="16" s="1"/>
  <c r="P231" i="16"/>
  <c r="V231" i="16" s="1"/>
  <c r="F231" i="16" s="1"/>
  <c r="H231" i="16" s="1"/>
  <c r="I231" i="16" s="1"/>
  <c r="P119" i="16"/>
  <c r="D47" i="7" s="1"/>
  <c r="P103" i="16"/>
  <c r="V103" i="16" s="1"/>
  <c r="P371" i="16"/>
  <c r="V371" i="16" s="1"/>
  <c r="F371" i="16" s="1"/>
  <c r="G371" i="16" s="1"/>
  <c r="BY371" i="6" s="1"/>
  <c r="P154" i="16"/>
  <c r="V154" i="16" s="1"/>
  <c r="P170" i="16"/>
  <c r="V170" i="16" s="1"/>
  <c r="F170" i="16" s="1"/>
  <c r="P56" i="16"/>
  <c r="V56" i="16" s="1"/>
  <c r="F56" i="16" s="1"/>
  <c r="G56" i="16" s="1"/>
  <c r="BY56" i="6" s="1"/>
  <c r="P112" i="16"/>
  <c r="V112" i="16" s="1"/>
  <c r="P88" i="16"/>
  <c r="V88" i="16" s="1"/>
  <c r="P95" i="16"/>
  <c r="V95" i="16" s="1"/>
  <c r="F95" i="16" s="1"/>
  <c r="P32" i="16"/>
  <c r="V32" i="16" s="1"/>
  <c r="F32" i="16" s="1"/>
  <c r="G32" i="16" s="1"/>
  <c r="BY32" i="6" s="1"/>
  <c r="P349" i="16"/>
  <c r="V349" i="16" s="1"/>
  <c r="F349" i="16" s="1"/>
  <c r="H349" i="16" s="1"/>
  <c r="J349" i="16" s="1"/>
  <c r="P365" i="16"/>
  <c r="V365" i="16" s="1"/>
  <c r="F365" i="16" s="1"/>
  <c r="H365" i="16" s="1"/>
  <c r="J365" i="16" s="1"/>
  <c r="P133" i="16"/>
  <c r="V133" i="16" s="1"/>
  <c r="F133" i="16" s="1"/>
  <c r="G133" i="16" s="1"/>
  <c r="BY133" i="6" s="1"/>
  <c r="P195" i="16"/>
  <c r="V195" i="16" s="1"/>
  <c r="F195" i="16" s="1"/>
  <c r="G195" i="16" s="1"/>
  <c r="BY195" i="6" s="1"/>
  <c r="P223" i="16"/>
  <c r="V223" i="16" s="1"/>
  <c r="F223" i="16" s="1"/>
  <c r="G223" i="16" s="1"/>
  <c r="BY223" i="6" s="1"/>
  <c r="AD375" i="16"/>
  <c r="AD347" i="16"/>
  <c r="AD319" i="16"/>
  <c r="AD303" i="16"/>
  <c r="AD271" i="16"/>
  <c r="AD231" i="16"/>
  <c r="AD195" i="16"/>
  <c r="AD171" i="16"/>
  <c r="AD127" i="16"/>
  <c r="AD71" i="16"/>
  <c r="AD39" i="16"/>
  <c r="P104" i="16"/>
  <c r="V104" i="16" s="1"/>
  <c r="F104" i="16" s="1"/>
  <c r="G104" i="16" s="1"/>
  <c r="BY104" i="6" s="1"/>
  <c r="P128" i="16"/>
  <c r="V128" i="16" s="1"/>
  <c r="F128" i="16" s="1"/>
  <c r="G128" i="16" s="1"/>
  <c r="BY128" i="6" s="1"/>
  <c r="P160" i="16"/>
  <c r="V160" i="16" s="1"/>
  <c r="F160" i="16" s="1"/>
  <c r="P66" i="16"/>
  <c r="V66" i="16" s="1"/>
  <c r="AD364" i="16"/>
  <c r="AD344" i="16"/>
  <c r="AD320" i="16"/>
  <c r="AD300" i="16"/>
  <c r="AD284" i="16"/>
  <c r="AD268" i="16"/>
  <c r="AD240" i="16"/>
  <c r="AD204" i="16"/>
  <c r="AD160" i="16"/>
  <c r="AD112" i="16"/>
  <c r="AD64" i="16"/>
  <c r="P335" i="16"/>
  <c r="V335" i="16" s="1"/>
  <c r="F335" i="16" s="1"/>
  <c r="H335" i="16" s="1"/>
  <c r="I335" i="16" s="1"/>
  <c r="P367" i="16"/>
  <c r="V367" i="16" s="1"/>
  <c r="F367" i="16" s="1"/>
  <c r="H367" i="16" s="1"/>
  <c r="J367" i="16" s="1"/>
  <c r="P47" i="16"/>
  <c r="P48" i="16"/>
  <c r="V48" i="16" s="1"/>
  <c r="F48" i="16" s="1"/>
  <c r="G48" i="16" s="1"/>
  <c r="BY48" i="6" s="1"/>
  <c r="P24" i="16"/>
  <c r="V24" i="16" s="1"/>
  <c r="P357" i="16"/>
  <c r="V357" i="16" s="1"/>
  <c r="F357" i="16" s="1"/>
  <c r="H357" i="16" s="1"/>
  <c r="J357" i="16" s="1"/>
  <c r="P125" i="16"/>
  <c r="V125" i="16" s="1"/>
  <c r="P165" i="16"/>
  <c r="V165" i="16" s="1"/>
  <c r="F165" i="16" s="1"/>
  <c r="G165" i="16" s="1"/>
  <c r="BY165" i="6" s="1"/>
  <c r="P211" i="16"/>
  <c r="V211" i="16" s="1"/>
  <c r="F211" i="16" s="1"/>
  <c r="G211" i="16" s="1"/>
  <c r="BY211" i="6" s="1"/>
  <c r="P259" i="16"/>
  <c r="V259" i="16" s="1"/>
  <c r="F259" i="16" s="1"/>
  <c r="AA259" i="16" s="1"/>
  <c r="Z259" i="16" s="1"/>
  <c r="Y259" i="16" s="1"/>
  <c r="AD359" i="16"/>
  <c r="AD335" i="16"/>
  <c r="AD311" i="16"/>
  <c r="AD283" i="16"/>
  <c r="AD239" i="16"/>
  <c r="AD215" i="16"/>
  <c r="AD187" i="16"/>
  <c r="AD163" i="16"/>
  <c r="AD95" i="16"/>
  <c r="AD59" i="16"/>
  <c r="P96" i="16"/>
  <c r="V96" i="16" s="1"/>
  <c r="F96" i="16" s="1"/>
  <c r="G96" i="16" s="1"/>
  <c r="BY96" i="6" s="1"/>
  <c r="P120" i="16"/>
  <c r="V120" i="16" s="1"/>
  <c r="F120" i="16" s="1"/>
  <c r="P136" i="16"/>
  <c r="V136" i="16" s="1"/>
  <c r="F136" i="16" s="1"/>
  <c r="G136" i="16" s="1"/>
  <c r="BY136" i="6" s="1"/>
  <c r="P168" i="16"/>
  <c r="V168" i="16" s="1"/>
  <c r="F168" i="16" s="1"/>
  <c r="H168" i="16" s="1"/>
  <c r="P34" i="16"/>
  <c r="V34" i="16" s="1"/>
  <c r="AD352" i="16"/>
  <c r="AD336" i="16"/>
  <c r="AD312" i="16"/>
  <c r="AD292" i="16"/>
  <c r="AD276" i="16"/>
  <c r="AD252" i="16"/>
  <c r="AD228" i="16"/>
  <c r="AD180" i="16"/>
  <c r="AD128" i="16"/>
  <c r="AD104" i="16"/>
  <c r="V333" i="16"/>
  <c r="F333" i="16" s="1"/>
  <c r="H333" i="16" s="1"/>
  <c r="V210" i="16"/>
  <c r="F210" i="16" s="1"/>
  <c r="AA210" i="16" s="1"/>
  <c r="Z210" i="16" s="1"/>
  <c r="Y210" i="16" s="1"/>
  <c r="F243" i="16"/>
  <c r="G243" i="16" s="1"/>
  <c r="BY243" i="6" s="1"/>
  <c r="F51" i="16"/>
  <c r="G51" i="16" s="1"/>
  <c r="BY51" i="6" s="1"/>
  <c r="F138" i="16"/>
  <c r="G138" i="16" s="1"/>
  <c r="BY138" i="6" s="1"/>
  <c r="F325" i="16"/>
  <c r="G325" i="16" s="1"/>
  <c r="BY325" i="6" s="1"/>
  <c r="D48" i="7"/>
  <c r="F287" i="16"/>
  <c r="AA287" i="16" s="1"/>
  <c r="Z287" i="16" s="1"/>
  <c r="Y287" i="16" s="1"/>
  <c r="F328" i="16"/>
  <c r="G328" i="16" s="1"/>
  <c r="BY328" i="6" s="1"/>
  <c r="F224" i="16"/>
  <c r="H224" i="16" s="1"/>
  <c r="I224" i="16" s="1"/>
  <c r="F90" i="16"/>
  <c r="AA90" i="16" s="1"/>
  <c r="Z90" i="16" s="1"/>
  <c r="Y90" i="16" s="1"/>
  <c r="F154" i="16"/>
  <c r="H154" i="16" s="1"/>
  <c r="I154" i="16" s="1"/>
  <c r="F143" i="16"/>
  <c r="G143" i="16" s="1"/>
  <c r="BY143" i="6" s="1"/>
  <c r="F121" i="16"/>
  <c r="G121" i="16" s="1"/>
  <c r="BY121" i="6" s="1"/>
  <c r="H90" i="16"/>
  <c r="I90" i="16" s="1"/>
  <c r="F257" i="16"/>
  <c r="G257" i="16" s="1"/>
  <c r="BY257" i="6" s="1"/>
  <c r="F284" i="16"/>
  <c r="H284" i="16" s="1"/>
  <c r="J284" i="16" s="1"/>
  <c r="F24" i="16"/>
  <c r="G24" i="16" s="1"/>
  <c r="BY24" i="6" s="1"/>
  <c r="F355" i="16"/>
  <c r="H355" i="16" s="1"/>
  <c r="I355" i="16" s="1"/>
  <c r="F307" i="16"/>
  <c r="G307" i="16" s="1"/>
  <c r="BY307" i="6" s="1"/>
  <c r="F271" i="16"/>
  <c r="F67" i="16"/>
  <c r="G67" i="16" s="1"/>
  <c r="BY67" i="6" s="1"/>
  <c r="F362" i="16"/>
  <c r="G362" i="16" s="1"/>
  <c r="BY362" i="6" s="1"/>
  <c r="F200" i="16"/>
  <c r="G200" i="16" s="1"/>
  <c r="BY200" i="6" s="1"/>
  <c r="F114" i="16"/>
  <c r="G114" i="16" s="1"/>
  <c r="BY114" i="6" s="1"/>
  <c r="F293" i="16"/>
  <c r="F213" i="16"/>
  <c r="F19" i="16"/>
  <c r="F368" i="16"/>
  <c r="G368" i="16" s="1"/>
  <c r="BY368" i="6" s="1"/>
  <c r="F304" i="16"/>
  <c r="G304" i="16" s="1"/>
  <c r="BY304" i="6" s="1"/>
  <c r="F242" i="16"/>
  <c r="H242" i="16" s="1"/>
  <c r="J242" i="16" s="1"/>
  <c r="F208" i="16"/>
  <c r="F347" i="16"/>
  <c r="G347" i="16" s="1"/>
  <c r="BY347" i="6" s="1"/>
  <c r="F25" i="16"/>
  <c r="AA25" i="16" s="1"/>
  <c r="Z25" i="16" s="1"/>
  <c r="Y25" i="16" s="1"/>
  <c r="F260" i="16"/>
  <c r="F130" i="16"/>
  <c r="V363" i="16"/>
  <c r="F363" i="16" s="1"/>
  <c r="G363" i="16" s="1"/>
  <c r="BY363" i="6" s="1"/>
  <c r="F81" i="16"/>
  <c r="F316" i="16"/>
  <c r="G316" i="16" s="1"/>
  <c r="BY316" i="6" s="1"/>
  <c r="F278" i="16"/>
  <c r="G278" i="16" s="1"/>
  <c r="BY278" i="6" s="1"/>
  <c r="F182" i="16"/>
  <c r="G182" i="16" s="1"/>
  <c r="BY182" i="6" s="1"/>
  <c r="F106" i="16"/>
  <c r="F369" i="16"/>
  <c r="H369" i="16" s="1"/>
  <c r="J369" i="16" s="1"/>
  <c r="F262" i="16"/>
  <c r="G262" i="16" s="1"/>
  <c r="BY262" i="6" s="1"/>
  <c r="F230" i="16"/>
  <c r="F122" i="16"/>
  <c r="G122" i="16" s="1"/>
  <c r="BY122" i="6" s="1"/>
  <c r="AD373" i="16"/>
  <c r="AD341" i="16"/>
  <c r="AD302" i="16"/>
  <c r="AD270" i="16"/>
  <c r="AD250" i="16"/>
  <c r="AD116" i="16"/>
  <c r="AD68" i="16"/>
  <c r="AD345" i="16"/>
  <c r="AD346" i="16"/>
  <c r="AD286" i="16"/>
  <c r="AD242" i="16"/>
  <c r="AD156" i="16"/>
  <c r="AD102" i="16"/>
  <c r="AD54" i="16"/>
  <c r="AD44" i="16"/>
  <c r="AD20" i="16"/>
  <c r="AD225" i="16"/>
  <c r="AD153" i="16"/>
  <c r="AD77" i="16"/>
  <c r="AD41" i="16"/>
  <c r="AD21" i="16"/>
  <c r="F321" i="16"/>
  <c r="G321" i="16" s="1"/>
  <c r="BY321" i="6" s="1"/>
  <c r="AD164" i="16"/>
  <c r="AD165" i="16"/>
  <c r="AD73" i="16"/>
  <c r="AD49" i="16"/>
  <c r="P30" i="16"/>
  <c r="V30" i="16" s="1"/>
  <c r="AD305" i="16"/>
  <c r="AD237" i="16"/>
  <c r="AD217" i="16"/>
  <c r="AD93" i="16"/>
  <c r="AD61" i="16"/>
  <c r="P38" i="16"/>
  <c r="V38" i="16" s="1"/>
  <c r="AD349" i="16"/>
  <c r="AD309" i="16"/>
  <c r="AD249" i="16"/>
  <c r="AD173" i="16"/>
  <c r="AD125" i="16"/>
  <c r="P172" i="16"/>
  <c r="V172" i="16" s="1"/>
  <c r="P140" i="16"/>
  <c r="P108" i="16"/>
  <c r="V108" i="16" s="1"/>
  <c r="P73" i="16"/>
  <c r="V73" i="16" s="1"/>
  <c r="AD342" i="16"/>
  <c r="AD246" i="16"/>
  <c r="AD142" i="16"/>
  <c r="F359" i="16"/>
  <c r="G359" i="16" s="1"/>
  <c r="BY359" i="6" s="1"/>
  <c r="F315" i="16"/>
  <c r="F185" i="16"/>
  <c r="F161" i="16"/>
  <c r="H161" i="16" s="1"/>
  <c r="J161" i="16" s="1"/>
  <c r="F71" i="16"/>
  <c r="F59" i="16"/>
  <c r="F358" i="16"/>
  <c r="G358" i="16" s="1"/>
  <c r="BY358" i="6" s="1"/>
  <c r="F188" i="16"/>
  <c r="F94" i="16"/>
  <c r="G94" i="16" s="1"/>
  <c r="BY94" i="6" s="1"/>
  <c r="F82" i="16"/>
  <c r="H82" i="16" s="1"/>
  <c r="I82" i="16" s="1"/>
  <c r="F146" i="16"/>
  <c r="G146" i="16" s="1"/>
  <c r="BY146" i="6" s="1"/>
  <c r="F337" i="16"/>
  <c r="G337" i="16" s="1"/>
  <c r="BY337" i="6" s="1"/>
  <c r="F313" i="16"/>
  <c r="G313" i="16" s="1"/>
  <c r="BY313" i="6" s="1"/>
  <c r="F151" i="16"/>
  <c r="F135" i="16"/>
  <c r="F364" i="16"/>
  <c r="H364" i="16" s="1"/>
  <c r="J364" i="16" s="1"/>
  <c r="F318" i="16"/>
  <c r="H318" i="16" s="1"/>
  <c r="J318" i="16" s="1"/>
  <c r="F294" i="16"/>
  <c r="F238" i="16"/>
  <c r="F198" i="16"/>
  <c r="H198" i="16" s="1"/>
  <c r="J198" i="16" s="1"/>
  <c r="F219" i="16"/>
  <c r="G219" i="16" s="1"/>
  <c r="BY219" i="6" s="1"/>
  <c r="P247" i="16"/>
  <c r="V247" i="16" s="1"/>
  <c r="F247" i="16" s="1"/>
  <c r="P97" i="16"/>
  <c r="V97" i="16" s="1"/>
  <c r="AD37" i="16"/>
  <c r="P297" i="16"/>
  <c r="V297" i="16" s="1"/>
  <c r="F297" i="16" s="1"/>
  <c r="P217" i="16"/>
  <c r="P33" i="16"/>
  <c r="V33" i="16" s="1"/>
  <c r="AD370" i="16"/>
  <c r="AD322" i="16"/>
  <c r="AD222" i="16"/>
  <c r="AD46" i="16"/>
  <c r="P123" i="16"/>
  <c r="S192" i="16"/>
  <c r="R192" i="16" s="1"/>
  <c r="P192" i="16" s="1"/>
  <c r="S216" i="16"/>
  <c r="R216" i="16" s="1"/>
  <c r="P216" i="16" s="1"/>
  <c r="S232" i="16"/>
  <c r="R232" i="16" s="1"/>
  <c r="P232" i="16" s="1"/>
  <c r="S240" i="16"/>
  <c r="R240" i="16" s="1"/>
  <c r="P240" i="16" s="1"/>
  <c r="S248" i="16"/>
  <c r="R248" i="16" s="1"/>
  <c r="P248" i="16" s="1"/>
  <c r="S256" i="16"/>
  <c r="R256" i="16" s="1"/>
  <c r="P256" i="16" s="1"/>
  <c r="S264" i="16"/>
  <c r="R264" i="16" s="1"/>
  <c r="P264" i="16" s="1"/>
  <c r="S272" i="16"/>
  <c r="R272" i="16" s="1"/>
  <c r="P272" i="16" s="1"/>
  <c r="S280" i="16"/>
  <c r="R280" i="16" s="1"/>
  <c r="P280" i="16" s="1"/>
  <c r="S288" i="16"/>
  <c r="R288" i="16" s="1"/>
  <c r="P288" i="16" s="1"/>
  <c r="S312" i="16"/>
  <c r="R312" i="16" s="1"/>
  <c r="P312" i="16" s="1"/>
  <c r="S320" i="16"/>
  <c r="R320" i="16" s="1"/>
  <c r="P320" i="16" s="1"/>
  <c r="S336" i="16"/>
  <c r="R336" i="16" s="1"/>
  <c r="P336" i="16" s="1"/>
  <c r="S344" i="16"/>
  <c r="R344" i="16" s="1"/>
  <c r="P344" i="16" s="1"/>
  <c r="S352" i="16"/>
  <c r="R352" i="16" s="1"/>
  <c r="P352" i="16" s="1"/>
  <c r="S360" i="16"/>
  <c r="R360" i="16" s="1"/>
  <c r="P360" i="16" s="1"/>
  <c r="S319" i="16"/>
  <c r="R319" i="16" s="1"/>
  <c r="P319" i="16" s="1"/>
  <c r="S175" i="16"/>
  <c r="R175" i="16" s="1"/>
  <c r="P175" i="16" s="1"/>
  <c r="V175" i="16" s="1"/>
  <c r="F175" i="16" s="1"/>
  <c r="S159" i="16"/>
  <c r="R159" i="16" s="1"/>
  <c r="P159" i="16" s="1"/>
  <c r="U381" i="16"/>
  <c r="U382" i="16"/>
  <c r="T15" i="16"/>
  <c r="U383" i="16"/>
  <c r="P351" i="16"/>
  <c r="P329" i="16"/>
  <c r="P190" i="16"/>
  <c r="P43" i="16"/>
  <c r="V43" i="16" s="1"/>
  <c r="F43" i="16" s="1"/>
  <c r="AA43" i="16" s="1"/>
  <c r="Z43" i="16" s="1"/>
  <c r="Y43" i="16" s="1"/>
  <c r="P129" i="16"/>
  <c r="V129" i="16" s="1"/>
  <c r="F129" i="16" s="1"/>
  <c r="H129" i="16" s="1"/>
  <c r="P145" i="16"/>
  <c r="V145" i="16" s="1"/>
  <c r="F145" i="16" s="1"/>
  <c r="H145" i="16" s="1"/>
  <c r="P201" i="16"/>
  <c r="V201" i="16" s="1"/>
  <c r="F201" i="16" s="1"/>
  <c r="G201" i="16" s="1"/>
  <c r="BY201" i="6" s="1"/>
  <c r="P209" i="16"/>
  <c r="P225" i="16"/>
  <c r="V225" i="16" s="1"/>
  <c r="F225" i="16" s="1"/>
  <c r="H225" i="16" s="1"/>
  <c r="P241" i="16"/>
  <c r="P249" i="16"/>
  <c r="V249" i="16" s="1"/>
  <c r="F249" i="16" s="1"/>
  <c r="G249" i="16" s="1"/>
  <c r="BY249" i="6" s="1"/>
  <c r="P273" i="16"/>
  <c r="V273" i="16" s="1"/>
  <c r="F273" i="16" s="1"/>
  <c r="H273" i="16" s="1"/>
  <c r="P281" i="16"/>
  <c r="V281" i="16" s="1"/>
  <c r="F281" i="16" s="1"/>
  <c r="G281" i="16" s="1"/>
  <c r="BY281" i="6" s="1"/>
  <c r="P63" i="16"/>
  <c r="P86" i="16"/>
  <c r="P142" i="16"/>
  <c r="P150" i="16"/>
  <c r="P158" i="16"/>
  <c r="P166" i="16"/>
  <c r="P174" i="16"/>
  <c r="AD365" i="16"/>
  <c r="AD357" i="16"/>
  <c r="AD337" i="16"/>
  <c r="AD321" i="16"/>
  <c r="AD313" i="16"/>
  <c r="AD293" i="16"/>
  <c r="AD285" i="16"/>
  <c r="AD273" i="16"/>
  <c r="AD265" i="16"/>
  <c r="AD257" i="16"/>
  <c r="AD241" i="16"/>
  <c r="AD209" i="16"/>
  <c r="AD197" i="16"/>
  <c r="AD189" i="16"/>
  <c r="AD177" i="16"/>
  <c r="AD161" i="16"/>
  <c r="AD149" i="16"/>
  <c r="AD141" i="16"/>
  <c r="AD129" i="16"/>
  <c r="AD117" i="16"/>
  <c r="AD101" i="16"/>
  <c r="AD89" i="16"/>
  <c r="AD81" i="16"/>
  <c r="AD45" i="16"/>
  <c r="P72" i="16"/>
  <c r="P64" i="16"/>
  <c r="P52" i="16"/>
  <c r="V52" i="16" s="1"/>
  <c r="F52" i="16" s="1"/>
  <c r="G52" i="16" s="1"/>
  <c r="BY52" i="6" s="1"/>
  <c r="P44" i="16"/>
  <c r="P28" i="16"/>
  <c r="V28" i="16" s="1"/>
  <c r="P20" i="16"/>
  <c r="AD374" i="16"/>
  <c r="AD354" i="16"/>
  <c r="AD334" i="16"/>
  <c r="AD326" i="16"/>
  <c r="AA326" i="16" s="1"/>
  <c r="Z326" i="16" s="1"/>
  <c r="Y326" i="16" s="1"/>
  <c r="AD310" i="16"/>
  <c r="AD290" i="16"/>
  <c r="AD278" i="16"/>
  <c r="AD262" i="16"/>
  <c r="AD234" i="16"/>
  <c r="AD226" i="16"/>
  <c r="AA226" i="16" s="1"/>
  <c r="Z226" i="16" s="1"/>
  <c r="Y226" i="16" s="1"/>
  <c r="AD214" i="16"/>
  <c r="AD202" i="16"/>
  <c r="AD194" i="16"/>
  <c r="AD182" i="16"/>
  <c r="AD174" i="16"/>
  <c r="AD166" i="16"/>
  <c r="AD150" i="16"/>
  <c r="AD134" i="16"/>
  <c r="AD86" i="16"/>
  <c r="AD78" i="16"/>
  <c r="AD38" i="16"/>
  <c r="S186" i="16"/>
  <c r="R186" i="16" s="1"/>
  <c r="P186" i="16" s="1"/>
  <c r="S194" i="16"/>
  <c r="R194" i="16" s="1"/>
  <c r="P194" i="16" s="1"/>
  <c r="S202" i="16"/>
  <c r="R202" i="16" s="1"/>
  <c r="P202" i="16" s="1"/>
  <c r="S218" i="16"/>
  <c r="R218" i="16" s="1"/>
  <c r="P218" i="16" s="1"/>
  <c r="S234" i="16"/>
  <c r="R234" i="16" s="1"/>
  <c r="P234" i="16" s="1"/>
  <c r="S250" i="16"/>
  <c r="R250" i="16" s="1"/>
  <c r="P250" i="16" s="1"/>
  <c r="S258" i="16"/>
  <c r="R258" i="16" s="1"/>
  <c r="P258" i="16" s="1"/>
  <c r="S282" i="16"/>
  <c r="R282" i="16" s="1"/>
  <c r="P282" i="16" s="1"/>
  <c r="S290" i="16"/>
  <c r="R290" i="16" s="1"/>
  <c r="P290" i="16" s="1"/>
  <c r="S298" i="16"/>
  <c r="R298" i="16" s="1"/>
  <c r="P298" i="16" s="1"/>
  <c r="S306" i="16"/>
  <c r="R306" i="16" s="1"/>
  <c r="P306" i="16" s="1"/>
  <c r="S314" i="16"/>
  <c r="R314" i="16" s="1"/>
  <c r="P314" i="16" s="1"/>
  <c r="S330" i="16"/>
  <c r="R330" i="16" s="1"/>
  <c r="P330" i="16" s="1"/>
  <c r="S338" i="16"/>
  <c r="R338" i="16" s="1"/>
  <c r="P338" i="16" s="1"/>
  <c r="S346" i="16"/>
  <c r="R346" i="16" s="1"/>
  <c r="P346" i="16" s="1"/>
  <c r="S354" i="16"/>
  <c r="R354" i="16" s="1"/>
  <c r="P354" i="16" s="1"/>
  <c r="S370" i="16"/>
  <c r="R370" i="16" s="1"/>
  <c r="P370" i="16" s="1"/>
  <c r="S323" i="16"/>
  <c r="R323" i="16" s="1"/>
  <c r="P323" i="16" s="1"/>
  <c r="S109" i="16"/>
  <c r="R109" i="16" s="1"/>
  <c r="P109" i="16" s="1"/>
  <c r="S85" i="16"/>
  <c r="R85" i="16" s="1"/>
  <c r="P85" i="16" s="1"/>
  <c r="AI12" i="17"/>
  <c r="AH379" i="16"/>
  <c r="AG291" i="16"/>
  <c r="AF291" i="16" s="1"/>
  <c r="AD291" i="16" s="1"/>
  <c r="AH15" i="16"/>
  <c r="AI383" i="16"/>
  <c r="AI381" i="16"/>
  <c r="AI382" i="16"/>
  <c r="P345" i="16"/>
  <c r="V345" i="16" s="1"/>
  <c r="F345" i="16" s="1"/>
  <c r="G345" i="16" s="1"/>
  <c r="BY345" i="6" s="1"/>
  <c r="P353" i="16"/>
  <c r="V353" i="16" s="1"/>
  <c r="F353" i="16" s="1"/>
  <c r="AA353" i="16" s="1"/>
  <c r="Z353" i="16" s="1"/>
  <c r="Y353" i="16" s="1"/>
  <c r="P361" i="16"/>
  <c r="V361" i="16" s="1"/>
  <c r="F361" i="16" s="1"/>
  <c r="G361" i="16" s="1"/>
  <c r="BY361" i="6" s="1"/>
  <c r="P373" i="16"/>
  <c r="V373" i="16" s="1"/>
  <c r="F373" i="16" s="1"/>
  <c r="P183" i="16"/>
  <c r="P171" i="16"/>
  <c r="P117" i="16"/>
  <c r="V117" i="16" s="1"/>
  <c r="F117" i="16" s="1"/>
  <c r="P105" i="16"/>
  <c r="V105" i="16" s="1"/>
  <c r="F105" i="16" s="1"/>
  <c r="P157" i="16"/>
  <c r="V157" i="16" s="1"/>
  <c r="F157" i="16" s="1"/>
  <c r="G157" i="16" s="1"/>
  <c r="BY157" i="6" s="1"/>
  <c r="P181" i="16"/>
  <c r="V181" i="16" s="1"/>
  <c r="F181" i="16" s="1"/>
  <c r="G181" i="16" s="1"/>
  <c r="BY181" i="6" s="1"/>
  <c r="P191" i="16"/>
  <c r="P203" i="16"/>
  <c r="V203" i="16" s="1"/>
  <c r="F203" i="16" s="1"/>
  <c r="P215" i="16"/>
  <c r="V215" i="16" s="1"/>
  <c r="F215" i="16" s="1"/>
  <c r="G215" i="16" s="1"/>
  <c r="BY215" i="6" s="1"/>
  <c r="P227" i="16"/>
  <c r="V227" i="16" s="1"/>
  <c r="F227" i="16" s="1"/>
  <c r="P239" i="16"/>
  <c r="V239" i="16" s="1"/>
  <c r="F239" i="16" s="1"/>
  <c r="G239" i="16" s="1"/>
  <c r="BY239" i="6" s="1"/>
  <c r="P255" i="16"/>
  <c r="V255" i="16" s="1"/>
  <c r="F255" i="16" s="1"/>
  <c r="P263" i="16"/>
  <c r="P279" i="16"/>
  <c r="V279" i="16" s="1"/>
  <c r="F279" i="16" s="1"/>
  <c r="H279" i="16" s="1"/>
  <c r="P291" i="16"/>
  <c r="P303" i="16"/>
  <c r="V303" i="16" s="1"/>
  <c r="F303" i="16" s="1"/>
  <c r="P115" i="16"/>
  <c r="P99" i="16"/>
  <c r="P39" i="16"/>
  <c r="AD371" i="16"/>
  <c r="AD351" i="16"/>
  <c r="AD343" i="16"/>
  <c r="AD323" i="16"/>
  <c r="AD315" i="16"/>
  <c r="AD307" i="16"/>
  <c r="AD299" i="16"/>
  <c r="AD279" i="16"/>
  <c r="AD243" i="16"/>
  <c r="AD235" i="16"/>
  <c r="AD219" i="16"/>
  <c r="AD199" i="16"/>
  <c r="AD191" i="16"/>
  <c r="AD179" i="16"/>
  <c r="AD167" i="16"/>
  <c r="AD155" i="16"/>
  <c r="AD119" i="16"/>
  <c r="AD79" i="16"/>
  <c r="AD67" i="16"/>
  <c r="AD47" i="16"/>
  <c r="AD31" i="16"/>
  <c r="P49" i="16"/>
  <c r="P80" i="16"/>
  <c r="P100" i="16"/>
  <c r="P116" i="16"/>
  <c r="P124" i="16"/>
  <c r="P132" i="16"/>
  <c r="P144" i="16"/>
  <c r="P156" i="16"/>
  <c r="P164" i="16"/>
  <c r="P180" i="16"/>
  <c r="P74" i="16"/>
  <c r="V74" i="16" s="1"/>
  <c r="P46" i="16"/>
  <c r="V46" i="16" s="1"/>
  <c r="P26" i="16"/>
  <c r="AD376" i="16"/>
  <c r="AA376" i="16" s="1"/>
  <c r="Z376" i="16" s="1"/>
  <c r="Y376" i="16" s="1"/>
  <c r="AD356" i="16"/>
  <c r="AD348" i="16"/>
  <c r="AD340" i="16"/>
  <c r="AD332" i="16"/>
  <c r="AD316" i="16"/>
  <c r="AD308" i="16"/>
  <c r="AD296" i="16"/>
  <c r="AD288" i="16"/>
  <c r="AD280" i="16"/>
  <c r="AD272" i="16"/>
  <c r="AD264" i="16"/>
  <c r="AD248" i="16"/>
  <c r="AD236" i="16"/>
  <c r="AD216" i="16"/>
  <c r="AD184" i="16"/>
  <c r="AD172" i="16"/>
  <c r="AD152" i="16"/>
  <c r="AD136" i="16"/>
  <c r="AD124" i="16"/>
  <c r="AD108" i="16"/>
  <c r="AD100" i="16"/>
  <c r="AD80" i="16"/>
  <c r="AD72" i="16"/>
  <c r="AD40" i="16"/>
  <c r="AD32" i="16"/>
  <c r="S196" i="16"/>
  <c r="R196" i="16" s="1"/>
  <c r="P196" i="16" s="1"/>
  <c r="S204" i="16"/>
  <c r="R204" i="16" s="1"/>
  <c r="P204" i="16" s="1"/>
  <c r="S220" i="16"/>
  <c r="R220" i="16" s="1"/>
  <c r="P220" i="16" s="1"/>
  <c r="S236" i="16"/>
  <c r="R236" i="16" s="1"/>
  <c r="P236" i="16" s="1"/>
  <c r="S244" i="16"/>
  <c r="R244" i="16" s="1"/>
  <c r="P244" i="16" s="1"/>
  <c r="S252" i="16"/>
  <c r="R252" i="16" s="1"/>
  <c r="P252" i="16" s="1"/>
  <c r="S268" i="16"/>
  <c r="R268" i="16" s="1"/>
  <c r="P268" i="16" s="1"/>
  <c r="S276" i="16"/>
  <c r="R276" i="16" s="1"/>
  <c r="P276" i="16" s="1"/>
  <c r="S292" i="16"/>
  <c r="R292" i="16" s="1"/>
  <c r="P292" i="16" s="1"/>
  <c r="S324" i="16"/>
  <c r="R324" i="16" s="1"/>
  <c r="P324" i="16" s="1"/>
  <c r="S332" i="16"/>
  <c r="R332" i="16" s="1"/>
  <c r="P332" i="16" s="1"/>
  <c r="S340" i="16"/>
  <c r="R340" i="16" s="1"/>
  <c r="P340" i="16" s="1"/>
  <c r="S348" i="16"/>
  <c r="R348" i="16" s="1"/>
  <c r="P348" i="16" s="1"/>
  <c r="S356" i="16"/>
  <c r="R356" i="16" s="1"/>
  <c r="P356" i="16" s="1"/>
  <c r="S327" i="16"/>
  <c r="R327" i="16" s="1"/>
  <c r="P327" i="16" s="1"/>
  <c r="S167" i="16"/>
  <c r="R167" i="16" s="1"/>
  <c r="P167" i="16" s="1"/>
  <c r="P343" i="16"/>
  <c r="P375" i="16"/>
  <c r="V375" i="16" s="1"/>
  <c r="F375" i="16" s="1"/>
  <c r="H375" i="16" s="1"/>
  <c r="J375" i="16" s="1"/>
  <c r="P76" i="16"/>
  <c r="P68" i="16"/>
  <c r="P60" i="16"/>
  <c r="S206" i="16"/>
  <c r="R206" i="16" s="1"/>
  <c r="P206" i="16" s="1"/>
  <c r="S214" i="16"/>
  <c r="R214" i="16" s="1"/>
  <c r="P214" i="16" s="1"/>
  <c r="S246" i="16"/>
  <c r="R246" i="16" s="1"/>
  <c r="P246" i="16" s="1"/>
  <c r="S254" i="16"/>
  <c r="R254" i="16" s="1"/>
  <c r="P254" i="16" s="1"/>
  <c r="S270" i="16"/>
  <c r="R270" i="16" s="1"/>
  <c r="P270" i="16" s="1"/>
  <c r="S286" i="16"/>
  <c r="R286" i="16" s="1"/>
  <c r="P286" i="16" s="1"/>
  <c r="S302" i="16"/>
  <c r="R302" i="16" s="1"/>
  <c r="P302" i="16" s="1"/>
  <c r="S334" i="16"/>
  <c r="R334" i="16" s="1"/>
  <c r="P334" i="16" s="1"/>
  <c r="S350" i="16"/>
  <c r="R350" i="16" s="1"/>
  <c r="P350" i="16" s="1"/>
  <c r="S366" i="16"/>
  <c r="R366" i="16" s="1"/>
  <c r="P366" i="16" s="1"/>
  <c r="P16" i="7"/>
  <c r="V11" i="7" s="1"/>
  <c r="U11" i="17" s="1"/>
  <c r="T379" i="16"/>
  <c r="S379" i="16" s="1"/>
  <c r="R379" i="16" s="1"/>
  <c r="P379" i="16" s="1"/>
  <c r="U12" i="17"/>
  <c r="U16" i="7" s="1"/>
  <c r="S331" i="16"/>
  <c r="R331" i="16" s="1"/>
  <c r="P331" i="16" s="1"/>
  <c r="P377" i="16"/>
  <c r="V377" i="16" s="1"/>
  <c r="F377" i="16" s="1"/>
  <c r="P155" i="16"/>
  <c r="V155" i="16" s="1"/>
  <c r="F155" i="16" s="1"/>
  <c r="H155" i="16" s="1"/>
  <c r="P23" i="16"/>
  <c r="P187" i="16"/>
  <c r="V187" i="16" s="1"/>
  <c r="F187" i="16" s="1"/>
  <c r="G187" i="16" s="1"/>
  <c r="BY187" i="6" s="1"/>
  <c r="P235" i="16"/>
  <c r="V235" i="16" s="1"/>
  <c r="F235" i="16" s="1"/>
  <c r="P251" i="16"/>
  <c r="V251" i="16" s="1"/>
  <c r="F251" i="16" s="1"/>
  <c r="G251" i="16" s="1"/>
  <c r="BY251" i="6" s="1"/>
  <c r="P267" i="16"/>
  <c r="V267" i="16" s="1"/>
  <c r="F267" i="16" s="1"/>
  <c r="P283" i="16"/>
  <c r="V283" i="16" s="1"/>
  <c r="F283" i="16" s="1"/>
  <c r="H283" i="16" s="1"/>
  <c r="P295" i="16"/>
  <c r="P311" i="16"/>
  <c r="V311" i="16" s="1"/>
  <c r="F311" i="16" s="1"/>
  <c r="G311" i="16" s="1"/>
  <c r="BY311" i="6" s="1"/>
  <c r="P107" i="16"/>
  <c r="P55" i="16"/>
  <c r="P41" i="16"/>
  <c r="P65" i="16"/>
  <c r="P148" i="16"/>
  <c r="P78" i="16"/>
  <c r="V78" i="16" s="1"/>
  <c r="P22" i="16"/>
  <c r="AD148" i="16"/>
  <c r="AD92" i="16"/>
  <c r="AD76" i="16"/>
  <c r="AD36" i="16"/>
  <c r="AD28" i="16"/>
  <c r="I288" i="15"/>
  <c r="Q320" i="17"/>
  <c r="G226" i="16"/>
  <c r="BY226" i="6" s="1"/>
  <c r="I136" i="15"/>
  <c r="Q312" i="17"/>
  <c r="G326" i="16"/>
  <c r="BY326" i="6" s="1"/>
  <c r="I241" i="15"/>
  <c r="J241" i="15"/>
  <c r="H178" i="16"/>
  <c r="J178" i="16" s="1"/>
  <c r="H98" i="16"/>
  <c r="I98" i="16" s="1"/>
  <c r="H376" i="16"/>
  <c r="I376" i="16" s="1"/>
  <c r="G163" i="16"/>
  <c r="BY163" i="6" s="1"/>
  <c r="Q348" i="17"/>
  <c r="Q280" i="17"/>
  <c r="Q136" i="17"/>
  <c r="G169" i="16"/>
  <c r="BY169" i="6" s="1"/>
  <c r="I108" i="15"/>
  <c r="H169" i="16"/>
  <c r="J169" i="16" s="1"/>
  <c r="G178" i="16"/>
  <c r="BY178" i="6" s="1"/>
  <c r="G193" i="16"/>
  <c r="BY193" i="6" s="1"/>
  <c r="H193" i="16"/>
  <c r="G245" i="16"/>
  <c r="BY245" i="6" s="1"/>
  <c r="H245" i="16"/>
  <c r="H265" i="16"/>
  <c r="G301" i="16"/>
  <c r="BY301" i="6" s="1"/>
  <c r="H301" i="16"/>
  <c r="Q112" i="17"/>
  <c r="F149" i="16"/>
  <c r="H149" i="16" s="1"/>
  <c r="F93" i="16"/>
  <c r="G93" i="16" s="1"/>
  <c r="BY93" i="6" s="1"/>
  <c r="F378" i="16"/>
  <c r="H378" i="16" s="1"/>
  <c r="F372" i="16"/>
  <c r="F342" i="16"/>
  <c r="H342" i="16" s="1"/>
  <c r="F322" i="16"/>
  <c r="F308" i="16"/>
  <c r="F274" i="16"/>
  <c r="G274" i="16" s="1"/>
  <c r="BY274" i="6" s="1"/>
  <c r="F31" i="16"/>
  <c r="G31" i="16" s="1"/>
  <c r="BY31" i="6" s="1"/>
  <c r="F310" i="16"/>
  <c r="F199" i="16"/>
  <c r="F374" i="16"/>
  <c r="F222" i="16"/>
  <c r="H222" i="16" s="1"/>
  <c r="F197" i="16"/>
  <c r="F21" i="16"/>
  <c r="G21" i="16" s="1"/>
  <c r="BY21" i="6" s="1"/>
  <c r="F296" i="16"/>
  <c r="F233" i="16"/>
  <c r="H233" i="16" s="1"/>
  <c r="F212" i="16"/>
  <c r="G212" i="16" s="1"/>
  <c r="BY212" i="6" s="1"/>
  <c r="F139" i="16"/>
  <c r="F42" i="16"/>
  <c r="AA42" i="16" s="1"/>
  <c r="Z42" i="16" s="1"/>
  <c r="Y42" i="16" s="1"/>
  <c r="F18" i="16"/>
  <c r="H18" i="16" s="1"/>
  <c r="J18" i="16" s="1"/>
  <c r="F341" i="16"/>
  <c r="H341" i="16" s="1"/>
  <c r="F299" i="16"/>
  <c r="G299" i="16" s="1"/>
  <c r="BY299" i="6" s="1"/>
  <c r="F173" i="16"/>
  <c r="G173" i="16" s="1"/>
  <c r="BY173" i="6" s="1"/>
  <c r="Q29" i="17"/>
  <c r="Q47" i="17"/>
  <c r="Q63" i="17"/>
  <c r="Q79" i="17"/>
  <c r="Q95" i="17"/>
  <c r="Q111" i="17"/>
  <c r="Q127" i="17"/>
  <c r="Q143" i="17"/>
  <c r="Q159" i="17"/>
  <c r="Q175" i="17"/>
  <c r="Q191" i="17"/>
  <c r="Q207" i="17"/>
  <c r="Q223" i="17"/>
  <c r="Q239" i="17"/>
  <c r="Q253" i="17"/>
  <c r="Q261" i="17"/>
  <c r="Q269" i="17"/>
  <c r="Q277" i="17"/>
  <c r="Q285" i="17"/>
  <c r="Q34" i="17"/>
  <c r="Q50" i="17"/>
  <c r="Q66" i="17"/>
  <c r="Q82" i="17"/>
  <c r="Q98" i="17"/>
  <c r="Q114" i="17"/>
  <c r="Q130" i="17"/>
  <c r="Q146" i="17"/>
  <c r="Q162" i="17"/>
  <c r="Q178" i="17"/>
  <c r="Q194" i="17"/>
  <c r="Q210" i="17"/>
  <c r="Q226" i="17"/>
  <c r="Q242" i="17"/>
  <c r="Q258" i="17"/>
  <c r="Q274" i="17"/>
  <c r="Q289" i="17"/>
  <c r="Q297" i="17"/>
  <c r="Q305" i="17"/>
  <c r="Q313" i="17"/>
  <c r="Q321" i="17"/>
  <c r="Q329" i="17"/>
  <c r="Q337" i="17"/>
  <c r="Q345" i="17"/>
  <c r="Q353" i="17"/>
  <c r="Q361" i="17"/>
  <c r="Q369" i="17"/>
  <c r="Q377" i="17"/>
  <c r="Q370" i="17"/>
  <c r="Q354" i="17"/>
  <c r="Q338" i="17"/>
  <c r="Q322" i="17"/>
  <c r="Q306" i="17"/>
  <c r="Q290" i="17"/>
  <c r="Q260" i="17"/>
  <c r="Q228" i="17"/>
  <c r="Q196" i="17"/>
  <c r="Q164" i="17"/>
  <c r="Q132" i="17"/>
  <c r="Q100" i="17"/>
  <c r="Q68" i="17"/>
  <c r="Q36" i="17"/>
  <c r="F266" i="16"/>
  <c r="O381" i="23"/>
  <c r="O382" i="23"/>
  <c r="O383" i="23"/>
  <c r="AC383" i="22"/>
  <c r="AC381" i="22"/>
  <c r="AC382" i="22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28" i="17"/>
  <c r="Q20" i="17"/>
  <c r="F75" i="16"/>
  <c r="G75" i="16" s="1"/>
  <c r="BY75" i="6" s="1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I358" i="15"/>
  <c r="J358" i="15"/>
  <c r="J226" i="16"/>
  <c r="I226" i="16"/>
  <c r="AE372" i="17"/>
  <c r="AE364" i="17"/>
  <c r="AE356" i="17"/>
  <c r="AE348" i="17"/>
  <c r="AE340" i="17"/>
  <c r="AE332" i="17"/>
  <c r="AE324" i="17"/>
  <c r="AE316" i="17"/>
  <c r="AE308" i="17"/>
  <c r="AE300" i="17"/>
  <c r="AE292" i="17"/>
  <c r="AE284" i="17"/>
  <c r="AE276" i="17"/>
  <c r="AE268" i="17"/>
  <c r="AE264" i="17"/>
  <c r="AE260" i="17"/>
  <c r="AE256" i="17"/>
  <c r="AE252" i="17"/>
  <c r="AE248" i="17"/>
  <c r="AE244" i="17"/>
  <c r="AE240" i="17"/>
  <c r="AE236" i="17"/>
  <c r="AE232" i="17"/>
  <c r="AE228" i="17"/>
  <c r="AE224" i="17"/>
  <c r="AE220" i="17"/>
  <c r="AE216" i="17"/>
  <c r="AE212" i="17"/>
  <c r="AE208" i="17"/>
  <c r="AE204" i="17"/>
  <c r="AE200" i="17"/>
  <c r="AE196" i="17"/>
  <c r="AE192" i="17"/>
  <c r="AE188" i="17"/>
  <c r="AE184" i="17"/>
  <c r="AE180" i="17"/>
  <c r="AE176" i="17"/>
  <c r="AE172" i="17"/>
  <c r="AE168" i="17"/>
  <c r="AE164" i="17"/>
  <c r="AE160" i="17"/>
  <c r="AE156" i="17"/>
  <c r="AE152" i="17"/>
  <c r="AE148" i="17"/>
  <c r="AE144" i="17"/>
  <c r="AE140" i="17"/>
  <c r="AE136" i="17"/>
  <c r="AE132" i="17"/>
  <c r="AE128" i="17"/>
  <c r="AE124" i="17"/>
  <c r="AE120" i="17"/>
  <c r="AE116" i="17"/>
  <c r="AE112" i="17"/>
  <c r="AE108" i="17"/>
  <c r="AE104" i="17"/>
  <c r="AE100" i="17"/>
  <c r="AE96" i="17"/>
  <c r="AE92" i="17"/>
  <c r="AE88" i="17"/>
  <c r="AE84" i="17"/>
  <c r="AE80" i="17"/>
  <c r="AE76" i="17"/>
  <c r="AE72" i="17"/>
  <c r="AE68" i="17"/>
  <c r="AE64" i="17"/>
  <c r="AE60" i="17"/>
  <c r="AE56" i="17"/>
  <c r="AE52" i="17"/>
  <c r="AE48" i="17"/>
  <c r="AE44" i="17"/>
  <c r="AE40" i="17"/>
  <c r="AE36" i="17"/>
  <c r="AE32" i="17"/>
  <c r="AE28" i="17"/>
  <c r="AE24" i="17"/>
  <c r="AE20" i="17"/>
  <c r="AE17" i="17"/>
  <c r="L382" i="22"/>
  <c r="L381" i="22"/>
  <c r="L383" i="22"/>
  <c r="I197" i="15"/>
  <c r="J197" i="15"/>
  <c r="G289" i="16"/>
  <c r="BY289" i="6" s="1"/>
  <c r="I324" i="15"/>
  <c r="J324" i="15"/>
  <c r="I227" i="15"/>
  <c r="J227" i="15"/>
  <c r="I51" i="15"/>
  <c r="J51" i="15"/>
  <c r="AD381" i="15"/>
  <c r="AD382" i="15"/>
  <c r="AD383" i="15"/>
  <c r="P383" i="15"/>
  <c r="P381" i="15"/>
  <c r="V15" i="15"/>
  <c r="F15" i="15" s="1"/>
  <c r="P382" i="15"/>
  <c r="I326" i="16"/>
  <c r="J326" i="16"/>
  <c r="F228" i="16"/>
  <c r="X378" i="25"/>
  <c r="L378" i="25"/>
  <c r="AB378" i="25"/>
  <c r="AJ378" i="25"/>
  <c r="K378" i="25"/>
  <c r="A379" i="25"/>
  <c r="A380" i="25" s="1"/>
  <c r="AK378" i="25"/>
  <c r="O378" i="25"/>
  <c r="AC378" i="25"/>
  <c r="AE379" i="17"/>
  <c r="AE12" i="18" s="1"/>
  <c r="AE375" i="17"/>
  <c r="AE371" i="17"/>
  <c r="AE367" i="17"/>
  <c r="AE363" i="17"/>
  <c r="AE359" i="17"/>
  <c r="AE355" i="17"/>
  <c r="AE351" i="17"/>
  <c r="AE347" i="17"/>
  <c r="AE343" i="17"/>
  <c r="AE339" i="17"/>
  <c r="AE335" i="17"/>
  <c r="AE331" i="17"/>
  <c r="AE327" i="17"/>
  <c r="AE323" i="17"/>
  <c r="AE319" i="17"/>
  <c r="AE315" i="17"/>
  <c r="AE311" i="17"/>
  <c r="AE307" i="17"/>
  <c r="AE303" i="17"/>
  <c r="AE299" i="17"/>
  <c r="AE295" i="17"/>
  <c r="AE291" i="17"/>
  <c r="AE287" i="17"/>
  <c r="AE283" i="17"/>
  <c r="AE279" i="17"/>
  <c r="AE275" i="17"/>
  <c r="AE271" i="17"/>
  <c r="AE267" i="17"/>
  <c r="AE263" i="17"/>
  <c r="AE259" i="17"/>
  <c r="AE255" i="17"/>
  <c r="AE251" i="17"/>
  <c r="AE247" i="17"/>
  <c r="AE243" i="17"/>
  <c r="AE239" i="17"/>
  <c r="AE235" i="17"/>
  <c r="AE231" i="17"/>
  <c r="AE227" i="17"/>
  <c r="AE223" i="17"/>
  <c r="AE219" i="17"/>
  <c r="AE215" i="17"/>
  <c r="AE211" i="17"/>
  <c r="AE207" i="17"/>
  <c r="AE203" i="17"/>
  <c r="AE199" i="17"/>
  <c r="AE195" i="17"/>
  <c r="AE191" i="17"/>
  <c r="AE187" i="17"/>
  <c r="AE183" i="17"/>
  <c r="AE179" i="17"/>
  <c r="AE175" i="17"/>
  <c r="AE171" i="17"/>
  <c r="AE167" i="17"/>
  <c r="AE163" i="17"/>
  <c r="AE159" i="17"/>
  <c r="AE155" i="17"/>
  <c r="AE151" i="17"/>
  <c r="AE147" i="17"/>
  <c r="AE143" i="17"/>
  <c r="AE139" i="17"/>
  <c r="AE135" i="17"/>
  <c r="AE131" i="17"/>
  <c r="AE127" i="17"/>
  <c r="AE123" i="17"/>
  <c r="AE119" i="17"/>
  <c r="AE115" i="17"/>
  <c r="AE111" i="17"/>
  <c r="AE107" i="17"/>
  <c r="AE103" i="17"/>
  <c r="AE99" i="17"/>
  <c r="AE95" i="17"/>
  <c r="AE91" i="17"/>
  <c r="AE87" i="17"/>
  <c r="AE83" i="17"/>
  <c r="AE79" i="17"/>
  <c r="AE75" i="17"/>
  <c r="AE71" i="17"/>
  <c r="AE67" i="17"/>
  <c r="AE63" i="17"/>
  <c r="AE59" i="17"/>
  <c r="AE55" i="17"/>
  <c r="AE51" i="17"/>
  <c r="AE47" i="17"/>
  <c r="AE43" i="17"/>
  <c r="AE39" i="17"/>
  <c r="AE35" i="17"/>
  <c r="AE31" i="17"/>
  <c r="AE27" i="17"/>
  <c r="AE23" i="17"/>
  <c r="AE16" i="17"/>
  <c r="AE18" i="17"/>
  <c r="I264" i="15"/>
  <c r="J264" i="15"/>
  <c r="F69" i="16" l="1"/>
  <c r="G69" i="16" s="1"/>
  <c r="BY69" i="6" s="1"/>
  <c r="AA265" i="16"/>
  <c r="Z265" i="16" s="1"/>
  <c r="Y265" i="16" s="1"/>
  <c r="AA163" i="16"/>
  <c r="Z163" i="16" s="1"/>
  <c r="Y163" i="16" s="1"/>
  <c r="AA98" i="16"/>
  <c r="Z98" i="16" s="1"/>
  <c r="Y98" i="16" s="1"/>
  <c r="V153" i="16"/>
  <c r="F153" i="16" s="1"/>
  <c r="Q31" i="17"/>
  <c r="Q336" i="17"/>
  <c r="Q256" i="17"/>
  <c r="Q304" i="17"/>
  <c r="Q352" i="17"/>
  <c r="Q288" i="17"/>
  <c r="Q152" i="17"/>
  <c r="Q360" i="17"/>
  <c r="Q328" i="17"/>
  <c r="Q296" i="17"/>
  <c r="Q240" i="17"/>
  <c r="Q176" i="17"/>
  <c r="Q56" i="17"/>
  <c r="Q372" i="17"/>
  <c r="Q356" i="17"/>
  <c r="Q340" i="17"/>
  <c r="Q324" i="17"/>
  <c r="Q308" i="17"/>
  <c r="Q292" i="17"/>
  <c r="Q264" i="17"/>
  <c r="Q232" i="17"/>
  <c r="Q200" i="17"/>
  <c r="Q168" i="17"/>
  <c r="Q104" i="17"/>
  <c r="Q40" i="17"/>
  <c r="Q160" i="17"/>
  <c r="Q128" i="17"/>
  <c r="Q96" i="17"/>
  <c r="Q64" i="17"/>
  <c r="Q17" i="17"/>
  <c r="Q25" i="17"/>
  <c r="Q33" i="17"/>
  <c r="Q37" i="17"/>
  <c r="Q41" i="17"/>
  <c r="Q45" i="17"/>
  <c r="Q49" i="17"/>
  <c r="Q53" i="17"/>
  <c r="Q57" i="17"/>
  <c r="Q61" i="17"/>
  <c r="Q65" i="17"/>
  <c r="Q69" i="17"/>
  <c r="Q73" i="17"/>
  <c r="Q77" i="17"/>
  <c r="Q81" i="17"/>
  <c r="Q85" i="17"/>
  <c r="Q89" i="17"/>
  <c r="Q93" i="17"/>
  <c r="Q97" i="17"/>
  <c r="Q101" i="17"/>
  <c r="Q105" i="17"/>
  <c r="Q109" i="17"/>
  <c r="Q113" i="17"/>
  <c r="Q117" i="17"/>
  <c r="Q121" i="17"/>
  <c r="Q125" i="17"/>
  <c r="Q129" i="17"/>
  <c r="Q133" i="17"/>
  <c r="Q137" i="17"/>
  <c r="Q141" i="17"/>
  <c r="Q145" i="17"/>
  <c r="Q149" i="17"/>
  <c r="Q153" i="17"/>
  <c r="Q157" i="17"/>
  <c r="Q161" i="17"/>
  <c r="Q165" i="17"/>
  <c r="Q169" i="17"/>
  <c r="Q173" i="17"/>
  <c r="Q177" i="17"/>
  <c r="Q181" i="17"/>
  <c r="Q185" i="17"/>
  <c r="Q189" i="17"/>
  <c r="Q193" i="17"/>
  <c r="Q197" i="17"/>
  <c r="Q201" i="17"/>
  <c r="Q205" i="17"/>
  <c r="Q209" i="17"/>
  <c r="Q213" i="17"/>
  <c r="Q217" i="17"/>
  <c r="Q221" i="17"/>
  <c r="Q225" i="17"/>
  <c r="Q229" i="17"/>
  <c r="Q233" i="17"/>
  <c r="Q237" i="17"/>
  <c r="Q241" i="17"/>
  <c r="Q245" i="17"/>
  <c r="Q249" i="17"/>
  <c r="Q192" i="17"/>
  <c r="Q224" i="17"/>
  <c r="Q344" i="17"/>
  <c r="Q272" i="17"/>
  <c r="Q120" i="17"/>
  <c r="Q88" i="17"/>
  <c r="Q364" i="17"/>
  <c r="Q332" i="17"/>
  <c r="Q300" i="17"/>
  <c r="Q248" i="17"/>
  <c r="Q184" i="17"/>
  <c r="Q72" i="17"/>
  <c r="Q144" i="17"/>
  <c r="Q80" i="17"/>
  <c r="Q21" i="17"/>
  <c r="Q35" i="17"/>
  <c r="Q43" i="17"/>
  <c r="Q51" i="17"/>
  <c r="Q59" i="17"/>
  <c r="Q67" i="17"/>
  <c r="Q75" i="17"/>
  <c r="Q83" i="17"/>
  <c r="Q91" i="17"/>
  <c r="Q99" i="17"/>
  <c r="Q107" i="17"/>
  <c r="Q115" i="17"/>
  <c r="Q123" i="17"/>
  <c r="Q131" i="17"/>
  <c r="Q139" i="17"/>
  <c r="Q147" i="17"/>
  <c r="Q155" i="17"/>
  <c r="Q163" i="17"/>
  <c r="Q171" i="17"/>
  <c r="Q179" i="17"/>
  <c r="Q187" i="17"/>
  <c r="Q195" i="17"/>
  <c r="Q203" i="17"/>
  <c r="Q211" i="17"/>
  <c r="Q219" i="17"/>
  <c r="Q227" i="17"/>
  <c r="Q235" i="17"/>
  <c r="Q243" i="17"/>
  <c r="Q251" i="17"/>
  <c r="Q255" i="17"/>
  <c r="Q259" i="17"/>
  <c r="Q263" i="17"/>
  <c r="Q267" i="17"/>
  <c r="Q271" i="17"/>
  <c r="Q275" i="17"/>
  <c r="Q279" i="17"/>
  <c r="Q283" i="17"/>
  <c r="Q287" i="17"/>
  <c r="Q27" i="17"/>
  <c r="Q38" i="17"/>
  <c r="Q46" i="17"/>
  <c r="Q54" i="17"/>
  <c r="Q62" i="17"/>
  <c r="Q70" i="17"/>
  <c r="Q78" i="17"/>
  <c r="Q86" i="17"/>
  <c r="Q94" i="17"/>
  <c r="Q102" i="17"/>
  <c r="Q110" i="17"/>
  <c r="Q118" i="17"/>
  <c r="Q126" i="17"/>
  <c r="Q134" i="17"/>
  <c r="Q142" i="17"/>
  <c r="Q150" i="17"/>
  <c r="Q158" i="17"/>
  <c r="Q166" i="17"/>
  <c r="Q174" i="17"/>
  <c r="Q182" i="17"/>
  <c r="Q190" i="17"/>
  <c r="Q198" i="17"/>
  <c r="Q206" i="17"/>
  <c r="Q214" i="17"/>
  <c r="Q222" i="17"/>
  <c r="Q230" i="17"/>
  <c r="Q238" i="17"/>
  <c r="Q246" i="17"/>
  <c r="Q254" i="17"/>
  <c r="Q262" i="17"/>
  <c r="Q270" i="17"/>
  <c r="Q278" i="17"/>
  <c r="Q286" i="17"/>
  <c r="Q291" i="17"/>
  <c r="Q295" i="17"/>
  <c r="Q299" i="17"/>
  <c r="Q303" i="17"/>
  <c r="Q307" i="17"/>
  <c r="Q311" i="17"/>
  <c r="Q315" i="17"/>
  <c r="Q319" i="17"/>
  <c r="Q323" i="17"/>
  <c r="Q327" i="17"/>
  <c r="Q331" i="17"/>
  <c r="Q335" i="17"/>
  <c r="Q339" i="17"/>
  <c r="Q343" i="17"/>
  <c r="Q347" i="17"/>
  <c r="Q351" i="17"/>
  <c r="Q355" i="17"/>
  <c r="Q359" i="17"/>
  <c r="Q363" i="17"/>
  <c r="Q367" i="17"/>
  <c r="Q371" i="17"/>
  <c r="Q375" i="17"/>
  <c r="Q379" i="17"/>
  <c r="Q12" i="18" s="1"/>
  <c r="Q374" i="17"/>
  <c r="Q366" i="17"/>
  <c r="Q358" i="17"/>
  <c r="Q350" i="17"/>
  <c r="Q342" i="17"/>
  <c r="Q334" i="17"/>
  <c r="Q326" i="17"/>
  <c r="Q318" i="17"/>
  <c r="Q310" i="17"/>
  <c r="Q302" i="17"/>
  <c r="Q294" i="17"/>
  <c r="Q284" i="17"/>
  <c r="Q268" i="17"/>
  <c r="Q252" i="17"/>
  <c r="Q236" i="17"/>
  <c r="Q220" i="17"/>
  <c r="Q204" i="17"/>
  <c r="Q188" i="17"/>
  <c r="Q172" i="17"/>
  <c r="Q156" i="17"/>
  <c r="Q140" i="17"/>
  <c r="Q124" i="17"/>
  <c r="Q108" i="17"/>
  <c r="Q92" i="17"/>
  <c r="Q76" i="17"/>
  <c r="Q60" i="17"/>
  <c r="Q44" i="17"/>
  <c r="Q23" i="17"/>
  <c r="Q30" i="17"/>
  <c r="Q26" i="17"/>
  <c r="Q22" i="17"/>
  <c r="Q16" i="17"/>
  <c r="Q18" i="17"/>
  <c r="AE378" i="17"/>
  <c r="AE374" i="17"/>
  <c r="AE370" i="17"/>
  <c r="AE366" i="17"/>
  <c r="AE362" i="17"/>
  <c r="AE358" i="17"/>
  <c r="AE354" i="17"/>
  <c r="AE350" i="17"/>
  <c r="AE346" i="17"/>
  <c r="AE342" i="17"/>
  <c r="AE338" i="17"/>
  <c r="AE334" i="17"/>
  <c r="AE330" i="17"/>
  <c r="AE326" i="17"/>
  <c r="AE322" i="17"/>
  <c r="AE318" i="17"/>
  <c r="AE314" i="17"/>
  <c r="AE310" i="17"/>
  <c r="AE306" i="17"/>
  <c r="AE302" i="17"/>
  <c r="AE298" i="17"/>
  <c r="AE294" i="17"/>
  <c r="AE290" i="17"/>
  <c r="AE286" i="17"/>
  <c r="AE282" i="17"/>
  <c r="AE278" i="17"/>
  <c r="AE274" i="17"/>
  <c r="AE270" i="17"/>
  <c r="AE15" i="17"/>
  <c r="AE21" i="17"/>
  <c r="AE25" i="17"/>
  <c r="AE29" i="17"/>
  <c r="AE33" i="17"/>
  <c r="AE37" i="17"/>
  <c r="AE41" i="17"/>
  <c r="AE45" i="17"/>
  <c r="AE49" i="17"/>
  <c r="AE53" i="17"/>
  <c r="AE57" i="17"/>
  <c r="AE61" i="17"/>
  <c r="AE65" i="17"/>
  <c r="AE69" i="17"/>
  <c r="AE73" i="17"/>
  <c r="AE77" i="17"/>
  <c r="AE81" i="17"/>
  <c r="AE85" i="17"/>
  <c r="AE89" i="17"/>
  <c r="AE93" i="17"/>
  <c r="AE97" i="17"/>
  <c r="AE101" i="17"/>
  <c r="AE105" i="17"/>
  <c r="AE109" i="17"/>
  <c r="AE113" i="17"/>
  <c r="AE117" i="17"/>
  <c r="AE121" i="17"/>
  <c r="AE125" i="17"/>
  <c r="AE129" i="17"/>
  <c r="AE133" i="17"/>
  <c r="AE137" i="17"/>
  <c r="AE141" i="17"/>
  <c r="AE145" i="17"/>
  <c r="AE149" i="17"/>
  <c r="AE153" i="17"/>
  <c r="AE157" i="17"/>
  <c r="AE161" i="17"/>
  <c r="AE165" i="17"/>
  <c r="AE169" i="17"/>
  <c r="AE173" i="17"/>
  <c r="AE177" i="17"/>
  <c r="AE181" i="17"/>
  <c r="AE185" i="17"/>
  <c r="AE189" i="17"/>
  <c r="AE193" i="17"/>
  <c r="AE197" i="17"/>
  <c r="AE201" i="17"/>
  <c r="AE205" i="17"/>
  <c r="AE209" i="17"/>
  <c r="AE213" i="17"/>
  <c r="AE217" i="17"/>
  <c r="AE221" i="17"/>
  <c r="AE225" i="17"/>
  <c r="AE229" i="17"/>
  <c r="AE233" i="17"/>
  <c r="AE237" i="17"/>
  <c r="AE241" i="17"/>
  <c r="AE245" i="17"/>
  <c r="AE249" i="17"/>
  <c r="AE253" i="17"/>
  <c r="AE257" i="17"/>
  <c r="AE261" i="17"/>
  <c r="AE265" i="17"/>
  <c r="AE269" i="17"/>
  <c r="AE273" i="17"/>
  <c r="AE277" i="17"/>
  <c r="AE281" i="17"/>
  <c r="AE285" i="17"/>
  <c r="AE289" i="17"/>
  <c r="AE293" i="17"/>
  <c r="AE297" i="17"/>
  <c r="AE301" i="17"/>
  <c r="AE305" i="17"/>
  <c r="AE309" i="17"/>
  <c r="AE313" i="17"/>
  <c r="AE317" i="17"/>
  <c r="AE321" i="17"/>
  <c r="AE325" i="17"/>
  <c r="AE329" i="17"/>
  <c r="AE333" i="17"/>
  <c r="AE337" i="17"/>
  <c r="AE341" i="17"/>
  <c r="AE345" i="17"/>
  <c r="AE349" i="17"/>
  <c r="AE353" i="17"/>
  <c r="AE357" i="17"/>
  <c r="AE361" i="17"/>
  <c r="AE365" i="17"/>
  <c r="AE369" i="17"/>
  <c r="AE373" i="17"/>
  <c r="AE377" i="17"/>
  <c r="AE19" i="17"/>
  <c r="AE22" i="17"/>
  <c r="AE26" i="17"/>
  <c r="AE30" i="17"/>
  <c r="AE34" i="17"/>
  <c r="AE38" i="17"/>
  <c r="AE42" i="17"/>
  <c r="AE46" i="17"/>
  <c r="AE50" i="17"/>
  <c r="AE54" i="17"/>
  <c r="AE58" i="17"/>
  <c r="AE62" i="17"/>
  <c r="AE66" i="17"/>
  <c r="AE70" i="17"/>
  <c r="AE74" i="17"/>
  <c r="AE78" i="17"/>
  <c r="AE82" i="17"/>
  <c r="AE86" i="17"/>
  <c r="AE90" i="17"/>
  <c r="AE94" i="17"/>
  <c r="AE98" i="17"/>
  <c r="AE102" i="17"/>
  <c r="AE106" i="17"/>
  <c r="AE110" i="17"/>
  <c r="AE114" i="17"/>
  <c r="AE118" i="17"/>
  <c r="AE122" i="17"/>
  <c r="AE126" i="17"/>
  <c r="AE130" i="17"/>
  <c r="AE134" i="17"/>
  <c r="AE138" i="17"/>
  <c r="AE142" i="17"/>
  <c r="AE146" i="17"/>
  <c r="AE150" i="17"/>
  <c r="AE154" i="17"/>
  <c r="AE158" i="17"/>
  <c r="AE162" i="17"/>
  <c r="AE166" i="17"/>
  <c r="AE170" i="17"/>
  <c r="AE174" i="17"/>
  <c r="AE178" i="17"/>
  <c r="AE182" i="17"/>
  <c r="AE186" i="17"/>
  <c r="AE190" i="17"/>
  <c r="AE194" i="17"/>
  <c r="AE198" i="17"/>
  <c r="AE202" i="17"/>
  <c r="AE206" i="17"/>
  <c r="AE210" i="17"/>
  <c r="AE214" i="17"/>
  <c r="AE218" i="17"/>
  <c r="AE222" i="17"/>
  <c r="AE226" i="17"/>
  <c r="AE230" i="17"/>
  <c r="AE234" i="17"/>
  <c r="AE238" i="17"/>
  <c r="AE242" i="17"/>
  <c r="AE246" i="17"/>
  <c r="AE250" i="17"/>
  <c r="AE254" i="17"/>
  <c r="AE258" i="17"/>
  <c r="AE262" i="17"/>
  <c r="AE266" i="17"/>
  <c r="AE272" i="17"/>
  <c r="AE280" i="17"/>
  <c r="AE288" i="17"/>
  <c r="AE296" i="17"/>
  <c r="AE304" i="17"/>
  <c r="AE312" i="17"/>
  <c r="AE320" i="17"/>
  <c r="AE328" i="17"/>
  <c r="AE336" i="17"/>
  <c r="AE344" i="17"/>
  <c r="AE352" i="17"/>
  <c r="AE360" i="17"/>
  <c r="AE368" i="17"/>
  <c r="AE376" i="17"/>
  <c r="Q19" i="17"/>
  <c r="Q24" i="17"/>
  <c r="Q32" i="17"/>
  <c r="Q52" i="17"/>
  <c r="Q84" i="17"/>
  <c r="Q116" i="17"/>
  <c r="Q148" i="17"/>
  <c r="Q180" i="17"/>
  <c r="Q212" i="17"/>
  <c r="Q244" i="17"/>
  <c r="Q276" i="17"/>
  <c r="Q298" i="17"/>
  <c r="Q314" i="17"/>
  <c r="Q330" i="17"/>
  <c r="Q346" i="17"/>
  <c r="Q362" i="17"/>
  <c r="Q378" i="17"/>
  <c r="Q373" i="17"/>
  <c r="Q365" i="17"/>
  <c r="Q357" i="17"/>
  <c r="Q349" i="17"/>
  <c r="Q341" i="17"/>
  <c r="Q333" i="17"/>
  <c r="Q325" i="17"/>
  <c r="Q317" i="17"/>
  <c r="Q309" i="17"/>
  <c r="Q301" i="17"/>
  <c r="Q293" i="17"/>
  <c r="Q282" i="17"/>
  <c r="Q266" i="17"/>
  <c r="Q250" i="17"/>
  <c r="Q234" i="17"/>
  <c r="Q218" i="17"/>
  <c r="Q202" i="17"/>
  <c r="Q186" i="17"/>
  <c r="Q170" i="17"/>
  <c r="Q154" i="17"/>
  <c r="Q138" i="17"/>
  <c r="Q122" i="17"/>
  <c r="Q106" i="17"/>
  <c r="Q90" i="17"/>
  <c r="Q74" i="17"/>
  <c r="Q58" i="17"/>
  <c r="Q42" i="17"/>
  <c r="Q15" i="17"/>
  <c r="Q281" i="17"/>
  <c r="Q273" i="17"/>
  <c r="Q265" i="17"/>
  <c r="Q257" i="17"/>
  <c r="Q247" i="17"/>
  <c r="Q231" i="17"/>
  <c r="Q215" i="17"/>
  <c r="Q199" i="17"/>
  <c r="Q183" i="17"/>
  <c r="Q167" i="17"/>
  <c r="Q151" i="17"/>
  <c r="Q135" i="17"/>
  <c r="Q119" i="17"/>
  <c r="Q103" i="17"/>
  <c r="Q87" i="17"/>
  <c r="Q71" i="17"/>
  <c r="Q55" i="17"/>
  <c r="Q39" i="17"/>
  <c r="W15" i="7"/>
  <c r="Q48" i="17"/>
  <c r="Q216" i="17"/>
  <c r="Q316" i="17"/>
  <c r="Q208" i="17"/>
  <c r="Q376" i="17"/>
  <c r="Q368" i="17"/>
  <c r="L42" i="19"/>
  <c r="AA297" i="16"/>
  <c r="Z297" i="16" s="1"/>
  <c r="Y297" i="16" s="1"/>
  <c r="AA185" i="16"/>
  <c r="Z185" i="16" s="1"/>
  <c r="Y185" i="16" s="1"/>
  <c r="AA289" i="16"/>
  <c r="Z289" i="16" s="1"/>
  <c r="Y289" i="16" s="1"/>
  <c r="H289" i="16"/>
  <c r="I289" i="16" s="1"/>
  <c r="AA266" i="16"/>
  <c r="Z266" i="16" s="1"/>
  <c r="Y266" i="16" s="1"/>
  <c r="F57" i="16"/>
  <c r="AA57" i="16" s="1"/>
  <c r="Z57" i="16" s="1"/>
  <c r="Y57" i="16" s="1"/>
  <c r="AA177" i="16"/>
  <c r="Z177" i="16" s="1"/>
  <c r="Y177" i="16" s="1"/>
  <c r="AA213" i="16"/>
  <c r="Z213" i="16" s="1"/>
  <c r="Y213" i="16" s="1"/>
  <c r="H177" i="16"/>
  <c r="I177" i="16" s="1"/>
  <c r="H113" i="16"/>
  <c r="J113" i="16" s="1"/>
  <c r="G102" i="16"/>
  <c r="BY102" i="6" s="1"/>
  <c r="AA113" i="16"/>
  <c r="Z113" i="16" s="1"/>
  <c r="Y113" i="16" s="1"/>
  <c r="F305" i="16"/>
  <c r="AA305" i="16" s="1"/>
  <c r="Z305" i="16" s="1"/>
  <c r="Y305" i="16" s="1"/>
  <c r="AA294" i="16"/>
  <c r="Z294" i="16" s="1"/>
  <c r="Y294" i="16" s="1"/>
  <c r="AA230" i="16"/>
  <c r="Z230" i="16" s="1"/>
  <c r="Y230" i="16" s="1"/>
  <c r="AA261" i="16"/>
  <c r="Z261" i="16" s="1"/>
  <c r="Y261" i="16" s="1"/>
  <c r="F126" i="16"/>
  <c r="G126" i="16" s="1"/>
  <c r="BY126" i="6" s="1"/>
  <c r="D44" i="7"/>
  <c r="AA102" i="16"/>
  <c r="Z102" i="16" s="1"/>
  <c r="Y102" i="16" s="1"/>
  <c r="F29" i="16"/>
  <c r="G29" i="16" s="1"/>
  <c r="BY29" i="6" s="1"/>
  <c r="F35" i="16"/>
  <c r="H35" i="16" s="1"/>
  <c r="J35" i="16" s="1"/>
  <c r="F176" i="16"/>
  <c r="H176" i="16" s="1"/>
  <c r="I176" i="16" s="1"/>
  <c r="G229" i="16"/>
  <c r="BY229" i="6" s="1"/>
  <c r="AA110" i="16"/>
  <c r="Z110" i="16" s="1"/>
  <c r="Y110" i="16" s="1"/>
  <c r="H110" i="16"/>
  <c r="J110" i="16" s="1"/>
  <c r="F237" i="16"/>
  <c r="AA237" i="16" s="1"/>
  <c r="Z237" i="16" s="1"/>
  <c r="Y237" i="16" s="1"/>
  <c r="F134" i="16"/>
  <c r="G134" i="16" s="1"/>
  <c r="BY134" i="6" s="1"/>
  <c r="AA269" i="16"/>
  <c r="Z269" i="16" s="1"/>
  <c r="Y269" i="16" s="1"/>
  <c r="H147" i="16"/>
  <c r="I147" i="16" s="1"/>
  <c r="F184" i="16"/>
  <c r="H184" i="16" s="1"/>
  <c r="J184" i="16" s="1"/>
  <c r="F103" i="16"/>
  <c r="G103" i="16" s="1"/>
  <c r="BY103" i="6" s="1"/>
  <c r="G189" i="16"/>
  <c r="BY189" i="6" s="1"/>
  <c r="H261" i="16"/>
  <c r="I261" i="16" s="1"/>
  <c r="AA300" i="16"/>
  <c r="Z300" i="16" s="1"/>
  <c r="Y300" i="16" s="1"/>
  <c r="G231" i="16"/>
  <c r="BY231" i="6" s="1"/>
  <c r="D46" i="7"/>
  <c r="I141" i="16"/>
  <c r="F62" i="16"/>
  <c r="AA62" i="16" s="1"/>
  <c r="Z62" i="16" s="1"/>
  <c r="Y62" i="16" s="1"/>
  <c r="G261" i="16"/>
  <c r="BY261" i="6" s="1"/>
  <c r="AA83" i="16"/>
  <c r="Z83" i="16" s="1"/>
  <c r="Y83" i="16" s="1"/>
  <c r="F101" i="16"/>
  <c r="H101" i="16" s="1"/>
  <c r="I101" i="16" s="1"/>
  <c r="G365" i="16"/>
  <c r="BY365" i="6" s="1"/>
  <c r="AA179" i="16"/>
  <c r="Z179" i="16" s="1"/>
  <c r="Y179" i="16" s="1"/>
  <c r="AA151" i="16"/>
  <c r="Z151" i="16" s="1"/>
  <c r="Y151" i="16" s="1"/>
  <c r="F66" i="16"/>
  <c r="AA66" i="16" s="1"/>
  <c r="Z66" i="16" s="1"/>
  <c r="Y66" i="16" s="1"/>
  <c r="F125" i="16"/>
  <c r="G125" i="16" s="1"/>
  <c r="BY125" i="6" s="1"/>
  <c r="G277" i="16"/>
  <c r="BY277" i="6" s="1"/>
  <c r="I284" i="16"/>
  <c r="AA277" i="16"/>
  <c r="Z277" i="16" s="1"/>
  <c r="Y277" i="16" s="1"/>
  <c r="H221" i="16"/>
  <c r="J221" i="16" s="1"/>
  <c r="F53" i="16"/>
  <c r="G53" i="16" s="1"/>
  <c r="BY53" i="6" s="1"/>
  <c r="F275" i="16"/>
  <c r="H275" i="16" s="1"/>
  <c r="J275" i="16" s="1"/>
  <c r="AA103" i="16"/>
  <c r="Z103" i="16" s="1"/>
  <c r="Y103" i="16" s="1"/>
  <c r="AA372" i="16"/>
  <c r="Z372" i="16" s="1"/>
  <c r="Y372" i="16" s="1"/>
  <c r="AA253" i="16"/>
  <c r="Z253" i="16" s="1"/>
  <c r="Y253" i="16" s="1"/>
  <c r="AA221" i="16"/>
  <c r="Z221" i="16" s="1"/>
  <c r="Y221" i="16" s="1"/>
  <c r="G253" i="16"/>
  <c r="BY253" i="6" s="1"/>
  <c r="H309" i="16"/>
  <c r="J309" i="16" s="1"/>
  <c r="G131" i="16"/>
  <c r="BY131" i="6" s="1"/>
  <c r="F17" i="16"/>
  <c r="G17" i="16" s="1"/>
  <c r="BY17" i="6" s="1"/>
  <c r="J131" i="16"/>
  <c r="H269" i="16"/>
  <c r="I269" i="16" s="1"/>
  <c r="AA371" i="16"/>
  <c r="Z371" i="16" s="1"/>
  <c r="Y371" i="16" s="1"/>
  <c r="AA303" i="16"/>
  <c r="Z303" i="16" s="1"/>
  <c r="Y303" i="16" s="1"/>
  <c r="AA71" i="16"/>
  <c r="Z71" i="16" s="1"/>
  <c r="Y71" i="16" s="1"/>
  <c r="AA309" i="16"/>
  <c r="Z309" i="16" s="1"/>
  <c r="Y309" i="16" s="1"/>
  <c r="AA106" i="16"/>
  <c r="Z106" i="16" s="1"/>
  <c r="Y106" i="16" s="1"/>
  <c r="F37" i="16"/>
  <c r="H37" i="16" s="1"/>
  <c r="F152" i="16"/>
  <c r="G152" i="16" s="1"/>
  <c r="BY152" i="6" s="1"/>
  <c r="F50" i="16"/>
  <c r="H50" i="16" s="1"/>
  <c r="I50" i="16" s="1"/>
  <c r="F88" i="16"/>
  <c r="H88" i="16" s="1"/>
  <c r="I88" i="16" s="1"/>
  <c r="AA199" i="16"/>
  <c r="Z199" i="16" s="1"/>
  <c r="Y199" i="16" s="1"/>
  <c r="AA229" i="16"/>
  <c r="Z229" i="16" s="1"/>
  <c r="Y229" i="16" s="1"/>
  <c r="H83" i="16"/>
  <c r="J83" i="16" s="1"/>
  <c r="H300" i="16"/>
  <c r="I300" i="16" s="1"/>
  <c r="G141" i="16"/>
  <c r="BY141" i="6" s="1"/>
  <c r="H179" i="16"/>
  <c r="J179" i="16" s="1"/>
  <c r="F45" i="16"/>
  <c r="H45" i="16" s="1"/>
  <c r="AA335" i="16"/>
  <c r="Z335" i="16" s="1"/>
  <c r="Y335" i="16" s="1"/>
  <c r="V379" i="16"/>
  <c r="F379" i="16" s="1"/>
  <c r="G379" i="16" s="1"/>
  <c r="BY379" i="6" s="1"/>
  <c r="D37" i="19"/>
  <c r="AA203" i="16"/>
  <c r="Z203" i="16" s="1"/>
  <c r="Y203" i="16" s="1"/>
  <c r="AA141" i="16"/>
  <c r="Z141" i="16" s="1"/>
  <c r="Y141" i="16" s="1"/>
  <c r="AA189" i="16"/>
  <c r="Z189" i="16" s="1"/>
  <c r="Y189" i="16" s="1"/>
  <c r="F285" i="16"/>
  <c r="G285" i="16" s="1"/>
  <c r="BY285" i="6" s="1"/>
  <c r="F61" i="16"/>
  <c r="H61" i="16" s="1"/>
  <c r="J61" i="16" s="1"/>
  <c r="F317" i="16"/>
  <c r="AA317" i="16" s="1"/>
  <c r="Z317" i="16" s="1"/>
  <c r="Y317" i="16" s="1"/>
  <c r="F34" i="16"/>
  <c r="G34" i="16" s="1"/>
  <c r="BY34" i="6" s="1"/>
  <c r="AA260" i="16"/>
  <c r="Z260" i="16" s="1"/>
  <c r="Y260" i="16" s="1"/>
  <c r="AA19" i="16"/>
  <c r="Z19" i="16" s="1"/>
  <c r="Y19" i="16" s="1"/>
  <c r="F77" i="16"/>
  <c r="G77" i="16" s="1"/>
  <c r="BY77" i="6" s="1"/>
  <c r="L41" i="19"/>
  <c r="F40" i="16"/>
  <c r="AA40" i="16" s="1"/>
  <c r="Z40" i="16" s="1"/>
  <c r="Y40" i="16" s="1"/>
  <c r="F111" i="16"/>
  <c r="AA111" i="16" s="1"/>
  <c r="Z111" i="16" s="1"/>
  <c r="Y111" i="16" s="1"/>
  <c r="AA88" i="16"/>
  <c r="Z88" i="16" s="1"/>
  <c r="Y88" i="16" s="1"/>
  <c r="AA139" i="16"/>
  <c r="Z139" i="16" s="1"/>
  <c r="Y139" i="16" s="1"/>
  <c r="AA147" i="16"/>
  <c r="Z147" i="16" s="1"/>
  <c r="Y147" i="16" s="1"/>
  <c r="AA131" i="16"/>
  <c r="Z131" i="16" s="1"/>
  <c r="Y131" i="16" s="1"/>
  <c r="V119" i="16"/>
  <c r="F119" i="16" s="1"/>
  <c r="H119" i="16" s="1"/>
  <c r="I119" i="16" s="1"/>
  <c r="H371" i="16"/>
  <c r="J371" i="16" s="1"/>
  <c r="F162" i="16"/>
  <c r="H162" i="16" s="1"/>
  <c r="I162" i="16" s="1"/>
  <c r="F205" i="16"/>
  <c r="H205" i="16" s="1"/>
  <c r="I205" i="16" s="1"/>
  <c r="V339" i="16"/>
  <c r="F339" i="16" s="1"/>
  <c r="H316" i="16"/>
  <c r="I316" i="16" s="1"/>
  <c r="G170" i="16"/>
  <c r="BY170" i="6" s="1"/>
  <c r="H170" i="16"/>
  <c r="I170" i="16" s="1"/>
  <c r="AA170" i="16"/>
  <c r="Z170" i="16" s="1"/>
  <c r="Y170" i="16" s="1"/>
  <c r="G284" i="16"/>
  <c r="BY284" i="6" s="1"/>
  <c r="AA211" i="16"/>
  <c r="Z211" i="16" s="1"/>
  <c r="Y211" i="16" s="1"/>
  <c r="AA368" i="16"/>
  <c r="Z368" i="16" s="1"/>
  <c r="Y368" i="16" s="1"/>
  <c r="H287" i="16"/>
  <c r="I287" i="16" s="1"/>
  <c r="AA224" i="16"/>
  <c r="Z224" i="16" s="1"/>
  <c r="Y224" i="16" s="1"/>
  <c r="AA325" i="16"/>
  <c r="Z325" i="16" s="1"/>
  <c r="Y325" i="16" s="1"/>
  <c r="H325" i="16"/>
  <c r="I325" i="16" s="1"/>
  <c r="G335" i="16"/>
  <c r="BY335" i="6" s="1"/>
  <c r="J154" i="16"/>
  <c r="J224" i="16"/>
  <c r="AA195" i="16"/>
  <c r="Z195" i="16" s="1"/>
  <c r="Y195" i="16" s="1"/>
  <c r="H201" i="16"/>
  <c r="I201" i="16" s="1"/>
  <c r="H195" i="16"/>
  <c r="J195" i="16" s="1"/>
  <c r="G154" i="16"/>
  <c r="BY154" i="6" s="1"/>
  <c r="H211" i="16"/>
  <c r="I211" i="16" s="1"/>
  <c r="H307" i="16"/>
  <c r="J307" i="16" s="1"/>
  <c r="AA364" i="16"/>
  <c r="Z364" i="16" s="1"/>
  <c r="Y364" i="16" s="1"/>
  <c r="G224" i="16"/>
  <c r="BY224" i="6" s="1"/>
  <c r="AA262" i="16"/>
  <c r="Z262" i="16" s="1"/>
  <c r="Y262" i="16" s="1"/>
  <c r="AA231" i="16"/>
  <c r="Z231" i="16" s="1"/>
  <c r="Y231" i="16" s="1"/>
  <c r="F46" i="16"/>
  <c r="AA46" i="16" s="1"/>
  <c r="Z46" i="16" s="1"/>
  <c r="Y46" i="16" s="1"/>
  <c r="J90" i="16"/>
  <c r="I369" i="16"/>
  <c r="F112" i="16"/>
  <c r="AA112" i="16" s="1"/>
  <c r="Z112" i="16" s="1"/>
  <c r="Y112" i="16" s="1"/>
  <c r="H133" i="16"/>
  <c r="J133" i="16" s="1"/>
  <c r="G273" i="16"/>
  <c r="BY273" i="6" s="1"/>
  <c r="AA347" i="16"/>
  <c r="Z347" i="16" s="1"/>
  <c r="Y347" i="16" s="1"/>
  <c r="H362" i="16"/>
  <c r="J362" i="16" s="1"/>
  <c r="G357" i="16"/>
  <c r="BY357" i="6" s="1"/>
  <c r="AA316" i="16"/>
  <c r="Z316" i="16" s="1"/>
  <c r="Y316" i="16" s="1"/>
  <c r="AA59" i="16"/>
  <c r="Z59" i="16" s="1"/>
  <c r="Y59" i="16" s="1"/>
  <c r="H321" i="16"/>
  <c r="I321" i="16" s="1"/>
  <c r="H223" i="16"/>
  <c r="J223" i="16" s="1"/>
  <c r="AA138" i="16"/>
  <c r="Z138" i="16" s="1"/>
  <c r="Y138" i="16" s="1"/>
  <c r="G106" i="16"/>
  <c r="BY106" i="6" s="1"/>
  <c r="AA367" i="16"/>
  <c r="Z367" i="16" s="1"/>
  <c r="Y367" i="16" s="1"/>
  <c r="G367" i="16"/>
  <c r="BY367" i="6" s="1"/>
  <c r="G349" i="16"/>
  <c r="BY349" i="6" s="1"/>
  <c r="AA143" i="16"/>
  <c r="Z143" i="16" s="1"/>
  <c r="Y143" i="16" s="1"/>
  <c r="AA243" i="16"/>
  <c r="Z243" i="16" s="1"/>
  <c r="Y243" i="16" s="1"/>
  <c r="AA357" i="16"/>
  <c r="Z357" i="16" s="1"/>
  <c r="Y357" i="16" s="1"/>
  <c r="H262" i="16"/>
  <c r="J262" i="16" s="1"/>
  <c r="G353" i="16"/>
  <c r="BY353" i="6" s="1"/>
  <c r="AA365" i="16"/>
  <c r="Z365" i="16" s="1"/>
  <c r="Y365" i="16" s="1"/>
  <c r="AA95" i="16"/>
  <c r="Z95" i="16" s="1"/>
  <c r="Y95" i="16" s="1"/>
  <c r="J168" i="16"/>
  <c r="I168" i="16"/>
  <c r="AA223" i="16"/>
  <c r="Z223" i="16" s="1"/>
  <c r="Y223" i="16" s="1"/>
  <c r="H165" i="16"/>
  <c r="J165" i="16" s="1"/>
  <c r="AA133" i="16"/>
  <c r="Z133" i="16" s="1"/>
  <c r="Y133" i="16" s="1"/>
  <c r="G90" i="16"/>
  <c r="BY90" i="6" s="1"/>
  <c r="H328" i="16"/>
  <c r="I328" i="16" s="1"/>
  <c r="G364" i="16"/>
  <c r="BY364" i="6" s="1"/>
  <c r="H138" i="16"/>
  <c r="J138" i="16" s="1"/>
  <c r="AA155" i="16"/>
  <c r="Z155" i="16" s="1"/>
  <c r="Y155" i="16" s="1"/>
  <c r="H243" i="16"/>
  <c r="I243" i="16" s="1"/>
  <c r="AA349" i="16"/>
  <c r="Z349" i="16" s="1"/>
  <c r="Y349" i="16" s="1"/>
  <c r="H160" i="16"/>
  <c r="I160" i="16" s="1"/>
  <c r="AA160" i="16"/>
  <c r="Z160" i="16" s="1"/>
  <c r="Y160" i="16" s="1"/>
  <c r="AA307" i="16"/>
  <c r="Z307" i="16" s="1"/>
  <c r="Y307" i="16" s="1"/>
  <c r="AA165" i="16"/>
  <c r="Z165" i="16" s="1"/>
  <c r="Y165" i="16" s="1"/>
  <c r="V47" i="16"/>
  <c r="F47" i="16" s="1"/>
  <c r="H51" i="16"/>
  <c r="J51" i="16" s="1"/>
  <c r="H227" i="16"/>
  <c r="J227" i="16" s="1"/>
  <c r="H43" i="16"/>
  <c r="I43" i="16" s="1"/>
  <c r="AA284" i="16"/>
  <c r="Z284" i="16" s="1"/>
  <c r="Y284" i="16" s="1"/>
  <c r="AA328" i="16"/>
  <c r="Z328" i="16" s="1"/>
  <c r="Y328" i="16" s="1"/>
  <c r="AA51" i="16"/>
  <c r="Z51" i="16" s="1"/>
  <c r="Y51" i="16" s="1"/>
  <c r="G160" i="16"/>
  <c r="BY160" i="6" s="1"/>
  <c r="H143" i="16"/>
  <c r="I143" i="16" s="1"/>
  <c r="AA94" i="16"/>
  <c r="Z94" i="16" s="1"/>
  <c r="Y94" i="16" s="1"/>
  <c r="H114" i="16"/>
  <c r="I114" i="16" s="1"/>
  <c r="AA304" i="16"/>
  <c r="Z304" i="16" s="1"/>
  <c r="Y304" i="16" s="1"/>
  <c r="H71" i="16"/>
  <c r="J71" i="16" s="1"/>
  <c r="I242" i="16"/>
  <c r="AA187" i="16"/>
  <c r="Z187" i="16" s="1"/>
  <c r="Y187" i="16" s="1"/>
  <c r="AA239" i="16"/>
  <c r="Z239" i="16" s="1"/>
  <c r="Y239" i="16" s="1"/>
  <c r="AA154" i="16"/>
  <c r="Z154" i="16" s="1"/>
  <c r="Y154" i="16" s="1"/>
  <c r="G287" i="16"/>
  <c r="BY287" i="6" s="1"/>
  <c r="AA200" i="16"/>
  <c r="Z200" i="16" s="1"/>
  <c r="Y200" i="16" s="1"/>
  <c r="H200" i="16"/>
  <c r="J200" i="16" s="1"/>
  <c r="H67" i="16"/>
  <c r="J67" i="16" s="1"/>
  <c r="AA168" i="16"/>
  <c r="Z168" i="16" s="1"/>
  <c r="Y168" i="16" s="1"/>
  <c r="H77" i="16"/>
  <c r="J77" i="16" s="1"/>
  <c r="H95" i="16"/>
  <c r="J95" i="16" s="1"/>
  <c r="H368" i="16"/>
  <c r="I368" i="16" s="1"/>
  <c r="H121" i="16"/>
  <c r="I121" i="16" s="1"/>
  <c r="H213" i="16"/>
  <c r="I213" i="16" s="1"/>
  <c r="G213" i="16"/>
  <c r="BY213" i="6" s="1"/>
  <c r="H294" i="16"/>
  <c r="I294" i="16" s="1"/>
  <c r="AA242" i="16"/>
  <c r="Z242" i="16" s="1"/>
  <c r="Y242" i="16" s="1"/>
  <c r="H358" i="16"/>
  <c r="J358" i="16" s="1"/>
  <c r="AA249" i="16"/>
  <c r="Z249" i="16" s="1"/>
  <c r="Y249" i="16" s="1"/>
  <c r="AA281" i="16"/>
  <c r="Z281" i="16" s="1"/>
  <c r="Y281" i="16" s="1"/>
  <c r="G129" i="16"/>
  <c r="BY129" i="6" s="1"/>
  <c r="AA128" i="16"/>
  <c r="Z128" i="16" s="1"/>
  <c r="Y128" i="16" s="1"/>
  <c r="H25" i="16"/>
  <c r="J25" i="16" s="1"/>
  <c r="AA67" i="16"/>
  <c r="Z67" i="16" s="1"/>
  <c r="Y67" i="16" s="1"/>
  <c r="H230" i="16"/>
  <c r="J230" i="16" s="1"/>
  <c r="G242" i="16"/>
  <c r="BY242" i="6" s="1"/>
  <c r="G259" i="16"/>
  <c r="BY259" i="6" s="1"/>
  <c r="AA198" i="16"/>
  <c r="Z198" i="16" s="1"/>
  <c r="Y198" i="16" s="1"/>
  <c r="H257" i="16"/>
  <c r="I257" i="16" s="1"/>
  <c r="G95" i="16"/>
  <c r="BY95" i="6" s="1"/>
  <c r="H24" i="16"/>
  <c r="I24" i="16" s="1"/>
  <c r="G168" i="16"/>
  <c r="BY168" i="6" s="1"/>
  <c r="AA24" i="16"/>
  <c r="Z24" i="16" s="1"/>
  <c r="Y24" i="16" s="1"/>
  <c r="AA121" i="16"/>
  <c r="Z121" i="16" s="1"/>
  <c r="Y121" i="16" s="1"/>
  <c r="AA257" i="16"/>
  <c r="Z257" i="16" s="1"/>
  <c r="Y257" i="16" s="1"/>
  <c r="G267" i="16"/>
  <c r="BY267" i="6" s="1"/>
  <c r="AA267" i="16"/>
  <c r="Z267" i="16" s="1"/>
  <c r="Y267" i="16" s="1"/>
  <c r="H267" i="16"/>
  <c r="I267" i="16" s="1"/>
  <c r="G235" i="16"/>
  <c r="BY235" i="6" s="1"/>
  <c r="H235" i="16"/>
  <c r="J235" i="16" s="1"/>
  <c r="G377" i="16"/>
  <c r="BY377" i="6" s="1"/>
  <c r="H377" i="16"/>
  <c r="I377" i="16" s="1"/>
  <c r="G303" i="16"/>
  <c r="BY303" i="6" s="1"/>
  <c r="H303" i="16"/>
  <c r="I303" i="16" s="1"/>
  <c r="G255" i="16"/>
  <c r="BY255" i="6" s="1"/>
  <c r="AA255" i="16"/>
  <c r="Z255" i="16" s="1"/>
  <c r="Y255" i="16" s="1"/>
  <c r="H255" i="16"/>
  <c r="I255" i="16" s="1"/>
  <c r="G227" i="16"/>
  <c r="BY227" i="6" s="1"/>
  <c r="AA227" i="16"/>
  <c r="Z227" i="16" s="1"/>
  <c r="Y227" i="16" s="1"/>
  <c r="G203" i="16"/>
  <c r="BY203" i="6" s="1"/>
  <c r="H203" i="16"/>
  <c r="I203" i="16" s="1"/>
  <c r="H181" i="16"/>
  <c r="J181" i="16" s="1"/>
  <c r="AA181" i="16"/>
  <c r="Z181" i="16" s="1"/>
  <c r="Y181" i="16" s="1"/>
  <c r="G105" i="16"/>
  <c r="BY105" i="6" s="1"/>
  <c r="AA105" i="16"/>
  <c r="Z105" i="16" s="1"/>
  <c r="Y105" i="16" s="1"/>
  <c r="H105" i="16"/>
  <c r="I105" i="16" s="1"/>
  <c r="G373" i="16"/>
  <c r="BY373" i="6" s="1"/>
  <c r="H373" i="16"/>
  <c r="I373" i="16" s="1"/>
  <c r="G145" i="16"/>
  <c r="BY145" i="6" s="1"/>
  <c r="AA145" i="16"/>
  <c r="Z145" i="16" s="1"/>
  <c r="Y145" i="16" s="1"/>
  <c r="V123" i="16"/>
  <c r="F123" i="16" s="1"/>
  <c r="V217" i="16"/>
  <c r="F217" i="16" s="1"/>
  <c r="AA238" i="16"/>
  <c r="Z238" i="16" s="1"/>
  <c r="Y238" i="16" s="1"/>
  <c r="G238" i="16"/>
  <c r="BY238" i="6" s="1"/>
  <c r="G318" i="16"/>
  <c r="BY318" i="6" s="1"/>
  <c r="AA318" i="16"/>
  <c r="Z318" i="16" s="1"/>
  <c r="Y318" i="16" s="1"/>
  <c r="H135" i="16"/>
  <c r="AA135" i="16"/>
  <c r="Z135" i="16" s="1"/>
  <c r="Y135" i="16" s="1"/>
  <c r="H313" i="16"/>
  <c r="AA313" i="16"/>
  <c r="Z313" i="16" s="1"/>
  <c r="Y313" i="16" s="1"/>
  <c r="G82" i="16"/>
  <c r="BY82" i="6" s="1"/>
  <c r="AA82" i="16"/>
  <c r="Z82" i="16" s="1"/>
  <c r="Y82" i="16" s="1"/>
  <c r="H188" i="16"/>
  <c r="G188" i="16"/>
  <c r="BY188" i="6" s="1"/>
  <c r="AA188" i="16"/>
  <c r="Z188" i="16" s="1"/>
  <c r="Y188" i="16" s="1"/>
  <c r="H59" i="16"/>
  <c r="G59" i="16"/>
  <c r="BY59" i="6" s="1"/>
  <c r="G185" i="16"/>
  <c r="BY185" i="6" s="1"/>
  <c r="H185" i="16"/>
  <c r="I185" i="16" s="1"/>
  <c r="AA359" i="16"/>
  <c r="Z359" i="16" s="1"/>
  <c r="Y359" i="16" s="1"/>
  <c r="H359" i="16"/>
  <c r="I359" i="16" s="1"/>
  <c r="H120" i="16"/>
  <c r="J120" i="16" s="1"/>
  <c r="AA120" i="16"/>
  <c r="Z120" i="16" s="1"/>
  <c r="Y120" i="16" s="1"/>
  <c r="H96" i="16"/>
  <c r="AA96" i="16"/>
  <c r="Z96" i="16" s="1"/>
  <c r="Y96" i="16" s="1"/>
  <c r="V140" i="16"/>
  <c r="F140" i="16" s="1"/>
  <c r="G81" i="16"/>
  <c r="BY81" i="6" s="1"/>
  <c r="H81" i="16"/>
  <c r="I81" i="16" s="1"/>
  <c r="AA29" i="16"/>
  <c r="Z29" i="16" s="1"/>
  <c r="Y29" i="16" s="1"/>
  <c r="G130" i="16"/>
  <c r="BY130" i="6" s="1"/>
  <c r="AA130" i="16"/>
  <c r="Z130" i="16" s="1"/>
  <c r="Y130" i="16" s="1"/>
  <c r="G260" i="16"/>
  <c r="BY260" i="6" s="1"/>
  <c r="H260" i="16"/>
  <c r="J260" i="16" s="1"/>
  <c r="H208" i="16"/>
  <c r="G208" i="16"/>
  <c r="BY208" i="6" s="1"/>
  <c r="AA208" i="16"/>
  <c r="Z208" i="16" s="1"/>
  <c r="Y208" i="16" s="1"/>
  <c r="H19" i="16"/>
  <c r="I19" i="16" s="1"/>
  <c r="G19" i="16"/>
  <c r="BY19" i="6" s="1"/>
  <c r="H293" i="16"/>
  <c r="G293" i="16"/>
  <c r="BY293" i="6" s="1"/>
  <c r="H137" i="16"/>
  <c r="AA137" i="16"/>
  <c r="Z137" i="16" s="1"/>
  <c r="Y137" i="16" s="1"/>
  <c r="AA271" i="16"/>
  <c r="Z271" i="16" s="1"/>
  <c r="Y271" i="16" s="1"/>
  <c r="G271" i="16"/>
  <c r="BY271" i="6" s="1"/>
  <c r="H271" i="16"/>
  <c r="J271" i="16" s="1"/>
  <c r="J355" i="16"/>
  <c r="F73" i="16"/>
  <c r="AA73" i="16" s="1"/>
  <c r="Z73" i="16" s="1"/>
  <c r="Y73" i="16" s="1"/>
  <c r="AA273" i="16"/>
  <c r="Z273" i="16" s="1"/>
  <c r="Y273" i="16" s="1"/>
  <c r="G43" i="16"/>
  <c r="BY43" i="6" s="1"/>
  <c r="AA114" i="16"/>
  <c r="Z114" i="16" s="1"/>
  <c r="Y114" i="16" s="1"/>
  <c r="G279" i="16"/>
  <c r="BY279" i="6" s="1"/>
  <c r="H238" i="16"/>
  <c r="J238" i="16" s="1"/>
  <c r="G135" i="16"/>
  <c r="BY135" i="6" s="1"/>
  <c r="AA362" i="16"/>
  <c r="Z362" i="16" s="1"/>
  <c r="Y362" i="16" s="1"/>
  <c r="AA81" i="16"/>
  <c r="Z81" i="16" s="1"/>
  <c r="Y81" i="16" s="1"/>
  <c r="G120" i="16"/>
  <c r="BY120" i="6" s="1"/>
  <c r="H130" i="16"/>
  <c r="J130" i="16" s="1"/>
  <c r="H347" i="16"/>
  <c r="J347" i="16" s="1"/>
  <c r="G355" i="16"/>
  <c r="BY355" i="6" s="1"/>
  <c r="G137" i="16"/>
  <c r="BY137" i="6" s="1"/>
  <c r="AA146" i="16"/>
  <c r="Z146" i="16" s="1"/>
  <c r="Y146" i="16" s="1"/>
  <c r="AA293" i="16"/>
  <c r="Z293" i="16" s="1"/>
  <c r="Y293" i="16" s="1"/>
  <c r="H304" i="16"/>
  <c r="I304" i="16" s="1"/>
  <c r="AA355" i="16"/>
  <c r="Z355" i="16" s="1"/>
  <c r="Y355" i="16" s="1"/>
  <c r="H146" i="16"/>
  <c r="J146" i="16" s="1"/>
  <c r="H278" i="16"/>
  <c r="J278" i="16" s="1"/>
  <c r="H136" i="16"/>
  <c r="I136" i="16" s="1"/>
  <c r="H32" i="16"/>
  <c r="J32" i="16" s="1"/>
  <c r="AA373" i="16"/>
  <c r="Z373" i="16" s="1"/>
  <c r="Y373" i="16" s="1"/>
  <c r="H353" i="16"/>
  <c r="I353" i="16" s="1"/>
  <c r="AA377" i="16"/>
  <c r="Z377" i="16" s="1"/>
  <c r="Y377" i="16" s="1"/>
  <c r="AA54" i="16"/>
  <c r="Z54" i="16" s="1"/>
  <c r="Y54" i="16" s="1"/>
  <c r="AA308" i="16"/>
  <c r="Z308" i="16" s="1"/>
  <c r="Y308" i="16" s="1"/>
  <c r="AA89" i="16"/>
  <c r="Z89" i="16" s="1"/>
  <c r="Y89" i="16" s="1"/>
  <c r="AA32" i="16"/>
  <c r="Z32" i="16" s="1"/>
  <c r="Y32" i="16" s="1"/>
  <c r="AA235" i="16"/>
  <c r="Z235" i="16" s="1"/>
  <c r="Y235" i="16" s="1"/>
  <c r="AA279" i="16"/>
  <c r="Z279" i="16" s="1"/>
  <c r="Y279" i="16" s="1"/>
  <c r="AA117" i="16"/>
  <c r="Z117" i="16" s="1"/>
  <c r="Y117" i="16" s="1"/>
  <c r="AA278" i="16"/>
  <c r="Z278" i="16" s="1"/>
  <c r="Y278" i="16" s="1"/>
  <c r="AA315" i="16"/>
  <c r="Z315" i="16" s="1"/>
  <c r="Y315" i="16" s="1"/>
  <c r="I364" i="16"/>
  <c r="I161" i="16"/>
  <c r="F108" i="16"/>
  <c r="AA108" i="16" s="1"/>
  <c r="Z108" i="16" s="1"/>
  <c r="Y108" i="16" s="1"/>
  <c r="F78" i="16"/>
  <c r="AA78" i="16" s="1"/>
  <c r="Z78" i="16" s="1"/>
  <c r="Y78" i="16" s="1"/>
  <c r="AA296" i="16"/>
  <c r="Z296" i="16" s="1"/>
  <c r="Y296" i="16" s="1"/>
  <c r="AA197" i="16"/>
  <c r="Z197" i="16" s="1"/>
  <c r="Y197" i="16" s="1"/>
  <c r="F97" i="16"/>
  <c r="G97" i="16" s="1"/>
  <c r="BY97" i="6" s="1"/>
  <c r="AA311" i="16"/>
  <c r="Z311" i="16" s="1"/>
  <c r="Y311" i="16" s="1"/>
  <c r="H157" i="16"/>
  <c r="J157" i="16" s="1"/>
  <c r="H187" i="16"/>
  <c r="I187" i="16" s="1"/>
  <c r="H122" i="16"/>
  <c r="J122" i="16" s="1"/>
  <c r="G225" i="16"/>
  <c r="BY225" i="6" s="1"/>
  <c r="H249" i="16"/>
  <c r="I249" i="16" s="1"/>
  <c r="AA129" i="16"/>
  <c r="Z129" i="16" s="1"/>
  <c r="Y129" i="16" s="1"/>
  <c r="H104" i="16"/>
  <c r="J104" i="16" s="1"/>
  <c r="G25" i="16"/>
  <c r="BY25" i="6" s="1"/>
  <c r="AA358" i="16"/>
  <c r="Z358" i="16" s="1"/>
  <c r="Y358" i="16" s="1"/>
  <c r="G198" i="16"/>
  <c r="BY198" i="6" s="1"/>
  <c r="G297" i="16"/>
  <c r="BY297" i="6" s="1"/>
  <c r="G369" i="16"/>
  <c r="BY369" i="6" s="1"/>
  <c r="AA122" i="16"/>
  <c r="Z122" i="16" s="1"/>
  <c r="Y122" i="16" s="1"/>
  <c r="H94" i="16"/>
  <c r="J94" i="16" s="1"/>
  <c r="G71" i="16"/>
  <c r="BY71" i="6" s="1"/>
  <c r="H182" i="16"/>
  <c r="J182" i="16" s="1"/>
  <c r="G230" i="16"/>
  <c r="BY230" i="6" s="1"/>
  <c r="H151" i="16"/>
  <c r="J151" i="16" s="1"/>
  <c r="H106" i="16"/>
  <c r="I106" i="16" s="1"/>
  <c r="F33" i="16"/>
  <c r="H33" i="16" s="1"/>
  <c r="J33" i="16" s="1"/>
  <c r="H361" i="16"/>
  <c r="J361" i="16" s="1"/>
  <c r="AA375" i="16"/>
  <c r="Z375" i="16" s="1"/>
  <c r="Y375" i="16" s="1"/>
  <c r="F172" i="16"/>
  <c r="H172" i="16" s="1"/>
  <c r="I172" i="16" s="1"/>
  <c r="F38" i="16"/>
  <c r="H38" i="16" s="1"/>
  <c r="I38" i="16" s="1"/>
  <c r="F30" i="16"/>
  <c r="G30" i="16" s="1"/>
  <c r="BY30" i="6" s="1"/>
  <c r="F28" i="16"/>
  <c r="G28" i="16" s="1"/>
  <c r="BY28" i="6" s="1"/>
  <c r="AA374" i="16"/>
  <c r="Z374" i="16" s="1"/>
  <c r="Y374" i="16" s="1"/>
  <c r="F74" i="16"/>
  <c r="AA74" i="16" s="1"/>
  <c r="Z74" i="16" s="1"/>
  <c r="Y74" i="16" s="1"/>
  <c r="AA310" i="16"/>
  <c r="Z310" i="16" s="1"/>
  <c r="Y310" i="16" s="1"/>
  <c r="AA322" i="16"/>
  <c r="Z322" i="16" s="1"/>
  <c r="Y322" i="16" s="1"/>
  <c r="H311" i="16"/>
  <c r="I311" i="16" s="1"/>
  <c r="AA251" i="16"/>
  <c r="Z251" i="16" s="1"/>
  <c r="Y251" i="16" s="1"/>
  <c r="AA157" i="16"/>
  <c r="Z157" i="16" s="1"/>
  <c r="Y157" i="16" s="1"/>
  <c r="H251" i="16"/>
  <c r="J251" i="16" s="1"/>
  <c r="H215" i="16"/>
  <c r="I215" i="16" s="1"/>
  <c r="AA215" i="16"/>
  <c r="Z215" i="16" s="1"/>
  <c r="Y215" i="16" s="1"/>
  <c r="H239" i="16"/>
  <c r="J239" i="16" s="1"/>
  <c r="AA225" i="16"/>
  <c r="Z225" i="16" s="1"/>
  <c r="Y225" i="16" s="1"/>
  <c r="AA201" i="16"/>
  <c r="Z201" i="16" s="1"/>
  <c r="Y201" i="16" s="1"/>
  <c r="H281" i="16"/>
  <c r="J281" i="16" s="1"/>
  <c r="H128" i="16"/>
  <c r="J128" i="16" s="1"/>
  <c r="AA104" i="16"/>
  <c r="Z104" i="16" s="1"/>
  <c r="Y104" i="16" s="1"/>
  <c r="AA219" i="16"/>
  <c r="Z219" i="16" s="1"/>
  <c r="Y219" i="16" s="1"/>
  <c r="H117" i="16"/>
  <c r="I117" i="16" s="1"/>
  <c r="G155" i="16"/>
  <c r="BY155" i="6" s="1"/>
  <c r="H259" i="16"/>
  <c r="I259" i="16" s="1"/>
  <c r="G294" i="16"/>
  <c r="BY294" i="6" s="1"/>
  <c r="H297" i="16"/>
  <c r="I297" i="16" s="1"/>
  <c r="G161" i="16"/>
  <c r="BY161" i="6" s="1"/>
  <c r="AA337" i="16"/>
  <c r="Z337" i="16" s="1"/>
  <c r="Y337" i="16" s="1"/>
  <c r="G315" i="16"/>
  <c r="BY315" i="6" s="1"/>
  <c r="H219" i="16"/>
  <c r="I219" i="16" s="1"/>
  <c r="AA369" i="16"/>
  <c r="Z369" i="16" s="1"/>
  <c r="Y369" i="16" s="1"/>
  <c r="H337" i="16"/>
  <c r="I337" i="16" s="1"/>
  <c r="H315" i="16"/>
  <c r="J315" i="16" s="1"/>
  <c r="G151" i="16"/>
  <c r="BY151" i="6" s="1"/>
  <c r="AA161" i="16"/>
  <c r="Z161" i="16" s="1"/>
  <c r="Y161" i="16" s="1"/>
  <c r="AA345" i="16"/>
  <c r="Z345" i="16" s="1"/>
  <c r="Y345" i="16" s="1"/>
  <c r="H345" i="16"/>
  <c r="I345" i="16" s="1"/>
  <c r="G375" i="16"/>
  <c r="BY375" i="6" s="1"/>
  <c r="AA182" i="16"/>
  <c r="Z182" i="16" s="1"/>
  <c r="Y182" i="16" s="1"/>
  <c r="V65" i="16"/>
  <c r="F65" i="16" s="1"/>
  <c r="V55" i="16"/>
  <c r="F55" i="16" s="1"/>
  <c r="G283" i="16"/>
  <c r="BY283" i="6" s="1"/>
  <c r="AA283" i="16"/>
  <c r="Z283" i="16" s="1"/>
  <c r="Y283" i="16" s="1"/>
  <c r="V331" i="16"/>
  <c r="F331" i="16" s="1"/>
  <c r="U10" i="17"/>
  <c r="AI264" i="17" s="1"/>
  <c r="AH264" i="17" s="1"/>
  <c r="AG264" i="17" s="1"/>
  <c r="AF264" i="17" s="1"/>
  <c r="V350" i="16"/>
  <c r="F350" i="16" s="1"/>
  <c r="V302" i="16"/>
  <c r="D53" i="7"/>
  <c r="F302" i="16"/>
  <c r="V270" i="16"/>
  <c r="F270" i="16" s="1"/>
  <c r="V246" i="16"/>
  <c r="F246" i="16" s="1"/>
  <c r="V206" i="16"/>
  <c r="F206" i="16" s="1"/>
  <c r="V68" i="16"/>
  <c r="F68" i="16" s="1"/>
  <c r="V167" i="16"/>
  <c r="V327" i="16"/>
  <c r="F327" i="16" s="1"/>
  <c r="V356" i="16"/>
  <c r="F356" i="16" s="1"/>
  <c r="V348" i="16"/>
  <c r="F348" i="16" s="1"/>
  <c r="V340" i="16"/>
  <c r="F340" i="16" s="1"/>
  <c r="V332" i="16"/>
  <c r="F332" i="16" s="1"/>
  <c r="V324" i="16"/>
  <c r="F324" i="16" s="1"/>
  <c r="V292" i="16"/>
  <c r="F292" i="16" s="1"/>
  <c r="V276" i="16"/>
  <c r="F276" i="16" s="1"/>
  <c r="V268" i="16"/>
  <c r="F268" i="16" s="1"/>
  <c r="V252" i="16"/>
  <c r="F252" i="16" s="1"/>
  <c r="V244" i="16"/>
  <c r="F244" i="16" s="1"/>
  <c r="V236" i="16"/>
  <c r="F236" i="16" s="1"/>
  <c r="V220" i="16"/>
  <c r="F220" i="16" s="1"/>
  <c r="V204" i="16"/>
  <c r="F204" i="16" s="1"/>
  <c r="V196" i="16"/>
  <c r="F196" i="16" s="1"/>
  <c r="V109" i="16"/>
  <c r="F109" i="16" s="1"/>
  <c r="V370" i="16"/>
  <c r="F370" i="16" s="1"/>
  <c r="V346" i="16"/>
  <c r="F346" i="16" s="1"/>
  <c r="V330" i="16"/>
  <c r="F330" i="16" s="1"/>
  <c r="V306" i="16"/>
  <c r="F306" i="16" s="1"/>
  <c r="V290" i="16"/>
  <c r="V258" i="16"/>
  <c r="F258" i="16" s="1"/>
  <c r="V234" i="16"/>
  <c r="F234" i="16" s="1"/>
  <c r="V202" i="16"/>
  <c r="F202" i="16" s="1"/>
  <c r="V186" i="16"/>
  <c r="F186" i="16" s="1"/>
  <c r="V366" i="16"/>
  <c r="F366" i="16" s="1"/>
  <c r="V334" i="16"/>
  <c r="F334" i="16" s="1"/>
  <c r="V286" i="16"/>
  <c r="F286" i="16" s="1"/>
  <c r="V254" i="16"/>
  <c r="F254" i="16" s="1"/>
  <c r="V214" i="16"/>
  <c r="F214" i="16" s="1"/>
  <c r="V85" i="16"/>
  <c r="F85" i="16" s="1"/>
  <c r="V323" i="16"/>
  <c r="F323" i="16" s="1"/>
  <c r="V354" i="16"/>
  <c r="F354" i="16" s="1"/>
  <c r="V338" i="16"/>
  <c r="F338" i="16" s="1"/>
  <c r="V314" i="16"/>
  <c r="F314" i="16" s="1"/>
  <c r="V298" i="16"/>
  <c r="F298" i="16" s="1"/>
  <c r="V282" i="16"/>
  <c r="F282" i="16" s="1"/>
  <c r="V250" i="16"/>
  <c r="F250" i="16" s="1"/>
  <c r="V218" i="16"/>
  <c r="F218" i="16" s="1"/>
  <c r="V194" i="16"/>
  <c r="F194" i="16" s="1"/>
  <c r="V26" i="16"/>
  <c r="F26" i="16" s="1"/>
  <c r="V164" i="16"/>
  <c r="F164" i="16" s="1"/>
  <c r="V144" i="16"/>
  <c r="F144" i="16" s="1"/>
  <c r="V124" i="16"/>
  <c r="F124" i="16" s="1"/>
  <c r="V100" i="16"/>
  <c r="F100" i="16" s="1"/>
  <c r="V49" i="16"/>
  <c r="V39" i="16"/>
  <c r="F39" i="16" s="1"/>
  <c r="V115" i="16"/>
  <c r="F115" i="16" s="1"/>
  <c r="V291" i="16"/>
  <c r="F291" i="16" s="1"/>
  <c r="V263" i="16"/>
  <c r="V191" i="16"/>
  <c r="F191" i="16" s="1"/>
  <c r="V183" i="16"/>
  <c r="F183" i="16" s="1"/>
  <c r="AG15" i="16"/>
  <c r="AH383" i="16"/>
  <c r="AH382" i="16"/>
  <c r="AH381" i="16"/>
  <c r="AI136" i="17"/>
  <c r="AH136" i="17" s="1"/>
  <c r="AG136" i="17" s="1"/>
  <c r="AF136" i="17" s="1"/>
  <c r="V20" i="16"/>
  <c r="F20" i="16" s="1"/>
  <c r="V44" i="16"/>
  <c r="F44" i="16" s="1"/>
  <c r="V64" i="16"/>
  <c r="F64" i="16" s="1"/>
  <c r="V174" i="16"/>
  <c r="F174" i="16" s="1"/>
  <c r="V158" i="16"/>
  <c r="F158" i="16" s="1"/>
  <c r="V142" i="16"/>
  <c r="F142" i="16" s="1"/>
  <c r="V63" i="16"/>
  <c r="F63" i="16" s="1"/>
  <c r="D51" i="7"/>
  <c r="V241" i="16"/>
  <c r="F241" i="16" s="1"/>
  <c r="H241" i="16" s="1"/>
  <c r="I241" i="16" s="1"/>
  <c r="V209" i="16"/>
  <c r="F209" i="16" s="1"/>
  <c r="V329" i="16"/>
  <c r="F329" i="16" s="1"/>
  <c r="V159" i="16"/>
  <c r="F159" i="16" s="1"/>
  <c r="G175" i="16"/>
  <c r="BY175" i="6" s="1"/>
  <c r="H175" i="16"/>
  <c r="V319" i="16"/>
  <c r="F319" i="16" s="1"/>
  <c r="V360" i="16"/>
  <c r="F360" i="16" s="1"/>
  <c r="V352" i="16"/>
  <c r="F352" i="16" s="1"/>
  <c r="V344" i="16"/>
  <c r="F344" i="16" s="1"/>
  <c r="V336" i="16"/>
  <c r="F336" i="16" s="1"/>
  <c r="V320" i="16"/>
  <c r="F320" i="16" s="1"/>
  <c r="V312" i="16"/>
  <c r="F312" i="16" s="1"/>
  <c r="V288" i="16"/>
  <c r="F288" i="16" s="1"/>
  <c r="V280" i="16"/>
  <c r="F280" i="16" s="1"/>
  <c r="D52" i="7"/>
  <c r="V272" i="16"/>
  <c r="F272" i="16" s="1"/>
  <c r="V264" i="16"/>
  <c r="F264" i="16" s="1"/>
  <c r="V256" i="16"/>
  <c r="F256" i="16" s="1"/>
  <c r="V248" i="16"/>
  <c r="F248" i="16" s="1"/>
  <c r="V240" i="16"/>
  <c r="F240" i="16" s="1"/>
  <c r="V232" i="16"/>
  <c r="F232" i="16" s="1"/>
  <c r="V216" i="16"/>
  <c r="F216" i="16" s="1"/>
  <c r="V192" i="16"/>
  <c r="F192" i="16" s="1"/>
  <c r="AA175" i="16"/>
  <c r="Z175" i="16" s="1"/>
  <c r="Y175" i="16" s="1"/>
  <c r="G117" i="16"/>
  <c r="BY117" i="6" s="1"/>
  <c r="AI256" i="17"/>
  <c r="AH256" i="17" s="1"/>
  <c r="AG256" i="17" s="1"/>
  <c r="AF256" i="17" s="1"/>
  <c r="AA361" i="16"/>
  <c r="Z361" i="16" s="1"/>
  <c r="Y361" i="16" s="1"/>
  <c r="V22" i="16"/>
  <c r="F22" i="16" s="1"/>
  <c r="V148" i="16"/>
  <c r="F148" i="16" s="1"/>
  <c r="V41" i="16"/>
  <c r="F41" i="16" s="1"/>
  <c r="V107" i="16"/>
  <c r="F107" i="16" s="1"/>
  <c r="V295" i="16"/>
  <c r="F295" i="16" s="1"/>
  <c r="V23" i="16"/>
  <c r="F23" i="16" s="1"/>
  <c r="D45" i="7"/>
  <c r="V60" i="16"/>
  <c r="F60" i="16" s="1"/>
  <c r="AA60" i="16" s="1"/>
  <c r="Z60" i="16" s="1"/>
  <c r="Y60" i="16" s="1"/>
  <c r="V76" i="16"/>
  <c r="F76" i="16" s="1"/>
  <c r="V343" i="16"/>
  <c r="F343" i="16" s="1"/>
  <c r="V180" i="16"/>
  <c r="F180" i="16" s="1"/>
  <c r="G180" i="16" s="1"/>
  <c r="BY180" i="6" s="1"/>
  <c r="D49" i="7"/>
  <c r="V156" i="16"/>
  <c r="F156" i="16" s="1"/>
  <c r="V132" i="16"/>
  <c r="F132" i="16" s="1"/>
  <c r="V116" i="16"/>
  <c r="F116" i="16" s="1"/>
  <c r="V80" i="16"/>
  <c r="F80" i="16" s="1"/>
  <c r="V99" i="16"/>
  <c r="F99" i="16" s="1"/>
  <c r="V171" i="16"/>
  <c r="F171" i="16" s="1"/>
  <c r="AG379" i="16"/>
  <c r="AF379" i="16" s="1"/>
  <c r="AD379" i="16" s="1"/>
  <c r="V72" i="16"/>
  <c r="F72" i="16" s="1"/>
  <c r="V166" i="16"/>
  <c r="F166" i="16" s="1"/>
  <c r="V150" i="16"/>
  <c r="F150" i="16" s="1"/>
  <c r="V86" i="16"/>
  <c r="F86" i="16" s="1"/>
  <c r="V190" i="16"/>
  <c r="F190" i="16" s="1"/>
  <c r="V351" i="16"/>
  <c r="F351" i="16" s="1"/>
  <c r="T383" i="16"/>
  <c r="T381" i="16"/>
  <c r="S15" i="16"/>
  <c r="T382" i="16"/>
  <c r="AA136" i="16"/>
  <c r="Z136" i="16" s="1"/>
  <c r="Y136" i="16" s="1"/>
  <c r="AA321" i="16"/>
  <c r="Z321" i="16" s="1"/>
  <c r="Y321" i="16" s="1"/>
  <c r="I357" i="16"/>
  <c r="J335" i="16"/>
  <c r="I367" i="16"/>
  <c r="I375" i="16"/>
  <c r="I365" i="16"/>
  <c r="I349" i="16"/>
  <c r="I198" i="16"/>
  <c r="G210" i="16"/>
  <c r="BY210" i="6" s="1"/>
  <c r="J98" i="16"/>
  <c r="I169" i="16"/>
  <c r="J376" i="16"/>
  <c r="H322" i="16"/>
  <c r="I322" i="16" s="1"/>
  <c r="AA363" i="16"/>
  <c r="Z363" i="16" s="1"/>
  <c r="Y363" i="16" s="1"/>
  <c r="G233" i="16"/>
  <c r="BY233" i="6" s="1"/>
  <c r="G372" i="16"/>
  <c r="BY372" i="6" s="1"/>
  <c r="J231" i="16"/>
  <c r="G197" i="16"/>
  <c r="BY197" i="6" s="1"/>
  <c r="H363" i="16"/>
  <c r="I363" i="16" s="1"/>
  <c r="AA222" i="16"/>
  <c r="Z222" i="16" s="1"/>
  <c r="Y222" i="16" s="1"/>
  <c r="AA299" i="16"/>
  <c r="Z299" i="16" s="1"/>
  <c r="Y299" i="16" s="1"/>
  <c r="H31" i="16"/>
  <c r="J31" i="16" s="1"/>
  <c r="AA52" i="16"/>
  <c r="Z52" i="16" s="1"/>
  <c r="Y52" i="16" s="1"/>
  <c r="H296" i="16"/>
  <c r="I296" i="16" s="1"/>
  <c r="G149" i="16"/>
  <c r="BY149" i="6" s="1"/>
  <c r="H210" i="16"/>
  <c r="J210" i="16" s="1"/>
  <c r="I178" i="16"/>
  <c r="H197" i="16"/>
  <c r="J197" i="16" s="1"/>
  <c r="G222" i="16"/>
  <c r="BY222" i="6" s="1"/>
  <c r="H274" i="16"/>
  <c r="I274" i="16" s="1"/>
  <c r="G199" i="16"/>
  <c r="BY199" i="6" s="1"/>
  <c r="AA31" i="16"/>
  <c r="Z31" i="16" s="1"/>
  <c r="Y31" i="16" s="1"/>
  <c r="H52" i="16"/>
  <c r="I52" i="16" s="1"/>
  <c r="AA233" i="16"/>
  <c r="Z233" i="16" s="1"/>
  <c r="Y233" i="16" s="1"/>
  <c r="G322" i="16"/>
  <c r="BY322" i="6" s="1"/>
  <c r="AA149" i="16"/>
  <c r="Z149" i="16" s="1"/>
  <c r="Y149" i="16" s="1"/>
  <c r="AA69" i="16"/>
  <c r="Z69" i="16" s="1"/>
  <c r="Y69" i="16" s="1"/>
  <c r="H89" i="16"/>
  <c r="H69" i="16"/>
  <c r="G89" i="16"/>
  <c r="BY89" i="6" s="1"/>
  <c r="G310" i="16"/>
  <c r="BY310" i="6" s="1"/>
  <c r="H87" i="16"/>
  <c r="I87" i="16" s="1"/>
  <c r="G342" i="16"/>
  <c r="BY342" i="6" s="1"/>
  <c r="G378" i="16"/>
  <c r="BY378" i="6" s="1"/>
  <c r="I318" i="16"/>
  <c r="AA341" i="16"/>
  <c r="Z341" i="16" s="1"/>
  <c r="Y341" i="16" s="1"/>
  <c r="H21" i="16"/>
  <c r="J21" i="16" s="1"/>
  <c r="G374" i="16"/>
  <c r="BY374" i="6" s="1"/>
  <c r="J82" i="16"/>
  <c r="G118" i="16"/>
  <c r="BY118" i="6" s="1"/>
  <c r="AA212" i="16"/>
  <c r="Z212" i="16" s="1"/>
  <c r="Y212" i="16" s="1"/>
  <c r="G308" i="16"/>
  <c r="BY308" i="6" s="1"/>
  <c r="G333" i="16"/>
  <c r="BY333" i="6" s="1"/>
  <c r="H173" i="16"/>
  <c r="I173" i="16" s="1"/>
  <c r="AA274" i="16"/>
  <c r="Z274" i="16" s="1"/>
  <c r="Y274" i="16" s="1"/>
  <c r="H199" i="16"/>
  <c r="I199" i="16" s="1"/>
  <c r="H299" i="16"/>
  <c r="J299" i="16" s="1"/>
  <c r="G296" i="16"/>
  <c r="BY296" i="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H42" i="16"/>
  <c r="I42" i="16" s="1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63" i="16"/>
  <c r="J163" i="16"/>
  <c r="I155" i="16"/>
  <c r="J155" i="16"/>
  <c r="I70" i="16"/>
  <c r="J70" i="16"/>
  <c r="I102" i="16"/>
  <c r="J102" i="16"/>
  <c r="AA48" i="16"/>
  <c r="Z48" i="16" s="1"/>
  <c r="Y48" i="16" s="1"/>
  <c r="AA118" i="16"/>
  <c r="Z118" i="16" s="1"/>
  <c r="Y118" i="16" s="1"/>
  <c r="H212" i="16"/>
  <c r="J212" i="16" s="1"/>
  <c r="H310" i="16"/>
  <c r="J310" i="16" s="1"/>
  <c r="AA87" i="16"/>
  <c r="Z87" i="16" s="1"/>
  <c r="Y87" i="16" s="1"/>
  <c r="AA342" i="16"/>
  <c r="Z342" i="16" s="1"/>
  <c r="Y342" i="16" s="1"/>
  <c r="G139" i="16"/>
  <c r="BY139" i="6" s="1"/>
  <c r="AA333" i="16"/>
  <c r="Z333" i="16" s="1"/>
  <c r="Y333" i="16" s="1"/>
  <c r="G341" i="16"/>
  <c r="BY341" i="6" s="1"/>
  <c r="AA21" i="16"/>
  <c r="Z21" i="16" s="1"/>
  <c r="Y21" i="16" s="1"/>
  <c r="AA378" i="16"/>
  <c r="Z378" i="16" s="1"/>
  <c r="Y378" i="16" s="1"/>
  <c r="AA93" i="16"/>
  <c r="Z93" i="16" s="1"/>
  <c r="Y93" i="16" s="1"/>
  <c r="H54" i="16"/>
  <c r="G54" i="16"/>
  <c r="BY54" i="6" s="1"/>
  <c r="AA56" i="16"/>
  <c r="Z56" i="16" s="1"/>
  <c r="Y56" i="16" s="1"/>
  <c r="G42" i="16"/>
  <c r="BY42" i="6" s="1"/>
  <c r="H56" i="16"/>
  <c r="I56" i="16" s="1"/>
  <c r="I36" i="16"/>
  <c r="J36" i="16"/>
  <c r="H48" i="16"/>
  <c r="I48" i="16" s="1"/>
  <c r="H308" i="16"/>
  <c r="J308" i="16" s="1"/>
  <c r="H139" i="16"/>
  <c r="J139" i="16" s="1"/>
  <c r="AA173" i="16"/>
  <c r="Z173" i="16" s="1"/>
  <c r="Y173" i="16" s="1"/>
  <c r="H374" i="16"/>
  <c r="J374" i="16" s="1"/>
  <c r="H93" i="16"/>
  <c r="I93" i="16" s="1"/>
  <c r="I279" i="16"/>
  <c r="J279" i="16"/>
  <c r="J277" i="16"/>
  <c r="I277" i="16"/>
  <c r="J225" i="16"/>
  <c r="I225" i="16"/>
  <c r="I229" i="16"/>
  <c r="J229" i="16"/>
  <c r="J193" i="16"/>
  <c r="I193" i="16"/>
  <c r="AB380" i="25"/>
  <c r="L380" i="25"/>
  <c r="X380" i="25"/>
  <c r="K380" i="25"/>
  <c r="AK380" i="25"/>
  <c r="AJ380" i="25"/>
  <c r="AC380" i="25"/>
  <c r="O380" i="25"/>
  <c r="J283" i="16"/>
  <c r="I283" i="16"/>
  <c r="J301" i="16"/>
  <c r="I301" i="16"/>
  <c r="J265" i="16"/>
  <c r="I265" i="16"/>
  <c r="I253" i="16"/>
  <c r="J253" i="16"/>
  <c r="I245" i="16"/>
  <c r="J245" i="16"/>
  <c r="I189" i="16"/>
  <c r="J189" i="16"/>
  <c r="I145" i="16"/>
  <c r="J145" i="16"/>
  <c r="I273" i="16"/>
  <c r="J273" i="16"/>
  <c r="J129" i="16"/>
  <c r="I129" i="16"/>
  <c r="AM7" i="16"/>
  <c r="AM11" i="16" s="1"/>
  <c r="AK3" i="16" s="1"/>
  <c r="Q13" i="19" s="1"/>
  <c r="J16" i="16"/>
  <c r="I16" i="16"/>
  <c r="H84" i="16"/>
  <c r="I84" i="16" s="1"/>
  <c r="AA27" i="16"/>
  <c r="Z27" i="16" s="1"/>
  <c r="Y27" i="16" s="1"/>
  <c r="H27" i="16"/>
  <c r="G36" i="16"/>
  <c r="BY36" i="6" s="1"/>
  <c r="AA36" i="16"/>
  <c r="Z36" i="16" s="1"/>
  <c r="Y36" i="16" s="1"/>
  <c r="G70" i="16"/>
  <c r="BY70" i="6" s="1"/>
  <c r="AA70" i="16"/>
  <c r="Z70" i="16" s="1"/>
  <c r="Y70" i="16" s="1"/>
  <c r="AA92" i="16"/>
  <c r="Z92" i="16" s="1"/>
  <c r="Y92" i="16" s="1"/>
  <c r="G92" i="16"/>
  <c r="BY92" i="6" s="1"/>
  <c r="H92" i="16"/>
  <c r="G58" i="16"/>
  <c r="BY58" i="6" s="1"/>
  <c r="AA58" i="16"/>
  <c r="Z58" i="16" s="1"/>
  <c r="Y58" i="16" s="1"/>
  <c r="G16" i="16"/>
  <c r="BY16" i="6" s="1"/>
  <c r="AA16" i="16"/>
  <c r="Z16" i="16" s="1"/>
  <c r="Y16" i="16" s="1"/>
  <c r="G18" i="16"/>
  <c r="BY18" i="6" s="1"/>
  <c r="AA18" i="16"/>
  <c r="Z18" i="16" s="1"/>
  <c r="Y18" i="16" s="1"/>
  <c r="H58" i="16"/>
  <c r="Q381" i="17"/>
  <c r="V15" i="7"/>
  <c r="H75" i="16"/>
  <c r="I75" i="16" s="1"/>
  <c r="I18" i="16"/>
  <c r="H266" i="16"/>
  <c r="I266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I342" i="16"/>
  <c r="J342" i="16"/>
  <c r="I333" i="16"/>
  <c r="J333" i="16"/>
  <c r="J341" i="16"/>
  <c r="I341" i="16"/>
  <c r="I233" i="16"/>
  <c r="J233" i="16"/>
  <c r="I149" i="16"/>
  <c r="J149" i="16"/>
  <c r="I378" i="16"/>
  <c r="J378" i="16"/>
  <c r="AE382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L9" i="15" s="1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AA15" i="7"/>
  <c r="Q10" i="18"/>
  <c r="Q22" i="18" s="1"/>
  <c r="J118" i="16"/>
  <c r="I118" i="16"/>
  <c r="I222" i="16"/>
  <c r="J222" i="16"/>
  <c r="L381" i="24"/>
  <c r="L382" i="24"/>
  <c r="L383" i="24"/>
  <c r="AE381" i="17" l="1"/>
  <c r="Q382" i="17"/>
  <c r="Q383" i="17"/>
  <c r="AE11" i="18"/>
  <c r="G305" i="16"/>
  <c r="BY305" i="6" s="1"/>
  <c r="H153" i="16"/>
  <c r="I153" i="16" s="1"/>
  <c r="AA153" i="16"/>
  <c r="Z153" i="16" s="1"/>
  <c r="Y153" i="16" s="1"/>
  <c r="G153" i="16"/>
  <c r="BY153" i="6" s="1"/>
  <c r="J289" i="16"/>
  <c r="I113" i="16"/>
  <c r="G57" i="16"/>
  <c r="BY57" i="6" s="1"/>
  <c r="H57" i="16"/>
  <c r="I57" i="16" s="1"/>
  <c r="J177" i="16"/>
  <c r="G237" i="16"/>
  <c r="BY237" i="6" s="1"/>
  <c r="AA176" i="16"/>
  <c r="Z176" i="16" s="1"/>
  <c r="Y176" i="16" s="1"/>
  <c r="AA184" i="16"/>
  <c r="Z184" i="16" s="1"/>
  <c r="Y184" i="16" s="1"/>
  <c r="G176" i="16"/>
  <c r="BY176" i="6" s="1"/>
  <c r="H305" i="16"/>
  <c r="I305" i="16" s="1"/>
  <c r="I35" i="16"/>
  <c r="H126" i="16"/>
  <c r="I126" i="16" s="1"/>
  <c r="I221" i="16"/>
  <c r="H62" i="16"/>
  <c r="I62" i="16" s="1"/>
  <c r="G62" i="16"/>
  <c r="BY62" i="6" s="1"/>
  <c r="G184" i="16"/>
  <c r="BY184" i="6" s="1"/>
  <c r="H237" i="16"/>
  <c r="I237" i="16" s="1"/>
  <c r="J176" i="16"/>
  <c r="AI216" i="17"/>
  <c r="AH216" i="17" s="1"/>
  <c r="AG216" i="17" s="1"/>
  <c r="AF216" i="17" s="1"/>
  <c r="AI232" i="17"/>
  <c r="AH232" i="17" s="1"/>
  <c r="AG232" i="17" s="1"/>
  <c r="AF232" i="17" s="1"/>
  <c r="H29" i="16"/>
  <c r="I29" i="16" s="1"/>
  <c r="H134" i="16"/>
  <c r="J134" i="16" s="1"/>
  <c r="AA35" i="16"/>
  <c r="Z35" i="16" s="1"/>
  <c r="Y35" i="16" s="1"/>
  <c r="I110" i="16"/>
  <c r="AA126" i="16"/>
  <c r="Z126" i="16" s="1"/>
  <c r="Y126" i="16" s="1"/>
  <c r="G35" i="16"/>
  <c r="BY35" i="6" s="1"/>
  <c r="J201" i="16"/>
  <c r="G88" i="16"/>
  <c r="BY88" i="6" s="1"/>
  <c r="J101" i="16"/>
  <c r="AA134" i="16"/>
  <c r="Z134" i="16" s="1"/>
  <c r="Y134" i="16" s="1"/>
  <c r="J119" i="16"/>
  <c r="H40" i="16"/>
  <c r="I40" i="16" s="1"/>
  <c r="J261" i="16"/>
  <c r="H103" i="16"/>
  <c r="J103" i="16" s="1"/>
  <c r="AA101" i="16"/>
  <c r="Z101" i="16" s="1"/>
  <c r="Y101" i="16" s="1"/>
  <c r="J147" i="16"/>
  <c r="G66" i="16"/>
  <c r="BY66" i="6" s="1"/>
  <c r="G40" i="16"/>
  <c r="BY40" i="6" s="1"/>
  <c r="H53" i="16"/>
  <c r="J53" i="16" s="1"/>
  <c r="G101" i="16"/>
  <c r="BY101" i="6" s="1"/>
  <c r="H66" i="16"/>
  <c r="I66" i="16" s="1"/>
  <c r="AA285" i="16"/>
  <c r="Z285" i="16" s="1"/>
  <c r="Y285" i="16" s="1"/>
  <c r="H285" i="16"/>
  <c r="J285" i="16" s="1"/>
  <c r="G162" i="16"/>
  <c r="BY162" i="6" s="1"/>
  <c r="AA50" i="16"/>
  <c r="Z50" i="16" s="1"/>
  <c r="Y50" i="16" s="1"/>
  <c r="J311" i="16"/>
  <c r="J38" i="16"/>
  <c r="AA17" i="16"/>
  <c r="Z17" i="16" s="1"/>
  <c r="Y17" i="16" s="1"/>
  <c r="H125" i="16"/>
  <c r="I125" i="16" s="1"/>
  <c r="H46" i="16"/>
  <c r="I46" i="16" s="1"/>
  <c r="G37" i="16"/>
  <c r="BY37" i="6" s="1"/>
  <c r="I133" i="16"/>
  <c r="G275" i="16"/>
  <c r="BY275" i="6" s="1"/>
  <c r="AA45" i="16"/>
  <c r="Z45" i="16" s="1"/>
  <c r="Y45" i="16" s="1"/>
  <c r="I83" i="16"/>
  <c r="AA61" i="16"/>
  <c r="Z61" i="16" s="1"/>
  <c r="Y61" i="16" s="1"/>
  <c r="AA125" i="16"/>
  <c r="Z125" i="16" s="1"/>
  <c r="Y125" i="16" s="1"/>
  <c r="I275" i="16"/>
  <c r="I51" i="16"/>
  <c r="G46" i="16"/>
  <c r="BY46" i="6" s="1"/>
  <c r="AA37" i="16"/>
  <c r="Z37" i="16" s="1"/>
  <c r="Y37" i="16" s="1"/>
  <c r="J50" i="16"/>
  <c r="J43" i="16"/>
  <c r="I223" i="16"/>
  <c r="G45" i="16"/>
  <c r="BY45" i="6" s="1"/>
  <c r="I309" i="16"/>
  <c r="H34" i="16"/>
  <c r="I34" i="16" s="1"/>
  <c r="H152" i="16"/>
  <c r="J152" i="16" s="1"/>
  <c r="I179" i="16"/>
  <c r="I77" i="16"/>
  <c r="G119" i="16"/>
  <c r="BY119" i="6" s="1"/>
  <c r="AA53" i="16"/>
  <c r="Z53" i="16" s="1"/>
  <c r="Y53" i="16" s="1"/>
  <c r="J287" i="16"/>
  <c r="J143" i="16"/>
  <c r="J114" i="16"/>
  <c r="G317" i="16"/>
  <c r="BY317" i="6" s="1"/>
  <c r="G50" i="16"/>
  <c r="BY50" i="6" s="1"/>
  <c r="I165" i="16"/>
  <c r="H17" i="16"/>
  <c r="I17" i="16" s="1"/>
  <c r="J269" i="16"/>
  <c r="AA275" i="16"/>
  <c r="Z275" i="16" s="1"/>
  <c r="Y275" i="16" s="1"/>
  <c r="H111" i="16"/>
  <c r="I111" i="16" s="1"/>
  <c r="AA379" i="16"/>
  <c r="Z379" i="16" s="1"/>
  <c r="Y379" i="16" s="1"/>
  <c r="G61" i="16"/>
  <c r="BY61" i="6" s="1"/>
  <c r="I61" i="16"/>
  <c r="AA34" i="16"/>
  <c r="Z34" i="16" s="1"/>
  <c r="Y34" i="16" s="1"/>
  <c r="AA152" i="16"/>
  <c r="Z152" i="16" s="1"/>
  <c r="Y152" i="16" s="1"/>
  <c r="AA119" i="16"/>
  <c r="Z119" i="16" s="1"/>
  <c r="Y119" i="16" s="1"/>
  <c r="J162" i="16"/>
  <c r="J300" i="16"/>
  <c r="H317" i="16"/>
  <c r="I317" i="16" s="1"/>
  <c r="AA77" i="16"/>
  <c r="Z77" i="16" s="1"/>
  <c r="Y77" i="16" s="1"/>
  <c r="L43" i="19"/>
  <c r="AA162" i="16"/>
  <c r="Z162" i="16" s="1"/>
  <c r="Y162" i="16" s="1"/>
  <c r="D11" i="19"/>
  <c r="E11" i="19" s="1"/>
  <c r="G35" i="19"/>
  <c r="AA38" i="16"/>
  <c r="Z38" i="16" s="1"/>
  <c r="Y38" i="16" s="1"/>
  <c r="H112" i="16"/>
  <c r="J112" i="16" s="1"/>
  <c r="AI79" i="17"/>
  <c r="AH79" i="17" s="1"/>
  <c r="AG79" i="17" s="1"/>
  <c r="AF79" i="17" s="1"/>
  <c r="AI356" i="17"/>
  <c r="AH356" i="17" s="1"/>
  <c r="AG356" i="17" s="1"/>
  <c r="AF356" i="17" s="1"/>
  <c r="AI127" i="17"/>
  <c r="AH127" i="17" s="1"/>
  <c r="AI360" i="17"/>
  <c r="AH360" i="17" s="1"/>
  <c r="AG360" i="17" s="1"/>
  <c r="AF360" i="17" s="1"/>
  <c r="I146" i="16"/>
  <c r="J205" i="16"/>
  <c r="G205" i="16"/>
  <c r="BY205" i="6" s="1"/>
  <c r="AD360" i="17"/>
  <c r="J267" i="16"/>
  <c r="I181" i="16"/>
  <c r="I104" i="16"/>
  <c r="AA97" i="16"/>
  <c r="Z97" i="16" s="1"/>
  <c r="Y97" i="16" s="1"/>
  <c r="H108" i="16"/>
  <c r="J108" i="16" s="1"/>
  <c r="J243" i="16"/>
  <c r="J325" i="16"/>
  <c r="J328" i="16"/>
  <c r="J19" i="16"/>
  <c r="I271" i="16"/>
  <c r="G111" i="16"/>
  <c r="BY111" i="6" s="1"/>
  <c r="I32" i="16"/>
  <c r="J213" i="16"/>
  <c r="I371" i="16"/>
  <c r="I71" i="16"/>
  <c r="AA205" i="16"/>
  <c r="Z205" i="16" s="1"/>
  <c r="Y205" i="16" s="1"/>
  <c r="H339" i="16"/>
  <c r="AA339" i="16"/>
  <c r="Z339" i="16" s="1"/>
  <c r="Y339" i="16" s="1"/>
  <c r="G339" i="16"/>
  <c r="BY339" i="6" s="1"/>
  <c r="AD232" i="17"/>
  <c r="AI336" i="17"/>
  <c r="AH336" i="17" s="1"/>
  <c r="AG336" i="17" s="1"/>
  <c r="AF336" i="17" s="1"/>
  <c r="AI47" i="17"/>
  <c r="AH47" i="17" s="1"/>
  <c r="AG47" i="17" s="1"/>
  <c r="AF47" i="17" s="1"/>
  <c r="AI320" i="17"/>
  <c r="AH320" i="17" s="1"/>
  <c r="AG320" i="17" s="1"/>
  <c r="AF320" i="17" s="1"/>
  <c r="AI192" i="17"/>
  <c r="AH192" i="17" s="1"/>
  <c r="AG192" i="17" s="1"/>
  <c r="AF192" i="17" s="1"/>
  <c r="AI376" i="17"/>
  <c r="AH376" i="17" s="1"/>
  <c r="AI18" i="17"/>
  <c r="AH18" i="17" s="1"/>
  <c r="AG18" i="17" s="1"/>
  <c r="AF18" i="17" s="1"/>
  <c r="G108" i="16"/>
  <c r="BY108" i="6" s="1"/>
  <c r="G112" i="16"/>
  <c r="BY112" i="6" s="1"/>
  <c r="I122" i="16"/>
  <c r="I157" i="16"/>
  <c r="J249" i="16"/>
  <c r="I195" i="16"/>
  <c r="I120" i="16"/>
  <c r="J170" i="16"/>
  <c r="J81" i="16"/>
  <c r="H97" i="16"/>
  <c r="I97" i="16" s="1"/>
  <c r="H73" i="16"/>
  <c r="I73" i="16" s="1"/>
  <c r="I67" i="16"/>
  <c r="J316" i="16"/>
  <c r="I347" i="16"/>
  <c r="I182" i="16"/>
  <c r="I362" i="16"/>
  <c r="I227" i="16"/>
  <c r="J321" i="16"/>
  <c r="J215" i="16"/>
  <c r="I307" i="16"/>
  <c r="I262" i="16"/>
  <c r="I138" i="16"/>
  <c r="I95" i="16"/>
  <c r="J160" i="16"/>
  <c r="J211" i="16"/>
  <c r="AD264" i="17"/>
  <c r="J117" i="16"/>
  <c r="G172" i="16"/>
  <c r="BY172" i="6" s="1"/>
  <c r="I235" i="16"/>
  <c r="J303" i="16"/>
  <c r="J105" i="16"/>
  <c r="J368" i="16"/>
  <c r="G73" i="16"/>
  <c r="BY73" i="6" s="1"/>
  <c r="I25" i="16"/>
  <c r="I260" i="16"/>
  <c r="I94" i="16"/>
  <c r="J304" i="16"/>
  <c r="J294" i="16"/>
  <c r="J373" i="16"/>
  <c r="I358" i="16"/>
  <c r="J121" i="16"/>
  <c r="I239" i="16"/>
  <c r="H28" i="16"/>
  <c r="J28" i="16" s="1"/>
  <c r="J259" i="16"/>
  <c r="G33" i="16"/>
  <c r="BY33" i="6" s="1"/>
  <c r="I151" i="16"/>
  <c r="AA33" i="16"/>
  <c r="Z33" i="16" s="1"/>
  <c r="Y33" i="16" s="1"/>
  <c r="I33" i="16"/>
  <c r="I361" i="16"/>
  <c r="H180" i="16"/>
  <c r="I180" i="16" s="1"/>
  <c r="AA180" i="16"/>
  <c r="Z180" i="16" s="1"/>
  <c r="Y180" i="16" s="1"/>
  <c r="G47" i="16"/>
  <c r="BY47" i="6" s="1"/>
  <c r="H47" i="16"/>
  <c r="AA47" i="16"/>
  <c r="Z47" i="16" s="1"/>
  <c r="Y47" i="16" s="1"/>
  <c r="I251" i="16"/>
  <c r="J24" i="16"/>
  <c r="I230" i="16"/>
  <c r="I200" i="16"/>
  <c r="J203" i="16"/>
  <c r="J255" i="16"/>
  <c r="I238" i="16"/>
  <c r="J257" i="16"/>
  <c r="H123" i="16"/>
  <c r="G123" i="16"/>
  <c r="BY123" i="6" s="1"/>
  <c r="AA123" i="16"/>
  <c r="Z123" i="16" s="1"/>
  <c r="Y123" i="16" s="1"/>
  <c r="G217" i="16"/>
  <c r="BY217" i="6" s="1"/>
  <c r="AA217" i="16"/>
  <c r="Z217" i="16" s="1"/>
  <c r="Y217" i="16" s="1"/>
  <c r="J372" i="16"/>
  <c r="I281" i="16"/>
  <c r="J136" i="16"/>
  <c r="AA30" i="16"/>
  <c r="Z30" i="16" s="1"/>
  <c r="Y30" i="16" s="1"/>
  <c r="J185" i="16"/>
  <c r="J359" i="16"/>
  <c r="J353" i="16"/>
  <c r="G78" i="16"/>
  <c r="BY78" i="6" s="1"/>
  <c r="H140" i="16"/>
  <c r="AA140" i="16"/>
  <c r="Z140" i="16" s="1"/>
  <c r="Y140" i="16" s="1"/>
  <c r="G140" i="16"/>
  <c r="BY140" i="6" s="1"/>
  <c r="I208" i="16"/>
  <c r="J208" i="16"/>
  <c r="J96" i="16"/>
  <c r="I96" i="16"/>
  <c r="J59" i="16"/>
  <c r="I59" i="16"/>
  <c r="J187" i="16"/>
  <c r="H74" i="16"/>
  <c r="J74" i="16" s="1"/>
  <c r="I130" i="16"/>
  <c r="H217" i="16"/>
  <c r="J217" i="16" s="1"/>
  <c r="H63" i="19"/>
  <c r="H78" i="16"/>
  <c r="I78" i="16" s="1"/>
  <c r="J241" i="16"/>
  <c r="I278" i="16"/>
  <c r="J377" i="16"/>
  <c r="I137" i="16"/>
  <c r="J137" i="16"/>
  <c r="I293" i="16"/>
  <c r="J293" i="16"/>
  <c r="I188" i="16"/>
  <c r="J188" i="16"/>
  <c r="J313" i="16"/>
  <c r="I313" i="16"/>
  <c r="I135" i="16"/>
  <c r="J135" i="16"/>
  <c r="H30" i="16"/>
  <c r="I30" i="16" s="1"/>
  <c r="G74" i="16"/>
  <c r="BY74" i="6" s="1"/>
  <c r="D63" i="19"/>
  <c r="J106" i="16"/>
  <c r="AA172" i="16"/>
  <c r="Z172" i="16" s="1"/>
  <c r="Y172" i="16" s="1"/>
  <c r="G38" i="16"/>
  <c r="BY38" i="6" s="1"/>
  <c r="AA28" i="16"/>
  <c r="Z28" i="16" s="1"/>
  <c r="Y28" i="16" s="1"/>
  <c r="I63" i="19"/>
  <c r="J297" i="16"/>
  <c r="I128" i="16"/>
  <c r="J337" i="16"/>
  <c r="E63" i="19"/>
  <c r="I315" i="16"/>
  <c r="J219" i="16"/>
  <c r="J345" i="16"/>
  <c r="AA191" i="16"/>
  <c r="Z191" i="16" s="1"/>
  <c r="Y191" i="16" s="1"/>
  <c r="G191" i="16"/>
  <c r="BY191" i="6" s="1"/>
  <c r="H191" i="16"/>
  <c r="AA291" i="16"/>
  <c r="Z291" i="16" s="1"/>
  <c r="Y291" i="16" s="1"/>
  <c r="G291" i="16"/>
  <c r="BY291" i="6" s="1"/>
  <c r="H291" i="16"/>
  <c r="G39" i="16"/>
  <c r="BY39" i="6" s="1"/>
  <c r="AA39" i="16"/>
  <c r="Z39" i="16" s="1"/>
  <c r="Y39" i="16" s="1"/>
  <c r="H39" i="16"/>
  <c r="G100" i="16"/>
  <c r="BY100" i="6" s="1"/>
  <c r="AA100" i="16"/>
  <c r="Z100" i="16" s="1"/>
  <c r="Y100" i="16" s="1"/>
  <c r="H100" i="16"/>
  <c r="G144" i="16"/>
  <c r="BY144" i="6" s="1"/>
  <c r="AA144" i="16"/>
  <c r="Z144" i="16" s="1"/>
  <c r="Y144" i="16" s="1"/>
  <c r="H144" i="16"/>
  <c r="G26" i="16"/>
  <c r="BY26" i="6" s="1"/>
  <c r="H26" i="16"/>
  <c r="AA26" i="16"/>
  <c r="Z26" i="16" s="1"/>
  <c r="Y26" i="16" s="1"/>
  <c r="AA218" i="16"/>
  <c r="Z218" i="16" s="1"/>
  <c r="Y218" i="16" s="1"/>
  <c r="G218" i="16"/>
  <c r="BY218" i="6" s="1"/>
  <c r="H218" i="16"/>
  <c r="G282" i="16"/>
  <c r="BY282" i="6" s="1"/>
  <c r="AA282" i="16"/>
  <c r="Z282" i="16" s="1"/>
  <c r="Y282" i="16" s="1"/>
  <c r="H282" i="16"/>
  <c r="G314" i="16"/>
  <c r="BY314" i="6" s="1"/>
  <c r="H314" i="16"/>
  <c r="AA314" i="16"/>
  <c r="Z314" i="16" s="1"/>
  <c r="Y314" i="16" s="1"/>
  <c r="AA354" i="16"/>
  <c r="Z354" i="16" s="1"/>
  <c r="Y354" i="16" s="1"/>
  <c r="H354" i="16"/>
  <c r="G354" i="16"/>
  <c r="BY354" i="6" s="1"/>
  <c r="G85" i="16"/>
  <c r="BY85" i="6" s="1"/>
  <c r="H85" i="16"/>
  <c r="AA85" i="16"/>
  <c r="Z85" i="16" s="1"/>
  <c r="Y85" i="16" s="1"/>
  <c r="G254" i="16"/>
  <c r="BY254" i="6" s="1"/>
  <c r="AA254" i="16"/>
  <c r="Z254" i="16" s="1"/>
  <c r="Y254" i="16" s="1"/>
  <c r="H254" i="16"/>
  <c r="G334" i="16"/>
  <c r="BY334" i="6" s="1"/>
  <c r="H334" i="16"/>
  <c r="AA334" i="16"/>
  <c r="Z334" i="16" s="1"/>
  <c r="Y334" i="16" s="1"/>
  <c r="G202" i="16"/>
  <c r="BY202" i="6" s="1"/>
  <c r="AA202" i="16"/>
  <c r="Z202" i="16" s="1"/>
  <c r="Y202" i="16" s="1"/>
  <c r="H202" i="16"/>
  <c r="G258" i="16"/>
  <c r="BY258" i="6" s="1"/>
  <c r="H258" i="16"/>
  <c r="AA258" i="16"/>
  <c r="Z258" i="16" s="1"/>
  <c r="Y258" i="16" s="1"/>
  <c r="G306" i="16"/>
  <c r="BY306" i="6" s="1"/>
  <c r="H306" i="16"/>
  <c r="AA306" i="16"/>
  <c r="Z306" i="16" s="1"/>
  <c r="Y306" i="16" s="1"/>
  <c r="G346" i="16"/>
  <c r="BY346" i="6" s="1"/>
  <c r="AA346" i="16"/>
  <c r="Z346" i="16" s="1"/>
  <c r="Y346" i="16" s="1"/>
  <c r="H346" i="16"/>
  <c r="H109" i="16"/>
  <c r="G109" i="16"/>
  <c r="BY109" i="6" s="1"/>
  <c r="AA109" i="16"/>
  <c r="Z109" i="16" s="1"/>
  <c r="Y109" i="16" s="1"/>
  <c r="H204" i="16"/>
  <c r="G204" i="16"/>
  <c r="BY204" i="6" s="1"/>
  <c r="AA204" i="16"/>
  <c r="Z204" i="16" s="1"/>
  <c r="Y204" i="16" s="1"/>
  <c r="AA236" i="16"/>
  <c r="Z236" i="16" s="1"/>
  <c r="Y236" i="16" s="1"/>
  <c r="G236" i="16"/>
  <c r="BY236" i="6" s="1"/>
  <c r="H236" i="16"/>
  <c r="AA252" i="16"/>
  <c r="Z252" i="16" s="1"/>
  <c r="Y252" i="16" s="1"/>
  <c r="G252" i="16"/>
  <c r="BY252" i="6" s="1"/>
  <c r="H252" i="16"/>
  <c r="AA276" i="16"/>
  <c r="Z276" i="16" s="1"/>
  <c r="Y276" i="16" s="1"/>
  <c r="G276" i="16"/>
  <c r="BY276" i="6" s="1"/>
  <c r="H276" i="16"/>
  <c r="G324" i="16"/>
  <c r="BY324" i="6" s="1"/>
  <c r="AA324" i="16"/>
  <c r="Z324" i="16" s="1"/>
  <c r="Y324" i="16" s="1"/>
  <c r="H324" i="16"/>
  <c r="G340" i="16"/>
  <c r="BY340" i="6" s="1"/>
  <c r="H340" i="16"/>
  <c r="AA340" i="16"/>
  <c r="Z340" i="16" s="1"/>
  <c r="Y340" i="16" s="1"/>
  <c r="G356" i="16"/>
  <c r="BY356" i="6" s="1"/>
  <c r="H356" i="16"/>
  <c r="AA356" i="16"/>
  <c r="Z356" i="16" s="1"/>
  <c r="Y356" i="16" s="1"/>
  <c r="G206" i="16"/>
  <c r="BY206" i="6" s="1"/>
  <c r="AA206" i="16"/>
  <c r="Z206" i="16" s="1"/>
  <c r="Y206" i="16" s="1"/>
  <c r="H206" i="16"/>
  <c r="H270" i="16"/>
  <c r="AA270" i="16"/>
  <c r="Z270" i="16" s="1"/>
  <c r="Y270" i="16" s="1"/>
  <c r="G270" i="16"/>
  <c r="BY270" i="6" s="1"/>
  <c r="H55" i="16"/>
  <c r="G55" i="16"/>
  <c r="BY55" i="6" s="1"/>
  <c r="AA55" i="16"/>
  <c r="Z55" i="16" s="1"/>
  <c r="Y55" i="16" s="1"/>
  <c r="G183" i="16"/>
  <c r="BY183" i="6" s="1"/>
  <c r="AA183" i="16"/>
  <c r="Z183" i="16" s="1"/>
  <c r="Y183" i="16" s="1"/>
  <c r="H183" i="16"/>
  <c r="G115" i="16"/>
  <c r="BY115" i="6" s="1"/>
  <c r="AA115" i="16"/>
  <c r="Z115" i="16" s="1"/>
  <c r="Y115" i="16" s="1"/>
  <c r="H115" i="16"/>
  <c r="G124" i="16"/>
  <c r="BY124" i="6" s="1"/>
  <c r="H124" i="16"/>
  <c r="AA124" i="16"/>
  <c r="Z124" i="16" s="1"/>
  <c r="Y124" i="16" s="1"/>
  <c r="H164" i="16"/>
  <c r="AA164" i="16"/>
  <c r="Z164" i="16" s="1"/>
  <c r="Y164" i="16" s="1"/>
  <c r="G164" i="16"/>
  <c r="BY164" i="6" s="1"/>
  <c r="G194" i="16"/>
  <c r="BY194" i="6" s="1"/>
  <c r="AA194" i="16"/>
  <c r="Z194" i="16" s="1"/>
  <c r="Y194" i="16" s="1"/>
  <c r="H194" i="16"/>
  <c r="G250" i="16"/>
  <c r="BY250" i="6" s="1"/>
  <c r="AA250" i="16"/>
  <c r="Z250" i="16" s="1"/>
  <c r="Y250" i="16" s="1"/>
  <c r="H250" i="16"/>
  <c r="G298" i="16"/>
  <c r="BY298" i="6" s="1"/>
  <c r="H298" i="16"/>
  <c r="AA298" i="16"/>
  <c r="Z298" i="16" s="1"/>
  <c r="Y298" i="16" s="1"/>
  <c r="G338" i="16"/>
  <c r="BY338" i="6" s="1"/>
  <c r="AA338" i="16"/>
  <c r="Z338" i="16" s="1"/>
  <c r="Y338" i="16" s="1"/>
  <c r="H338" i="16"/>
  <c r="G323" i="16"/>
  <c r="BY323" i="6" s="1"/>
  <c r="AA323" i="16"/>
  <c r="Z323" i="16" s="1"/>
  <c r="Y323" i="16" s="1"/>
  <c r="H323" i="16"/>
  <c r="AA214" i="16"/>
  <c r="Z214" i="16" s="1"/>
  <c r="Y214" i="16" s="1"/>
  <c r="G214" i="16"/>
  <c r="BY214" i="6" s="1"/>
  <c r="H214" i="16"/>
  <c r="G286" i="16"/>
  <c r="BY286" i="6" s="1"/>
  <c r="AA286" i="16"/>
  <c r="Z286" i="16" s="1"/>
  <c r="Y286" i="16" s="1"/>
  <c r="H286" i="16"/>
  <c r="H366" i="16"/>
  <c r="G366" i="16"/>
  <c r="BY366" i="6" s="1"/>
  <c r="AA366" i="16"/>
  <c r="Z366" i="16" s="1"/>
  <c r="Y366" i="16" s="1"/>
  <c r="G186" i="16"/>
  <c r="BY186" i="6" s="1"/>
  <c r="AA186" i="16"/>
  <c r="Z186" i="16" s="1"/>
  <c r="Y186" i="16" s="1"/>
  <c r="H186" i="16"/>
  <c r="G234" i="16"/>
  <c r="BY234" i="6" s="1"/>
  <c r="AA234" i="16"/>
  <c r="Z234" i="16" s="1"/>
  <c r="Y234" i="16" s="1"/>
  <c r="H234" i="16"/>
  <c r="G330" i="16"/>
  <c r="BY330" i="6" s="1"/>
  <c r="AA330" i="16"/>
  <c r="Z330" i="16" s="1"/>
  <c r="Y330" i="16" s="1"/>
  <c r="H330" i="16"/>
  <c r="G370" i="16"/>
  <c r="BY370" i="6" s="1"/>
  <c r="AA370" i="16"/>
  <c r="Z370" i="16" s="1"/>
  <c r="Y370" i="16" s="1"/>
  <c r="H370" i="16"/>
  <c r="G196" i="16"/>
  <c r="BY196" i="6" s="1"/>
  <c r="AA196" i="16"/>
  <c r="Z196" i="16" s="1"/>
  <c r="Y196" i="16" s="1"/>
  <c r="H196" i="16"/>
  <c r="G220" i="16"/>
  <c r="BY220" i="6" s="1"/>
  <c r="AA220" i="16"/>
  <c r="Z220" i="16" s="1"/>
  <c r="Y220" i="16" s="1"/>
  <c r="H220" i="16"/>
  <c r="AA244" i="16"/>
  <c r="Z244" i="16" s="1"/>
  <c r="Y244" i="16" s="1"/>
  <c r="G244" i="16"/>
  <c r="BY244" i="6" s="1"/>
  <c r="H244" i="16"/>
  <c r="G268" i="16"/>
  <c r="BY268" i="6" s="1"/>
  <c r="AA268" i="16"/>
  <c r="Z268" i="16" s="1"/>
  <c r="Y268" i="16" s="1"/>
  <c r="H268" i="16"/>
  <c r="H292" i="16"/>
  <c r="AA292" i="16"/>
  <c r="Z292" i="16" s="1"/>
  <c r="Y292" i="16" s="1"/>
  <c r="G292" i="16"/>
  <c r="BY292" i="6" s="1"/>
  <c r="G332" i="16"/>
  <c r="BY332" i="6" s="1"/>
  <c r="H332" i="16"/>
  <c r="AA332" i="16"/>
  <c r="Z332" i="16" s="1"/>
  <c r="Y332" i="16" s="1"/>
  <c r="G348" i="16"/>
  <c r="BY348" i="6" s="1"/>
  <c r="AA348" i="16"/>
  <c r="Z348" i="16" s="1"/>
  <c r="Y348" i="16" s="1"/>
  <c r="H348" i="16"/>
  <c r="G327" i="16"/>
  <c r="BY327" i="6" s="1"/>
  <c r="H327" i="16"/>
  <c r="AA327" i="16"/>
  <c r="Z327" i="16" s="1"/>
  <c r="Y327" i="16" s="1"/>
  <c r="G68" i="16"/>
  <c r="BY68" i="6" s="1"/>
  <c r="AA68" i="16"/>
  <c r="Z68" i="16" s="1"/>
  <c r="Y68" i="16" s="1"/>
  <c r="H68" i="16"/>
  <c r="H246" i="16"/>
  <c r="AA246" i="16"/>
  <c r="Z246" i="16" s="1"/>
  <c r="Y246" i="16" s="1"/>
  <c r="G246" i="16"/>
  <c r="BY246" i="6" s="1"/>
  <c r="G331" i="16"/>
  <c r="BY331" i="6" s="1"/>
  <c r="H331" i="16"/>
  <c r="AA331" i="16"/>
  <c r="Z331" i="16" s="1"/>
  <c r="Y331" i="16" s="1"/>
  <c r="H65" i="16"/>
  <c r="AA65" i="16"/>
  <c r="Z65" i="16" s="1"/>
  <c r="Y65" i="16" s="1"/>
  <c r="G65" i="16"/>
  <c r="BY65" i="6" s="1"/>
  <c r="AA351" i="16"/>
  <c r="Z351" i="16" s="1"/>
  <c r="Y351" i="16" s="1"/>
  <c r="G351" i="16"/>
  <c r="BY351" i="6" s="1"/>
  <c r="H351" i="16"/>
  <c r="G190" i="16"/>
  <c r="BY190" i="6" s="1"/>
  <c r="H190" i="16"/>
  <c r="AA190" i="16"/>
  <c r="Z190" i="16" s="1"/>
  <c r="Y190" i="16" s="1"/>
  <c r="H86" i="16"/>
  <c r="G86" i="16"/>
  <c r="BY86" i="6" s="1"/>
  <c r="AA86" i="16"/>
  <c r="Z86" i="16" s="1"/>
  <c r="Y86" i="16" s="1"/>
  <c r="G150" i="16"/>
  <c r="BY150" i="6" s="1"/>
  <c r="H150" i="16"/>
  <c r="AA150" i="16"/>
  <c r="Z150" i="16" s="1"/>
  <c r="Y150" i="16" s="1"/>
  <c r="AA166" i="16"/>
  <c r="Z166" i="16" s="1"/>
  <c r="Y166" i="16" s="1"/>
  <c r="G166" i="16"/>
  <c r="BY166" i="6" s="1"/>
  <c r="H166" i="16"/>
  <c r="G72" i="16"/>
  <c r="BY72" i="6" s="1"/>
  <c r="AA72" i="16"/>
  <c r="Z72" i="16" s="1"/>
  <c r="Y72" i="16" s="1"/>
  <c r="H72" i="16"/>
  <c r="G171" i="16"/>
  <c r="BY171" i="6" s="1"/>
  <c r="AA171" i="16"/>
  <c r="Z171" i="16" s="1"/>
  <c r="Y171" i="16" s="1"/>
  <c r="G99" i="16"/>
  <c r="BY99" i="6" s="1"/>
  <c r="AA99" i="16"/>
  <c r="Z99" i="16" s="1"/>
  <c r="Y99" i="16" s="1"/>
  <c r="H99" i="16"/>
  <c r="G80" i="16"/>
  <c r="BY80" i="6" s="1"/>
  <c r="AA80" i="16"/>
  <c r="Z80" i="16" s="1"/>
  <c r="Y80" i="16" s="1"/>
  <c r="H80" i="16"/>
  <c r="G116" i="16"/>
  <c r="BY116" i="6" s="1"/>
  <c r="H116" i="16"/>
  <c r="AA116" i="16"/>
  <c r="Z116" i="16" s="1"/>
  <c r="Y116" i="16" s="1"/>
  <c r="H132" i="16"/>
  <c r="AA132" i="16"/>
  <c r="Z132" i="16" s="1"/>
  <c r="Y132" i="16" s="1"/>
  <c r="G132" i="16"/>
  <c r="BY132" i="6" s="1"/>
  <c r="H156" i="16"/>
  <c r="AA156" i="16"/>
  <c r="Z156" i="16" s="1"/>
  <c r="Y156" i="16" s="1"/>
  <c r="G156" i="16"/>
  <c r="BY156" i="6" s="1"/>
  <c r="AA343" i="16"/>
  <c r="Z343" i="16" s="1"/>
  <c r="Y343" i="16" s="1"/>
  <c r="H343" i="16"/>
  <c r="G343" i="16"/>
  <c r="BY343" i="6" s="1"/>
  <c r="H76" i="16"/>
  <c r="G76" i="16"/>
  <c r="BY76" i="6" s="1"/>
  <c r="AA76" i="16"/>
  <c r="Z76" i="16" s="1"/>
  <c r="Y76" i="16" s="1"/>
  <c r="G23" i="16"/>
  <c r="BY23" i="6" s="1"/>
  <c r="H23" i="16"/>
  <c r="AA23" i="16"/>
  <c r="Z23" i="16" s="1"/>
  <c r="Y23" i="16" s="1"/>
  <c r="H295" i="16"/>
  <c r="AA295" i="16"/>
  <c r="Z295" i="16" s="1"/>
  <c r="Y295" i="16" s="1"/>
  <c r="G295" i="16"/>
  <c r="BY295" i="6" s="1"/>
  <c r="G107" i="16"/>
  <c r="BY107" i="6" s="1"/>
  <c r="H107" i="16"/>
  <c r="AA107" i="16"/>
  <c r="Z107" i="16" s="1"/>
  <c r="Y107" i="16" s="1"/>
  <c r="AA41" i="16"/>
  <c r="Z41" i="16" s="1"/>
  <c r="Y41" i="16" s="1"/>
  <c r="H41" i="16"/>
  <c r="G41" i="16"/>
  <c r="BY41" i="6" s="1"/>
  <c r="AA148" i="16"/>
  <c r="Z148" i="16" s="1"/>
  <c r="Y148" i="16" s="1"/>
  <c r="H148" i="16"/>
  <c r="G148" i="16"/>
  <c r="BY148" i="6" s="1"/>
  <c r="G22" i="16"/>
  <c r="BY22" i="6" s="1"/>
  <c r="H22" i="16"/>
  <c r="AA22" i="16"/>
  <c r="Z22" i="16" s="1"/>
  <c r="Y22" i="16" s="1"/>
  <c r="H192" i="16"/>
  <c r="AA192" i="16"/>
  <c r="Z192" i="16" s="1"/>
  <c r="Y192" i="16" s="1"/>
  <c r="G192" i="16"/>
  <c r="BY192" i="6" s="1"/>
  <c r="G216" i="16"/>
  <c r="BY216" i="6" s="1"/>
  <c r="AA216" i="16"/>
  <c r="Z216" i="16" s="1"/>
  <c r="Y216" i="16" s="1"/>
  <c r="H216" i="16"/>
  <c r="G232" i="16"/>
  <c r="BY232" i="6" s="1"/>
  <c r="H232" i="16"/>
  <c r="AA232" i="16"/>
  <c r="Z232" i="16" s="1"/>
  <c r="Y232" i="16" s="1"/>
  <c r="G240" i="16"/>
  <c r="BY240" i="6" s="1"/>
  <c r="H240" i="16"/>
  <c r="AA240" i="16"/>
  <c r="Z240" i="16" s="1"/>
  <c r="Y240" i="16" s="1"/>
  <c r="AA248" i="16"/>
  <c r="Z248" i="16" s="1"/>
  <c r="Y248" i="16" s="1"/>
  <c r="H248" i="16"/>
  <c r="G248" i="16"/>
  <c r="BY248" i="6" s="1"/>
  <c r="H256" i="16"/>
  <c r="AA256" i="16"/>
  <c r="Z256" i="16" s="1"/>
  <c r="Y256" i="16" s="1"/>
  <c r="G256" i="16"/>
  <c r="BY256" i="6" s="1"/>
  <c r="AA264" i="16"/>
  <c r="Z264" i="16" s="1"/>
  <c r="Y264" i="16" s="1"/>
  <c r="G264" i="16"/>
  <c r="BY264" i="6" s="1"/>
  <c r="AA272" i="16"/>
  <c r="Z272" i="16" s="1"/>
  <c r="Y272" i="16" s="1"/>
  <c r="G272" i="16"/>
  <c r="BY272" i="6" s="1"/>
  <c r="H272" i="16"/>
  <c r="AA280" i="16"/>
  <c r="Z280" i="16" s="1"/>
  <c r="Y280" i="16" s="1"/>
  <c r="G280" i="16"/>
  <c r="BY280" i="6" s="1"/>
  <c r="H280" i="16"/>
  <c r="G288" i="16"/>
  <c r="BY288" i="6" s="1"/>
  <c r="AA288" i="16"/>
  <c r="Z288" i="16" s="1"/>
  <c r="Y288" i="16" s="1"/>
  <c r="G312" i="16"/>
  <c r="BY312" i="6" s="1"/>
  <c r="AA312" i="16"/>
  <c r="Z312" i="16" s="1"/>
  <c r="Y312" i="16" s="1"/>
  <c r="H312" i="16"/>
  <c r="H320" i="16"/>
  <c r="G320" i="16"/>
  <c r="BY320" i="6" s="1"/>
  <c r="AA320" i="16"/>
  <c r="Z320" i="16" s="1"/>
  <c r="Y320" i="16" s="1"/>
  <c r="G336" i="16"/>
  <c r="BY336" i="6" s="1"/>
  <c r="AA336" i="16"/>
  <c r="Z336" i="16" s="1"/>
  <c r="Y336" i="16" s="1"/>
  <c r="H336" i="16"/>
  <c r="H344" i="16"/>
  <c r="G344" i="16"/>
  <c r="BY344" i="6" s="1"/>
  <c r="AA344" i="16"/>
  <c r="Z344" i="16" s="1"/>
  <c r="Y344" i="16" s="1"/>
  <c r="G352" i="16"/>
  <c r="BY352" i="6" s="1"/>
  <c r="H352" i="16"/>
  <c r="AA352" i="16"/>
  <c r="Z352" i="16" s="1"/>
  <c r="Y352" i="16" s="1"/>
  <c r="G360" i="16"/>
  <c r="BY360" i="6" s="1"/>
  <c r="H360" i="16"/>
  <c r="AA360" i="16"/>
  <c r="Z360" i="16" s="1"/>
  <c r="Y360" i="16" s="1"/>
  <c r="G319" i="16"/>
  <c r="BY319" i="6" s="1"/>
  <c r="H319" i="16"/>
  <c r="AA319" i="16"/>
  <c r="Z319" i="16" s="1"/>
  <c r="Y319" i="16" s="1"/>
  <c r="J175" i="16"/>
  <c r="I175" i="16"/>
  <c r="G159" i="16"/>
  <c r="BY159" i="6" s="1"/>
  <c r="H159" i="16"/>
  <c r="AA159" i="16"/>
  <c r="Z159" i="16" s="1"/>
  <c r="Y159" i="16" s="1"/>
  <c r="G329" i="16"/>
  <c r="BY329" i="6" s="1"/>
  <c r="H329" i="16"/>
  <c r="AA329" i="16"/>
  <c r="Z329" i="16" s="1"/>
  <c r="Y329" i="16" s="1"/>
  <c r="AA209" i="16"/>
  <c r="Z209" i="16" s="1"/>
  <c r="Y209" i="16" s="1"/>
  <c r="G209" i="16"/>
  <c r="BY209" i="6" s="1"/>
  <c r="H209" i="16"/>
  <c r="G241" i="16"/>
  <c r="BY241" i="6" s="1"/>
  <c r="AA241" i="16"/>
  <c r="Z241" i="16" s="1"/>
  <c r="Y241" i="16" s="1"/>
  <c r="H63" i="16"/>
  <c r="G63" i="16"/>
  <c r="BY63" i="6" s="1"/>
  <c r="AA63" i="16"/>
  <c r="Z63" i="16" s="1"/>
  <c r="Y63" i="16" s="1"/>
  <c r="G142" i="16"/>
  <c r="BY142" i="6" s="1"/>
  <c r="AA142" i="16"/>
  <c r="Z142" i="16" s="1"/>
  <c r="Y142" i="16" s="1"/>
  <c r="H142" i="16"/>
  <c r="H158" i="16"/>
  <c r="AA158" i="16"/>
  <c r="Z158" i="16" s="1"/>
  <c r="Y158" i="16" s="1"/>
  <c r="G158" i="16"/>
  <c r="BY158" i="6" s="1"/>
  <c r="AA174" i="16"/>
  <c r="Z174" i="16" s="1"/>
  <c r="Y174" i="16" s="1"/>
  <c r="G174" i="16"/>
  <c r="BY174" i="6" s="1"/>
  <c r="H174" i="16"/>
  <c r="AA64" i="16"/>
  <c r="Z64" i="16" s="1"/>
  <c r="Y64" i="16" s="1"/>
  <c r="H64" i="16"/>
  <c r="G64" i="16"/>
  <c r="BY64" i="6" s="1"/>
  <c r="AA44" i="16"/>
  <c r="Z44" i="16" s="1"/>
  <c r="Y44" i="16" s="1"/>
  <c r="H44" i="16"/>
  <c r="G44" i="16"/>
  <c r="BY44" i="6" s="1"/>
  <c r="G20" i="16"/>
  <c r="BY20" i="6" s="1"/>
  <c r="H20" i="16"/>
  <c r="AA20" i="16"/>
  <c r="Z20" i="16" s="1"/>
  <c r="Y20" i="16" s="1"/>
  <c r="AG381" i="16"/>
  <c r="AF15" i="16"/>
  <c r="AG383" i="16"/>
  <c r="AG382" i="16"/>
  <c r="J63" i="19"/>
  <c r="C63" i="19"/>
  <c r="H171" i="16"/>
  <c r="K63" i="19"/>
  <c r="G63" i="19"/>
  <c r="H350" i="16"/>
  <c r="AA350" i="16"/>
  <c r="Z350" i="16" s="1"/>
  <c r="Y350" i="16" s="1"/>
  <c r="G350" i="16"/>
  <c r="BY350" i="6" s="1"/>
  <c r="AI31" i="17"/>
  <c r="AH31" i="17" s="1"/>
  <c r="AI15" i="17"/>
  <c r="AI35" i="17"/>
  <c r="AH35" i="17" s="1"/>
  <c r="AI312" i="17"/>
  <c r="AH312" i="17" s="1"/>
  <c r="AI184" i="17"/>
  <c r="AH184" i="17" s="1"/>
  <c r="AI348" i="17"/>
  <c r="AH348" i="17" s="1"/>
  <c r="AI304" i="17"/>
  <c r="AH304" i="17" s="1"/>
  <c r="AI240" i="17"/>
  <c r="AH240" i="17" s="1"/>
  <c r="AI176" i="17"/>
  <c r="AH176" i="17" s="1"/>
  <c r="AI95" i="17"/>
  <c r="AH95" i="17" s="1"/>
  <c r="AI27" i="17"/>
  <c r="AH27" i="17" s="1"/>
  <c r="AI51" i="17"/>
  <c r="AH51" i="17" s="1"/>
  <c r="AI67" i="17"/>
  <c r="AH67" i="17" s="1"/>
  <c r="AI83" i="17"/>
  <c r="AH83" i="17" s="1"/>
  <c r="AI99" i="17"/>
  <c r="AH99" i="17" s="1"/>
  <c r="AI115" i="17"/>
  <c r="AH115" i="17" s="1"/>
  <c r="AI130" i="17"/>
  <c r="AH130" i="17" s="1"/>
  <c r="AI138" i="17"/>
  <c r="AH138" i="17" s="1"/>
  <c r="AI146" i="17"/>
  <c r="AH146" i="17" s="1"/>
  <c r="AI154" i="17"/>
  <c r="AH154" i="17" s="1"/>
  <c r="AI162" i="17"/>
  <c r="AH162" i="17" s="1"/>
  <c r="AI170" i="17"/>
  <c r="AH170" i="17" s="1"/>
  <c r="AI178" i="17"/>
  <c r="AH178" i="17" s="1"/>
  <c r="AI186" i="17"/>
  <c r="AH186" i="17" s="1"/>
  <c r="AI194" i="17"/>
  <c r="AH194" i="17" s="1"/>
  <c r="AI202" i="17"/>
  <c r="AH202" i="17" s="1"/>
  <c r="AI210" i="17"/>
  <c r="AH210" i="17" s="1"/>
  <c r="AI218" i="17"/>
  <c r="AH218" i="17" s="1"/>
  <c r="AI226" i="17"/>
  <c r="AH226" i="17" s="1"/>
  <c r="AI234" i="17"/>
  <c r="AH234" i="17" s="1"/>
  <c r="AI242" i="17"/>
  <c r="AH242" i="17" s="1"/>
  <c r="AI250" i="17"/>
  <c r="AH250" i="17" s="1"/>
  <c r="AI258" i="17"/>
  <c r="AH258" i="17" s="1"/>
  <c r="AI266" i="17"/>
  <c r="AH266" i="17" s="1"/>
  <c r="AI274" i="17"/>
  <c r="AH274" i="17" s="1"/>
  <c r="AI282" i="17"/>
  <c r="AH282" i="17" s="1"/>
  <c r="AI290" i="17"/>
  <c r="AH290" i="17" s="1"/>
  <c r="AI298" i="17"/>
  <c r="AH298" i="17" s="1"/>
  <c r="AI306" i="17"/>
  <c r="AH306" i="17" s="1"/>
  <c r="AI314" i="17"/>
  <c r="AH314" i="17" s="1"/>
  <c r="AI322" i="17"/>
  <c r="AH322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16" i="17"/>
  <c r="AH316" i="17" s="1"/>
  <c r="AI300" i="17"/>
  <c r="AH300" i="17" s="1"/>
  <c r="AI284" i="17"/>
  <c r="AH284" i="17" s="1"/>
  <c r="AI268" i="17"/>
  <c r="AH268" i="17" s="1"/>
  <c r="AI252" i="17"/>
  <c r="AH252" i="17" s="1"/>
  <c r="AI236" i="17"/>
  <c r="AH236" i="17" s="1"/>
  <c r="AI220" i="17"/>
  <c r="AH220" i="17" s="1"/>
  <c r="AI204" i="17"/>
  <c r="AH204" i="17" s="1"/>
  <c r="AI188" i="17"/>
  <c r="AH188" i="17" s="1"/>
  <c r="AI172" i="17"/>
  <c r="AH172" i="17" s="1"/>
  <c r="AI156" i="17"/>
  <c r="AH156" i="17" s="1"/>
  <c r="AI140" i="17"/>
  <c r="AH140" i="17" s="1"/>
  <c r="AI119" i="17"/>
  <c r="AH119" i="17" s="1"/>
  <c r="AI87" i="17"/>
  <c r="AH87" i="17" s="1"/>
  <c r="AI55" i="17"/>
  <c r="AH55" i="17" s="1"/>
  <c r="AI23" i="17"/>
  <c r="AH23" i="17" s="1"/>
  <c r="W16" i="7"/>
  <c r="AI16" i="17"/>
  <c r="AH16" i="17" s="1"/>
  <c r="AG16" i="17" s="1"/>
  <c r="AF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AI269" i="17"/>
  <c r="AH269" i="17" s="1"/>
  <c r="AI265" i="17"/>
  <c r="AH265" i="17" s="1"/>
  <c r="AI261" i="17"/>
  <c r="AH261" i="17" s="1"/>
  <c r="AI257" i="17"/>
  <c r="AH257" i="17" s="1"/>
  <c r="AI253" i="17"/>
  <c r="AH253" i="17" s="1"/>
  <c r="AI249" i="17"/>
  <c r="AH249" i="17" s="1"/>
  <c r="AI245" i="17"/>
  <c r="AH245" i="17" s="1"/>
  <c r="AI241" i="17"/>
  <c r="AH241" i="17" s="1"/>
  <c r="AI237" i="17"/>
  <c r="AH237" i="17" s="1"/>
  <c r="AI233" i="17"/>
  <c r="AH233" i="17" s="1"/>
  <c r="AI229" i="17"/>
  <c r="AH229" i="17" s="1"/>
  <c r="AI225" i="17"/>
  <c r="AH225" i="17" s="1"/>
  <c r="AI221" i="17"/>
  <c r="AH221" i="17" s="1"/>
  <c r="AI217" i="17"/>
  <c r="AH217" i="17" s="1"/>
  <c r="AI213" i="17"/>
  <c r="AH213" i="17" s="1"/>
  <c r="AI209" i="17"/>
  <c r="AH209" i="17" s="1"/>
  <c r="AI205" i="17"/>
  <c r="AH205" i="17" s="1"/>
  <c r="AI201" i="17"/>
  <c r="AH201" i="17" s="1"/>
  <c r="AI197" i="17"/>
  <c r="AH197" i="17" s="1"/>
  <c r="AI193" i="17"/>
  <c r="AH193" i="17" s="1"/>
  <c r="AI189" i="17"/>
  <c r="AH189" i="17" s="1"/>
  <c r="AI185" i="17"/>
  <c r="AH185" i="17" s="1"/>
  <c r="AI181" i="17"/>
  <c r="AH181" i="17" s="1"/>
  <c r="AI177" i="17"/>
  <c r="AH177" i="17" s="1"/>
  <c r="AI173" i="17"/>
  <c r="AH173" i="17" s="1"/>
  <c r="AI169" i="17"/>
  <c r="AH169" i="17" s="1"/>
  <c r="AI165" i="17"/>
  <c r="AH165" i="17" s="1"/>
  <c r="AI161" i="17"/>
  <c r="AH161" i="17" s="1"/>
  <c r="AI157" i="17"/>
  <c r="AH157" i="17" s="1"/>
  <c r="AI153" i="17"/>
  <c r="AH153" i="17" s="1"/>
  <c r="AI149" i="17"/>
  <c r="AH149" i="17" s="1"/>
  <c r="AI145" i="17"/>
  <c r="AH145" i="17" s="1"/>
  <c r="AI141" i="17"/>
  <c r="AH141" i="17" s="1"/>
  <c r="AI137" i="17"/>
  <c r="AH137" i="17" s="1"/>
  <c r="AI133" i="17"/>
  <c r="AH133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AG19" i="17" s="1"/>
  <c r="AF19" i="17" s="1"/>
  <c r="AD19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U369" i="17"/>
  <c r="T369" i="17" s="1"/>
  <c r="S369" i="17" s="1"/>
  <c r="R369" i="17" s="1"/>
  <c r="P369" i="17" s="1"/>
  <c r="V369" i="17" s="1"/>
  <c r="U365" i="17"/>
  <c r="T365" i="17" s="1"/>
  <c r="S365" i="17" s="1"/>
  <c r="R365" i="17" s="1"/>
  <c r="P365" i="17" s="1"/>
  <c r="V365" i="17" s="1"/>
  <c r="U361" i="17"/>
  <c r="T361" i="17" s="1"/>
  <c r="S361" i="17" s="1"/>
  <c r="R361" i="17" s="1"/>
  <c r="P361" i="17" s="1"/>
  <c r="V361" i="17" s="1"/>
  <c r="U357" i="17"/>
  <c r="T357" i="17" s="1"/>
  <c r="S357" i="17" s="1"/>
  <c r="R357" i="17" s="1"/>
  <c r="P357" i="17" s="1"/>
  <c r="V357" i="17" s="1"/>
  <c r="U353" i="17"/>
  <c r="T353" i="17" s="1"/>
  <c r="S353" i="17" s="1"/>
  <c r="R353" i="17" s="1"/>
  <c r="P353" i="17" s="1"/>
  <c r="V353" i="17" s="1"/>
  <c r="U349" i="17"/>
  <c r="T349" i="17" s="1"/>
  <c r="S349" i="17" s="1"/>
  <c r="R349" i="17" s="1"/>
  <c r="P349" i="17" s="1"/>
  <c r="V349" i="17" s="1"/>
  <c r="U345" i="17"/>
  <c r="T345" i="17" s="1"/>
  <c r="S345" i="17" s="1"/>
  <c r="R345" i="17" s="1"/>
  <c r="P345" i="17" s="1"/>
  <c r="V345" i="17" s="1"/>
  <c r="U341" i="17"/>
  <c r="T341" i="17" s="1"/>
  <c r="S341" i="17" s="1"/>
  <c r="R341" i="17" s="1"/>
  <c r="P341" i="17" s="1"/>
  <c r="V341" i="17" s="1"/>
  <c r="U337" i="17"/>
  <c r="T337" i="17" s="1"/>
  <c r="S337" i="17" s="1"/>
  <c r="R337" i="17" s="1"/>
  <c r="P337" i="17" s="1"/>
  <c r="V337" i="17" s="1"/>
  <c r="U333" i="17"/>
  <c r="T333" i="17" s="1"/>
  <c r="S333" i="17" s="1"/>
  <c r="R333" i="17" s="1"/>
  <c r="P333" i="17" s="1"/>
  <c r="U329" i="17"/>
  <c r="T329" i="17" s="1"/>
  <c r="S329" i="17" s="1"/>
  <c r="R329" i="17" s="1"/>
  <c r="P329" i="17" s="1"/>
  <c r="V329" i="17" s="1"/>
  <c r="U325" i="17"/>
  <c r="T325" i="17" s="1"/>
  <c r="S325" i="17" s="1"/>
  <c r="R325" i="17" s="1"/>
  <c r="P325" i="17" s="1"/>
  <c r="V325" i="17" s="1"/>
  <c r="U321" i="17"/>
  <c r="T321" i="17" s="1"/>
  <c r="S321" i="17" s="1"/>
  <c r="R321" i="17" s="1"/>
  <c r="P321" i="17" s="1"/>
  <c r="V321" i="17" s="1"/>
  <c r="U317" i="17"/>
  <c r="T317" i="17" s="1"/>
  <c r="S317" i="17" s="1"/>
  <c r="R317" i="17" s="1"/>
  <c r="P317" i="17" s="1"/>
  <c r="V317" i="17" s="1"/>
  <c r="U313" i="17"/>
  <c r="T313" i="17" s="1"/>
  <c r="S313" i="17" s="1"/>
  <c r="R313" i="17" s="1"/>
  <c r="P313" i="17" s="1"/>
  <c r="V313" i="17" s="1"/>
  <c r="U309" i="17"/>
  <c r="T309" i="17" s="1"/>
  <c r="S309" i="17" s="1"/>
  <c r="R309" i="17" s="1"/>
  <c r="P309" i="17" s="1"/>
  <c r="V309" i="17" s="1"/>
  <c r="U305" i="17"/>
  <c r="T305" i="17" s="1"/>
  <c r="S305" i="17" s="1"/>
  <c r="R305" i="17" s="1"/>
  <c r="P305" i="17" s="1"/>
  <c r="V305" i="17" s="1"/>
  <c r="U301" i="17"/>
  <c r="T301" i="17" s="1"/>
  <c r="S301" i="17" s="1"/>
  <c r="R301" i="17" s="1"/>
  <c r="P301" i="17" s="1"/>
  <c r="V301" i="17" s="1"/>
  <c r="U297" i="17"/>
  <c r="T297" i="17" s="1"/>
  <c r="S297" i="17" s="1"/>
  <c r="R297" i="17" s="1"/>
  <c r="P297" i="17" s="1"/>
  <c r="V297" i="17" s="1"/>
  <c r="U293" i="17"/>
  <c r="T293" i="17" s="1"/>
  <c r="S293" i="17" s="1"/>
  <c r="R293" i="17" s="1"/>
  <c r="P293" i="17" s="1"/>
  <c r="V293" i="17" s="1"/>
  <c r="U289" i="17"/>
  <c r="T289" i="17" s="1"/>
  <c r="S289" i="17" s="1"/>
  <c r="R289" i="17" s="1"/>
  <c r="P289" i="17" s="1"/>
  <c r="V289" i="17" s="1"/>
  <c r="U285" i="17"/>
  <c r="T285" i="17" s="1"/>
  <c r="S285" i="17" s="1"/>
  <c r="R285" i="17" s="1"/>
  <c r="P285" i="17" s="1"/>
  <c r="V285" i="17" s="1"/>
  <c r="U281" i="17"/>
  <c r="T281" i="17" s="1"/>
  <c r="S281" i="17" s="1"/>
  <c r="R281" i="17" s="1"/>
  <c r="P281" i="17" s="1"/>
  <c r="V281" i="17" s="1"/>
  <c r="U277" i="17"/>
  <c r="T277" i="17" s="1"/>
  <c r="S277" i="17" s="1"/>
  <c r="R277" i="17" s="1"/>
  <c r="P277" i="17" s="1"/>
  <c r="V277" i="17" s="1"/>
  <c r="U273" i="17"/>
  <c r="T273" i="17" s="1"/>
  <c r="S273" i="17" s="1"/>
  <c r="R273" i="17" s="1"/>
  <c r="P273" i="17" s="1"/>
  <c r="V273" i="17" s="1"/>
  <c r="U269" i="17"/>
  <c r="T269" i="17" s="1"/>
  <c r="S269" i="17" s="1"/>
  <c r="R269" i="17" s="1"/>
  <c r="P269" i="17" s="1"/>
  <c r="V269" i="17" s="1"/>
  <c r="U265" i="17"/>
  <c r="T265" i="17" s="1"/>
  <c r="S265" i="17" s="1"/>
  <c r="R265" i="17" s="1"/>
  <c r="P265" i="17" s="1"/>
  <c r="V265" i="17" s="1"/>
  <c r="U261" i="17"/>
  <c r="T261" i="17" s="1"/>
  <c r="S261" i="17" s="1"/>
  <c r="R261" i="17" s="1"/>
  <c r="P261" i="17" s="1"/>
  <c r="V261" i="17" s="1"/>
  <c r="U257" i="17"/>
  <c r="T257" i="17" s="1"/>
  <c r="S257" i="17" s="1"/>
  <c r="R257" i="17" s="1"/>
  <c r="P257" i="17" s="1"/>
  <c r="V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V249" i="17" s="1"/>
  <c r="U245" i="17"/>
  <c r="T245" i="17" s="1"/>
  <c r="S245" i="17" s="1"/>
  <c r="R245" i="17" s="1"/>
  <c r="P245" i="17" s="1"/>
  <c r="V245" i="17" s="1"/>
  <c r="U241" i="17"/>
  <c r="T241" i="17" s="1"/>
  <c r="S241" i="17" s="1"/>
  <c r="R241" i="17" s="1"/>
  <c r="P241" i="17" s="1"/>
  <c r="V241" i="17" s="1"/>
  <c r="U237" i="17"/>
  <c r="T237" i="17" s="1"/>
  <c r="S237" i="17" s="1"/>
  <c r="R237" i="17" s="1"/>
  <c r="P237" i="17" s="1"/>
  <c r="V237" i="17" s="1"/>
  <c r="U233" i="17"/>
  <c r="T233" i="17" s="1"/>
  <c r="S233" i="17" s="1"/>
  <c r="R233" i="17" s="1"/>
  <c r="P233" i="17" s="1"/>
  <c r="V233" i="17" s="1"/>
  <c r="U229" i="17"/>
  <c r="T229" i="17" s="1"/>
  <c r="S229" i="17" s="1"/>
  <c r="R229" i="17" s="1"/>
  <c r="P229" i="17" s="1"/>
  <c r="V229" i="17" s="1"/>
  <c r="U225" i="17"/>
  <c r="T225" i="17" s="1"/>
  <c r="S225" i="17" s="1"/>
  <c r="R225" i="17" s="1"/>
  <c r="P225" i="17" s="1"/>
  <c r="V225" i="17" s="1"/>
  <c r="U221" i="17"/>
  <c r="T221" i="17" s="1"/>
  <c r="S221" i="17" s="1"/>
  <c r="R221" i="17" s="1"/>
  <c r="P221" i="17" s="1"/>
  <c r="V221" i="17" s="1"/>
  <c r="U217" i="17"/>
  <c r="T217" i="17" s="1"/>
  <c r="S217" i="17" s="1"/>
  <c r="R217" i="17" s="1"/>
  <c r="P217" i="17" s="1"/>
  <c r="V217" i="17" s="1"/>
  <c r="U213" i="17"/>
  <c r="T213" i="17" s="1"/>
  <c r="S213" i="17" s="1"/>
  <c r="R213" i="17" s="1"/>
  <c r="P213" i="17" s="1"/>
  <c r="V213" i="17" s="1"/>
  <c r="U209" i="17"/>
  <c r="T209" i="17" s="1"/>
  <c r="S209" i="17" s="1"/>
  <c r="R209" i="17" s="1"/>
  <c r="P209" i="17" s="1"/>
  <c r="V209" i="17" s="1"/>
  <c r="U205" i="17"/>
  <c r="T205" i="17" s="1"/>
  <c r="S205" i="17" s="1"/>
  <c r="R205" i="17" s="1"/>
  <c r="P205" i="17" s="1"/>
  <c r="V205" i="17" s="1"/>
  <c r="U201" i="17"/>
  <c r="T201" i="17" s="1"/>
  <c r="S201" i="17" s="1"/>
  <c r="R201" i="17" s="1"/>
  <c r="P201" i="17" s="1"/>
  <c r="V201" i="17" s="1"/>
  <c r="U197" i="17"/>
  <c r="T197" i="17" s="1"/>
  <c r="S197" i="17" s="1"/>
  <c r="R197" i="17" s="1"/>
  <c r="P197" i="17" s="1"/>
  <c r="V197" i="17" s="1"/>
  <c r="U193" i="17"/>
  <c r="T193" i="17" s="1"/>
  <c r="S193" i="17" s="1"/>
  <c r="R193" i="17" s="1"/>
  <c r="P193" i="17" s="1"/>
  <c r="V193" i="17" s="1"/>
  <c r="U189" i="17"/>
  <c r="T189" i="17" s="1"/>
  <c r="S189" i="17" s="1"/>
  <c r="R189" i="17" s="1"/>
  <c r="P189" i="17" s="1"/>
  <c r="V189" i="17" s="1"/>
  <c r="U185" i="17"/>
  <c r="T185" i="17" s="1"/>
  <c r="S185" i="17" s="1"/>
  <c r="R185" i="17" s="1"/>
  <c r="P185" i="17" s="1"/>
  <c r="V185" i="17" s="1"/>
  <c r="U181" i="17"/>
  <c r="T181" i="17" s="1"/>
  <c r="S181" i="17" s="1"/>
  <c r="R181" i="17" s="1"/>
  <c r="P181" i="17" s="1"/>
  <c r="V181" i="17" s="1"/>
  <c r="U177" i="17"/>
  <c r="T177" i="17" s="1"/>
  <c r="S177" i="17" s="1"/>
  <c r="R177" i="17" s="1"/>
  <c r="P177" i="17" s="1"/>
  <c r="V177" i="17" s="1"/>
  <c r="U173" i="17"/>
  <c r="T173" i="17" s="1"/>
  <c r="S173" i="17" s="1"/>
  <c r="R173" i="17" s="1"/>
  <c r="P173" i="17" s="1"/>
  <c r="V173" i="17" s="1"/>
  <c r="U169" i="17"/>
  <c r="T169" i="17" s="1"/>
  <c r="S169" i="17" s="1"/>
  <c r="R169" i="17" s="1"/>
  <c r="P169" i="17" s="1"/>
  <c r="V169" i="17" s="1"/>
  <c r="U165" i="17"/>
  <c r="T165" i="17" s="1"/>
  <c r="S165" i="17" s="1"/>
  <c r="R165" i="17" s="1"/>
  <c r="P165" i="17" s="1"/>
  <c r="V165" i="17" s="1"/>
  <c r="U161" i="17"/>
  <c r="T161" i="17" s="1"/>
  <c r="S161" i="17" s="1"/>
  <c r="R161" i="17" s="1"/>
  <c r="P161" i="17" s="1"/>
  <c r="V161" i="17" s="1"/>
  <c r="U157" i="17"/>
  <c r="T157" i="17" s="1"/>
  <c r="S157" i="17" s="1"/>
  <c r="R157" i="17" s="1"/>
  <c r="P157" i="17" s="1"/>
  <c r="V157" i="17" s="1"/>
  <c r="U153" i="17"/>
  <c r="T153" i="17" s="1"/>
  <c r="S153" i="17" s="1"/>
  <c r="R153" i="17" s="1"/>
  <c r="P153" i="17" s="1"/>
  <c r="V153" i="17" s="1"/>
  <c r="U149" i="17"/>
  <c r="T149" i="17" s="1"/>
  <c r="S149" i="17" s="1"/>
  <c r="R149" i="17" s="1"/>
  <c r="P149" i="17" s="1"/>
  <c r="U145" i="17"/>
  <c r="T145" i="17" s="1"/>
  <c r="S145" i="17" s="1"/>
  <c r="R145" i="17" s="1"/>
  <c r="P145" i="17" s="1"/>
  <c r="V145" i="17" s="1"/>
  <c r="U141" i="17"/>
  <c r="T141" i="17" s="1"/>
  <c r="S141" i="17" s="1"/>
  <c r="R141" i="17" s="1"/>
  <c r="P141" i="17" s="1"/>
  <c r="V141" i="17" s="1"/>
  <c r="U137" i="17"/>
  <c r="T137" i="17" s="1"/>
  <c r="S137" i="17" s="1"/>
  <c r="R137" i="17" s="1"/>
  <c r="P137" i="17" s="1"/>
  <c r="V137" i="17" s="1"/>
  <c r="U133" i="17"/>
  <c r="T133" i="17" s="1"/>
  <c r="S133" i="17" s="1"/>
  <c r="R133" i="17" s="1"/>
  <c r="P133" i="17" s="1"/>
  <c r="V133" i="17" s="1"/>
  <c r="U129" i="17"/>
  <c r="T129" i="17" s="1"/>
  <c r="S129" i="17" s="1"/>
  <c r="R129" i="17" s="1"/>
  <c r="P129" i="17" s="1"/>
  <c r="V129" i="17" s="1"/>
  <c r="U125" i="17"/>
  <c r="T125" i="17" s="1"/>
  <c r="S125" i="17" s="1"/>
  <c r="R125" i="17" s="1"/>
  <c r="P125" i="17" s="1"/>
  <c r="V125" i="17" s="1"/>
  <c r="U121" i="17"/>
  <c r="T121" i="17" s="1"/>
  <c r="S121" i="17" s="1"/>
  <c r="R121" i="17" s="1"/>
  <c r="P121" i="17" s="1"/>
  <c r="V121" i="17" s="1"/>
  <c r="U117" i="17"/>
  <c r="T117" i="17" s="1"/>
  <c r="S117" i="17" s="1"/>
  <c r="R117" i="17" s="1"/>
  <c r="P117" i="17" s="1"/>
  <c r="V117" i="17" s="1"/>
  <c r="U113" i="17"/>
  <c r="T113" i="17" s="1"/>
  <c r="S113" i="17" s="1"/>
  <c r="R113" i="17" s="1"/>
  <c r="P113" i="17" s="1"/>
  <c r="V113" i="17" s="1"/>
  <c r="U109" i="17"/>
  <c r="T109" i="17" s="1"/>
  <c r="S109" i="17" s="1"/>
  <c r="R109" i="17" s="1"/>
  <c r="P109" i="17" s="1"/>
  <c r="V109" i="17" s="1"/>
  <c r="U105" i="17"/>
  <c r="T105" i="17" s="1"/>
  <c r="S105" i="17" s="1"/>
  <c r="R105" i="17" s="1"/>
  <c r="P105" i="17" s="1"/>
  <c r="V105" i="17" s="1"/>
  <c r="AI352" i="17"/>
  <c r="AH352" i="17" s="1"/>
  <c r="AI248" i="17"/>
  <c r="AH248" i="17" s="1"/>
  <c r="AI111" i="17"/>
  <c r="AH111" i="17" s="1"/>
  <c r="AI364" i="17"/>
  <c r="AH364" i="17" s="1"/>
  <c r="AI332" i="17"/>
  <c r="AH332" i="17" s="1"/>
  <c r="AI272" i="17"/>
  <c r="AH272" i="17" s="1"/>
  <c r="AI208" i="17"/>
  <c r="AH208" i="17" s="1"/>
  <c r="AI144" i="17"/>
  <c r="AH144" i="17" s="1"/>
  <c r="AI43" i="17"/>
  <c r="AH43" i="17" s="1"/>
  <c r="AI59" i="17"/>
  <c r="AH59" i="17" s="1"/>
  <c r="AI75" i="17"/>
  <c r="AH75" i="17" s="1"/>
  <c r="AI91" i="17"/>
  <c r="AH91" i="17" s="1"/>
  <c r="AI107" i="17"/>
  <c r="AH107" i="17" s="1"/>
  <c r="AI123" i="17"/>
  <c r="AH123" i="17" s="1"/>
  <c r="AI134" i="17"/>
  <c r="AH134" i="17" s="1"/>
  <c r="AI142" i="17"/>
  <c r="AH142" i="17" s="1"/>
  <c r="AI150" i="17"/>
  <c r="AH150" i="17" s="1"/>
  <c r="AI158" i="17"/>
  <c r="AH158" i="17" s="1"/>
  <c r="AI166" i="17"/>
  <c r="AH166" i="17" s="1"/>
  <c r="AI174" i="17"/>
  <c r="AH174" i="17" s="1"/>
  <c r="AI182" i="17"/>
  <c r="AH182" i="17" s="1"/>
  <c r="AI190" i="17"/>
  <c r="AH190" i="17" s="1"/>
  <c r="AI198" i="17"/>
  <c r="AH198" i="17" s="1"/>
  <c r="AI206" i="17"/>
  <c r="AH206" i="17" s="1"/>
  <c r="AI214" i="17"/>
  <c r="AH214" i="17" s="1"/>
  <c r="AI222" i="17"/>
  <c r="AH222" i="17" s="1"/>
  <c r="AI230" i="17"/>
  <c r="AH230" i="17" s="1"/>
  <c r="AI238" i="17"/>
  <c r="AH238" i="17" s="1"/>
  <c r="AI246" i="17"/>
  <c r="AH246" i="17" s="1"/>
  <c r="AI254" i="17"/>
  <c r="AH254" i="17" s="1"/>
  <c r="AI262" i="17"/>
  <c r="AH262" i="17" s="1"/>
  <c r="AI270" i="17"/>
  <c r="AH270" i="17" s="1"/>
  <c r="AI278" i="17"/>
  <c r="AH278" i="17" s="1"/>
  <c r="AI286" i="17"/>
  <c r="AH286" i="17" s="1"/>
  <c r="AI294" i="17"/>
  <c r="AH294" i="17" s="1"/>
  <c r="AI302" i="17"/>
  <c r="AH302" i="17" s="1"/>
  <c r="AI310" i="17"/>
  <c r="AH310" i="17" s="1"/>
  <c r="AI318" i="17"/>
  <c r="AH318" i="17" s="1"/>
  <c r="AI326" i="17"/>
  <c r="AH326" i="17" s="1"/>
  <c r="AI374" i="17"/>
  <c r="AH374" i="17" s="1"/>
  <c r="AI366" i="17"/>
  <c r="AH366" i="17" s="1"/>
  <c r="AI358" i="17"/>
  <c r="AH358" i="17" s="1"/>
  <c r="AI350" i="17"/>
  <c r="AH350" i="17" s="1"/>
  <c r="AI342" i="17"/>
  <c r="AH342" i="17" s="1"/>
  <c r="AI334" i="17"/>
  <c r="AH334" i="17" s="1"/>
  <c r="AI324" i="17"/>
  <c r="AH324" i="17" s="1"/>
  <c r="AI308" i="17"/>
  <c r="AH308" i="17" s="1"/>
  <c r="AI292" i="17"/>
  <c r="AH292" i="17" s="1"/>
  <c r="AI276" i="17"/>
  <c r="AH276" i="17" s="1"/>
  <c r="AI260" i="17"/>
  <c r="AH260" i="17" s="1"/>
  <c r="AI244" i="17"/>
  <c r="AH244" i="17" s="1"/>
  <c r="AI228" i="17"/>
  <c r="AH228" i="17" s="1"/>
  <c r="AI212" i="17"/>
  <c r="AH212" i="17" s="1"/>
  <c r="AI196" i="17"/>
  <c r="AH196" i="17" s="1"/>
  <c r="AI180" i="17"/>
  <c r="AH180" i="17" s="1"/>
  <c r="AI164" i="17"/>
  <c r="AH164" i="17" s="1"/>
  <c r="AI148" i="17"/>
  <c r="AH148" i="17" s="1"/>
  <c r="AI132" i="17"/>
  <c r="AH132" i="17" s="1"/>
  <c r="AI103" i="17"/>
  <c r="AH103" i="17" s="1"/>
  <c r="AI71" i="17"/>
  <c r="AH71" i="17" s="1"/>
  <c r="AI39" i="17"/>
  <c r="AH39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271" i="17"/>
  <c r="AH271" i="17" s="1"/>
  <c r="AI267" i="17"/>
  <c r="AH267" i="17" s="1"/>
  <c r="AI263" i="17"/>
  <c r="AH263" i="17" s="1"/>
  <c r="AI259" i="17"/>
  <c r="AH259" i="17" s="1"/>
  <c r="AI255" i="17"/>
  <c r="AH255" i="17" s="1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H223" i="17" s="1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71" i="17"/>
  <c r="AH171" i="17" s="1"/>
  <c r="AI167" i="17"/>
  <c r="AH167" i="17" s="1"/>
  <c r="AI163" i="17"/>
  <c r="AH163" i="17" s="1"/>
  <c r="AI159" i="17"/>
  <c r="AH159" i="17" s="1"/>
  <c r="AI155" i="17"/>
  <c r="AH155" i="17" s="1"/>
  <c r="AI151" i="17"/>
  <c r="AH151" i="17" s="1"/>
  <c r="AI147" i="17"/>
  <c r="AH147" i="17" s="1"/>
  <c r="AI143" i="17"/>
  <c r="AH143" i="17" s="1"/>
  <c r="AI139" i="17"/>
  <c r="AH139" i="17" s="1"/>
  <c r="AI135" i="17"/>
  <c r="AH135" i="17" s="1"/>
  <c r="AI131" i="17"/>
  <c r="AH131" i="17" s="1"/>
  <c r="AI117" i="17"/>
  <c r="AH117" i="17" s="1"/>
  <c r="AI101" i="17"/>
  <c r="AH101" i="17" s="1"/>
  <c r="AI85" i="17"/>
  <c r="AH85" i="17" s="1"/>
  <c r="AI69" i="17"/>
  <c r="AH69" i="17" s="1"/>
  <c r="AI53" i="17"/>
  <c r="AH53" i="17" s="1"/>
  <c r="AI37" i="17"/>
  <c r="AH37" i="17" s="1"/>
  <c r="AI21" i="17"/>
  <c r="AH21" i="17" s="1"/>
  <c r="U379" i="17"/>
  <c r="U371" i="17"/>
  <c r="T371" i="17" s="1"/>
  <c r="S371" i="17" s="1"/>
  <c r="R371" i="17" s="1"/>
  <c r="P371" i="17" s="1"/>
  <c r="V371" i="17" s="1"/>
  <c r="U363" i="17"/>
  <c r="T363" i="17" s="1"/>
  <c r="U355" i="17"/>
  <c r="T355" i="17" s="1"/>
  <c r="S355" i="17" s="1"/>
  <c r="R355" i="17" s="1"/>
  <c r="P355" i="17" s="1"/>
  <c r="V355" i="17" s="1"/>
  <c r="U347" i="17"/>
  <c r="T347" i="17" s="1"/>
  <c r="U339" i="17"/>
  <c r="T339" i="17" s="1"/>
  <c r="S339" i="17" s="1"/>
  <c r="R339" i="17" s="1"/>
  <c r="P339" i="17" s="1"/>
  <c r="V339" i="17" s="1"/>
  <c r="U331" i="17"/>
  <c r="T331" i="17" s="1"/>
  <c r="S331" i="17" s="1"/>
  <c r="R331" i="17" s="1"/>
  <c r="P331" i="17" s="1"/>
  <c r="V331" i="17" s="1"/>
  <c r="U323" i="17"/>
  <c r="T323" i="17" s="1"/>
  <c r="U315" i="17"/>
  <c r="T315" i="17" s="1"/>
  <c r="S315" i="17" s="1"/>
  <c r="R315" i="17" s="1"/>
  <c r="P315" i="17" s="1"/>
  <c r="V315" i="17" s="1"/>
  <c r="U307" i="17"/>
  <c r="T307" i="17" s="1"/>
  <c r="U299" i="17"/>
  <c r="T299" i="17" s="1"/>
  <c r="S299" i="17" s="1"/>
  <c r="R299" i="17" s="1"/>
  <c r="P299" i="17" s="1"/>
  <c r="V299" i="17" s="1"/>
  <c r="U291" i="17"/>
  <c r="T291" i="17" s="1"/>
  <c r="U283" i="17"/>
  <c r="T283" i="17" s="1"/>
  <c r="S283" i="17" s="1"/>
  <c r="R283" i="17" s="1"/>
  <c r="P283" i="17" s="1"/>
  <c r="V283" i="17" s="1"/>
  <c r="U275" i="17"/>
  <c r="T275" i="17" s="1"/>
  <c r="U267" i="17"/>
  <c r="T267" i="17" s="1"/>
  <c r="U259" i="17"/>
  <c r="T259" i="17" s="1"/>
  <c r="S259" i="17" s="1"/>
  <c r="R259" i="17" s="1"/>
  <c r="P259" i="17" s="1"/>
  <c r="V259" i="17" s="1"/>
  <c r="U251" i="17"/>
  <c r="T251" i="17" s="1"/>
  <c r="U243" i="17"/>
  <c r="T243" i="17" s="1"/>
  <c r="U235" i="17"/>
  <c r="T235" i="17" s="1"/>
  <c r="U227" i="17"/>
  <c r="T227" i="17" s="1"/>
  <c r="U219" i="17"/>
  <c r="T219" i="17" s="1"/>
  <c r="S219" i="17" s="1"/>
  <c r="R219" i="17" s="1"/>
  <c r="P219" i="17" s="1"/>
  <c r="V219" i="17" s="1"/>
  <c r="U211" i="17"/>
  <c r="T211" i="17" s="1"/>
  <c r="S211" i="17" s="1"/>
  <c r="R211" i="17" s="1"/>
  <c r="P211" i="17" s="1"/>
  <c r="V211" i="17" s="1"/>
  <c r="U203" i="17"/>
  <c r="T203" i="17" s="1"/>
  <c r="S203" i="17" s="1"/>
  <c r="R203" i="17" s="1"/>
  <c r="P203" i="17" s="1"/>
  <c r="V203" i="17" s="1"/>
  <c r="U195" i="17"/>
  <c r="T195" i="17" s="1"/>
  <c r="S195" i="17" s="1"/>
  <c r="R195" i="17" s="1"/>
  <c r="P195" i="17" s="1"/>
  <c r="V195" i="17" s="1"/>
  <c r="U187" i="17"/>
  <c r="T187" i="17" s="1"/>
  <c r="S187" i="17" s="1"/>
  <c r="R187" i="17" s="1"/>
  <c r="P187" i="17" s="1"/>
  <c r="V187" i="17" s="1"/>
  <c r="U179" i="17"/>
  <c r="T179" i="17" s="1"/>
  <c r="U171" i="17"/>
  <c r="T171" i="17" s="1"/>
  <c r="U163" i="17"/>
  <c r="T163" i="17" s="1"/>
  <c r="U155" i="17"/>
  <c r="T155" i="17" s="1"/>
  <c r="U147" i="17"/>
  <c r="T147" i="17" s="1"/>
  <c r="U139" i="17"/>
  <c r="T139" i="17" s="1"/>
  <c r="S139" i="17" s="1"/>
  <c r="R139" i="17" s="1"/>
  <c r="P139" i="17" s="1"/>
  <c r="V139" i="17" s="1"/>
  <c r="U131" i="17"/>
  <c r="T131" i="17" s="1"/>
  <c r="U123" i="17"/>
  <c r="T123" i="17" s="1"/>
  <c r="S123" i="17" s="1"/>
  <c r="R123" i="17" s="1"/>
  <c r="P123" i="17" s="1"/>
  <c r="V123" i="17" s="1"/>
  <c r="U115" i="17"/>
  <c r="T115" i="17" s="1"/>
  <c r="U107" i="17"/>
  <c r="T107" i="17" s="1"/>
  <c r="S107" i="17" s="1"/>
  <c r="R107" i="17" s="1"/>
  <c r="P107" i="17" s="1"/>
  <c r="V107" i="17" s="1"/>
  <c r="U101" i="17"/>
  <c r="T101" i="17" s="1"/>
  <c r="S101" i="17" s="1"/>
  <c r="R101" i="17" s="1"/>
  <c r="P101" i="17" s="1"/>
  <c r="V101" i="17" s="1"/>
  <c r="U97" i="17"/>
  <c r="T97" i="17" s="1"/>
  <c r="S97" i="17" s="1"/>
  <c r="R97" i="17" s="1"/>
  <c r="P97" i="17" s="1"/>
  <c r="V97" i="17" s="1"/>
  <c r="U93" i="17"/>
  <c r="T93" i="17" s="1"/>
  <c r="S93" i="17" s="1"/>
  <c r="R93" i="17" s="1"/>
  <c r="P93" i="17" s="1"/>
  <c r="V93" i="17" s="1"/>
  <c r="U89" i="17"/>
  <c r="T89" i="17" s="1"/>
  <c r="S89" i="17" s="1"/>
  <c r="R89" i="17" s="1"/>
  <c r="P89" i="17" s="1"/>
  <c r="V89" i="17" s="1"/>
  <c r="U85" i="17"/>
  <c r="T85" i="17" s="1"/>
  <c r="S85" i="17" s="1"/>
  <c r="R85" i="17" s="1"/>
  <c r="P85" i="17" s="1"/>
  <c r="V85" i="17" s="1"/>
  <c r="U81" i="17"/>
  <c r="T81" i="17" s="1"/>
  <c r="S81" i="17" s="1"/>
  <c r="R81" i="17" s="1"/>
  <c r="P81" i="17" s="1"/>
  <c r="V81" i="17" s="1"/>
  <c r="U77" i="17"/>
  <c r="T77" i="17" s="1"/>
  <c r="S77" i="17" s="1"/>
  <c r="R77" i="17" s="1"/>
  <c r="P77" i="17" s="1"/>
  <c r="V77" i="17" s="1"/>
  <c r="U73" i="17"/>
  <c r="T73" i="17" s="1"/>
  <c r="S73" i="17" s="1"/>
  <c r="R73" i="17" s="1"/>
  <c r="P73" i="17" s="1"/>
  <c r="V73" i="17" s="1"/>
  <c r="U69" i="17"/>
  <c r="T69" i="17" s="1"/>
  <c r="S69" i="17" s="1"/>
  <c r="R69" i="17" s="1"/>
  <c r="P69" i="17" s="1"/>
  <c r="V69" i="17" s="1"/>
  <c r="U65" i="17"/>
  <c r="T65" i="17" s="1"/>
  <c r="S65" i="17" s="1"/>
  <c r="R65" i="17" s="1"/>
  <c r="P65" i="17" s="1"/>
  <c r="V65" i="17" s="1"/>
  <c r="U61" i="17"/>
  <c r="T61" i="17" s="1"/>
  <c r="S61" i="17" s="1"/>
  <c r="R61" i="17" s="1"/>
  <c r="P61" i="17" s="1"/>
  <c r="V61" i="17" s="1"/>
  <c r="U57" i="17"/>
  <c r="T57" i="17" s="1"/>
  <c r="S57" i="17" s="1"/>
  <c r="R57" i="17" s="1"/>
  <c r="P57" i="17" s="1"/>
  <c r="V57" i="17" s="1"/>
  <c r="U53" i="17"/>
  <c r="T53" i="17" s="1"/>
  <c r="S53" i="17" s="1"/>
  <c r="R53" i="17" s="1"/>
  <c r="P53" i="17" s="1"/>
  <c r="V53" i="17" s="1"/>
  <c r="U49" i="17"/>
  <c r="T49" i="17" s="1"/>
  <c r="S49" i="17" s="1"/>
  <c r="R49" i="17" s="1"/>
  <c r="P49" i="17" s="1"/>
  <c r="V49" i="17" s="1"/>
  <c r="U45" i="17"/>
  <c r="T45" i="17" s="1"/>
  <c r="S45" i="17" s="1"/>
  <c r="R45" i="17" s="1"/>
  <c r="P45" i="17" s="1"/>
  <c r="V45" i="17" s="1"/>
  <c r="U41" i="17"/>
  <c r="T41" i="17" s="1"/>
  <c r="S41" i="17" s="1"/>
  <c r="R41" i="17" s="1"/>
  <c r="P41" i="17" s="1"/>
  <c r="V41" i="17" s="1"/>
  <c r="U37" i="17"/>
  <c r="T37" i="17" s="1"/>
  <c r="S37" i="17" s="1"/>
  <c r="R37" i="17" s="1"/>
  <c r="P37" i="17" s="1"/>
  <c r="V37" i="17" s="1"/>
  <c r="U33" i="17"/>
  <c r="T33" i="17" s="1"/>
  <c r="S33" i="17" s="1"/>
  <c r="R33" i="17" s="1"/>
  <c r="P33" i="17" s="1"/>
  <c r="V33" i="17" s="1"/>
  <c r="U29" i="17"/>
  <c r="T29" i="17" s="1"/>
  <c r="U25" i="17"/>
  <c r="T25" i="17" s="1"/>
  <c r="S25" i="17" s="1"/>
  <c r="R25" i="17" s="1"/>
  <c r="P25" i="17" s="1"/>
  <c r="V25" i="17" s="1"/>
  <c r="U21" i="17"/>
  <c r="T21" i="17" s="1"/>
  <c r="S21" i="17" s="1"/>
  <c r="R21" i="17" s="1"/>
  <c r="P21" i="17" s="1"/>
  <c r="V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V374" i="17" s="1"/>
  <c r="U370" i="17"/>
  <c r="T370" i="17" s="1"/>
  <c r="S370" i="17" s="1"/>
  <c r="R370" i="17" s="1"/>
  <c r="P370" i="17" s="1"/>
  <c r="V370" i="17" s="1"/>
  <c r="U366" i="17"/>
  <c r="T366" i="17" s="1"/>
  <c r="U362" i="17"/>
  <c r="T362" i="17" s="1"/>
  <c r="S362" i="17" s="1"/>
  <c r="R362" i="17" s="1"/>
  <c r="P362" i="17" s="1"/>
  <c r="V362" i="17" s="1"/>
  <c r="U358" i="17"/>
  <c r="T358" i="17" s="1"/>
  <c r="S358" i="17" s="1"/>
  <c r="R358" i="17" s="1"/>
  <c r="P358" i="17" s="1"/>
  <c r="V358" i="17" s="1"/>
  <c r="U354" i="17"/>
  <c r="T354" i="17" s="1"/>
  <c r="S354" i="17" s="1"/>
  <c r="R354" i="17" s="1"/>
  <c r="P354" i="17" s="1"/>
  <c r="V354" i="17" s="1"/>
  <c r="U350" i="17"/>
  <c r="T350" i="17" s="1"/>
  <c r="U346" i="17"/>
  <c r="T346" i="17" s="1"/>
  <c r="S346" i="17" s="1"/>
  <c r="R346" i="17" s="1"/>
  <c r="P346" i="17" s="1"/>
  <c r="V346" i="17" s="1"/>
  <c r="U342" i="17"/>
  <c r="T342" i="17" s="1"/>
  <c r="S342" i="17" s="1"/>
  <c r="R342" i="17" s="1"/>
  <c r="P342" i="17" s="1"/>
  <c r="V342" i="17" s="1"/>
  <c r="U338" i="17"/>
  <c r="T338" i="17" s="1"/>
  <c r="S338" i="17" s="1"/>
  <c r="R338" i="17" s="1"/>
  <c r="P338" i="17" s="1"/>
  <c r="V338" i="17" s="1"/>
  <c r="U334" i="17"/>
  <c r="T334" i="17" s="1"/>
  <c r="U330" i="17"/>
  <c r="T330" i="17" s="1"/>
  <c r="S330" i="17" s="1"/>
  <c r="R330" i="17" s="1"/>
  <c r="P330" i="17" s="1"/>
  <c r="V330" i="17" s="1"/>
  <c r="U326" i="17"/>
  <c r="T326" i="17" s="1"/>
  <c r="U322" i="17"/>
  <c r="T322" i="17" s="1"/>
  <c r="S322" i="17" s="1"/>
  <c r="R322" i="17" s="1"/>
  <c r="P322" i="17" s="1"/>
  <c r="V322" i="17" s="1"/>
  <c r="U318" i="17"/>
  <c r="T318" i="17" s="1"/>
  <c r="U314" i="17"/>
  <c r="T314" i="17" s="1"/>
  <c r="S314" i="17" s="1"/>
  <c r="R314" i="17" s="1"/>
  <c r="P314" i="17" s="1"/>
  <c r="V314" i="17" s="1"/>
  <c r="U310" i="17"/>
  <c r="T310" i="17" s="1"/>
  <c r="S310" i="17" s="1"/>
  <c r="R310" i="17" s="1"/>
  <c r="P310" i="17" s="1"/>
  <c r="V310" i="17" s="1"/>
  <c r="U306" i="17"/>
  <c r="T306" i="17" s="1"/>
  <c r="S306" i="17" s="1"/>
  <c r="R306" i="17" s="1"/>
  <c r="P306" i="17" s="1"/>
  <c r="V306" i="17" s="1"/>
  <c r="U302" i="17"/>
  <c r="T302" i="17" s="1"/>
  <c r="S302" i="17" s="1"/>
  <c r="R302" i="17" s="1"/>
  <c r="P302" i="17" s="1"/>
  <c r="V302" i="17" s="1"/>
  <c r="U298" i="17"/>
  <c r="T298" i="17" s="1"/>
  <c r="S298" i="17" s="1"/>
  <c r="R298" i="17" s="1"/>
  <c r="P298" i="17" s="1"/>
  <c r="V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V290" i="17" s="1"/>
  <c r="U286" i="17"/>
  <c r="T286" i="17" s="1"/>
  <c r="S286" i="17" s="1"/>
  <c r="R286" i="17" s="1"/>
  <c r="P286" i="17" s="1"/>
  <c r="V286" i="17" s="1"/>
  <c r="U282" i="17"/>
  <c r="T282" i="17" s="1"/>
  <c r="S282" i="17" s="1"/>
  <c r="R282" i="17" s="1"/>
  <c r="P282" i="17" s="1"/>
  <c r="V282" i="17" s="1"/>
  <c r="U278" i="17"/>
  <c r="T278" i="17" s="1"/>
  <c r="S278" i="17" s="1"/>
  <c r="R278" i="17" s="1"/>
  <c r="P278" i="17" s="1"/>
  <c r="V278" i="17" s="1"/>
  <c r="U274" i="17"/>
  <c r="T274" i="17" s="1"/>
  <c r="S274" i="17" s="1"/>
  <c r="R274" i="17" s="1"/>
  <c r="P274" i="17" s="1"/>
  <c r="V274" i="17" s="1"/>
  <c r="U270" i="17"/>
  <c r="T270" i="17" s="1"/>
  <c r="S270" i="17" s="1"/>
  <c r="R270" i="17" s="1"/>
  <c r="P270" i="17" s="1"/>
  <c r="V270" i="17" s="1"/>
  <c r="U266" i="17"/>
  <c r="T266" i="17" s="1"/>
  <c r="S266" i="17" s="1"/>
  <c r="R266" i="17" s="1"/>
  <c r="P266" i="17" s="1"/>
  <c r="V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V254" i="17" s="1"/>
  <c r="U250" i="17"/>
  <c r="T250" i="17" s="1"/>
  <c r="S250" i="17" s="1"/>
  <c r="R250" i="17" s="1"/>
  <c r="P250" i="17" s="1"/>
  <c r="V250" i="17" s="1"/>
  <c r="U246" i="17"/>
  <c r="T246" i="17" s="1"/>
  <c r="U242" i="17"/>
  <c r="T242" i="17" s="1"/>
  <c r="S242" i="17" s="1"/>
  <c r="R242" i="17" s="1"/>
  <c r="P242" i="17" s="1"/>
  <c r="V242" i="17" s="1"/>
  <c r="U238" i="17"/>
  <c r="T238" i="17" s="1"/>
  <c r="S238" i="17" s="1"/>
  <c r="R238" i="17" s="1"/>
  <c r="P238" i="17" s="1"/>
  <c r="V238" i="17" s="1"/>
  <c r="U234" i="17"/>
  <c r="T234" i="17" s="1"/>
  <c r="S234" i="17" s="1"/>
  <c r="R234" i="17" s="1"/>
  <c r="P234" i="17" s="1"/>
  <c r="V234" i="17" s="1"/>
  <c r="U230" i="17"/>
  <c r="T230" i="17" s="1"/>
  <c r="S230" i="17" s="1"/>
  <c r="R230" i="17" s="1"/>
  <c r="P230" i="17" s="1"/>
  <c r="V230" i="17" s="1"/>
  <c r="U226" i="17"/>
  <c r="T226" i="17" s="1"/>
  <c r="S226" i="17" s="1"/>
  <c r="R226" i="17" s="1"/>
  <c r="P226" i="17" s="1"/>
  <c r="V226" i="17" s="1"/>
  <c r="U222" i="17"/>
  <c r="T222" i="17" s="1"/>
  <c r="S222" i="17" s="1"/>
  <c r="R222" i="17" s="1"/>
  <c r="P222" i="17" s="1"/>
  <c r="V222" i="17" s="1"/>
  <c r="U218" i="17"/>
  <c r="T218" i="17" s="1"/>
  <c r="S218" i="17" s="1"/>
  <c r="R218" i="17" s="1"/>
  <c r="P218" i="17" s="1"/>
  <c r="V218" i="17" s="1"/>
  <c r="U214" i="17"/>
  <c r="T214" i="17" s="1"/>
  <c r="S214" i="17" s="1"/>
  <c r="R214" i="17" s="1"/>
  <c r="P214" i="17" s="1"/>
  <c r="V214" i="17" s="1"/>
  <c r="U210" i="17"/>
  <c r="T210" i="17" s="1"/>
  <c r="S210" i="17" s="1"/>
  <c r="R210" i="17" s="1"/>
  <c r="P210" i="17" s="1"/>
  <c r="U206" i="17"/>
  <c r="T206" i="17" s="1"/>
  <c r="U202" i="17"/>
  <c r="T202" i="17" s="1"/>
  <c r="S202" i="17" s="1"/>
  <c r="R202" i="17" s="1"/>
  <c r="P202" i="17" s="1"/>
  <c r="V202" i="17" s="1"/>
  <c r="U198" i="17"/>
  <c r="T198" i="17" s="1"/>
  <c r="U194" i="17"/>
  <c r="T194" i="17" s="1"/>
  <c r="S194" i="17" s="1"/>
  <c r="R194" i="17" s="1"/>
  <c r="P194" i="17" s="1"/>
  <c r="V194" i="17" s="1"/>
  <c r="U190" i="17"/>
  <c r="T190" i="17" s="1"/>
  <c r="U186" i="17"/>
  <c r="T186" i="17" s="1"/>
  <c r="S186" i="17" s="1"/>
  <c r="R186" i="17" s="1"/>
  <c r="P186" i="17" s="1"/>
  <c r="V186" i="17" s="1"/>
  <c r="U182" i="17"/>
  <c r="T182" i="17" s="1"/>
  <c r="U178" i="17"/>
  <c r="T178" i="17" s="1"/>
  <c r="S178" i="17" s="1"/>
  <c r="R178" i="17" s="1"/>
  <c r="P178" i="17" s="1"/>
  <c r="V178" i="17" s="1"/>
  <c r="U174" i="17"/>
  <c r="T174" i="17" s="1"/>
  <c r="U170" i="17"/>
  <c r="T170" i="17" s="1"/>
  <c r="S170" i="17" s="1"/>
  <c r="R170" i="17" s="1"/>
  <c r="P170" i="17" s="1"/>
  <c r="V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U150" i="17"/>
  <c r="T150" i="17" s="1"/>
  <c r="S150" i="17" s="1"/>
  <c r="R150" i="17" s="1"/>
  <c r="P150" i="17" s="1"/>
  <c r="V150" i="17" s="1"/>
  <c r="U146" i="17"/>
  <c r="T146" i="17" s="1"/>
  <c r="S146" i="17" s="1"/>
  <c r="R146" i="17" s="1"/>
  <c r="P146" i="17" s="1"/>
  <c r="V146" i="17" s="1"/>
  <c r="U142" i="17"/>
  <c r="T142" i="17" s="1"/>
  <c r="S142" i="17" s="1"/>
  <c r="R142" i="17" s="1"/>
  <c r="P142" i="17" s="1"/>
  <c r="V142" i="17" s="1"/>
  <c r="U138" i="17"/>
  <c r="T138" i="17" s="1"/>
  <c r="S138" i="17" s="1"/>
  <c r="R138" i="17" s="1"/>
  <c r="P138" i="17" s="1"/>
  <c r="V138" i="17" s="1"/>
  <c r="U134" i="17"/>
  <c r="T134" i="17" s="1"/>
  <c r="S134" i="17" s="1"/>
  <c r="R134" i="17" s="1"/>
  <c r="P134" i="17" s="1"/>
  <c r="V134" i="17" s="1"/>
  <c r="U130" i="17"/>
  <c r="T130" i="17" s="1"/>
  <c r="S130" i="17" s="1"/>
  <c r="R130" i="17" s="1"/>
  <c r="P130" i="17" s="1"/>
  <c r="V130" i="17" s="1"/>
  <c r="U126" i="17"/>
  <c r="T126" i="17" s="1"/>
  <c r="U122" i="17"/>
  <c r="T122" i="17" s="1"/>
  <c r="S122" i="17" s="1"/>
  <c r="R122" i="17" s="1"/>
  <c r="P122" i="17" s="1"/>
  <c r="V122" i="17" s="1"/>
  <c r="U118" i="17"/>
  <c r="T118" i="17" s="1"/>
  <c r="U114" i="17"/>
  <c r="T114" i="17" s="1"/>
  <c r="S114" i="17" s="1"/>
  <c r="R114" i="17" s="1"/>
  <c r="P114" i="17" s="1"/>
  <c r="V114" i="17" s="1"/>
  <c r="U110" i="17"/>
  <c r="T110" i="17" s="1"/>
  <c r="U106" i="17"/>
  <c r="T106" i="17" s="1"/>
  <c r="S106" i="17" s="1"/>
  <c r="R106" i="17" s="1"/>
  <c r="P106" i="17" s="1"/>
  <c r="V106" i="17" s="1"/>
  <c r="U102" i="17"/>
  <c r="T102" i="17" s="1"/>
  <c r="U98" i="17"/>
  <c r="T98" i="17" s="1"/>
  <c r="S98" i="17" s="1"/>
  <c r="R98" i="17" s="1"/>
  <c r="P98" i="17" s="1"/>
  <c r="V98" i="17" s="1"/>
  <c r="U94" i="17"/>
  <c r="T94" i="17" s="1"/>
  <c r="U90" i="17"/>
  <c r="T90" i="17" s="1"/>
  <c r="S90" i="17" s="1"/>
  <c r="R90" i="17" s="1"/>
  <c r="P90" i="17" s="1"/>
  <c r="V90" i="17" s="1"/>
  <c r="U86" i="17"/>
  <c r="T86" i="17" s="1"/>
  <c r="S86" i="17" s="1"/>
  <c r="R86" i="17" s="1"/>
  <c r="P86" i="17" s="1"/>
  <c r="V86" i="17" s="1"/>
  <c r="U82" i="17"/>
  <c r="T82" i="17" s="1"/>
  <c r="S82" i="17" s="1"/>
  <c r="R82" i="17" s="1"/>
  <c r="P82" i="17" s="1"/>
  <c r="V82" i="17" s="1"/>
  <c r="U78" i="17"/>
  <c r="T78" i="17" s="1"/>
  <c r="S78" i="17" s="1"/>
  <c r="R78" i="17" s="1"/>
  <c r="P78" i="17" s="1"/>
  <c r="V78" i="17" s="1"/>
  <c r="U74" i="17"/>
  <c r="T74" i="17" s="1"/>
  <c r="S74" i="17" s="1"/>
  <c r="R74" i="17" s="1"/>
  <c r="P74" i="17" s="1"/>
  <c r="V74" i="17" s="1"/>
  <c r="U70" i="17"/>
  <c r="T70" i="17" s="1"/>
  <c r="S70" i="17" s="1"/>
  <c r="R70" i="17" s="1"/>
  <c r="P70" i="17" s="1"/>
  <c r="V70" i="17" s="1"/>
  <c r="U66" i="17"/>
  <c r="T66" i="17" s="1"/>
  <c r="S66" i="17" s="1"/>
  <c r="R66" i="17" s="1"/>
  <c r="P66" i="17" s="1"/>
  <c r="V66" i="17" s="1"/>
  <c r="U62" i="17"/>
  <c r="T62" i="17" s="1"/>
  <c r="S62" i="17" s="1"/>
  <c r="R62" i="17" s="1"/>
  <c r="P62" i="17" s="1"/>
  <c r="V62" i="17" s="1"/>
  <c r="U58" i="17"/>
  <c r="T58" i="17" s="1"/>
  <c r="S58" i="17" s="1"/>
  <c r="R58" i="17" s="1"/>
  <c r="P58" i="17" s="1"/>
  <c r="V58" i="17" s="1"/>
  <c r="U54" i="17"/>
  <c r="T54" i="17" s="1"/>
  <c r="U50" i="17"/>
  <c r="T50" i="17" s="1"/>
  <c r="S50" i="17" s="1"/>
  <c r="R50" i="17" s="1"/>
  <c r="P50" i="17" s="1"/>
  <c r="V50" i="17" s="1"/>
  <c r="U46" i="17"/>
  <c r="T46" i="17" s="1"/>
  <c r="U42" i="17"/>
  <c r="T42" i="17" s="1"/>
  <c r="S42" i="17" s="1"/>
  <c r="R42" i="17" s="1"/>
  <c r="P42" i="17" s="1"/>
  <c r="V42" i="17" s="1"/>
  <c r="U38" i="17"/>
  <c r="T38" i="17" s="1"/>
  <c r="U34" i="17"/>
  <c r="T34" i="17" s="1"/>
  <c r="S34" i="17" s="1"/>
  <c r="R34" i="17" s="1"/>
  <c r="P34" i="17" s="1"/>
  <c r="V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V17" i="17" s="1"/>
  <c r="AI125" i="17"/>
  <c r="AH125" i="17" s="1"/>
  <c r="AI109" i="17"/>
  <c r="AH109" i="17" s="1"/>
  <c r="AI93" i="17"/>
  <c r="AH93" i="17" s="1"/>
  <c r="AI77" i="17"/>
  <c r="AH77" i="17" s="1"/>
  <c r="AI61" i="17"/>
  <c r="AH61" i="17" s="1"/>
  <c r="AI45" i="17"/>
  <c r="AH45" i="17" s="1"/>
  <c r="AI29" i="17"/>
  <c r="AH29" i="17" s="1"/>
  <c r="U375" i="17"/>
  <c r="T375" i="17" s="1"/>
  <c r="S375" i="17" s="1"/>
  <c r="R375" i="17" s="1"/>
  <c r="P375" i="17" s="1"/>
  <c r="V375" i="17" s="1"/>
  <c r="U367" i="17"/>
  <c r="T367" i="17" s="1"/>
  <c r="U359" i="17"/>
  <c r="T359" i="17" s="1"/>
  <c r="S359" i="17" s="1"/>
  <c r="R359" i="17" s="1"/>
  <c r="P359" i="17" s="1"/>
  <c r="V359" i="17" s="1"/>
  <c r="U351" i="17"/>
  <c r="T351" i="17" s="1"/>
  <c r="U343" i="17"/>
  <c r="T343" i="17" s="1"/>
  <c r="S343" i="17" s="1"/>
  <c r="R343" i="17" s="1"/>
  <c r="P343" i="17" s="1"/>
  <c r="V343" i="17" s="1"/>
  <c r="U335" i="17"/>
  <c r="T335" i="17" s="1"/>
  <c r="S335" i="17" s="1"/>
  <c r="R335" i="17" s="1"/>
  <c r="P335" i="17" s="1"/>
  <c r="V335" i="17" s="1"/>
  <c r="U327" i="17"/>
  <c r="T327" i="17" s="1"/>
  <c r="S327" i="17" s="1"/>
  <c r="R327" i="17" s="1"/>
  <c r="P327" i="17" s="1"/>
  <c r="V327" i="17" s="1"/>
  <c r="U319" i="17"/>
  <c r="T319" i="17" s="1"/>
  <c r="S319" i="17" s="1"/>
  <c r="R319" i="17" s="1"/>
  <c r="P319" i="17" s="1"/>
  <c r="V319" i="17" s="1"/>
  <c r="U311" i="17"/>
  <c r="T311" i="17" s="1"/>
  <c r="S311" i="17" s="1"/>
  <c r="R311" i="17" s="1"/>
  <c r="P311" i="17" s="1"/>
  <c r="V311" i="17" s="1"/>
  <c r="U303" i="17"/>
  <c r="T303" i="17" s="1"/>
  <c r="U295" i="17"/>
  <c r="T295" i="17" s="1"/>
  <c r="U287" i="17"/>
  <c r="T287" i="17" s="1"/>
  <c r="S287" i="17" s="1"/>
  <c r="R287" i="17" s="1"/>
  <c r="P287" i="17" s="1"/>
  <c r="V287" i="17" s="1"/>
  <c r="U279" i="17"/>
  <c r="T279" i="17" s="1"/>
  <c r="S279" i="17" s="1"/>
  <c r="R279" i="17" s="1"/>
  <c r="P279" i="17" s="1"/>
  <c r="V279" i="17" s="1"/>
  <c r="U271" i="17"/>
  <c r="T271" i="17" s="1"/>
  <c r="S271" i="17" s="1"/>
  <c r="R271" i="17" s="1"/>
  <c r="P271" i="17" s="1"/>
  <c r="V271" i="17" s="1"/>
  <c r="U263" i="17"/>
  <c r="T263" i="17" s="1"/>
  <c r="S263" i="17" s="1"/>
  <c r="R263" i="17" s="1"/>
  <c r="P263" i="17" s="1"/>
  <c r="V263" i="17" s="1"/>
  <c r="U255" i="17"/>
  <c r="T255" i="17" s="1"/>
  <c r="S255" i="17" s="1"/>
  <c r="R255" i="17" s="1"/>
  <c r="P255" i="17" s="1"/>
  <c r="V255" i="17" s="1"/>
  <c r="U247" i="17"/>
  <c r="T247" i="17" s="1"/>
  <c r="S247" i="17" s="1"/>
  <c r="R247" i="17" s="1"/>
  <c r="P247" i="17" s="1"/>
  <c r="V247" i="17" s="1"/>
  <c r="U239" i="17"/>
  <c r="T239" i="17" s="1"/>
  <c r="U231" i="17"/>
  <c r="T231" i="17" s="1"/>
  <c r="U223" i="17"/>
  <c r="T223" i="17" s="1"/>
  <c r="U215" i="17"/>
  <c r="T215" i="17" s="1"/>
  <c r="S215" i="17" s="1"/>
  <c r="R215" i="17" s="1"/>
  <c r="P215" i="17" s="1"/>
  <c r="V215" i="17" s="1"/>
  <c r="U207" i="17"/>
  <c r="T207" i="17" s="1"/>
  <c r="U199" i="17"/>
  <c r="T199" i="17" s="1"/>
  <c r="S199" i="17" s="1"/>
  <c r="R199" i="17" s="1"/>
  <c r="P199" i="17" s="1"/>
  <c r="V199" i="17" s="1"/>
  <c r="U191" i="17"/>
  <c r="T191" i="17" s="1"/>
  <c r="S191" i="17" s="1"/>
  <c r="R191" i="17" s="1"/>
  <c r="P191" i="17" s="1"/>
  <c r="V191" i="17" s="1"/>
  <c r="U183" i="17"/>
  <c r="T183" i="17" s="1"/>
  <c r="U175" i="17"/>
  <c r="T175" i="17" s="1"/>
  <c r="S175" i="17" s="1"/>
  <c r="R175" i="17" s="1"/>
  <c r="P175" i="17" s="1"/>
  <c r="V175" i="17" s="1"/>
  <c r="U167" i="17"/>
  <c r="T167" i="17" s="1"/>
  <c r="S167" i="17" s="1"/>
  <c r="R167" i="17" s="1"/>
  <c r="P167" i="17" s="1"/>
  <c r="V167" i="17" s="1"/>
  <c r="U159" i="17"/>
  <c r="T159" i="17" s="1"/>
  <c r="U151" i="17"/>
  <c r="T151" i="17" s="1"/>
  <c r="S151" i="17" s="1"/>
  <c r="R151" i="17" s="1"/>
  <c r="P151" i="17" s="1"/>
  <c r="V151" i="17" s="1"/>
  <c r="U143" i="17"/>
  <c r="T143" i="17" s="1"/>
  <c r="U135" i="17"/>
  <c r="T135" i="17" s="1"/>
  <c r="U127" i="17"/>
  <c r="T127" i="17" s="1"/>
  <c r="S127" i="17" s="1"/>
  <c r="R127" i="17" s="1"/>
  <c r="P127" i="17" s="1"/>
  <c r="V127" i="17" s="1"/>
  <c r="U119" i="17"/>
  <c r="T119" i="17" s="1"/>
  <c r="U111" i="17"/>
  <c r="T111" i="17" s="1"/>
  <c r="U103" i="17"/>
  <c r="T103" i="17" s="1"/>
  <c r="S103" i="17" s="1"/>
  <c r="R103" i="17" s="1"/>
  <c r="P103" i="17" s="1"/>
  <c r="V103" i="17" s="1"/>
  <c r="U99" i="17"/>
  <c r="T99" i="17" s="1"/>
  <c r="S99" i="17" s="1"/>
  <c r="R99" i="17" s="1"/>
  <c r="P99" i="17" s="1"/>
  <c r="V99" i="17" s="1"/>
  <c r="U95" i="17"/>
  <c r="T95" i="17" s="1"/>
  <c r="U91" i="17"/>
  <c r="T91" i="17" s="1"/>
  <c r="U87" i="17"/>
  <c r="T87" i="17" s="1"/>
  <c r="U83" i="17"/>
  <c r="T83" i="17" s="1"/>
  <c r="S83" i="17" s="1"/>
  <c r="R83" i="17" s="1"/>
  <c r="P83" i="17" s="1"/>
  <c r="V83" i="17" s="1"/>
  <c r="U79" i="17"/>
  <c r="T79" i="17" s="1"/>
  <c r="U75" i="17"/>
  <c r="T75" i="17" s="1"/>
  <c r="U71" i="17"/>
  <c r="T71" i="17" s="1"/>
  <c r="U67" i="17"/>
  <c r="T67" i="17" s="1"/>
  <c r="S67" i="17" s="1"/>
  <c r="R67" i="17" s="1"/>
  <c r="P67" i="17" s="1"/>
  <c r="V67" i="17" s="1"/>
  <c r="U63" i="17"/>
  <c r="T63" i="17" s="1"/>
  <c r="S63" i="17" s="1"/>
  <c r="R63" i="17" s="1"/>
  <c r="P63" i="17" s="1"/>
  <c r="V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V47" i="17" s="1"/>
  <c r="U43" i="17"/>
  <c r="T43" i="17" s="1"/>
  <c r="U39" i="17"/>
  <c r="T39" i="17" s="1"/>
  <c r="S39" i="17" s="1"/>
  <c r="R39" i="17" s="1"/>
  <c r="P39" i="17" s="1"/>
  <c r="V39" i="17" s="1"/>
  <c r="U35" i="17"/>
  <c r="T35" i="17" s="1"/>
  <c r="S35" i="17" s="1"/>
  <c r="R35" i="17" s="1"/>
  <c r="P35" i="17" s="1"/>
  <c r="V35" i="17" s="1"/>
  <c r="U31" i="17"/>
  <c r="T31" i="17" s="1"/>
  <c r="S31" i="17" s="1"/>
  <c r="R31" i="17" s="1"/>
  <c r="P31" i="17" s="1"/>
  <c r="V31" i="17" s="1"/>
  <c r="U27" i="17"/>
  <c r="T27" i="17" s="1"/>
  <c r="U23" i="17"/>
  <c r="T23" i="17" s="1"/>
  <c r="S23" i="17" s="1"/>
  <c r="R23" i="17" s="1"/>
  <c r="P23" i="17" s="1"/>
  <c r="V23" i="17" s="1"/>
  <c r="U15" i="17"/>
  <c r="U19" i="17"/>
  <c r="T19" i="17" s="1"/>
  <c r="S19" i="17" s="1"/>
  <c r="R19" i="17" s="1"/>
  <c r="P19" i="17" s="1"/>
  <c r="V19" i="17" s="1"/>
  <c r="U376" i="17"/>
  <c r="T376" i="17" s="1"/>
  <c r="S376" i="17" s="1"/>
  <c r="R376" i="17" s="1"/>
  <c r="P376" i="17" s="1"/>
  <c r="V376" i="17" s="1"/>
  <c r="U372" i="17"/>
  <c r="T372" i="17" s="1"/>
  <c r="U368" i="17"/>
  <c r="T368" i="17" s="1"/>
  <c r="S368" i="17" s="1"/>
  <c r="R368" i="17" s="1"/>
  <c r="P368" i="17" s="1"/>
  <c r="V368" i="17" s="1"/>
  <c r="U364" i="17"/>
  <c r="T364" i="17" s="1"/>
  <c r="S364" i="17" s="1"/>
  <c r="R364" i="17" s="1"/>
  <c r="P364" i="17" s="1"/>
  <c r="V364" i="17" s="1"/>
  <c r="U360" i="17"/>
  <c r="T360" i="17" s="1"/>
  <c r="U356" i="17"/>
  <c r="T356" i="17" s="1"/>
  <c r="U352" i="17"/>
  <c r="T352" i="17" s="1"/>
  <c r="S352" i="17" s="1"/>
  <c r="R352" i="17" s="1"/>
  <c r="P352" i="17" s="1"/>
  <c r="V352" i="17" s="1"/>
  <c r="U348" i="17"/>
  <c r="T348" i="17" s="1"/>
  <c r="S348" i="17" s="1"/>
  <c r="R348" i="17" s="1"/>
  <c r="P348" i="17" s="1"/>
  <c r="V348" i="17" s="1"/>
  <c r="U344" i="17"/>
  <c r="T344" i="17" s="1"/>
  <c r="S344" i="17" s="1"/>
  <c r="R344" i="17" s="1"/>
  <c r="P344" i="17" s="1"/>
  <c r="V344" i="17" s="1"/>
  <c r="U340" i="17"/>
  <c r="T340" i="17" s="1"/>
  <c r="S340" i="17" s="1"/>
  <c r="R340" i="17" s="1"/>
  <c r="P340" i="17" s="1"/>
  <c r="V340" i="17" s="1"/>
  <c r="U336" i="17"/>
  <c r="T336" i="17" s="1"/>
  <c r="S336" i="17" s="1"/>
  <c r="R336" i="17" s="1"/>
  <c r="P336" i="17" s="1"/>
  <c r="V336" i="17" s="1"/>
  <c r="U332" i="17"/>
  <c r="T332" i="17" s="1"/>
  <c r="S332" i="17" s="1"/>
  <c r="R332" i="17" s="1"/>
  <c r="P332" i="17" s="1"/>
  <c r="V332" i="17" s="1"/>
  <c r="U328" i="17"/>
  <c r="T328" i="17" s="1"/>
  <c r="S328" i="17" s="1"/>
  <c r="R328" i="17" s="1"/>
  <c r="P328" i="17" s="1"/>
  <c r="V328" i="17" s="1"/>
  <c r="U324" i="17"/>
  <c r="T324" i="17" s="1"/>
  <c r="S324" i="17" s="1"/>
  <c r="R324" i="17" s="1"/>
  <c r="P324" i="17" s="1"/>
  <c r="V324" i="17" s="1"/>
  <c r="U320" i="17"/>
  <c r="T320" i="17" s="1"/>
  <c r="S320" i="17" s="1"/>
  <c r="R320" i="17" s="1"/>
  <c r="P320" i="17" s="1"/>
  <c r="V320" i="17" s="1"/>
  <c r="U316" i="17"/>
  <c r="T316" i="17" s="1"/>
  <c r="S316" i="17" s="1"/>
  <c r="R316" i="17" s="1"/>
  <c r="P316" i="17" s="1"/>
  <c r="V316" i="17" s="1"/>
  <c r="U312" i="17"/>
  <c r="T312" i="17" s="1"/>
  <c r="S312" i="17" s="1"/>
  <c r="R312" i="17" s="1"/>
  <c r="P312" i="17" s="1"/>
  <c r="V312" i="17" s="1"/>
  <c r="U308" i="17"/>
  <c r="T308" i="17" s="1"/>
  <c r="U304" i="17"/>
  <c r="T304" i="17" s="1"/>
  <c r="S304" i="17" s="1"/>
  <c r="R304" i="17" s="1"/>
  <c r="P304" i="17" s="1"/>
  <c r="V304" i="17" s="1"/>
  <c r="U300" i="17"/>
  <c r="T300" i="17" s="1"/>
  <c r="S300" i="17" s="1"/>
  <c r="R300" i="17" s="1"/>
  <c r="P300" i="17" s="1"/>
  <c r="V300" i="17" s="1"/>
  <c r="U296" i="17"/>
  <c r="T296" i="17" s="1"/>
  <c r="U292" i="17"/>
  <c r="T292" i="17" s="1"/>
  <c r="U288" i="17"/>
  <c r="T288" i="17" s="1"/>
  <c r="S288" i="17" s="1"/>
  <c r="R288" i="17" s="1"/>
  <c r="P288" i="17" s="1"/>
  <c r="V288" i="17" s="1"/>
  <c r="U284" i="17"/>
  <c r="T284" i="17" s="1"/>
  <c r="U280" i="17"/>
  <c r="T280" i="17" s="1"/>
  <c r="S280" i="17" s="1"/>
  <c r="R280" i="17" s="1"/>
  <c r="P280" i="17" s="1"/>
  <c r="V280" i="17" s="1"/>
  <c r="U276" i="17"/>
  <c r="T276" i="17" s="1"/>
  <c r="S276" i="17" s="1"/>
  <c r="R276" i="17" s="1"/>
  <c r="P276" i="17" s="1"/>
  <c r="V276" i="17" s="1"/>
  <c r="U272" i="17"/>
  <c r="T272" i="17" s="1"/>
  <c r="S272" i="17" s="1"/>
  <c r="R272" i="17" s="1"/>
  <c r="P272" i="17" s="1"/>
  <c r="U268" i="17"/>
  <c r="T268" i="17" s="1"/>
  <c r="U264" i="17"/>
  <c r="T264" i="17" s="1"/>
  <c r="S264" i="17" s="1"/>
  <c r="R264" i="17" s="1"/>
  <c r="P264" i="17" s="1"/>
  <c r="V264" i="17" s="1"/>
  <c r="U260" i="17"/>
  <c r="T260" i="17" s="1"/>
  <c r="S260" i="17" s="1"/>
  <c r="R260" i="17" s="1"/>
  <c r="P260" i="17" s="1"/>
  <c r="V260" i="17" s="1"/>
  <c r="U256" i="17"/>
  <c r="T256" i="17" s="1"/>
  <c r="S256" i="17" s="1"/>
  <c r="R256" i="17" s="1"/>
  <c r="P256" i="17" s="1"/>
  <c r="V256" i="17" s="1"/>
  <c r="U252" i="17"/>
  <c r="T252" i="17" s="1"/>
  <c r="S252" i="17" s="1"/>
  <c r="R252" i="17" s="1"/>
  <c r="P252" i="17" s="1"/>
  <c r="V252" i="17" s="1"/>
  <c r="U248" i="17"/>
  <c r="T248" i="17" s="1"/>
  <c r="S248" i="17" s="1"/>
  <c r="R248" i="17" s="1"/>
  <c r="P248" i="17" s="1"/>
  <c r="V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U236" i="17"/>
  <c r="T236" i="17" s="1"/>
  <c r="U232" i="17"/>
  <c r="T232" i="17" s="1"/>
  <c r="S232" i="17" s="1"/>
  <c r="R232" i="17" s="1"/>
  <c r="P232" i="17" s="1"/>
  <c r="V232" i="17" s="1"/>
  <c r="U228" i="17"/>
  <c r="T228" i="17" s="1"/>
  <c r="S228" i="17" s="1"/>
  <c r="R228" i="17" s="1"/>
  <c r="P228" i="17" s="1"/>
  <c r="V228" i="17" s="1"/>
  <c r="U224" i="17"/>
  <c r="T224" i="17" s="1"/>
  <c r="S224" i="17" s="1"/>
  <c r="R224" i="17" s="1"/>
  <c r="P224" i="17" s="1"/>
  <c r="V224" i="17" s="1"/>
  <c r="U220" i="17"/>
  <c r="T220" i="17" s="1"/>
  <c r="U216" i="17"/>
  <c r="T216" i="17" s="1"/>
  <c r="S216" i="17" s="1"/>
  <c r="R216" i="17" s="1"/>
  <c r="P216" i="17" s="1"/>
  <c r="V216" i="17" s="1"/>
  <c r="U212" i="17"/>
  <c r="T212" i="17" s="1"/>
  <c r="S212" i="17" s="1"/>
  <c r="R212" i="17" s="1"/>
  <c r="P212" i="17" s="1"/>
  <c r="V212" i="17" s="1"/>
  <c r="U208" i="17"/>
  <c r="T208" i="17" s="1"/>
  <c r="S208" i="17" s="1"/>
  <c r="R208" i="17" s="1"/>
  <c r="P208" i="17" s="1"/>
  <c r="V208" i="17" s="1"/>
  <c r="U204" i="17"/>
  <c r="T204" i="17" s="1"/>
  <c r="U200" i="17"/>
  <c r="T200" i="17" s="1"/>
  <c r="U196" i="17"/>
  <c r="T196" i="17" s="1"/>
  <c r="S196" i="17" s="1"/>
  <c r="R196" i="17" s="1"/>
  <c r="P196" i="17" s="1"/>
  <c r="V196" i="17" s="1"/>
  <c r="U192" i="17"/>
  <c r="T192" i="17" s="1"/>
  <c r="S192" i="17" s="1"/>
  <c r="R192" i="17" s="1"/>
  <c r="P192" i="17" s="1"/>
  <c r="V192" i="17" s="1"/>
  <c r="U188" i="17"/>
  <c r="T188" i="17" s="1"/>
  <c r="S188" i="17" s="1"/>
  <c r="R188" i="17" s="1"/>
  <c r="P188" i="17" s="1"/>
  <c r="V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D61" i="7" s="1"/>
  <c r="U176" i="17"/>
  <c r="T176" i="17" s="1"/>
  <c r="U172" i="17"/>
  <c r="T172" i="17" s="1"/>
  <c r="S172" i="17" s="1"/>
  <c r="R172" i="17" s="1"/>
  <c r="P172" i="17" s="1"/>
  <c r="V172" i="17" s="1"/>
  <c r="U168" i="17"/>
  <c r="T168" i="17" s="1"/>
  <c r="S168" i="17" s="1"/>
  <c r="R168" i="17" s="1"/>
  <c r="P168" i="17" s="1"/>
  <c r="V168" i="17" s="1"/>
  <c r="U164" i="17"/>
  <c r="T164" i="17" s="1"/>
  <c r="S164" i="17" s="1"/>
  <c r="R164" i="17" s="1"/>
  <c r="P164" i="17" s="1"/>
  <c r="V164" i="17" s="1"/>
  <c r="U160" i="17"/>
  <c r="T160" i="17" s="1"/>
  <c r="S160" i="17" s="1"/>
  <c r="R160" i="17" s="1"/>
  <c r="P160" i="17" s="1"/>
  <c r="V160" i="17" s="1"/>
  <c r="U156" i="17"/>
  <c r="T156" i="17" s="1"/>
  <c r="U152" i="17"/>
  <c r="T152" i="17" s="1"/>
  <c r="S152" i="17" s="1"/>
  <c r="R152" i="17" s="1"/>
  <c r="P152" i="17" s="1"/>
  <c r="V152" i="17" s="1"/>
  <c r="U148" i="17"/>
  <c r="T148" i="17" s="1"/>
  <c r="S148" i="17" s="1"/>
  <c r="R148" i="17" s="1"/>
  <c r="P148" i="17" s="1"/>
  <c r="V148" i="17" s="1"/>
  <c r="U144" i="17"/>
  <c r="T144" i="17" s="1"/>
  <c r="S144" i="17" s="1"/>
  <c r="R144" i="17" s="1"/>
  <c r="P144" i="17" s="1"/>
  <c r="V144" i="17" s="1"/>
  <c r="U140" i="17"/>
  <c r="T140" i="17" s="1"/>
  <c r="S140" i="17" s="1"/>
  <c r="R140" i="17" s="1"/>
  <c r="P140" i="17" s="1"/>
  <c r="V140" i="17" s="1"/>
  <c r="U136" i="17"/>
  <c r="T136" i="17" s="1"/>
  <c r="S136" i="17" s="1"/>
  <c r="R136" i="17" s="1"/>
  <c r="P136" i="17" s="1"/>
  <c r="V136" i="17" s="1"/>
  <c r="U132" i="17"/>
  <c r="T132" i="17" s="1"/>
  <c r="S132" i="17" s="1"/>
  <c r="R132" i="17" s="1"/>
  <c r="P132" i="17" s="1"/>
  <c r="V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U116" i="17"/>
  <c r="T116" i="17" s="1"/>
  <c r="S116" i="17" s="1"/>
  <c r="R116" i="17" s="1"/>
  <c r="P116" i="17" s="1"/>
  <c r="V116" i="17" s="1"/>
  <c r="U112" i="17"/>
  <c r="T112" i="17" s="1"/>
  <c r="S112" i="17" s="1"/>
  <c r="R112" i="17" s="1"/>
  <c r="P112" i="17" s="1"/>
  <c r="V112" i="17" s="1"/>
  <c r="U108" i="17"/>
  <c r="T108" i="17" s="1"/>
  <c r="U104" i="17"/>
  <c r="T104" i="17" s="1"/>
  <c r="S104" i="17" s="1"/>
  <c r="R104" i="17" s="1"/>
  <c r="P104" i="17" s="1"/>
  <c r="V104" i="17" s="1"/>
  <c r="U100" i="17"/>
  <c r="T100" i="17" s="1"/>
  <c r="S100" i="17" s="1"/>
  <c r="R100" i="17" s="1"/>
  <c r="P100" i="17" s="1"/>
  <c r="V100" i="17" s="1"/>
  <c r="U96" i="17"/>
  <c r="T96" i="17" s="1"/>
  <c r="S96" i="17" s="1"/>
  <c r="R96" i="17" s="1"/>
  <c r="P96" i="17" s="1"/>
  <c r="V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U80" i="17"/>
  <c r="T80" i="17" s="1"/>
  <c r="S80" i="17" s="1"/>
  <c r="R80" i="17" s="1"/>
  <c r="P80" i="17" s="1"/>
  <c r="V80" i="17" s="1"/>
  <c r="U76" i="17"/>
  <c r="T76" i="17" s="1"/>
  <c r="S76" i="17" s="1"/>
  <c r="R76" i="17" s="1"/>
  <c r="P76" i="17" s="1"/>
  <c r="V76" i="17" s="1"/>
  <c r="U72" i="17"/>
  <c r="T72" i="17" s="1"/>
  <c r="S72" i="17" s="1"/>
  <c r="R72" i="17" s="1"/>
  <c r="P72" i="17" s="1"/>
  <c r="V72" i="17" s="1"/>
  <c r="U68" i="17"/>
  <c r="T68" i="17" s="1"/>
  <c r="S68" i="17" s="1"/>
  <c r="R68" i="17" s="1"/>
  <c r="P68" i="17" s="1"/>
  <c r="V68" i="17" s="1"/>
  <c r="U64" i="17"/>
  <c r="T64" i="17" s="1"/>
  <c r="U60" i="17"/>
  <c r="T60" i="17" s="1"/>
  <c r="S60" i="17" s="1"/>
  <c r="R60" i="17" s="1"/>
  <c r="P60" i="17" s="1"/>
  <c r="V60" i="17" s="1"/>
  <c r="U56" i="17"/>
  <c r="T56" i="17" s="1"/>
  <c r="U52" i="17"/>
  <c r="T52" i="17" s="1"/>
  <c r="S52" i="17" s="1"/>
  <c r="R52" i="17" s="1"/>
  <c r="P52" i="17" s="1"/>
  <c r="V52" i="17" s="1"/>
  <c r="U48" i="17"/>
  <c r="T48" i="17" s="1"/>
  <c r="S48" i="17" s="1"/>
  <c r="R48" i="17" s="1"/>
  <c r="P48" i="17" s="1"/>
  <c r="V48" i="17" s="1"/>
  <c r="U44" i="17"/>
  <c r="T44" i="17" s="1"/>
  <c r="U40" i="17"/>
  <c r="T40" i="17" s="1"/>
  <c r="S40" i="17" s="1"/>
  <c r="R40" i="17" s="1"/>
  <c r="P40" i="17" s="1"/>
  <c r="V40" i="17" s="1"/>
  <c r="U36" i="17"/>
  <c r="T36" i="17" s="1"/>
  <c r="S36" i="17" s="1"/>
  <c r="R36" i="17" s="1"/>
  <c r="P36" i="17" s="1"/>
  <c r="V36" i="17" s="1"/>
  <c r="U32" i="17"/>
  <c r="T32" i="17" s="1"/>
  <c r="S32" i="17" s="1"/>
  <c r="R32" i="17" s="1"/>
  <c r="P32" i="17" s="1"/>
  <c r="V32" i="17" s="1"/>
  <c r="U28" i="17"/>
  <c r="T28" i="17" s="1"/>
  <c r="S28" i="17" s="1"/>
  <c r="R28" i="17" s="1"/>
  <c r="P28" i="17" s="1"/>
  <c r="V28" i="17" s="1"/>
  <c r="U24" i="17"/>
  <c r="T24" i="17" s="1"/>
  <c r="S24" i="17" s="1"/>
  <c r="R24" i="17" s="1"/>
  <c r="P24" i="17" s="1"/>
  <c r="V24" i="17" s="1"/>
  <c r="U20" i="17"/>
  <c r="T20" i="17" s="1"/>
  <c r="S20" i="17" s="1"/>
  <c r="R20" i="17" s="1"/>
  <c r="P20" i="17" s="1"/>
  <c r="V20" i="17" s="1"/>
  <c r="U18" i="17"/>
  <c r="T18" i="17" s="1"/>
  <c r="S18" i="17" s="1"/>
  <c r="R18" i="17" s="1"/>
  <c r="P18" i="17" s="1"/>
  <c r="V18" i="17" s="1"/>
  <c r="AD79" i="17"/>
  <c r="AD47" i="17"/>
  <c r="AD336" i="17"/>
  <c r="AD192" i="17"/>
  <c r="AD136" i="17"/>
  <c r="G60" i="16"/>
  <c r="BY60" i="6" s="1"/>
  <c r="H60" i="16"/>
  <c r="I60" i="16" s="1"/>
  <c r="S382" i="16"/>
  <c r="S381" i="16"/>
  <c r="S383" i="16"/>
  <c r="R15" i="16"/>
  <c r="AI368" i="17"/>
  <c r="AH368" i="17" s="1"/>
  <c r="AI280" i="17"/>
  <c r="AH280" i="17" s="1"/>
  <c r="AI152" i="17"/>
  <c r="AH152" i="17" s="1"/>
  <c r="AI372" i="17"/>
  <c r="AH372" i="17" s="1"/>
  <c r="AI340" i="17"/>
  <c r="AH340" i="17" s="1"/>
  <c r="AI288" i="17"/>
  <c r="AH288" i="17" s="1"/>
  <c r="AI224" i="17"/>
  <c r="AH224" i="17" s="1"/>
  <c r="AI160" i="17"/>
  <c r="AH160" i="17" s="1"/>
  <c r="AI63" i="17"/>
  <c r="AH63" i="17" s="1"/>
  <c r="L63" i="19"/>
  <c r="F63" i="19"/>
  <c r="AI344" i="17"/>
  <c r="AH344" i="17" s="1"/>
  <c r="AI168" i="17"/>
  <c r="AH168" i="17" s="1"/>
  <c r="AI296" i="17"/>
  <c r="AH296" i="17" s="1"/>
  <c r="AI328" i="17"/>
  <c r="AH328" i="17" s="1"/>
  <c r="AI200" i="17"/>
  <c r="AH200" i="17" s="1"/>
  <c r="F263" i="16"/>
  <c r="F49" i="16"/>
  <c r="F290" i="16"/>
  <c r="F167" i="16"/>
  <c r="H302" i="16"/>
  <c r="G302" i="16"/>
  <c r="BY302" i="6" s="1"/>
  <c r="AA302" i="16"/>
  <c r="Z302" i="16" s="1"/>
  <c r="Y302" i="16" s="1"/>
  <c r="M63" i="19"/>
  <c r="H288" i="16"/>
  <c r="AD256" i="17"/>
  <c r="H264" i="16"/>
  <c r="Q331" i="18"/>
  <c r="Q202" i="18"/>
  <c r="Q267" i="18"/>
  <c r="Q138" i="18"/>
  <c r="J322" i="16"/>
  <c r="J199" i="16"/>
  <c r="J296" i="16"/>
  <c r="I31" i="16"/>
  <c r="I197" i="16"/>
  <c r="J363" i="16"/>
  <c r="I212" i="16"/>
  <c r="I210" i="16"/>
  <c r="I299" i="16"/>
  <c r="I184" i="16"/>
  <c r="J87" i="16"/>
  <c r="J93" i="16"/>
  <c r="J88" i="16"/>
  <c r="J42" i="16"/>
  <c r="J173" i="16"/>
  <c r="J274" i="16"/>
  <c r="J52" i="16"/>
  <c r="J89" i="16"/>
  <c r="I89" i="16"/>
  <c r="I21" i="16"/>
  <c r="I139" i="16"/>
  <c r="J48" i="16"/>
  <c r="J69" i="16"/>
  <c r="I69" i="16"/>
  <c r="I310" i="16"/>
  <c r="I374" i="16"/>
  <c r="I308" i="16"/>
  <c r="J75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J45" i="16"/>
  <c r="I45" i="16"/>
  <c r="J207" i="16"/>
  <c r="I207" i="16"/>
  <c r="I127" i="16"/>
  <c r="J127" i="16"/>
  <c r="I79" i="16"/>
  <c r="J79" i="16"/>
  <c r="J247" i="16"/>
  <c r="I247" i="16"/>
  <c r="I54" i="16"/>
  <c r="J54" i="16"/>
  <c r="J17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Q379" i="18"/>
  <c r="AB15" i="7" s="1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I37" i="16"/>
  <c r="J37" i="16"/>
  <c r="AL11" i="1"/>
  <c r="AJ3" i="1" s="1"/>
  <c r="O11" i="19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Q237" i="18"/>
  <c r="AC15" i="7"/>
  <c r="F11" i="15"/>
  <c r="G12" i="19"/>
  <c r="AB9" i="15"/>
  <c r="J15" i="15"/>
  <c r="I15" i="15"/>
  <c r="AA383" i="15"/>
  <c r="AL10" i="15"/>
  <c r="AM8" i="15"/>
  <c r="Z15" i="15"/>
  <c r="AL7" i="15" s="1"/>
  <c r="AA382" i="15"/>
  <c r="AA9" i="15"/>
  <c r="AA381" i="15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J153" i="16" l="1"/>
  <c r="J62" i="16"/>
  <c r="J305" i="16"/>
  <c r="J57" i="16"/>
  <c r="J126" i="16"/>
  <c r="J237" i="16"/>
  <c r="J36" i="19"/>
  <c r="AD216" i="17"/>
  <c r="J29" i="16"/>
  <c r="I134" i="16"/>
  <c r="J40" i="16"/>
  <c r="I53" i="16"/>
  <c r="J66" i="16"/>
  <c r="J34" i="16"/>
  <c r="I152" i="16"/>
  <c r="I103" i="16"/>
  <c r="J17" i="16"/>
  <c r="I285" i="16"/>
  <c r="J125" i="16"/>
  <c r="J46" i="16"/>
  <c r="J111" i="16"/>
  <c r="J317" i="16"/>
  <c r="L44" i="19"/>
  <c r="I112" i="16"/>
  <c r="I108" i="16"/>
  <c r="D12" i="19"/>
  <c r="G36" i="19"/>
  <c r="AD356" i="17"/>
  <c r="AG127" i="17"/>
  <c r="AF127" i="17" s="1"/>
  <c r="AD127" i="17" s="1"/>
  <c r="Q12" i="20"/>
  <c r="AG15" i="7" s="1"/>
  <c r="J30" i="16"/>
  <c r="J73" i="16"/>
  <c r="AD320" i="17"/>
  <c r="AD16" i="17"/>
  <c r="I339" i="16"/>
  <c r="J339" i="16"/>
  <c r="D65" i="7"/>
  <c r="AD18" i="17"/>
  <c r="AG376" i="17"/>
  <c r="AF376" i="17" s="1"/>
  <c r="AD376" i="17" s="1"/>
  <c r="J180" i="16"/>
  <c r="J97" i="16"/>
  <c r="I28" i="16"/>
  <c r="J47" i="16"/>
  <c r="I47" i="16"/>
  <c r="J123" i="16"/>
  <c r="I123" i="16"/>
  <c r="I74" i="16"/>
  <c r="J60" i="16"/>
  <c r="I140" i="16"/>
  <c r="J140" i="16"/>
  <c r="V180" i="17"/>
  <c r="D63" i="7"/>
  <c r="I217" i="16"/>
  <c r="J78" i="16"/>
  <c r="D57" i="7"/>
  <c r="J264" i="16"/>
  <c r="I264" i="16"/>
  <c r="J288" i="16"/>
  <c r="I288" i="16"/>
  <c r="I302" i="16"/>
  <c r="J302" i="16"/>
  <c r="G290" i="16"/>
  <c r="BY290" i="6" s="1"/>
  <c r="AA290" i="16"/>
  <c r="Z290" i="16" s="1"/>
  <c r="Y290" i="16" s="1"/>
  <c r="H290" i="16"/>
  <c r="G263" i="16"/>
  <c r="BY263" i="6" s="1"/>
  <c r="AA263" i="16"/>
  <c r="Z263" i="16" s="1"/>
  <c r="Y263" i="16" s="1"/>
  <c r="H263" i="16"/>
  <c r="AG328" i="17"/>
  <c r="AF328" i="17" s="1"/>
  <c r="AD328" i="17" s="1"/>
  <c r="AG168" i="17"/>
  <c r="AF168" i="17" s="1"/>
  <c r="AD168" i="17" s="1"/>
  <c r="AG63" i="17"/>
  <c r="AF63" i="17" s="1"/>
  <c r="AD63" i="17" s="1"/>
  <c r="AG224" i="17"/>
  <c r="AF224" i="17" s="1"/>
  <c r="AD224" i="17" s="1"/>
  <c r="AG340" i="17"/>
  <c r="AF340" i="17" s="1"/>
  <c r="AD340" i="17" s="1"/>
  <c r="AG152" i="17"/>
  <c r="AF152" i="17" s="1"/>
  <c r="AD152" i="17" s="1"/>
  <c r="AG368" i="17"/>
  <c r="AF368" i="17" s="1"/>
  <c r="AD368" i="17" s="1"/>
  <c r="S56" i="17"/>
  <c r="R56" i="17" s="1"/>
  <c r="P56" i="17" s="1"/>
  <c r="V56" i="17" s="1"/>
  <c r="S64" i="17"/>
  <c r="R64" i="17" s="1"/>
  <c r="P64" i="17" s="1"/>
  <c r="V64" i="17" s="1"/>
  <c r="S88" i="17"/>
  <c r="R88" i="17" s="1"/>
  <c r="P88" i="17" s="1"/>
  <c r="S128" i="17"/>
  <c r="R128" i="17" s="1"/>
  <c r="P128" i="17" s="1"/>
  <c r="V128" i="17" s="1"/>
  <c r="S176" i="17"/>
  <c r="R176" i="17" s="1"/>
  <c r="P176" i="17" s="1"/>
  <c r="V176" i="17" s="1"/>
  <c r="S200" i="17"/>
  <c r="R200" i="17" s="1"/>
  <c r="P200" i="17" s="1"/>
  <c r="V200" i="17" s="1"/>
  <c r="D64" i="7"/>
  <c r="V272" i="17"/>
  <c r="S296" i="17"/>
  <c r="R296" i="17" s="1"/>
  <c r="P296" i="17" s="1"/>
  <c r="V296" i="17" s="1"/>
  <c r="S360" i="17"/>
  <c r="R360" i="17" s="1"/>
  <c r="P360" i="17" s="1"/>
  <c r="V360" i="17" s="1"/>
  <c r="U381" i="17"/>
  <c r="U383" i="17"/>
  <c r="T15" i="17"/>
  <c r="U382" i="17"/>
  <c r="S27" i="17"/>
  <c r="R27" i="17" s="1"/>
  <c r="P27" i="17" s="1"/>
  <c r="V27" i="17" s="1"/>
  <c r="S43" i="17"/>
  <c r="R43" i="17" s="1"/>
  <c r="P43" i="17" s="1"/>
  <c r="V43" i="17" s="1"/>
  <c r="S51" i="17"/>
  <c r="R51" i="17" s="1"/>
  <c r="P51" i="17" s="1"/>
  <c r="V51" i="17" s="1"/>
  <c r="S59" i="17"/>
  <c r="R59" i="17" s="1"/>
  <c r="P59" i="17" s="1"/>
  <c r="V59" i="17" s="1"/>
  <c r="S75" i="17"/>
  <c r="R75" i="17" s="1"/>
  <c r="P75" i="17" s="1"/>
  <c r="V75" i="17" s="1"/>
  <c r="S91" i="17"/>
  <c r="R91" i="17" s="1"/>
  <c r="P91" i="17" s="1"/>
  <c r="V91" i="17" s="1"/>
  <c r="S111" i="17"/>
  <c r="R111" i="17" s="1"/>
  <c r="P111" i="17" s="1"/>
  <c r="V111" i="17" s="1"/>
  <c r="S143" i="17"/>
  <c r="R143" i="17" s="1"/>
  <c r="P143" i="17" s="1"/>
  <c r="V143" i="17" s="1"/>
  <c r="S159" i="17"/>
  <c r="R159" i="17" s="1"/>
  <c r="P159" i="17" s="1"/>
  <c r="V159" i="17" s="1"/>
  <c r="S207" i="17"/>
  <c r="R207" i="17" s="1"/>
  <c r="P207" i="17" s="1"/>
  <c r="V207" i="17" s="1"/>
  <c r="S223" i="17"/>
  <c r="R223" i="17" s="1"/>
  <c r="P223" i="17" s="1"/>
  <c r="V223" i="17" s="1"/>
  <c r="S239" i="17"/>
  <c r="R239" i="17" s="1"/>
  <c r="P239" i="17" s="1"/>
  <c r="V239" i="17" s="1"/>
  <c r="S303" i="17"/>
  <c r="R303" i="17" s="1"/>
  <c r="P303" i="17" s="1"/>
  <c r="V303" i="17" s="1"/>
  <c r="S351" i="17"/>
  <c r="R351" i="17" s="1"/>
  <c r="P351" i="17" s="1"/>
  <c r="V351" i="17" s="1"/>
  <c r="S367" i="17"/>
  <c r="R367" i="17" s="1"/>
  <c r="P367" i="17" s="1"/>
  <c r="V367" i="17" s="1"/>
  <c r="AG29" i="17"/>
  <c r="AF29" i="17" s="1"/>
  <c r="AD29" i="17" s="1"/>
  <c r="AG61" i="17"/>
  <c r="AF61" i="17" s="1"/>
  <c r="AD61" i="17" s="1"/>
  <c r="AG93" i="17"/>
  <c r="AF93" i="17" s="1"/>
  <c r="AD93" i="17" s="1"/>
  <c r="AG125" i="17"/>
  <c r="AF125" i="17" s="1"/>
  <c r="AD125" i="17" s="1"/>
  <c r="S22" i="17"/>
  <c r="R22" i="17" s="1"/>
  <c r="P22" i="17" s="1"/>
  <c r="V22" i="17" s="1"/>
  <c r="S30" i="17"/>
  <c r="R30" i="17" s="1"/>
  <c r="P30" i="17" s="1"/>
  <c r="V30" i="17" s="1"/>
  <c r="S38" i="17"/>
  <c r="R38" i="17" s="1"/>
  <c r="P38" i="17" s="1"/>
  <c r="V38" i="17" s="1"/>
  <c r="S46" i="17"/>
  <c r="R46" i="17" s="1"/>
  <c r="P46" i="17" s="1"/>
  <c r="V46" i="17" s="1"/>
  <c r="S54" i="17"/>
  <c r="R54" i="17" s="1"/>
  <c r="P54" i="17" s="1"/>
  <c r="V54" i="17" s="1"/>
  <c r="S94" i="17"/>
  <c r="R94" i="17" s="1"/>
  <c r="P94" i="17" s="1"/>
  <c r="V94" i="17" s="1"/>
  <c r="S102" i="17"/>
  <c r="R102" i="17" s="1"/>
  <c r="P102" i="17" s="1"/>
  <c r="V102" i="17" s="1"/>
  <c r="S110" i="17"/>
  <c r="R110" i="17" s="1"/>
  <c r="P110" i="17" s="1"/>
  <c r="V110" i="17" s="1"/>
  <c r="S118" i="17"/>
  <c r="R118" i="17" s="1"/>
  <c r="P118" i="17" s="1"/>
  <c r="V118" i="17" s="1"/>
  <c r="S126" i="17"/>
  <c r="R126" i="17" s="1"/>
  <c r="P126" i="17" s="1"/>
  <c r="V126" i="17" s="1"/>
  <c r="S158" i="17"/>
  <c r="R158" i="17" s="1"/>
  <c r="P158" i="17" s="1"/>
  <c r="V158" i="17" s="1"/>
  <c r="S166" i="17"/>
  <c r="R166" i="17" s="1"/>
  <c r="P166" i="17" s="1"/>
  <c r="V166" i="17" s="1"/>
  <c r="S174" i="17"/>
  <c r="R174" i="17" s="1"/>
  <c r="P174" i="17" s="1"/>
  <c r="V174" i="17" s="1"/>
  <c r="S182" i="17"/>
  <c r="R182" i="17" s="1"/>
  <c r="P182" i="17" s="1"/>
  <c r="V182" i="17" s="1"/>
  <c r="S190" i="17"/>
  <c r="R190" i="17" s="1"/>
  <c r="P190" i="17" s="1"/>
  <c r="V190" i="17" s="1"/>
  <c r="S198" i="17"/>
  <c r="R198" i="17" s="1"/>
  <c r="P198" i="17" s="1"/>
  <c r="V198" i="17" s="1"/>
  <c r="S206" i="17"/>
  <c r="R206" i="17" s="1"/>
  <c r="P206" i="17" s="1"/>
  <c r="V206" i="17" s="1"/>
  <c r="S246" i="17"/>
  <c r="R246" i="17" s="1"/>
  <c r="P246" i="17" s="1"/>
  <c r="V246" i="17" s="1"/>
  <c r="S262" i="17"/>
  <c r="R262" i="17" s="1"/>
  <c r="P262" i="17" s="1"/>
  <c r="V262" i="17" s="1"/>
  <c r="S318" i="17"/>
  <c r="R318" i="17" s="1"/>
  <c r="P318" i="17" s="1"/>
  <c r="V318" i="17" s="1"/>
  <c r="S326" i="17"/>
  <c r="R326" i="17" s="1"/>
  <c r="P326" i="17" s="1"/>
  <c r="V326" i="17" s="1"/>
  <c r="S334" i="17"/>
  <c r="R334" i="17" s="1"/>
  <c r="P334" i="17" s="1"/>
  <c r="V334" i="17" s="1"/>
  <c r="S350" i="17"/>
  <c r="R350" i="17" s="1"/>
  <c r="P350" i="17" s="1"/>
  <c r="V350" i="17" s="1"/>
  <c r="S366" i="17"/>
  <c r="R366" i="17" s="1"/>
  <c r="P366" i="17" s="1"/>
  <c r="V366" i="17" s="1"/>
  <c r="S16" i="17"/>
  <c r="R16" i="17" s="1"/>
  <c r="P16" i="17" s="1"/>
  <c r="V16" i="17" s="1"/>
  <c r="S155" i="17"/>
  <c r="R155" i="17" s="1"/>
  <c r="P155" i="17" s="1"/>
  <c r="V155" i="17" s="1"/>
  <c r="S171" i="17"/>
  <c r="R171" i="17" s="1"/>
  <c r="P171" i="17" s="1"/>
  <c r="V171" i="17" s="1"/>
  <c r="S235" i="17"/>
  <c r="R235" i="17" s="1"/>
  <c r="P235" i="17" s="1"/>
  <c r="V235" i="17" s="1"/>
  <c r="S251" i="17"/>
  <c r="R251" i="17" s="1"/>
  <c r="P251" i="17" s="1"/>
  <c r="V251" i="17" s="1"/>
  <c r="S267" i="17"/>
  <c r="R267" i="17" s="1"/>
  <c r="P267" i="17" s="1"/>
  <c r="V267" i="17" s="1"/>
  <c r="S347" i="17"/>
  <c r="R347" i="17" s="1"/>
  <c r="P347" i="17" s="1"/>
  <c r="V347" i="17" s="1"/>
  <c r="S363" i="17"/>
  <c r="R363" i="17" s="1"/>
  <c r="P363" i="17" s="1"/>
  <c r="T379" i="17"/>
  <c r="S379" i="17" s="1"/>
  <c r="R379" i="17" s="1"/>
  <c r="P379" i="17" s="1"/>
  <c r="D38" i="19" s="1"/>
  <c r="V16" i="7"/>
  <c r="AB11" i="7" s="1"/>
  <c r="U11" i="18" s="1"/>
  <c r="U12" i="18"/>
  <c r="AG37" i="17"/>
  <c r="AF37" i="17" s="1"/>
  <c r="AD37" i="17" s="1"/>
  <c r="AG69" i="17"/>
  <c r="AF69" i="17" s="1"/>
  <c r="AD69" i="17" s="1"/>
  <c r="AG101" i="17"/>
  <c r="AF101" i="17" s="1"/>
  <c r="AD101" i="17" s="1"/>
  <c r="AG131" i="17"/>
  <c r="AF131" i="17" s="1"/>
  <c r="AD131" i="17" s="1"/>
  <c r="AG139" i="17"/>
  <c r="AF139" i="17" s="1"/>
  <c r="AD139" i="17" s="1"/>
  <c r="AG147" i="17"/>
  <c r="AF147" i="17" s="1"/>
  <c r="AD147" i="17" s="1"/>
  <c r="AG155" i="17"/>
  <c r="AF155" i="17" s="1"/>
  <c r="AD155" i="17" s="1"/>
  <c r="AG163" i="17"/>
  <c r="AF163" i="17" s="1"/>
  <c r="AD163" i="17" s="1"/>
  <c r="AG171" i="17"/>
  <c r="AF171" i="17" s="1"/>
  <c r="AD171" i="17" s="1"/>
  <c r="AG179" i="17"/>
  <c r="AF179" i="17" s="1"/>
  <c r="AD179" i="17" s="1"/>
  <c r="AG187" i="17"/>
  <c r="AF187" i="17" s="1"/>
  <c r="AD187" i="17" s="1"/>
  <c r="AG195" i="17"/>
  <c r="AF195" i="17" s="1"/>
  <c r="AD195" i="17" s="1"/>
  <c r="AG203" i="17"/>
  <c r="AF203" i="17" s="1"/>
  <c r="AD203" i="17" s="1"/>
  <c r="AG211" i="17"/>
  <c r="AF211" i="17" s="1"/>
  <c r="AD211" i="17" s="1"/>
  <c r="AG219" i="17"/>
  <c r="AF219" i="17" s="1"/>
  <c r="AD219" i="17" s="1"/>
  <c r="AG227" i="17"/>
  <c r="AF227" i="17" s="1"/>
  <c r="AD227" i="17" s="1"/>
  <c r="AG235" i="17"/>
  <c r="AF235" i="17" s="1"/>
  <c r="AD235" i="17" s="1"/>
  <c r="AG243" i="17"/>
  <c r="AF243" i="17" s="1"/>
  <c r="AD243" i="17" s="1"/>
  <c r="AG251" i="17"/>
  <c r="AF251" i="17" s="1"/>
  <c r="AD251" i="17" s="1"/>
  <c r="AG259" i="17"/>
  <c r="AF259" i="17" s="1"/>
  <c r="AD259" i="17" s="1"/>
  <c r="AG267" i="17"/>
  <c r="AF267" i="17" s="1"/>
  <c r="AD267" i="17" s="1"/>
  <c r="AG275" i="17"/>
  <c r="AF275" i="17" s="1"/>
  <c r="AD275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H379" i="17"/>
  <c r="AI12" i="18"/>
  <c r="AG124" i="17"/>
  <c r="AF124" i="17" s="1"/>
  <c r="AD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G92" i="17"/>
  <c r="AF92" i="17" s="1"/>
  <c r="AD92" i="17" s="1"/>
  <c r="AG84" i="17"/>
  <c r="AF84" i="17" s="1"/>
  <c r="AD84" i="17" s="1"/>
  <c r="AG76" i="17"/>
  <c r="AF76" i="17" s="1"/>
  <c r="AD76" i="17" s="1"/>
  <c r="AG68" i="17"/>
  <c r="AF68" i="17" s="1"/>
  <c r="AD68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39" i="17"/>
  <c r="AF39" i="17" s="1"/>
  <c r="AD39" i="17" s="1"/>
  <c r="AG103" i="17"/>
  <c r="AF103" i="17" s="1"/>
  <c r="AD103" i="17" s="1"/>
  <c r="AG148" i="17"/>
  <c r="AF148" i="17" s="1"/>
  <c r="AD148" i="17" s="1"/>
  <c r="AG180" i="17"/>
  <c r="AF180" i="17" s="1"/>
  <c r="AD180" i="17" s="1"/>
  <c r="AG212" i="17"/>
  <c r="AF212" i="17" s="1"/>
  <c r="AD212" i="17" s="1"/>
  <c r="AG244" i="17"/>
  <c r="AF244" i="17" s="1"/>
  <c r="AD244" i="17" s="1"/>
  <c r="AG276" i="17"/>
  <c r="AF276" i="17" s="1"/>
  <c r="AD276" i="17" s="1"/>
  <c r="AG308" i="17"/>
  <c r="AF308" i="17" s="1"/>
  <c r="AD308" i="17" s="1"/>
  <c r="AG334" i="17"/>
  <c r="AF334" i="17" s="1"/>
  <c r="AD334" i="17" s="1"/>
  <c r="AG350" i="17"/>
  <c r="AF350" i="17" s="1"/>
  <c r="AD350" i="17" s="1"/>
  <c r="AG366" i="17"/>
  <c r="AF366" i="17" s="1"/>
  <c r="AD366" i="17" s="1"/>
  <c r="AG326" i="17"/>
  <c r="AF326" i="17" s="1"/>
  <c r="AD326" i="17" s="1"/>
  <c r="AG310" i="17"/>
  <c r="AF310" i="17" s="1"/>
  <c r="AD310" i="17" s="1"/>
  <c r="AG294" i="17"/>
  <c r="AF294" i="17" s="1"/>
  <c r="AD294" i="17" s="1"/>
  <c r="AG278" i="17"/>
  <c r="AF278" i="17" s="1"/>
  <c r="AD278" i="17" s="1"/>
  <c r="AG262" i="17"/>
  <c r="AF262" i="17" s="1"/>
  <c r="AD262" i="17" s="1"/>
  <c r="AG246" i="17"/>
  <c r="AF246" i="17" s="1"/>
  <c r="AD246" i="17" s="1"/>
  <c r="AG230" i="17"/>
  <c r="AF230" i="17" s="1"/>
  <c r="AD230" i="17" s="1"/>
  <c r="AG214" i="17"/>
  <c r="AF214" i="17" s="1"/>
  <c r="AD214" i="17" s="1"/>
  <c r="AG198" i="17"/>
  <c r="AF198" i="17" s="1"/>
  <c r="AD198" i="17" s="1"/>
  <c r="AG182" i="17"/>
  <c r="AF182" i="17" s="1"/>
  <c r="AD182" i="17" s="1"/>
  <c r="AG166" i="17"/>
  <c r="AF166" i="17" s="1"/>
  <c r="AD166" i="17" s="1"/>
  <c r="AG150" i="17"/>
  <c r="AF150" i="17" s="1"/>
  <c r="AD150" i="17" s="1"/>
  <c r="AG134" i="17"/>
  <c r="AF134" i="17" s="1"/>
  <c r="AD134" i="17" s="1"/>
  <c r="AG107" i="17"/>
  <c r="AF107" i="17" s="1"/>
  <c r="AD107" i="17" s="1"/>
  <c r="AG75" i="17"/>
  <c r="AF75" i="17" s="1"/>
  <c r="AD75" i="17" s="1"/>
  <c r="AG43" i="17"/>
  <c r="AF43" i="17" s="1"/>
  <c r="AD43" i="17" s="1"/>
  <c r="AG208" i="17"/>
  <c r="AF208" i="17" s="1"/>
  <c r="AD208" i="17" s="1"/>
  <c r="AG332" i="17"/>
  <c r="AF332" i="17" s="1"/>
  <c r="AD332" i="17" s="1"/>
  <c r="AG111" i="17"/>
  <c r="AF111" i="17" s="1"/>
  <c r="AD111" i="17" s="1"/>
  <c r="AG352" i="17"/>
  <c r="AF352" i="17" s="1"/>
  <c r="AD352" i="17" s="1"/>
  <c r="D60" i="7"/>
  <c r="V149" i="17"/>
  <c r="D66" i="7"/>
  <c r="V333" i="17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37" i="17"/>
  <c r="AF137" i="17" s="1"/>
  <c r="AD137" i="17" s="1"/>
  <c r="AG145" i="17"/>
  <c r="AF145" i="17" s="1"/>
  <c r="AD145" i="17" s="1"/>
  <c r="AG153" i="17"/>
  <c r="AF153" i="17" s="1"/>
  <c r="AD153" i="17" s="1"/>
  <c r="AG161" i="17"/>
  <c r="AF161" i="17" s="1"/>
  <c r="AD161" i="17" s="1"/>
  <c r="AG169" i="17"/>
  <c r="AF169" i="17" s="1"/>
  <c r="AD169" i="17" s="1"/>
  <c r="AG177" i="17"/>
  <c r="AF177" i="17" s="1"/>
  <c r="AD177" i="17" s="1"/>
  <c r="AG185" i="17"/>
  <c r="AF185" i="17" s="1"/>
  <c r="AD185" i="17" s="1"/>
  <c r="AG193" i="17"/>
  <c r="AF193" i="17" s="1"/>
  <c r="AD193" i="17" s="1"/>
  <c r="AG201" i="17"/>
  <c r="AF201" i="17" s="1"/>
  <c r="AD201" i="17" s="1"/>
  <c r="AG209" i="17"/>
  <c r="AF209" i="17" s="1"/>
  <c r="AD209" i="17" s="1"/>
  <c r="AG217" i="17"/>
  <c r="AF217" i="17" s="1"/>
  <c r="AD217" i="17" s="1"/>
  <c r="AG225" i="17"/>
  <c r="AF225" i="17" s="1"/>
  <c r="AD225" i="17" s="1"/>
  <c r="AG233" i="17"/>
  <c r="AF233" i="17" s="1"/>
  <c r="AD233" i="17" s="1"/>
  <c r="AG241" i="17"/>
  <c r="AF241" i="17" s="1"/>
  <c r="AD241" i="17" s="1"/>
  <c r="AG249" i="17"/>
  <c r="AF249" i="17" s="1"/>
  <c r="AD249" i="17" s="1"/>
  <c r="AG257" i="17"/>
  <c r="AF257" i="17" s="1"/>
  <c r="AD257" i="17" s="1"/>
  <c r="AG265" i="17"/>
  <c r="AF265" i="17" s="1"/>
  <c r="AD265" i="17" s="1"/>
  <c r="AG273" i="17"/>
  <c r="AF273" i="17" s="1"/>
  <c r="AD273" i="17" s="1"/>
  <c r="AG281" i="17"/>
  <c r="AF281" i="17" s="1"/>
  <c r="AD281" i="17" s="1"/>
  <c r="AG289" i="17"/>
  <c r="AF289" i="17" s="1"/>
  <c r="AD289" i="17" s="1"/>
  <c r="AG297" i="17"/>
  <c r="AF297" i="17" s="1"/>
  <c r="AD297" i="17" s="1"/>
  <c r="AG305" i="17"/>
  <c r="AF305" i="17" s="1"/>
  <c r="AD305" i="17" s="1"/>
  <c r="AG313" i="17"/>
  <c r="AF313" i="17" s="1"/>
  <c r="AD313" i="17" s="1"/>
  <c r="AG321" i="17"/>
  <c r="AF321" i="17" s="1"/>
  <c r="AD321" i="17" s="1"/>
  <c r="AG329" i="17"/>
  <c r="AF329" i="17" s="1"/>
  <c r="AD329" i="17" s="1"/>
  <c r="AG337" i="17"/>
  <c r="AF337" i="17" s="1"/>
  <c r="AD337" i="17" s="1"/>
  <c r="AG345" i="17"/>
  <c r="AF345" i="17" s="1"/>
  <c r="AD345" i="17" s="1"/>
  <c r="AG353" i="17"/>
  <c r="AF353" i="17" s="1"/>
  <c r="AD353" i="17" s="1"/>
  <c r="AG361" i="17"/>
  <c r="AF361" i="17" s="1"/>
  <c r="AD361" i="17" s="1"/>
  <c r="AG369" i="17"/>
  <c r="AF369" i="17" s="1"/>
  <c r="AD369" i="17" s="1"/>
  <c r="AG377" i="17"/>
  <c r="AF377" i="17" s="1"/>
  <c r="AD377" i="17" s="1"/>
  <c r="AG122" i="17"/>
  <c r="AF122" i="17" s="1"/>
  <c r="AD122" i="17" s="1"/>
  <c r="AG114" i="17"/>
  <c r="AF114" i="17" s="1"/>
  <c r="AD114" i="17" s="1"/>
  <c r="AG106" i="17"/>
  <c r="AF106" i="17" s="1"/>
  <c r="AD106" i="17" s="1"/>
  <c r="AG98" i="17"/>
  <c r="AF98" i="17" s="1"/>
  <c r="AD98" i="17" s="1"/>
  <c r="AG90" i="17"/>
  <c r="AF90" i="17" s="1"/>
  <c r="AD90" i="17" s="1"/>
  <c r="AG82" i="17"/>
  <c r="AF82" i="17" s="1"/>
  <c r="AD82" i="17" s="1"/>
  <c r="AG74" i="17"/>
  <c r="AF74" i="17" s="1"/>
  <c r="AD74" i="17" s="1"/>
  <c r="AG66" i="17"/>
  <c r="AF66" i="17" s="1"/>
  <c r="AD66" i="17" s="1"/>
  <c r="AG58" i="17"/>
  <c r="AF58" i="17" s="1"/>
  <c r="AD58" i="17" s="1"/>
  <c r="AG50" i="17"/>
  <c r="AF50" i="17" s="1"/>
  <c r="AD50" i="17" s="1"/>
  <c r="AG42" i="17"/>
  <c r="AF42" i="17" s="1"/>
  <c r="AD42" i="17" s="1"/>
  <c r="AG34" i="17"/>
  <c r="AF34" i="17" s="1"/>
  <c r="AD34" i="17" s="1"/>
  <c r="AG26" i="17"/>
  <c r="AF26" i="17" s="1"/>
  <c r="AD26" i="17" s="1"/>
  <c r="AG23" i="17"/>
  <c r="AF23" i="17" s="1"/>
  <c r="AD23" i="17" s="1"/>
  <c r="AG87" i="17"/>
  <c r="AF87" i="17" s="1"/>
  <c r="AD87" i="17" s="1"/>
  <c r="AG140" i="17"/>
  <c r="AF140" i="17" s="1"/>
  <c r="AD140" i="17" s="1"/>
  <c r="AG172" i="17"/>
  <c r="AF172" i="17" s="1"/>
  <c r="AD172" i="17" s="1"/>
  <c r="AG204" i="17"/>
  <c r="AF204" i="17" s="1"/>
  <c r="AD204" i="17" s="1"/>
  <c r="AG236" i="17"/>
  <c r="AF236" i="17" s="1"/>
  <c r="AD236" i="17" s="1"/>
  <c r="AG268" i="17"/>
  <c r="AF268" i="17" s="1"/>
  <c r="AD268" i="17" s="1"/>
  <c r="AG300" i="17"/>
  <c r="AF300" i="17" s="1"/>
  <c r="AD300" i="17" s="1"/>
  <c r="AG330" i="17"/>
  <c r="AF330" i="17" s="1"/>
  <c r="AD330" i="17" s="1"/>
  <c r="AG346" i="17"/>
  <c r="AF346" i="17" s="1"/>
  <c r="AD346" i="17" s="1"/>
  <c r="AG362" i="17"/>
  <c r="AF362" i="17" s="1"/>
  <c r="AD362" i="17" s="1"/>
  <c r="AG378" i="17"/>
  <c r="AF378" i="17" s="1"/>
  <c r="AD378" i="17" s="1"/>
  <c r="AG314" i="17"/>
  <c r="AF314" i="17" s="1"/>
  <c r="AD314" i="17" s="1"/>
  <c r="AG298" i="17"/>
  <c r="AF298" i="17" s="1"/>
  <c r="AD298" i="17" s="1"/>
  <c r="AG282" i="17"/>
  <c r="AF282" i="17" s="1"/>
  <c r="AD282" i="17" s="1"/>
  <c r="AG266" i="17"/>
  <c r="AF266" i="17" s="1"/>
  <c r="AD266" i="17" s="1"/>
  <c r="AG250" i="17"/>
  <c r="AF250" i="17" s="1"/>
  <c r="AD250" i="17" s="1"/>
  <c r="AG234" i="17"/>
  <c r="AF234" i="17" s="1"/>
  <c r="AD234" i="17" s="1"/>
  <c r="AG218" i="17"/>
  <c r="AF218" i="17" s="1"/>
  <c r="AD218" i="17" s="1"/>
  <c r="AG202" i="17"/>
  <c r="AF202" i="17" s="1"/>
  <c r="AD202" i="17" s="1"/>
  <c r="AG186" i="17"/>
  <c r="AF186" i="17" s="1"/>
  <c r="AD186" i="17" s="1"/>
  <c r="AG170" i="17"/>
  <c r="AF170" i="17" s="1"/>
  <c r="AD170" i="17" s="1"/>
  <c r="AG154" i="17"/>
  <c r="AF154" i="17" s="1"/>
  <c r="AD154" i="17" s="1"/>
  <c r="AG138" i="17"/>
  <c r="AF138" i="17" s="1"/>
  <c r="AD138" i="17" s="1"/>
  <c r="AG115" i="17"/>
  <c r="AF115" i="17" s="1"/>
  <c r="AD115" i="17" s="1"/>
  <c r="AG83" i="17"/>
  <c r="AF83" i="17" s="1"/>
  <c r="AD83" i="17" s="1"/>
  <c r="AG51" i="17"/>
  <c r="AF51" i="17" s="1"/>
  <c r="AD51" i="17" s="1"/>
  <c r="AG95" i="17"/>
  <c r="AF95" i="17" s="1"/>
  <c r="AD95" i="17" s="1"/>
  <c r="AG240" i="17"/>
  <c r="AF240" i="17" s="1"/>
  <c r="AD240" i="17" s="1"/>
  <c r="AG348" i="17"/>
  <c r="AF348" i="17" s="1"/>
  <c r="AD348" i="17" s="1"/>
  <c r="AG312" i="17"/>
  <c r="AF312" i="17" s="1"/>
  <c r="AD312" i="17" s="1"/>
  <c r="AH15" i="17"/>
  <c r="AI382" i="17"/>
  <c r="AI383" i="17"/>
  <c r="AI381" i="17"/>
  <c r="J350" i="16"/>
  <c r="I350" i="16"/>
  <c r="AF381" i="16"/>
  <c r="AD15" i="16"/>
  <c r="AF382" i="16"/>
  <c r="AF383" i="16"/>
  <c r="I44" i="16"/>
  <c r="J44" i="16"/>
  <c r="I158" i="16"/>
  <c r="J158" i="16"/>
  <c r="I63" i="16"/>
  <c r="J63" i="16"/>
  <c r="J159" i="16"/>
  <c r="I159" i="16"/>
  <c r="I360" i="16"/>
  <c r="J360" i="16"/>
  <c r="I336" i="16"/>
  <c r="J336" i="16"/>
  <c r="I312" i="16"/>
  <c r="J312" i="16"/>
  <c r="J272" i="16"/>
  <c r="I272" i="16"/>
  <c r="J240" i="16"/>
  <c r="I240" i="16"/>
  <c r="I192" i="16"/>
  <c r="J192" i="16"/>
  <c r="J22" i="16"/>
  <c r="I22" i="16"/>
  <c r="I41" i="16"/>
  <c r="J41" i="16"/>
  <c r="J132" i="16"/>
  <c r="I132" i="16"/>
  <c r="I116" i="16"/>
  <c r="J116" i="16"/>
  <c r="J80" i="16"/>
  <c r="I80" i="16"/>
  <c r="J72" i="16"/>
  <c r="I72" i="16"/>
  <c r="J65" i="16"/>
  <c r="I65" i="16"/>
  <c r="I331" i="16"/>
  <c r="J331" i="16"/>
  <c r="J246" i="16"/>
  <c r="I246" i="16"/>
  <c r="I268" i="16"/>
  <c r="J268" i="16"/>
  <c r="J220" i="16"/>
  <c r="I220" i="16"/>
  <c r="I370" i="16"/>
  <c r="J370" i="16"/>
  <c r="I234" i="16"/>
  <c r="J234" i="16"/>
  <c r="I366" i="16"/>
  <c r="J366" i="16"/>
  <c r="J214" i="16"/>
  <c r="I214" i="16"/>
  <c r="I338" i="16"/>
  <c r="J338" i="16"/>
  <c r="I298" i="16"/>
  <c r="J298" i="16"/>
  <c r="I250" i="16"/>
  <c r="J250" i="16"/>
  <c r="J164" i="16"/>
  <c r="I164" i="16"/>
  <c r="I124" i="16"/>
  <c r="J124" i="16"/>
  <c r="J115" i="16"/>
  <c r="I115" i="16"/>
  <c r="J55" i="16"/>
  <c r="I55" i="16"/>
  <c r="I206" i="16"/>
  <c r="J206" i="16"/>
  <c r="J356" i="16"/>
  <c r="I356" i="16"/>
  <c r="I276" i="16"/>
  <c r="J276" i="16"/>
  <c r="I236" i="16"/>
  <c r="J236" i="16"/>
  <c r="I109" i="16"/>
  <c r="J109" i="16"/>
  <c r="I258" i="16"/>
  <c r="J258" i="16"/>
  <c r="I202" i="16"/>
  <c r="J202" i="16"/>
  <c r="I334" i="16"/>
  <c r="J334" i="16"/>
  <c r="I254" i="16"/>
  <c r="J254" i="16"/>
  <c r="J85" i="16"/>
  <c r="I85" i="16"/>
  <c r="I314" i="16"/>
  <c r="J314" i="16"/>
  <c r="I282" i="16"/>
  <c r="J282" i="16"/>
  <c r="I100" i="16"/>
  <c r="J100" i="16"/>
  <c r="J291" i="16"/>
  <c r="I291" i="16"/>
  <c r="H167" i="16"/>
  <c r="AA167" i="16"/>
  <c r="Z167" i="16" s="1"/>
  <c r="Y167" i="16" s="1"/>
  <c r="G167" i="16"/>
  <c r="BY167" i="6" s="1"/>
  <c r="G49" i="16"/>
  <c r="BY49" i="6" s="1"/>
  <c r="H49" i="16"/>
  <c r="AA49" i="16"/>
  <c r="Z49" i="16" s="1"/>
  <c r="Y49" i="16" s="1"/>
  <c r="AG200" i="17"/>
  <c r="AF200" i="17" s="1"/>
  <c r="AD200" i="17" s="1"/>
  <c r="AG296" i="17"/>
  <c r="AF296" i="17" s="1"/>
  <c r="AD296" i="17" s="1"/>
  <c r="AG344" i="17"/>
  <c r="AF344" i="17" s="1"/>
  <c r="AD344" i="17" s="1"/>
  <c r="AG160" i="17"/>
  <c r="AF160" i="17" s="1"/>
  <c r="AD160" i="17" s="1"/>
  <c r="AG288" i="17"/>
  <c r="AF288" i="17" s="1"/>
  <c r="AD288" i="17" s="1"/>
  <c r="AG372" i="17"/>
  <c r="AF372" i="17" s="1"/>
  <c r="AD372" i="17" s="1"/>
  <c r="AG280" i="17"/>
  <c r="AF280" i="17" s="1"/>
  <c r="AD280" i="17" s="1"/>
  <c r="R382" i="16"/>
  <c r="R383" i="16"/>
  <c r="R381" i="16"/>
  <c r="P15" i="16"/>
  <c r="S44" i="17"/>
  <c r="R44" i="17" s="1"/>
  <c r="P44" i="17" s="1"/>
  <c r="V44" i="17" s="1"/>
  <c r="S92" i="17"/>
  <c r="R92" i="17" s="1"/>
  <c r="P92" i="17" s="1"/>
  <c r="V92" i="17" s="1"/>
  <c r="S108" i="17"/>
  <c r="R108" i="17" s="1"/>
  <c r="P108" i="17" s="1"/>
  <c r="V108" i="17" s="1"/>
  <c r="S156" i="17"/>
  <c r="R156" i="17" s="1"/>
  <c r="P156" i="17" s="1"/>
  <c r="V156" i="17" s="1"/>
  <c r="S204" i="17"/>
  <c r="R204" i="17" s="1"/>
  <c r="P204" i="17" s="1"/>
  <c r="V204" i="17" s="1"/>
  <c r="S220" i="17"/>
  <c r="R220" i="17" s="1"/>
  <c r="P220" i="17" s="1"/>
  <c r="V220" i="17" s="1"/>
  <c r="S236" i="17"/>
  <c r="R236" i="17" s="1"/>
  <c r="P236" i="17" s="1"/>
  <c r="V236" i="17" s="1"/>
  <c r="S268" i="17"/>
  <c r="R268" i="17" s="1"/>
  <c r="P268" i="17" s="1"/>
  <c r="V268" i="17" s="1"/>
  <c r="S284" i="17"/>
  <c r="R284" i="17" s="1"/>
  <c r="P284" i="17" s="1"/>
  <c r="V284" i="17" s="1"/>
  <c r="S292" i="17"/>
  <c r="R292" i="17" s="1"/>
  <c r="P292" i="17" s="1"/>
  <c r="V292" i="17" s="1"/>
  <c r="S308" i="17"/>
  <c r="R308" i="17" s="1"/>
  <c r="P308" i="17" s="1"/>
  <c r="V308" i="17" s="1"/>
  <c r="S356" i="17"/>
  <c r="R356" i="17" s="1"/>
  <c r="P356" i="17" s="1"/>
  <c r="V356" i="17" s="1"/>
  <c r="S372" i="17"/>
  <c r="R372" i="17" s="1"/>
  <c r="P372" i="17" s="1"/>
  <c r="V372" i="17" s="1"/>
  <c r="S55" i="17"/>
  <c r="R55" i="17" s="1"/>
  <c r="P55" i="17" s="1"/>
  <c r="V55" i="17" s="1"/>
  <c r="S71" i="17"/>
  <c r="R71" i="17" s="1"/>
  <c r="P71" i="17" s="1"/>
  <c r="V71" i="17" s="1"/>
  <c r="S79" i="17"/>
  <c r="R79" i="17" s="1"/>
  <c r="P79" i="17" s="1"/>
  <c r="V79" i="17" s="1"/>
  <c r="S87" i="17"/>
  <c r="R87" i="17" s="1"/>
  <c r="P87" i="17" s="1"/>
  <c r="V87" i="17" s="1"/>
  <c r="S95" i="17"/>
  <c r="R95" i="17" s="1"/>
  <c r="P95" i="17" s="1"/>
  <c r="V95" i="17" s="1"/>
  <c r="S119" i="17"/>
  <c r="R119" i="17" s="1"/>
  <c r="P119" i="17" s="1"/>
  <c r="S135" i="17"/>
  <c r="R135" i="17" s="1"/>
  <c r="P135" i="17" s="1"/>
  <c r="V135" i="17" s="1"/>
  <c r="S183" i="17"/>
  <c r="R183" i="17" s="1"/>
  <c r="P183" i="17" s="1"/>
  <c r="V183" i="17" s="1"/>
  <c r="S231" i="17"/>
  <c r="R231" i="17" s="1"/>
  <c r="P231" i="17" s="1"/>
  <c r="V231" i="17" s="1"/>
  <c r="S295" i="17"/>
  <c r="R295" i="17" s="1"/>
  <c r="P295" i="17" s="1"/>
  <c r="V295" i="17" s="1"/>
  <c r="AG45" i="17"/>
  <c r="AF45" i="17" s="1"/>
  <c r="AD45" i="17" s="1"/>
  <c r="AG77" i="17"/>
  <c r="AF77" i="17" s="1"/>
  <c r="AD77" i="17" s="1"/>
  <c r="AG109" i="17"/>
  <c r="AF109" i="17" s="1"/>
  <c r="AD109" i="17" s="1"/>
  <c r="S26" i="17"/>
  <c r="R26" i="17" s="1"/>
  <c r="P26" i="17" s="1"/>
  <c r="V26" i="17" s="1"/>
  <c r="V210" i="17"/>
  <c r="D62" i="7"/>
  <c r="S29" i="17"/>
  <c r="R29" i="17" s="1"/>
  <c r="P29" i="17" s="1"/>
  <c r="S115" i="17"/>
  <c r="R115" i="17" s="1"/>
  <c r="P115" i="17" s="1"/>
  <c r="V115" i="17" s="1"/>
  <c r="S131" i="17"/>
  <c r="R131" i="17" s="1"/>
  <c r="P131" i="17" s="1"/>
  <c r="V131" i="17" s="1"/>
  <c r="S147" i="17"/>
  <c r="R147" i="17" s="1"/>
  <c r="P147" i="17" s="1"/>
  <c r="V147" i="17" s="1"/>
  <c r="S163" i="17"/>
  <c r="R163" i="17" s="1"/>
  <c r="P163" i="17" s="1"/>
  <c r="V163" i="17" s="1"/>
  <c r="S179" i="17"/>
  <c r="R179" i="17" s="1"/>
  <c r="P179" i="17" s="1"/>
  <c r="V179" i="17" s="1"/>
  <c r="S227" i="17"/>
  <c r="R227" i="17" s="1"/>
  <c r="P227" i="17" s="1"/>
  <c r="V227" i="17" s="1"/>
  <c r="S243" i="17"/>
  <c r="R243" i="17" s="1"/>
  <c r="P243" i="17" s="1"/>
  <c r="V243" i="17" s="1"/>
  <c r="S275" i="17"/>
  <c r="R275" i="17" s="1"/>
  <c r="P275" i="17" s="1"/>
  <c r="V275" i="17" s="1"/>
  <c r="S291" i="17"/>
  <c r="R291" i="17" s="1"/>
  <c r="P291" i="17" s="1"/>
  <c r="V291" i="17" s="1"/>
  <c r="S307" i="17"/>
  <c r="R307" i="17" s="1"/>
  <c r="P307" i="17" s="1"/>
  <c r="V307" i="17" s="1"/>
  <c r="S323" i="17"/>
  <c r="R323" i="17" s="1"/>
  <c r="P323" i="17" s="1"/>
  <c r="V323" i="17" s="1"/>
  <c r="AG21" i="17"/>
  <c r="AF21" i="17" s="1"/>
  <c r="AD21" i="17" s="1"/>
  <c r="AG53" i="17"/>
  <c r="AF53" i="17" s="1"/>
  <c r="AD53" i="17" s="1"/>
  <c r="AG85" i="17"/>
  <c r="AF85" i="17" s="1"/>
  <c r="AD85" i="17" s="1"/>
  <c r="AG117" i="17"/>
  <c r="AF117" i="17" s="1"/>
  <c r="AD117" i="17" s="1"/>
  <c r="AG135" i="17"/>
  <c r="AF135" i="17" s="1"/>
  <c r="AD135" i="17" s="1"/>
  <c r="AG143" i="17"/>
  <c r="AF143" i="17" s="1"/>
  <c r="AD143" i="17" s="1"/>
  <c r="AG151" i="17"/>
  <c r="AF151" i="17" s="1"/>
  <c r="AD151" i="17" s="1"/>
  <c r="AG159" i="17"/>
  <c r="AF159" i="17" s="1"/>
  <c r="AD159" i="17" s="1"/>
  <c r="AG167" i="17"/>
  <c r="AF167" i="17" s="1"/>
  <c r="AD167" i="17" s="1"/>
  <c r="AG175" i="17"/>
  <c r="AF175" i="17" s="1"/>
  <c r="AD175" i="17" s="1"/>
  <c r="AG183" i="17"/>
  <c r="AF183" i="17" s="1"/>
  <c r="AD183" i="17" s="1"/>
  <c r="AG191" i="17"/>
  <c r="AF191" i="17" s="1"/>
  <c r="AD191" i="17" s="1"/>
  <c r="AG199" i="17"/>
  <c r="AF199" i="17" s="1"/>
  <c r="AD199" i="17" s="1"/>
  <c r="AG207" i="17"/>
  <c r="AF207" i="17" s="1"/>
  <c r="AD207" i="17" s="1"/>
  <c r="AG215" i="17"/>
  <c r="AF215" i="17" s="1"/>
  <c r="AD215" i="17" s="1"/>
  <c r="AG223" i="17"/>
  <c r="AF223" i="17" s="1"/>
  <c r="AD223" i="17" s="1"/>
  <c r="AG231" i="17"/>
  <c r="AF231" i="17" s="1"/>
  <c r="AD231" i="17" s="1"/>
  <c r="AG239" i="17"/>
  <c r="AF239" i="17" s="1"/>
  <c r="AD239" i="17" s="1"/>
  <c r="AG247" i="17"/>
  <c r="AF247" i="17" s="1"/>
  <c r="AD247" i="17" s="1"/>
  <c r="AG255" i="17"/>
  <c r="AF255" i="17" s="1"/>
  <c r="AD255" i="17" s="1"/>
  <c r="AG263" i="17"/>
  <c r="AF263" i="17" s="1"/>
  <c r="AD263" i="17" s="1"/>
  <c r="AG271" i="17"/>
  <c r="AF271" i="17" s="1"/>
  <c r="AD271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G32" i="17"/>
  <c r="AF32" i="17" s="1"/>
  <c r="AD32" i="17" s="1"/>
  <c r="AG24" i="17"/>
  <c r="AF24" i="17" s="1"/>
  <c r="AD24" i="17" s="1"/>
  <c r="AG17" i="17"/>
  <c r="AF17" i="17" s="1"/>
  <c r="AD17" i="17" s="1"/>
  <c r="AG71" i="17"/>
  <c r="AF71" i="17" s="1"/>
  <c r="AD71" i="17" s="1"/>
  <c r="AG132" i="17"/>
  <c r="AF132" i="17" s="1"/>
  <c r="AD132" i="17" s="1"/>
  <c r="AG164" i="17"/>
  <c r="AF164" i="17" s="1"/>
  <c r="AD164" i="17" s="1"/>
  <c r="AG196" i="17"/>
  <c r="AF196" i="17" s="1"/>
  <c r="AD196" i="17" s="1"/>
  <c r="AG228" i="17"/>
  <c r="AF228" i="17" s="1"/>
  <c r="AD228" i="17" s="1"/>
  <c r="AG260" i="17"/>
  <c r="AF260" i="17" s="1"/>
  <c r="AD260" i="17" s="1"/>
  <c r="AG292" i="17"/>
  <c r="AF292" i="17" s="1"/>
  <c r="AD292" i="17" s="1"/>
  <c r="AG324" i="17"/>
  <c r="AF324" i="17" s="1"/>
  <c r="AD324" i="17" s="1"/>
  <c r="AG342" i="17"/>
  <c r="AF342" i="17" s="1"/>
  <c r="AD342" i="17" s="1"/>
  <c r="AG358" i="17"/>
  <c r="AF358" i="17" s="1"/>
  <c r="AD358" i="17" s="1"/>
  <c r="AG374" i="17"/>
  <c r="AF374" i="17" s="1"/>
  <c r="AD374" i="17" s="1"/>
  <c r="AG318" i="17"/>
  <c r="AF318" i="17" s="1"/>
  <c r="AD318" i="17" s="1"/>
  <c r="AG302" i="17"/>
  <c r="AF302" i="17" s="1"/>
  <c r="AD302" i="17" s="1"/>
  <c r="AG286" i="17"/>
  <c r="AF286" i="17" s="1"/>
  <c r="AD286" i="17" s="1"/>
  <c r="AG270" i="17"/>
  <c r="AF270" i="17" s="1"/>
  <c r="AD270" i="17" s="1"/>
  <c r="AG254" i="17"/>
  <c r="AF254" i="17" s="1"/>
  <c r="AD254" i="17" s="1"/>
  <c r="AG238" i="17"/>
  <c r="AF238" i="17" s="1"/>
  <c r="AD238" i="17" s="1"/>
  <c r="AG222" i="17"/>
  <c r="AF222" i="17" s="1"/>
  <c r="AD222" i="17" s="1"/>
  <c r="AG206" i="17"/>
  <c r="AF206" i="17" s="1"/>
  <c r="AD206" i="17" s="1"/>
  <c r="AG190" i="17"/>
  <c r="AF190" i="17" s="1"/>
  <c r="AD190" i="17" s="1"/>
  <c r="AG174" i="17"/>
  <c r="AF174" i="17" s="1"/>
  <c r="AD174" i="17" s="1"/>
  <c r="AG158" i="17"/>
  <c r="AF158" i="17" s="1"/>
  <c r="AD158" i="17" s="1"/>
  <c r="AG142" i="17"/>
  <c r="AF142" i="17" s="1"/>
  <c r="AD142" i="17" s="1"/>
  <c r="AG123" i="17"/>
  <c r="AF123" i="17" s="1"/>
  <c r="AD123" i="17" s="1"/>
  <c r="AG91" i="17"/>
  <c r="AF91" i="17" s="1"/>
  <c r="AD91" i="17" s="1"/>
  <c r="AG59" i="17"/>
  <c r="AF59" i="17" s="1"/>
  <c r="AD59" i="17" s="1"/>
  <c r="AG144" i="17"/>
  <c r="AF144" i="17" s="1"/>
  <c r="AD144" i="17" s="1"/>
  <c r="AG272" i="17"/>
  <c r="AF272" i="17" s="1"/>
  <c r="AD272" i="17" s="1"/>
  <c r="AG364" i="17"/>
  <c r="AF364" i="17" s="1"/>
  <c r="AD364" i="17" s="1"/>
  <c r="AG248" i="17"/>
  <c r="AF248" i="17" s="1"/>
  <c r="AD248" i="17" s="1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3" i="17"/>
  <c r="AF133" i="17" s="1"/>
  <c r="AD133" i="17" s="1"/>
  <c r="AG141" i="17"/>
  <c r="AF141" i="17" s="1"/>
  <c r="AD141" i="17" s="1"/>
  <c r="AG149" i="17"/>
  <c r="AF149" i="17" s="1"/>
  <c r="AD149" i="17" s="1"/>
  <c r="AG157" i="17"/>
  <c r="AF157" i="17" s="1"/>
  <c r="AD157" i="17" s="1"/>
  <c r="AG165" i="17"/>
  <c r="AF165" i="17" s="1"/>
  <c r="AD165" i="17" s="1"/>
  <c r="AG173" i="17"/>
  <c r="AF173" i="17" s="1"/>
  <c r="AD173" i="17" s="1"/>
  <c r="AG181" i="17"/>
  <c r="AF181" i="17" s="1"/>
  <c r="AD181" i="17" s="1"/>
  <c r="AG189" i="17"/>
  <c r="AF189" i="17" s="1"/>
  <c r="AD189" i="17" s="1"/>
  <c r="AG197" i="17"/>
  <c r="AF197" i="17" s="1"/>
  <c r="AD197" i="17" s="1"/>
  <c r="AG205" i="17"/>
  <c r="AF205" i="17" s="1"/>
  <c r="AD205" i="17" s="1"/>
  <c r="AG213" i="17"/>
  <c r="AF213" i="17" s="1"/>
  <c r="AD213" i="17" s="1"/>
  <c r="AG221" i="17"/>
  <c r="AF221" i="17" s="1"/>
  <c r="AD221" i="17" s="1"/>
  <c r="AG229" i="17"/>
  <c r="AF229" i="17" s="1"/>
  <c r="AD229" i="17" s="1"/>
  <c r="AG237" i="17"/>
  <c r="AF237" i="17" s="1"/>
  <c r="AD237" i="17" s="1"/>
  <c r="AG245" i="17"/>
  <c r="AF245" i="17" s="1"/>
  <c r="AD245" i="17" s="1"/>
  <c r="AG253" i="17"/>
  <c r="AF253" i="17" s="1"/>
  <c r="AD253" i="17" s="1"/>
  <c r="AG261" i="17"/>
  <c r="AF261" i="17" s="1"/>
  <c r="AD261" i="17" s="1"/>
  <c r="AG269" i="17"/>
  <c r="AF269" i="17" s="1"/>
  <c r="AD269" i="17" s="1"/>
  <c r="AG277" i="17"/>
  <c r="AF277" i="17" s="1"/>
  <c r="AD277" i="17" s="1"/>
  <c r="AG285" i="17"/>
  <c r="AF285" i="17" s="1"/>
  <c r="AD285" i="17" s="1"/>
  <c r="AG293" i="17"/>
  <c r="AF293" i="17" s="1"/>
  <c r="AD293" i="17" s="1"/>
  <c r="AG301" i="17"/>
  <c r="AF301" i="17" s="1"/>
  <c r="AD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55" i="17"/>
  <c r="AF55" i="17" s="1"/>
  <c r="AD55" i="17" s="1"/>
  <c r="AG119" i="17"/>
  <c r="AF119" i="17" s="1"/>
  <c r="AD119" i="17" s="1"/>
  <c r="AG156" i="17"/>
  <c r="AF156" i="17" s="1"/>
  <c r="AD156" i="17" s="1"/>
  <c r="AG188" i="17"/>
  <c r="AF188" i="17" s="1"/>
  <c r="AD188" i="17" s="1"/>
  <c r="AG220" i="17"/>
  <c r="AF220" i="17" s="1"/>
  <c r="AD220" i="17" s="1"/>
  <c r="AG252" i="17"/>
  <c r="AF252" i="17" s="1"/>
  <c r="AD252" i="17" s="1"/>
  <c r="AG284" i="17"/>
  <c r="AF284" i="17" s="1"/>
  <c r="AD284" i="17" s="1"/>
  <c r="AG316" i="17"/>
  <c r="AF316" i="17" s="1"/>
  <c r="AD316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22" i="17"/>
  <c r="AF322" i="17" s="1"/>
  <c r="AD322" i="17" s="1"/>
  <c r="AG306" i="17"/>
  <c r="AF306" i="17" s="1"/>
  <c r="AD306" i="17" s="1"/>
  <c r="AG290" i="17"/>
  <c r="AF290" i="17" s="1"/>
  <c r="AD290" i="17" s="1"/>
  <c r="AG274" i="17"/>
  <c r="AF274" i="17" s="1"/>
  <c r="AD274" i="17" s="1"/>
  <c r="AG258" i="17"/>
  <c r="AF258" i="17" s="1"/>
  <c r="AD258" i="17" s="1"/>
  <c r="AG242" i="17"/>
  <c r="AF242" i="17" s="1"/>
  <c r="AD242" i="17" s="1"/>
  <c r="AG226" i="17"/>
  <c r="AF226" i="17" s="1"/>
  <c r="AD226" i="17" s="1"/>
  <c r="AG210" i="17"/>
  <c r="AF210" i="17" s="1"/>
  <c r="AD210" i="17" s="1"/>
  <c r="AG194" i="17"/>
  <c r="AF194" i="17" s="1"/>
  <c r="AD194" i="17" s="1"/>
  <c r="AG178" i="17"/>
  <c r="AF178" i="17" s="1"/>
  <c r="AD178" i="17" s="1"/>
  <c r="AG162" i="17"/>
  <c r="AF162" i="17" s="1"/>
  <c r="AD162" i="17" s="1"/>
  <c r="AG146" i="17"/>
  <c r="AF146" i="17" s="1"/>
  <c r="AD146" i="17" s="1"/>
  <c r="AG130" i="17"/>
  <c r="AF130" i="17" s="1"/>
  <c r="AD130" i="17" s="1"/>
  <c r="AG99" i="17"/>
  <c r="AF99" i="17" s="1"/>
  <c r="AD99" i="17" s="1"/>
  <c r="AG67" i="17"/>
  <c r="AF67" i="17" s="1"/>
  <c r="AD67" i="17" s="1"/>
  <c r="AG27" i="17"/>
  <c r="AF27" i="17" s="1"/>
  <c r="AD27" i="17" s="1"/>
  <c r="AG176" i="17"/>
  <c r="AF176" i="17" s="1"/>
  <c r="AD176" i="17" s="1"/>
  <c r="AG304" i="17"/>
  <c r="AF304" i="17" s="1"/>
  <c r="AD304" i="17" s="1"/>
  <c r="AG184" i="17"/>
  <c r="AF184" i="17" s="1"/>
  <c r="AD184" i="17" s="1"/>
  <c r="AG35" i="17"/>
  <c r="AF35" i="17" s="1"/>
  <c r="AD35" i="17" s="1"/>
  <c r="AG31" i="17"/>
  <c r="AF31" i="17" s="1"/>
  <c r="AD31" i="17" s="1"/>
  <c r="J171" i="16"/>
  <c r="I171" i="16"/>
  <c r="J20" i="16"/>
  <c r="I20" i="16"/>
  <c r="J64" i="16"/>
  <c r="I64" i="16"/>
  <c r="J174" i="16"/>
  <c r="I174" i="16"/>
  <c r="I142" i="16"/>
  <c r="J142" i="16"/>
  <c r="J209" i="16"/>
  <c r="I209" i="16"/>
  <c r="I329" i="16"/>
  <c r="J329" i="16"/>
  <c r="I319" i="16"/>
  <c r="J319" i="16"/>
  <c r="I352" i="16"/>
  <c r="J352" i="16"/>
  <c r="J344" i="16"/>
  <c r="I344" i="16"/>
  <c r="I320" i="16"/>
  <c r="J320" i="16"/>
  <c r="J280" i="16"/>
  <c r="I280" i="16"/>
  <c r="J256" i="16"/>
  <c r="I256" i="16"/>
  <c r="I248" i="16"/>
  <c r="J248" i="16"/>
  <c r="I232" i="16"/>
  <c r="J232" i="16"/>
  <c r="I216" i="16"/>
  <c r="J216" i="16"/>
  <c r="I148" i="16"/>
  <c r="J148" i="16"/>
  <c r="J107" i="16"/>
  <c r="I107" i="16"/>
  <c r="J295" i="16"/>
  <c r="I295" i="16"/>
  <c r="J23" i="16"/>
  <c r="I23" i="16"/>
  <c r="I76" i="16"/>
  <c r="J76" i="16"/>
  <c r="J343" i="16"/>
  <c r="I343" i="16"/>
  <c r="I156" i="16"/>
  <c r="J156" i="16"/>
  <c r="J99" i="16"/>
  <c r="I99" i="16"/>
  <c r="I166" i="16"/>
  <c r="J166" i="16"/>
  <c r="I150" i="16"/>
  <c r="J150" i="16"/>
  <c r="J86" i="16"/>
  <c r="I86" i="16"/>
  <c r="J190" i="16"/>
  <c r="I190" i="16"/>
  <c r="I351" i="16"/>
  <c r="J351" i="16"/>
  <c r="I68" i="16"/>
  <c r="J68" i="16"/>
  <c r="J327" i="16"/>
  <c r="I327" i="16"/>
  <c r="I348" i="16"/>
  <c r="J348" i="16"/>
  <c r="J332" i="16"/>
  <c r="I332" i="16"/>
  <c r="I292" i="16"/>
  <c r="J292" i="16"/>
  <c r="J244" i="16"/>
  <c r="I244" i="16"/>
  <c r="I196" i="16"/>
  <c r="J196" i="16"/>
  <c r="I330" i="16"/>
  <c r="J330" i="16"/>
  <c r="I186" i="16"/>
  <c r="J186" i="16"/>
  <c r="I286" i="16"/>
  <c r="J286" i="16"/>
  <c r="I323" i="16"/>
  <c r="J323" i="16"/>
  <c r="I194" i="16"/>
  <c r="J194" i="16"/>
  <c r="J183" i="16"/>
  <c r="I183" i="16"/>
  <c r="I270" i="16"/>
  <c r="J270" i="16"/>
  <c r="J340" i="16"/>
  <c r="I340" i="16"/>
  <c r="I324" i="16"/>
  <c r="J324" i="16"/>
  <c r="I252" i="16"/>
  <c r="J252" i="16"/>
  <c r="I204" i="16"/>
  <c r="J204" i="16"/>
  <c r="J346" i="16"/>
  <c r="I346" i="16"/>
  <c r="J306" i="16"/>
  <c r="I306" i="16"/>
  <c r="J354" i="16"/>
  <c r="I354" i="16"/>
  <c r="J218" i="16"/>
  <c r="I218" i="16"/>
  <c r="J26" i="16"/>
  <c r="I26" i="16"/>
  <c r="I144" i="16"/>
  <c r="J144" i="16"/>
  <c r="J39" i="16"/>
  <c r="I39" i="16"/>
  <c r="J191" i="16"/>
  <c r="I191" i="16"/>
  <c r="AM5" i="16"/>
  <c r="I379" i="16"/>
  <c r="J379" i="16"/>
  <c r="F11" i="19"/>
  <c r="Y382" i="1"/>
  <c r="AM6" i="1"/>
  <c r="AM12" i="1" s="1"/>
  <c r="Y381" i="1"/>
  <c r="X9" i="1"/>
  <c r="Y383" i="1"/>
  <c r="AL6" i="1"/>
  <c r="AL12" i="1" s="1"/>
  <c r="V379" i="17"/>
  <c r="Z382" i="15"/>
  <c r="Y15" i="15"/>
  <c r="AL5" i="15" s="1"/>
  <c r="AL11" i="15" s="1"/>
  <c r="AJ3" i="15" s="1"/>
  <c r="O12" i="19" s="1"/>
  <c r="Z381" i="15"/>
  <c r="Z9" i="15"/>
  <c r="AL8" i="15"/>
  <c r="Z383" i="15"/>
  <c r="AE382" i="18"/>
  <c r="AE383" i="18"/>
  <c r="AE381" i="18"/>
  <c r="K7" i="7"/>
  <c r="B7" i="6"/>
  <c r="Q381" i="18"/>
  <c r="Q382" i="18"/>
  <c r="Q383" i="18"/>
  <c r="AK3" i="25"/>
  <c r="Q20" i="19" s="1"/>
  <c r="E12" i="19" l="1"/>
  <c r="Q10" i="20"/>
  <c r="AE323" i="20" s="1"/>
  <c r="AE11" i="20"/>
  <c r="U10" i="18"/>
  <c r="U149" i="18" s="1"/>
  <c r="T149" i="18" s="1"/>
  <c r="S149" i="18" s="1"/>
  <c r="R149" i="18" s="1"/>
  <c r="P149" i="18" s="1"/>
  <c r="I64" i="19"/>
  <c r="D56" i="7"/>
  <c r="V29" i="17"/>
  <c r="F64" i="19"/>
  <c r="C64" i="19"/>
  <c r="J64" i="19"/>
  <c r="G64" i="19"/>
  <c r="D58" i="7"/>
  <c r="V88" i="17"/>
  <c r="L64" i="19"/>
  <c r="K64" i="19"/>
  <c r="D59" i="7"/>
  <c r="V119" i="17"/>
  <c r="E64" i="19" s="1"/>
  <c r="H64" i="19"/>
  <c r="J49" i="16"/>
  <c r="I49" i="16"/>
  <c r="I167" i="16"/>
  <c r="J167" i="16"/>
  <c r="AH383" i="17"/>
  <c r="AG15" i="17"/>
  <c r="AH382" i="17"/>
  <c r="AH381" i="17"/>
  <c r="AG379" i="17"/>
  <c r="AF379" i="17" s="1"/>
  <c r="AD379" i="17" s="1"/>
  <c r="D67" i="7"/>
  <c r="V363" i="17"/>
  <c r="J263" i="16"/>
  <c r="I263" i="16"/>
  <c r="V15" i="16"/>
  <c r="P382" i="16"/>
  <c r="F15" i="16"/>
  <c r="P381" i="16"/>
  <c r="P383" i="16"/>
  <c r="AD383" i="16"/>
  <c r="AD381" i="16"/>
  <c r="AD382" i="16"/>
  <c r="U21" i="18"/>
  <c r="T21" i="18" s="1"/>
  <c r="U379" i="18"/>
  <c r="AA16" i="7"/>
  <c r="U25" i="18"/>
  <c r="T25" i="18" s="1"/>
  <c r="U281" i="18"/>
  <c r="T281" i="18" s="1"/>
  <c r="S281" i="18" s="1"/>
  <c r="R281" i="18" s="1"/>
  <c r="P281" i="18" s="1"/>
  <c r="V281" i="18" s="1"/>
  <c r="T382" i="17"/>
  <c r="S15" i="17"/>
  <c r="T381" i="17"/>
  <c r="T383" i="17"/>
  <c r="J290" i="16"/>
  <c r="I290" i="16"/>
  <c r="AE357" i="20"/>
  <c r="Q319" i="20"/>
  <c r="AE207" i="20"/>
  <c r="AE246" i="20"/>
  <c r="Q307" i="20"/>
  <c r="Q262" i="20"/>
  <c r="Q333" i="20"/>
  <c r="AE29" i="20"/>
  <c r="AE61" i="20"/>
  <c r="AE91" i="20"/>
  <c r="AE111" i="20"/>
  <c r="Q130" i="20"/>
  <c r="Q98" i="20"/>
  <c r="Q133" i="20"/>
  <c r="Q149" i="20"/>
  <c r="Q165" i="20"/>
  <c r="Q181" i="20"/>
  <c r="Q197" i="20"/>
  <c r="Q213" i="20"/>
  <c r="Q229" i="20"/>
  <c r="Q245" i="20"/>
  <c r="Q261" i="20"/>
  <c r="AE88" i="20"/>
  <c r="AE72" i="20"/>
  <c r="AE56" i="20"/>
  <c r="AE40" i="20"/>
  <c r="AE24" i="20"/>
  <c r="Q372" i="20"/>
  <c r="Q356" i="20"/>
  <c r="Q340" i="20"/>
  <c r="Q324" i="20"/>
  <c r="Q308" i="20"/>
  <c r="Q292" i="20"/>
  <c r="Q276" i="20"/>
  <c r="Q244" i="20"/>
  <c r="Q212" i="20"/>
  <c r="Q180" i="20"/>
  <c r="Q148" i="20"/>
  <c r="Q94" i="20"/>
  <c r="Q108" i="20"/>
  <c r="Q91" i="20"/>
  <c r="Q58" i="20"/>
  <c r="Q26" i="20"/>
  <c r="Q123" i="20"/>
  <c r="Q115" i="20"/>
  <c r="Q107" i="20"/>
  <c r="Q99" i="20"/>
  <c r="Q88" i="20"/>
  <c r="Q72" i="20"/>
  <c r="Q56" i="20"/>
  <c r="Q40" i="20"/>
  <c r="Q24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Q87" i="20"/>
  <c r="Q79" i="20"/>
  <c r="Q71" i="20"/>
  <c r="Q63" i="20"/>
  <c r="Q55" i="20"/>
  <c r="Q47" i="20"/>
  <c r="Q39" i="20"/>
  <c r="Q31" i="20"/>
  <c r="Q23" i="20"/>
  <c r="Z11" i="1"/>
  <c r="Z5" i="1" s="1"/>
  <c r="H11" i="19" s="1"/>
  <c r="H35" i="19" s="1"/>
  <c r="X9" i="15"/>
  <c r="Y11" i="15" s="1"/>
  <c r="Y382" i="15"/>
  <c r="Y381" i="15"/>
  <c r="AL6" i="15"/>
  <c r="AL12" i="15" s="1"/>
  <c r="Y383" i="15"/>
  <c r="AM6" i="15"/>
  <c r="AM12" i="15" s="1"/>
  <c r="AI11" i="18" l="1"/>
  <c r="AI15" i="7"/>
  <c r="Q19" i="20"/>
  <c r="Q27" i="20"/>
  <c r="Q35" i="20"/>
  <c r="Q43" i="20"/>
  <c r="Q51" i="20"/>
  <c r="Q59" i="20"/>
  <c r="Q67" i="20"/>
  <c r="Q75" i="20"/>
  <c r="Q83" i="20"/>
  <c r="Q92" i="20"/>
  <c r="Q16" i="20"/>
  <c r="Q32" i="20"/>
  <c r="Q48" i="20"/>
  <c r="Q64" i="20"/>
  <c r="Q80" i="20"/>
  <c r="Q95" i="20"/>
  <c r="Q103" i="20"/>
  <c r="Q111" i="20"/>
  <c r="Q119" i="20"/>
  <c r="Q127" i="20"/>
  <c r="Q42" i="20"/>
  <c r="Q74" i="20"/>
  <c r="Q100" i="20"/>
  <c r="Q380" i="20"/>
  <c r="Q132" i="20"/>
  <c r="Q164" i="20"/>
  <c r="Q196" i="20"/>
  <c r="Q228" i="20"/>
  <c r="Q260" i="20"/>
  <c r="Q284" i="20"/>
  <c r="Q300" i="20"/>
  <c r="Q316" i="20"/>
  <c r="Q332" i="20"/>
  <c r="Q348" i="20"/>
  <c r="Q364" i="20"/>
  <c r="AE19" i="20"/>
  <c r="AE32" i="20"/>
  <c r="AE48" i="20"/>
  <c r="AE64" i="20"/>
  <c r="AE80" i="20"/>
  <c r="Q269" i="20"/>
  <c r="Q253" i="20"/>
  <c r="Q237" i="20"/>
  <c r="Q221" i="20"/>
  <c r="Q205" i="20"/>
  <c r="Q189" i="20"/>
  <c r="Q173" i="20"/>
  <c r="Q157" i="20"/>
  <c r="Q141" i="20"/>
  <c r="Q122" i="20"/>
  <c r="Q38" i="20"/>
  <c r="Q194" i="20"/>
  <c r="AE99" i="20"/>
  <c r="AE77" i="20"/>
  <c r="AE45" i="20"/>
  <c r="Q365" i="20"/>
  <c r="Q301" i="20"/>
  <c r="Q190" i="20"/>
  <c r="AE148" i="20"/>
  <c r="AE310" i="20"/>
  <c r="AE83" i="20"/>
  <c r="Q363" i="20"/>
  <c r="U153" i="18"/>
  <c r="T153" i="18" s="1"/>
  <c r="S153" i="18" s="1"/>
  <c r="R153" i="18" s="1"/>
  <c r="P153" i="18" s="1"/>
  <c r="V153" i="18" s="1"/>
  <c r="U277" i="18"/>
  <c r="T277" i="18" s="1"/>
  <c r="S277" i="18" s="1"/>
  <c r="R277" i="18" s="1"/>
  <c r="P277" i="18" s="1"/>
  <c r="V277" i="18" s="1"/>
  <c r="F12" i="19"/>
  <c r="U29" i="18"/>
  <c r="T29" i="18" s="1"/>
  <c r="S29" i="18" s="1"/>
  <c r="R29" i="18" s="1"/>
  <c r="P29" i="18" s="1"/>
  <c r="V29" i="18" s="1"/>
  <c r="U37" i="18"/>
  <c r="T37" i="18" s="1"/>
  <c r="S37" i="18" s="1"/>
  <c r="R37" i="18" s="1"/>
  <c r="P37" i="18" s="1"/>
  <c r="V37" i="18" s="1"/>
  <c r="U69" i="18"/>
  <c r="T69" i="18" s="1"/>
  <c r="U101" i="18"/>
  <c r="T101" i="18" s="1"/>
  <c r="S101" i="18" s="1"/>
  <c r="R101" i="18" s="1"/>
  <c r="P101" i="18" s="1"/>
  <c r="V101" i="18" s="1"/>
  <c r="U133" i="18"/>
  <c r="T133" i="18" s="1"/>
  <c r="S133" i="18" s="1"/>
  <c r="R133" i="18" s="1"/>
  <c r="P133" i="18" s="1"/>
  <c r="V133" i="18" s="1"/>
  <c r="U165" i="18"/>
  <c r="T165" i="18" s="1"/>
  <c r="S165" i="18" s="1"/>
  <c r="R165" i="18" s="1"/>
  <c r="P165" i="18" s="1"/>
  <c r="V165" i="18" s="1"/>
  <c r="U197" i="18"/>
  <c r="T197" i="18" s="1"/>
  <c r="S197" i="18" s="1"/>
  <c r="R197" i="18" s="1"/>
  <c r="P197" i="18" s="1"/>
  <c r="V197" i="18" s="1"/>
  <c r="U229" i="18"/>
  <c r="T229" i="18" s="1"/>
  <c r="S229" i="18" s="1"/>
  <c r="R229" i="18" s="1"/>
  <c r="P229" i="18" s="1"/>
  <c r="V229" i="18" s="1"/>
  <c r="U261" i="18"/>
  <c r="T261" i="18" s="1"/>
  <c r="S261" i="18" s="1"/>
  <c r="R261" i="18" s="1"/>
  <c r="P261" i="18" s="1"/>
  <c r="V261" i="18" s="1"/>
  <c r="U293" i="18"/>
  <c r="T293" i="18" s="1"/>
  <c r="S293" i="18" s="1"/>
  <c r="R293" i="18" s="1"/>
  <c r="P293" i="18" s="1"/>
  <c r="V293" i="18" s="1"/>
  <c r="U325" i="18"/>
  <c r="T325" i="18" s="1"/>
  <c r="S325" i="18" s="1"/>
  <c r="R325" i="18" s="1"/>
  <c r="P325" i="18" s="1"/>
  <c r="V325" i="18" s="1"/>
  <c r="U355" i="18"/>
  <c r="T355" i="18" s="1"/>
  <c r="S355" i="18" s="1"/>
  <c r="R355" i="18" s="1"/>
  <c r="P355" i="18" s="1"/>
  <c r="V355" i="18" s="1"/>
  <c r="U371" i="18"/>
  <c r="T371" i="18" s="1"/>
  <c r="S371" i="18" s="1"/>
  <c r="R371" i="18" s="1"/>
  <c r="P371" i="18" s="1"/>
  <c r="V371" i="18" s="1"/>
  <c r="U41" i="18"/>
  <c r="T41" i="18" s="1"/>
  <c r="S41" i="18" s="1"/>
  <c r="R41" i="18" s="1"/>
  <c r="P41" i="18" s="1"/>
  <c r="V41" i="18" s="1"/>
  <c r="U73" i="18"/>
  <c r="T73" i="18" s="1"/>
  <c r="U105" i="18"/>
  <c r="T105" i="18" s="1"/>
  <c r="S105" i="18" s="1"/>
  <c r="R105" i="18" s="1"/>
  <c r="P105" i="18" s="1"/>
  <c r="V105" i="18" s="1"/>
  <c r="U137" i="18"/>
  <c r="T137" i="18" s="1"/>
  <c r="S137" i="18" s="1"/>
  <c r="R137" i="18" s="1"/>
  <c r="P137" i="18" s="1"/>
  <c r="V137" i="18" s="1"/>
  <c r="U169" i="18"/>
  <c r="T169" i="18" s="1"/>
  <c r="S169" i="18" s="1"/>
  <c r="R169" i="18" s="1"/>
  <c r="P169" i="18" s="1"/>
  <c r="V169" i="18" s="1"/>
  <c r="U201" i="18"/>
  <c r="T201" i="18" s="1"/>
  <c r="S201" i="18" s="1"/>
  <c r="R201" i="18" s="1"/>
  <c r="P201" i="18" s="1"/>
  <c r="V201" i="18" s="1"/>
  <c r="U233" i="18"/>
  <c r="T233" i="18" s="1"/>
  <c r="S233" i="18" s="1"/>
  <c r="R233" i="18" s="1"/>
  <c r="P233" i="18" s="1"/>
  <c r="V233" i="18" s="1"/>
  <c r="U265" i="18"/>
  <c r="T265" i="18" s="1"/>
  <c r="S265" i="18" s="1"/>
  <c r="R265" i="18" s="1"/>
  <c r="P265" i="18" s="1"/>
  <c r="V265" i="18" s="1"/>
  <c r="U297" i="18"/>
  <c r="T297" i="18" s="1"/>
  <c r="S297" i="18" s="1"/>
  <c r="R297" i="18" s="1"/>
  <c r="P297" i="18" s="1"/>
  <c r="V297" i="18" s="1"/>
  <c r="U329" i="18"/>
  <c r="T329" i="18" s="1"/>
  <c r="U357" i="18"/>
  <c r="T357" i="18" s="1"/>
  <c r="S357" i="18" s="1"/>
  <c r="R357" i="18" s="1"/>
  <c r="P357" i="18" s="1"/>
  <c r="V357" i="18" s="1"/>
  <c r="U373" i="18"/>
  <c r="T373" i="18" s="1"/>
  <c r="S373" i="18" s="1"/>
  <c r="R373" i="18" s="1"/>
  <c r="P373" i="18" s="1"/>
  <c r="V373" i="18" s="1"/>
  <c r="U53" i="18"/>
  <c r="T53" i="18" s="1"/>
  <c r="S53" i="18" s="1"/>
  <c r="R53" i="18" s="1"/>
  <c r="P53" i="18" s="1"/>
  <c r="V53" i="18" s="1"/>
  <c r="U117" i="18"/>
  <c r="T117" i="18" s="1"/>
  <c r="S117" i="18" s="1"/>
  <c r="R117" i="18" s="1"/>
  <c r="P117" i="18" s="1"/>
  <c r="V117" i="18" s="1"/>
  <c r="U181" i="18"/>
  <c r="T181" i="18" s="1"/>
  <c r="S181" i="18" s="1"/>
  <c r="R181" i="18" s="1"/>
  <c r="P181" i="18" s="1"/>
  <c r="V181" i="18" s="1"/>
  <c r="U245" i="18"/>
  <c r="T245" i="18" s="1"/>
  <c r="S245" i="18" s="1"/>
  <c r="R245" i="18" s="1"/>
  <c r="P245" i="18" s="1"/>
  <c r="V245" i="18" s="1"/>
  <c r="U309" i="18"/>
  <c r="T309" i="18" s="1"/>
  <c r="S309" i="18" s="1"/>
  <c r="R309" i="18" s="1"/>
  <c r="P309" i="18" s="1"/>
  <c r="V309" i="18" s="1"/>
  <c r="U363" i="18"/>
  <c r="T363" i="18" s="1"/>
  <c r="S363" i="18" s="1"/>
  <c r="R363" i="18" s="1"/>
  <c r="P363" i="18" s="1"/>
  <c r="V363" i="18" s="1"/>
  <c r="U57" i="18"/>
  <c r="T57" i="18" s="1"/>
  <c r="S57" i="18" s="1"/>
  <c r="R57" i="18" s="1"/>
  <c r="P57" i="18" s="1"/>
  <c r="V57" i="18" s="1"/>
  <c r="U121" i="18"/>
  <c r="T121" i="18" s="1"/>
  <c r="S121" i="18" s="1"/>
  <c r="R121" i="18" s="1"/>
  <c r="P121" i="18" s="1"/>
  <c r="V121" i="18" s="1"/>
  <c r="U185" i="18"/>
  <c r="T185" i="18" s="1"/>
  <c r="S185" i="18" s="1"/>
  <c r="R185" i="18" s="1"/>
  <c r="P185" i="18" s="1"/>
  <c r="V185" i="18" s="1"/>
  <c r="U249" i="18"/>
  <c r="T249" i="18" s="1"/>
  <c r="U313" i="18"/>
  <c r="T313" i="18" s="1"/>
  <c r="U365" i="18"/>
  <c r="T365" i="18" s="1"/>
  <c r="S365" i="18" s="1"/>
  <c r="R365" i="18" s="1"/>
  <c r="P365" i="18" s="1"/>
  <c r="V365" i="18" s="1"/>
  <c r="AE343" i="20"/>
  <c r="AE134" i="20"/>
  <c r="AE247" i="20"/>
  <c r="AE251" i="20"/>
  <c r="AE47" i="20"/>
  <c r="Q226" i="20"/>
  <c r="AE325" i="20"/>
  <c r="AE261" i="20"/>
  <c r="AE178" i="20"/>
  <c r="AE63" i="20"/>
  <c r="Q299" i="20"/>
  <c r="Q186" i="20"/>
  <c r="Q266" i="20"/>
  <c r="Q303" i="20"/>
  <c r="Q335" i="20"/>
  <c r="Q367" i="20"/>
  <c r="AE35" i="20"/>
  <c r="AE67" i="20"/>
  <c r="AE94" i="20"/>
  <c r="AE127" i="20"/>
  <c r="AE159" i="20"/>
  <c r="AE191" i="20"/>
  <c r="AE372" i="20"/>
  <c r="AE350" i="20"/>
  <c r="AE334" i="20"/>
  <c r="AE318" i="20"/>
  <c r="AE302" i="20"/>
  <c r="AE286" i="20"/>
  <c r="AE270" i="20"/>
  <c r="AE254" i="20"/>
  <c r="AE238" i="20"/>
  <c r="AE222" i="20"/>
  <c r="AE196" i="20"/>
  <c r="AE164" i="20"/>
  <c r="AE132" i="20"/>
  <c r="AE96" i="20"/>
  <c r="AE39" i="20"/>
  <c r="Q339" i="20"/>
  <c r="Q274" i="20"/>
  <c r="Q46" i="20"/>
  <c r="Q142" i="20"/>
  <c r="Q174" i="20"/>
  <c r="Q206" i="20"/>
  <c r="Q222" i="20"/>
  <c r="Q238" i="20"/>
  <c r="Q254" i="20"/>
  <c r="Q270" i="20"/>
  <c r="Q281" i="20"/>
  <c r="Q289" i="20"/>
  <c r="Q297" i="20"/>
  <c r="Q305" i="20"/>
  <c r="Q313" i="20"/>
  <c r="Q321" i="20"/>
  <c r="Q329" i="20"/>
  <c r="Q337" i="20"/>
  <c r="Q345" i="20"/>
  <c r="Q353" i="20"/>
  <c r="Q361" i="20"/>
  <c r="Q369" i="20"/>
  <c r="Q377" i="20"/>
  <c r="AE21" i="20"/>
  <c r="AE255" i="20"/>
  <c r="AE351" i="20"/>
  <c r="AE15" i="20"/>
  <c r="Q379" i="20"/>
  <c r="Q12" i="22" s="1"/>
  <c r="AE293" i="20"/>
  <c r="AE108" i="20"/>
  <c r="Q116" i="20"/>
  <c r="Q287" i="20"/>
  <c r="Q351" i="20"/>
  <c r="AE51" i="20"/>
  <c r="AE102" i="20"/>
  <c r="AE175" i="20"/>
  <c r="AE358" i="20"/>
  <c r="AE326" i="20"/>
  <c r="AE294" i="20"/>
  <c r="AE262" i="20"/>
  <c r="AE230" i="20"/>
  <c r="AE180" i="20"/>
  <c r="AE112" i="20"/>
  <c r="Q371" i="20"/>
  <c r="Q202" i="20"/>
  <c r="Q158" i="20"/>
  <c r="Q214" i="20"/>
  <c r="Q246" i="20"/>
  <c r="Q277" i="20"/>
  <c r="Q293" i="20"/>
  <c r="Q309" i="20"/>
  <c r="Q325" i="20"/>
  <c r="Q341" i="20"/>
  <c r="Q357" i="20"/>
  <c r="Q373" i="20"/>
  <c r="AE25" i="20"/>
  <c r="AE33" i="20"/>
  <c r="AE41" i="20"/>
  <c r="AE49" i="20"/>
  <c r="AE57" i="20"/>
  <c r="AE65" i="20"/>
  <c r="AE73" i="20"/>
  <c r="AE81" i="20"/>
  <c r="AE89" i="20"/>
  <c r="AE93" i="20"/>
  <c r="AE97" i="20"/>
  <c r="AE101" i="20"/>
  <c r="AE107" i="20"/>
  <c r="AE115" i="20"/>
  <c r="Q210" i="20"/>
  <c r="Q178" i="20"/>
  <c r="Q146" i="20"/>
  <c r="Q78" i="20"/>
  <c r="Q22" i="20"/>
  <c r="Q54" i="20"/>
  <c r="Q86" i="20"/>
  <c r="Q106" i="20"/>
  <c r="Q118" i="20"/>
  <c r="Q126" i="20"/>
  <c r="Q131" i="20"/>
  <c r="Q135" i="20"/>
  <c r="Q139" i="20"/>
  <c r="Q143" i="20"/>
  <c r="Q147" i="20"/>
  <c r="Q151" i="20"/>
  <c r="Q155" i="20"/>
  <c r="Q159" i="20"/>
  <c r="Q163" i="20"/>
  <c r="Q167" i="20"/>
  <c r="Q171" i="20"/>
  <c r="Q175" i="20"/>
  <c r="Q179" i="20"/>
  <c r="Q183" i="20"/>
  <c r="Q187" i="20"/>
  <c r="Q191" i="20"/>
  <c r="Q195" i="20"/>
  <c r="Q199" i="20"/>
  <c r="Q203" i="20"/>
  <c r="Q207" i="20"/>
  <c r="Q211" i="20"/>
  <c r="Q215" i="20"/>
  <c r="Q219" i="20"/>
  <c r="Q223" i="20"/>
  <c r="Q227" i="20"/>
  <c r="Q231" i="20"/>
  <c r="Q235" i="20"/>
  <c r="Q239" i="20"/>
  <c r="Q243" i="20"/>
  <c r="Q247" i="20"/>
  <c r="Q251" i="20"/>
  <c r="Q255" i="20"/>
  <c r="Q259" i="20"/>
  <c r="Q263" i="20"/>
  <c r="Q267" i="20"/>
  <c r="Q271" i="20"/>
  <c r="Q275" i="20"/>
  <c r="AE86" i="20"/>
  <c r="AE82" i="20"/>
  <c r="AE78" i="20"/>
  <c r="AE74" i="20"/>
  <c r="AE70" i="20"/>
  <c r="AE66" i="20"/>
  <c r="AE62" i="20"/>
  <c r="AE58" i="20"/>
  <c r="AE54" i="20"/>
  <c r="AE50" i="20"/>
  <c r="AE46" i="20"/>
  <c r="AE42" i="20"/>
  <c r="AE38" i="20"/>
  <c r="AE34" i="20"/>
  <c r="AE30" i="20"/>
  <c r="AE26" i="20"/>
  <c r="AE22" i="20"/>
  <c r="AE16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4" i="20"/>
  <c r="Q290" i="20"/>
  <c r="Q286" i="20"/>
  <c r="Q282" i="20"/>
  <c r="Q278" i="20"/>
  <c r="Q272" i="20"/>
  <c r="Q264" i="20"/>
  <c r="Q256" i="20"/>
  <c r="Q248" i="20"/>
  <c r="Q240" i="20"/>
  <c r="Q232" i="20"/>
  <c r="Q224" i="20"/>
  <c r="Q216" i="20"/>
  <c r="Q208" i="20"/>
  <c r="Q200" i="20"/>
  <c r="Q192" i="20"/>
  <c r="Q184" i="20"/>
  <c r="Q176" i="20"/>
  <c r="Q168" i="20"/>
  <c r="Q160" i="20"/>
  <c r="Q152" i="20"/>
  <c r="Q144" i="20"/>
  <c r="Q136" i="20"/>
  <c r="Q128" i="20"/>
  <c r="Q110" i="20"/>
  <c r="Q62" i="20"/>
  <c r="AE380" i="20"/>
  <c r="Q90" i="20"/>
  <c r="Q18" i="20"/>
  <c r="Q21" i="20"/>
  <c r="Q25" i="20"/>
  <c r="Q29" i="20"/>
  <c r="Q33" i="20"/>
  <c r="Q37" i="20"/>
  <c r="Q41" i="20"/>
  <c r="Q45" i="20"/>
  <c r="Q49" i="20"/>
  <c r="Q53" i="20"/>
  <c r="Q57" i="20"/>
  <c r="Q61" i="20"/>
  <c r="Q65" i="20"/>
  <c r="Q69" i="20"/>
  <c r="Q73" i="20"/>
  <c r="Q77" i="20"/>
  <c r="Q81" i="20"/>
  <c r="Q85" i="20"/>
  <c r="Q89" i="20"/>
  <c r="Q20" i="20"/>
  <c r="Q28" i="20"/>
  <c r="Q36" i="20"/>
  <c r="Q44" i="20"/>
  <c r="Q52" i="20"/>
  <c r="Q60" i="20"/>
  <c r="Q68" i="20"/>
  <c r="Q76" i="20"/>
  <c r="Q84" i="20"/>
  <c r="Q93" i="20"/>
  <c r="Q97" i="20"/>
  <c r="Q101" i="20"/>
  <c r="Q105" i="20"/>
  <c r="Q109" i="20"/>
  <c r="Q113" i="20"/>
  <c r="Q117" i="20"/>
  <c r="Q121" i="20"/>
  <c r="Q125" i="20"/>
  <c r="Q15" i="20"/>
  <c r="Q34" i="20"/>
  <c r="Q50" i="20"/>
  <c r="Q66" i="20"/>
  <c r="Q82" i="20"/>
  <c r="Q96" i="20"/>
  <c r="Q104" i="20"/>
  <c r="Q112" i="20"/>
  <c r="Q30" i="20"/>
  <c r="Q120" i="20"/>
  <c r="Q140" i="20"/>
  <c r="Q156" i="20"/>
  <c r="Q172" i="20"/>
  <c r="Q188" i="20"/>
  <c r="Q204" i="20"/>
  <c r="Q220" i="20"/>
  <c r="Q236" i="20"/>
  <c r="Q252" i="20"/>
  <c r="Q268" i="20"/>
  <c r="Q280" i="20"/>
  <c r="Q288" i="20"/>
  <c r="Q296" i="20"/>
  <c r="Q304" i="20"/>
  <c r="Q312" i="20"/>
  <c r="Q320" i="20"/>
  <c r="Q328" i="20"/>
  <c r="Q336" i="20"/>
  <c r="Q344" i="20"/>
  <c r="Q352" i="20"/>
  <c r="Q360" i="20"/>
  <c r="Q368" i="20"/>
  <c r="Q376" i="20"/>
  <c r="AE20" i="20"/>
  <c r="AE28" i="20"/>
  <c r="AE36" i="20"/>
  <c r="AE44" i="20"/>
  <c r="AE52" i="20"/>
  <c r="AE60" i="20"/>
  <c r="AE68" i="20"/>
  <c r="AE76" i="20"/>
  <c r="AE84" i="20"/>
  <c r="Q273" i="20"/>
  <c r="Q265" i="20"/>
  <c r="Q257" i="20"/>
  <c r="Q249" i="20"/>
  <c r="Q241" i="20"/>
  <c r="Q233" i="20"/>
  <c r="Q225" i="20"/>
  <c r="Q217" i="20"/>
  <c r="Q209" i="20"/>
  <c r="Q201" i="20"/>
  <c r="Q193" i="20"/>
  <c r="Q185" i="20"/>
  <c r="Q177" i="20"/>
  <c r="Q169" i="20"/>
  <c r="Q161" i="20"/>
  <c r="Q153" i="20"/>
  <c r="Q145" i="20"/>
  <c r="Q137" i="20"/>
  <c r="Q129" i="20"/>
  <c r="Q114" i="20"/>
  <c r="Q70" i="20"/>
  <c r="Q17" i="20"/>
  <c r="Q162" i="20"/>
  <c r="AE119" i="20"/>
  <c r="AE103" i="20"/>
  <c r="AE95" i="20"/>
  <c r="AE85" i="20"/>
  <c r="AE69" i="20"/>
  <c r="AE53" i="20"/>
  <c r="AE37" i="20"/>
  <c r="AE17" i="20"/>
  <c r="Q349" i="20"/>
  <c r="Q317" i="20"/>
  <c r="Q285" i="20"/>
  <c r="Q230" i="20"/>
  <c r="Q124" i="20"/>
  <c r="AE71" i="20"/>
  <c r="AE212" i="20"/>
  <c r="AE278" i="20"/>
  <c r="AE342" i="20"/>
  <c r="AE143" i="20"/>
  <c r="AE18" i="20"/>
  <c r="Q234" i="20"/>
  <c r="AE229" i="20"/>
  <c r="AE158" i="20"/>
  <c r="U345" i="18"/>
  <c r="T345" i="18" s="1"/>
  <c r="S345" i="18" s="1"/>
  <c r="R345" i="18" s="1"/>
  <c r="P345" i="18" s="1"/>
  <c r="V345" i="18" s="1"/>
  <c r="U217" i="18"/>
  <c r="T217" i="18" s="1"/>
  <c r="S217" i="18" s="1"/>
  <c r="R217" i="18" s="1"/>
  <c r="P217" i="18" s="1"/>
  <c r="V217" i="18" s="1"/>
  <c r="U89" i="18"/>
  <c r="T89" i="18" s="1"/>
  <c r="S89" i="18" s="1"/>
  <c r="R89" i="18" s="1"/>
  <c r="P89" i="18" s="1"/>
  <c r="V89" i="18" s="1"/>
  <c r="U341" i="18"/>
  <c r="T341" i="18" s="1"/>
  <c r="S341" i="18" s="1"/>
  <c r="R341" i="18" s="1"/>
  <c r="P341" i="18" s="1"/>
  <c r="V341" i="18" s="1"/>
  <c r="U213" i="18"/>
  <c r="T213" i="18" s="1"/>
  <c r="S213" i="18" s="1"/>
  <c r="R213" i="18" s="1"/>
  <c r="P213" i="18" s="1"/>
  <c r="V213" i="18" s="1"/>
  <c r="U85" i="18"/>
  <c r="T85" i="18" s="1"/>
  <c r="S85" i="18" s="1"/>
  <c r="R85" i="18" s="1"/>
  <c r="P85" i="18" s="1"/>
  <c r="V85" i="18" s="1"/>
  <c r="AE79" i="20"/>
  <c r="Q170" i="20"/>
  <c r="AE223" i="20"/>
  <c r="AE287" i="20"/>
  <c r="AE355" i="20"/>
  <c r="AE291" i="20"/>
  <c r="AE150" i="20"/>
  <c r="Q347" i="20"/>
  <c r="AE219" i="20"/>
  <c r="AE100" i="20"/>
  <c r="Q283" i="20"/>
  <c r="Q315" i="20"/>
  <c r="AE373" i="20"/>
  <c r="AE341" i="20"/>
  <c r="AE309" i="20"/>
  <c r="AE277" i="20"/>
  <c r="AE245" i="20"/>
  <c r="AE210" i="20"/>
  <c r="AE146" i="20"/>
  <c r="AE92" i="20"/>
  <c r="AE31" i="20"/>
  <c r="Q331" i="20"/>
  <c r="Q258" i="20"/>
  <c r="Q154" i="20"/>
  <c r="Q218" i="20"/>
  <c r="Q250" i="20"/>
  <c r="Q279" i="20"/>
  <c r="Q295" i="20"/>
  <c r="Q311" i="20"/>
  <c r="Q327" i="20"/>
  <c r="Q343" i="20"/>
  <c r="Q359" i="20"/>
  <c r="Q375" i="20"/>
  <c r="AE27" i="20"/>
  <c r="AE43" i="20"/>
  <c r="AE59" i="20"/>
  <c r="AE75" i="20"/>
  <c r="AE90" i="20"/>
  <c r="AE98" i="20"/>
  <c r="AE118" i="20"/>
  <c r="AE135" i="20"/>
  <c r="AE151" i="20"/>
  <c r="AE167" i="20"/>
  <c r="AE183" i="20"/>
  <c r="AE199" i="20"/>
  <c r="AE215" i="20"/>
  <c r="AE364" i="20"/>
  <c r="AE354" i="20"/>
  <c r="AE346" i="20"/>
  <c r="AE338" i="20"/>
  <c r="AE330" i="20"/>
  <c r="AE322" i="20"/>
  <c r="AE314" i="20"/>
  <c r="AE306" i="20"/>
  <c r="AE298" i="20"/>
  <c r="AE290" i="20"/>
  <c r="AE282" i="20"/>
  <c r="AE274" i="20"/>
  <c r="AE266" i="20"/>
  <c r="AE258" i="20"/>
  <c r="AE250" i="20"/>
  <c r="AE242" i="20"/>
  <c r="AE234" i="20"/>
  <c r="AE226" i="20"/>
  <c r="AE218" i="20"/>
  <c r="AE204" i="20"/>
  <c r="AE188" i="20"/>
  <c r="AE172" i="20"/>
  <c r="AE156" i="20"/>
  <c r="AE140" i="20"/>
  <c r="AE124" i="20"/>
  <c r="AE104" i="20"/>
  <c r="AE87" i="20"/>
  <c r="AE55" i="20"/>
  <c r="AE23" i="20"/>
  <c r="Q355" i="20"/>
  <c r="Q323" i="20"/>
  <c r="Q291" i="20"/>
  <c r="Q242" i="20"/>
  <c r="Q138" i="20"/>
  <c r="Q102" i="20"/>
  <c r="Q134" i="20"/>
  <c r="Q150" i="20"/>
  <c r="Q166" i="20"/>
  <c r="Q182" i="20"/>
  <c r="Q198" i="20"/>
  <c r="AE279" i="20"/>
  <c r="AE311" i="20"/>
  <c r="AE359" i="20"/>
  <c r="AE295" i="20"/>
  <c r="AE166" i="20"/>
  <c r="AE367" i="20"/>
  <c r="AE335" i="20"/>
  <c r="AE303" i="20"/>
  <c r="AE271" i="20"/>
  <c r="AE198" i="20"/>
  <c r="AE379" i="20"/>
  <c r="AE12" i="22" s="1"/>
  <c r="AE363" i="20"/>
  <c r="AE347" i="20"/>
  <c r="AE331" i="20"/>
  <c r="AE315" i="20"/>
  <c r="AE299" i="20"/>
  <c r="AE283" i="20"/>
  <c r="AE263" i="20"/>
  <c r="AE231" i="20"/>
  <c r="AE182" i="20"/>
  <c r="AE116" i="20"/>
  <c r="AE259" i="20"/>
  <c r="AE243" i="20"/>
  <c r="AE227" i="20"/>
  <c r="AE206" i="20"/>
  <c r="AE174" i="20"/>
  <c r="AE142" i="20"/>
  <c r="AE377" i="20"/>
  <c r="AE369" i="20"/>
  <c r="AE361" i="20"/>
  <c r="AE353" i="20"/>
  <c r="AE345" i="20"/>
  <c r="AE337" i="20"/>
  <c r="AE329" i="20"/>
  <c r="AE321" i="20"/>
  <c r="AE313" i="20"/>
  <c r="AE305" i="20"/>
  <c r="AE297" i="20"/>
  <c r="AE289" i="20"/>
  <c r="AE281" i="20"/>
  <c r="AE273" i="20"/>
  <c r="AE265" i="20"/>
  <c r="AE257" i="20"/>
  <c r="AE249" i="20"/>
  <c r="AE241" i="20"/>
  <c r="AE233" i="20"/>
  <c r="AE225" i="20"/>
  <c r="AE217" i="20"/>
  <c r="AE202" i="20"/>
  <c r="AE186" i="20"/>
  <c r="AE170" i="20"/>
  <c r="AE154" i="20"/>
  <c r="AE138" i="20"/>
  <c r="AE122" i="20"/>
  <c r="AE106" i="20"/>
  <c r="AE114" i="20"/>
  <c r="AE121" i="20"/>
  <c r="AE125" i="20"/>
  <c r="AE129" i="20"/>
  <c r="AE133" i="20"/>
  <c r="AE137" i="20"/>
  <c r="AE141" i="20"/>
  <c r="AE145" i="20"/>
  <c r="AE149" i="20"/>
  <c r="AE153" i="20"/>
  <c r="AE157" i="20"/>
  <c r="AE161" i="20"/>
  <c r="AE165" i="20"/>
  <c r="AE169" i="20"/>
  <c r="AE173" i="20"/>
  <c r="AE177" i="20"/>
  <c r="AE181" i="20"/>
  <c r="AE185" i="20"/>
  <c r="AE189" i="20"/>
  <c r="AE193" i="20"/>
  <c r="AE197" i="20"/>
  <c r="AE201" i="20"/>
  <c r="AE205" i="20"/>
  <c r="AE209" i="20"/>
  <c r="AE213" i="20"/>
  <c r="AE378" i="20"/>
  <c r="AE374" i="20"/>
  <c r="AE370" i="20"/>
  <c r="AE366" i="20"/>
  <c r="AE362" i="20"/>
  <c r="AE117" i="20"/>
  <c r="AE113" i="20"/>
  <c r="AE109" i="20"/>
  <c r="AE105" i="20"/>
  <c r="AE120" i="20"/>
  <c r="AE128" i="20"/>
  <c r="AE136" i="20"/>
  <c r="AE144" i="20"/>
  <c r="AE152" i="20"/>
  <c r="AE160" i="20"/>
  <c r="AE168" i="20"/>
  <c r="AE176" i="20"/>
  <c r="AE184" i="20"/>
  <c r="AE192" i="20"/>
  <c r="AE200" i="20"/>
  <c r="AE208" i="20"/>
  <c r="AE216" i="20"/>
  <c r="AE220" i="20"/>
  <c r="AE224" i="20"/>
  <c r="AE228" i="20"/>
  <c r="AE232" i="20"/>
  <c r="AE236" i="20"/>
  <c r="AE240" i="20"/>
  <c r="AE244" i="20"/>
  <c r="AE248" i="20"/>
  <c r="AE252" i="20"/>
  <c r="AE256" i="20"/>
  <c r="AE260" i="20"/>
  <c r="AE264" i="20"/>
  <c r="AE268" i="20"/>
  <c r="AE272" i="20"/>
  <c r="AE276" i="20"/>
  <c r="AE280" i="20"/>
  <c r="AE284" i="20"/>
  <c r="AE288" i="20"/>
  <c r="AE292" i="20"/>
  <c r="AE296" i="20"/>
  <c r="AE300" i="20"/>
  <c r="AE304" i="20"/>
  <c r="AE308" i="20"/>
  <c r="AE312" i="20"/>
  <c r="AE316" i="20"/>
  <c r="AE320" i="20"/>
  <c r="AE324" i="20"/>
  <c r="AE328" i="20"/>
  <c r="AE332" i="20"/>
  <c r="AE336" i="20"/>
  <c r="AE340" i="20"/>
  <c r="AE344" i="20"/>
  <c r="AE348" i="20"/>
  <c r="AE352" i="20"/>
  <c r="AE356" i="20"/>
  <c r="AE360" i="20"/>
  <c r="AE368" i="20"/>
  <c r="AE376" i="20"/>
  <c r="AE211" i="20"/>
  <c r="AE203" i="20"/>
  <c r="AE195" i="20"/>
  <c r="AE187" i="20"/>
  <c r="AE179" i="20"/>
  <c r="AE171" i="20"/>
  <c r="AE163" i="20"/>
  <c r="AE155" i="20"/>
  <c r="AE147" i="20"/>
  <c r="AE139" i="20"/>
  <c r="AE131" i="20"/>
  <c r="AE123" i="20"/>
  <c r="AE110" i="20"/>
  <c r="AE130" i="20"/>
  <c r="AE162" i="20"/>
  <c r="AE194" i="20"/>
  <c r="AE221" i="20"/>
  <c r="AE237" i="20"/>
  <c r="AE253" i="20"/>
  <c r="AE269" i="20"/>
  <c r="AE285" i="20"/>
  <c r="AE301" i="20"/>
  <c r="AE317" i="20"/>
  <c r="AE333" i="20"/>
  <c r="AE349" i="20"/>
  <c r="AE365" i="20"/>
  <c r="AE126" i="20"/>
  <c r="AE190" i="20"/>
  <c r="AE235" i="20"/>
  <c r="AE267" i="20"/>
  <c r="AE214" i="20"/>
  <c r="AE275" i="20"/>
  <c r="AE307" i="20"/>
  <c r="AE339" i="20"/>
  <c r="AE371" i="20"/>
  <c r="AE239" i="20"/>
  <c r="AE319" i="20"/>
  <c r="AE327" i="20"/>
  <c r="AE375" i="20"/>
  <c r="U377" i="18"/>
  <c r="T377" i="18" s="1"/>
  <c r="S377" i="18" s="1"/>
  <c r="R377" i="18" s="1"/>
  <c r="P377" i="18" s="1"/>
  <c r="V377" i="18" s="1"/>
  <c r="U369" i="18"/>
  <c r="T369" i="18" s="1"/>
  <c r="S369" i="18" s="1"/>
  <c r="R369" i="18" s="1"/>
  <c r="P369" i="18" s="1"/>
  <c r="V369" i="18" s="1"/>
  <c r="U361" i="18"/>
  <c r="T361" i="18" s="1"/>
  <c r="S361" i="18" s="1"/>
  <c r="R361" i="18" s="1"/>
  <c r="P361" i="18" s="1"/>
  <c r="V361" i="18" s="1"/>
  <c r="U353" i="18"/>
  <c r="T353" i="18" s="1"/>
  <c r="S353" i="18" s="1"/>
  <c r="R353" i="18" s="1"/>
  <c r="P353" i="18" s="1"/>
  <c r="V353" i="18" s="1"/>
  <c r="U337" i="18"/>
  <c r="T337" i="18" s="1"/>
  <c r="S337" i="18" s="1"/>
  <c r="R337" i="18" s="1"/>
  <c r="P337" i="18" s="1"/>
  <c r="V337" i="18" s="1"/>
  <c r="U321" i="18"/>
  <c r="T321" i="18" s="1"/>
  <c r="S321" i="18" s="1"/>
  <c r="R321" i="18" s="1"/>
  <c r="P321" i="18" s="1"/>
  <c r="V321" i="18" s="1"/>
  <c r="U305" i="18"/>
  <c r="T305" i="18" s="1"/>
  <c r="U289" i="18"/>
  <c r="T289" i="18" s="1"/>
  <c r="S289" i="18" s="1"/>
  <c r="R289" i="18" s="1"/>
  <c r="P289" i="18" s="1"/>
  <c r="V289" i="18" s="1"/>
  <c r="U273" i="18"/>
  <c r="T273" i="18" s="1"/>
  <c r="S273" i="18" s="1"/>
  <c r="R273" i="18" s="1"/>
  <c r="P273" i="18" s="1"/>
  <c r="V273" i="18" s="1"/>
  <c r="U257" i="18"/>
  <c r="T257" i="18" s="1"/>
  <c r="S257" i="18" s="1"/>
  <c r="R257" i="18" s="1"/>
  <c r="P257" i="18" s="1"/>
  <c r="V257" i="18" s="1"/>
  <c r="U241" i="18"/>
  <c r="T241" i="18" s="1"/>
  <c r="S241" i="18" s="1"/>
  <c r="R241" i="18" s="1"/>
  <c r="P241" i="18" s="1"/>
  <c r="V241" i="18" s="1"/>
  <c r="U225" i="18"/>
  <c r="T225" i="18" s="1"/>
  <c r="S225" i="18" s="1"/>
  <c r="R225" i="18" s="1"/>
  <c r="P225" i="18" s="1"/>
  <c r="V225" i="18" s="1"/>
  <c r="U209" i="18"/>
  <c r="T209" i="18" s="1"/>
  <c r="S209" i="18" s="1"/>
  <c r="R209" i="18" s="1"/>
  <c r="P209" i="18" s="1"/>
  <c r="V209" i="18" s="1"/>
  <c r="U193" i="18"/>
  <c r="T193" i="18" s="1"/>
  <c r="S193" i="18" s="1"/>
  <c r="R193" i="18" s="1"/>
  <c r="P193" i="18" s="1"/>
  <c r="V193" i="18" s="1"/>
  <c r="U177" i="18"/>
  <c r="T177" i="18" s="1"/>
  <c r="S177" i="18" s="1"/>
  <c r="R177" i="18" s="1"/>
  <c r="P177" i="18" s="1"/>
  <c r="V177" i="18" s="1"/>
  <c r="U161" i="18"/>
  <c r="T161" i="18" s="1"/>
  <c r="S161" i="18" s="1"/>
  <c r="R161" i="18" s="1"/>
  <c r="P161" i="18" s="1"/>
  <c r="V161" i="18" s="1"/>
  <c r="U145" i="18"/>
  <c r="T145" i="18" s="1"/>
  <c r="S145" i="18" s="1"/>
  <c r="R145" i="18" s="1"/>
  <c r="P145" i="18" s="1"/>
  <c r="V145" i="18" s="1"/>
  <c r="U129" i="18"/>
  <c r="T129" i="18" s="1"/>
  <c r="S129" i="18" s="1"/>
  <c r="R129" i="18" s="1"/>
  <c r="P129" i="18" s="1"/>
  <c r="V129" i="18" s="1"/>
  <c r="U113" i="18"/>
  <c r="T113" i="18" s="1"/>
  <c r="S113" i="18" s="1"/>
  <c r="R113" i="18" s="1"/>
  <c r="P113" i="18" s="1"/>
  <c r="V113" i="18" s="1"/>
  <c r="U97" i="18"/>
  <c r="T97" i="18" s="1"/>
  <c r="S97" i="18" s="1"/>
  <c r="R97" i="18" s="1"/>
  <c r="P97" i="18" s="1"/>
  <c r="V97" i="18" s="1"/>
  <c r="U81" i="18"/>
  <c r="T81" i="18" s="1"/>
  <c r="S81" i="18" s="1"/>
  <c r="R81" i="18" s="1"/>
  <c r="P81" i="18" s="1"/>
  <c r="V81" i="18" s="1"/>
  <c r="U65" i="18"/>
  <c r="T65" i="18" s="1"/>
  <c r="S65" i="18" s="1"/>
  <c r="R65" i="18" s="1"/>
  <c r="P65" i="18" s="1"/>
  <c r="V65" i="18" s="1"/>
  <c r="U49" i="18"/>
  <c r="T49" i="18" s="1"/>
  <c r="S49" i="18" s="1"/>
  <c r="R49" i="18" s="1"/>
  <c r="P49" i="18" s="1"/>
  <c r="V49" i="18" s="1"/>
  <c r="U33" i="18"/>
  <c r="T33" i="18" s="1"/>
  <c r="S33" i="18" s="1"/>
  <c r="R33" i="18" s="1"/>
  <c r="P33" i="18" s="1"/>
  <c r="V33" i="18" s="1"/>
  <c r="U375" i="18"/>
  <c r="T375" i="18" s="1"/>
  <c r="S375" i="18" s="1"/>
  <c r="R375" i="18" s="1"/>
  <c r="P375" i="18" s="1"/>
  <c r="V375" i="18" s="1"/>
  <c r="U367" i="18"/>
  <c r="T367" i="18" s="1"/>
  <c r="S367" i="18" s="1"/>
  <c r="R367" i="18" s="1"/>
  <c r="P367" i="18" s="1"/>
  <c r="V367" i="18" s="1"/>
  <c r="U359" i="18"/>
  <c r="T359" i="18" s="1"/>
  <c r="S359" i="18" s="1"/>
  <c r="R359" i="18" s="1"/>
  <c r="P359" i="18" s="1"/>
  <c r="V359" i="18" s="1"/>
  <c r="U349" i="18"/>
  <c r="T349" i="18" s="1"/>
  <c r="S349" i="18" s="1"/>
  <c r="R349" i="18" s="1"/>
  <c r="P349" i="18" s="1"/>
  <c r="V349" i="18" s="1"/>
  <c r="U333" i="18"/>
  <c r="T333" i="18" s="1"/>
  <c r="S333" i="18" s="1"/>
  <c r="R333" i="18" s="1"/>
  <c r="P333" i="18" s="1"/>
  <c r="D78" i="7" s="1"/>
  <c r="U317" i="18"/>
  <c r="T317" i="18" s="1"/>
  <c r="S317" i="18" s="1"/>
  <c r="R317" i="18" s="1"/>
  <c r="P317" i="18" s="1"/>
  <c r="V317" i="18" s="1"/>
  <c r="U301" i="18"/>
  <c r="T301" i="18" s="1"/>
  <c r="S301" i="18" s="1"/>
  <c r="R301" i="18" s="1"/>
  <c r="P301" i="18" s="1"/>
  <c r="V301" i="18" s="1"/>
  <c r="U285" i="18"/>
  <c r="T285" i="18" s="1"/>
  <c r="S285" i="18" s="1"/>
  <c r="R285" i="18" s="1"/>
  <c r="P285" i="18" s="1"/>
  <c r="V285" i="18" s="1"/>
  <c r="U269" i="18"/>
  <c r="T269" i="18" s="1"/>
  <c r="S269" i="18" s="1"/>
  <c r="R269" i="18" s="1"/>
  <c r="P269" i="18" s="1"/>
  <c r="V269" i="18" s="1"/>
  <c r="U253" i="18"/>
  <c r="T253" i="18" s="1"/>
  <c r="S253" i="18" s="1"/>
  <c r="R253" i="18" s="1"/>
  <c r="P253" i="18" s="1"/>
  <c r="V253" i="18" s="1"/>
  <c r="U237" i="18"/>
  <c r="T237" i="18" s="1"/>
  <c r="S237" i="18" s="1"/>
  <c r="R237" i="18" s="1"/>
  <c r="P237" i="18" s="1"/>
  <c r="V237" i="18" s="1"/>
  <c r="U221" i="18"/>
  <c r="T221" i="18" s="1"/>
  <c r="S221" i="18" s="1"/>
  <c r="R221" i="18" s="1"/>
  <c r="P221" i="18" s="1"/>
  <c r="V221" i="18" s="1"/>
  <c r="U205" i="18"/>
  <c r="T205" i="18" s="1"/>
  <c r="S205" i="18" s="1"/>
  <c r="R205" i="18" s="1"/>
  <c r="P205" i="18" s="1"/>
  <c r="V205" i="18" s="1"/>
  <c r="U189" i="18"/>
  <c r="T189" i="18" s="1"/>
  <c r="S189" i="18" s="1"/>
  <c r="R189" i="18" s="1"/>
  <c r="P189" i="18" s="1"/>
  <c r="V189" i="18" s="1"/>
  <c r="U173" i="18"/>
  <c r="T173" i="18" s="1"/>
  <c r="S173" i="18" s="1"/>
  <c r="R173" i="18" s="1"/>
  <c r="P173" i="18" s="1"/>
  <c r="V173" i="18" s="1"/>
  <c r="U157" i="18"/>
  <c r="T157" i="18" s="1"/>
  <c r="S157" i="18" s="1"/>
  <c r="R157" i="18" s="1"/>
  <c r="P157" i="18" s="1"/>
  <c r="V157" i="18" s="1"/>
  <c r="U141" i="18"/>
  <c r="T141" i="18" s="1"/>
  <c r="S141" i="18" s="1"/>
  <c r="R141" i="18" s="1"/>
  <c r="P141" i="18" s="1"/>
  <c r="V141" i="18" s="1"/>
  <c r="U125" i="18"/>
  <c r="T125" i="18" s="1"/>
  <c r="S125" i="18" s="1"/>
  <c r="R125" i="18" s="1"/>
  <c r="P125" i="18" s="1"/>
  <c r="V125" i="18" s="1"/>
  <c r="U109" i="18"/>
  <c r="T109" i="18" s="1"/>
  <c r="S109" i="18" s="1"/>
  <c r="R109" i="18" s="1"/>
  <c r="P109" i="18" s="1"/>
  <c r="V109" i="18" s="1"/>
  <c r="U93" i="18"/>
  <c r="T93" i="18" s="1"/>
  <c r="S93" i="18" s="1"/>
  <c r="R93" i="18" s="1"/>
  <c r="P93" i="18" s="1"/>
  <c r="V93" i="18" s="1"/>
  <c r="U77" i="18"/>
  <c r="T77" i="18" s="1"/>
  <c r="S77" i="18" s="1"/>
  <c r="R77" i="18" s="1"/>
  <c r="P77" i="18" s="1"/>
  <c r="V77" i="18" s="1"/>
  <c r="U61" i="18"/>
  <c r="T61" i="18" s="1"/>
  <c r="U45" i="18"/>
  <c r="T45" i="18" s="1"/>
  <c r="S45" i="18" s="1"/>
  <c r="R45" i="18" s="1"/>
  <c r="P45" i="18" s="1"/>
  <c r="V45" i="18" s="1"/>
  <c r="M64" i="19"/>
  <c r="U16" i="18"/>
  <c r="T16" i="18" s="1"/>
  <c r="S16" i="18" s="1"/>
  <c r="R16" i="18" s="1"/>
  <c r="P16" i="18" s="1"/>
  <c r="V16" i="18" s="1"/>
  <c r="U20" i="18"/>
  <c r="T20" i="18" s="1"/>
  <c r="S20" i="18" s="1"/>
  <c r="R20" i="18" s="1"/>
  <c r="P20" i="18" s="1"/>
  <c r="V20" i="18" s="1"/>
  <c r="U24" i="18"/>
  <c r="T24" i="18" s="1"/>
  <c r="S24" i="18" s="1"/>
  <c r="R24" i="18" s="1"/>
  <c r="P24" i="18" s="1"/>
  <c r="V24" i="18" s="1"/>
  <c r="U28" i="18"/>
  <c r="T28" i="18" s="1"/>
  <c r="S28" i="18" s="1"/>
  <c r="R28" i="18" s="1"/>
  <c r="P28" i="18" s="1"/>
  <c r="V28" i="18" s="1"/>
  <c r="U32" i="18"/>
  <c r="T32" i="18" s="1"/>
  <c r="S32" i="18" s="1"/>
  <c r="R32" i="18" s="1"/>
  <c r="P32" i="18" s="1"/>
  <c r="V32" i="18" s="1"/>
  <c r="U36" i="18"/>
  <c r="T36" i="18" s="1"/>
  <c r="S36" i="18" s="1"/>
  <c r="R36" i="18" s="1"/>
  <c r="P36" i="18" s="1"/>
  <c r="V36" i="18" s="1"/>
  <c r="U40" i="18"/>
  <c r="T40" i="18" s="1"/>
  <c r="S40" i="18" s="1"/>
  <c r="R40" i="18" s="1"/>
  <c r="P40" i="18" s="1"/>
  <c r="V40" i="18" s="1"/>
  <c r="U44" i="18"/>
  <c r="T44" i="18" s="1"/>
  <c r="S44" i="18" s="1"/>
  <c r="R44" i="18" s="1"/>
  <c r="P44" i="18" s="1"/>
  <c r="V44" i="18" s="1"/>
  <c r="U48" i="18"/>
  <c r="T48" i="18" s="1"/>
  <c r="S48" i="18" s="1"/>
  <c r="R48" i="18" s="1"/>
  <c r="P48" i="18" s="1"/>
  <c r="V48" i="18" s="1"/>
  <c r="U52" i="18"/>
  <c r="T52" i="18" s="1"/>
  <c r="S52" i="18" s="1"/>
  <c r="R52" i="18" s="1"/>
  <c r="P52" i="18" s="1"/>
  <c r="V52" i="18" s="1"/>
  <c r="U56" i="18"/>
  <c r="T56" i="18" s="1"/>
  <c r="S56" i="18" s="1"/>
  <c r="R56" i="18" s="1"/>
  <c r="P56" i="18" s="1"/>
  <c r="V56" i="18" s="1"/>
  <c r="U60" i="18"/>
  <c r="T60" i="18" s="1"/>
  <c r="S60" i="18" s="1"/>
  <c r="R60" i="18" s="1"/>
  <c r="P60" i="18" s="1"/>
  <c r="U64" i="18"/>
  <c r="T64" i="18" s="1"/>
  <c r="S64" i="18" s="1"/>
  <c r="R64" i="18" s="1"/>
  <c r="P64" i="18" s="1"/>
  <c r="V64" i="18" s="1"/>
  <c r="U68" i="18"/>
  <c r="T68" i="18" s="1"/>
  <c r="S68" i="18" s="1"/>
  <c r="R68" i="18" s="1"/>
  <c r="P68" i="18" s="1"/>
  <c r="V68" i="18" s="1"/>
  <c r="U72" i="18"/>
  <c r="T72" i="18" s="1"/>
  <c r="S72" i="18" s="1"/>
  <c r="R72" i="18" s="1"/>
  <c r="P72" i="18" s="1"/>
  <c r="V72" i="18" s="1"/>
  <c r="U76" i="18"/>
  <c r="T76" i="18" s="1"/>
  <c r="S76" i="18" s="1"/>
  <c r="R76" i="18" s="1"/>
  <c r="P76" i="18" s="1"/>
  <c r="V76" i="18" s="1"/>
  <c r="U80" i="18"/>
  <c r="T80" i="18" s="1"/>
  <c r="S80" i="18" s="1"/>
  <c r="R80" i="18" s="1"/>
  <c r="P80" i="18" s="1"/>
  <c r="V80" i="18" s="1"/>
  <c r="U84" i="18"/>
  <c r="T84" i="18" s="1"/>
  <c r="S84" i="18" s="1"/>
  <c r="R84" i="18" s="1"/>
  <c r="P84" i="18" s="1"/>
  <c r="V84" i="18" s="1"/>
  <c r="U88" i="18"/>
  <c r="T88" i="18" s="1"/>
  <c r="S88" i="18" s="1"/>
  <c r="R88" i="18" s="1"/>
  <c r="P88" i="18" s="1"/>
  <c r="U92" i="18"/>
  <c r="T92" i="18" s="1"/>
  <c r="S92" i="18" s="1"/>
  <c r="R92" i="18" s="1"/>
  <c r="P92" i="18" s="1"/>
  <c r="V92" i="18" s="1"/>
  <c r="U96" i="18"/>
  <c r="T96" i="18" s="1"/>
  <c r="S96" i="18" s="1"/>
  <c r="R96" i="18" s="1"/>
  <c r="P96" i="18" s="1"/>
  <c r="V96" i="18" s="1"/>
  <c r="U100" i="18"/>
  <c r="T100" i="18" s="1"/>
  <c r="S100" i="18" s="1"/>
  <c r="R100" i="18" s="1"/>
  <c r="P100" i="18" s="1"/>
  <c r="V100" i="18" s="1"/>
  <c r="U104" i="18"/>
  <c r="T104" i="18" s="1"/>
  <c r="S104" i="18" s="1"/>
  <c r="R104" i="18" s="1"/>
  <c r="P104" i="18" s="1"/>
  <c r="V104" i="18" s="1"/>
  <c r="U108" i="18"/>
  <c r="T108" i="18" s="1"/>
  <c r="S108" i="18" s="1"/>
  <c r="R108" i="18" s="1"/>
  <c r="P108" i="18" s="1"/>
  <c r="V108" i="18" s="1"/>
  <c r="U112" i="18"/>
  <c r="T112" i="18" s="1"/>
  <c r="S112" i="18" s="1"/>
  <c r="R112" i="18" s="1"/>
  <c r="P112" i="18" s="1"/>
  <c r="V112" i="18" s="1"/>
  <c r="U116" i="18"/>
  <c r="T116" i="18" s="1"/>
  <c r="S116" i="18" s="1"/>
  <c r="R116" i="18" s="1"/>
  <c r="P116" i="18" s="1"/>
  <c r="V116" i="18" s="1"/>
  <c r="U120" i="18"/>
  <c r="T120" i="18" s="1"/>
  <c r="S120" i="18" s="1"/>
  <c r="R120" i="18" s="1"/>
  <c r="P120" i="18" s="1"/>
  <c r="V120" i="18" s="1"/>
  <c r="U124" i="18"/>
  <c r="T124" i="18" s="1"/>
  <c r="S124" i="18" s="1"/>
  <c r="R124" i="18" s="1"/>
  <c r="P124" i="18" s="1"/>
  <c r="V124" i="18" s="1"/>
  <c r="U128" i="18"/>
  <c r="T128" i="18" s="1"/>
  <c r="S128" i="18" s="1"/>
  <c r="R128" i="18" s="1"/>
  <c r="P128" i="18" s="1"/>
  <c r="V128" i="18" s="1"/>
  <c r="U132" i="18"/>
  <c r="T132" i="18" s="1"/>
  <c r="S132" i="18" s="1"/>
  <c r="R132" i="18" s="1"/>
  <c r="P132" i="18" s="1"/>
  <c r="V132" i="18" s="1"/>
  <c r="U136" i="18"/>
  <c r="T136" i="18" s="1"/>
  <c r="S136" i="18" s="1"/>
  <c r="R136" i="18" s="1"/>
  <c r="P136" i="18" s="1"/>
  <c r="V136" i="18" s="1"/>
  <c r="U140" i="18"/>
  <c r="T140" i="18" s="1"/>
  <c r="S140" i="18" s="1"/>
  <c r="R140" i="18" s="1"/>
  <c r="P140" i="18" s="1"/>
  <c r="V140" i="18" s="1"/>
  <c r="U144" i="18"/>
  <c r="T144" i="18" s="1"/>
  <c r="S144" i="18" s="1"/>
  <c r="R144" i="18" s="1"/>
  <c r="P144" i="18" s="1"/>
  <c r="V144" i="18" s="1"/>
  <c r="U148" i="18"/>
  <c r="T148" i="18" s="1"/>
  <c r="S148" i="18" s="1"/>
  <c r="R148" i="18" s="1"/>
  <c r="P148" i="18" s="1"/>
  <c r="V148" i="18" s="1"/>
  <c r="U152" i="18"/>
  <c r="T152" i="18" s="1"/>
  <c r="S152" i="18" s="1"/>
  <c r="R152" i="18" s="1"/>
  <c r="P152" i="18" s="1"/>
  <c r="V152" i="18" s="1"/>
  <c r="U156" i="18"/>
  <c r="T156" i="18" s="1"/>
  <c r="S156" i="18" s="1"/>
  <c r="R156" i="18" s="1"/>
  <c r="P156" i="18" s="1"/>
  <c r="V156" i="18" s="1"/>
  <c r="U160" i="18"/>
  <c r="T160" i="18" s="1"/>
  <c r="S160" i="18" s="1"/>
  <c r="R160" i="18" s="1"/>
  <c r="P160" i="18" s="1"/>
  <c r="V160" i="18" s="1"/>
  <c r="U164" i="18"/>
  <c r="T164" i="18" s="1"/>
  <c r="S164" i="18" s="1"/>
  <c r="R164" i="18" s="1"/>
  <c r="P164" i="18" s="1"/>
  <c r="V164" i="18" s="1"/>
  <c r="U168" i="18"/>
  <c r="T168" i="18" s="1"/>
  <c r="S168" i="18" s="1"/>
  <c r="R168" i="18" s="1"/>
  <c r="P168" i="18" s="1"/>
  <c r="V168" i="18" s="1"/>
  <c r="U172" i="18"/>
  <c r="T172" i="18" s="1"/>
  <c r="S172" i="18" s="1"/>
  <c r="R172" i="18" s="1"/>
  <c r="P172" i="18" s="1"/>
  <c r="V172" i="18" s="1"/>
  <c r="U17" i="18"/>
  <c r="T17" i="18" s="1"/>
  <c r="S17" i="18" s="1"/>
  <c r="R17" i="18" s="1"/>
  <c r="P17" i="18" s="1"/>
  <c r="V17" i="18" s="1"/>
  <c r="U26" i="18"/>
  <c r="T26" i="18" s="1"/>
  <c r="S26" i="18" s="1"/>
  <c r="R26" i="18" s="1"/>
  <c r="P26" i="18" s="1"/>
  <c r="V26" i="18" s="1"/>
  <c r="U34" i="18"/>
  <c r="T34" i="18" s="1"/>
  <c r="S34" i="18" s="1"/>
  <c r="R34" i="18" s="1"/>
  <c r="P34" i="18" s="1"/>
  <c r="V34" i="18" s="1"/>
  <c r="U42" i="18"/>
  <c r="T42" i="18" s="1"/>
  <c r="S42" i="18" s="1"/>
  <c r="R42" i="18" s="1"/>
  <c r="P42" i="18" s="1"/>
  <c r="V42" i="18" s="1"/>
  <c r="U50" i="18"/>
  <c r="T50" i="18" s="1"/>
  <c r="S50" i="18" s="1"/>
  <c r="R50" i="18" s="1"/>
  <c r="P50" i="18" s="1"/>
  <c r="V50" i="18" s="1"/>
  <c r="U58" i="18"/>
  <c r="T58" i="18" s="1"/>
  <c r="S58" i="18" s="1"/>
  <c r="R58" i="18" s="1"/>
  <c r="P58" i="18" s="1"/>
  <c r="V58" i="18" s="1"/>
  <c r="U66" i="18"/>
  <c r="T66" i="18" s="1"/>
  <c r="S66" i="18" s="1"/>
  <c r="R66" i="18" s="1"/>
  <c r="P66" i="18" s="1"/>
  <c r="V66" i="18" s="1"/>
  <c r="U74" i="18"/>
  <c r="T74" i="18" s="1"/>
  <c r="S74" i="18" s="1"/>
  <c r="R74" i="18" s="1"/>
  <c r="P74" i="18" s="1"/>
  <c r="V74" i="18" s="1"/>
  <c r="U82" i="18"/>
  <c r="T82" i="18" s="1"/>
  <c r="S82" i="18" s="1"/>
  <c r="R82" i="18" s="1"/>
  <c r="P82" i="18" s="1"/>
  <c r="V82" i="18" s="1"/>
  <c r="U90" i="18"/>
  <c r="T90" i="18" s="1"/>
  <c r="S90" i="18" s="1"/>
  <c r="R90" i="18" s="1"/>
  <c r="P90" i="18" s="1"/>
  <c r="V90" i="18" s="1"/>
  <c r="U98" i="18"/>
  <c r="T98" i="18" s="1"/>
  <c r="S98" i="18" s="1"/>
  <c r="R98" i="18" s="1"/>
  <c r="P98" i="18" s="1"/>
  <c r="V98" i="18" s="1"/>
  <c r="U106" i="18"/>
  <c r="T106" i="18" s="1"/>
  <c r="S106" i="18" s="1"/>
  <c r="R106" i="18" s="1"/>
  <c r="P106" i="18" s="1"/>
  <c r="V106" i="18" s="1"/>
  <c r="U114" i="18"/>
  <c r="T114" i="18" s="1"/>
  <c r="S114" i="18" s="1"/>
  <c r="R114" i="18" s="1"/>
  <c r="P114" i="18" s="1"/>
  <c r="V114" i="18" s="1"/>
  <c r="U122" i="18"/>
  <c r="T122" i="18" s="1"/>
  <c r="S122" i="18" s="1"/>
  <c r="R122" i="18" s="1"/>
  <c r="P122" i="18" s="1"/>
  <c r="V122" i="18" s="1"/>
  <c r="U130" i="18"/>
  <c r="T130" i="18" s="1"/>
  <c r="S130" i="18" s="1"/>
  <c r="R130" i="18" s="1"/>
  <c r="P130" i="18" s="1"/>
  <c r="V130" i="18" s="1"/>
  <c r="U138" i="18"/>
  <c r="T138" i="18" s="1"/>
  <c r="S138" i="18" s="1"/>
  <c r="R138" i="18" s="1"/>
  <c r="P138" i="18" s="1"/>
  <c r="V138" i="18" s="1"/>
  <c r="U146" i="18"/>
  <c r="T146" i="18" s="1"/>
  <c r="S146" i="18" s="1"/>
  <c r="R146" i="18" s="1"/>
  <c r="P146" i="18" s="1"/>
  <c r="V146" i="18" s="1"/>
  <c r="U154" i="18"/>
  <c r="T154" i="18" s="1"/>
  <c r="S154" i="18" s="1"/>
  <c r="R154" i="18" s="1"/>
  <c r="P154" i="18" s="1"/>
  <c r="V154" i="18" s="1"/>
  <c r="U162" i="18"/>
  <c r="T162" i="18" s="1"/>
  <c r="S162" i="18" s="1"/>
  <c r="R162" i="18" s="1"/>
  <c r="P162" i="18" s="1"/>
  <c r="V162" i="18" s="1"/>
  <c r="U170" i="18"/>
  <c r="T170" i="18" s="1"/>
  <c r="S170" i="18" s="1"/>
  <c r="R170" i="18" s="1"/>
  <c r="P170" i="18" s="1"/>
  <c r="V170" i="18" s="1"/>
  <c r="U176" i="18"/>
  <c r="T176" i="18" s="1"/>
  <c r="S176" i="18" s="1"/>
  <c r="R176" i="18" s="1"/>
  <c r="P176" i="18" s="1"/>
  <c r="V176" i="18" s="1"/>
  <c r="U180" i="18"/>
  <c r="T180" i="18" s="1"/>
  <c r="S180" i="18" s="1"/>
  <c r="R180" i="18" s="1"/>
  <c r="P180" i="18" s="1"/>
  <c r="U184" i="18"/>
  <c r="T184" i="18" s="1"/>
  <c r="S184" i="18" s="1"/>
  <c r="R184" i="18" s="1"/>
  <c r="P184" i="18" s="1"/>
  <c r="V184" i="18" s="1"/>
  <c r="U188" i="18"/>
  <c r="T188" i="18" s="1"/>
  <c r="S188" i="18" s="1"/>
  <c r="R188" i="18" s="1"/>
  <c r="P188" i="18" s="1"/>
  <c r="V188" i="18" s="1"/>
  <c r="U192" i="18"/>
  <c r="T192" i="18" s="1"/>
  <c r="S192" i="18" s="1"/>
  <c r="R192" i="18" s="1"/>
  <c r="P192" i="18" s="1"/>
  <c r="V192" i="18" s="1"/>
  <c r="U196" i="18"/>
  <c r="T196" i="18" s="1"/>
  <c r="S196" i="18" s="1"/>
  <c r="R196" i="18" s="1"/>
  <c r="P196" i="18" s="1"/>
  <c r="V196" i="18" s="1"/>
  <c r="U200" i="18"/>
  <c r="T200" i="18" s="1"/>
  <c r="S200" i="18" s="1"/>
  <c r="R200" i="18" s="1"/>
  <c r="P200" i="18" s="1"/>
  <c r="V200" i="18" s="1"/>
  <c r="U204" i="18"/>
  <c r="T204" i="18" s="1"/>
  <c r="S204" i="18" s="1"/>
  <c r="R204" i="18" s="1"/>
  <c r="P204" i="18" s="1"/>
  <c r="V204" i="18" s="1"/>
  <c r="U208" i="18"/>
  <c r="T208" i="18" s="1"/>
  <c r="S208" i="18" s="1"/>
  <c r="R208" i="18" s="1"/>
  <c r="P208" i="18" s="1"/>
  <c r="V208" i="18" s="1"/>
  <c r="U212" i="18"/>
  <c r="T212" i="18" s="1"/>
  <c r="S212" i="18" s="1"/>
  <c r="R212" i="18" s="1"/>
  <c r="P212" i="18" s="1"/>
  <c r="V212" i="18" s="1"/>
  <c r="U216" i="18"/>
  <c r="T216" i="18" s="1"/>
  <c r="S216" i="18" s="1"/>
  <c r="R216" i="18" s="1"/>
  <c r="P216" i="18" s="1"/>
  <c r="V216" i="18" s="1"/>
  <c r="U220" i="18"/>
  <c r="T220" i="18" s="1"/>
  <c r="S220" i="18" s="1"/>
  <c r="R220" i="18" s="1"/>
  <c r="P220" i="18" s="1"/>
  <c r="V220" i="18" s="1"/>
  <c r="U224" i="18"/>
  <c r="T224" i="18" s="1"/>
  <c r="S224" i="18" s="1"/>
  <c r="R224" i="18" s="1"/>
  <c r="P224" i="18" s="1"/>
  <c r="V224" i="18" s="1"/>
  <c r="U228" i="18"/>
  <c r="T228" i="18" s="1"/>
  <c r="S228" i="18" s="1"/>
  <c r="R228" i="18" s="1"/>
  <c r="P228" i="18" s="1"/>
  <c r="V228" i="18" s="1"/>
  <c r="U232" i="18"/>
  <c r="T232" i="18" s="1"/>
  <c r="S232" i="18" s="1"/>
  <c r="R232" i="18" s="1"/>
  <c r="P232" i="18" s="1"/>
  <c r="V232" i="18" s="1"/>
  <c r="U236" i="18"/>
  <c r="T236" i="18" s="1"/>
  <c r="S236" i="18" s="1"/>
  <c r="R236" i="18" s="1"/>
  <c r="P236" i="18" s="1"/>
  <c r="V236" i="18" s="1"/>
  <c r="U240" i="18"/>
  <c r="T240" i="18" s="1"/>
  <c r="S240" i="18" s="1"/>
  <c r="R240" i="18" s="1"/>
  <c r="P240" i="18" s="1"/>
  <c r="V240" i="18" s="1"/>
  <c r="U244" i="18"/>
  <c r="T244" i="18" s="1"/>
  <c r="S244" i="18" s="1"/>
  <c r="R244" i="18" s="1"/>
  <c r="P244" i="18" s="1"/>
  <c r="V244" i="18" s="1"/>
  <c r="U248" i="18"/>
  <c r="T248" i="18" s="1"/>
  <c r="S248" i="18" s="1"/>
  <c r="R248" i="18" s="1"/>
  <c r="P248" i="18" s="1"/>
  <c r="V248" i="18" s="1"/>
  <c r="U252" i="18"/>
  <c r="T252" i="18" s="1"/>
  <c r="S252" i="18" s="1"/>
  <c r="R252" i="18" s="1"/>
  <c r="P252" i="18" s="1"/>
  <c r="V252" i="18" s="1"/>
  <c r="U256" i="18"/>
  <c r="T256" i="18" s="1"/>
  <c r="S256" i="18" s="1"/>
  <c r="R256" i="18" s="1"/>
  <c r="P256" i="18" s="1"/>
  <c r="V256" i="18" s="1"/>
  <c r="U260" i="18"/>
  <c r="T260" i="18" s="1"/>
  <c r="S260" i="18" s="1"/>
  <c r="R260" i="18" s="1"/>
  <c r="P260" i="18" s="1"/>
  <c r="V260" i="18" s="1"/>
  <c r="U264" i="18"/>
  <c r="T264" i="18" s="1"/>
  <c r="S264" i="18" s="1"/>
  <c r="R264" i="18" s="1"/>
  <c r="P264" i="18" s="1"/>
  <c r="V264" i="18" s="1"/>
  <c r="U268" i="18"/>
  <c r="T268" i="18" s="1"/>
  <c r="S268" i="18" s="1"/>
  <c r="R268" i="18" s="1"/>
  <c r="P268" i="18" s="1"/>
  <c r="V268" i="18" s="1"/>
  <c r="U272" i="18"/>
  <c r="T272" i="18" s="1"/>
  <c r="S272" i="18" s="1"/>
  <c r="R272" i="18" s="1"/>
  <c r="P272" i="18" s="1"/>
  <c r="U276" i="18"/>
  <c r="T276" i="18" s="1"/>
  <c r="S276" i="18" s="1"/>
  <c r="R276" i="18" s="1"/>
  <c r="P276" i="18" s="1"/>
  <c r="V276" i="18" s="1"/>
  <c r="U280" i="18"/>
  <c r="T280" i="18" s="1"/>
  <c r="S280" i="18" s="1"/>
  <c r="R280" i="18" s="1"/>
  <c r="P280" i="18" s="1"/>
  <c r="V280" i="18" s="1"/>
  <c r="U284" i="18"/>
  <c r="T284" i="18" s="1"/>
  <c r="S284" i="18" s="1"/>
  <c r="R284" i="18" s="1"/>
  <c r="P284" i="18" s="1"/>
  <c r="V284" i="18" s="1"/>
  <c r="U288" i="18"/>
  <c r="T288" i="18" s="1"/>
  <c r="S288" i="18" s="1"/>
  <c r="R288" i="18" s="1"/>
  <c r="P288" i="18" s="1"/>
  <c r="V288" i="18" s="1"/>
  <c r="U292" i="18"/>
  <c r="T292" i="18" s="1"/>
  <c r="S292" i="18" s="1"/>
  <c r="R292" i="18" s="1"/>
  <c r="P292" i="18" s="1"/>
  <c r="V292" i="18" s="1"/>
  <c r="U296" i="18"/>
  <c r="T296" i="18" s="1"/>
  <c r="S296" i="18" s="1"/>
  <c r="R296" i="18" s="1"/>
  <c r="P296" i="18" s="1"/>
  <c r="V296" i="18" s="1"/>
  <c r="U300" i="18"/>
  <c r="T300" i="18" s="1"/>
  <c r="S300" i="18" s="1"/>
  <c r="R300" i="18" s="1"/>
  <c r="P300" i="18" s="1"/>
  <c r="V300" i="18" s="1"/>
  <c r="U304" i="18"/>
  <c r="T304" i="18" s="1"/>
  <c r="S304" i="18" s="1"/>
  <c r="R304" i="18" s="1"/>
  <c r="P304" i="18" s="1"/>
  <c r="V304" i="18" s="1"/>
  <c r="U308" i="18"/>
  <c r="T308" i="18" s="1"/>
  <c r="S308" i="18" s="1"/>
  <c r="R308" i="18" s="1"/>
  <c r="P308" i="18" s="1"/>
  <c r="V308" i="18" s="1"/>
  <c r="U312" i="18"/>
  <c r="T312" i="18" s="1"/>
  <c r="S312" i="18" s="1"/>
  <c r="R312" i="18" s="1"/>
  <c r="P312" i="18" s="1"/>
  <c r="V312" i="18" s="1"/>
  <c r="U316" i="18"/>
  <c r="T316" i="18" s="1"/>
  <c r="S316" i="18" s="1"/>
  <c r="R316" i="18" s="1"/>
  <c r="P316" i="18" s="1"/>
  <c r="V316" i="18" s="1"/>
  <c r="U320" i="18"/>
  <c r="T320" i="18" s="1"/>
  <c r="S320" i="18" s="1"/>
  <c r="R320" i="18" s="1"/>
  <c r="P320" i="18" s="1"/>
  <c r="V320" i="18" s="1"/>
  <c r="U324" i="18"/>
  <c r="T324" i="18" s="1"/>
  <c r="S324" i="18" s="1"/>
  <c r="R324" i="18" s="1"/>
  <c r="P324" i="18" s="1"/>
  <c r="V324" i="18" s="1"/>
  <c r="U328" i="18"/>
  <c r="T328" i="18" s="1"/>
  <c r="S328" i="18" s="1"/>
  <c r="R328" i="18" s="1"/>
  <c r="P328" i="18" s="1"/>
  <c r="V328" i="18" s="1"/>
  <c r="U332" i="18"/>
  <c r="T332" i="18" s="1"/>
  <c r="S332" i="18" s="1"/>
  <c r="R332" i="18" s="1"/>
  <c r="P332" i="18" s="1"/>
  <c r="V332" i="18" s="1"/>
  <c r="U336" i="18"/>
  <c r="T336" i="18" s="1"/>
  <c r="S336" i="18" s="1"/>
  <c r="R336" i="18" s="1"/>
  <c r="P336" i="18" s="1"/>
  <c r="V336" i="18" s="1"/>
  <c r="U340" i="18"/>
  <c r="T340" i="18" s="1"/>
  <c r="S340" i="18" s="1"/>
  <c r="R340" i="18" s="1"/>
  <c r="P340" i="18" s="1"/>
  <c r="V340" i="18" s="1"/>
  <c r="U344" i="18"/>
  <c r="T344" i="18" s="1"/>
  <c r="S344" i="18" s="1"/>
  <c r="R344" i="18" s="1"/>
  <c r="P344" i="18" s="1"/>
  <c r="V344" i="18" s="1"/>
  <c r="U348" i="18"/>
  <c r="T348" i="18" s="1"/>
  <c r="S348" i="18" s="1"/>
  <c r="R348" i="18" s="1"/>
  <c r="P348" i="18" s="1"/>
  <c r="V348" i="18" s="1"/>
  <c r="U352" i="18"/>
  <c r="T352" i="18" s="1"/>
  <c r="S352" i="18" s="1"/>
  <c r="R352" i="18" s="1"/>
  <c r="P352" i="18" s="1"/>
  <c r="V352" i="18" s="1"/>
  <c r="U376" i="18"/>
  <c r="T376" i="18" s="1"/>
  <c r="S376" i="18" s="1"/>
  <c r="R376" i="18" s="1"/>
  <c r="P376" i="18" s="1"/>
  <c r="V376" i="18" s="1"/>
  <c r="U372" i="18"/>
  <c r="T372" i="18" s="1"/>
  <c r="S372" i="18" s="1"/>
  <c r="R372" i="18" s="1"/>
  <c r="P372" i="18" s="1"/>
  <c r="V372" i="18" s="1"/>
  <c r="U368" i="18"/>
  <c r="T368" i="18" s="1"/>
  <c r="S368" i="18" s="1"/>
  <c r="R368" i="18" s="1"/>
  <c r="P368" i="18" s="1"/>
  <c r="V368" i="18" s="1"/>
  <c r="U364" i="18"/>
  <c r="T364" i="18" s="1"/>
  <c r="S364" i="18" s="1"/>
  <c r="R364" i="18" s="1"/>
  <c r="P364" i="18" s="1"/>
  <c r="V364" i="18" s="1"/>
  <c r="U360" i="18"/>
  <c r="T360" i="18" s="1"/>
  <c r="S360" i="18" s="1"/>
  <c r="R360" i="18" s="1"/>
  <c r="P360" i="18" s="1"/>
  <c r="V360" i="18" s="1"/>
  <c r="U356" i="18"/>
  <c r="T356" i="18" s="1"/>
  <c r="S356" i="18" s="1"/>
  <c r="R356" i="18" s="1"/>
  <c r="P356" i="18" s="1"/>
  <c r="V356" i="18" s="1"/>
  <c r="U351" i="18"/>
  <c r="T351" i="18" s="1"/>
  <c r="S351" i="18" s="1"/>
  <c r="R351" i="18" s="1"/>
  <c r="P351" i="18" s="1"/>
  <c r="V351" i="18" s="1"/>
  <c r="U343" i="18"/>
  <c r="T343" i="18" s="1"/>
  <c r="S343" i="18" s="1"/>
  <c r="R343" i="18" s="1"/>
  <c r="P343" i="18" s="1"/>
  <c r="V343" i="18" s="1"/>
  <c r="U335" i="18"/>
  <c r="T335" i="18" s="1"/>
  <c r="S335" i="18" s="1"/>
  <c r="R335" i="18" s="1"/>
  <c r="P335" i="18" s="1"/>
  <c r="V335" i="18" s="1"/>
  <c r="U327" i="18"/>
  <c r="T327" i="18" s="1"/>
  <c r="S327" i="18" s="1"/>
  <c r="R327" i="18" s="1"/>
  <c r="P327" i="18" s="1"/>
  <c r="V327" i="18" s="1"/>
  <c r="U319" i="18"/>
  <c r="T319" i="18" s="1"/>
  <c r="S319" i="18" s="1"/>
  <c r="R319" i="18" s="1"/>
  <c r="P319" i="18" s="1"/>
  <c r="V319" i="18" s="1"/>
  <c r="U311" i="18"/>
  <c r="T311" i="18" s="1"/>
  <c r="S311" i="18" s="1"/>
  <c r="R311" i="18" s="1"/>
  <c r="P311" i="18" s="1"/>
  <c r="V311" i="18" s="1"/>
  <c r="U303" i="18"/>
  <c r="T303" i="18" s="1"/>
  <c r="S303" i="18" s="1"/>
  <c r="R303" i="18" s="1"/>
  <c r="P303" i="18" s="1"/>
  <c r="V303" i="18" s="1"/>
  <c r="U295" i="18"/>
  <c r="T295" i="18" s="1"/>
  <c r="S295" i="18" s="1"/>
  <c r="R295" i="18" s="1"/>
  <c r="P295" i="18" s="1"/>
  <c r="V295" i="18" s="1"/>
  <c r="U287" i="18"/>
  <c r="T287" i="18" s="1"/>
  <c r="S287" i="18" s="1"/>
  <c r="R287" i="18" s="1"/>
  <c r="P287" i="18" s="1"/>
  <c r="V287" i="18" s="1"/>
  <c r="U279" i="18"/>
  <c r="T279" i="18" s="1"/>
  <c r="S279" i="18" s="1"/>
  <c r="R279" i="18" s="1"/>
  <c r="P279" i="18" s="1"/>
  <c r="V279" i="18" s="1"/>
  <c r="U271" i="18"/>
  <c r="T271" i="18" s="1"/>
  <c r="S271" i="18" s="1"/>
  <c r="R271" i="18" s="1"/>
  <c r="P271" i="18" s="1"/>
  <c r="V271" i="18" s="1"/>
  <c r="U263" i="18"/>
  <c r="T263" i="18" s="1"/>
  <c r="S263" i="18" s="1"/>
  <c r="R263" i="18" s="1"/>
  <c r="P263" i="18" s="1"/>
  <c r="V263" i="18" s="1"/>
  <c r="U255" i="18"/>
  <c r="T255" i="18" s="1"/>
  <c r="S255" i="18" s="1"/>
  <c r="R255" i="18" s="1"/>
  <c r="P255" i="18" s="1"/>
  <c r="V255" i="18" s="1"/>
  <c r="U247" i="18"/>
  <c r="T247" i="18" s="1"/>
  <c r="S247" i="18" s="1"/>
  <c r="R247" i="18" s="1"/>
  <c r="P247" i="18" s="1"/>
  <c r="V247" i="18" s="1"/>
  <c r="U15" i="18"/>
  <c r="U30" i="18"/>
  <c r="T30" i="18" s="1"/>
  <c r="S30" i="18" s="1"/>
  <c r="R30" i="18" s="1"/>
  <c r="P30" i="18" s="1"/>
  <c r="V30" i="18" s="1"/>
  <c r="U46" i="18"/>
  <c r="T46" i="18" s="1"/>
  <c r="S46" i="18" s="1"/>
  <c r="R46" i="18" s="1"/>
  <c r="P46" i="18" s="1"/>
  <c r="V46" i="18" s="1"/>
  <c r="U62" i="18"/>
  <c r="T62" i="18" s="1"/>
  <c r="S62" i="18" s="1"/>
  <c r="R62" i="18" s="1"/>
  <c r="P62" i="18" s="1"/>
  <c r="V62" i="18" s="1"/>
  <c r="U78" i="18"/>
  <c r="T78" i="18" s="1"/>
  <c r="S78" i="18" s="1"/>
  <c r="R78" i="18" s="1"/>
  <c r="P78" i="18" s="1"/>
  <c r="V78" i="18" s="1"/>
  <c r="U94" i="18"/>
  <c r="T94" i="18" s="1"/>
  <c r="S94" i="18" s="1"/>
  <c r="R94" i="18" s="1"/>
  <c r="P94" i="18" s="1"/>
  <c r="V94" i="18" s="1"/>
  <c r="U110" i="18"/>
  <c r="T110" i="18" s="1"/>
  <c r="S110" i="18" s="1"/>
  <c r="R110" i="18" s="1"/>
  <c r="P110" i="18" s="1"/>
  <c r="V110" i="18" s="1"/>
  <c r="U126" i="18"/>
  <c r="T126" i="18" s="1"/>
  <c r="S126" i="18" s="1"/>
  <c r="R126" i="18" s="1"/>
  <c r="P126" i="18" s="1"/>
  <c r="V126" i="18" s="1"/>
  <c r="U142" i="18"/>
  <c r="T142" i="18" s="1"/>
  <c r="S142" i="18" s="1"/>
  <c r="R142" i="18" s="1"/>
  <c r="P142" i="18" s="1"/>
  <c r="V142" i="18" s="1"/>
  <c r="U158" i="18"/>
  <c r="T158" i="18" s="1"/>
  <c r="S158" i="18" s="1"/>
  <c r="R158" i="18" s="1"/>
  <c r="P158" i="18" s="1"/>
  <c r="V158" i="18" s="1"/>
  <c r="U174" i="18"/>
  <c r="T174" i="18" s="1"/>
  <c r="S174" i="18" s="1"/>
  <c r="R174" i="18" s="1"/>
  <c r="P174" i="18" s="1"/>
  <c r="V174" i="18" s="1"/>
  <c r="U182" i="18"/>
  <c r="T182" i="18" s="1"/>
  <c r="S182" i="18" s="1"/>
  <c r="R182" i="18" s="1"/>
  <c r="P182" i="18" s="1"/>
  <c r="V182" i="18" s="1"/>
  <c r="U190" i="18"/>
  <c r="T190" i="18" s="1"/>
  <c r="S190" i="18" s="1"/>
  <c r="R190" i="18" s="1"/>
  <c r="P190" i="18" s="1"/>
  <c r="V190" i="18" s="1"/>
  <c r="U198" i="18"/>
  <c r="T198" i="18" s="1"/>
  <c r="S198" i="18" s="1"/>
  <c r="R198" i="18" s="1"/>
  <c r="P198" i="18" s="1"/>
  <c r="V198" i="18" s="1"/>
  <c r="U206" i="18"/>
  <c r="T206" i="18" s="1"/>
  <c r="S206" i="18" s="1"/>
  <c r="R206" i="18" s="1"/>
  <c r="P206" i="18" s="1"/>
  <c r="V206" i="18" s="1"/>
  <c r="U214" i="18"/>
  <c r="T214" i="18" s="1"/>
  <c r="S214" i="18" s="1"/>
  <c r="R214" i="18" s="1"/>
  <c r="P214" i="18" s="1"/>
  <c r="V214" i="18" s="1"/>
  <c r="U222" i="18"/>
  <c r="T222" i="18" s="1"/>
  <c r="S222" i="18" s="1"/>
  <c r="R222" i="18" s="1"/>
  <c r="P222" i="18" s="1"/>
  <c r="V222" i="18" s="1"/>
  <c r="U230" i="18"/>
  <c r="T230" i="18" s="1"/>
  <c r="S230" i="18" s="1"/>
  <c r="R230" i="18" s="1"/>
  <c r="P230" i="18" s="1"/>
  <c r="V230" i="18" s="1"/>
  <c r="U238" i="18"/>
  <c r="T238" i="18" s="1"/>
  <c r="S238" i="18" s="1"/>
  <c r="R238" i="18" s="1"/>
  <c r="P238" i="18" s="1"/>
  <c r="V238" i="18" s="1"/>
  <c r="U246" i="18"/>
  <c r="T246" i="18" s="1"/>
  <c r="S246" i="18" s="1"/>
  <c r="R246" i="18" s="1"/>
  <c r="P246" i="18" s="1"/>
  <c r="V246" i="18" s="1"/>
  <c r="U254" i="18"/>
  <c r="T254" i="18" s="1"/>
  <c r="S254" i="18" s="1"/>
  <c r="R254" i="18" s="1"/>
  <c r="P254" i="18" s="1"/>
  <c r="V254" i="18" s="1"/>
  <c r="U262" i="18"/>
  <c r="T262" i="18" s="1"/>
  <c r="S262" i="18" s="1"/>
  <c r="R262" i="18" s="1"/>
  <c r="P262" i="18" s="1"/>
  <c r="V262" i="18" s="1"/>
  <c r="U270" i="18"/>
  <c r="T270" i="18" s="1"/>
  <c r="S270" i="18" s="1"/>
  <c r="R270" i="18" s="1"/>
  <c r="P270" i="18" s="1"/>
  <c r="V270" i="18" s="1"/>
  <c r="U278" i="18"/>
  <c r="T278" i="18" s="1"/>
  <c r="S278" i="18" s="1"/>
  <c r="R278" i="18" s="1"/>
  <c r="P278" i="18" s="1"/>
  <c r="V278" i="18" s="1"/>
  <c r="U286" i="18"/>
  <c r="T286" i="18" s="1"/>
  <c r="S286" i="18" s="1"/>
  <c r="R286" i="18" s="1"/>
  <c r="P286" i="18" s="1"/>
  <c r="V286" i="18" s="1"/>
  <c r="U294" i="18"/>
  <c r="T294" i="18" s="1"/>
  <c r="S294" i="18" s="1"/>
  <c r="R294" i="18" s="1"/>
  <c r="P294" i="18" s="1"/>
  <c r="V294" i="18" s="1"/>
  <c r="U302" i="18"/>
  <c r="T302" i="18" s="1"/>
  <c r="S302" i="18" s="1"/>
  <c r="R302" i="18" s="1"/>
  <c r="P302" i="18" s="1"/>
  <c r="U310" i="18"/>
  <c r="T310" i="18" s="1"/>
  <c r="S310" i="18" s="1"/>
  <c r="R310" i="18" s="1"/>
  <c r="P310" i="18" s="1"/>
  <c r="V310" i="18" s="1"/>
  <c r="U318" i="18"/>
  <c r="T318" i="18" s="1"/>
  <c r="S318" i="18" s="1"/>
  <c r="R318" i="18" s="1"/>
  <c r="P318" i="18" s="1"/>
  <c r="V318" i="18" s="1"/>
  <c r="U326" i="18"/>
  <c r="T326" i="18" s="1"/>
  <c r="S326" i="18" s="1"/>
  <c r="R326" i="18" s="1"/>
  <c r="P326" i="18" s="1"/>
  <c r="V326" i="18" s="1"/>
  <c r="U334" i="18"/>
  <c r="T334" i="18" s="1"/>
  <c r="S334" i="18" s="1"/>
  <c r="R334" i="18" s="1"/>
  <c r="P334" i="18" s="1"/>
  <c r="V334" i="18" s="1"/>
  <c r="U342" i="18"/>
  <c r="T342" i="18" s="1"/>
  <c r="S342" i="18" s="1"/>
  <c r="R342" i="18" s="1"/>
  <c r="P342" i="18" s="1"/>
  <c r="V342" i="18" s="1"/>
  <c r="U350" i="18"/>
  <c r="T350" i="18" s="1"/>
  <c r="S350" i="18" s="1"/>
  <c r="R350" i="18" s="1"/>
  <c r="P350" i="18" s="1"/>
  <c r="V350" i="18" s="1"/>
  <c r="U374" i="18"/>
  <c r="T374" i="18" s="1"/>
  <c r="S374" i="18" s="1"/>
  <c r="R374" i="18" s="1"/>
  <c r="P374" i="18" s="1"/>
  <c r="V374" i="18" s="1"/>
  <c r="U366" i="18"/>
  <c r="T366" i="18" s="1"/>
  <c r="S366" i="18" s="1"/>
  <c r="R366" i="18" s="1"/>
  <c r="P366" i="18" s="1"/>
  <c r="V366" i="18" s="1"/>
  <c r="U358" i="18"/>
  <c r="T358" i="18" s="1"/>
  <c r="S358" i="18" s="1"/>
  <c r="R358" i="18" s="1"/>
  <c r="P358" i="18" s="1"/>
  <c r="V358" i="18" s="1"/>
  <c r="U347" i="18"/>
  <c r="T347" i="18" s="1"/>
  <c r="S347" i="18" s="1"/>
  <c r="R347" i="18" s="1"/>
  <c r="P347" i="18" s="1"/>
  <c r="V347" i="18" s="1"/>
  <c r="U331" i="18"/>
  <c r="T331" i="18" s="1"/>
  <c r="S331" i="18" s="1"/>
  <c r="R331" i="18" s="1"/>
  <c r="P331" i="18" s="1"/>
  <c r="V331" i="18" s="1"/>
  <c r="U315" i="18"/>
  <c r="T315" i="18" s="1"/>
  <c r="S315" i="18" s="1"/>
  <c r="R315" i="18" s="1"/>
  <c r="P315" i="18" s="1"/>
  <c r="V315" i="18" s="1"/>
  <c r="U299" i="18"/>
  <c r="T299" i="18" s="1"/>
  <c r="S299" i="18" s="1"/>
  <c r="R299" i="18" s="1"/>
  <c r="P299" i="18" s="1"/>
  <c r="V299" i="18" s="1"/>
  <c r="U283" i="18"/>
  <c r="T283" i="18" s="1"/>
  <c r="S283" i="18" s="1"/>
  <c r="R283" i="18" s="1"/>
  <c r="P283" i="18" s="1"/>
  <c r="V283" i="18" s="1"/>
  <c r="U267" i="18"/>
  <c r="T267" i="18" s="1"/>
  <c r="S267" i="18" s="1"/>
  <c r="R267" i="18" s="1"/>
  <c r="P267" i="18" s="1"/>
  <c r="V267" i="18" s="1"/>
  <c r="U251" i="18"/>
  <c r="T251" i="18" s="1"/>
  <c r="S251" i="18" s="1"/>
  <c r="R251" i="18" s="1"/>
  <c r="P251" i="18" s="1"/>
  <c r="V251" i="18" s="1"/>
  <c r="U239" i="18"/>
  <c r="T239" i="18" s="1"/>
  <c r="S239" i="18" s="1"/>
  <c r="R239" i="18" s="1"/>
  <c r="P239" i="18" s="1"/>
  <c r="V239" i="18" s="1"/>
  <c r="U231" i="18"/>
  <c r="T231" i="18" s="1"/>
  <c r="S231" i="18" s="1"/>
  <c r="R231" i="18" s="1"/>
  <c r="P231" i="18" s="1"/>
  <c r="V231" i="18" s="1"/>
  <c r="U223" i="18"/>
  <c r="T223" i="18" s="1"/>
  <c r="S223" i="18" s="1"/>
  <c r="R223" i="18" s="1"/>
  <c r="P223" i="18" s="1"/>
  <c r="V223" i="18" s="1"/>
  <c r="U215" i="18"/>
  <c r="T215" i="18" s="1"/>
  <c r="S215" i="18" s="1"/>
  <c r="R215" i="18" s="1"/>
  <c r="P215" i="18" s="1"/>
  <c r="V215" i="18" s="1"/>
  <c r="U207" i="18"/>
  <c r="T207" i="18" s="1"/>
  <c r="S207" i="18" s="1"/>
  <c r="R207" i="18" s="1"/>
  <c r="P207" i="18" s="1"/>
  <c r="V207" i="18" s="1"/>
  <c r="U199" i="18"/>
  <c r="T199" i="18" s="1"/>
  <c r="S199" i="18" s="1"/>
  <c r="R199" i="18" s="1"/>
  <c r="P199" i="18" s="1"/>
  <c r="V199" i="18" s="1"/>
  <c r="U191" i="18"/>
  <c r="T191" i="18" s="1"/>
  <c r="S191" i="18" s="1"/>
  <c r="R191" i="18" s="1"/>
  <c r="P191" i="18" s="1"/>
  <c r="V191" i="18" s="1"/>
  <c r="U183" i="18"/>
  <c r="T183" i="18" s="1"/>
  <c r="S183" i="18" s="1"/>
  <c r="R183" i="18" s="1"/>
  <c r="P183" i="18" s="1"/>
  <c r="V183" i="18" s="1"/>
  <c r="U175" i="18"/>
  <c r="T175" i="18" s="1"/>
  <c r="S175" i="18" s="1"/>
  <c r="R175" i="18" s="1"/>
  <c r="P175" i="18" s="1"/>
  <c r="V175" i="18" s="1"/>
  <c r="U167" i="18"/>
  <c r="T167" i="18" s="1"/>
  <c r="S167" i="18" s="1"/>
  <c r="R167" i="18" s="1"/>
  <c r="P167" i="18" s="1"/>
  <c r="V167" i="18" s="1"/>
  <c r="U159" i="18"/>
  <c r="T159" i="18" s="1"/>
  <c r="S159" i="18" s="1"/>
  <c r="R159" i="18" s="1"/>
  <c r="P159" i="18" s="1"/>
  <c r="V159" i="18" s="1"/>
  <c r="U151" i="18"/>
  <c r="T151" i="18" s="1"/>
  <c r="S151" i="18" s="1"/>
  <c r="R151" i="18" s="1"/>
  <c r="P151" i="18" s="1"/>
  <c r="V151" i="18" s="1"/>
  <c r="U143" i="18"/>
  <c r="T143" i="18" s="1"/>
  <c r="S143" i="18" s="1"/>
  <c r="R143" i="18" s="1"/>
  <c r="P143" i="18" s="1"/>
  <c r="V143" i="18" s="1"/>
  <c r="U135" i="18"/>
  <c r="T135" i="18" s="1"/>
  <c r="S135" i="18" s="1"/>
  <c r="R135" i="18" s="1"/>
  <c r="P135" i="18" s="1"/>
  <c r="V135" i="18" s="1"/>
  <c r="U127" i="18"/>
  <c r="T127" i="18" s="1"/>
  <c r="S127" i="18" s="1"/>
  <c r="R127" i="18" s="1"/>
  <c r="P127" i="18" s="1"/>
  <c r="V127" i="18" s="1"/>
  <c r="U119" i="18"/>
  <c r="T119" i="18" s="1"/>
  <c r="S119" i="18" s="1"/>
  <c r="R119" i="18" s="1"/>
  <c r="P119" i="18" s="1"/>
  <c r="U111" i="18"/>
  <c r="T111" i="18" s="1"/>
  <c r="S111" i="18" s="1"/>
  <c r="R111" i="18" s="1"/>
  <c r="P111" i="18" s="1"/>
  <c r="V111" i="18" s="1"/>
  <c r="U103" i="18"/>
  <c r="T103" i="18" s="1"/>
  <c r="S103" i="18" s="1"/>
  <c r="R103" i="18" s="1"/>
  <c r="P103" i="18" s="1"/>
  <c r="V103" i="18" s="1"/>
  <c r="U95" i="18"/>
  <c r="T95" i="18" s="1"/>
  <c r="S95" i="18" s="1"/>
  <c r="R95" i="18" s="1"/>
  <c r="P95" i="18" s="1"/>
  <c r="V95" i="18" s="1"/>
  <c r="U87" i="18"/>
  <c r="T87" i="18" s="1"/>
  <c r="S87" i="18" s="1"/>
  <c r="R87" i="18" s="1"/>
  <c r="P87" i="18" s="1"/>
  <c r="V87" i="18" s="1"/>
  <c r="U79" i="18"/>
  <c r="T79" i="18" s="1"/>
  <c r="S79" i="18" s="1"/>
  <c r="R79" i="18" s="1"/>
  <c r="P79" i="18" s="1"/>
  <c r="V79" i="18" s="1"/>
  <c r="U71" i="18"/>
  <c r="T71" i="18" s="1"/>
  <c r="S71" i="18" s="1"/>
  <c r="R71" i="18" s="1"/>
  <c r="P71" i="18" s="1"/>
  <c r="V71" i="18" s="1"/>
  <c r="U63" i="18"/>
  <c r="T63" i="18" s="1"/>
  <c r="S63" i="18" s="1"/>
  <c r="R63" i="18" s="1"/>
  <c r="P63" i="18" s="1"/>
  <c r="V63" i="18" s="1"/>
  <c r="U55" i="18"/>
  <c r="T55" i="18" s="1"/>
  <c r="S55" i="18" s="1"/>
  <c r="R55" i="18" s="1"/>
  <c r="P55" i="18" s="1"/>
  <c r="V55" i="18" s="1"/>
  <c r="U47" i="18"/>
  <c r="T47" i="18" s="1"/>
  <c r="S47" i="18" s="1"/>
  <c r="R47" i="18" s="1"/>
  <c r="P47" i="18" s="1"/>
  <c r="V47" i="18" s="1"/>
  <c r="U39" i="18"/>
  <c r="T39" i="18" s="1"/>
  <c r="S39" i="18" s="1"/>
  <c r="R39" i="18" s="1"/>
  <c r="P39" i="18" s="1"/>
  <c r="V39" i="18" s="1"/>
  <c r="U31" i="18"/>
  <c r="T31" i="18" s="1"/>
  <c r="S31" i="18" s="1"/>
  <c r="R31" i="18" s="1"/>
  <c r="P31" i="18" s="1"/>
  <c r="V31" i="18" s="1"/>
  <c r="U23" i="18"/>
  <c r="T23" i="18" s="1"/>
  <c r="S23" i="18" s="1"/>
  <c r="R23" i="18" s="1"/>
  <c r="P23" i="18" s="1"/>
  <c r="V23" i="18" s="1"/>
  <c r="U18" i="18"/>
  <c r="T18" i="18" s="1"/>
  <c r="S18" i="18" s="1"/>
  <c r="R18" i="18" s="1"/>
  <c r="P18" i="18" s="1"/>
  <c r="V18" i="18" s="1"/>
  <c r="AC16" i="7"/>
  <c r="AI18" i="18"/>
  <c r="AH18" i="18" s="1"/>
  <c r="AG18" i="18" s="1"/>
  <c r="AF18" i="18" s="1"/>
  <c r="AD18" i="18" s="1"/>
  <c r="AI22" i="18"/>
  <c r="AH22" i="18" s="1"/>
  <c r="AI26" i="18"/>
  <c r="AH26" i="18" s="1"/>
  <c r="AI30" i="18"/>
  <c r="AH30" i="18" s="1"/>
  <c r="AI34" i="18"/>
  <c r="AH34" i="18" s="1"/>
  <c r="AI38" i="18"/>
  <c r="AH38" i="18" s="1"/>
  <c r="AI42" i="18"/>
  <c r="AH42" i="18" s="1"/>
  <c r="AI46" i="18"/>
  <c r="AH46" i="18" s="1"/>
  <c r="AI50" i="18"/>
  <c r="AH50" i="18" s="1"/>
  <c r="AI54" i="18"/>
  <c r="AH54" i="18" s="1"/>
  <c r="AI58" i="18"/>
  <c r="AH58" i="18" s="1"/>
  <c r="AI62" i="18"/>
  <c r="AH62" i="18" s="1"/>
  <c r="AI66" i="18"/>
  <c r="AH66" i="18" s="1"/>
  <c r="AI70" i="18"/>
  <c r="AH70" i="18" s="1"/>
  <c r="AI74" i="18"/>
  <c r="AH74" i="18" s="1"/>
  <c r="AI78" i="18"/>
  <c r="AH78" i="18" s="1"/>
  <c r="AI82" i="18"/>
  <c r="AH82" i="18" s="1"/>
  <c r="AI86" i="18"/>
  <c r="AH86" i="18" s="1"/>
  <c r="AI90" i="18"/>
  <c r="AH90" i="18" s="1"/>
  <c r="AI94" i="18"/>
  <c r="AH94" i="18" s="1"/>
  <c r="AI98" i="18"/>
  <c r="AH98" i="18" s="1"/>
  <c r="AI102" i="18"/>
  <c r="AH102" i="18" s="1"/>
  <c r="AI106" i="18"/>
  <c r="AH106" i="18" s="1"/>
  <c r="AI110" i="18"/>
  <c r="AH110" i="18" s="1"/>
  <c r="AI114" i="18"/>
  <c r="AH114" i="18" s="1"/>
  <c r="AI118" i="18"/>
  <c r="AH118" i="18" s="1"/>
  <c r="AI122" i="18"/>
  <c r="AH122" i="18" s="1"/>
  <c r="AI126" i="18"/>
  <c r="AH126" i="18" s="1"/>
  <c r="AI130" i="18"/>
  <c r="AH130" i="18" s="1"/>
  <c r="AI134" i="18"/>
  <c r="AH134" i="18" s="1"/>
  <c r="AI138" i="18"/>
  <c r="AH138" i="18" s="1"/>
  <c r="AI142" i="18"/>
  <c r="AH142" i="18" s="1"/>
  <c r="AI146" i="18"/>
  <c r="AH146" i="18" s="1"/>
  <c r="AI17" i="18"/>
  <c r="AH17" i="18" s="1"/>
  <c r="AI15" i="18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31" i="18"/>
  <c r="AH31" i="18" s="1"/>
  <c r="AG31" i="18" s="1"/>
  <c r="AF31" i="18" s="1"/>
  <c r="AD31" i="18" s="1"/>
  <c r="AI35" i="18"/>
  <c r="AH35" i="18" s="1"/>
  <c r="AG35" i="18" s="1"/>
  <c r="AF35" i="18" s="1"/>
  <c r="AD35" i="18" s="1"/>
  <c r="AI39" i="18"/>
  <c r="AH39" i="18" s="1"/>
  <c r="AG39" i="18" s="1"/>
  <c r="AF39" i="18" s="1"/>
  <c r="AD39" i="18" s="1"/>
  <c r="AI43" i="18"/>
  <c r="AH43" i="18" s="1"/>
  <c r="AG43" i="18" s="1"/>
  <c r="AF43" i="18" s="1"/>
  <c r="AD43" i="18" s="1"/>
  <c r="AI47" i="18"/>
  <c r="AH47" i="18" s="1"/>
  <c r="AG47" i="18" s="1"/>
  <c r="AF47" i="18" s="1"/>
  <c r="AD47" i="18" s="1"/>
  <c r="AI51" i="18"/>
  <c r="AH51" i="18" s="1"/>
  <c r="AG51" i="18" s="1"/>
  <c r="AF51" i="18" s="1"/>
  <c r="AD51" i="18" s="1"/>
  <c r="AI55" i="18"/>
  <c r="AH55" i="18" s="1"/>
  <c r="AG55" i="18" s="1"/>
  <c r="AF55" i="18" s="1"/>
  <c r="AD55" i="18" s="1"/>
  <c r="AI59" i="18"/>
  <c r="AH59" i="18" s="1"/>
  <c r="AG59" i="18" s="1"/>
  <c r="AF59" i="18" s="1"/>
  <c r="AD59" i="18" s="1"/>
  <c r="AI63" i="18"/>
  <c r="AH63" i="18" s="1"/>
  <c r="AG63" i="18" s="1"/>
  <c r="AF63" i="18" s="1"/>
  <c r="AD63" i="18" s="1"/>
  <c r="AI67" i="18"/>
  <c r="AH67" i="18" s="1"/>
  <c r="AG67" i="18" s="1"/>
  <c r="AF67" i="18" s="1"/>
  <c r="AD67" i="18" s="1"/>
  <c r="AI71" i="18"/>
  <c r="AH71" i="18" s="1"/>
  <c r="AG71" i="18" s="1"/>
  <c r="AF71" i="18" s="1"/>
  <c r="AD71" i="18" s="1"/>
  <c r="AI75" i="18"/>
  <c r="AH75" i="18" s="1"/>
  <c r="AG75" i="18" s="1"/>
  <c r="AF75" i="18" s="1"/>
  <c r="AD75" i="18" s="1"/>
  <c r="AI79" i="18"/>
  <c r="AH79" i="18" s="1"/>
  <c r="AG79" i="18" s="1"/>
  <c r="AF79" i="18" s="1"/>
  <c r="AD79" i="18" s="1"/>
  <c r="AI83" i="18"/>
  <c r="AH83" i="18" s="1"/>
  <c r="AG83" i="18" s="1"/>
  <c r="AF83" i="18" s="1"/>
  <c r="AD83" i="18" s="1"/>
  <c r="AI87" i="18"/>
  <c r="AH87" i="18" s="1"/>
  <c r="AG87" i="18" s="1"/>
  <c r="AF87" i="18" s="1"/>
  <c r="AD87" i="18" s="1"/>
  <c r="AI91" i="18"/>
  <c r="AH91" i="18" s="1"/>
  <c r="AG91" i="18" s="1"/>
  <c r="AF91" i="18" s="1"/>
  <c r="AD91" i="18" s="1"/>
  <c r="AI95" i="18"/>
  <c r="AH95" i="18" s="1"/>
  <c r="AG95" i="18" s="1"/>
  <c r="AF95" i="18" s="1"/>
  <c r="AD95" i="18" s="1"/>
  <c r="AI99" i="18"/>
  <c r="AH99" i="18" s="1"/>
  <c r="AG99" i="18" s="1"/>
  <c r="AF99" i="18" s="1"/>
  <c r="AD99" i="18" s="1"/>
  <c r="AI103" i="18"/>
  <c r="AH103" i="18" s="1"/>
  <c r="AG103" i="18" s="1"/>
  <c r="AF103" i="18" s="1"/>
  <c r="AD103" i="18" s="1"/>
  <c r="AI107" i="18"/>
  <c r="AH107" i="18" s="1"/>
  <c r="AG107" i="18" s="1"/>
  <c r="AF107" i="18" s="1"/>
  <c r="AD107" i="18" s="1"/>
  <c r="AI111" i="18"/>
  <c r="AH111" i="18" s="1"/>
  <c r="AG111" i="18" s="1"/>
  <c r="AF111" i="18" s="1"/>
  <c r="AD111" i="18" s="1"/>
  <c r="AI115" i="18"/>
  <c r="AH115" i="18" s="1"/>
  <c r="AG115" i="18" s="1"/>
  <c r="AF115" i="18" s="1"/>
  <c r="AD115" i="18" s="1"/>
  <c r="AI119" i="18"/>
  <c r="AH119" i="18" s="1"/>
  <c r="AG119" i="18" s="1"/>
  <c r="AF119" i="18" s="1"/>
  <c r="AD119" i="18" s="1"/>
  <c r="AI123" i="18"/>
  <c r="AH123" i="18" s="1"/>
  <c r="AG123" i="18" s="1"/>
  <c r="AF123" i="18" s="1"/>
  <c r="AD123" i="18" s="1"/>
  <c r="AI127" i="18"/>
  <c r="AH127" i="18" s="1"/>
  <c r="AG127" i="18" s="1"/>
  <c r="AF127" i="18" s="1"/>
  <c r="AD127" i="18" s="1"/>
  <c r="AI131" i="18"/>
  <c r="AH131" i="18" s="1"/>
  <c r="AG131" i="18" s="1"/>
  <c r="AF131" i="18" s="1"/>
  <c r="AD131" i="18" s="1"/>
  <c r="AI135" i="18"/>
  <c r="AH135" i="18" s="1"/>
  <c r="AG135" i="18" s="1"/>
  <c r="AF135" i="18" s="1"/>
  <c r="AD135" i="18" s="1"/>
  <c r="U22" i="18"/>
  <c r="T22" i="18" s="1"/>
  <c r="S22" i="18" s="1"/>
  <c r="R22" i="18" s="1"/>
  <c r="P22" i="18" s="1"/>
  <c r="V22" i="18" s="1"/>
  <c r="U38" i="18"/>
  <c r="T38" i="18" s="1"/>
  <c r="S38" i="18" s="1"/>
  <c r="R38" i="18" s="1"/>
  <c r="P38" i="18" s="1"/>
  <c r="V38" i="18" s="1"/>
  <c r="U54" i="18"/>
  <c r="T54" i="18" s="1"/>
  <c r="S54" i="18" s="1"/>
  <c r="R54" i="18" s="1"/>
  <c r="P54" i="18" s="1"/>
  <c r="V54" i="18" s="1"/>
  <c r="U70" i="18"/>
  <c r="T70" i="18" s="1"/>
  <c r="S70" i="18" s="1"/>
  <c r="R70" i="18" s="1"/>
  <c r="P70" i="18" s="1"/>
  <c r="V70" i="18" s="1"/>
  <c r="U86" i="18"/>
  <c r="T86" i="18" s="1"/>
  <c r="S86" i="18" s="1"/>
  <c r="R86" i="18" s="1"/>
  <c r="P86" i="18" s="1"/>
  <c r="V86" i="18" s="1"/>
  <c r="U102" i="18"/>
  <c r="T102" i="18" s="1"/>
  <c r="S102" i="18" s="1"/>
  <c r="R102" i="18" s="1"/>
  <c r="P102" i="18" s="1"/>
  <c r="V102" i="18" s="1"/>
  <c r="U118" i="18"/>
  <c r="T118" i="18" s="1"/>
  <c r="S118" i="18" s="1"/>
  <c r="R118" i="18" s="1"/>
  <c r="P118" i="18" s="1"/>
  <c r="V118" i="18" s="1"/>
  <c r="U134" i="18"/>
  <c r="T134" i="18" s="1"/>
  <c r="S134" i="18" s="1"/>
  <c r="R134" i="18" s="1"/>
  <c r="P134" i="18" s="1"/>
  <c r="V134" i="18" s="1"/>
  <c r="U150" i="18"/>
  <c r="T150" i="18" s="1"/>
  <c r="S150" i="18" s="1"/>
  <c r="R150" i="18" s="1"/>
  <c r="P150" i="18" s="1"/>
  <c r="V150" i="18" s="1"/>
  <c r="U166" i="18"/>
  <c r="T166" i="18" s="1"/>
  <c r="S166" i="18" s="1"/>
  <c r="R166" i="18" s="1"/>
  <c r="P166" i="18" s="1"/>
  <c r="V166" i="18" s="1"/>
  <c r="U178" i="18"/>
  <c r="T178" i="18" s="1"/>
  <c r="S178" i="18" s="1"/>
  <c r="R178" i="18" s="1"/>
  <c r="P178" i="18" s="1"/>
  <c r="V178" i="18" s="1"/>
  <c r="U186" i="18"/>
  <c r="T186" i="18" s="1"/>
  <c r="S186" i="18" s="1"/>
  <c r="R186" i="18" s="1"/>
  <c r="P186" i="18" s="1"/>
  <c r="V186" i="18" s="1"/>
  <c r="U194" i="18"/>
  <c r="T194" i="18" s="1"/>
  <c r="S194" i="18" s="1"/>
  <c r="R194" i="18" s="1"/>
  <c r="P194" i="18" s="1"/>
  <c r="V194" i="18" s="1"/>
  <c r="U202" i="18"/>
  <c r="T202" i="18" s="1"/>
  <c r="S202" i="18" s="1"/>
  <c r="R202" i="18" s="1"/>
  <c r="P202" i="18" s="1"/>
  <c r="V202" i="18" s="1"/>
  <c r="U210" i="18"/>
  <c r="T210" i="18" s="1"/>
  <c r="S210" i="18" s="1"/>
  <c r="R210" i="18" s="1"/>
  <c r="P210" i="18" s="1"/>
  <c r="U218" i="18"/>
  <c r="T218" i="18" s="1"/>
  <c r="S218" i="18" s="1"/>
  <c r="R218" i="18" s="1"/>
  <c r="P218" i="18" s="1"/>
  <c r="V218" i="18" s="1"/>
  <c r="U226" i="18"/>
  <c r="T226" i="18" s="1"/>
  <c r="S226" i="18" s="1"/>
  <c r="R226" i="18" s="1"/>
  <c r="P226" i="18" s="1"/>
  <c r="V226" i="18" s="1"/>
  <c r="U234" i="18"/>
  <c r="T234" i="18" s="1"/>
  <c r="S234" i="18" s="1"/>
  <c r="R234" i="18" s="1"/>
  <c r="P234" i="18" s="1"/>
  <c r="V234" i="18" s="1"/>
  <c r="U242" i="18"/>
  <c r="T242" i="18" s="1"/>
  <c r="S242" i="18" s="1"/>
  <c r="R242" i="18" s="1"/>
  <c r="P242" i="18" s="1"/>
  <c r="V242" i="18" s="1"/>
  <c r="U250" i="18"/>
  <c r="T250" i="18" s="1"/>
  <c r="S250" i="18" s="1"/>
  <c r="R250" i="18" s="1"/>
  <c r="P250" i="18" s="1"/>
  <c r="V250" i="18" s="1"/>
  <c r="U258" i="18"/>
  <c r="T258" i="18" s="1"/>
  <c r="S258" i="18" s="1"/>
  <c r="R258" i="18" s="1"/>
  <c r="P258" i="18" s="1"/>
  <c r="V258" i="18" s="1"/>
  <c r="U266" i="18"/>
  <c r="T266" i="18" s="1"/>
  <c r="S266" i="18" s="1"/>
  <c r="R266" i="18" s="1"/>
  <c r="P266" i="18" s="1"/>
  <c r="V266" i="18" s="1"/>
  <c r="U274" i="18"/>
  <c r="T274" i="18" s="1"/>
  <c r="S274" i="18" s="1"/>
  <c r="R274" i="18" s="1"/>
  <c r="P274" i="18" s="1"/>
  <c r="V274" i="18" s="1"/>
  <c r="U282" i="18"/>
  <c r="T282" i="18" s="1"/>
  <c r="S282" i="18" s="1"/>
  <c r="R282" i="18" s="1"/>
  <c r="P282" i="18" s="1"/>
  <c r="V282" i="18" s="1"/>
  <c r="U290" i="18"/>
  <c r="T290" i="18" s="1"/>
  <c r="S290" i="18" s="1"/>
  <c r="R290" i="18" s="1"/>
  <c r="P290" i="18" s="1"/>
  <c r="V290" i="18" s="1"/>
  <c r="U298" i="18"/>
  <c r="T298" i="18" s="1"/>
  <c r="S298" i="18" s="1"/>
  <c r="R298" i="18" s="1"/>
  <c r="P298" i="18" s="1"/>
  <c r="V298" i="18" s="1"/>
  <c r="U306" i="18"/>
  <c r="T306" i="18" s="1"/>
  <c r="S306" i="18" s="1"/>
  <c r="R306" i="18" s="1"/>
  <c r="P306" i="18" s="1"/>
  <c r="V306" i="18" s="1"/>
  <c r="U314" i="18"/>
  <c r="T314" i="18" s="1"/>
  <c r="S314" i="18" s="1"/>
  <c r="R314" i="18" s="1"/>
  <c r="P314" i="18" s="1"/>
  <c r="V314" i="18" s="1"/>
  <c r="U322" i="18"/>
  <c r="T322" i="18" s="1"/>
  <c r="S322" i="18" s="1"/>
  <c r="R322" i="18" s="1"/>
  <c r="P322" i="18" s="1"/>
  <c r="V322" i="18" s="1"/>
  <c r="U330" i="18"/>
  <c r="T330" i="18" s="1"/>
  <c r="S330" i="18" s="1"/>
  <c r="R330" i="18" s="1"/>
  <c r="P330" i="18" s="1"/>
  <c r="V330" i="18" s="1"/>
  <c r="U338" i="18"/>
  <c r="T338" i="18" s="1"/>
  <c r="S338" i="18" s="1"/>
  <c r="R338" i="18" s="1"/>
  <c r="P338" i="18" s="1"/>
  <c r="V338" i="18" s="1"/>
  <c r="U346" i="18"/>
  <c r="T346" i="18" s="1"/>
  <c r="S346" i="18" s="1"/>
  <c r="R346" i="18" s="1"/>
  <c r="P346" i="18" s="1"/>
  <c r="V346" i="18" s="1"/>
  <c r="U378" i="18"/>
  <c r="T378" i="18" s="1"/>
  <c r="S378" i="18" s="1"/>
  <c r="R378" i="18" s="1"/>
  <c r="P378" i="18" s="1"/>
  <c r="V378" i="18" s="1"/>
  <c r="U370" i="18"/>
  <c r="T370" i="18" s="1"/>
  <c r="S370" i="18" s="1"/>
  <c r="R370" i="18" s="1"/>
  <c r="P370" i="18" s="1"/>
  <c r="V370" i="18" s="1"/>
  <c r="U362" i="18"/>
  <c r="T362" i="18" s="1"/>
  <c r="S362" i="18" s="1"/>
  <c r="R362" i="18" s="1"/>
  <c r="P362" i="18" s="1"/>
  <c r="V362" i="18" s="1"/>
  <c r="U354" i="18"/>
  <c r="T354" i="18" s="1"/>
  <c r="S354" i="18" s="1"/>
  <c r="R354" i="18" s="1"/>
  <c r="P354" i="18" s="1"/>
  <c r="V354" i="18" s="1"/>
  <c r="U339" i="18"/>
  <c r="T339" i="18" s="1"/>
  <c r="S339" i="18" s="1"/>
  <c r="R339" i="18" s="1"/>
  <c r="P339" i="18" s="1"/>
  <c r="V339" i="18" s="1"/>
  <c r="U323" i="18"/>
  <c r="T323" i="18" s="1"/>
  <c r="S323" i="18" s="1"/>
  <c r="R323" i="18" s="1"/>
  <c r="P323" i="18" s="1"/>
  <c r="V323" i="18" s="1"/>
  <c r="U307" i="18"/>
  <c r="T307" i="18" s="1"/>
  <c r="S307" i="18" s="1"/>
  <c r="R307" i="18" s="1"/>
  <c r="P307" i="18" s="1"/>
  <c r="V307" i="18" s="1"/>
  <c r="U291" i="18"/>
  <c r="T291" i="18" s="1"/>
  <c r="S291" i="18" s="1"/>
  <c r="R291" i="18" s="1"/>
  <c r="P291" i="18" s="1"/>
  <c r="V291" i="18" s="1"/>
  <c r="U275" i="18"/>
  <c r="T275" i="18" s="1"/>
  <c r="S275" i="18" s="1"/>
  <c r="R275" i="18" s="1"/>
  <c r="P275" i="18" s="1"/>
  <c r="V275" i="18" s="1"/>
  <c r="U259" i="18"/>
  <c r="T259" i="18" s="1"/>
  <c r="S259" i="18" s="1"/>
  <c r="R259" i="18" s="1"/>
  <c r="P259" i="18" s="1"/>
  <c r="V259" i="18" s="1"/>
  <c r="U243" i="18"/>
  <c r="T243" i="18" s="1"/>
  <c r="S243" i="18" s="1"/>
  <c r="R243" i="18" s="1"/>
  <c r="P243" i="18" s="1"/>
  <c r="V243" i="18" s="1"/>
  <c r="U235" i="18"/>
  <c r="T235" i="18" s="1"/>
  <c r="S235" i="18" s="1"/>
  <c r="R235" i="18" s="1"/>
  <c r="P235" i="18" s="1"/>
  <c r="V235" i="18" s="1"/>
  <c r="U227" i="18"/>
  <c r="T227" i="18" s="1"/>
  <c r="S227" i="18" s="1"/>
  <c r="R227" i="18" s="1"/>
  <c r="P227" i="18" s="1"/>
  <c r="V227" i="18" s="1"/>
  <c r="U219" i="18"/>
  <c r="T219" i="18" s="1"/>
  <c r="S219" i="18" s="1"/>
  <c r="R219" i="18" s="1"/>
  <c r="P219" i="18" s="1"/>
  <c r="V219" i="18" s="1"/>
  <c r="U211" i="18"/>
  <c r="T211" i="18" s="1"/>
  <c r="S211" i="18" s="1"/>
  <c r="R211" i="18" s="1"/>
  <c r="P211" i="18" s="1"/>
  <c r="V211" i="18" s="1"/>
  <c r="U203" i="18"/>
  <c r="T203" i="18" s="1"/>
  <c r="S203" i="18" s="1"/>
  <c r="R203" i="18" s="1"/>
  <c r="P203" i="18" s="1"/>
  <c r="V203" i="18" s="1"/>
  <c r="U195" i="18"/>
  <c r="T195" i="18" s="1"/>
  <c r="S195" i="18" s="1"/>
  <c r="R195" i="18" s="1"/>
  <c r="P195" i="18" s="1"/>
  <c r="V195" i="18" s="1"/>
  <c r="U187" i="18"/>
  <c r="T187" i="18" s="1"/>
  <c r="S187" i="18" s="1"/>
  <c r="R187" i="18" s="1"/>
  <c r="P187" i="18" s="1"/>
  <c r="V187" i="18" s="1"/>
  <c r="U179" i="18"/>
  <c r="T179" i="18" s="1"/>
  <c r="S179" i="18" s="1"/>
  <c r="R179" i="18" s="1"/>
  <c r="P179" i="18" s="1"/>
  <c r="V179" i="18" s="1"/>
  <c r="U171" i="18"/>
  <c r="T171" i="18" s="1"/>
  <c r="S171" i="18" s="1"/>
  <c r="R171" i="18" s="1"/>
  <c r="P171" i="18" s="1"/>
  <c r="V171" i="18" s="1"/>
  <c r="U163" i="18"/>
  <c r="T163" i="18" s="1"/>
  <c r="S163" i="18" s="1"/>
  <c r="R163" i="18" s="1"/>
  <c r="P163" i="18" s="1"/>
  <c r="V163" i="18" s="1"/>
  <c r="U155" i="18"/>
  <c r="T155" i="18" s="1"/>
  <c r="S155" i="18" s="1"/>
  <c r="R155" i="18" s="1"/>
  <c r="P155" i="18" s="1"/>
  <c r="V155" i="18" s="1"/>
  <c r="U147" i="18"/>
  <c r="T147" i="18" s="1"/>
  <c r="S147" i="18" s="1"/>
  <c r="R147" i="18" s="1"/>
  <c r="P147" i="18" s="1"/>
  <c r="V147" i="18" s="1"/>
  <c r="U139" i="18"/>
  <c r="T139" i="18" s="1"/>
  <c r="S139" i="18" s="1"/>
  <c r="R139" i="18" s="1"/>
  <c r="P139" i="18" s="1"/>
  <c r="V139" i="18" s="1"/>
  <c r="U131" i="18"/>
  <c r="T131" i="18" s="1"/>
  <c r="S131" i="18" s="1"/>
  <c r="R131" i="18" s="1"/>
  <c r="P131" i="18" s="1"/>
  <c r="V131" i="18" s="1"/>
  <c r="U123" i="18"/>
  <c r="T123" i="18" s="1"/>
  <c r="S123" i="18" s="1"/>
  <c r="R123" i="18" s="1"/>
  <c r="P123" i="18" s="1"/>
  <c r="V123" i="18" s="1"/>
  <c r="U115" i="18"/>
  <c r="T115" i="18" s="1"/>
  <c r="S115" i="18" s="1"/>
  <c r="R115" i="18" s="1"/>
  <c r="P115" i="18" s="1"/>
  <c r="V115" i="18" s="1"/>
  <c r="U107" i="18"/>
  <c r="T107" i="18" s="1"/>
  <c r="S107" i="18" s="1"/>
  <c r="R107" i="18" s="1"/>
  <c r="P107" i="18" s="1"/>
  <c r="V107" i="18" s="1"/>
  <c r="U99" i="18"/>
  <c r="T99" i="18" s="1"/>
  <c r="S99" i="18" s="1"/>
  <c r="R99" i="18" s="1"/>
  <c r="P99" i="18" s="1"/>
  <c r="V99" i="18" s="1"/>
  <c r="U91" i="18"/>
  <c r="T91" i="18" s="1"/>
  <c r="S91" i="18" s="1"/>
  <c r="R91" i="18" s="1"/>
  <c r="P91" i="18" s="1"/>
  <c r="V91" i="18" s="1"/>
  <c r="U83" i="18"/>
  <c r="T83" i="18" s="1"/>
  <c r="S83" i="18" s="1"/>
  <c r="R83" i="18" s="1"/>
  <c r="P83" i="18" s="1"/>
  <c r="V83" i="18" s="1"/>
  <c r="U75" i="18"/>
  <c r="T75" i="18" s="1"/>
  <c r="S75" i="18" s="1"/>
  <c r="R75" i="18" s="1"/>
  <c r="P75" i="18" s="1"/>
  <c r="V75" i="18" s="1"/>
  <c r="U67" i="18"/>
  <c r="T67" i="18" s="1"/>
  <c r="S67" i="18" s="1"/>
  <c r="R67" i="18" s="1"/>
  <c r="P67" i="18" s="1"/>
  <c r="V67" i="18" s="1"/>
  <c r="U59" i="18"/>
  <c r="T59" i="18" s="1"/>
  <c r="S59" i="18" s="1"/>
  <c r="R59" i="18" s="1"/>
  <c r="P59" i="18" s="1"/>
  <c r="V59" i="18" s="1"/>
  <c r="U51" i="18"/>
  <c r="T51" i="18" s="1"/>
  <c r="S51" i="18" s="1"/>
  <c r="R51" i="18" s="1"/>
  <c r="P51" i="18" s="1"/>
  <c r="V51" i="18" s="1"/>
  <c r="U43" i="18"/>
  <c r="T43" i="18" s="1"/>
  <c r="S43" i="18" s="1"/>
  <c r="R43" i="18" s="1"/>
  <c r="P43" i="18" s="1"/>
  <c r="V43" i="18" s="1"/>
  <c r="U35" i="18"/>
  <c r="T35" i="18" s="1"/>
  <c r="S35" i="18" s="1"/>
  <c r="R35" i="18" s="1"/>
  <c r="P35" i="18" s="1"/>
  <c r="V35" i="18" s="1"/>
  <c r="U27" i="18"/>
  <c r="T27" i="18" s="1"/>
  <c r="S27" i="18" s="1"/>
  <c r="R27" i="18" s="1"/>
  <c r="P27" i="18" s="1"/>
  <c r="V27" i="18" s="1"/>
  <c r="U19" i="18"/>
  <c r="T19" i="18" s="1"/>
  <c r="S19" i="18" s="1"/>
  <c r="R19" i="18" s="1"/>
  <c r="P19" i="18" s="1"/>
  <c r="V19" i="18" s="1"/>
  <c r="AI19" i="18"/>
  <c r="AH19" i="18" s="1"/>
  <c r="AI20" i="18"/>
  <c r="AH20" i="18" s="1"/>
  <c r="AI24" i="18"/>
  <c r="AH24" i="18" s="1"/>
  <c r="AI28" i="18"/>
  <c r="AH28" i="18" s="1"/>
  <c r="AI32" i="18"/>
  <c r="AH32" i="18" s="1"/>
  <c r="AI36" i="18"/>
  <c r="AH36" i="18" s="1"/>
  <c r="AI40" i="18"/>
  <c r="AH40" i="18" s="1"/>
  <c r="AI44" i="18"/>
  <c r="AH44" i="18" s="1"/>
  <c r="AI48" i="18"/>
  <c r="AH48" i="18" s="1"/>
  <c r="AI52" i="18"/>
  <c r="AH52" i="18" s="1"/>
  <c r="AI56" i="18"/>
  <c r="AH56" i="18" s="1"/>
  <c r="AI60" i="18"/>
  <c r="AH60" i="18" s="1"/>
  <c r="AI64" i="18"/>
  <c r="AH64" i="18" s="1"/>
  <c r="AI68" i="18"/>
  <c r="AH68" i="18" s="1"/>
  <c r="AI72" i="18"/>
  <c r="AH72" i="18" s="1"/>
  <c r="AI76" i="18"/>
  <c r="AH76" i="18" s="1"/>
  <c r="AI80" i="18"/>
  <c r="AH80" i="18" s="1"/>
  <c r="AI84" i="18"/>
  <c r="AH84" i="18" s="1"/>
  <c r="AI88" i="18"/>
  <c r="AH88" i="18" s="1"/>
  <c r="AI92" i="18"/>
  <c r="AH92" i="18" s="1"/>
  <c r="AI96" i="18"/>
  <c r="AH96" i="18" s="1"/>
  <c r="AI100" i="18"/>
  <c r="AH100" i="18" s="1"/>
  <c r="AI104" i="18"/>
  <c r="AH104" i="18" s="1"/>
  <c r="AI108" i="18"/>
  <c r="AH108" i="18" s="1"/>
  <c r="AI112" i="18"/>
  <c r="AH112" i="18" s="1"/>
  <c r="AI116" i="18"/>
  <c r="AH116" i="18" s="1"/>
  <c r="AI120" i="18"/>
  <c r="AH120" i="18" s="1"/>
  <c r="AI124" i="18"/>
  <c r="AH124" i="18" s="1"/>
  <c r="AI128" i="18"/>
  <c r="AH128" i="18" s="1"/>
  <c r="AI132" i="18"/>
  <c r="AH132" i="18" s="1"/>
  <c r="AI136" i="18"/>
  <c r="AH136" i="18" s="1"/>
  <c r="AI140" i="18"/>
  <c r="AH140" i="18" s="1"/>
  <c r="AI144" i="18"/>
  <c r="AH144" i="18" s="1"/>
  <c r="AI148" i="18"/>
  <c r="AH148" i="18" s="1"/>
  <c r="AI16" i="18"/>
  <c r="AH16" i="18" s="1"/>
  <c r="AG16" i="18" s="1"/>
  <c r="AF16" i="18" s="1"/>
  <c r="AD16" i="18" s="1"/>
  <c r="AI21" i="18"/>
  <c r="AH21" i="18" s="1"/>
  <c r="AI25" i="18"/>
  <c r="AH25" i="18" s="1"/>
  <c r="AI29" i="18"/>
  <c r="AH29" i="18" s="1"/>
  <c r="AG29" i="18" s="1"/>
  <c r="AF29" i="18" s="1"/>
  <c r="AD29" i="18" s="1"/>
  <c r="AI33" i="18"/>
  <c r="AH33" i="18" s="1"/>
  <c r="AG33" i="18" s="1"/>
  <c r="AF33" i="18" s="1"/>
  <c r="AD33" i="18" s="1"/>
  <c r="AI37" i="18"/>
  <c r="AH37" i="18" s="1"/>
  <c r="AG37" i="18" s="1"/>
  <c r="AF37" i="18" s="1"/>
  <c r="AD37" i="18" s="1"/>
  <c r="AI41" i="18"/>
  <c r="AH41" i="18" s="1"/>
  <c r="AI45" i="18"/>
  <c r="AH45" i="18" s="1"/>
  <c r="AG45" i="18" s="1"/>
  <c r="AF45" i="18" s="1"/>
  <c r="AD45" i="18" s="1"/>
  <c r="AI49" i="18"/>
  <c r="AH49" i="18" s="1"/>
  <c r="AG49" i="18" s="1"/>
  <c r="AF49" i="18" s="1"/>
  <c r="AD49" i="18" s="1"/>
  <c r="AI53" i="18"/>
  <c r="AH53" i="18" s="1"/>
  <c r="AG53" i="18" s="1"/>
  <c r="AF53" i="18" s="1"/>
  <c r="AD53" i="18" s="1"/>
  <c r="AI57" i="18"/>
  <c r="AH57" i="18" s="1"/>
  <c r="AG57" i="18" s="1"/>
  <c r="AF57" i="18" s="1"/>
  <c r="AD57" i="18" s="1"/>
  <c r="AI61" i="18"/>
  <c r="AH61" i="18" s="1"/>
  <c r="AG61" i="18" s="1"/>
  <c r="AF61" i="18" s="1"/>
  <c r="AD61" i="18" s="1"/>
  <c r="AI65" i="18"/>
  <c r="AH65" i="18" s="1"/>
  <c r="AI69" i="18"/>
  <c r="AH69" i="18" s="1"/>
  <c r="AI73" i="18"/>
  <c r="AH73" i="18" s="1"/>
  <c r="AG73" i="18" s="1"/>
  <c r="AF73" i="18" s="1"/>
  <c r="AD73" i="18" s="1"/>
  <c r="AI77" i="18"/>
  <c r="AH77" i="18" s="1"/>
  <c r="AI81" i="18"/>
  <c r="AH81" i="18" s="1"/>
  <c r="AI85" i="18"/>
  <c r="AH85" i="18" s="1"/>
  <c r="AG85" i="18" s="1"/>
  <c r="AF85" i="18" s="1"/>
  <c r="AD85" i="18" s="1"/>
  <c r="AI89" i="18"/>
  <c r="AH89" i="18" s="1"/>
  <c r="AG89" i="18" s="1"/>
  <c r="AF89" i="18" s="1"/>
  <c r="AD89" i="18" s="1"/>
  <c r="AI93" i="18"/>
  <c r="AH93" i="18" s="1"/>
  <c r="AG93" i="18" s="1"/>
  <c r="AF93" i="18" s="1"/>
  <c r="AD93" i="18" s="1"/>
  <c r="AI97" i="18"/>
  <c r="AH97" i="18" s="1"/>
  <c r="AG97" i="18" s="1"/>
  <c r="AF97" i="18" s="1"/>
  <c r="AD97" i="18" s="1"/>
  <c r="AI101" i="18"/>
  <c r="AH101" i="18" s="1"/>
  <c r="AG101" i="18" s="1"/>
  <c r="AF101" i="18" s="1"/>
  <c r="AD101" i="18" s="1"/>
  <c r="AI105" i="18"/>
  <c r="AH105" i="18" s="1"/>
  <c r="AG105" i="18" s="1"/>
  <c r="AF105" i="18" s="1"/>
  <c r="AD105" i="18" s="1"/>
  <c r="AI109" i="18"/>
  <c r="AH109" i="18" s="1"/>
  <c r="AG109" i="18" s="1"/>
  <c r="AF109" i="18" s="1"/>
  <c r="AD109" i="18" s="1"/>
  <c r="AI113" i="18"/>
  <c r="AH113" i="18" s="1"/>
  <c r="AG113" i="18" s="1"/>
  <c r="AF113" i="18" s="1"/>
  <c r="AD113" i="18" s="1"/>
  <c r="AI117" i="18"/>
  <c r="AH117" i="18" s="1"/>
  <c r="AG117" i="18" s="1"/>
  <c r="AF117" i="18" s="1"/>
  <c r="AD117" i="18" s="1"/>
  <c r="AI121" i="18"/>
  <c r="AH121" i="18" s="1"/>
  <c r="AI125" i="18"/>
  <c r="AH125" i="18" s="1"/>
  <c r="AG125" i="18" s="1"/>
  <c r="AF125" i="18" s="1"/>
  <c r="AD125" i="18" s="1"/>
  <c r="AI129" i="18"/>
  <c r="AH129" i="18" s="1"/>
  <c r="AG129" i="18" s="1"/>
  <c r="AF129" i="18" s="1"/>
  <c r="AD129" i="18" s="1"/>
  <c r="AI133" i="18"/>
  <c r="AH133" i="18" s="1"/>
  <c r="AG133" i="18" s="1"/>
  <c r="AF133" i="18" s="1"/>
  <c r="AD133" i="18" s="1"/>
  <c r="AI137" i="18"/>
  <c r="AH137" i="18" s="1"/>
  <c r="AG137" i="18" s="1"/>
  <c r="AF137" i="18" s="1"/>
  <c r="AD137" i="18" s="1"/>
  <c r="AI141" i="18"/>
  <c r="AH141" i="18" s="1"/>
  <c r="AG141" i="18" s="1"/>
  <c r="AF141" i="18" s="1"/>
  <c r="AD141" i="18" s="1"/>
  <c r="AI145" i="18"/>
  <c r="AH145" i="18" s="1"/>
  <c r="AG145" i="18" s="1"/>
  <c r="AF145" i="18" s="1"/>
  <c r="AD145" i="18" s="1"/>
  <c r="AI149" i="18"/>
  <c r="AH149" i="18" s="1"/>
  <c r="AG149" i="18" s="1"/>
  <c r="AF149" i="18" s="1"/>
  <c r="AD149" i="18" s="1"/>
  <c r="AI153" i="18"/>
  <c r="AH153" i="18" s="1"/>
  <c r="AG153" i="18" s="1"/>
  <c r="AF153" i="18" s="1"/>
  <c r="AD153" i="18" s="1"/>
  <c r="AI157" i="18"/>
  <c r="AH157" i="18" s="1"/>
  <c r="AG157" i="18" s="1"/>
  <c r="AF157" i="18" s="1"/>
  <c r="AD157" i="18" s="1"/>
  <c r="AI161" i="18"/>
  <c r="AH161" i="18" s="1"/>
  <c r="AG161" i="18" s="1"/>
  <c r="AF161" i="18" s="1"/>
  <c r="AD161" i="18" s="1"/>
  <c r="AI165" i="18"/>
  <c r="AH165" i="18" s="1"/>
  <c r="AI169" i="18"/>
  <c r="AH169" i="18" s="1"/>
  <c r="AG169" i="18" s="1"/>
  <c r="AF169" i="18" s="1"/>
  <c r="AD169" i="18" s="1"/>
  <c r="AI173" i="18"/>
  <c r="AH173" i="18" s="1"/>
  <c r="AG173" i="18" s="1"/>
  <c r="AF173" i="18" s="1"/>
  <c r="AD173" i="18" s="1"/>
  <c r="AI177" i="18"/>
  <c r="AH177" i="18" s="1"/>
  <c r="AG177" i="18" s="1"/>
  <c r="AF177" i="18" s="1"/>
  <c r="AD177" i="18" s="1"/>
  <c r="AI181" i="18"/>
  <c r="AH181" i="18" s="1"/>
  <c r="AI185" i="18"/>
  <c r="AH185" i="18" s="1"/>
  <c r="AG185" i="18" s="1"/>
  <c r="AF185" i="18" s="1"/>
  <c r="AD185" i="18" s="1"/>
  <c r="AI189" i="18"/>
  <c r="AH189" i="18" s="1"/>
  <c r="AG189" i="18" s="1"/>
  <c r="AF189" i="18" s="1"/>
  <c r="AD189" i="18" s="1"/>
  <c r="AI193" i="18"/>
  <c r="AH193" i="18" s="1"/>
  <c r="AG193" i="18" s="1"/>
  <c r="AF193" i="18" s="1"/>
  <c r="AD193" i="18" s="1"/>
  <c r="AI197" i="18"/>
  <c r="AH197" i="18" s="1"/>
  <c r="AG197" i="18" s="1"/>
  <c r="AF197" i="18" s="1"/>
  <c r="AD197" i="18" s="1"/>
  <c r="AI201" i="18"/>
  <c r="AH201" i="18" s="1"/>
  <c r="AG201" i="18" s="1"/>
  <c r="AF201" i="18" s="1"/>
  <c r="AD201" i="18" s="1"/>
  <c r="AI205" i="18"/>
  <c r="AH205" i="18" s="1"/>
  <c r="AG205" i="18" s="1"/>
  <c r="AF205" i="18" s="1"/>
  <c r="AD205" i="18" s="1"/>
  <c r="AI209" i="18"/>
  <c r="AH209" i="18" s="1"/>
  <c r="AG209" i="18" s="1"/>
  <c r="AF209" i="18" s="1"/>
  <c r="AD209" i="18" s="1"/>
  <c r="AI213" i="18"/>
  <c r="AH213" i="18" s="1"/>
  <c r="AG213" i="18" s="1"/>
  <c r="AF213" i="18" s="1"/>
  <c r="AD213" i="18" s="1"/>
  <c r="AI217" i="18"/>
  <c r="AH217" i="18" s="1"/>
  <c r="AG217" i="18" s="1"/>
  <c r="AF217" i="18" s="1"/>
  <c r="AD217" i="18" s="1"/>
  <c r="AI221" i="18"/>
  <c r="AH221" i="18" s="1"/>
  <c r="AG221" i="18" s="1"/>
  <c r="AF221" i="18" s="1"/>
  <c r="AD221" i="18" s="1"/>
  <c r="AI225" i="18"/>
  <c r="AH225" i="18" s="1"/>
  <c r="AG225" i="18" s="1"/>
  <c r="AF225" i="18" s="1"/>
  <c r="AD225" i="18" s="1"/>
  <c r="AI229" i="18"/>
  <c r="AH229" i="18" s="1"/>
  <c r="AI233" i="18"/>
  <c r="AH233" i="18" s="1"/>
  <c r="AG233" i="18" s="1"/>
  <c r="AF233" i="18" s="1"/>
  <c r="AD233" i="18" s="1"/>
  <c r="AI237" i="18"/>
  <c r="AH237" i="18" s="1"/>
  <c r="AG237" i="18" s="1"/>
  <c r="AF237" i="18" s="1"/>
  <c r="AD237" i="18" s="1"/>
  <c r="AI241" i="18"/>
  <c r="AH241" i="18" s="1"/>
  <c r="AG241" i="18" s="1"/>
  <c r="AF241" i="18" s="1"/>
  <c r="AD241" i="18" s="1"/>
  <c r="AI245" i="18"/>
  <c r="AH245" i="18" s="1"/>
  <c r="AG245" i="18" s="1"/>
  <c r="AF245" i="18" s="1"/>
  <c r="AD245" i="18" s="1"/>
  <c r="AI249" i="18"/>
  <c r="AH249" i="18" s="1"/>
  <c r="AG249" i="18" s="1"/>
  <c r="AF249" i="18" s="1"/>
  <c r="AD249" i="18" s="1"/>
  <c r="AI253" i="18"/>
  <c r="AH253" i="18" s="1"/>
  <c r="AG253" i="18" s="1"/>
  <c r="AF253" i="18" s="1"/>
  <c r="AD253" i="18" s="1"/>
  <c r="AI257" i="18"/>
  <c r="AH257" i="18" s="1"/>
  <c r="AG257" i="18" s="1"/>
  <c r="AF257" i="18" s="1"/>
  <c r="AD257" i="18" s="1"/>
  <c r="AI261" i="18"/>
  <c r="AH261" i="18" s="1"/>
  <c r="AI265" i="18"/>
  <c r="AH265" i="18" s="1"/>
  <c r="AI269" i="18"/>
  <c r="AH269" i="18" s="1"/>
  <c r="AG269" i="18" s="1"/>
  <c r="AF269" i="18" s="1"/>
  <c r="AD269" i="18" s="1"/>
  <c r="AI273" i="18"/>
  <c r="AH273" i="18" s="1"/>
  <c r="AI143" i="18"/>
  <c r="AH143" i="18" s="1"/>
  <c r="AG143" i="18" s="1"/>
  <c r="AF143" i="18" s="1"/>
  <c r="AD143" i="18" s="1"/>
  <c r="AI151" i="18"/>
  <c r="AH151" i="18" s="1"/>
  <c r="AG151" i="18" s="1"/>
  <c r="AF151" i="18" s="1"/>
  <c r="AD151" i="18" s="1"/>
  <c r="AI159" i="18"/>
  <c r="AH159" i="18" s="1"/>
  <c r="AG159" i="18" s="1"/>
  <c r="AF159" i="18" s="1"/>
  <c r="AD159" i="18" s="1"/>
  <c r="AI167" i="18"/>
  <c r="AH167" i="18" s="1"/>
  <c r="AG167" i="18" s="1"/>
  <c r="AF167" i="18" s="1"/>
  <c r="AD167" i="18" s="1"/>
  <c r="AI175" i="18"/>
  <c r="AH175" i="18" s="1"/>
  <c r="AG175" i="18" s="1"/>
  <c r="AF175" i="18" s="1"/>
  <c r="AD175" i="18" s="1"/>
  <c r="AI183" i="18"/>
  <c r="AH183" i="18" s="1"/>
  <c r="AG183" i="18" s="1"/>
  <c r="AF183" i="18" s="1"/>
  <c r="AD183" i="18" s="1"/>
  <c r="AI191" i="18"/>
  <c r="AH191" i="18" s="1"/>
  <c r="AG191" i="18" s="1"/>
  <c r="AF191" i="18" s="1"/>
  <c r="AD191" i="18" s="1"/>
  <c r="AI199" i="18"/>
  <c r="AH199" i="18" s="1"/>
  <c r="AG199" i="18" s="1"/>
  <c r="AF199" i="18" s="1"/>
  <c r="AD199" i="18" s="1"/>
  <c r="AI207" i="18"/>
  <c r="AH207" i="18" s="1"/>
  <c r="AG207" i="18" s="1"/>
  <c r="AF207" i="18" s="1"/>
  <c r="AD207" i="18" s="1"/>
  <c r="AI215" i="18"/>
  <c r="AH215" i="18" s="1"/>
  <c r="AG215" i="18" s="1"/>
  <c r="AF215" i="18" s="1"/>
  <c r="AD215" i="18" s="1"/>
  <c r="AI223" i="18"/>
  <c r="AH223" i="18" s="1"/>
  <c r="AG223" i="18" s="1"/>
  <c r="AF223" i="18" s="1"/>
  <c r="AD223" i="18" s="1"/>
  <c r="AI231" i="18"/>
  <c r="AH231" i="18" s="1"/>
  <c r="AG231" i="18" s="1"/>
  <c r="AF231" i="18" s="1"/>
  <c r="AD231" i="18" s="1"/>
  <c r="AI239" i="18"/>
  <c r="AH239" i="18" s="1"/>
  <c r="AG239" i="18" s="1"/>
  <c r="AF239" i="18" s="1"/>
  <c r="AD239" i="18" s="1"/>
  <c r="AI247" i="18"/>
  <c r="AH247" i="18" s="1"/>
  <c r="AG247" i="18" s="1"/>
  <c r="AF247" i="18" s="1"/>
  <c r="AD247" i="18" s="1"/>
  <c r="AI255" i="18"/>
  <c r="AH255" i="18" s="1"/>
  <c r="AG255" i="18" s="1"/>
  <c r="AF255" i="18" s="1"/>
  <c r="AD255" i="18" s="1"/>
  <c r="AI263" i="18"/>
  <c r="AH263" i="18" s="1"/>
  <c r="AG263" i="18" s="1"/>
  <c r="AF263" i="18" s="1"/>
  <c r="AD263" i="18" s="1"/>
  <c r="AI271" i="18"/>
  <c r="AH271" i="18" s="1"/>
  <c r="AG271" i="18" s="1"/>
  <c r="AF271" i="18" s="1"/>
  <c r="AD271" i="18" s="1"/>
  <c r="AI277" i="18"/>
  <c r="AH277" i="18" s="1"/>
  <c r="AI281" i="18"/>
  <c r="AH281" i="18" s="1"/>
  <c r="AI285" i="18"/>
  <c r="AH285" i="18" s="1"/>
  <c r="AI289" i="18"/>
  <c r="AH289" i="18" s="1"/>
  <c r="AI293" i="18"/>
  <c r="AH293" i="18" s="1"/>
  <c r="AI297" i="18"/>
  <c r="AH297" i="18" s="1"/>
  <c r="AI301" i="18"/>
  <c r="AH301" i="18" s="1"/>
  <c r="AI305" i="18"/>
  <c r="AH305" i="18" s="1"/>
  <c r="AI309" i="18"/>
  <c r="AH309" i="18" s="1"/>
  <c r="AG309" i="18" s="1"/>
  <c r="AF309" i="18" s="1"/>
  <c r="AD309" i="18" s="1"/>
  <c r="AI313" i="18"/>
  <c r="AH313" i="18" s="1"/>
  <c r="AI317" i="18"/>
  <c r="AH317" i="18" s="1"/>
  <c r="AG317" i="18" s="1"/>
  <c r="AF317" i="18" s="1"/>
  <c r="AD317" i="18" s="1"/>
  <c r="AI321" i="18"/>
  <c r="AH321" i="18" s="1"/>
  <c r="AI325" i="18"/>
  <c r="AH325" i="18" s="1"/>
  <c r="AI329" i="18"/>
  <c r="AH329" i="18" s="1"/>
  <c r="AI333" i="18"/>
  <c r="AH333" i="18" s="1"/>
  <c r="AG333" i="18" s="1"/>
  <c r="AF333" i="18" s="1"/>
  <c r="AD333" i="18" s="1"/>
  <c r="AI337" i="18"/>
  <c r="AH337" i="18" s="1"/>
  <c r="AI341" i="18"/>
  <c r="AH341" i="18" s="1"/>
  <c r="AG341" i="18" s="1"/>
  <c r="AF341" i="18" s="1"/>
  <c r="AD341" i="18" s="1"/>
  <c r="AI345" i="18"/>
  <c r="AH345" i="18" s="1"/>
  <c r="AI349" i="18"/>
  <c r="AH349" i="18" s="1"/>
  <c r="AG349" i="18" s="1"/>
  <c r="AF349" i="18" s="1"/>
  <c r="AD349" i="18" s="1"/>
  <c r="AI353" i="18"/>
  <c r="AH353" i="18" s="1"/>
  <c r="AG353" i="18" s="1"/>
  <c r="AF353" i="18" s="1"/>
  <c r="AD353" i="18" s="1"/>
  <c r="AI357" i="18"/>
  <c r="AH357" i="18" s="1"/>
  <c r="AI361" i="18"/>
  <c r="AH361" i="18" s="1"/>
  <c r="AI365" i="18"/>
  <c r="AH365" i="18" s="1"/>
  <c r="AI369" i="18"/>
  <c r="AH369" i="18" s="1"/>
  <c r="AG369" i="18" s="1"/>
  <c r="AF369" i="18" s="1"/>
  <c r="AD369" i="18" s="1"/>
  <c r="AI373" i="18"/>
  <c r="AH373" i="18" s="1"/>
  <c r="AI377" i="18"/>
  <c r="AH377" i="18" s="1"/>
  <c r="AI150" i="18"/>
  <c r="AH150" i="18" s="1"/>
  <c r="AI154" i="18"/>
  <c r="AH154" i="18" s="1"/>
  <c r="AI158" i="18"/>
  <c r="AH158" i="18" s="1"/>
  <c r="AI162" i="18"/>
  <c r="AH162" i="18" s="1"/>
  <c r="AI166" i="18"/>
  <c r="AH166" i="18" s="1"/>
  <c r="AI170" i="18"/>
  <c r="AH170" i="18" s="1"/>
  <c r="AI174" i="18"/>
  <c r="AH174" i="18" s="1"/>
  <c r="AI178" i="18"/>
  <c r="AH178" i="18" s="1"/>
  <c r="AI182" i="18"/>
  <c r="AH182" i="18" s="1"/>
  <c r="AI186" i="18"/>
  <c r="AH186" i="18" s="1"/>
  <c r="AI190" i="18"/>
  <c r="AH190" i="18" s="1"/>
  <c r="AI194" i="18"/>
  <c r="AH194" i="18" s="1"/>
  <c r="AI198" i="18"/>
  <c r="AH198" i="18" s="1"/>
  <c r="AI202" i="18"/>
  <c r="AH202" i="18" s="1"/>
  <c r="AI206" i="18"/>
  <c r="AH206" i="18" s="1"/>
  <c r="AI210" i="18"/>
  <c r="AH210" i="18" s="1"/>
  <c r="AI214" i="18"/>
  <c r="AH214" i="18" s="1"/>
  <c r="AI218" i="18"/>
  <c r="AH218" i="18" s="1"/>
  <c r="AI222" i="18"/>
  <c r="AH222" i="18" s="1"/>
  <c r="AI226" i="18"/>
  <c r="AH226" i="18" s="1"/>
  <c r="AI230" i="18"/>
  <c r="AH230" i="18" s="1"/>
  <c r="AI234" i="18"/>
  <c r="AH234" i="18" s="1"/>
  <c r="AI238" i="18"/>
  <c r="AH238" i="18" s="1"/>
  <c r="AI242" i="18"/>
  <c r="AH242" i="18" s="1"/>
  <c r="AI246" i="18"/>
  <c r="AH246" i="18" s="1"/>
  <c r="AI250" i="18"/>
  <c r="AH250" i="18" s="1"/>
  <c r="AI254" i="18"/>
  <c r="AH254" i="18" s="1"/>
  <c r="AI258" i="18"/>
  <c r="AH258" i="18" s="1"/>
  <c r="AI266" i="18"/>
  <c r="AH266" i="18" s="1"/>
  <c r="AI274" i="18"/>
  <c r="AH274" i="18" s="1"/>
  <c r="AI282" i="18"/>
  <c r="AH282" i="18" s="1"/>
  <c r="AI290" i="18"/>
  <c r="AH290" i="18" s="1"/>
  <c r="AI298" i="18"/>
  <c r="AH298" i="18" s="1"/>
  <c r="AI306" i="18"/>
  <c r="AH306" i="18" s="1"/>
  <c r="AI314" i="18"/>
  <c r="AH314" i="18" s="1"/>
  <c r="AI322" i="18"/>
  <c r="AH322" i="18" s="1"/>
  <c r="AI330" i="18"/>
  <c r="AH330" i="18" s="1"/>
  <c r="AI338" i="18"/>
  <c r="AH338" i="18" s="1"/>
  <c r="AI346" i="18"/>
  <c r="AH346" i="18" s="1"/>
  <c r="AI354" i="18"/>
  <c r="AH354" i="18" s="1"/>
  <c r="AI362" i="18"/>
  <c r="AH362" i="18" s="1"/>
  <c r="AI370" i="18"/>
  <c r="AH370" i="18" s="1"/>
  <c r="AI378" i="18"/>
  <c r="AH378" i="18" s="1"/>
  <c r="AI264" i="18"/>
  <c r="AH264" i="18" s="1"/>
  <c r="AI272" i="18"/>
  <c r="AH272" i="18" s="1"/>
  <c r="AI280" i="18"/>
  <c r="AH280" i="18" s="1"/>
  <c r="AI288" i="18"/>
  <c r="AH288" i="18" s="1"/>
  <c r="AI296" i="18"/>
  <c r="AH296" i="18" s="1"/>
  <c r="AI304" i="18"/>
  <c r="AH304" i="18" s="1"/>
  <c r="AI312" i="18"/>
  <c r="AH312" i="18" s="1"/>
  <c r="AI320" i="18"/>
  <c r="AH320" i="18" s="1"/>
  <c r="AI328" i="18"/>
  <c r="AH328" i="18" s="1"/>
  <c r="AI336" i="18"/>
  <c r="AH336" i="18" s="1"/>
  <c r="AI344" i="18"/>
  <c r="AH344" i="18" s="1"/>
  <c r="AI352" i="18"/>
  <c r="AH352" i="18" s="1"/>
  <c r="AI360" i="18"/>
  <c r="AH360" i="18" s="1"/>
  <c r="AI368" i="18"/>
  <c r="AH368" i="18" s="1"/>
  <c r="AI376" i="18"/>
  <c r="AH376" i="18" s="1"/>
  <c r="AI139" i="18"/>
  <c r="AH139" i="18" s="1"/>
  <c r="AG139" i="18" s="1"/>
  <c r="AF139" i="18" s="1"/>
  <c r="AD139" i="18" s="1"/>
  <c r="AI147" i="18"/>
  <c r="AH147" i="18" s="1"/>
  <c r="AG147" i="18" s="1"/>
  <c r="AF147" i="18" s="1"/>
  <c r="AD147" i="18" s="1"/>
  <c r="AI155" i="18"/>
  <c r="AH155" i="18" s="1"/>
  <c r="AG155" i="18" s="1"/>
  <c r="AF155" i="18" s="1"/>
  <c r="AD155" i="18" s="1"/>
  <c r="AI163" i="18"/>
  <c r="AH163" i="18" s="1"/>
  <c r="AG163" i="18" s="1"/>
  <c r="AF163" i="18" s="1"/>
  <c r="AD163" i="18" s="1"/>
  <c r="AI171" i="18"/>
  <c r="AH171" i="18" s="1"/>
  <c r="AG171" i="18" s="1"/>
  <c r="AF171" i="18" s="1"/>
  <c r="AD171" i="18" s="1"/>
  <c r="AI179" i="18"/>
  <c r="AH179" i="18" s="1"/>
  <c r="AG179" i="18" s="1"/>
  <c r="AF179" i="18" s="1"/>
  <c r="AD179" i="18" s="1"/>
  <c r="AI187" i="18"/>
  <c r="AH187" i="18" s="1"/>
  <c r="AG187" i="18" s="1"/>
  <c r="AF187" i="18" s="1"/>
  <c r="AD187" i="18" s="1"/>
  <c r="AI195" i="18"/>
  <c r="AH195" i="18" s="1"/>
  <c r="AG195" i="18" s="1"/>
  <c r="AF195" i="18" s="1"/>
  <c r="AD195" i="18" s="1"/>
  <c r="AI203" i="18"/>
  <c r="AH203" i="18" s="1"/>
  <c r="AG203" i="18" s="1"/>
  <c r="AF203" i="18" s="1"/>
  <c r="AD203" i="18" s="1"/>
  <c r="AI211" i="18"/>
  <c r="AH211" i="18" s="1"/>
  <c r="AG211" i="18" s="1"/>
  <c r="AF211" i="18" s="1"/>
  <c r="AD211" i="18" s="1"/>
  <c r="AI219" i="18"/>
  <c r="AH219" i="18" s="1"/>
  <c r="AG219" i="18" s="1"/>
  <c r="AF219" i="18" s="1"/>
  <c r="AD219" i="18" s="1"/>
  <c r="AI227" i="18"/>
  <c r="AH227" i="18" s="1"/>
  <c r="AG227" i="18" s="1"/>
  <c r="AF227" i="18" s="1"/>
  <c r="AD227" i="18" s="1"/>
  <c r="AI235" i="18"/>
  <c r="AH235" i="18" s="1"/>
  <c r="AG235" i="18" s="1"/>
  <c r="AF235" i="18" s="1"/>
  <c r="AD235" i="18" s="1"/>
  <c r="AI243" i="18"/>
  <c r="AH243" i="18" s="1"/>
  <c r="AG243" i="18" s="1"/>
  <c r="AF243" i="18" s="1"/>
  <c r="AD243" i="18" s="1"/>
  <c r="AI251" i="18"/>
  <c r="AH251" i="18" s="1"/>
  <c r="AG251" i="18" s="1"/>
  <c r="AF251" i="18" s="1"/>
  <c r="AD251" i="18" s="1"/>
  <c r="AI259" i="18"/>
  <c r="AH259" i="18" s="1"/>
  <c r="AG259" i="18" s="1"/>
  <c r="AF259" i="18" s="1"/>
  <c r="AD259" i="18" s="1"/>
  <c r="AI267" i="18"/>
  <c r="AH267" i="18" s="1"/>
  <c r="AI275" i="18"/>
  <c r="AH275" i="18" s="1"/>
  <c r="AG275" i="18" s="1"/>
  <c r="AF275" i="18" s="1"/>
  <c r="AD275" i="18" s="1"/>
  <c r="AI279" i="18"/>
  <c r="AH279" i="18" s="1"/>
  <c r="AG279" i="18" s="1"/>
  <c r="AF279" i="18" s="1"/>
  <c r="AD279" i="18" s="1"/>
  <c r="AI283" i="18"/>
  <c r="AH283" i="18" s="1"/>
  <c r="AG283" i="18" s="1"/>
  <c r="AF283" i="18" s="1"/>
  <c r="AD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I299" i="18"/>
  <c r="AH299" i="18" s="1"/>
  <c r="AG299" i="18" s="1"/>
  <c r="AF299" i="18" s="1"/>
  <c r="AD299" i="18" s="1"/>
  <c r="AI303" i="18"/>
  <c r="AH303" i="18" s="1"/>
  <c r="AG303" i="18" s="1"/>
  <c r="AF303" i="18" s="1"/>
  <c r="AD303" i="18" s="1"/>
  <c r="AI307" i="18"/>
  <c r="AH307" i="18" s="1"/>
  <c r="AG307" i="18" s="1"/>
  <c r="AF307" i="18" s="1"/>
  <c r="AD307" i="18" s="1"/>
  <c r="AI311" i="18"/>
  <c r="AH311" i="18" s="1"/>
  <c r="AI315" i="18"/>
  <c r="AH315" i="18" s="1"/>
  <c r="AG315" i="18" s="1"/>
  <c r="AF315" i="18" s="1"/>
  <c r="AD315" i="18" s="1"/>
  <c r="AI319" i="18"/>
  <c r="AH319" i="18" s="1"/>
  <c r="AG319" i="18" s="1"/>
  <c r="AF319" i="18" s="1"/>
  <c r="AD319" i="18" s="1"/>
  <c r="AI323" i="18"/>
  <c r="AH323" i="18" s="1"/>
  <c r="AG323" i="18" s="1"/>
  <c r="AF323" i="18" s="1"/>
  <c r="AD323" i="18" s="1"/>
  <c r="AI327" i="18"/>
  <c r="AH327" i="18" s="1"/>
  <c r="AG327" i="18" s="1"/>
  <c r="AF327" i="18" s="1"/>
  <c r="AD327" i="18" s="1"/>
  <c r="AI331" i="18"/>
  <c r="AH331" i="18" s="1"/>
  <c r="AG331" i="18" s="1"/>
  <c r="AF331" i="18" s="1"/>
  <c r="AD331" i="18" s="1"/>
  <c r="AI335" i="18"/>
  <c r="AH335" i="18" s="1"/>
  <c r="AI339" i="18"/>
  <c r="AH339" i="18" s="1"/>
  <c r="AI343" i="18"/>
  <c r="AH343" i="18" s="1"/>
  <c r="AI347" i="18"/>
  <c r="AH347" i="18" s="1"/>
  <c r="AI351" i="18"/>
  <c r="AH351" i="18" s="1"/>
  <c r="AI355" i="18"/>
  <c r="AH355" i="18" s="1"/>
  <c r="AI359" i="18"/>
  <c r="AH359" i="18" s="1"/>
  <c r="AG359" i="18" s="1"/>
  <c r="AF359" i="18" s="1"/>
  <c r="AD359" i="18" s="1"/>
  <c r="AI363" i="18"/>
  <c r="AH363" i="18" s="1"/>
  <c r="AI367" i="18"/>
  <c r="AH367" i="18" s="1"/>
  <c r="AI371" i="18"/>
  <c r="AH371" i="18" s="1"/>
  <c r="AI375" i="18"/>
  <c r="AH375" i="18" s="1"/>
  <c r="AI379" i="18"/>
  <c r="AI152" i="18"/>
  <c r="AH152" i="18" s="1"/>
  <c r="AI156" i="18"/>
  <c r="AH156" i="18" s="1"/>
  <c r="AI160" i="18"/>
  <c r="AH160" i="18" s="1"/>
  <c r="AI164" i="18"/>
  <c r="AH164" i="18" s="1"/>
  <c r="AI168" i="18"/>
  <c r="AH168" i="18" s="1"/>
  <c r="AI172" i="18"/>
  <c r="AH172" i="18" s="1"/>
  <c r="AI176" i="18"/>
  <c r="AH176" i="18" s="1"/>
  <c r="AI180" i="18"/>
  <c r="AH180" i="18" s="1"/>
  <c r="AI184" i="18"/>
  <c r="AH184" i="18" s="1"/>
  <c r="AI188" i="18"/>
  <c r="AH188" i="18" s="1"/>
  <c r="AI192" i="18"/>
  <c r="AH192" i="18" s="1"/>
  <c r="AI196" i="18"/>
  <c r="AH196" i="18" s="1"/>
  <c r="AI200" i="18"/>
  <c r="AH200" i="18" s="1"/>
  <c r="AI204" i="18"/>
  <c r="AH204" i="18" s="1"/>
  <c r="AI208" i="18"/>
  <c r="AH208" i="18" s="1"/>
  <c r="AI212" i="18"/>
  <c r="AH212" i="18" s="1"/>
  <c r="AI216" i="18"/>
  <c r="AH216" i="18" s="1"/>
  <c r="AI220" i="18"/>
  <c r="AH220" i="18" s="1"/>
  <c r="AI224" i="18"/>
  <c r="AH224" i="18" s="1"/>
  <c r="AI228" i="18"/>
  <c r="AH228" i="18" s="1"/>
  <c r="AI232" i="18"/>
  <c r="AH232" i="18" s="1"/>
  <c r="AI236" i="18"/>
  <c r="AH236" i="18" s="1"/>
  <c r="AI240" i="18"/>
  <c r="AH240" i="18" s="1"/>
  <c r="AI244" i="18"/>
  <c r="AH244" i="18" s="1"/>
  <c r="AI248" i="18"/>
  <c r="AH248" i="18" s="1"/>
  <c r="AI252" i="18"/>
  <c r="AH252" i="18" s="1"/>
  <c r="AI256" i="18"/>
  <c r="AH256" i="18" s="1"/>
  <c r="AI262" i="18"/>
  <c r="AH262" i="18" s="1"/>
  <c r="AI270" i="18"/>
  <c r="AH270" i="18" s="1"/>
  <c r="AI278" i="18"/>
  <c r="AH278" i="18" s="1"/>
  <c r="AI286" i="18"/>
  <c r="AH286" i="18" s="1"/>
  <c r="AI294" i="18"/>
  <c r="AH294" i="18" s="1"/>
  <c r="AI302" i="18"/>
  <c r="AH302" i="18" s="1"/>
  <c r="AI310" i="18"/>
  <c r="AH310" i="18" s="1"/>
  <c r="AI318" i="18"/>
  <c r="AH318" i="18" s="1"/>
  <c r="AI326" i="18"/>
  <c r="AH326" i="18" s="1"/>
  <c r="AI334" i="18"/>
  <c r="AH334" i="18" s="1"/>
  <c r="AI342" i="18"/>
  <c r="AH342" i="18" s="1"/>
  <c r="AI350" i="18"/>
  <c r="AH350" i="18" s="1"/>
  <c r="AI358" i="18"/>
  <c r="AH358" i="18" s="1"/>
  <c r="AI366" i="18"/>
  <c r="AH366" i="18" s="1"/>
  <c r="AI374" i="18"/>
  <c r="AH374" i="18" s="1"/>
  <c r="AI260" i="18"/>
  <c r="AH260" i="18" s="1"/>
  <c r="AI268" i="18"/>
  <c r="AH268" i="18" s="1"/>
  <c r="AI276" i="18"/>
  <c r="AH276" i="18" s="1"/>
  <c r="AI284" i="18"/>
  <c r="AH284" i="18" s="1"/>
  <c r="AI292" i="18"/>
  <c r="AH292" i="18" s="1"/>
  <c r="AI300" i="18"/>
  <c r="AH300" i="18" s="1"/>
  <c r="AI308" i="18"/>
  <c r="AH308" i="18" s="1"/>
  <c r="AI316" i="18"/>
  <c r="AH316" i="18" s="1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D79" i="7"/>
  <c r="D68" i="7"/>
  <c r="S381" i="17"/>
  <c r="S383" i="17"/>
  <c r="S382" i="17"/>
  <c r="R15" i="17"/>
  <c r="S305" i="18"/>
  <c r="R305" i="18" s="1"/>
  <c r="P305" i="18" s="1"/>
  <c r="V305" i="18" s="1"/>
  <c r="S61" i="18"/>
  <c r="R61" i="18" s="1"/>
  <c r="P61" i="18" s="1"/>
  <c r="V61" i="18" s="1"/>
  <c r="AG382" i="17"/>
  <c r="AG383" i="17"/>
  <c r="AG381" i="17"/>
  <c r="AF15" i="17"/>
  <c r="D64" i="19"/>
  <c r="S329" i="18"/>
  <c r="R329" i="18" s="1"/>
  <c r="P329" i="18" s="1"/>
  <c r="V329" i="18" s="1"/>
  <c r="S313" i="18"/>
  <c r="R313" i="18" s="1"/>
  <c r="P313" i="18" s="1"/>
  <c r="V313" i="18" s="1"/>
  <c r="S249" i="18"/>
  <c r="R249" i="18" s="1"/>
  <c r="P249" i="18" s="1"/>
  <c r="V249" i="18" s="1"/>
  <c r="S73" i="18"/>
  <c r="R73" i="18" s="1"/>
  <c r="P73" i="18" s="1"/>
  <c r="V73" i="18" s="1"/>
  <c r="S25" i="18"/>
  <c r="R25" i="18" s="1"/>
  <c r="P25" i="18" s="1"/>
  <c r="V25" i="18" s="1"/>
  <c r="AB16" i="7"/>
  <c r="U12" i="20"/>
  <c r="T379" i="18"/>
  <c r="D72" i="7"/>
  <c r="V149" i="18"/>
  <c r="S69" i="18"/>
  <c r="R69" i="18" s="1"/>
  <c r="P69" i="18" s="1"/>
  <c r="V69" i="18" s="1"/>
  <c r="S21" i="18"/>
  <c r="R21" i="18" s="1"/>
  <c r="P21" i="18" s="1"/>
  <c r="V21" i="18" s="1"/>
  <c r="F381" i="16"/>
  <c r="F383" i="16"/>
  <c r="AM10" i="16"/>
  <c r="F9" i="16"/>
  <c r="AA15" i="16"/>
  <c r="AL9" i="16" s="1"/>
  <c r="AK10" i="16"/>
  <c r="AK12" i="16" s="1"/>
  <c r="AK13" i="16" s="1"/>
  <c r="G15" i="16"/>
  <c r="BY15" i="6" s="1"/>
  <c r="F382" i="16"/>
  <c r="H15" i="16"/>
  <c r="B63" i="19"/>
  <c r="N63" i="19" s="1"/>
  <c r="V383" i="16"/>
  <c r="V382" i="16"/>
  <c r="V381" i="16"/>
  <c r="AJ4" i="15"/>
  <c r="P12" i="19" s="1"/>
  <c r="AL13" i="15"/>
  <c r="Z11" i="15"/>
  <c r="Z5" i="15" s="1"/>
  <c r="H12" i="19" s="1"/>
  <c r="J12" i="19"/>
  <c r="AA11" i="15"/>
  <c r="AA5" i="15" s="1"/>
  <c r="I12" i="19" s="1"/>
  <c r="AK4" i="15"/>
  <c r="R12" i="19" s="1"/>
  <c r="N13" i="19" s="1"/>
  <c r="AM13" i="15"/>
  <c r="Q382" i="20" l="1"/>
  <c r="Q10" i="22"/>
  <c r="Q16" i="22" s="1"/>
  <c r="AM15" i="7"/>
  <c r="Q381" i="20"/>
  <c r="AE383" i="20"/>
  <c r="Q383" i="20"/>
  <c r="AH15" i="7"/>
  <c r="I36" i="19"/>
  <c r="H36" i="19"/>
  <c r="AE381" i="20"/>
  <c r="AE382" i="20"/>
  <c r="V333" i="18"/>
  <c r="L65" i="19" s="1"/>
  <c r="D75" i="7"/>
  <c r="Q296" i="22"/>
  <c r="I65" i="19"/>
  <c r="U382" i="18"/>
  <c r="Q360" i="22"/>
  <c r="Q232" i="22"/>
  <c r="Q328" i="22"/>
  <c r="Q264" i="22"/>
  <c r="Q200" i="22"/>
  <c r="Q376" i="22"/>
  <c r="Q344" i="22"/>
  <c r="Q312" i="22"/>
  <c r="Q280" i="22"/>
  <c r="Q248" i="22"/>
  <c r="Q216" i="22"/>
  <c r="Q150" i="22"/>
  <c r="U383" i="18"/>
  <c r="Q368" i="22"/>
  <c r="Q352" i="22"/>
  <c r="Q336" i="22"/>
  <c r="Q320" i="22"/>
  <c r="Q304" i="22"/>
  <c r="Q288" i="22"/>
  <c r="Q272" i="22"/>
  <c r="Q256" i="22"/>
  <c r="Q240" i="22"/>
  <c r="Q224" i="22"/>
  <c r="Q208" i="22"/>
  <c r="Q182" i="22"/>
  <c r="Q110" i="22"/>
  <c r="F65" i="19"/>
  <c r="AH11" i="7"/>
  <c r="U11" i="20" s="1"/>
  <c r="U10" i="20" s="1"/>
  <c r="AG372" i="18"/>
  <c r="AF372" i="18" s="1"/>
  <c r="AD372" i="18" s="1"/>
  <c r="AG356" i="18"/>
  <c r="AF356" i="18" s="1"/>
  <c r="AD356" i="18" s="1"/>
  <c r="AG340" i="18"/>
  <c r="AF340" i="18" s="1"/>
  <c r="AD340" i="18" s="1"/>
  <c r="AG324" i="18"/>
  <c r="AF324" i="18" s="1"/>
  <c r="AD324" i="18" s="1"/>
  <c r="AG308" i="18"/>
  <c r="AF308" i="18" s="1"/>
  <c r="AD308" i="18" s="1"/>
  <c r="AG292" i="18"/>
  <c r="AF292" i="18" s="1"/>
  <c r="AD292" i="18" s="1"/>
  <c r="AG276" i="18"/>
  <c r="AF276" i="18" s="1"/>
  <c r="AD276" i="18" s="1"/>
  <c r="AG260" i="18"/>
  <c r="AF260" i="18" s="1"/>
  <c r="AD260" i="18" s="1"/>
  <c r="AG366" i="18"/>
  <c r="AF366" i="18" s="1"/>
  <c r="AD366" i="18" s="1"/>
  <c r="AG350" i="18"/>
  <c r="AF350" i="18" s="1"/>
  <c r="AD350" i="18" s="1"/>
  <c r="AG334" i="18"/>
  <c r="AF334" i="18" s="1"/>
  <c r="AD334" i="18" s="1"/>
  <c r="AG318" i="18"/>
  <c r="AF318" i="18" s="1"/>
  <c r="AD318" i="18" s="1"/>
  <c r="AG302" i="18"/>
  <c r="AF302" i="18" s="1"/>
  <c r="AD302" i="18" s="1"/>
  <c r="AG286" i="18"/>
  <c r="AF286" i="18" s="1"/>
  <c r="AD286" i="18" s="1"/>
  <c r="AG270" i="18"/>
  <c r="AF270" i="18" s="1"/>
  <c r="AD270" i="18" s="1"/>
  <c r="AG256" i="18"/>
  <c r="AF256" i="18" s="1"/>
  <c r="AD256" i="18" s="1"/>
  <c r="AG248" i="18"/>
  <c r="AF248" i="18" s="1"/>
  <c r="AD248" i="18" s="1"/>
  <c r="AG240" i="18"/>
  <c r="AF240" i="18" s="1"/>
  <c r="AD240" i="18" s="1"/>
  <c r="AG232" i="18"/>
  <c r="AF232" i="18" s="1"/>
  <c r="AD232" i="18" s="1"/>
  <c r="AG224" i="18"/>
  <c r="AF224" i="18" s="1"/>
  <c r="AD224" i="18" s="1"/>
  <c r="AG216" i="18"/>
  <c r="AF216" i="18" s="1"/>
  <c r="AD216" i="18" s="1"/>
  <c r="AG208" i="18"/>
  <c r="AF208" i="18" s="1"/>
  <c r="AD208" i="18" s="1"/>
  <c r="AG200" i="18"/>
  <c r="AF200" i="18" s="1"/>
  <c r="AD200" i="18" s="1"/>
  <c r="AG192" i="18"/>
  <c r="AF192" i="18" s="1"/>
  <c r="AD192" i="18" s="1"/>
  <c r="AG184" i="18"/>
  <c r="AF184" i="18" s="1"/>
  <c r="AD184" i="18" s="1"/>
  <c r="AG176" i="18"/>
  <c r="AF176" i="18" s="1"/>
  <c r="AD176" i="18" s="1"/>
  <c r="AG168" i="18"/>
  <c r="AF168" i="18" s="1"/>
  <c r="AD168" i="18" s="1"/>
  <c r="AG160" i="18"/>
  <c r="AF160" i="18" s="1"/>
  <c r="AD160" i="18" s="1"/>
  <c r="AG152" i="18"/>
  <c r="AF152" i="18" s="1"/>
  <c r="AD152" i="18" s="1"/>
  <c r="AG375" i="18"/>
  <c r="AF375" i="18" s="1"/>
  <c r="AD375" i="18" s="1"/>
  <c r="AG367" i="18"/>
  <c r="AF367" i="18" s="1"/>
  <c r="AD367" i="18" s="1"/>
  <c r="AG351" i="18"/>
  <c r="AF351" i="18" s="1"/>
  <c r="AD351" i="18" s="1"/>
  <c r="AG343" i="18"/>
  <c r="AF343" i="18" s="1"/>
  <c r="AD343" i="18" s="1"/>
  <c r="AG335" i="18"/>
  <c r="AF335" i="18" s="1"/>
  <c r="AD335" i="18" s="1"/>
  <c r="AG311" i="18"/>
  <c r="AF311" i="18" s="1"/>
  <c r="AD311" i="18" s="1"/>
  <c r="AG295" i="18"/>
  <c r="AF295" i="18" s="1"/>
  <c r="AD295" i="18" s="1"/>
  <c r="AG267" i="18"/>
  <c r="AF267" i="18" s="1"/>
  <c r="AD267" i="18" s="1"/>
  <c r="AG368" i="18"/>
  <c r="AF368" i="18" s="1"/>
  <c r="AD368" i="18" s="1"/>
  <c r="AG352" i="18"/>
  <c r="AF352" i="18" s="1"/>
  <c r="AD352" i="18" s="1"/>
  <c r="AG336" i="18"/>
  <c r="AF336" i="18" s="1"/>
  <c r="AD336" i="18" s="1"/>
  <c r="AG320" i="18"/>
  <c r="AF320" i="18" s="1"/>
  <c r="AD320" i="18" s="1"/>
  <c r="AG304" i="18"/>
  <c r="AF304" i="18" s="1"/>
  <c r="AD304" i="18" s="1"/>
  <c r="AG288" i="18"/>
  <c r="AF288" i="18" s="1"/>
  <c r="AD288" i="18" s="1"/>
  <c r="AG272" i="18"/>
  <c r="AF272" i="18" s="1"/>
  <c r="AD272" i="18" s="1"/>
  <c r="AG378" i="18"/>
  <c r="AF378" i="18" s="1"/>
  <c r="AD378" i="18" s="1"/>
  <c r="AG362" i="18"/>
  <c r="AF362" i="18" s="1"/>
  <c r="AD362" i="18" s="1"/>
  <c r="AG346" i="18"/>
  <c r="AF346" i="18" s="1"/>
  <c r="AD346" i="18" s="1"/>
  <c r="AG330" i="18"/>
  <c r="AF330" i="18" s="1"/>
  <c r="AD330" i="18" s="1"/>
  <c r="AG314" i="18"/>
  <c r="AF314" i="18" s="1"/>
  <c r="AD314" i="18" s="1"/>
  <c r="AG298" i="18"/>
  <c r="AF298" i="18" s="1"/>
  <c r="AD298" i="18" s="1"/>
  <c r="AG282" i="18"/>
  <c r="AF282" i="18" s="1"/>
  <c r="AD282" i="18" s="1"/>
  <c r="AG266" i="18"/>
  <c r="AF266" i="18" s="1"/>
  <c r="AD266" i="18" s="1"/>
  <c r="AG254" i="18"/>
  <c r="AF254" i="18" s="1"/>
  <c r="AD254" i="18" s="1"/>
  <c r="AG246" i="18"/>
  <c r="AF246" i="18" s="1"/>
  <c r="AD246" i="18" s="1"/>
  <c r="AG238" i="18"/>
  <c r="AF238" i="18" s="1"/>
  <c r="AD238" i="18" s="1"/>
  <c r="AG230" i="18"/>
  <c r="AF230" i="18" s="1"/>
  <c r="AD230" i="18" s="1"/>
  <c r="AG222" i="18"/>
  <c r="AF222" i="18" s="1"/>
  <c r="AD222" i="18" s="1"/>
  <c r="AG214" i="18"/>
  <c r="AF214" i="18" s="1"/>
  <c r="AD214" i="18" s="1"/>
  <c r="AG206" i="18"/>
  <c r="AF206" i="18" s="1"/>
  <c r="AD206" i="18" s="1"/>
  <c r="AG198" i="18"/>
  <c r="AF198" i="18" s="1"/>
  <c r="AD198" i="18" s="1"/>
  <c r="AG190" i="18"/>
  <c r="AF190" i="18" s="1"/>
  <c r="AD190" i="18" s="1"/>
  <c r="AG182" i="18"/>
  <c r="AF182" i="18" s="1"/>
  <c r="AD182" i="18" s="1"/>
  <c r="AG174" i="18"/>
  <c r="AF174" i="18" s="1"/>
  <c r="AD174" i="18" s="1"/>
  <c r="AG166" i="18"/>
  <c r="AF166" i="18" s="1"/>
  <c r="AD166" i="18" s="1"/>
  <c r="AG158" i="18"/>
  <c r="AF158" i="18" s="1"/>
  <c r="AD158" i="18" s="1"/>
  <c r="AG150" i="18"/>
  <c r="AF150" i="18" s="1"/>
  <c r="AD150" i="18" s="1"/>
  <c r="AG373" i="18"/>
  <c r="AF373" i="18" s="1"/>
  <c r="AD373" i="18" s="1"/>
  <c r="AG365" i="18"/>
  <c r="AF365" i="18" s="1"/>
  <c r="AD365" i="18" s="1"/>
  <c r="AG357" i="18"/>
  <c r="AF357" i="18" s="1"/>
  <c r="AD357" i="18" s="1"/>
  <c r="AG325" i="18"/>
  <c r="AF325" i="18" s="1"/>
  <c r="AD325" i="18" s="1"/>
  <c r="AG301" i="18"/>
  <c r="AF301" i="18" s="1"/>
  <c r="AD301" i="18" s="1"/>
  <c r="AG293" i="18"/>
  <c r="AF293" i="18" s="1"/>
  <c r="AD293" i="18" s="1"/>
  <c r="AG285" i="18"/>
  <c r="AF285" i="18" s="1"/>
  <c r="AD285" i="18" s="1"/>
  <c r="AG277" i="18"/>
  <c r="AF277" i="18" s="1"/>
  <c r="AD277" i="18" s="1"/>
  <c r="AG273" i="18"/>
  <c r="AF273" i="18" s="1"/>
  <c r="AD273" i="18" s="1"/>
  <c r="AG265" i="18"/>
  <c r="AF265" i="18" s="1"/>
  <c r="AD265" i="18" s="1"/>
  <c r="AG121" i="18"/>
  <c r="AF121" i="18" s="1"/>
  <c r="AD121" i="18" s="1"/>
  <c r="AG81" i="18"/>
  <c r="AF81" i="18" s="1"/>
  <c r="AD81" i="18" s="1"/>
  <c r="AG65" i="18"/>
  <c r="AF65" i="18" s="1"/>
  <c r="AD65" i="18" s="1"/>
  <c r="AG41" i="18"/>
  <c r="AF41" i="18" s="1"/>
  <c r="AD41" i="18" s="1"/>
  <c r="AG25" i="18"/>
  <c r="AF25" i="18" s="1"/>
  <c r="AD25" i="18" s="1"/>
  <c r="AG144" i="18"/>
  <c r="AF144" i="18" s="1"/>
  <c r="AD144" i="18" s="1"/>
  <c r="AG136" i="18"/>
  <c r="AF136" i="18" s="1"/>
  <c r="AD136" i="18" s="1"/>
  <c r="AG128" i="18"/>
  <c r="AF128" i="18" s="1"/>
  <c r="AD128" i="18" s="1"/>
  <c r="AG120" i="18"/>
  <c r="AF120" i="18" s="1"/>
  <c r="AD120" i="18" s="1"/>
  <c r="AG112" i="18"/>
  <c r="AF112" i="18" s="1"/>
  <c r="AD112" i="18" s="1"/>
  <c r="AG104" i="18"/>
  <c r="AF104" i="18" s="1"/>
  <c r="AD104" i="18" s="1"/>
  <c r="AG96" i="18"/>
  <c r="AF96" i="18" s="1"/>
  <c r="AD96" i="18" s="1"/>
  <c r="AG88" i="18"/>
  <c r="AF88" i="18" s="1"/>
  <c r="AD88" i="18" s="1"/>
  <c r="AG80" i="18"/>
  <c r="AF80" i="18" s="1"/>
  <c r="AD80" i="18" s="1"/>
  <c r="AG72" i="18"/>
  <c r="AF72" i="18" s="1"/>
  <c r="AD72" i="18" s="1"/>
  <c r="AG64" i="18"/>
  <c r="AF64" i="18" s="1"/>
  <c r="AD64" i="18" s="1"/>
  <c r="AG56" i="18"/>
  <c r="AF56" i="18" s="1"/>
  <c r="AD56" i="18" s="1"/>
  <c r="AG48" i="18"/>
  <c r="AF48" i="18" s="1"/>
  <c r="AD48" i="18" s="1"/>
  <c r="AG40" i="18"/>
  <c r="AF40" i="18" s="1"/>
  <c r="AD40" i="18" s="1"/>
  <c r="AG32" i="18"/>
  <c r="AF32" i="18" s="1"/>
  <c r="AD32" i="18" s="1"/>
  <c r="AG24" i="18"/>
  <c r="AF24" i="18" s="1"/>
  <c r="AD24" i="18" s="1"/>
  <c r="AG19" i="18"/>
  <c r="AF19" i="18" s="1"/>
  <c r="AD19" i="18" s="1"/>
  <c r="AG17" i="18"/>
  <c r="AF17" i="18" s="1"/>
  <c r="AD17" i="18" s="1"/>
  <c r="AG142" i="18"/>
  <c r="AF142" i="18" s="1"/>
  <c r="AD142" i="18" s="1"/>
  <c r="AG134" i="18"/>
  <c r="AF134" i="18" s="1"/>
  <c r="AD134" i="18" s="1"/>
  <c r="AG126" i="18"/>
  <c r="AF126" i="18" s="1"/>
  <c r="AD126" i="18" s="1"/>
  <c r="AG118" i="18"/>
  <c r="AF118" i="18" s="1"/>
  <c r="AD118" i="18" s="1"/>
  <c r="AG110" i="18"/>
  <c r="AF110" i="18" s="1"/>
  <c r="AD110" i="18" s="1"/>
  <c r="AG102" i="18"/>
  <c r="AF102" i="18" s="1"/>
  <c r="AD102" i="18" s="1"/>
  <c r="AG94" i="18"/>
  <c r="AF94" i="18" s="1"/>
  <c r="AD94" i="18" s="1"/>
  <c r="AG86" i="18"/>
  <c r="AF86" i="18" s="1"/>
  <c r="AD86" i="18" s="1"/>
  <c r="AG78" i="18"/>
  <c r="AF78" i="18" s="1"/>
  <c r="AD78" i="18" s="1"/>
  <c r="AG70" i="18"/>
  <c r="AF70" i="18" s="1"/>
  <c r="AD70" i="18" s="1"/>
  <c r="AG62" i="18"/>
  <c r="AF62" i="18" s="1"/>
  <c r="AD62" i="18" s="1"/>
  <c r="AG54" i="18"/>
  <c r="AF54" i="18" s="1"/>
  <c r="AD54" i="18" s="1"/>
  <c r="AG46" i="18"/>
  <c r="AF46" i="18" s="1"/>
  <c r="AD46" i="18" s="1"/>
  <c r="AG38" i="18"/>
  <c r="AF38" i="18" s="1"/>
  <c r="AD38" i="18" s="1"/>
  <c r="AG30" i="18"/>
  <c r="AF30" i="18" s="1"/>
  <c r="AD30" i="18" s="1"/>
  <c r="AG22" i="18"/>
  <c r="AF22" i="18" s="1"/>
  <c r="AD22" i="18" s="1"/>
  <c r="D71" i="7"/>
  <c r="V119" i="18"/>
  <c r="E65" i="19" s="1"/>
  <c r="V302" i="18"/>
  <c r="K65" i="19" s="1"/>
  <c r="D77" i="7"/>
  <c r="T15" i="18"/>
  <c r="S15" i="18" s="1"/>
  <c r="R15" i="18" s="1"/>
  <c r="U381" i="18"/>
  <c r="V180" i="18"/>
  <c r="G65" i="19" s="1"/>
  <c r="D73" i="7"/>
  <c r="V60" i="18"/>
  <c r="C65" i="19" s="1"/>
  <c r="D69" i="7"/>
  <c r="AG364" i="18"/>
  <c r="AF364" i="18" s="1"/>
  <c r="AD364" i="18" s="1"/>
  <c r="AG348" i="18"/>
  <c r="AF348" i="18" s="1"/>
  <c r="AD348" i="18" s="1"/>
  <c r="AG332" i="18"/>
  <c r="AF332" i="18" s="1"/>
  <c r="AD332" i="18" s="1"/>
  <c r="AG316" i="18"/>
  <c r="AF316" i="18" s="1"/>
  <c r="AD316" i="18" s="1"/>
  <c r="AG300" i="18"/>
  <c r="AF300" i="18" s="1"/>
  <c r="AD300" i="18" s="1"/>
  <c r="AG284" i="18"/>
  <c r="AF284" i="18" s="1"/>
  <c r="AD284" i="18" s="1"/>
  <c r="AG268" i="18"/>
  <c r="AF268" i="18" s="1"/>
  <c r="AD268" i="18" s="1"/>
  <c r="AG374" i="18"/>
  <c r="AF374" i="18" s="1"/>
  <c r="AD374" i="18" s="1"/>
  <c r="AG358" i="18"/>
  <c r="AF358" i="18" s="1"/>
  <c r="AD358" i="18" s="1"/>
  <c r="AG342" i="18"/>
  <c r="AF342" i="18" s="1"/>
  <c r="AD342" i="18" s="1"/>
  <c r="AG326" i="18"/>
  <c r="AF326" i="18" s="1"/>
  <c r="AD326" i="18" s="1"/>
  <c r="AG310" i="18"/>
  <c r="AF310" i="18" s="1"/>
  <c r="AD310" i="18" s="1"/>
  <c r="AG294" i="18"/>
  <c r="AF294" i="18" s="1"/>
  <c r="AD294" i="18" s="1"/>
  <c r="AG278" i="18"/>
  <c r="AF278" i="18" s="1"/>
  <c r="AD278" i="18" s="1"/>
  <c r="AG262" i="18"/>
  <c r="AF262" i="18" s="1"/>
  <c r="AD262" i="18" s="1"/>
  <c r="AG252" i="18"/>
  <c r="AF252" i="18" s="1"/>
  <c r="AD252" i="18" s="1"/>
  <c r="AG244" i="18"/>
  <c r="AF244" i="18" s="1"/>
  <c r="AD244" i="18" s="1"/>
  <c r="AG236" i="18"/>
  <c r="AF236" i="18" s="1"/>
  <c r="AD236" i="18" s="1"/>
  <c r="AG228" i="18"/>
  <c r="AF228" i="18" s="1"/>
  <c r="AD228" i="18" s="1"/>
  <c r="AG220" i="18"/>
  <c r="AF220" i="18" s="1"/>
  <c r="AD220" i="18" s="1"/>
  <c r="AG212" i="18"/>
  <c r="AF212" i="18" s="1"/>
  <c r="AD212" i="18" s="1"/>
  <c r="AG204" i="18"/>
  <c r="AF204" i="18" s="1"/>
  <c r="AD204" i="18" s="1"/>
  <c r="AG196" i="18"/>
  <c r="AF196" i="18" s="1"/>
  <c r="AD196" i="18" s="1"/>
  <c r="AG188" i="18"/>
  <c r="AF188" i="18" s="1"/>
  <c r="AD188" i="18" s="1"/>
  <c r="AG180" i="18"/>
  <c r="AF180" i="18" s="1"/>
  <c r="AD180" i="18" s="1"/>
  <c r="AG172" i="18"/>
  <c r="AF172" i="18" s="1"/>
  <c r="AD172" i="18" s="1"/>
  <c r="AG164" i="18"/>
  <c r="AF164" i="18" s="1"/>
  <c r="AD164" i="18" s="1"/>
  <c r="AG156" i="18"/>
  <c r="AF156" i="18" s="1"/>
  <c r="AD156" i="18" s="1"/>
  <c r="AH379" i="18"/>
  <c r="AG379" i="18" s="1"/>
  <c r="AF379" i="18" s="1"/>
  <c r="AD379" i="18" s="1"/>
  <c r="AI12" i="20"/>
  <c r="AG371" i="18"/>
  <c r="AF371" i="18" s="1"/>
  <c r="AD371" i="18" s="1"/>
  <c r="AG363" i="18"/>
  <c r="AF363" i="18" s="1"/>
  <c r="AD363" i="18" s="1"/>
  <c r="AG355" i="18"/>
  <c r="AF355" i="18" s="1"/>
  <c r="AD355" i="18" s="1"/>
  <c r="AG347" i="18"/>
  <c r="AF347" i="18" s="1"/>
  <c r="AD347" i="18" s="1"/>
  <c r="AG339" i="18"/>
  <c r="AF339" i="18" s="1"/>
  <c r="AD339" i="18" s="1"/>
  <c r="AG376" i="18"/>
  <c r="AF376" i="18" s="1"/>
  <c r="AD376" i="18" s="1"/>
  <c r="AG360" i="18"/>
  <c r="AF360" i="18" s="1"/>
  <c r="AD360" i="18" s="1"/>
  <c r="AG344" i="18"/>
  <c r="AF344" i="18" s="1"/>
  <c r="AD344" i="18" s="1"/>
  <c r="AG328" i="18"/>
  <c r="AF328" i="18" s="1"/>
  <c r="AD328" i="18" s="1"/>
  <c r="AG312" i="18"/>
  <c r="AF312" i="18" s="1"/>
  <c r="AD312" i="18" s="1"/>
  <c r="AG296" i="18"/>
  <c r="AF296" i="18" s="1"/>
  <c r="AD296" i="18" s="1"/>
  <c r="AG280" i="18"/>
  <c r="AF280" i="18" s="1"/>
  <c r="AD280" i="18" s="1"/>
  <c r="AG264" i="18"/>
  <c r="AF264" i="18" s="1"/>
  <c r="AD264" i="18" s="1"/>
  <c r="AG370" i="18"/>
  <c r="AF370" i="18" s="1"/>
  <c r="AD370" i="18" s="1"/>
  <c r="AG354" i="18"/>
  <c r="AF354" i="18" s="1"/>
  <c r="AD354" i="18" s="1"/>
  <c r="AG338" i="18"/>
  <c r="AF338" i="18" s="1"/>
  <c r="AD338" i="18" s="1"/>
  <c r="AG322" i="18"/>
  <c r="AF322" i="18" s="1"/>
  <c r="AD322" i="18" s="1"/>
  <c r="AG306" i="18"/>
  <c r="AF306" i="18" s="1"/>
  <c r="AD306" i="18" s="1"/>
  <c r="AG290" i="18"/>
  <c r="AF290" i="18" s="1"/>
  <c r="AD290" i="18" s="1"/>
  <c r="AG274" i="18"/>
  <c r="AF274" i="18" s="1"/>
  <c r="AD274" i="18" s="1"/>
  <c r="AG258" i="18"/>
  <c r="AF258" i="18" s="1"/>
  <c r="AD258" i="18" s="1"/>
  <c r="AG250" i="18"/>
  <c r="AF250" i="18" s="1"/>
  <c r="AD250" i="18" s="1"/>
  <c r="AG242" i="18"/>
  <c r="AF242" i="18" s="1"/>
  <c r="AD242" i="18" s="1"/>
  <c r="AG234" i="18"/>
  <c r="AF234" i="18" s="1"/>
  <c r="AD234" i="18" s="1"/>
  <c r="AG226" i="18"/>
  <c r="AF226" i="18" s="1"/>
  <c r="AD226" i="18" s="1"/>
  <c r="AG218" i="18"/>
  <c r="AF218" i="18" s="1"/>
  <c r="AD218" i="18" s="1"/>
  <c r="AG210" i="18"/>
  <c r="AF210" i="18" s="1"/>
  <c r="AD210" i="18" s="1"/>
  <c r="AG202" i="18"/>
  <c r="AF202" i="18" s="1"/>
  <c r="AD202" i="18" s="1"/>
  <c r="AG194" i="18"/>
  <c r="AF194" i="18" s="1"/>
  <c r="AD194" i="18" s="1"/>
  <c r="AG186" i="18"/>
  <c r="AF186" i="18" s="1"/>
  <c r="AD186" i="18" s="1"/>
  <c r="AG178" i="18"/>
  <c r="AF178" i="18" s="1"/>
  <c r="AD178" i="18" s="1"/>
  <c r="AG170" i="18"/>
  <c r="AF170" i="18" s="1"/>
  <c r="AD170" i="18" s="1"/>
  <c r="AG162" i="18"/>
  <c r="AF162" i="18" s="1"/>
  <c r="AD162" i="18" s="1"/>
  <c r="AG154" i="18"/>
  <c r="AF154" i="18" s="1"/>
  <c r="AD154" i="18" s="1"/>
  <c r="AG377" i="18"/>
  <c r="AF377" i="18" s="1"/>
  <c r="AD377" i="18" s="1"/>
  <c r="AG361" i="18"/>
  <c r="AF361" i="18" s="1"/>
  <c r="AD361" i="18" s="1"/>
  <c r="AG345" i="18"/>
  <c r="AF345" i="18" s="1"/>
  <c r="AD345" i="18" s="1"/>
  <c r="AG337" i="18"/>
  <c r="AF337" i="18" s="1"/>
  <c r="AD337" i="18" s="1"/>
  <c r="AG329" i="18"/>
  <c r="AF329" i="18" s="1"/>
  <c r="AD329" i="18" s="1"/>
  <c r="AG321" i="18"/>
  <c r="AF321" i="18" s="1"/>
  <c r="AD321" i="18" s="1"/>
  <c r="AG313" i="18"/>
  <c r="AF313" i="18" s="1"/>
  <c r="AD313" i="18" s="1"/>
  <c r="AG305" i="18"/>
  <c r="AF305" i="18" s="1"/>
  <c r="AD305" i="18" s="1"/>
  <c r="AG297" i="18"/>
  <c r="AF297" i="18" s="1"/>
  <c r="AD297" i="18" s="1"/>
  <c r="AG289" i="18"/>
  <c r="AF289" i="18" s="1"/>
  <c r="AD289" i="18" s="1"/>
  <c r="AG281" i="18"/>
  <c r="AF281" i="18" s="1"/>
  <c r="AD281" i="18" s="1"/>
  <c r="AG261" i="18"/>
  <c r="AF261" i="18" s="1"/>
  <c r="AD261" i="18" s="1"/>
  <c r="AG229" i="18"/>
  <c r="AF229" i="18" s="1"/>
  <c r="AD229" i="18" s="1"/>
  <c r="AG181" i="18"/>
  <c r="AF181" i="18" s="1"/>
  <c r="AD181" i="18" s="1"/>
  <c r="AG165" i="18"/>
  <c r="AF165" i="18" s="1"/>
  <c r="AD165" i="18" s="1"/>
  <c r="AG77" i="18"/>
  <c r="AF77" i="18" s="1"/>
  <c r="AD77" i="18" s="1"/>
  <c r="AG69" i="18"/>
  <c r="AF69" i="18" s="1"/>
  <c r="AD69" i="18" s="1"/>
  <c r="AG21" i="18"/>
  <c r="AF21" i="18" s="1"/>
  <c r="AD21" i="18" s="1"/>
  <c r="AG148" i="18"/>
  <c r="AF148" i="18" s="1"/>
  <c r="AD148" i="18" s="1"/>
  <c r="AG140" i="18"/>
  <c r="AF140" i="18" s="1"/>
  <c r="AD140" i="18" s="1"/>
  <c r="AG132" i="18"/>
  <c r="AF132" i="18" s="1"/>
  <c r="AD132" i="18" s="1"/>
  <c r="AG124" i="18"/>
  <c r="AF124" i="18" s="1"/>
  <c r="AD124" i="18" s="1"/>
  <c r="AG116" i="18"/>
  <c r="AF116" i="18" s="1"/>
  <c r="AD116" i="18" s="1"/>
  <c r="AG108" i="18"/>
  <c r="AF108" i="18" s="1"/>
  <c r="AD108" i="18" s="1"/>
  <c r="AG100" i="18"/>
  <c r="AF100" i="18" s="1"/>
  <c r="AD100" i="18" s="1"/>
  <c r="AG92" i="18"/>
  <c r="AF92" i="18" s="1"/>
  <c r="AD92" i="18" s="1"/>
  <c r="AG84" i="18"/>
  <c r="AF84" i="18" s="1"/>
  <c r="AD84" i="18" s="1"/>
  <c r="AG76" i="18"/>
  <c r="AF76" i="18" s="1"/>
  <c r="AD76" i="18" s="1"/>
  <c r="AG68" i="18"/>
  <c r="AF68" i="18" s="1"/>
  <c r="AD68" i="18" s="1"/>
  <c r="AG60" i="18"/>
  <c r="AF60" i="18" s="1"/>
  <c r="AD60" i="18" s="1"/>
  <c r="AG52" i="18"/>
  <c r="AF52" i="18" s="1"/>
  <c r="AD52" i="18" s="1"/>
  <c r="AG44" i="18"/>
  <c r="AF44" i="18" s="1"/>
  <c r="AD44" i="18" s="1"/>
  <c r="AG36" i="18"/>
  <c r="AF36" i="18" s="1"/>
  <c r="AD36" i="18" s="1"/>
  <c r="AG28" i="18"/>
  <c r="AF28" i="18" s="1"/>
  <c r="AD28" i="18" s="1"/>
  <c r="AG20" i="18"/>
  <c r="AF20" i="18" s="1"/>
  <c r="AD20" i="18" s="1"/>
  <c r="V210" i="18"/>
  <c r="H65" i="19" s="1"/>
  <c r="D74" i="7"/>
  <c r="AI383" i="18"/>
  <c r="AI381" i="18"/>
  <c r="AH15" i="18"/>
  <c r="AI382" i="18"/>
  <c r="AG146" i="18"/>
  <c r="AF146" i="18" s="1"/>
  <c r="AD146" i="18" s="1"/>
  <c r="AG138" i="18"/>
  <c r="AF138" i="18" s="1"/>
  <c r="AD138" i="18" s="1"/>
  <c r="AG130" i="18"/>
  <c r="AF130" i="18" s="1"/>
  <c r="AD130" i="18" s="1"/>
  <c r="AG122" i="18"/>
  <c r="AF122" i="18" s="1"/>
  <c r="AD122" i="18" s="1"/>
  <c r="AG114" i="18"/>
  <c r="AF114" i="18" s="1"/>
  <c r="AD114" i="18" s="1"/>
  <c r="AG106" i="18"/>
  <c r="AF106" i="18" s="1"/>
  <c r="AD106" i="18" s="1"/>
  <c r="AG98" i="18"/>
  <c r="AF98" i="18" s="1"/>
  <c r="AD98" i="18" s="1"/>
  <c r="AG90" i="18"/>
  <c r="AF90" i="18" s="1"/>
  <c r="AD90" i="18" s="1"/>
  <c r="AG82" i="18"/>
  <c r="AF82" i="18" s="1"/>
  <c r="AD82" i="18" s="1"/>
  <c r="AG74" i="18"/>
  <c r="AF74" i="18" s="1"/>
  <c r="AD74" i="18" s="1"/>
  <c r="AG66" i="18"/>
  <c r="AF66" i="18" s="1"/>
  <c r="AD66" i="18" s="1"/>
  <c r="AG58" i="18"/>
  <c r="AF58" i="18" s="1"/>
  <c r="AD58" i="18" s="1"/>
  <c r="AG50" i="18"/>
  <c r="AF50" i="18" s="1"/>
  <c r="AD50" i="18" s="1"/>
  <c r="AG42" i="18"/>
  <c r="AF42" i="18" s="1"/>
  <c r="AD42" i="18" s="1"/>
  <c r="AG34" i="18"/>
  <c r="AF34" i="18" s="1"/>
  <c r="AD34" i="18" s="1"/>
  <c r="AG26" i="18"/>
  <c r="AF26" i="18" s="1"/>
  <c r="AD26" i="18" s="1"/>
  <c r="V272" i="18"/>
  <c r="J65" i="19" s="1"/>
  <c r="D76" i="7"/>
  <c r="D70" i="7"/>
  <c r="V88" i="18"/>
  <c r="D65" i="19" s="1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AB9" i="16"/>
  <c r="G13" i="19"/>
  <c r="F11" i="16"/>
  <c r="S379" i="18"/>
  <c r="AF381" i="17"/>
  <c r="AD15" i="17"/>
  <c r="AF382" i="17"/>
  <c r="AF383" i="17"/>
  <c r="R382" i="17"/>
  <c r="P15" i="17"/>
  <c r="R383" i="17"/>
  <c r="R381" i="17"/>
  <c r="I15" i="16"/>
  <c r="J15" i="16"/>
  <c r="G382" i="16"/>
  <c r="G383" i="16"/>
  <c r="G12" i="16" s="1"/>
  <c r="G381" i="16"/>
  <c r="AA382" i="16"/>
  <c r="AM8" i="16"/>
  <c r="AA9" i="16"/>
  <c r="AL10" i="16"/>
  <c r="AA381" i="16"/>
  <c r="Z15" i="16"/>
  <c r="AL7" i="16" s="1"/>
  <c r="AA383" i="16"/>
  <c r="AG16" i="7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AN15" i="7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E11" i="22" l="1"/>
  <c r="U51" i="20"/>
  <c r="T51" i="20" s="1"/>
  <c r="S51" i="20" s="1"/>
  <c r="R51" i="20" s="1"/>
  <c r="P51" i="20" s="1"/>
  <c r="V51" i="20" s="1"/>
  <c r="U16" i="20"/>
  <c r="T16" i="20" s="1"/>
  <c r="S16" i="20" s="1"/>
  <c r="R16" i="20" s="1"/>
  <c r="P16" i="20" s="1"/>
  <c r="V16" i="20" s="1"/>
  <c r="U265" i="20"/>
  <c r="T265" i="20" s="1"/>
  <c r="S265" i="20" s="1"/>
  <c r="R265" i="20" s="1"/>
  <c r="P265" i="20" s="1"/>
  <c r="V265" i="20" s="1"/>
  <c r="U39" i="20"/>
  <c r="T39" i="20" s="1"/>
  <c r="S39" i="20" s="1"/>
  <c r="R39" i="20" s="1"/>
  <c r="P39" i="20" s="1"/>
  <c r="V39" i="20" s="1"/>
  <c r="U275" i="20"/>
  <c r="T275" i="20" s="1"/>
  <c r="S275" i="20" s="1"/>
  <c r="R275" i="20" s="1"/>
  <c r="P275" i="20" s="1"/>
  <c r="V275" i="20" s="1"/>
  <c r="U147" i="20"/>
  <c r="T147" i="20" s="1"/>
  <c r="S147" i="20" s="1"/>
  <c r="R147" i="20" s="1"/>
  <c r="P147" i="20" s="1"/>
  <c r="V147" i="20" s="1"/>
  <c r="U329" i="20"/>
  <c r="T329" i="20" s="1"/>
  <c r="S329" i="20" s="1"/>
  <c r="R329" i="20" s="1"/>
  <c r="P329" i="20" s="1"/>
  <c r="V329" i="20" s="1"/>
  <c r="U167" i="20"/>
  <c r="T167" i="20" s="1"/>
  <c r="S167" i="20" s="1"/>
  <c r="R167" i="20" s="1"/>
  <c r="P167" i="20" s="1"/>
  <c r="V167" i="20" s="1"/>
  <c r="U339" i="20"/>
  <c r="T339" i="20" s="1"/>
  <c r="S339" i="20" s="1"/>
  <c r="R339" i="20" s="1"/>
  <c r="P339" i="20" s="1"/>
  <c r="V339" i="20" s="1"/>
  <c r="J37" i="19"/>
  <c r="U371" i="20"/>
  <c r="T371" i="20" s="1"/>
  <c r="S371" i="20" s="1"/>
  <c r="R371" i="20" s="1"/>
  <c r="P371" i="20" s="1"/>
  <c r="V371" i="20" s="1"/>
  <c r="U307" i="20"/>
  <c r="T307" i="20" s="1"/>
  <c r="S307" i="20" s="1"/>
  <c r="R307" i="20" s="1"/>
  <c r="P307" i="20" s="1"/>
  <c r="V307" i="20" s="1"/>
  <c r="U231" i="20"/>
  <c r="T231" i="20" s="1"/>
  <c r="S231" i="20" s="1"/>
  <c r="R231" i="20" s="1"/>
  <c r="P231" i="20" s="1"/>
  <c r="V231" i="20" s="1"/>
  <c r="U103" i="20"/>
  <c r="T103" i="20" s="1"/>
  <c r="S103" i="20" s="1"/>
  <c r="R103" i="20" s="1"/>
  <c r="P103" i="20" s="1"/>
  <c r="V103" i="20" s="1"/>
  <c r="U361" i="20"/>
  <c r="T361" i="20" s="1"/>
  <c r="S361" i="20" s="1"/>
  <c r="R361" i="20" s="1"/>
  <c r="P361" i="20" s="1"/>
  <c r="V361" i="20" s="1"/>
  <c r="U297" i="20"/>
  <c r="T297" i="20" s="1"/>
  <c r="S297" i="20" s="1"/>
  <c r="R297" i="20" s="1"/>
  <c r="P297" i="20" s="1"/>
  <c r="V297" i="20" s="1"/>
  <c r="U211" i="20"/>
  <c r="T211" i="20" s="1"/>
  <c r="S211" i="20" s="1"/>
  <c r="R211" i="20" s="1"/>
  <c r="P211" i="20" s="1"/>
  <c r="V211" i="20" s="1"/>
  <c r="U83" i="20"/>
  <c r="T83" i="20" s="1"/>
  <c r="S83" i="20" s="1"/>
  <c r="R83" i="20" s="1"/>
  <c r="P83" i="20" s="1"/>
  <c r="V83" i="20" s="1"/>
  <c r="U355" i="20"/>
  <c r="T355" i="20" s="1"/>
  <c r="S355" i="20" s="1"/>
  <c r="R355" i="20" s="1"/>
  <c r="P355" i="20" s="1"/>
  <c r="V355" i="20" s="1"/>
  <c r="U323" i="20"/>
  <c r="T323" i="20" s="1"/>
  <c r="S323" i="20" s="1"/>
  <c r="R323" i="20" s="1"/>
  <c r="P323" i="20" s="1"/>
  <c r="V323" i="20" s="1"/>
  <c r="U291" i="20"/>
  <c r="T291" i="20" s="1"/>
  <c r="S291" i="20" s="1"/>
  <c r="R291" i="20" s="1"/>
  <c r="P291" i="20" s="1"/>
  <c r="V291" i="20" s="1"/>
  <c r="U259" i="20"/>
  <c r="T259" i="20" s="1"/>
  <c r="S259" i="20" s="1"/>
  <c r="R259" i="20" s="1"/>
  <c r="P259" i="20" s="1"/>
  <c r="V259" i="20" s="1"/>
  <c r="U199" i="20"/>
  <c r="T199" i="20" s="1"/>
  <c r="S199" i="20" s="1"/>
  <c r="R199" i="20" s="1"/>
  <c r="P199" i="20" s="1"/>
  <c r="V199" i="20" s="1"/>
  <c r="U135" i="20"/>
  <c r="T135" i="20" s="1"/>
  <c r="S135" i="20" s="1"/>
  <c r="R135" i="20" s="1"/>
  <c r="P135" i="20" s="1"/>
  <c r="V135" i="20" s="1"/>
  <c r="U71" i="20"/>
  <c r="T71" i="20" s="1"/>
  <c r="S71" i="20" s="1"/>
  <c r="R71" i="20" s="1"/>
  <c r="P71" i="20" s="1"/>
  <c r="V71" i="20" s="1"/>
  <c r="U377" i="20"/>
  <c r="T377" i="20" s="1"/>
  <c r="S377" i="20" s="1"/>
  <c r="R377" i="20" s="1"/>
  <c r="P377" i="20" s="1"/>
  <c r="V377" i="20" s="1"/>
  <c r="U345" i="20"/>
  <c r="T345" i="20" s="1"/>
  <c r="S345" i="20" s="1"/>
  <c r="R345" i="20" s="1"/>
  <c r="P345" i="20" s="1"/>
  <c r="V345" i="20" s="1"/>
  <c r="U313" i="20"/>
  <c r="T313" i="20" s="1"/>
  <c r="S313" i="20" s="1"/>
  <c r="R313" i="20" s="1"/>
  <c r="P313" i="20" s="1"/>
  <c r="V313" i="20" s="1"/>
  <c r="U281" i="20"/>
  <c r="T281" i="20" s="1"/>
  <c r="S281" i="20" s="1"/>
  <c r="R281" i="20" s="1"/>
  <c r="P281" i="20" s="1"/>
  <c r="V281" i="20" s="1"/>
  <c r="U243" i="20"/>
  <c r="T243" i="20" s="1"/>
  <c r="S243" i="20" s="1"/>
  <c r="R243" i="20" s="1"/>
  <c r="P243" i="20" s="1"/>
  <c r="V243" i="20" s="1"/>
  <c r="U179" i="20"/>
  <c r="T179" i="20" s="1"/>
  <c r="S179" i="20" s="1"/>
  <c r="R179" i="20" s="1"/>
  <c r="P179" i="20" s="1"/>
  <c r="V179" i="20" s="1"/>
  <c r="U115" i="20"/>
  <c r="T115" i="20" s="1"/>
  <c r="S115" i="20" s="1"/>
  <c r="R115" i="20" s="1"/>
  <c r="P115" i="20" s="1"/>
  <c r="V115" i="20" s="1"/>
  <c r="D13" i="19"/>
  <c r="G37" i="19"/>
  <c r="U27" i="20"/>
  <c r="T27" i="20" s="1"/>
  <c r="S27" i="20" s="1"/>
  <c r="R27" i="20" s="1"/>
  <c r="P27" i="20" s="1"/>
  <c r="V27" i="20" s="1"/>
  <c r="AI11" i="20"/>
  <c r="U379" i="20"/>
  <c r="T379" i="20" s="1"/>
  <c r="S379" i="20" s="1"/>
  <c r="R379" i="20" s="1"/>
  <c r="P379" i="20" s="1"/>
  <c r="U363" i="20"/>
  <c r="T363" i="20" s="1"/>
  <c r="S363" i="20" s="1"/>
  <c r="R363" i="20" s="1"/>
  <c r="P363" i="20" s="1"/>
  <c r="V363" i="20" s="1"/>
  <c r="U347" i="20"/>
  <c r="T347" i="20" s="1"/>
  <c r="S347" i="20" s="1"/>
  <c r="R347" i="20" s="1"/>
  <c r="P347" i="20" s="1"/>
  <c r="V347" i="20" s="1"/>
  <c r="U331" i="20"/>
  <c r="T331" i="20" s="1"/>
  <c r="S331" i="20" s="1"/>
  <c r="R331" i="20" s="1"/>
  <c r="P331" i="20" s="1"/>
  <c r="V331" i="20" s="1"/>
  <c r="U315" i="20"/>
  <c r="T315" i="20" s="1"/>
  <c r="S315" i="20" s="1"/>
  <c r="R315" i="20" s="1"/>
  <c r="P315" i="20" s="1"/>
  <c r="V315" i="20" s="1"/>
  <c r="U299" i="20"/>
  <c r="T299" i="20" s="1"/>
  <c r="S299" i="20" s="1"/>
  <c r="R299" i="20" s="1"/>
  <c r="P299" i="20" s="1"/>
  <c r="V299" i="20" s="1"/>
  <c r="U283" i="20"/>
  <c r="T283" i="20" s="1"/>
  <c r="S283" i="20" s="1"/>
  <c r="R283" i="20" s="1"/>
  <c r="P283" i="20" s="1"/>
  <c r="V283" i="20" s="1"/>
  <c r="U267" i="20"/>
  <c r="T267" i="20" s="1"/>
  <c r="S267" i="20" s="1"/>
  <c r="R267" i="20" s="1"/>
  <c r="P267" i="20" s="1"/>
  <c r="V267" i="20" s="1"/>
  <c r="U247" i="20"/>
  <c r="T247" i="20" s="1"/>
  <c r="S247" i="20" s="1"/>
  <c r="R247" i="20" s="1"/>
  <c r="P247" i="20" s="1"/>
  <c r="V247" i="20" s="1"/>
  <c r="U215" i="20"/>
  <c r="T215" i="20" s="1"/>
  <c r="S215" i="20" s="1"/>
  <c r="R215" i="20" s="1"/>
  <c r="P215" i="20" s="1"/>
  <c r="V215" i="20" s="1"/>
  <c r="U183" i="20"/>
  <c r="T183" i="20" s="1"/>
  <c r="S183" i="20" s="1"/>
  <c r="R183" i="20" s="1"/>
  <c r="P183" i="20" s="1"/>
  <c r="V183" i="20" s="1"/>
  <c r="U151" i="20"/>
  <c r="T151" i="20" s="1"/>
  <c r="S151" i="20" s="1"/>
  <c r="R151" i="20" s="1"/>
  <c r="P151" i="20" s="1"/>
  <c r="V151" i="20" s="1"/>
  <c r="U119" i="20"/>
  <c r="T119" i="20" s="1"/>
  <c r="S119" i="20" s="1"/>
  <c r="R119" i="20" s="1"/>
  <c r="P119" i="20" s="1"/>
  <c r="V119" i="20" s="1"/>
  <c r="U87" i="20"/>
  <c r="T87" i="20" s="1"/>
  <c r="S87" i="20" s="1"/>
  <c r="R87" i="20" s="1"/>
  <c r="P87" i="20" s="1"/>
  <c r="V87" i="20" s="1"/>
  <c r="U55" i="20"/>
  <c r="T55" i="20" s="1"/>
  <c r="S55" i="20" s="1"/>
  <c r="R55" i="20" s="1"/>
  <c r="P55" i="20" s="1"/>
  <c r="V55" i="20" s="1"/>
  <c r="U23" i="20"/>
  <c r="T23" i="20" s="1"/>
  <c r="S23" i="20" s="1"/>
  <c r="R23" i="20" s="1"/>
  <c r="P23" i="20" s="1"/>
  <c r="V23" i="20" s="1"/>
  <c r="U369" i="20"/>
  <c r="T369" i="20" s="1"/>
  <c r="S369" i="20" s="1"/>
  <c r="R369" i="20" s="1"/>
  <c r="P369" i="20" s="1"/>
  <c r="V369" i="20" s="1"/>
  <c r="U353" i="20"/>
  <c r="T353" i="20" s="1"/>
  <c r="S353" i="20" s="1"/>
  <c r="R353" i="20" s="1"/>
  <c r="P353" i="20" s="1"/>
  <c r="V353" i="20" s="1"/>
  <c r="U337" i="20"/>
  <c r="T337" i="20" s="1"/>
  <c r="S337" i="20" s="1"/>
  <c r="R337" i="20" s="1"/>
  <c r="P337" i="20" s="1"/>
  <c r="V337" i="20" s="1"/>
  <c r="U321" i="20"/>
  <c r="T321" i="20" s="1"/>
  <c r="S321" i="20" s="1"/>
  <c r="R321" i="20" s="1"/>
  <c r="P321" i="20" s="1"/>
  <c r="V321" i="20" s="1"/>
  <c r="U305" i="20"/>
  <c r="T305" i="20" s="1"/>
  <c r="S305" i="20" s="1"/>
  <c r="R305" i="20" s="1"/>
  <c r="P305" i="20" s="1"/>
  <c r="V305" i="20" s="1"/>
  <c r="U289" i="20"/>
  <c r="T289" i="20" s="1"/>
  <c r="S289" i="20" s="1"/>
  <c r="R289" i="20" s="1"/>
  <c r="P289" i="20" s="1"/>
  <c r="V289" i="20" s="1"/>
  <c r="U273" i="20"/>
  <c r="T273" i="20" s="1"/>
  <c r="S273" i="20" s="1"/>
  <c r="R273" i="20" s="1"/>
  <c r="P273" i="20" s="1"/>
  <c r="V273" i="20" s="1"/>
  <c r="U257" i="20"/>
  <c r="T257" i="20" s="1"/>
  <c r="S257" i="20" s="1"/>
  <c r="R257" i="20" s="1"/>
  <c r="P257" i="20" s="1"/>
  <c r="V257" i="20" s="1"/>
  <c r="U227" i="20"/>
  <c r="T227" i="20" s="1"/>
  <c r="S227" i="20" s="1"/>
  <c r="R227" i="20" s="1"/>
  <c r="P227" i="20" s="1"/>
  <c r="V227" i="20" s="1"/>
  <c r="U195" i="20"/>
  <c r="T195" i="20" s="1"/>
  <c r="S195" i="20" s="1"/>
  <c r="R195" i="20" s="1"/>
  <c r="P195" i="20" s="1"/>
  <c r="V195" i="20" s="1"/>
  <c r="U163" i="20"/>
  <c r="T163" i="20" s="1"/>
  <c r="S163" i="20" s="1"/>
  <c r="R163" i="20" s="1"/>
  <c r="P163" i="20" s="1"/>
  <c r="V163" i="20" s="1"/>
  <c r="U131" i="20"/>
  <c r="T131" i="20" s="1"/>
  <c r="S131" i="20" s="1"/>
  <c r="R131" i="20" s="1"/>
  <c r="P131" i="20" s="1"/>
  <c r="V131" i="20" s="1"/>
  <c r="U99" i="20"/>
  <c r="T99" i="20" s="1"/>
  <c r="S99" i="20" s="1"/>
  <c r="R99" i="20" s="1"/>
  <c r="P99" i="20" s="1"/>
  <c r="V99" i="20" s="1"/>
  <c r="U67" i="20"/>
  <c r="T67" i="20" s="1"/>
  <c r="S67" i="20" s="1"/>
  <c r="R67" i="20" s="1"/>
  <c r="P67" i="20" s="1"/>
  <c r="V67" i="20" s="1"/>
  <c r="U35" i="20"/>
  <c r="T35" i="20" s="1"/>
  <c r="S35" i="20" s="1"/>
  <c r="R35" i="20" s="1"/>
  <c r="P35" i="20" s="1"/>
  <c r="V35" i="20" s="1"/>
  <c r="T381" i="18"/>
  <c r="AH23" i="7"/>
  <c r="P15" i="18"/>
  <c r="V15" i="18" s="1"/>
  <c r="U375" i="20"/>
  <c r="T375" i="20" s="1"/>
  <c r="S375" i="20" s="1"/>
  <c r="R375" i="20" s="1"/>
  <c r="P375" i="20" s="1"/>
  <c r="V375" i="20" s="1"/>
  <c r="U367" i="20"/>
  <c r="T367" i="20" s="1"/>
  <c r="S367" i="20" s="1"/>
  <c r="R367" i="20" s="1"/>
  <c r="P367" i="20" s="1"/>
  <c r="V367" i="20" s="1"/>
  <c r="U359" i="20"/>
  <c r="T359" i="20" s="1"/>
  <c r="S359" i="20" s="1"/>
  <c r="R359" i="20" s="1"/>
  <c r="P359" i="20" s="1"/>
  <c r="V359" i="20" s="1"/>
  <c r="U351" i="20"/>
  <c r="T351" i="20" s="1"/>
  <c r="S351" i="20" s="1"/>
  <c r="R351" i="20" s="1"/>
  <c r="P351" i="20" s="1"/>
  <c r="V351" i="20" s="1"/>
  <c r="U343" i="20"/>
  <c r="T343" i="20" s="1"/>
  <c r="S343" i="20" s="1"/>
  <c r="R343" i="20" s="1"/>
  <c r="P343" i="20" s="1"/>
  <c r="V343" i="20" s="1"/>
  <c r="U335" i="20"/>
  <c r="T335" i="20" s="1"/>
  <c r="S335" i="20" s="1"/>
  <c r="R335" i="20" s="1"/>
  <c r="P335" i="20" s="1"/>
  <c r="V335" i="20" s="1"/>
  <c r="U327" i="20"/>
  <c r="T327" i="20" s="1"/>
  <c r="S327" i="20" s="1"/>
  <c r="R327" i="20" s="1"/>
  <c r="P327" i="20" s="1"/>
  <c r="V327" i="20" s="1"/>
  <c r="U319" i="20"/>
  <c r="T319" i="20" s="1"/>
  <c r="S319" i="20" s="1"/>
  <c r="R319" i="20" s="1"/>
  <c r="P319" i="20" s="1"/>
  <c r="V319" i="20" s="1"/>
  <c r="U311" i="20"/>
  <c r="T311" i="20" s="1"/>
  <c r="S311" i="20" s="1"/>
  <c r="R311" i="20" s="1"/>
  <c r="P311" i="20" s="1"/>
  <c r="V311" i="20" s="1"/>
  <c r="U303" i="20"/>
  <c r="T303" i="20" s="1"/>
  <c r="S303" i="20" s="1"/>
  <c r="R303" i="20" s="1"/>
  <c r="P303" i="20" s="1"/>
  <c r="V303" i="20" s="1"/>
  <c r="U295" i="20"/>
  <c r="T295" i="20" s="1"/>
  <c r="S295" i="20" s="1"/>
  <c r="R295" i="20" s="1"/>
  <c r="P295" i="20" s="1"/>
  <c r="V295" i="20" s="1"/>
  <c r="U287" i="20"/>
  <c r="T287" i="20" s="1"/>
  <c r="S287" i="20" s="1"/>
  <c r="R287" i="20" s="1"/>
  <c r="P287" i="20" s="1"/>
  <c r="V287" i="20" s="1"/>
  <c r="U279" i="20"/>
  <c r="T279" i="20" s="1"/>
  <c r="S279" i="20" s="1"/>
  <c r="R279" i="20" s="1"/>
  <c r="P279" i="20" s="1"/>
  <c r="V279" i="20" s="1"/>
  <c r="U271" i="20"/>
  <c r="T271" i="20" s="1"/>
  <c r="S271" i="20" s="1"/>
  <c r="R271" i="20" s="1"/>
  <c r="P271" i="20" s="1"/>
  <c r="V271" i="20" s="1"/>
  <c r="U263" i="20"/>
  <c r="T263" i="20" s="1"/>
  <c r="S263" i="20" s="1"/>
  <c r="R263" i="20" s="1"/>
  <c r="P263" i="20" s="1"/>
  <c r="V263" i="20" s="1"/>
  <c r="U255" i="20"/>
  <c r="T255" i="20" s="1"/>
  <c r="S255" i="20" s="1"/>
  <c r="R255" i="20" s="1"/>
  <c r="P255" i="20" s="1"/>
  <c r="V255" i="20" s="1"/>
  <c r="U239" i="20"/>
  <c r="T239" i="20" s="1"/>
  <c r="S239" i="20" s="1"/>
  <c r="R239" i="20" s="1"/>
  <c r="P239" i="20" s="1"/>
  <c r="V239" i="20" s="1"/>
  <c r="U223" i="20"/>
  <c r="T223" i="20" s="1"/>
  <c r="S223" i="20" s="1"/>
  <c r="R223" i="20" s="1"/>
  <c r="P223" i="20" s="1"/>
  <c r="V223" i="20" s="1"/>
  <c r="U207" i="20"/>
  <c r="T207" i="20" s="1"/>
  <c r="S207" i="20" s="1"/>
  <c r="R207" i="20" s="1"/>
  <c r="P207" i="20" s="1"/>
  <c r="V207" i="20" s="1"/>
  <c r="U191" i="20"/>
  <c r="T191" i="20" s="1"/>
  <c r="S191" i="20" s="1"/>
  <c r="R191" i="20" s="1"/>
  <c r="P191" i="20" s="1"/>
  <c r="V191" i="20" s="1"/>
  <c r="U175" i="20"/>
  <c r="T175" i="20" s="1"/>
  <c r="S175" i="20" s="1"/>
  <c r="R175" i="20" s="1"/>
  <c r="P175" i="20" s="1"/>
  <c r="V175" i="20" s="1"/>
  <c r="U159" i="20"/>
  <c r="T159" i="20" s="1"/>
  <c r="S159" i="20" s="1"/>
  <c r="R159" i="20" s="1"/>
  <c r="P159" i="20" s="1"/>
  <c r="V159" i="20" s="1"/>
  <c r="U143" i="20"/>
  <c r="T143" i="20" s="1"/>
  <c r="S143" i="20" s="1"/>
  <c r="R143" i="20" s="1"/>
  <c r="P143" i="20" s="1"/>
  <c r="V143" i="20" s="1"/>
  <c r="U127" i="20"/>
  <c r="T127" i="20" s="1"/>
  <c r="S127" i="20" s="1"/>
  <c r="R127" i="20" s="1"/>
  <c r="P127" i="20" s="1"/>
  <c r="V127" i="20" s="1"/>
  <c r="U111" i="20"/>
  <c r="T111" i="20" s="1"/>
  <c r="S111" i="20" s="1"/>
  <c r="R111" i="20" s="1"/>
  <c r="P111" i="20" s="1"/>
  <c r="V111" i="20" s="1"/>
  <c r="U95" i="20"/>
  <c r="T95" i="20" s="1"/>
  <c r="S95" i="20" s="1"/>
  <c r="R95" i="20" s="1"/>
  <c r="P95" i="20" s="1"/>
  <c r="V95" i="20" s="1"/>
  <c r="U79" i="20"/>
  <c r="T79" i="20" s="1"/>
  <c r="S79" i="20" s="1"/>
  <c r="R79" i="20" s="1"/>
  <c r="P79" i="20" s="1"/>
  <c r="V79" i="20" s="1"/>
  <c r="U63" i="20"/>
  <c r="T63" i="20" s="1"/>
  <c r="S63" i="20" s="1"/>
  <c r="R63" i="20" s="1"/>
  <c r="P63" i="20" s="1"/>
  <c r="V63" i="20" s="1"/>
  <c r="U47" i="20"/>
  <c r="T47" i="20" s="1"/>
  <c r="S47" i="20" s="1"/>
  <c r="R47" i="20" s="1"/>
  <c r="P47" i="20" s="1"/>
  <c r="V47" i="20" s="1"/>
  <c r="U31" i="20"/>
  <c r="T31" i="20" s="1"/>
  <c r="S31" i="20" s="1"/>
  <c r="R31" i="20" s="1"/>
  <c r="P31" i="20" s="1"/>
  <c r="V31" i="20" s="1"/>
  <c r="U18" i="20"/>
  <c r="T18" i="20" s="1"/>
  <c r="S18" i="20" s="1"/>
  <c r="R18" i="20" s="1"/>
  <c r="P18" i="20" s="1"/>
  <c r="V18" i="20" s="1"/>
  <c r="U373" i="20"/>
  <c r="T373" i="20" s="1"/>
  <c r="S373" i="20" s="1"/>
  <c r="R373" i="20" s="1"/>
  <c r="P373" i="20" s="1"/>
  <c r="V373" i="20" s="1"/>
  <c r="U365" i="20"/>
  <c r="T365" i="20" s="1"/>
  <c r="S365" i="20" s="1"/>
  <c r="R365" i="20" s="1"/>
  <c r="P365" i="20" s="1"/>
  <c r="V365" i="20" s="1"/>
  <c r="U357" i="20"/>
  <c r="T357" i="20" s="1"/>
  <c r="S357" i="20" s="1"/>
  <c r="R357" i="20" s="1"/>
  <c r="P357" i="20" s="1"/>
  <c r="V357" i="20" s="1"/>
  <c r="U349" i="20"/>
  <c r="T349" i="20" s="1"/>
  <c r="S349" i="20" s="1"/>
  <c r="R349" i="20" s="1"/>
  <c r="P349" i="20" s="1"/>
  <c r="V349" i="20" s="1"/>
  <c r="U341" i="20"/>
  <c r="T341" i="20" s="1"/>
  <c r="S341" i="20" s="1"/>
  <c r="R341" i="20" s="1"/>
  <c r="P341" i="20" s="1"/>
  <c r="V341" i="20" s="1"/>
  <c r="U333" i="20"/>
  <c r="T333" i="20" s="1"/>
  <c r="S333" i="20" s="1"/>
  <c r="R333" i="20" s="1"/>
  <c r="P333" i="20" s="1"/>
  <c r="V333" i="20" s="1"/>
  <c r="U325" i="20"/>
  <c r="T325" i="20" s="1"/>
  <c r="S325" i="20" s="1"/>
  <c r="R325" i="20" s="1"/>
  <c r="P325" i="20" s="1"/>
  <c r="V325" i="20" s="1"/>
  <c r="U317" i="20"/>
  <c r="T317" i="20" s="1"/>
  <c r="S317" i="20" s="1"/>
  <c r="R317" i="20" s="1"/>
  <c r="P317" i="20" s="1"/>
  <c r="V317" i="20" s="1"/>
  <c r="U309" i="20"/>
  <c r="T309" i="20" s="1"/>
  <c r="S309" i="20" s="1"/>
  <c r="R309" i="20" s="1"/>
  <c r="P309" i="20" s="1"/>
  <c r="V309" i="20" s="1"/>
  <c r="U301" i="20"/>
  <c r="T301" i="20" s="1"/>
  <c r="S301" i="20" s="1"/>
  <c r="R301" i="20" s="1"/>
  <c r="P301" i="20" s="1"/>
  <c r="V301" i="20" s="1"/>
  <c r="U293" i="20"/>
  <c r="T293" i="20" s="1"/>
  <c r="S293" i="20" s="1"/>
  <c r="R293" i="20" s="1"/>
  <c r="P293" i="20" s="1"/>
  <c r="V293" i="20" s="1"/>
  <c r="U285" i="20"/>
  <c r="T285" i="20" s="1"/>
  <c r="S285" i="20" s="1"/>
  <c r="R285" i="20" s="1"/>
  <c r="P285" i="20" s="1"/>
  <c r="V285" i="20" s="1"/>
  <c r="U277" i="20"/>
  <c r="T277" i="20" s="1"/>
  <c r="S277" i="20" s="1"/>
  <c r="R277" i="20" s="1"/>
  <c r="P277" i="20" s="1"/>
  <c r="V277" i="20" s="1"/>
  <c r="U269" i="20"/>
  <c r="T269" i="20" s="1"/>
  <c r="S269" i="20" s="1"/>
  <c r="R269" i="20" s="1"/>
  <c r="P269" i="20" s="1"/>
  <c r="V269" i="20" s="1"/>
  <c r="U261" i="20"/>
  <c r="T261" i="20" s="1"/>
  <c r="S261" i="20" s="1"/>
  <c r="R261" i="20" s="1"/>
  <c r="P261" i="20" s="1"/>
  <c r="V261" i="20" s="1"/>
  <c r="U251" i="20"/>
  <c r="T251" i="20" s="1"/>
  <c r="S251" i="20" s="1"/>
  <c r="R251" i="20" s="1"/>
  <c r="P251" i="20" s="1"/>
  <c r="V251" i="20" s="1"/>
  <c r="U235" i="20"/>
  <c r="T235" i="20" s="1"/>
  <c r="S235" i="20" s="1"/>
  <c r="R235" i="20" s="1"/>
  <c r="P235" i="20" s="1"/>
  <c r="V235" i="20" s="1"/>
  <c r="U219" i="20"/>
  <c r="T219" i="20" s="1"/>
  <c r="S219" i="20" s="1"/>
  <c r="R219" i="20" s="1"/>
  <c r="P219" i="20" s="1"/>
  <c r="V219" i="20" s="1"/>
  <c r="U203" i="20"/>
  <c r="T203" i="20" s="1"/>
  <c r="S203" i="20" s="1"/>
  <c r="R203" i="20" s="1"/>
  <c r="P203" i="20" s="1"/>
  <c r="V203" i="20" s="1"/>
  <c r="U187" i="20"/>
  <c r="T187" i="20" s="1"/>
  <c r="S187" i="20" s="1"/>
  <c r="R187" i="20" s="1"/>
  <c r="P187" i="20" s="1"/>
  <c r="V187" i="20" s="1"/>
  <c r="U171" i="20"/>
  <c r="T171" i="20" s="1"/>
  <c r="S171" i="20" s="1"/>
  <c r="R171" i="20" s="1"/>
  <c r="P171" i="20" s="1"/>
  <c r="V171" i="20" s="1"/>
  <c r="U155" i="20"/>
  <c r="T155" i="20" s="1"/>
  <c r="S155" i="20" s="1"/>
  <c r="R155" i="20" s="1"/>
  <c r="P155" i="20" s="1"/>
  <c r="V155" i="20" s="1"/>
  <c r="U139" i="20"/>
  <c r="T139" i="20" s="1"/>
  <c r="S139" i="20" s="1"/>
  <c r="R139" i="20" s="1"/>
  <c r="P139" i="20" s="1"/>
  <c r="V139" i="20" s="1"/>
  <c r="U123" i="20"/>
  <c r="T123" i="20" s="1"/>
  <c r="S123" i="20" s="1"/>
  <c r="R123" i="20" s="1"/>
  <c r="P123" i="20" s="1"/>
  <c r="V123" i="20" s="1"/>
  <c r="U107" i="20"/>
  <c r="T107" i="20" s="1"/>
  <c r="S107" i="20" s="1"/>
  <c r="R107" i="20" s="1"/>
  <c r="P107" i="20" s="1"/>
  <c r="V107" i="20" s="1"/>
  <c r="U91" i="20"/>
  <c r="T91" i="20" s="1"/>
  <c r="S91" i="20" s="1"/>
  <c r="R91" i="20" s="1"/>
  <c r="P91" i="20" s="1"/>
  <c r="V91" i="20" s="1"/>
  <c r="U75" i="20"/>
  <c r="T75" i="20" s="1"/>
  <c r="S75" i="20" s="1"/>
  <c r="R75" i="20" s="1"/>
  <c r="P75" i="20" s="1"/>
  <c r="V75" i="20" s="1"/>
  <c r="U59" i="20"/>
  <c r="T59" i="20" s="1"/>
  <c r="U43" i="20"/>
  <c r="T43" i="20" s="1"/>
  <c r="S43" i="20" s="1"/>
  <c r="R43" i="20" s="1"/>
  <c r="P43" i="20" s="1"/>
  <c r="V43" i="20" s="1"/>
  <c r="T383" i="18"/>
  <c r="T382" i="18"/>
  <c r="AH383" i="18"/>
  <c r="AH382" i="18"/>
  <c r="AH381" i="18"/>
  <c r="AG15" i="18"/>
  <c r="Q12" i="23"/>
  <c r="AH31" i="7"/>
  <c r="AH30" i="7"/>
  <c r="C7" i="6"/>
  <c r="Q7" i="7"/>
  <c r="P383" i="17"/>
  <c r="P382" i="17"/>
  <c r="V15" i="17"/>
  <c r="P381" i="17"/>
  <c r="AD381" i="17"/>
  <c r="AD383" i="17"/>
  <c r="AD382" i="17"/>
  <c r="AI351" i="20"/>
  <c r="AH351" i="20" s="1"/>
  <c r="AG351" i="20" s="1"/>
  <c r="AF351" i="20" s="1"/>
  <c r="AD351" i="20" s="1"/>
  <c r="AI319" i="20"/>
  <c r="AH319" i="20" s="1"/>
  <c r="AG319" i="20" s="1"/>
  <c r="AF319" i="20" s="1"/>
  <c r="AD319" i="20" s="1"/>
  <c r="AI287" i="20"/>
  <c r="AH287" i="20" s="1"/>
  <c r="AG287" i="20" s="1"/>
  <c r="AF287" i="20" s="1"/>
  <c r="AD287" i="20" s="1"/>
  <c r="AI255" i="20"/>
  <c r="AH255" i="20" s="1"/>
  <c r="AG255" i="20" s="1"/>
  <c r="AF255" i="20" s="1"/>
  <c r="AD255" i="20" s="1"/>
  <c r="AI223" i="20"/>
  <c r="AH223" i="20" s="1"/>
  <c r="AG223" i="20" s="1"/>
  <c r="AF223" i="20" s="1"/>
  <c r="AD223" i="20" s="1"/>
  <c r="AI191" i="20"/>
  <c r="AH191" i="20" s="1"/>
  <c r="AG191" i="20" s="1"/>
  <c r="AF191" i="20" s="1"/>
  <c r="AD191" i="20" s="1"/>
  <c r="AI159" i="20"/>
  <c r="AH159" i="20" s="1"/>
  <c r="AG159" i="20" s="1"/>
  <c r="AF159" i="20" s="1"/>
  <c r="AD159" i="20" s="1"/>
  <c r="AI127" i="20"/>
  <c r="AH127" i="20" s="1"/>
  <c r="AG127" i="20" s="1"/>
  <c r="AF127" i="20" s="1"/>
  <c r="AD127" i="20" s="1"/>
  <c r="AI95" i="20"/>
  <c r="AH95" i="20" s="1"/>
  <c r="AG95" i="20" s="1"/>
  <c r="AF95" i="20" s="1"/>
  <c r="AD95" i="20" s="1"/>
  <c r="AI63" i="20"/>
  <c r="AH63" i="20" s="1"/>
  <c r="AG63" i="20" s="1"/>
  <c r="AF63" i="20" s="1"/>
  <c r="AD63" i="20" s="1"/>
  <c r="AI39" i="20"/>
  <c r="AH39" i="20" s="1"/>
  <c r="AG39" i="20" s="1"/>
  <c r="AF39" i="20" s="1"/>
  <c r="AD39" i="20" s="1"/>
  <c r="AI23" i="20"/>
  <c r="AH23" i="20" s="1"/>
  <c r="AG23" i="20" s="1"/>
  <c r="AF23" i="20" s="1"/>
  <c r="AD23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10" i="20"/>
  <c r="AH110" i="20" s="1"/>
  <c r="AG110" i="20" s="1"/>
  <c r="AF110" i="20" s="1"/>
  <c r="AD110" i="20" s="1"/>
  <c r="AI102" i="20"/>
  <c r="AH102" i="20" s="1"/>
  <c r="AG102" i="20" s="1"/>
  <c r="AF102" i="20" s="1"/>
  <c r="AD102" i="20" s="1"/>
  <c r="AI94" i="20"/>
  <c r="AH94" i="20" s="1"/>
  <c r="AG94" i="20" s="1"/>
  <c r="AF94" i="20" s="1"/>
  <c r="AD94" i="20" s="1"/>
  <c r="AI86" i="20"/>
  <c r="AH86" i="20" s="1"/>
  <c r="AG86" i="20" s="1"/>
  <c r="AF86" i="20" s="1"/>
  <c r="AD86" i="20" s="1"/>
  <c r="AI78" i="20"/>
  <c r="AH78" i="20" s="1"/>
  <c r="AG78" i="20" s="1"/>
  <c r="AF78" i="20" s="1"/>
  <c r="AD78" i="20" s="1"/>
  <c r="AI70" i="20"/>
  <c r="AH70" i="20" s="1"/>
  <c r="AG70" i="20" s="1"/>
  <c r="AF70" i="20" s="1"/>
  <c r="AD70" i="20" s="1"/>
  <c r="AI62" i="20"/>
  <c r="AH62" i="20" s="1"/>
  <c r="AG62" i="20" s="1"/>
  <c r="AF62" i="20" s="1"/>
  <c r="AD62" i="20" s="1"/>
  <c r="AI54" i="20"/>
  <c r="AH54" i="20" s="1"/>
  <c r="AG54" i="20" s="1"/>
  <c r="AF54" i="20" s="1"/>
  <c r="AD54" i="20" s="1"/>
  <c r="AI46" i="20"/>
  <c r="AH46" i="20" s="1"/>
  <c r="AG46" i="20" s="1"/>
  <c r="AF46" i="20" s="1"/>
  <c r="AD46" i="20" s="1"/>
  <c r="AI38" i="20"/>
  <c r="AH38" i="20" s="1"/>
  <c r="AG38" i="20" s="1"/>
  <c r="AF38" i="20" s="1"/>
  <c r="AD38" i="20" s="1"/>
  <c r="AI30" i="20"/>
  <c r="AH30" i="20" s="1"/>
  <c r="AG30" i="20" s="1"/>
  <c r="AF30" i="20" s="1"/>
  <c r="AD30" i="20" s="1"/>
  <c r="AI22" i="20"/>
  <c r="AH22" i="20" s="1"/>
  <c r="AG22" i="20" s="1"/>
  <c r="AF22" i="20" s="1"/>
  <c r="AD22" i="20" s="1"/>
  <c r="AI367" i="20"/>
  <c r="AH367" i="20" s="1"/>
  <c r="AG367" i="20" s="1"/>
  <c r="AF367" i="20" s="1"/>
  <c r="AD367" i="20" s="1"/>
  <c r="AI335" i="20"/>
  <c r="AH335" i="20" s="1"/>
  <c r="AG335" i="20" s="1"/>
  <c r="AF335" i="20" s="1"/>
  <c r="AD335" i="20" s="1"/>
  <c r="AI303" i="20"/>
  <c r="AH303" i="20" s="1"/>
  <c r="AG303" i="20" s="1"/>
  <c r="AF303" i="20" s="1"/>
  <c r="AD303" i="20" s="1"/>
  <c r="AI271" i="20"/>
  <c r="AH271" i="20" s="1"/>
  <c r="AG271" i="20" s="1"/>
  <c r="AF271" i="20" s="1"/>
  <c r="AD271" i="20" s="1"/>
  <c r="AI239" i="20"/>
  <c r="AH239" i="20" s="1"/>
  <c r="AG239" i="20" s="1"/>
  <c r="AF239" i="20" s="1"/>
  <c r="AD239" i="20" s="1"/>
  <c r="AI207" i="20"/>
  <c r="AH207" i="20" s="1"/>
  <c r="AG207" i="20" s="1"/>
  <c r="AF207" i="20" s="1"/>
  <c r="AD207" i="20" s="1"/>
  <c r="AI175" i="20"/>
  <c r="AH175" i="20" s="1"/>
  <c r="AG175" i="20" s="1"/>
  <c r="AF175" i="20" s="1"/>
  <c r="AD175" i="20" s="1"/>
  <c r="AI143" i="20"/>
  <c r="AH143" i="20" s="1"/>
  <c r="AG143" i="20" s="1"/>
  <c r="AF143" i="20" s="1"/>
  <c r="AD143" i="20" s="1"/>
  <c r="AI111" i="20"/>
  <c r="AH111" i="20" s="1"/>
  <c r="AG111" i="20" s="1"/>
  <c r="AF111" i="20" s="1"/>
  <c r="AD111" i="20" s="1"/>
  <c r="AI79" i="20"/>
  <c r="AH79" i="20" s="1"/>
  <c r="AG79" i="20" s="1"/>
  <c r="AF79" i="20" s="1"/>
  <c r="AD79" i="20" s="1"/>
  <c r="AI47" i="20"/>
  <c r="AH47" i="20" s="1"/>
  <c r="AG47" i="20" s="1"/>
  <c r="AF47" i="20" s="1"/>
  <c r="AD47" i="20" s="1"/>
  <c r="AI31" i="20"/>
  <c r="AH31" i="20" s="1"/>
  <c r="AG31" i="20" s="1"/>
  <c r="AF31" i="20" s="1"/>
  <c r="AD31" i="20" s="1"/>
  <c r="AI21" i="20"/>
  <c r="AH21" i="20" s="1"/>
  <c r="AG21" i="20" s="1"/>
  <c r="AF21" i="20" s="1"/>
  <c r="AD21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6" i="20"/>
  <c r="AH106" i="20" s="1"/>
  <c r="AG106" i="20" s="1"/>
  <c r="AF106" i="20" s="1"/>
  <c r="AD106" i="20" s="1"/>
  <c r="AI98" i="20"/>
  <c r="AH98" i="20" s="1"/>
  <c r="AG98" i="20" s="1"/>
  <c r="AF98" i="20" s="1"/>
  <c r="AD98" i="20" s="1"/>
  <c r="AI90" i="20"/>
  <c r="AH90" i="20" s="1"/>
  <c r="AG90" i="20" s="1"/>
  <c r="AF90" i="20" s="1"/>
  <c r="AD90" i="20" s="1"/>
  <c r="AI82" i="20"/>
  <c r="AH82" i="20" s="1"/>
  <c r="AG82" i="20" s="1"/>
  <c r="AF82" i="20" s="1"/>
  <c r="AD82" i="20" s="1"/>
  <c r="AI74" i="20"/>
  <c r="AH74" i="20" s="1"/>
  <c r="AG74" i="20" s="1"/>
  <c r="AF74" i="20" s="1"/>
  <c r="AD74" i="20" s="1"/>
  <c r="AI66" i="20"/>
  <c r="AH66" i="20" s="1"/>
  <c r="AG66" i="20" s="1"/>
  <c r="AF66" i="20" s="1"/>
  <c r="AD66" i="20" s="1"/>
  <c r="AI58" i="20"/>
  <c r="AH58" i="20" s="1"/>
  <c r="AG58" i="20" s="1"/>
  <c r="AF58" i="20" s="1"/>
  <c r="AD58" i="20" s="1"/>
  <c r="AI50" i="20"/>
  <c r="AH50" i="20" s="1"/>
  <c r="AG50" i="20" s="1"/>
  <c r="AF50" i="20" s="1"/>
  <c r="AD50" i="20" s="1"/>
  <c r="AI42" i="20"/>
  <c r="AH42" i="20" s="1"/>
  <c r="AG42" i="20" s="1"/>
  <c r="AF42" i="20" s="1"/>
  <c r="AD42" i="20" s="1"/>
  <c r="AI34" i="20"/>
  <c r="AH34" i="20" s="1"/>
  <c r="AG34" i="20" s="1"/>
  <c r="AF34" i="20" s="1"/>
  <c r="AD34" i="20" s="1"/>
  <c r="AI26" i="20"/>
  <c r="AH26" i="20" s="1"/>
  <c r="AG26" i="20" s="1"/>
  <c r="AF26" i="20" s="1"/>
  <c r="AD26" i="20" s="1"/>
  <c r="AI15" i="20"/>
  <c r="AI16" i="7"/>
  <c r="U20" i="20"/>
  <c r="T20" i="20" s="1"/>
  <c r="S20" i="20" s="1"/>
  <c r="R20" i="20" s="1"/>
  <c r="P20" i="20" s="1"/>
  <c r="V20" i="20" s="1"/>
  <c r="U22" i="20"/>
  <c r="T22" i="20" s="1"/>
  <c r="S22" i="20" s="1"/>
  <c r="R22" i="20" s="1"/>
  <c r="P22" i="20" s="1"/>
  <c r="V22" i="20" s="1"/>
  <c r="U26" i="20"/>
  <c r="T26" i="20" s="1"/>
  <c r="S26" i="20" s="1"/>
  <c r="R26" i="20" s="1"/>
  <c r="P26" i="20" s="1"/>
  <c r="V26" i="20" s="1"/>
  <c r="U30" i="20"/>
  <c r="T30" i="20" s="1"/>
  <c r="S30" i="20" s="1"/>
  <c r="R30" i="20" s="1"/>
  <c r="P30" i="20" s="1"/>
  <c r="V30" i="20" s="1"/>
  <c r="U34" i="20"/>
  <c r="T34" i="20" s="1"/>
  <c r="S34" i="20" s="1"/>
  <c r="R34" i="20" s="1"/>
  <c r="P34" i="20" s="1"/>
  <c r="V34" i="20" s="1"/>
  <c r="U38" i="20"/>
  <c r="T38" i="20" s="1"/>
  <c r="S38" i="20" s="1"/>
  <c r="R38" i="20" s="1"/>
  <c r="P38" i="20" s="1"/>
  <c r="V38" i="20" s="1"/>
  <c r="U42" i="20"/>
  <c r="T42" i="20" s="1"/>
  <c r="S42" i="20" s="1"/>
  <c r="R42" i="20" s="1"/>
  <c r="P42" i="20" s="1"/>
  <c r="V42" i="20" s="1"/>
  <c r="U46" i="20"/>
  <c r="T46" i="20" s="1"/>
  <c r="S46" i="20" s="1"/>
  <c r="R46" i="20" s="1"/>
  <c r="P46" i="20" s="1"/>
  <c r="V46" i="20" s="1"/>
  <c r="U50" i="20"/>
  <c r="T50" i="20" s="1"/>
  <c r="S50" i="20" s="1"/>
  <c r="R50" i="20" s="1"/>
  <c r="P50" i="20" s="1"/>
  <c r="V50" i="20" s="1"/>
  <c r="U54" i="20"/>
  <c r="T54" i="20" s="1"/>
  <c r="S54" i="20" s="1"/>
  <c r="R54" i="20" s="1"/>
  <c r="P54" i="20" s="1"/>
  <c r="V54" i="20" s="1"/>
  <c r="U58" i="20"/>
  <c r="T58" i="20" s="1"/>
  <c r="S58" i="20" s="1"/>
  <c r="R58" i="20" s="1"/>
  <c r="P58" i="20" s="1"/>
  <c r="V58" i="20" s="1"/>
  <c r="U62" i="20"/>
  <c r="T62" i="20" s="1"/>
  <c r="S62" i="20" s="1"/>
  <c r="R62" i="20" s="1"/>
  <c r="P62" i="20" s="1"/>
  <c r="V62" i="20" s="1"/>
  <c r="U66" i="20"/>
  <c r="T66" i="20" s="1"/>
  <c r="S66" i="20" s="1"/>
  <c r="R66" i="20" s="1"/>
  <c r="P66" i="20" s="1"/>
  <c r="V66" i="20" s="1"/>
  <c r="U70" i="20"/>
  <c r="T70" i="20" s="1"/>
  <c r="S70" i="20" s="1"/>
  <c r="R70" i="20" s="1"/>
  <c r="P70" i="20" s="1"/>
  <c r="V70" i="20" s="1"/>
  <c r="U74" i="20"/>
  <c r="T74" i="20" s="1"/>
  <c r="S74" i="20" s="1"/>
  <c r="R74" i="20" s="1"/>
  <c r="P74" i="20" s="1"/>
  <c r="V74" i="20" s="1"/>
  <c r="U78" i="20"/>
  <c r="T78" i="20" s="1"/>
  <c r="S78" i="20" s="1"/>
  <c r="R78" i="20" s="1"/>
  <c r="P78" i="20" s="1"/>
  <c r="V78" i="20" s="1"/>
  <c r="U82" i="20"/>
  <c r="T82" i="20" s="1"/>
  <c r="S82" i="20" s="1"/>
  <c r="R82" i="20" s="1"/>
  <c r="P82" i="20" s="1"/>
  <c r="V82" i="20" s="1"/>
  <c r="U86" i="20"/>
  <c r="T86" i="20" s="1"/>
  <c r="S86" i="20" s="1"/>
  <c r="R86" i="20" s="1"/>
  <c r="P86" i="20" s="1"/>
  <c r="V86" i="20" s="1"/>
  <c r="U90" i="20"/>
  <c r="T90" i="20" s="1"/>
  <c r="U94" i="20"/>
  <c r="T94" i="20" s="1"/>
  <c r="S94" i="20" s="1"/>
  <c r="R94" i="20" s="1"/>
  <c r="P94" i="20" s="1"/>
  <c r="V94" i="20" s="1"/>
  <c r="U98" i="20"/>
  <c r="T98" i="20" s="1"/>
  <c r="S98" i="20" s="1"/>
  <c r="R98" i="20" s="1"/>
  <c r="P98" i="20" s="1"/>
  <c r="V98" i="20" s="1"/>
  <c r="U102" i="20"/>
  <c r="T102" i="20" s="1"/>
  <c r="S102" i="20" s="1"/>
  <c r="R102" i="20" s="1"/>
  <c r="P102" i="20" s="1"/>
  <c r="V102" i="20" s="1"/>
  <c r="U106" i="20"/>
  <c r="T106" i="20" s="1"/>
  <c r="S106" i="20" s="1"/>
  <c r="R106" i="20" s="1"/>
  <c r="P106" i="20" s="1"/>
  <c r="V106" i="20" s="1"/>
  <c r="U110" i="20"/>
  <c r="T110" i="20" s="1"/>
  <c r="S110" i="20" s="1"/>
  <c r="R110" i="20" s="1"/>
  <c r="P110" i="20" s="1"/>
  <c r="V110" i="20" s="1"/>
  <c r="U114" i="20"/>
  <c r="T114" i="20" s="1"/>
  <c r="S114" i="20" s="1"/>
  <c r="R114" i="20" s="1"/>
  <c r="P114" i="20" s="1"/>
  <c r="V114" i="20" s="1"/>
  <c r="U118" i="20"/>
  <c r="T118" i="20" s="1"/>
  <c r="S118" i="20" s="1"/>
  <c r="R118" i="20" s="1"/>
  <c r="P118" i="20" s="1"/>
  <c r="V118" i="20" s="1"/>
  <c r="U122" i="20"/>
  <c r="T122" i="20" s="1"/>
  <c r="S122" i="20" s="1"/>
  <c r="R122" i="20" s="1"/>
  <c r="P122" i="20" s="1"/>
  <c r="V122" i="20" s="1"/>
  <c r="U126" i="20"/>
  <c r="T126" i="20" s="1"/>
  <c r="S126" i="20" s="1"/>
  <c r="R126" i="20" s="1"/>
  <c r="P126" i="20" s="1"/>
  <c r="V126" i="20" s="1"/>
  <c r="U130" i="20"/>
  <c r="T130" i="20" s="1"/>
  <c r="S130" i="20" s="1"/>
  <c r="R130" i="20" s="1"/>
  <c r="P130" i="20" s="1"/>
  <c r="V130" i="20" s="1"/>
  <c r="U134" i="20"/>
  <c r="T134" i="20" s="1"/>
  <c r="S134" i="20" s="1"/>
  <c r="R134" i="20" s="1"/>
  <c r="P134" i="20" s="1"/>
  <c r="V134" i="20" s="1"/>
  <c r="U138" i="20"/>
  <c r="T138" i="20" s="1"/>
  <c r="S138" i="20" s="1"/>
  <c r="R138" i="20" s="1"/>
  <c r="P138" i="20" s="1"/>
  <c r="V138" i="20" s="1"/>
  <c r="U142" i="20"/>
  <c r="T142" i="20" s="1"/>
  <c r="S142" i="20" s="1"/>
  <c r="R142" i="20" s="1"/>
  <c r="P142" i="20" s="1"/>
  <c r="V142" i="20" s="1"/>
  <c r="U146" i="20"/>
  <c r="T146" i="20" s="1"/>
  <c r="S146" i="20" s="1"/>
  <c r="R146" i="20" s="1"/>
  <c r="P146" i="20" s="1"/>
  <c r="V146" i="20" s="1"/>
  <c r="U150" i="20"/>
  <c r="T150" i="20" s="1"/>
  <c r="S150" i="20" s="1"/>
  <c r="R150" i="20" s="1"/>
  <c r="P150" i="20" s="1"/>
  <c r="V150" i="20" s="1"/>
  <c r="U154" i="20"/>
  <c r="T154" i="20" s="1"/>
  <c r="S154" i="20" s="1"/>
  <c r="R154" i="20" s="1"/>
  <c r="P154" i="20" s="1"/>
  <c r="V154" i="20" s="1"/>
  <c r="U158" i="20"/>
  <c r="T158" i="20" s="1"/>
  <c r="S158" i="20" s="1"/>
  <c r="R158" i="20" s="1"/>
  <c r="P158" i="20" s="1"/>
  <c r="V158" i="20" s="1"/>
  <c r="U162" i="20"/>
  <c r="T162" i="20" s="1"/>
  <c r="S162" i="20" s="1"/>
  <c r="R162" i="20" s="1"/>
  <c r="P162" i="20" s="1"/>
  <c r="V162" i="20" s="1"/>
  <c r="U166" i="20"/>
  <c r="T166" i="20" s="1"/>
  <c r="S166" i="20" s="1"/>
  <c r="R166" i="20" s="1"/>
  <c r="P166" i="20" s="1"/>
  <c r="V166" i="20" s="1"/>
  <c r="U170" i="20"/>
  <c r="T170" i="20" s="1"/>
  <c r="S170" i="20" s="1"/>
  <c r="R170" i="20" s="1"/>
  <c r="P170" i="20" s="1"/>
  <c r="V170" i="20" s="1"/>
  <c r="U174" i="20"/>
  <c r="T174" i="20" s="1"/>
  <c r="S174" i="20" s="1"/>
  <c r="R174" i="20" s="1"/>
  <c r="P174" i="20" s="1"/>
  <c r="V174" i="20" s="1"/>
  <c r="U178" i="20"/>
  <c r="T178" i="20" s="1"/>
  <c r="S178" i="20" s="1"/>
  <c r="R178" i="20" s="1"/>
  <c r="P178" i="20" s="1"/>
  <c r="V178" i="20" s="1"/>
  <c r="U182" i="20"/>
  <c r="T182" i="20" s="1"/>
  <c r="S182" i="20" s="1"/>
  <c r="R182" i="20" s="1"/>
  <c r="P182" i="20" s="1"/>
  <c r="V182" i="20" s="1"/>
  <c r="U186" i="20"/>
  <c r="T186" i="20" s="1"/>
  <c r="S186" i="20" s="1"/>
  <c r="R186" i="20" s="1"/>
  <c r="P186" i="20" s="1"/>
  <c r="V186" i="20" s="1"/>
  <c r="U190" i="20"/>
  <c r="T190" i="20" s="1"/>
  <c r="S190" i="20" s="1"/>
  <c r="R190" i="20" s="1"/>
  <c r="P190" i="20" s="1"/>
  <c r="V190" i="20" s="1"/>
  <c r="U194" i="20"/>
  <c r="T194" i="20" s="1"/>
  <c r="S194" i="20" s="1"/>
  <c r="R194" i="20" s="1"/>
  <c r="P194" i="20" s="1"/>
  <c r="V194" i="20" s="1"/>
  <c r="U198" i="20"/>
  <c r="T198" i="20" s="1"/>
  <c r="S198" i="20" s="1"/>
  <c r="R198" i="20" s="1"/>
  <c r="P198" i="20" s="1"/>
  <c r="V198" i="20" s="1"/>
  <c r="U202" i="20"/>
  <c r="T202" i="20" s="1"/>
  <c r="S202" i="20" s="1"/>
  <c r="R202" i="20" s="1"/>
  <c r="P202" i="20" s="1"/>
  <c r="V202" i="20" s="1"/>
  <c r="U206" i="20"/>
  <c r="T206" i="20" s="1"/>
  <c r="S206" i="20" s="1"/>
  <c r="R206" i="20" s="1"/>
  <c r="P206" i="20" s="1"/>
  <c r="V206" i="20" s="1"/>
  <c r="U210" i="20"/>
  <c r="T210" i="20" s="1"/>
  <c r="S210" i="20" s="1"/>
  <c r="R210" i="20" s="1"/>
  <c r="P210" i="20" s="1"/>
  <c r="U214" i="20"/>
  <c r="T214" i="20" s="1"/>
  <c r="S214" i="20" s="1"/>
  <c r="R214" i="20" s="1"/>
  <c r="P214" i="20" s="1"/>
  <c r="V214" i="20" s="1"/>
  <c r="U218" i="20"/>
  <c r="T218" i="20" s="1"/>
  <c r="S218" i="20" s="1"/>
  <c r="R218" i="20" s="1"/>
  <c r="P218" i="20" s="1"/>
  <c r="V218" i="20" s="1"/>
  <c r="U222" i="20"/>
  <c r="T222" i="20" s="1"/>
  <c r="S222" i="20" s="1"/>
  <c r="R222" i="20" s="1"/>
  <c r="P222" i="20" s="1"/>
  <c r="V222" i="20" s="1"/>
  <c r="U226" i="20"/>
  <c r="T226" i="20" s="1"/>
  <c r="S226" i="20" s="1"/>
  <c r="R226" i="20" s="1"/>
  <c r="P226" i="20" s="1"/>
  <c r="V226" i="20" s="1"/>
  <c r="U230" i="20"/>
  <c r="T230" i="20" s="1"/>
  <c r="S230" i="20" s="1"/>
  <c r="R230" i="20" s="1"/>
  <c r="P230" i="20" s="1"/>
  <c r="V230" i="20" s="1"/>
  <c r="U234" i="20"/>
  <c r="T234" i="20" s="1"/>
  <c r="S234" i="20" s="1"/>
  <c r="R234" i="20" s="1"/>
  <c r="P234" i="20" s="1"/>
  <c r="V234" i="20" s="1"/>
  <c r="U238" i="20"/>
  <c r="T238" i="20" s="1"/>
  <c r="S238" i="20" s="1"/>
  <c r="R238" i="20" s="1"/>
  <c r="P238" i="20" s="1"/>
  <c r="V238" i="20" s="1"/>
  <c r="U242" i="20"/>
  <c r="T242" i="20" s="1"/>
  <c r="S242" i="20" s="1"/>
  <c r="R242" i="20" s="1"/>
  <c r="P242" i="20" s="1"/>
  <c r="V242" i="20" s="1"/>
  <c r="U246" i="20"/>
  <c r="T246" i="20" s="1"/>
  <c r="S246" i="20" s="1"/>
  <c r="R246" i="20" s="1"/>
  <c r="P246" i="20" s="1"/>
  <c r="V246" i="20" s="1"/>
  <c r="U250" i="20"/>
  <c r="T250" i="20" s="1"/>
  <c r="S250" i="20" s="1"/>
  <c r="R250" i="20" s="1"/>
  <c r="P250" i="20" s="1"/>
  <c r="V250" i="20" s="1"/>
  <c r="U254" i="20"/>
  <c r="T254" i="20" s="1"/>
  <c r="S254" i="20" s="1"/>
  <c r="R254" i="20" s="1"/>
  <c r="P254" i="20" s="1"/>
  <c r="V254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D257" i="20" s="1"/>
  <c r="AI249" i="20"/>
  <c r="AH249" i="20" s="1"/>
  <c r="AG249" i="20" s="1"/>
  <c r="AF249" i="20" s="1"/>
  <c r="AD249" i="20" s="1"/>
  <c r="AI241" i="20"/>
  <c r="AH241" i="20" s="1"/>
  <c r="AG241" i="20" s="1"/>
  <c r="AF241" i="20" s="1"/>
  <c r="AD241" i="20" s="1"/>
  <c r="AI233" i="20"/>
  <c r="AH233" i="20" s="1"/>
  <c r="AG233" i="20" s="1"/>
  <c r="AF233" i="20" s="1"/>
  <c r="AD233" i="20" s="1"/>
  <c r="AI225" i="20"/>
  <c r="AH225" i="20" s="1"/>
  <c r="AG225" i="20" s="1"/>
  <c r="AF225" i="20" s="1"/>
  <c r="AD225" i="20" s="1"/>
  <c r="AI217" i="20"/>
  <c r="AH217" i="20" s="1"/>
  <c r="AG217" i="20" s="1"/>
  <c r="AF217" i="20" s="1"/>
  <c r="AD217" i="20" s="1"/>
  <c r="AI209" i="20"/>
  <c r="AH209" i="20" s="1"/>
  <c r="AG209" i="20" s="1"/>
  <c r="AF209" i="20" s="1"/>
  <c r="AD209" i="20" s="1"/>
  <c r="AI201" i="20"/>
  <c r="AH201" i="20" s="1"/>
  <c r="AG201" i="20" s="1"/>
  <c r="AF201" i="20" s="1"/>
  <c r="AD201" i="20" s="1"/>
  <c r="AI193" i="20"/>
  <c r="AH193" i="20" s="1"/>
  <c r="AG193" i="20" s="1"/>
  <c r="AF193" i="20" s="1"/>
  <c r="AD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G169" i="20" s="1"/>
  <c r="AF169" i="20" s="1"/>
  <c r="AD169" i="20" s="1"/>
  <c r="AI161" i="20"/>
  <c r="AH161" i="20" s="1"/>
  <c r="AG161" i="20" s="1"/>
  <c r="AF161" i="20" s="1"/>
  <c r="AD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D145" i="20" s="1"/>
  <c r="AI137" i="20"/>
  <c r="AH137" i="20" s="1"/>
  <c r="AG137" i="20" s="1"/>
  <c r="AF137" i="20" s="1"/>
  <c r="AD137" i="20" s="1"/>
  <c r="AI129" i="20"/>
  <c r="AH129" i="20" s="1"/>
  <c r="AG129" i="20" s="1"/>
  <c r="AF129" i="20" s="1"/>
  <c r="AD129" i="20" s="1"/>
  <c r="AI121" i="20"/>
  <c r="AH121" i="20" s="1"/>
  <c r="AG121" i="20" s="1"/>
  <c r="AF121" i="20" s="1"/>
  <c r="AD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D105" i="20" s="1"/>
  <c r="AI97" i="20"/>
  <c r="AH97" i="20" s="1"/>
  <c r="AG97" i="20" s="1"/>
  <c r="AF97" i="20" s="1"/>
  <c r="AD97" i="20" s="1"/>
  <c r="AI89" i="20"/>
  <c r="AH89" i="20" s="1"/>
  <c r="AG89" i="20" s="1"/>
  <c r="AF89" i="20" s="1"/>
  <c r="AD89" i="20" s="1"/>
  <c r="AI81" i="20"/>
  <c r="AH81" i="20" s="1"/>
  <c r="AG81" i="20" s="1"/>
  <c r="AF81" i="20" s="1"/>
  <c r="AD81" i="20" s="1"/>
  <c r="AI73" i="20"/>
  <c r="AH73" i="20" s="1"/>
  <c r="AG73" i="20" s="1"/>
  <c r="AF73" i="20" s="1"/>
  <c r="AD73" i="20" s="1"/>
  <c r="AI65" i="20"/>
  <c r="AH65" i="20" s="1"/>
  <c r="AG65" i="20" s="1"/>
  <c r="AF65" i="20" s="1"/>
  <c r="AD65" i="20" s="1"/>
  <c r="AI57" i="20"/>
  <c r="AH57" i="20" s="1"/>
  <c r="AG57" i="20" s="1"/>
  <c r="AF57" i="20" s="1"/>
  <c r="AD57" i="20" s="1"/>
  <c r="AI49" i="20"/>
  <c r="AH49" i="20" s="1"/>
  <c r="AG49" i="20" s="1"/>
  <c r="AF49" i="20" s="1"/>
  <c r="AD49" i="20" s="1"/>
  <c r="AI371" i="20"/>
  <c r="AH371" i="20" s="1"/>
  <c r="AG371" i="20" s="1"/>
  <c r="AF371" i="20" s="1"/>
  <c r="AD371" i="20" s="1"/>
  <c r="AI355" i="20"/>
  <c r="AH355" i="20" s="1"/>
  <c r="AG355" i="20" s="1"/>
  <c r="AF355" i="20" s="1"/>
  <c r="AD355" i="20" s="1"/>
  <c r="AI339" i="20"/>
  <c r="AH339" i="20" s="1"/>
  <c r="AG339" i="20" s="1"/>
  <c r="AF339" i="20" s="1"/>
  <c r="AD339" i="20" s="1"/>
  <c r="AI323" i="20"/>
  <c r="AH323" i="20" s="1"/>
  <c r="AG323" i="20" s="1"/>
  <c r="AF323" i="20" s="1"/>
  <c r="AD323" i="20" s="1"/>
  <c r="AI307" i="20"/>
  <c r="AH307" i="20" s="1"/>
  <c r="AG307" i="20" s="1"/>
  <c r="AF307" i="20" s="1"/>
  <c r="AD307" i="20" s="1"/>
  <c r="AI291" i="20"/>
  <c r="AH291" i="20" s="1"/>
  <c r="AG291" i="20" s="1"/>
  <c r="AF291" i="20" s="1"/>
  <c r="AD291" i="20" s="1"/>
  <c r="AI275" i="20"/>
  <c r="AH275" i="20" s="1"/>
  <c r="AG275" i="20" s="1"/>
  <c r="AF275" i="20" s="1"/>
  <c r="AD275" i="20" s="1"/>
  <c r="AI259" i="20"/>
  <c r="AH259" i="20" s="1"/>
  <c r="AG259" i="20" s="1"/>
  <c r="AF259" i="20" s="1"/>
  <c r="AD259" i="20" s="1"/>
  <c r="AI243" i="20"/>
  <c r="AH243" i="20" s="1"/>
  <c r="AG243" i="20" s="1"/>
  <c r="AF243" i="20" s="1"/>
  <c r="AD243" i="20" s="1"/>
  <c r="AI227" i="20"/>
  <c r="AH227" i="20" s="1"/>
  <c r="AG227" i="20" s="1"/>
  <c r="AF227" i="20" s="1"/>
  <c r="AD227" i="20" s="1"/>
  <c r="AI211" i="20"/>
  <c r="AH211" i="20" s="1"/>
  <c r="AG211" i="20" s="1"/>
  <c r="AF211" i="20" s="1"/>
  <c r="AD211" i="20" s="1"/>
  <c r="AI195" i="20"/>
  <c r="AH195" i="20" s="1"/>
  <c r="AG195" i="20" s="1"/>
  <c r="AF195" i="20" s="1"/>
  <c r="AD195" i="20" s="1"/>
  <c r="AI179" i="20"/>
  <c r="AH179" i="20" s="1"/>
  <c r="AG179" i="20" s="1"/>
  <c r="AF179" i="20" s="1"/>
  <c r="AD179" i="20" s="1"/>
  <c r="AI163" i="20"/>
  <c r="AH163" i="20" s="1"/>
  <c r="AG163" i="20" s="1"/>
  <c r="AF163" i="20" s="1"/>
  <c r="AD163" i="20" s="1"/>
  <c r="AI147" i="20"/>
  <c r="AH147" i="20" s="1"/>
  <c r="AG147" i="20" s="1"/>
  <c r="AF147" i="20" s="1"/>
  <c r="AD147" i="20" s="1"/>
  <c r="AI131" i="20"/>
  <c r="AH131" i="20" s="1"/>
  <c r="AG131" i="20" s="1"/>
  <c r="AF131" i="20" s="1"/>
  <c r="AD131" i="20" s="1"/>
  <c r="AI115" i="20"/>
  <c r="AH115" i="20" s="1"/>
  <c r="AG115" i="20" s="1"/>
  <c r="AF115" i="20" s="1"/>
  <c r="AD115" i="20" s="1"/>
  <c r="AI99" i="20"/>
  <c r="AH99" i="20" s="1"/>
  <c r="AG99" i="20" s="1"/>
  <c r="AF99" i="20" s="1"/>
  <c r="AD99" i="20" s="1"/>
  <c r="AI83" i="20"/>
  <c r="AH83" i="20" s="1"/>
  <c r="AG83" i="20" s="1"/>
  <c r="AF83" i="20" s="1"/>
  <c r="AD83" i="20" s="1"/>
  <c r="AI67" i="20"/>
  <c r="AH67" i="20" s="1"/>
  <c r="AG67" i="20" s="1"/>
  <c r="AF67" i="20" s="1"/>
  <c r="AD67" i="20" s="1"/>
  <c r="AI51" i="20"/>
  <c r="AH51" i="20" s="1"/>
  <c r="AG51" i="20" s="1"/>
  <c r="AF51" i="20" s="1"/>
  <c r="AD51" i="20" s="1"/>
  <c r="AI41" i="20"/>
  <c r="AH41" i="20" s="1"/>
  <c r="AG41" i="20" s="1"/>
  <c r="AF41" i="20" s="1"/>
  <c r="AD41" i="20" s="1"/>
  <c r="AI33" i="20"/>
  <c r="AH33" i="20" s="1"/>
  <c r="AG33" i="20" s="1"/>
  <c r="AF33" i="20" s="1"/>
  <c r="AD33" i="20" s="1"/>
  <c r="AI25" i="20"/>
  <c r="AH25" i="20" s="1"/>
  <c r="AG25" i="20" s="1"/>
  <c r="AF25" i="20" s="1"/>
  <c r="AD25" i="20" s="1"/>
  <c r="AI20" i="20"/>
  <c r="AH20" i="20" s="1"/>
  <c r="AG20" i="20" s="1"/>
  <c r="AF20" i="20" s="1"/>
  <c r="AD20" i="20" s="1"/>
  <c r="AI17" i="20"/>
  <c r="AH17" i="20" s="1"/>
  <c r="AG17" i="20" s="1"/>
  <c r="AF17" i="20" s="1"/>
  <c r="AD17" i="20" s="1"/>
  <c r="AI28" i="20"/>
  <c r="AH28" i="20" s="1"/>
  <c r="AG28" i="20" s="1"/>
  <c r="AF28" i="20" s="1"/>
  <c r="AD28" i="20" s="1"/>
  <c r="AI36" i="20"/>
  <c r="AH36" i="20" s="1"/>
  <c r="AG36" i="20" s="1"/>
  <c r="AF36" i="20" s="1"/>
  <c r="AD36" i="20" s="1"/>
  <c r="AI44" i="20"/>
  <c r="AH44" i="20" s="1"/>
  <c r="AG44" i="20" s="1"/>
  <c r="AF44" i="20" s="1"/>
  <c r="AD44" i="20" s="1"/>
  <c r="AI52" i="20"/>
  <c r="AH52" i="20" s="1"/>
  <c r="AG52" i="20" s="1"/>
  <c r="AF52" i="20" s="1"/>
  <c r="AD52" i="20" s="1"/>
  <c r="AI60" i="20"/>
  <c r="AH60" i="20" s="1"/>
  <c r="AG60" i="20" s="1"/>
  <c r="AF60" i="20" s="1"/>
  <c r="AD60" i="20" s="1"/>
  <c r="AI68" i="20"/>
  <c r="AH68" i="20" s="1"/>
  <c r="AG68" i="20" s="1"/>
  <c r="AF68" i="20" s="1"/>
  <c r="AD68" i="20" s="1"/>
  <c r="AI76" i="20"/>
  <c r="AH76" i="20" s="1"/>
  <c r="AG76" i="20" s="1"/>
  <c r="AF76" i="20" s="1"/>
  <c r="AD76" i="20" s="1"/>
  <c r="AI84" i="20"/>
  <c r="AH84" i="20" s="1"/>
  <c r="AG84" i="20" s="1"/>
  <c r="AF84" i="20" s="1"/>
  <c r="AD84" i="20" s="1"/>
  <c r="AI92" i="20"/>
  <c r="AH92" i="20" s="1"/>
  <c r="AG92" i="20" s="1"/>
  <c r="AF92" i="20" s="1"/>
  <c r="AD92" i="20" s="1"/>
  <c r="AI100" i="20"/>
  <c r="AH100" i="20" s="1"/>
  <c r="AG100" i="20" s="1"/>
  <c r="AF100" i="20" s="1"/>
  <c r="AD100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U378" i="20"/>
  <c r="T378" i="20" s="1"/>
  <c r="S378" i="20" s="1"/>
  <c r="R378" i="20" s="1"/>
  <c r="P378" i="20" s="1"/>
  <c r="V378" i="20" s="1"/>
  <c r="U374" i="20"/>
  <c r="T374" i="20" s="1"/>
  <c r="S374" i="20" s="1"/>
  <c r="R374" i="20" s="1"/>
  <c r="P374" i="20" s="1"/>
  <c r="V374" i="20" s="1"/>
  <c r="U370" i="20"/>
  <c r="T370" i="20" s="1"/>
  <c r="S370" i="20" s="1"/>
  <c r="R370" i="20" s="1"/>
  <c r="P370" i="20" s="1"/>
  <c r="V370" i="20" s="1"/>
  <c r="U366" i="20"/>
  <c r="T366" i="20" s="1"/>
  <c r="S366" i="20" s="1"/>
  <c r="R366" i="20" s="1"/>
  <c r="P366" i="20" s="1"/>
  <c r="V366" i="20" s="1"/>
  <c r="U362" i="20"/>
  <c r="T362" i="20" s="1"/>
  <c r="S362" i="20" s="1"/>
  <c r="R362" i="20" s="1"/>
  <c r="P362" i="20" s="1"/>
  <c r="V362" i="20" s="1"/>
  <c r="U358" i="20"/>
  <c r="T358" i="20" s="1"/>
  <c r="S358" i="20" s="1"/>
  <c r="R358" i="20" s="1"/>
  <c r="P358" i="20" s="1"/>
  <c r="V358" i="20" s="1"/>
  <c r="U354" i="20"/>
  <c r="T354" i="20" s="1"/>
  <c r="S354" i="20" s="1"/>
  <c r="R354" i="20" s="1"/>
  <c r="P354" i="20" s="1"/>
  <c r="V354" i="20" s="1"/>
  <c r="U350" i="20"/>
  <c r="T350" i="20" s="1"/>
  <c r="S350" i="20" s="1"/>
  <c r="R350" i="20" s="1"/>
  <c r="P350" i="20" s="1"/>
  <c r="V350" i="20" s="1"/>
  <c r="U346" i="20"/>
  <c r="T346" i="20" s="1"/>
  <c r="S346" i="20" s="1"/>
  <c r="R346" i="20" s="1"/>
  <c r="P346" i="20" s="1"/>
  <c r="V346" i="20" s="1"/>
  <c r="U342" i="20"/>
  <c r="T342" i="20" s="1"/>
  <c r="S342" i="20" s="1"/>
  <c r="R342" i="20" s="1"/>
  <c r="P342" i="20" s="1"/>
  <c r="V342" i="20" s="1"/>
  <c r="U338" i="20"/>
  <c r="T338" i="20" s="1"/>
  <c r="S338" i="20" s="1"/>
  <c r="R338" i="20" s="1"/>
  <c r="P338" i="20" s="1"/>
  <c r="V338" i="20" s="1"/>
  <c r="U334" i="20"/>
  <c r="T334" i="20" s="1"/>
  <c r="S334" i="20" s="1"/>
  <c r="R334" i="20" s="1"/>
  <c r="P334" i="20" s="1"/>
  <c r="V334" i="20" s="1"/>
  <c r="U330" i="20"/>
  <c r="T330" i="20" s="1"/>
  <c r="S330" i="20" s="1"/>
  <c r="R330" i="20" s="1"/>
  <c r="P330" i="20" s="1"/>
  <c r="V330" i="20" s="1"/>
  <c r="U326" i="20"/>
  <c r="T326" i="20" s="1"/>
  <c r="S326" i="20" s="1"/>
  <c r="R326" i="20" s="1"/>
  <c r="P326" i="20" s="1"/>
  <c r="V326" i="20" s="1"/>
  <c r="U322" i="20"/>
  <c r="T322" i="20" s="1"/>
  <c r="S322" i="20" s="1"/>
  <c r="R322" i="20" s="1"/>
  <c r="P322" i="20" s="1"/>
  <c r="V322" i="20" s="1"/>
  <c r="U318" i="20"/>
  <c r="T318" i="20" s="1"/>
  <c r="S318" i="20" s="1"/>
  <c r="R318" i="20" s="1"/>
  <c r="P318" i="20" s="1"/>
  <c r="V318" i="20" s="1"/>
  <c r="U314" i="20"/>
  <c r="T314" i="20" s="1"/>
  <c r="S314" i="20" s="1"/>
  <c r="R314" i="20" s="1"/>
  <c r="P314" i="20" s="1"/>
  <c r="V314" i="20" s="1"/>
  <c r="U310" i="20"/>
  <c r="T310" i="20" s="1"/>
  <c r="S310" i="20" s="1"/>
  <c r="R310" i="20" s="1"/>
  <c r="P310" i="20" s="1"/>
  <c r="V310" i="20" s="1"/>
  <c r="U306" i="20"/>
  <c r="T306" i="20" s="1"/>
  <c r="S306" i="20" s="1"/>
  <c r="R306" i="20" s="1"/>
  <c r="P306" i="20" s="1"/>
  <c r="V306" i="20" s="1"/>
  <c r="U302" i="20"/>
  <c r="T302" i="20" s="1"/>
  <c r="S302" i="20" s="1"/>
  <c r="R302" i="20" s="1"/>
  <c r="P302" i="20" s="1"/>
  <c r="U298" i="20"/>
  <c r="T298" i="20" s="1"/>
  <c r="S298" i="20" s="1"/>
  <c r="R298" i="20" s="1"/>
  <c r="P298" i="20" s="1"/>
  <c r="V298" i="20" s="1"/>
  <c r="U294" i="20"/>
  <c r="T294" i="20" s="1"/>
  <c r="S294" i="20" s="1"/>
  <c r="R294" i="20" s="1"/>
  <c r="P294" i="20" s="1"/>
  <c r="V294" i="20" s="1"/>
  <c r="U290" i="20"/>
  <c r="T290" i="20" s="1"/>
  <c r="S290" i="20" s="1"/>
  <c r="R290" i="20" s="1"/>
  <c r="P290" i="20" s="1"/>
  <c r="V290" i="20" s="1"/>
  <c r="U286" i="20"/>
  <c r="T286" i="20" s="1"/>
  <c r="S286" i="20" s="1"/>
  <c r="R286" i="20" s="1"/>
  <c r="P286" i="20" s="1"/>
  <c r="V286" i="20" s="1"/>
  <c r="U282" i="20"/>
  <c r="T282" i="20" s="1"/>
  <c r="S282" i="20" s="1"/>
  <c r="R282" i="20" s="1"/>
  <c r="P282" i="20" s="1"/>
  <c r="V282" i="20" s="1"/>
  <c r="U278" i="20"/>
  <c r="T278" i="20" s="1"/>
  <c r="S278" i="20" s="1"/>
  <c r="R278" i="20" s="1"/>
  <c r="P278" i="20" s="1"/>
  <c r="V278" i="20" s="1"/>
  <c r="U274" i="20"/>
  <c r="T274" i="20" s="1"/>
  <c r="S274" i="20" s="1"/>
  <c r="R274" i="20" s="1"/>
  <c r="P274" i="20" s="1"/>
  <c r="V274" i="20" s="1"/>
  <c r="U270" i="20"/>
  <c r="T270" i="20" s="1"/>
  <c r="S270" i="20" s="1"/>
  <c r="R270" i="20" s="1"/>
  <c r="P270" i="20" s="1"/>
  <c r="V270" i="20" s="1"/>
  <c r="U266" i="20"/>
  <c r="T266" i="20" s="1"/>
  <c r="S266" i="20" s="1"/>
  <c r="R266" i="20" s="1"/>
  <c r="P266" i="20" s="1"/>
  <c r="V266" i="20" s="1"/>
  <c r="U262" i="20"/>
  <c r="T262" i="20" s="1"/>
  <c r="S262" i="20" s="1"/>
  <c r="R262" i="20" s="1"/>
  <c r="P262" i="20" s="1"/>
  <c r="V262" i="20" s="1"/>
  <c r="U258" i="20"/>
  <c r="T258" i="20" s="1"/>
  <c r="S258" i="20" s="1"/>
  <c r="R258" i="20" s="1"/>
  <c r="P258" i="20" s="1"/>
  <c r="V258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U125" i="20"/>
  <c r="T125" i="20" s="1"/>
  <c r="S125" i="20" s="1"/>
  <c r="R125" i="20" s="1"/>
  <c r="P125" i="20" s="1"/>
  <c r="V125" i="20" s="1"/>
  <c r="U117" i="20"/>
  <c r="T117" i="20" s="1"/>
  <c r="S117" i="20" s="1"/>
  <c r="R117" i="20" s="1"/>
  <c r="P117" i="20" s="1"/>
  <c r="V117" i="20" s="1"/>
  <c r="U109" i="20"/>
  <c r="T109" i="20" s="1"/>
  <c r="S109" i="20" s="1"/>
  <c r="R109" i="20" s="1"/>
  <c r="P109" i="20" s="1"/>
  <c r="V109" i="20" s="1"/>
  <c r="U101" i="20"/>
  <c r="T101" i="20" s="1"/>
  <c r="S101" i="20" s="1"/>
  <c r="R101" i="20" s="1"/>
  <c r="P101" i="20" s="1"/>
  <c r="V101" i="20" s="1"/>
  <c r="U93" i="20"/>
  <c r="T93" i="20" s="1"/>
  <c r="S93" i="20" s="1"/>
  <c r="R93" i="20" s="1"/>
  <c r="P93" i="20" s="1"/>
  <c r="V93" i="20" s="1"/>
  <c r="U85" i="20"/>
  <c r="T85" i="20" s="1"/>
  <c r="S85" i="20" s="1"/>
  <c r="R85" i="20" s="1"/>
  <c r="P85" i="20" s="1"/>
  <c r="V85" i="20" s="1"/>
  <c r="U77" i="20"/>
  <c r="T77" i="20" s="1"/>
  <c r="S77" i="20" s="1"/>
  <c r="R77" i="20" s="1"/>
  <c r="P77" i="20" s="1"/>
  <c r="V77" i="20" s="1"/>
  <c r="U69" i="20"/>
  <c r="T69" i="20" s="1"/>
  <c r="S69" i="20" s="1"/>
  <c r="R69" i="20" s="1"/>
  <c r="P69" i="20" s="1"/>
  <c r="V69" i="20" s="1"/>
  <c r="U61" i="20"/>
  <c r="T61" i="20" s="1"/>
  <c r="S61" i="20" s="1"/>
  <c r="R61" i="20" s="1"/>
  <c r="P61" i="20" s="1"/>
  <c r="V61" i="20" s="1"/>
  <c r="U53" i="20"/>
  <c r="T53" i="20" s="1"/>
  <c r="S53" i="20" s="1"/>
  <c r="R53" i="20" s="1"/>
  <c r="P53" i="20" s="1"/>
  <c r="V53" i="20" s="1"/>
  <c r="U45" i="20"/>
  <c r="T45" i="20" s="1"/>
  <c r="S45" i="20" s="1"/>
  <c r="R45" i="20" s="1"/>
  <c r="P45" i="20" s="1"/>
  <c r="V45" i="20" s="1"/>
  <c r="U37" i="20"/>
  <c r="T37" i="20" s="1"/>
  <c r="S37" i="20" s="1"/>
  <c r="R37" i="20" s="1"/>
  <c r="P37" i="20" s="1"/>
  <c r="V37" i="20" s="1"/>
  <c r="U29" i="20"/>
  <c r="T29" i="20" s="1"/>
  <c r="S29" i="20" s="1"/>
  <c r="R29" i="20" s="1"/>
  <c r="P29" i="20" s="1"/>
  <c r="U21" i="20"/>
  <c r="T21" i="20" s="1"/>
  <c r="S21" i="20" s="1"/>
  <c r="R21" i="20" s="1"/>
  <c r="P21" i="20" s="1"/>
  <c r="V21" i="20" s="1"/>
  <c r="AI16" i="20"/>
  <c r="AH16" i="20" s="1"/>
  <c r="AG16" i="20" s="1"/>
  <c r="AF16" i="20" s="1"/>
  <c r="AD16" i="20" s="1"/>
  <c r="AI35" i="20"/>
  <c r="AH35" i="20" s="1"/>
  <c r="AG35" i="20" s="1"/>
  <c r="AF35" i="20" s="1"/>
  <c r="AD35" i="20" s="1"/>
  <c r="AI55" i="20"/>
  <c r="AH55" i="20" s="1"/>
  <c r="AG55" i="20" s="1"/>
  <c r="AF55" i="20" s="1"/>
  <c r="AD55" i="20" s="1"/>
  <c r="AI87" i="20"/>
  <c r="AH87" i="20" s="1"/>
  <c r="AG87" i="20" s="1"/>
  <c r="AF87" i="20" s="1"/>
  <c r="AD87" i="20" s="1"/>
  <c r="AI119" i="20"/>
  <c r="AH119" i="20" s="1"/>
  <c r="AG119" i="20" s="1"/>
  <c r="AF119" i="20" s="1"/>
  <c r="AD119" i="20" s="1"/>
  <c r="AI151" i="20"/>
  <c r="AH151" i="20" s="1"/>
  <c r="AG151" i="20" s="1"/>
  <c r="AF151" i="20" s="1"/>
  <c r="AD151" i="20" s="1"/>
  <c r="AI183" i="20"/>
  <c r="AH183" i="20" s="1"/>
  <c r="AG183" i="20" s="1"/>
  <c r="AF183" i="20" s="1"/>
  <c r="AD183" i="20" s="1"/>
  <c r="AI215" i="20"/>
  <c r="AH215" i="20" s="1"/>
  <c r="AG215" i="20" s="1"/>
  <c r="AF215" i="20" s="1"/>
  <c r="AD215" i="20" s="1"/>
  <c r="AI247" i="20"/>
  <c r="AH247" i="20" s="1"/>
  <c r="AG247" i="20" s="1"/>
  <c r="AF247" i="20" s="1"/>
  <c r="AD247" i="20" s="1"/>
  <c r="AI279" i="20"/>
  <c r="AH279" i="20" s="1"/>
  <c r="AG279" i="20" s="1"/>
  <c r="AF279" i="20" s="1"/>
  <c r="AD279" i="20" s="1"/>
  <c r="AI311" i="20"/>
  <c r="AH311" i="20" s="1"/>
  <c r="AG311" i="20" s="1"/>
  <c r="AF311" i="20" s="1"/>
  <c r="AD311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U19" i="20"/>
  <c r="T19" i="20" s="1"/>
  <c r="U17" i="20"/>
  <c r="T17" i="20" s="1"/>
  <c r="S17" i="20" s="1"/>
  <c r="R17" i="20" s="1"/>
  <c r="P17" i="20" s="1"/>
  <c r="V17" i="20" s="1"/>
  <c r="U24" i="20"/>
  <c r="T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40" i="20"/>
  <c r="T40" i="20" s="1"/>
  <c r="S40" i="20" s="1"/>
  <c r="R40" i="20" s="1"/>
  <c r="P40" i="20" s="1"/>
  <c r="V40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D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D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D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D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D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D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D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D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D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D221" i="20" s="1"/>
  <c r="AI213" i="20"/>
  <c r="AH213" i="20" s="1"/>
  <c r="AG213" i="20" s="1"/>
  <c r="AF213" i="20" s="1"/>
  <c r="AD213" i="20" s="1"/>
  <c r="AI205" i="20"/>
  <c r="AH205" i="20" s="1"/>
  <c r="AG205" i="20" s="1"/>
  <c r="AF205" i="20" s="1"/>
  <c r="AD205" i="20" s="1"/>
  <c r="AI197" i="20"/>
  <c r="AH197" i="20" s="1"/>
  <c r="AG197" i="20" s="1"/>
  <c r="AF197" i="20" s="1"/>
  <c r="AD197" i="20" s="1"/>
  <c r="AI189" i="20"/>
  <c r="AH189" i="20" s="1"/>
  <c r="AG189" i="20" s="1"/>
  <c r="AF189" i="20" s="1"/>
  <c r="AD189" i="20" s="1"/>
  <c r="AI181" i="20"/>
  <c r="AH181" i="20" s="1"/>
  <c r="AG181" i="20" s="1"/>
  <c r="AF181" i="20" s="1"/>
  <c r="AD181" i="20" s="1"/>
  <c r="AI173" i="20"/>
  <c r="AH173" i="20" s="1"/>
  <c r="AG173" i="20" s="1"/>
  <c r="AF173" i="20" s="1"/>
  <c r="AD173" i="20" s="1"/>
  <c r="AI165" i="20"/>
  <c r="AH165" i="20" s="1"/>
  <c r="AG165" i="20" s="1"/>
  <c r="AF165" i="20" s="1"/>
  <c r="AD165" i="20" s="1"/>
  <c r="AI157" i="20"/>
  <c r="AH157" i="20" s="1"/>
  <c r="AG157" i="20" s="1"/>
  <c r="AF157" i="20" s="1"/>
  <c r="AD157" i="20" s="1"/>
  <c r="AI149" i="20"/>
  <c r="AH149" i="20" s="1"/>
  <c r="AG149" i="20" s="1"/>
  <c r="AF149" i="20" s="1"/>
  <c r="AD149" i="20" s="1"/>
  <c r="AI141" i="20"/>
  <c r="AH141" i="20" s="1"/>
  <c r="AG141" i="20" s="1"/>
  <c r="AF141" i="20" s="1"/>
  <c r="AD141" i="20" s="1"/>
  <c r="AI133" i="20"/>
  <c r="AH133" i="20" s="1"/>
  <c r="AG133" i="20" s="1"/>
  <c r="AF133" i="20" s="1"/>
  <c r="AD133" i="20" s="1"/>
  <c r="AI125" i="20"/>
  <c r="AH125" i="20" s="1"/>
  <c r="AG125" i="20" s="1"/>
  <c r="AF125" i="20" s="1"/>
  <c r="AD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3" i="20"/>
  <c r="AH93" i="20" s="1"/>
  <c r="AG93" i="20" s="1"/>
  <c r="AF93" i="20" s="1"/>
  <c r="AD93" i="20" s="1"/>
  <c r="AI85" i="20"/>
  <c r="AH85" i="20" s="1"/>
  <c r="AG85" i="20" s="1"/>
  <c r="AF85" i="20" s="1"/>
  <c r="AD85" i="20" s="1"/>
  <c r="AI77" i="20"/>
  <c r="AH77" i="20" s="1"/>
  <c r="AG77" i="20" s="1"/>
  <c r="AF77" i="20" s="1"/>
  <c r="AD77" i="20" s="1"/>
  <c r="AI69" i="20"/>
  <c r="AH69" i="20" s="1"/>
  <c r="AG69" i="20" s="1"/>
  <c r="AF69" i="20" s="1"/>
  <c r="AD69" i="20" s="1"/>
  <c r="AI61" i="20"/>
  <c r="AH61" i="20" s="1"/>
  <c r="AG61" i="20" s="1"/>
  <c r="AF61" i="20" s="1"/>
  <c r="AD61" i="20" s="1"/>
  <c r="AI53" i="20"/>
  <c r="AH53" i="20" s="1"/>
  <c r="AG53" i="20" s="1"/>
  <c r="AF53" i="20" s="1"/>
  <c r="AD53" i="20" s="1"/>
  <c r="AI379" i="20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D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D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D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0" i="20"/>
  <c r="AH120" i="20" s="1"/>
  <c r="AG120" i="20" s="1"/>
  <c r="AF120" i="20" s="1"/>
  <c r="AD120" i="20" s="1"/>
  <c r="AI128" i="20"/>
  <c r="AH128" i="20" s="1"/>
  <c r="AG128" i="20" s="1"/>
  <c r="AF128" i="20" s="1"/>
  <c r="AD128" i="20" s="1"/>
  <c r="AI136" i="20"/>
  <c r="AH136" i="20" s="1"/>
  <c r="AG136" i="20" s="1"/>
  <c r="AF136" i="20" s="1"/>
  <c r="AD136" i="20" s="1"/>
  <c r="AI144" i="20"/>
  <c r="AH144" i="20" s="1"/>
  <c r="AG144" i="20" s="1"/>
  <c r="AF144" i="20" s="1"/>
  <c r="AD144" i="20" s="1"/>
  <c r="AI152" i="20"/>
  <c r="AH152" i="20" s="1"/>
  <c r="AG152" i="20" s="1"/>
  <c r="AF152" i="20" s="1"/>
  <c r="AD152" i="20" s="1"/>
  <c r="AI160" i="20"/>
  <c r="AH160" i="20" s="1"/>
  <c r="AG160" i="20" s="1"/>
  <c r="AF160" i="20" s="1"/>
  <c r="AD160" i="20" s="1"/>
  <c r="AI168" i="20"/>
  <c r="AH168" i="20" s="1"/>
  <c r="AG168" i="20" s="1"/>
  <c r="AF168" i="20" s="1"/>
  <c r="AD168" i="20" s="1"/>
  <c r="AI176" i="20"/>
  <c r="AH176" i="20" s="1"/>
  <c r="AG176" i="20" s="1"/>
  <c r="AF176" i="20" s="1"/>
  <c r="AD176" i="20" s="1"/>
  <c r="AI184" i="20"/>
  <c r="AH184" i="20" s="1"/>
  <c r="AG184" i="20" s="1"/>
  <c r="AF184" i="20" s="1"/>
  <c r="AD184" i="20" s="1"/>
  <c r="AI192" i="20"/>
  <c r="AH192" i="20" s="1"/>
  <c r="AG192" i="20" s="1"/>
  <c r="AF192" i="20" s="1"/>
  <c r="AD192" i="20" s="1"/>
  <c r="AI200" i="20"/>
  <c r="AH200" i="20" s="1"/>
  <c r="AG200" i="20" s="1"/>
  <c r="AF200" i="20" s="1"/>
  <c r="AD200" i="20" s="1"/>
  <c r="AI208" i="20"/>
  <c r="AH208" i="20" s="1"/>
  <c r="AG208" i="20" s="1"/>
  <c r="AF208" i="20" s="1"/>
  <c r="AD208" i="20" s="1"/>
  <c r="AI216" i="20"/>
  <c r="AH216" i="20" s="1"/>
  <c r="AG216" i="20" s="1"/>
  <c r="AF216" i="20" s="1"/>
  <c r="AD216" i="20" s="1"/>
  <c r="AI224" i="20"/>
  <c r="AH224" i="20" s="1"/>
  <c r="AG224" i="20" s="1"/>
  <c r="AF224" i="20" s="1"/>
  <c r="AD224" i="20" s="1"/>
  <c r="AI232" i="20"/>
  <c r="AH232" i="20" s="1"/>
  <c r="AG232" i="20" s="1"/>
  <c r="AF232" i="20" s="1"/>
  <c r="AD232" i="20" s="1"/>
  <c r="AI240" i="20"/>
  <c r="AH240" i="20" s="1"/>
  <c r="AG240" i="20" s="1"/>
  <c r="AF240" i="20" s="1"/>
  <c r="AD240" i="20" s="1"/>
  <c r="AI248" i="20"/>
  <c r="AH248" i="20" s="1"/>
  <c r="AG248" i="20" s="1"/>
  <c r="AF248" i="20" s="1"/>
  <c r="AD248" i="20" s="1"/>
  <c r="AI256" i="20"/>
  <c r="AH256" i="20" s="1"/>
  <c r="AG256" i="20" s="1"/>
  <c r="AF256" i="20" s="1"/>
  <c r="AD256" i="20" s="1"/>
  <c r="AI264" i="20"/>
  <c r="AH264" i="20" s="1"/>
  <c r="AG264" i="20" s="1"/>
  <c r="AF264" i="20" s="1"/>
  <c r="AD264" i="20" s="1"/>
  <c r="AI272" i="20"/>
  <c r="AH272" i="20" s="1"/>
  <c r="AG272" i="20" s="1"/>
  <c r="AF272" i="20" s="1"/>
  <c r="AD272" i="20" s="1"/>
  <c r="AI280" i="20"/>
  <c r="AH280" i="20" s="1"/>
  <c r="AG280" i="20" s="1"/>
  <c r="AF280" i="20" s="1"/>
  <c r="AD280" i="20" s="1"/>
  <c r="AI288" i="20"/>
  <c r="AH288" i="20" s="1"/>
  <c r="AG288" i="20" s="1"/>
  <c r="AF288" i="20" s="1"/>
  <c r="AD288" i="20" s="1"/>
  <c r="AI296" i="20"/>
  <c r="AH296" i="20" s="1"/>
  <c r="AG296" i="20" s="1"/>
  <c r="AF296" i="20" s="1"/>
  <c r="AD296" i="20" s="1"/>
  <c r="AI304" i="20"/>
  <c r="AH304" i="20" s="1"/>
  <c r="AG304" i="20" s="1"/>
  <c r="AF304" i="20" s="1"/>
  <c r="AD304" i="20" s="1"/>
  <c r="AI312" i="20"/>
  <c r="AH312" i="20" s="1"/>
  <c r="AG312" i="20" s="1"/>
  <c r="AF312" i="20" s="1"/>
  <c r="AD312" i="20" s="1"/>
  <c r="AI320" i="20"/>
  <c r="AH320" i="20" s="1"/>
  <c r="AG320" i="20" s="1"/>
  <c r="AF320" i="20" s="1"/>
  <c r="AD320" i="20" s="1"/>
  <c r="AI328" i="20"/>
  <c r="AH328" i="20" s="1"/>
  <c r="AG328" i="20" s="1"/>
  <c r="AF328" i="20" s="1"/>
  <c r="AD328" i="20" s="1"/>
  <c r="AI336" i="20"/>
  <c r="AH336" i="20" s="1"/>
  <c r="AG336" i="20" s="1"/>
  <c r="AF336" i="20" s="1"/>
  <c r="AD336" i="20" s="1"/>
  <c r="AI344" i="20"/>
  <c r="AH344" i="20" s="1"/>
  <c r="AG344" i="20" s="1"/>
  <c r="AF344" i="20" s="1"/>
  <c r="AD344" i="20" s="1"/>
  <c r="AI352" i="20"/>
  <c r="AH352" i="20" s="1"/>
  <c r="AG352" i="20" s="1"/>
  <c r="AF352" i="20" s="1"/>
  <c r="AD352" i="20" s="1"/>
  <c r="AI360" i="20"/>
  <c r="AH360" i="20" s="1"/>
  <c r="AG360" i="20" s="1"/>
  <c r="AF360" i="20" s="1"/>
  <c r="AD360" i="20" s="1"/>
  <c r="AI368" i="20"/>
  <c r="AH368" i="20" s="1"/>
  <c r="AG368" i="20" s="1"/>
  <c r="AF368" i="20" s="1"/>
  <c r="AD368" i="20" s="1"/>
  <c r="AI376" i="20"/>
  <c r="AH376" i="20" s="1"/>
  <c r="AG376" i="20" s="1"/>
  <c r="AF376" i="20" s="1"/>
  <c r="AD376" i="20" s="1"/>
  <c r="U376" i="20"/>
  <c r="T376" i="20" s="1"/>
  <c r="S376" i="20" s="1"/>
  <c r="R376" i="20" s="1"/>
  <c r="P376" i="20" s="1"/>
  <c r="V376" i="20" s="1"/>
  <c r="U372" i="20"/>
  <c r="T372" i="20" s="1"/>
  <c r="S372" i="20" s="1"/>
  <c r="R372" i="20" s="1"/>
  <c r="P372" i="20" s="1"/>
  <c r="V372" i="20" s="1"/>
  <c r="U368" i="20"/>
  <c r="T368" i="20" s="1"/>
  <c r="S368" i="20" s="1"/>
  <c r="R368" i="20" s="1"/>
  <c r="P368" i="20" s="1"/>
  <c r="V368" i="20" s="1"/>
  <c r="U364" i="20"/>
  <c r="T364" i="20" s="1"/>
  <c r="S364" i="20" s="1"/>
  <c r="R364" i="20" s="1"/>
  <c r="P364" i="20" s="1"/>
  <c r="V364" i="20" s="1"/>
  <c r="U360" i="20"/>
  <c r="T360" i="20" s="1"/>
  <c r="S360" i="20" s="1"/>
  <c r="R360" i="20" s="1"/>
  <c r="P360" i="20" s="1"/>
  <c r="V360" i="20" s="1"/>
  <c r="U356" i="20"/>
  <c r="T356" i="20" s="1"/>
  <c r="S356" i="20" s="1"/>
  <c r="R356" i="20" s="1"/>
  <c r="P356" i="20" s="1"/>
  <c r="V356" i="20" s="1"/>
  <c r="U352" i="20"/>
  <c r="T352" i="20" s="1"/>
  <c r="S352" i="20" s="1"/>
  <c r="R352" i="20" s="1"/>
  <c r="P352" i="20" s="1"/>
  <c r="V352" i="20" s="1"/>
  <c r="U348" i="20"/>
  <c r="T348" i="20" s="1"/>
  <c r="S348" i="20" s="1"/>
  <c r="R348" i="20" s="1"/>
  <c r="P348" i="20" s="1"/>
  <c r="V348" i="20" s="1"/>
  <c r="U344" i="20"/>
  <c r="T344" i="20" s="1"/>
  <c r="S344" i="20" s="1"/>
  <c r="R344" i="20" s="1"/>
  <c r="P344" i="20" s="1"/>
  <c r="V344" i="20" s="1"/>
  <c r="U340" i="20"/>
  <c r="T340" i="20" s="1"/>
  <c r="S340" i="20" s="1"/>
  <c r="R340" i="20" s="1"/>
  <c r="P340" i="20" s="1"/>
  <c r="V340" i="20" s="1"/>
  <c r="U336" i="20"/>
  <c r="T336" i="20" s="1"/>
  <c r="S336" i="20" s="1"/>
  <c r="R336" i="20" s="1"/>
  <c r="P336" i="20" s="1"/>
  <c r="V336" i="20" s="1"/>
  <c r="U332" i="20"/>
  <c r="T332" i="20" s="1"/>
  <c r="S332" i="20" s="1"/>
  <c r="R332" i="20" s="1"/>
  <c r="P332" i="20" s="1"/>
  <c r="V332" i="20" s="1"/>
  <c r="U328" i="20"/>
  <c r="T328" i="20" s="1"/>
  <c r="S328" i="20" s="1"/>
  <c r="R328" i="20" s="1"/>
  <c r="P328" i="20" s="1"/>
  <c r="V328" i="20" s="1"/>
  <c r="U324" i="20"/>
  <c r="T324" i="20" s="1"/>
  <c r="S324" i="20" s="1"/>
  <c r="R324" i="20" s="1"/>
  <c r="P324" i="20" s="1"/>
  <c r="V324" i="20" s="1"/>
  <c r="U320" i="20"/>
  <c r="T320" i="20" s="1"/>
  <c r="S320" i="20" s="1"/>
  <c r="R320" i="20" s="1"/>
  <c r="P320" i="20" s="1"/>
  <c r="V320" i="20" s="1"/>
  <c r="U316" i="20"/>
  <c r="T316" i="20" s="1"/>
  <c r="S316" i="20" s="1"/>
  <c r="R316" i="20" s="1"/>
  <c r="P316" i="20" s="1"/>
  <c r="V316" i="20" s="1"/>
  <c r="U312" i="20"/>
  <c r="T312" i="20" s="1"/>
  <c r="S312" i="20" s="1"/>
  <c r="R312" i="20" s="1"/>
  <c r="P312" i="20" s="1"/>
  <c r="V312" i="20" s="1"/>
  <c r="U308" i="20"/>
  <c r="T308" i="20" s="1"/>
  <c r="S308" i="20" s="1"/>
  <c r="R308" i="20" s="1"/>
  <c r="P308" i="20" s="1"/>
  <c r="V308" i="20" s="1"/>
  <c r="U304" i="20"/>
  <c r="T304" i="20" s="1"/>
  <c r="S304" i="20" s="1"/>
  <c r="R304" i="20" s="1"/>
  <c r="P304" i="20" s="1"/>
  <c r="V304" i="20" s="1"/>
  <c r="U300" i="20"/>
  <c r="T300" i="20" s="1"/>
  <c r="S300" i="20" s="1"/>
  <c r="R300" i="20" s="1"/>
  <c r="P300" i="20" s="1"/>
  <c r="V300" i="20" s="1"/>
  <c r="U296" i="20"/>
  <c r="T296" i="20" s="1"/>
  <c r="S296" i="20" s="1"/>
  <c r="R296" i="20" s="1"/>
  <c r="P296" i="20" s="1"/>
  <c r="V296" i="20" s="1"/>
  <c r="U292" i="20"/>
  <c r="T292" i="20" s="1"/>
  <c r="S292" i="20" s="1"/>
  <c r="R292" i="20" s="1"/>
  <c r="P292" i="20" s="1"/>
  <c r="V292" i="20" s="1"/>
  <c r="U288" i="20"/>
  <c r="T288" i="20" s="1"/>
  <c r="S288" i="20" s="1"/>
  <c r="R288" i="20" s="1"/>
  <c r="P288" i="20" s="1"/>
  <c r="V288" i="20" s="1"/>
  <c r="U284" i="20"/>
  <c r="T284" i="20" s="1"/>
  <c r="S284" i="20" s="1"/>
  <c r="R284" i="20" s="1"/>
  <c r="P284" i="20" s="1"/>
  <c r="V284" i="20" s="1"/>
  <c r="U280" i="20"/>
  <c r="T280" i="20" s="1"/>
  <c r="S280" i="20" s="1"/>
  <c r="R280" i="20" s="1"/>
  <c r="P280" i="20" s="1"/>
  <c r="V280" i="20" s="1"/>
  <c r="U276" i="20"/>
  <c r="T276" i="20" s="1"/>
  <c r="S276" i="20" s="1"/>
  <c r="R276" i="20" s="1"/>
  <c r="P276" i="20" s="1"/>
  <c r="V276" i="20" s="1"/>
  <c r="U272" i="20"/>
  <c r="T272" i="20" s="1"/>
  <c r="S272" i="20" s="1"/>
  <c r="R272" i="20" s="1"/>
  <c r="P272" i="20" s="1"/>
  <c r="U268" i="20"/>
  <c r="T268" i="20" s="1"/>
  <c r="S268" i="20" s="1"/>
  <c r="R268" i="20" s="1"/>
  <c r="P268" i="20" s="1"/>
  <c r="V268" i="20" s="1"/>
  <c r="U264" i="20"/>
  <c r="T264" i="20" s="1"/>
  <c r="S264" i="20" s="1"/>
  <c r="R264" i="20" s="1"/>
  <c r="P264" i="20" s="1"/>
  <c r="V264" i="20" s="1"/>
  <c r="U260" i="20"/>
  <c r="T260" i="20" s="1"/>
  <c r="S260" i="20" s="1"/>
  <c r="R260" i="20" s="1"/>
  <c r="P260" i="20" s="1"/>
  <c r="V260" i="20" s="1"/>
  <c r="U256" i="20"/>
  <c r="T256" i="20" s="1"/>
  <c r="S256" i="20" s="1"/>
  <c r="R256" i="20" s="1"/>
  <c r="P256" i="20" s="1"/>
  <c r="V256" i="20" s="1"/>
  <c r="U249" i="20"/>
  <c r="T249" i="20" s="1"/>
  <c r="S249" i="20" s="1"/>
  <c r="R249" i="20" s="1"/>
  <c r="P249" i="20" s="1"/>
  <c r="V249" i="20" s="1"/>
  <c r="U241" i="20"/>
  <c r="T241" i="20" s="1"/>
  <c r="S241" i="20" s="1"/>
  <c r="R241" i="20" s="1"/>
  <c r="P241" i="20" s="1"/>
  <c r="U233" i="20"/>
  <c r="T233" i="20" s="1"/>
  <c r="S233" i="20" s="1"/>
  <c r="R233" i="20" s="1"/>
  <c r="P233" i="20" s="1"/>
  <c r="V233" i="20" s="1"/>
  <c r="U225" i="20"/>
  <c r="T225" i="20" s="1"/>
  <c r="S225" i="20" s="1"/>
  <c r="R225" i="20" s="1"/>
  <c r="P225" i="20" s="1"/>
  <c r="V225" i="20" s="1"/>
  <c r="U217" i="20"/>
  <c r="T217" i="20" s="1"/>
  <c r="S217" i="20" s="1"/>
  <c r="R217" i="20" s="1"/>
  <c r="P217" i="20" s="1"/>
  <c r="V217" i="20" s="1"/>
  <c r="U209" i="20"/>
  <c r="T209" i="20" s="1"/>
  <c r="S209" i="20" s="1"/>
  <c r="R209" i="20" s="1"/>
  <c r="P209" i="20" s="1"/>
  <c r="V209" i="20" s="1"/>
  <c r="U201" i="20"/>
  <c r="T201" i="20" s="1"/>
  <c r="S201" i="20" s="1"/>
  <c r="R201" i="20" s="1"/>
  <c r="P201" i="20" s="1"/>
  <c r="V201" i="20" s="1"/>
  <c r="U193" i="20"/>
  <c r="T193" i="20" s="1"/>
  <c r="S193" i="20" s="1"/>
  <c r="R193" i="20" s="1"/>
  <c r="P193" i="20" s="1"/>
  <c r="V193" i="20" s="1"/>
  <c r="U185" i="20"/>
  <c r="T185" i="20" s="1"/>
  <c r="S185" i="20" s="1"/>
  <c r="R185" i="20" s="1"/>
  <c r="P185" i="20" s="1"/>
  <c r="V185" i="20" s="1"/>
  <c r="U177" i="20"/>
  <c r="T177" i="20" s="1"/>
  <c r="S177" i="20" s="1"/>
  <c r="R177" i="20" s="1"/>
  <c r="P177" i="20" s="1"/>
  <c r="V177" i="20" s="1"/>
  <c r="U169" i="20"/>
  <c r="T169" i="20" s="1"/>
  <c r="S169" i="20" s="1"/>
  <c r="R169" i="20" s="1"/>
  <c r="P169" i="20" s="1"/>
  <c r="V169" i="20" s="1"/>
  <c r="U161" i="20"/>
  <c r="T161" i="20" s="1"/>
  <c r="S161" i="20" s="1"/>
  <c r="R161" i="20" s="1"/>
  <c r="P161" i="20" s="1"/>
  <c r="V161" i="20" s="1"/>
  <c r="U153" i="20"/>
  <c r="T153" i="20" s="1"/>
  <c r="S153" i="20" s="1"/>
  <c r="R153" i="20" s="1"/>
  <c r="P153" i="20" s="1"/>
  <c r="V153" i="20" s="1"/>
  <c r="U145" i="20"/>
  <c r="T145" i="20" s="1"/>
  <c r="S145" i="20" s="1"/>
  <c r="R145" i="20" s="1"/>
  <c r="P145" i="20" s="1"/>
  <c r="V145" i="20" s="1"/>
  <c r="U137" i="20"/>
  <c r="T137" i="20" s="1"/>
  <c r="S137" i="20" s="1"/>
  <c r="R137" i="20" s="1"/>
  <c r="P137" i="20" s="1"/>
  <c r="V137" i="20" s="1"/>
  <c r="U129" i="20"/>
  <c r="T129" i="20" s="1"/>
  <c r="S129" i="20" s="1"/>
  <c r="R129" i="20" s="1"/>
  <c r="P129" i="20" s="1"/>
  <c r="V129" i="20" s="1"/>
  <c r="U121" i="20"/>
  <c r="T121" i="20" s="1"/>
  <c r="S121" i="20" s="1"/>
  <c r="R121" i="20" s="1"/>
  <c r="P121" i="20" s="1"/>
  <c r="V121" i="20" s="1"/>
  <c r="U113" i="20"/>
  <c r="T113" i="20" s="1"/>
  <c r="S113" i="20" s="1"/>
  <c r="R113" i="20" s="1"/>
  <c r="P113" i="20" s="1"/>
  <c r="V113" i="20" s="1"/>
  <c r="U105" i="20"/>
  <c r="T105" i="20" s="1"/>
  <c r="S105" i="20" s="1"/>
  <c r="R105" i="20" s="1"/>
  <c r="P105" i="20" s="1"/>
  <c r="V105" i="20" s="1"/>
  <c r="U97" i="20"/>
  <c r="T97" i="20" s="1"/>
  <c r="S97" i="20" s="1"/>
  <c r="R97" i="20" s="1"/>
  <c r="P97" i="20" s="1"/>
  <c r="V97" i="20" s="1"/>
  <c r="U89" i="20"/>
  <c r="T89" i="20" s="1"/>
  <c r="S89" i="20" s="1"/>
  <c r="R89" i="20" s="1"/>
  <c r="P89" i="20" s="1"/>
  <c r="V89" i="20" s="1"/>
  <c r="U81" i="20"/>
  <c r="T81" i="20" s="1"/>
  <c r="S81" i="20" s="1"/>
  <c r="R81" i="20" s="1"/>
  <c r="P81" i="20" s="1"/>
  <c r="V81" i="20" s="1"/>
  <c r="U73" i="20"/>
  <c r="T73" i="20" s="1"/>
  <c r="S73" i="20" s="1"/>
  <c r="R73" i="20" s="1"/>
  <c r="P73" i="20" s="1"/>
  <c r="V73" i="20" s="1"/>
  <c r="U65" i="20"/>
  <c r="T65" i="20" s="1"/>
  <c r="S65" i="20" s="1"/>
  <c r="R65" i="20" s="1"/>
  <c r="P65" i="20" s="1"/>
  <c r="V65" i="20" s="1"/>
  <c r="U57" i="20"/>
  <c r="T57" i="20" s="1"/>
  <c r="S57" i="20" s="1"/>
  <c r="R57" i="20" s="1"/>
  <c r="P57" i="20" s="1"/>
  <c r="V57" i="20" s="1"/>
  <c r="U49" i="20"/>
  <c r="T49" i="20" s="1"/>
  <c r="S49" i="20" s="1"/>
  <c r="R49" i="20" s="1"/>
  <c r="P49" i="20" s="1"/>
  <c r="V49" i="20" s="1"/>
  <c r="U41" i="20"/>
  <c r="T41" i="20" s="1"/>
  <c r="S41" i="20" s="1"/>
  <c r="R41" i="20" s="1"/>
  <c r="P41" i="20" s="1"/>
  <c r="V41" i="20" s="1"/>
  <c r="U33" i="20"/>
  <c r="T33" i="20" s="1"/>
  <c r="S33" i="20" s="1"/>
  <c r="R33" i="20" s="1"/>
  <c r="P33" i="20" s="1"/>
  <c r="V33" i="20" s="1"/>
  <c r="U25" i="20"/>
  <c r="T25" i="20" s="1"/>
  <c r="S25" i="20" s="1"/>
  <c r="R25" i="20" s="1"/>
  <c r="P25" i="20" s="1"/>
  <c r="V25" i="20" s="1"/>
  <c r="U15" i="20"/>
  <c r="AI27" i="20"/>
  <c r="AH27" i="20" s="1"/>
  <c r="AG27" i="20" s="1"/>
  <c r="AF27" i="20" s="1"/>
  <c r="AD27" i="20" s="1"/>
  <c r="AI43" i="20"/>
  <c r="AH43" i="20" s="1"/>
  <c r="AG43" i="20" s="1"/>
  <c r="AF43" i="20" s="1"/>
  <c r="AD43" i="20" s="1"/>
  <c r="AI71" i="20"/>
  <c r="AH71" i="20" s="1"/>
  <c r="AG71" i="20" s="1"/>
  <c r="AF71" i="20" s="1"/>
  <c r="AD71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D135" i="20" s="1"/>
  <c r="AI167" i="20"/>
  <c r="AH167" i="20" s="1"/>
  <c r="AG167" i="20" s="1"/>
  <c r="AF167" i="20" s="1"/>
  <c r="AD167" i="20" s="1"/>
  <c r="AI199" i="20"/>
  <c r="AH199" i="20" s="1"/>
  <c r="AG199" i="20" s="1"/>
  <c r="AF199" i="20" s="1"/>
  <c r="AD199" i="20" s="1"/>
  <c r="AI231" i="20"/>
  <c r="AH231" i="20" s="1"/>
  <c r="AG231" i="20" s="1"/>
  <c r="AF231" i="20" s="1"/>
  <c r="AD231" i="20" s="1"/>
  <c r="AI263" i="20"/>
  <c r="AH263" i="20" s="1"/>
  <c r="AG263" i="20" s="1"/>
  <c r="AF263" i="20" s="1"/>
  <c r="AD263" i="20" s="1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359" i="20"/>
  <c r="AH359" i="20" s="1"/>
  <c r="AG359" i="20" s="1"/>
  <c r="AF359" i="20" s="1"/>
  <c r="AD359" i="20" s="1"/>
  <c r="U380" i="20"/>
  <c r="T380" i="20" s="1"/>
  <c r="S380" i="20" s="1"/>
  <c r="R380" i="20" s="1"/>
  <c r="P380" i="20" s="1"/>
  <c r="V380" i="20" s="1"/>
  <c r="R379" i="18"/>
  <c r="S381" i="18"/>
  <c r="S383" i="18"/>
  <c r="S382" i="18"/>
  <c r="S59" i="20"/>
  <c r="R59" i="20" s="1"/>
  <c r="P59" i="20" s="1"/>
  <c r="V59" i="20" s="1"/>
  <c r="Z382" i="16"/>
  <c r="Z9" i="16"/>
  <c r="Y15" i="16"/>
  <c r="AL5" i="16" s="1"/>
  <c r="AL11" i="16" s="1"/>
  <c r="AJ3" i="16" s="1"/>
  <c r="O13" i="19" s="1"/>
  <c r="M13" i="19" s="1"/>
  <c r="Z383" i="16"/>
  <c r="Z381" i="16"/>
  <c r="AL8" i="16"/>
  <c r="Q381" i="22"/>
  <c r="Q382" i="22"/>
  <c r="AS15" i="7"/>
  <c r="Q383" i="22"/>
  <c r="Q10" i="23" l="1"/>
  <c r="Q125" i="23" s="1"/>
  <c r="AE11" i="23"/>
  <c r="AE107" i="22"/>
  <c r="AE111" i="22"/>
  <c r="AE115" i="22"/>
  <c r="AE119" i="22"/>
  <c r="AE123" i="22"/>
  <c r="AE127" i="22"/>
  <c r="AE131" i="22"/>
  <c r="AE135" i="22"/>
  <c r="AE139" i="22"/>
  <c r="AE143" i="22"/>
  <c r="AE147" i="22"/>
  <c r="AE151" i="22"/>
  <c r="AE155" i="22"/>
  <c r="AE159" i="22"/>
  <c r="AE163" i="22"/>
  <c r="AE167" i="22"/>
  <c r="AE171" i="22"/>
  <c r="AE175" i="22"/>
  <c r="AE179" i="22"/>
  <c r="AE183" i="22"/>
  <c r="AE187" i="22"/>
  <c r="AE191" i="22"/>
  <c r="AE195" i="22"/>
  <c r="AE199" i="22"/>
  <c r="AE203" i="22"/>
  <c r="AE207" i="22"/>
  <c r="AE211" i="22"/>
  <c r="AE215" i="22"/>
  <c r="AE219" i="22"/>
  <c r="AE223" i="22"/>
  <c r="AE227" i="22"/>
  <c r="AE231" i="22"/>
  <c r="AE235" i="22"/>
  <c r="AE239" i="22"/>
  <c r="AE243" i="22"/>
  <c r="AE247" i="22"/>
  <c r="AE251" i="22"/>
  <c r="AE255" i="22"/>
  <c r="AE259" i="22"/>
  <c r="AE263" i="22"/>
  <c r="AE267" i="22"/>
  <c r="AE271" i="22"/>
  <c r="AE275" i="22"/>
  <c r="AE279" i="22"/>
  <c r="AE283" i="22"/>
  <c r="AE287" i="22"/>
  <c r="AE291" i="22"/>
  <c r="AE295" i="22"/>
  <c r="AE299" i="22"/>
  <c r="AE303" i="22"/>
  <c r="AE307" i="22"/>
  <c r="AE311" i="22"/>
  <c r="AE315" i="22"/>
  <c r="AE319" i="22"/>
  <c r="AE323" i="22"/>
  <c r="AE327" i="22"/>
  <c r="AE331" i="22"/>
  <c r="AE335" i="22"/>
  <c r="AE339" i="22"/>
  <c r="AE343" i="22"/>
  <c r="AE347" i="22"/>
  <c r="AE351" i="22"/>
  <c r="AE355" i="22"/>
  <c r="AE359" i="22"/>
  <c r="AE363" i="22"/>
  <c r="AE367" i="22"/>
  <c r="AE371" i="22"/>
  <c r="AE375" i="22"/>
  <c r="AE379" i="22"/>
  <c r="AE12" i="23" s="1"/>
  <c r="AE105" i="22"/>
  <c r="AE109" i="22"/>
  <c r="AE113" i="22"/>
  <c r="AE117" i="22"/>
  <c r="AE121" i="22"/>
  <c r="AE125" i="22"/>
  <c r="AE129" i="22"/>
  <c r="AE133" i="22"/>
  <c r="AE137" i="22"/>
  <c r="AE141" i="22"/>
  <c r="AE145" i="22"/>
  <c r="AE149" i="22"/>
  <c r="AE153" i="22"/>
  <c r="AE157" i="22"/>
  <c r="AE161" i="22"/>
  <c r="AE165" i="22"/>
  <c r="AE169" i="22"/>
  <c r="AE173" i="22"/>
  <c r="AE177" i="22"/>
  <c r="AE181" i="22"/>
  <c r="AE185" i="22"/>
  <c r="AE189" i="22"/>
  <c r="AE193" i="22"/>
  <c r="AE197" i="22"/>
  <c r="AE201" i="22"/>
  <c r="AE205" i="22"/>
  <c r="AE209" i="22"/>
  <c r="AE213" i="22"/>
  <c r="AE217" i="22"/>
  <c r="AE221" i="22"/>
  <c r="AE225" i="22"/>
  <c r="AE229" i="22"/>
  <c r="AE233" i="22"/>
  <c r="AE237" i="22"/>
  <c r="AE241" i="22"/>
  <c r="AE245" i="22"/>
  <c r="AE249" i="22"/>
  <c r="AE253" i="22"/>
  <c r="AE257" i="22"/>
  <c r="AE261" i="22"/>
  <c r="AE265" i="22"/>
  <c r="AE269" i="22"/>
  <c r="AE273" i="22"/>
  <c r="AE277" i="22"/>
  <c r="AE281" i="22"/>
  <c r="AE285" i="22"/>
  <c r="AE289" i="22"/>
  <c r="AE293" i="22"/>
  <c r="AE297" i="22"/>
  <c r="AE301" i="22"/>
  <c r="AE305" i="22"/>
  <c r="AE309" i="22"/>
  <c r="AE313" i="22"/>
  <c r="AE317" i="22"/>
  <c r="AE321" i="22"/>
  <c r="AE325" i="22"/>
  <c r="AE329" i="22"/>
  <c r="AE333" i="22"/>
  <c r="AE337" i="22"/>
  <c r="AE341" i="22"/>
  <c r="AE345" i="22"/>
  <c r="AE349" i="22"/>
  <c r="AE353" i="22"/>
  <c r="AE357" i="22"/>
  <c r="AE361" i="22"/>
  <c r="AE365" i="22"/>
  <c r="AE369" i="22"/>
  <c r="AE373" i="22"/>
  <c r="AE377" i="22"/>
  <c r="AE104" i="22"/>
  <c r="AE108" i="22"/>
  <c r="AE112" i="22"/>
  <c r="AE116" i="22"/>
  <c r="AE120" i="22"/>
  <c r="AE124" i="22"/>
  <c r="AE128" i="22"/>
  <c r="AE132" i="22"/>
  <c r="AE136" i="22"/>
  <c r="AE140" i="22"/>
  <c r="AE144" i="22"/>
  <c r="AE148" i="22"/>
  <c r="AE152" i="22"/>
  <c r="AE156" i="22"/>
  <c r="AE160" i="22"/>
  <c r="AE106" i="22"/>
  <c r="AE114" i="22"/>
  <c r="AE122" i="22"/>
  <c r="AE130" i="22"/>
  <c r="AE138" i="22"/>
  <c r="AE146" i="22"/>
  <c r="AE154" i="22"/>
  <c r="AE162" i="22"/>
  <c r="AE166" i="22"/>
  <c r="AE170" i="22"/>
  <c r="AE174" i="22"/>
  <c r="AE178" i="22"/>
  <c r="AE182" i="22"/>
  <c r="AE186" i="22"/>
  <c r="AE190" i="22"/>
  <c r="AE194" i="22"/>
  <c r="AE198" i="22"/>
  <c r="AE202" i="22"/>
  <c r="AE206" i="22"/>
  <c r="AE210" i="22"/>
  <c r="AE214" i="22"/>
  <c r="AE218" i="22"/>
  <c r="AE222" i="22"/>
  <c r="AE226" i="22"/>
  <c r="AE230" i="22"/>
  <c r="AE234" i="22"/>
  <c r="AE238" i="22"/>
  <c r="AE242" i="22"/>
  <c r="AE246" i="22"/>
  <c r="AE250" i="22"/>
  <c r="AE254" i="22"/>
  <c r="AE258" i="22"/>
  <c r="AE262" i="22"/>
  <c r="AE266" i="22"/>
  <c r="AE270" i="22"/>
  <c r="AE274" i="22"/>
  <c r="AE278" i="22"/>
  <c r="AE282" i="22"/>
  <c r="AE286" i="22"/>
  <c r="AE290" i="22"/>
  <c r="AE294" i="22"/>
  <c r="AE298" i="22"/>
  <c r="AE302" i="22"/>
  <c r="AE306" i="22"/>
  <c r="AE310" i="22"/>
  <c r="AE314" i="22"/>
  <c r="AE318" i="22"/>
  <c r="AE322" i="22"/>
  <c r="AE326" i="22"/>
  <c r="AE330" i="22"/>
  <c r="AE334" i="22"/>
  <c r="AE338" i="22"/>
  <c r="AE342" i="22"/>
  <c r="AE346" i="22"/>
  <c r="AE350" i="22"/>
  <c r="AE354" i="22"/>
  <c r="AE358" i="22"/>
  <c r="AE362" i="22"/>
  <c r="AE366" i="22"/>
  <c r="AE370" i="22"/>
  <c r="AE374" i="22"/>
  <c r="AE378" i="22"/>
  <c r="AE110" i="22"/>
  <c r="AE118" i="22"/>
  <c r="AE126" i="22"/>
  <c r="AE134" i="22"/>
  <c r="AE142" i="22"/>
  <c r="AE150" i="22"/>
  <c r="AE158" i="22"/>
  <c r="AE164" i="22"/>
  <c r="AE168" i="22"/>
  <c r="AE172" i="22"/>
  <c r="AE176" i="22"/>
  <c r="AE180" i="22"/>
  <c r="AE184" i="22"/>
  <c r="AE188" i="22"/>
  <c r="AE192" i="22"/>
  <c r="AE196" i="22"/>
  <c r="AE200" i="22"/>
  <c r="AE204" i="22"/>
  <c r="AE208" i="22"/>
  <c r="AE212" i="22"/>
  <c r="AE216" i="22"/>
  <c r="AE220" i="22"/>
  <c r="AE224" i="22"/>
  <c r="AE228" i="22"/>
  <c r="AE232" i="22"/>
  <c r="AE236" i="22"/>
  <c r="AE240" i="22"/>
  <c r="AE244" i="22"/>
  <c r="AE248" i="22"/>
  <c r="AE252" i="22"/>
  <c r="AE256" i="22"/>
  <c r="AE260" i="22"/>
  <c r="AE264" i="22"/>
  <c r="AE268" i="22"/>
  <c r="AE272" i="22"/>
  <c r="AE276" i="22"/>
  <c r="AE280" i="22"/>
  <c r="AE284" i="22"/>
  <c r="AE288" i="22"/>
  <c r="AE292" i="22"/>
  <c r="AE296" i="22"/>
  <c r="AE300" i="22"/>
  <c r="AE304" i="22"/>
  <c r="AE308" i="22"/>
  <c r="AE312" i="22"/>
  <c r="AE316" i="22"/>
  <c r="AE320" i="22"/>
  <c r="AE324" i="22"/>
  <c r="AE328" i="22"/>
  <c r="AE332" i="22"/>
  <c r="AE336" i="22"/>
  <c r="AE340" i="22"/>
  <c r="AE344" i="22"/>
  <c r="AE348" i="22"/>
  <c r="AE352" i="22"/>
  <c r="AE356" i="22"/>
  <c r="AE360" i="22"/>
  <c r="AE364" i="22"/>
  <c r="AE368" i="22"/>
  <c r="AE372" i="22"/>
  <c r="AE376" i="22"/>
  <c r="U12" i="22"/>
  <c r="E13" i="19"/>
  <c r="Q16" i="23"/>
  <c r="AH16" i="7"/>
  <c r="AN11" i="7" s="1"/>
  <c r="U11" i="22" s="1"/>
  <c r="AE42" i="23"/>
  <c r="V379" i="20"/>
  <c r="M66" i="19" s="1"/>
  <c r="D40" i="19"/>
  <c r="AG381" i="18"/>
  <c r="AG383" i="18"/>
  <c r="AF15" i="18"/>
  <c r="AG382" i="18"/>
  <c r="AE352" i="23"/>
  <c r="AE224" i="23"/>
  <c r="AE288" i="23"/>
  <c r="AE160" i="23"/>
  <c r="AE320" i="23"/>
  <c r="AE256" i="23"/>
  <c r="AE192" i="23"/>
  <c r="AE106" i="23"/>
  <c r="AE368" i="23"/>
  <c r="AE336" i="23"/>
  <c r="AE304" i="23"/>
  <c r="AE272" i="23"/>
  <c r="AE240" i="23"/>
  <c r="AE208" i="23"/>
  <c r="AE176" i="23"/>
  <c r="AE138" i="23"/>
  <c r="AE74" i="23"/>
  <c r="L66" i="19"/>
  <c r="E66" i="19"/>
  <c r="AH379" i="20"/>
  <c r="AG379" i="20" s="1"/>
  <c r="AF379" i="20" s="1"/>
  <c r="AD379" i="20" s="1"/>
  <c r="AI12" i="22"/>
  <c r="AG380" i="20"/>
  <c r="AF380" i="20" s="1"/>
  <c r="AD380" i="20" s="1"/>
  <c r="S88" i="20"/>
  <c r="R88" i="20" s="1"/>
  <c r="P88" i="20" s="1"/>
  <c r="S72" i="20"/>
  <c r="R72" i="20" s="1"/>
  <c r="P72" i="20" s="1"/>
  <c r="V72" i="20" s="1"/>
  <c r="S24" i="20"/>
  <c r="R24" i="20" s="1"/>
  <c r="P24" i="20" s="1"/>
  <c r="V24" i="20" s="1"/>
  <c r="S19" i="20"/>
  <c r="R19" i="20" s="1"/>
  <c r="P19" i="20" s="1"/>
  <c r="V19" i="20" s="1"/>
  <c r="V149" i="20"/>
  <c r="F66" i="19" s="1"/>
  <c r="AH24" i="7"/>
  <c r="AH26" i="7"/>
  <c r="V210" i="20"/>
  <c r="H66" i="19" s="1"/>
  <c r="S90" i="20"/>
  <c r="R90" i="20" s="1"/>
  <c r="P90" i="20" s="1"/>
  <c r="V90" i="20" s="1"/>
  <c r="AH15" i="20"/>
  <c r="AI383" i="20"/>
  <c r="AI381" i="20"/>
  <c r="AI382" i="20"/>
  <c r="B64" i="19"/>
  <c r="N64" i="19" s="1"/>
  <c r="V383" i="17"/>
  <c r="V382" i="17"/>
  <c r="V381" i="17"/>
  <c r="AM6" i="16"/>
  <c r="AM12" i="16" s="1"/>
  <c r="AL6" i="16"/>
  <c r="AL12" i="16" s="1"/>
  <c r="Y383" i="16"/>
  <c r="Y382" i="16"/>
  <c r="Y381" i="16"/>
  <c r="X9" i="16"/>
  <c r="P379" i="18"/>
  <c r="D39" i="19" s="1"/>
  <c r="R381" i="18"/>
  <c r="R383" i="18"/>
  <c r="R382" i="18"/>
  <c r="U383" i="20"/>
  <c r="T15" i="20"/>
  <c r="U382" i="20"/>
  <c r="U381" i="20"/>
  <c r="AH27" i="7"/>
  <c r="V241" i="20"/>
  <c r="I66" i="19" s="1"/>
  <c r="V272" i="20"/>
  <c r="J66" i="19" s="1"/>
  <c r="AH28" i="7"/>
  <c r="AH25" i="7"/>
  <c r="V180" i="20"/>
  <c r="S100" i="20"/>
  <c r="R100" i="20" s="1"/>
  <c r="P100" i="20" s="1"/>
  <c r="V100" i="20" s="1"/>
  <c r="AH21" i="7"/>
  <c r="V60" i="20"/>
  <c r="AH20" i="7"/>
  <c r="V29" i="20"/>
  <c r="AH29" i="7"/>
  <c r="V302" i="20"/>
  <c r="K66" i="19" s="1"/>
  <c r="G66" i="19"/>
  <c r="Q343" i="23"/>
  <c r="Q375" i="23"/>
  <c r="Q311" i="23"/>
  <c r="AE376" i="23"/>
  <c r="AE360" i="23"/>
  <c r="AE344" i="23"/>
  <c r="AE328" i="23"/>
  <c r="AE312" i="23"/>
  <c r="AE296" i="23"/>
  <c r="AE280" i="23"/>
  <c r="AE264" i="23"/>
  <c r="AE248" i="23"/>
  <c r="AE232" i="23"/>
  <c r="AE216" i="23"/>
  <c r="AE200" i="23"/>
  <c r="AE184" i="23"/>
  <c r="AE168" i="23"/>
  <c r="AE152" i="23"/>
  <c r="AE122" i="23"/>
  <c r="AE90" i="23"/>
  <c r="AE58" i="23"/>
  <c r="AE26" i="23"/>
  <c r="Q359" i="23"/>
  <c r="Q327" i="23"/>
  <c r="Q279" i="23"/>
  <c r="AE372" i="23"/>
  <c r="AE364" i="23"/>
  <c r="AE356" i="23"/>
  <c r="AE348" i="23"/>
  <c r="AE340" i="23"/>
  <c r="AE332" i="23"/>
  <c r="AE324" i="23"/>
  <c r="AE316" i="23"/>
  <c r="AE308" i="23"/>
  <c r="AE300" i="23"/>
  <c r="AE292" i="23"/>
  <c r="AE284" i="23"/>
  <c r="AE276" i="23"/>
  <c r="AE268" i="23"/>
  <c r="AE260" i="23"/>
  <c r="AE252" i="23"/>
  <c r="AE244" i="23"/>
  <c r="AE236" i="23"/>
  <c r="AE228" i="23"/>
  <c r="AE220" i="23"/>
  <c r="AE212" i="23"/>
  <c r="AE204" i="23"/>
  <c r="AE196" i="23"/>
  <c r="AE188" i="23"/>
  <c r="AE180" i="23"/>
  <c r="AE172" i="23"/>
  <c r="AE164" i="23"/>
  <c r="AE156" i="23"/>
  <c r="AE146" i="23"/>
  <c r="AE130" i="23"/>
  <c r="AE114" i="23"/>
  <c r="AE98" i="23"/>
  <c r="AE82" i="23"/>
  <c r="AE66" i="23"/>
  <c r="AE50" i="23"/>
  <c r="AE34" i="23"/>
  <c r="AE19" i="23"/>
  <c r="Q367" i="23"/>
  <c r="Q351" i="23"/>
  <c r="Q335" i="23"/>
  <c r="Q319" i="23"/>
  <c r="Q295" i="23"/>
  <c r="Q255" i="23"/>
  <c r="Q209" i="23"/>
  <c r="Q303" i="23"/>
  <c r="Q287" i="23"/>
  <c r="Q271" i="23"/>
  <c r="Q239" i="23"/>
  <c r="Q177" i="23"/>
  <c r="Q145" i="23"/>
  <c r="Q263" i="23"/>
  <c r="Q247" i="23"/>
  <c r="Q225" i="23"/>
  <c r="Q193" i="23"/>
  <c r="Q161" i="23"/>
  <c r="AU15" i="7"/>
  <c r="Q99" i="23"/>
  <c r="Q117" i="23"/>
  <c r="Q133" i="23"/>
  <c r="Q141" i="23"/>
  <c r="Q149" i="23"/>
  <c r="Q157" i="23"/>
  <c r="Q165" i="23"/>
  <c r="Q173" i="23"/>
  <c r="Q181" i="23"/>
  <c r="Q189" i="23"/>
  <c r="Q197" i="23"/>
  <c r="Q205" i="23"/>
  <c r="Q213" i="23"/>
  <c r="Q221" i="23"/>
  <c r="Q229" i="23"/>
  <c r="Q237" i="23"/>
  <c r="Q241" i="23"/>
  <c r="Q245" i="23"/>
  <c r="Q249" i="23"/>
  <c r="Q253" i="23"/>
  <c r="Q257" i="23"/>
  <c r="Q261" i="23"/>
  <c r="Q265" i="23"/>
  <c r="Q269" i="23"/>
  <c r="Q273" i="23"/>
  <c r="Q277" i="23"/>
  <c r="Q281" i="23"/>
  <c r="Q285" i="23"/>
  <c r="Q289" i="23"/>
  <c r="Q293" i="23"/>
  <c r="Q297" i="23"/>
  <c r="Q301" i="23"/>
  <c r="Q305" i="23"/>
  <c r="Q309" i="23"/>
  <c r="Q313" i="23"/>
  <c r="Q317" i="23"/>
  <c r="Q321" i="23"/>
  <c r="Q325" i="23"/>
  <c r="Q329" i="23"/>
  <c r="Q333" i="23"/>
  <c r="Q337" i="23"/>
  <c r="Q341" i="23"/>
  <c r="Q345" i="23"/>
  <c r="Q349" i="23"/>
  <c r="Q353" i="23"/>
  <c r="Q357" i="23"/>
  <c r="Q361" i="23"/>
  <c r="Q365" i="23"/>
  <c r="Q369" i="23"/>
  <c r="Q373" i="23"/>
  <c r="Q377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378" i="23"/>
  <c r="AE374" i="23"/>
  <c r="AE370" i="23"/>
  <c r="AE366" i="23"/>
  <c r="AE362" i="23"/>
  <c r="AE358" i="23"/>
  <c r="AE354" i="23"/>
  <c r="AE350" i="23"/>
  <c r="AE346" i="23"/>
  <c r="AE342" i="23"/>
  <c r="AE338" i="23"/>
  <c r="AE334" i="23"/>
  <c r="AE330" i="23"/>
  <c r="AE326" i="23"/>
  <c r="AE322" i="23"/>
  <c r="AE318" i="23"/>
  <c r="AE314" i="23"/>
  <c r="AE310" i="23"/>
  <c r="AE306" i="23"/>
  <c r="AE302" i="23"/>
  <c r="AE298" i="23"/>
  <c r="AE294" i="23"/>
  <c r="AE290" i="23"/>
  <c r="AE286" i="23"/>
  <c r="AE282" i="23"/>
  <c r="AE278" i="23"/>
  <c r="AE274" i="23"/>
  <c r="AE270" i="23"/>
  <c r="AE266" i="23"/>
  <c r="AE262" i="23"/>
  <c r="AE258" i="23"/>
  <c r="AE254" i="23"/>
  <c r="AE250" i="23"/>
  <c r="AE246" i="23"/>
  <c r="AE242" i="23"/>
  <c r="AE238" i="23"/>
  <c r="AE234" i="23"/>
  <c r="AE230" i="23"/>
  <c r="AE226" i="23"/>
  <c r="AE222" i="23"/>
  <c r="AE218" i="23"/>
  <c r="AE214" i="23"/>
  <c r="AE210" i="23"/>
  <c r="AE206" i="23"/>
  <c r="AE202" i="23"/>
  <c r="AE198" i="23"/>
  <c r="AE194" i="23"/>
  <c r="AE190" i="23"/>
  <c r="AE186" i="23"/>
  <c r="AE182" i="23"/>
  <c r="AE178" i="23"/>
  <c r="AE174" i="23"/>
  <c r="AE170" i="23"/>
  <c r="AE166" i="23"/>
  <c r="AE162" i="23"/>
  <c r="AE158" i="23"/>
  <c r="AE154" i="23"/>
  <c r="AE150" i="23"/>
  <c r="AE142" i="23"/>
  <c r="AE134" i="23"/>
  <c r="AE126" i="23"/>
  <c r="AE118" i="23"/>
  <c r="AE110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379" i="23"/>
  <c r="AE12" i="24" s="1"/>
  <c r="AE377" i="23"/>
  <c r="AE375" i="23"/>
  <c r="AE373" i="23"/>
  <c r="AE371" i="23"/>
  <c r="AE369" i="23"/>
  <c r="AE367" i="23"/>
  <c r="AE365" i="23"/>
  <c r="AE363" i="23"/>
  <c r="AE361" i="23"/>
  <c r="AE359" i="23"/>
  <c r="AE357" i="23"/>
  <c r="AE355" i="23"/>
  <c r="AE353" i="23"/>
  <c r="AE351" i="23"/>
  <c r="AE349" i="23"/>
  <c r="AE347" i="23"/>
  <c r="AE345" i="23"/>
  <c r="AE343" i="23"/>
  <c r="AE341" i="23"/>
  <c r="AE339" i="23"/>
  <c r="AE337" i="23"/>
  <c r="AE335" i="23"/>
  <c r="AE333" i="23"/>
  <c r="AE331" i="23"/>
  <c r="AE329" i="23"/>
  <c r="AE327" i="23"/>
  <c r="AE325" i="23"/>
  <c r="AE323" i="23"/>
  <c r="AE321" i="23"/>
  <c r="AE319" i="23"/>
  <c r="AE317" i="23"/>
  <c r="AE315" i="23"/>
  <c r="AE313" i="23"/>
  <c r="AE311" i="23"/>
  <c r="AE309" i="23"/>
  <c r="AE307" i="23"/>
  <c r="AE305" i="23"/>
  <c r="AE303" i="23"/>
  <c r="AE301" i="23"/>
  <c r="AE299" i="23"/>
  <c r="AE297" i="23"/>
  <c r="AE295" i="23"/>
  <c r="AE293" i="23"/>
  <c r="AE291" i="23"/>
  <c r="AE289" i="23"/>
  <c r="AE287" i="23"/>
  <c r="AE285" i="23"/>
  <c r="AE283" i="23"/>
  <c r="AE281" i="23"/>
  <c r="AE279" i="23"/>
  <c r="AE277" i="23"/>
  <c r="AE275" i="23"/>
  <c r="AE273" i="23"/>
  <c r="AE271" i="23"/>
  <c r="AE269" i="23"/>
  <c r="AE267" i="23"/>
  <c r="AE265" i="23"/>
  <c r="AE263" i="23"/>
  <c r="AE261" i="23"/>
  <c r="AE259" i="23"/>
  <c r="AE257" i="23"/>
  <c r="AE255" i="23"/>
  <c r="AE253" i="23"/>
  <c r="AE251" i="23"/>
  <c r="AE249" i="23"/>
  <c r="AE247" i="23"/>
  <c r="AE245" i="23"/>
  <c r="AE243" i="23"/>
  <c r="AE241" i="23"/>
  <c r="AE239" i="23"/>
  <c r="AE237" i="23"/>
  <c r="AE235" i="23"/>
  <c r="AE233" i="23"/>
  <c r="AE231" i="23"/>
  <c r="AE229" i="23"/>
  <c r="AE227" i="23"/>
  <c r="AE225" i="23"/>
  <c r="AE223" i="23"/>
  <c r="AE221" i="23"/>
  <c r="AE219" i="23"/>
  <c r="AE217" i="23"/>
  <c r="AE215" i="23"/>
  <c r="AE213" i="23"/>
  <c r="AE211" i="23"/>
  <c r="AE209" i="23"/>
  <c r="AE207" i="23"/>
  <c r="AE205" i="23"/>
  <c r="AE203" i="23"/>
  <c r="AE201" i="23"/>
  <c r="AE199" i="23"/>
  <c r="AE197" i="23"/>
  <c r="AE195" i="23"/>
  <c r="AE193" i="23"/>
  <c r="AE191" i="23"/>
  <c r="AE189" i="23"/>
  <c r="AE187" i="23"/>
  <c r="AE185" i="23"/>
  <c r="AE183" i="23"/>
  <c r="AE181" i="23"/>
  <c r="AE179" i="23"/>
  <c r="AE177" i="23"/>
  <c r="AE175" i="23"/>
  <c r="AE173" i="23"/>
  <c r="AE171" i="23"/>
  <c r="AE169" i="23"/>
  <c r="AE167" i="23"/>
  <c r="AE165" i="23"/>
  <c r="AE163" i="23"/>
  <c r="AE161" i="23"/>
  <c r="AE159" i="23"/>
  <c r="AE157" i="23"/>
  <c r="AE155" i="23"/>
  <c r="AE153" i="23"/>
  <c r="AE151" i="23"/>
  <c r="AE149" i="23"/>
  <c r="AE147" i="23"/>
  <c r="AE145" i="23"/>
  <c r="AE143" i="23"/>
  <c r="AE141" i="23"/>
  <c r="AE139" i="23"/>
  <c r="AE137" i="23"/>
  <c r="AE135" i="23"/>
  <c r="AE133" i="23"/>
  <c r="AE131" i="23"/>
  <c r="AE129" i="23"/>
  <c r="AE127" i="23"/>
  <c r="AE125" i="23"/>
  <c r="AE123" i="23"/>
  <c r="AE121" i="23"/>
  <c r="AE119" i="23"/>
  <c r="AE117" i="23"/>
  <c r="AE115" i="23"/>
  <c r="AE113" i="23"/>
  <c r="AE111" i="23"/>
  <c r="AE109" i="23"/>
  <c r="AE107" i="23"/>
  <c r="AE105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B65" i="19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Q12" i="24"/>
  <c r="AM16" i="7" l="1"/>
  <c r="AE381" i="22"/>
  <c r="AE383" i="22"/>
  <c r="AE382" i="22"/>
  <c r="U10" i="22"/>
  <c r="AI11" i="22" s="1"/>
  <c r="F13" i="19"/>
  <c r="AF382" i="18"/>
  <c r="AF383" i="18"/>
  <c r="AF381" i="18"/>
  <c r="AD15" i="18"/>
  <c r="AE381" i="23"/>
  <c r="AO16" i="7"/>
  <c r="U376" i="22"/>
  <c r="T376" i="22" s="1"/>
  <c r="S376" i="22" s="1"/>
  <c r="R376" i="22" s="1"/>
  <c r="P376" i="22" s="1"/>
  <c r="V376" i="22" s="1"/>
  <c r="U372" i="22"/>
  <c r="T372" i="22" s="1"/>
  <c r="S372" i="22" s="1"/>
  <c r="R372" i="22" s="1"/>
  <c r="P372" i="22" s="1"/>
  <c r="V372" i="22" s="1"/>
  <c r="U368" i="22"/>
  <c r="T368" i="22" s="1"/>
  <c r="S368" i="22" s="1"/>
  <c r="R368" i="22" s="1"/>
  <c r="P368" i="22" s="1"/>
  <c r="V368" i="22" s="1"/>
  <c r="U364" i="22"/>
  <c r="T364" i="22" s="1"/>
  <c r="S364" i="22" s="1"/>
  <c r="R364" i="22" s="1"/>
  <c r="P364" i="22" s="1"/>
  <c r="V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U308" i="22"/>
  <c r="T308" i="22" s="1"/>
  <c r="S308" i="22" s="1"/>
  <c r="R308" i="22" s="1"/>
  <c r="P308" i="22" s="1"/>
  <c r="V308" i="22" s="1"/>
  <c r="U304" i="22"/>
  <c r="T304" i="22" s="1"/>
  <c r="S304" i="22" s="1"/>
  <c r="R304" i="22" s="1"/>
  <c r="P304" i="22" s="1"/>
  <c r="V304" i="22" s="1"/>
  <c r="U300" i="22"/>
  <c r="T300" i="22" s="1"/>
  <c r="S300" i="22" s="1"/>
  <c r="R300" i="22" s="1"/>
  <c r="P300" i="22" s="1"/>
  <c r="V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U264" i="22"/>
  <c r="T264" i="22" s="1"/>
  <c r="S264" i="22" s="1"/>
  <c r="R264" i="22" s="1"/>
  <c r="P264" i="22" s="1"/>
  <c r="V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U224" i="22"/>
  <c r="T224" i="22" s="1"/>
  <c r="S224" i="22" s="1"/>
  <c r="R224" i="22" s="1"/>
  <c r="P224" i="22" s="1"/>
  <c r="V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U160" i="22"/>
  <c r="T160" i="22" s="1"/>
  <c r="S160" i="22" s="1"/>
  <c r="R160" i="22" s="1"/>
  <c r="P160" i="22" s="1"/>
  <c r="V160" i="22" s="1"/>
  <c r="U156" i="22"/>
  <c r="T156" i="22" s="1"/>
  <c r="S156" i="22" s="1"/>
  <c r="R156" i="22" s="1"/>
  <c r="P156" i="22" s="1"/>
  <c r="V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U132" i="22"/>
  <c r="T132" i="22" s="1"/>
  <c r="S132" i="22" s="1"/>
  <c r="R132" i="22" s="1"/>
  <c r="P132" i="22" s="1"/>
  <c r="V132" i="22" s="1"/>
  <c r="U128" i="22"/>
  <c r="T128" i="22" s="1"/>
  <c r="S128" i="22" s="1"/>
  <c r="R128" i="22" s="1"/>
  <c r="P128" i="22" s="1"/>
  <c r="V128" i="22" s="1"/>
  <c r="U124" i="22"/>
  <c r="T124" i="22" s="1"/>
  <c r="S124" i="22" s="1"/>
  <c r="R124" i="22" s="1"/>
  <c r="P124" i="22" s="1"/>
  <c r="V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U92" i="22"/>
  <c r="T92" i="22" s="1"/>
  <c r="S92" i="22" s="1"/>
  <c r="R92" i="22" s="1"/>
  <c r="P92" i="22" s="1"/>
  <c r="V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U80" i="22"/>
  <c r="T80" i="22" s="1"/>
  <c r="S80" i="22" s="1"/>
  <c r="R80" i="22" s="1"/>
  <c r="P80" i="22" s="1"/>
  <c r="V80" i="22" s="1"/>
  <c r="U76" i="22"/>
  <c r="T76" i="22" s="1"/>
  <c r="S76" i="22" s="1"/>
  <c r="R76" i="22" s="1"/>
  <c r="P76" i="22" s="1"/>
  <c r="V76" i="22" s="1"/>
  <c r="U72" i="22"/>
  <c r="T72" i="22" s="1"/>
  <c r="S72" i="22" s="1"/>
  <c r="R72" i="22" s="1"/>
  <c r="P72" i="22" s="1"/>
  <c r="V72" i="22" s="1"/>
  <c r="U68" i="22"/>
  <c r="T68" i="22" s="1"/>
  <c r="S68" i="22" s="1"/>
  <c r="R68" i="22" s="1"/>
  <c r="P68" i="22" s="1"/>
  <c r="V68" i="22" s="1"/>
  <c r="U64" i="22"/>
  <c r="T64" i="22" s="1"/>
  <c r="S64" i="22" s="1"/>
  <c r="R64" i="22" s="1"/>
  <c r="P64" i="22" s="1"/>
  <c r="V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78" i="22"/>
  <c r="T378" i="22" s="1"/>
  <c r="S378" i="22" s="1"/>
  <c r="R378" i="22" s="1"/>
  <c r="P378" i="22" s="1"/>
  <c r="V378" i="22" s="1"/>
  <c r="U370" i="22"/>
  <c r="T370" i="22" s="1"/>
  <c r="S370" i="22" s="1"/>
  <c r="R370" i="22" s="1"/>
  <c r="P370" i="22" s="1"/>
  <c r="V370" i="22" s="1"/>
  <c r="U362" i="22"/>
  <c r="T362" i="22" s="1"/>
  <c r="S362" i="22" s="1"/>
  <c r="R362" i="22" s="1"/>
  <c r="P362" i="22" s="1"/>
  <c r="V362" i="22" s="1"/>
  <c r="U354" i="22"/>
  <c r="T354" i="22" s="1"/>
  <c r="S354" i="22" s="1"/>
  <c r="R354" i="22" s="1"/>
  <c r="P354" i="22" s="1"/>
  <c r="V354" i="22" s="1"/>
  <c r="U346" i="22"/>
  <c r="T346" i="22" s="1"/>
  <c r="S346" i="22" s="1"/>
  <c r="R346" i="22" s="1"/>
  <c r="P346" i="22" s="1"/>
  <c r="V346" i="22" s="1"/>
  <c r="U338" i="22"/>
  <c r="T338" i="22" s="1"/>
  <c r="S338" i="22" s="1"/>
  <c r="R338" i="22" s="1"/>
  <c r="P338" i="22" s="1"/>
  <c r="V338" i="22" s="1"/>
  <c r="U330" i="22"/>
  <c r="T330" i="22" s="1"/>
  <c r="S330" i="22" s="1"/>
  <c r="R330" i="22" s="1"/>
  <c r="P330" i="22" s="1"/>
  <c r="V330" i="22" s="1"/>
  <c r="U322" i="22"/>
  <c r="T322" i="22" s="1"/>
  <c r="S322" i="22" s="1"/>
  <c r="R322" i="22" s="1"/>
  <c r="P322" i="22" s="1"/>
  <c r="V322" i="22" s="1"/>
  <c r="U314" i="22"/>
  <c r="T314" i="22" s="1"/>
  <c r="S314" i="22" s="1"/>
  <c r="R314" i="22" s="1"/>
  <c r="P314" i="22" s="1"/>
  <c r="V314" i="22" s="1"/>
  <c r="U298" i="22"/>
  <c r="T298" i="22" s="1"/>
  <c r="S298" i="22" s="1"/>
  <c r="R298" i="22" s="1"/>
  <c r="P298" i="22" s="1"/>
  <c r="V298" i="22" s="1"/>
  <c r="U290" i="22"/>
  <c r="T290" i="22" s="1"/>
  <c r="S290" i="22" s="1"/>
  <c r="R290" i="22" s="1"/>
  <c r="P290" i="22" s="1"/>
  <c r="V290" i="22" s="1"/>
  <c r="U274" i="22"/>
  <c r="T274" i="22" s="1"/>
  <c r="S274" i="22" s="1"/>
  <c r="R274" i="22" s="1"/>
  <c r="P274" i="22" s="1"/>
  <c r="V274" i="22" s="1"/>
  <c r="U258" i="22"/>
  <c r="T258" i="22" s="1"/>
  <c r="S258" i="22" s="1"/>
  <c r="R258" i="22" s="1"/>
  <c r="P258" i="22" s="1"/>
  <c r="V258" i="22" s="1"/>
  <c r="U242" i="22"/>
  <c r="T242" i="22" s="1"/>
  <c r="S242" i="22" s="1"/>
  <c r="R242" i="22" s="1"/>
  <c r="P242" i="22" s="1"/>
  <c r="V242" i="22" s="1"/>
  <c r="U226" i="22"/>
  <c r="T226" i="22" s="1"/>
  <c r="S226" i="22" s="1"/>
  <c r="R226" i="22" s="1"/>
  <c r="P226" i="22" s="1"/>
  <c r="V226" i="22" s="1"/>
  <c r="U210" i="22"/>
  <c r="T210" i="22" s="1"/>
  <c r="S210" i="22" s="1"/>
  <c r="R210" i="22" s="1"/>
  <c r="P210" i="22" s="1"/>
  <c r="V210" i="22" s="1"/>
  <c r="U194" i="22"/>
  <c r="T194" i="22" s="1"/>
  <c r="S194" i="22" s="1"/>
  <c r="R194" i="22" s="1"/>
  <c r="P194" i="22" s="1"/>
  <c r="V194" i="22" s="1"/>
  <c r="U178" i="22"/>
  <c r="T178" i="22" s="1"/>
  <c r="S178" i="22" s="1"/>
  <c r="R178" i="22" s="1"/>
  <c r="P178" i="22" s="1"/>
  <c r="V178" i="22" s="1"/>
  <c r="U162" i="22"/>
  <c r="T162" i="22" s="1"/>
  <c r="S162" i="22" s="1"/>
  <c r="R162" i="22" s="1"/>
  <c r="P162" i="22" s="1"/>
  <c r="V162" i="22" s="1"/>
  <c r="U146" i="22"/>
  <c r="T146" i="22" s="1"/>
  <c r="S146" i="22" s="1"/>
  <c r="R146" i="22" s="1"/>
  <c r="P146" i="22" s="1"/>
  <c r="V146" i="22" s="1"/>
  <c r="U130" i="22"/>
  <c r="T130" i="22" s="1"/>
  <c r="S130" i="22" s="1"/>
  <c r="R130" i="22" s="1"/>
  <c r="P130" i="22" s="1"/>
  <c r="V130" i="22" s="1"/>
  <c r="U114" i="22"/>
  <c r="T114" i="22" s="1"/>
  <c r="S114" i="22" s="1"/>
  <c r="R114" i="22" s="1"/>
  <c r="P114" i="22" s="1"/>
  <c r="V114" i="22" s="1"/>
  <c r="U98" i="22"/>
  <c r="T98" i="22" s="1"/>
  <c r="S98" i="22" s="1"/>
  <c r="R98" i="22" s="1"/>
  <c r="P98" i="22" s="1"/>
  <c r="V98" i="22" s="1"/>
  <c r="U82" i="22"/>
  <c r="T82" i="22" s="1"/>
  <c r="S82" i="22" s="1"/>
  <c r="R82" i="22" s="1"/>
  <c r="P82" i="22" s="1"/>
  <c r="V82" i="22" s="1"/>
  <c r="U66" i="22"/>
  <c r="T66" i="22" s="1"/>
  <c r="S66" i="22" s="1"/>
  <c r="R66" i="22" s="1"/>
  <c r="P66" i="22" s="1"/>
  <c r="V66" i="22" s="1"/>
  <c r="U50" i="22"/>
  <c r="T50" i="22" s="1"/>
  <c r="S50" i="22" s="1"/>
  <c r="R50" i="22" s="1"/>
  <c r="P50" i="22" s="1"/>
  <c r="V50" i="22" s="1"/>
  <c r="U36" i="22"/>
  <c r="T36" i="22" s="1"/>
  <c r="S36" i="22" s="1"/>
  <c r="R36" i="22" s="1"/>
  <c r="P36" i="22" s="1"/>
  <c r="V36" i="22" s="1"/>
  <c r="U28" i="22"/>
  <c r="T28" i="22" s="1"/>
  <c r="S28" i="22" s="1"/>
  <c r="R28" i="22" s="1"/>
  <c r="P28" i="22" s="1"/>
  <c r="V28" i="22" s="1"/>
  <c r="U15" i="22"/>
  <c r="U373" i="22"/>
  <c r="T373" i="22" s="1"/>
  <c r="S373" i="22" s="1"/>
  <c r="R373" i="22" s="1"/>
  <c r="P373" i="22" s="1"/>
  <c r="V373" i="22" s="1"/>
  <c r="U365" i="22"/>
  <c r="T365" i="22" s="1"/>
  <c r="S365" i="22" s="1"/>
  <c r="R365" i="22" s="1"/>
  <c r="P365" i="22" s="1"/>
  <c r="V365" i="22" s="1"/>
  <c r="U357" i="22"/>
  <c r="T357" i="22" s="1"/>
  <c r="S357" i="22" s="1"/>
  <c r="R357" i="22" s="1"/>
  <c r="P357" i="22" s="1"/>
  <c r="V357" i="22" s="1"/>
  <c r="U349" i="22"/>
  <c r="T349" i="22" s="1"/>
  <c r="S349" i="22" s="1"/>
  <c r="R349" i="22" s="1"/>
  <c r="P349" i="22" s="1"/>
  <c r="V349" i="22" s="1"/>
  <c r="U341" i="22"/>
  <c r="T341" i="22" s="1"/>
  <c r="S341" i="22" s="1"/>
  <c r="R341" i="22" s="1"/>
  <c r="P341" i="22" s="1"/>
  <c r="V341" i="22" s="1"/>
  <c r="U333" i="22"/>
  <c r="T333" i="22" s="1"/>
  <c r="S333" i="22" s="1"/>
  <c r="R333" i="22" s="1"/>
  <c r="P333" i="22" s="1"/>
  <c r="U325" i="22"/>
  <c r="T325" i="22" s="1"/>
  <c r="S325" i="22" s="1"/>
  <c r="R325" i="22" s="1"/>
  <c r="P325" i="22" s="1"/>
  <c r="V325" i="22" s="1"/>
  <c r="U317" i="22"/>
  <c r="T317" i="22" s="1"/>
  <c r="S317" i="22" s="1"/>
  <c r="R317" i="22" s="1"/>
  <c r="P317" i="22" s="1"/>
  <c r="V317" i="22" s="1"/>
  <c r="U309" i="22"/>
  <c r="T309" i="22" s="1"/>
  <c r="S309" i="22" s="1"/>
  <c r="R309" i="22" s="1"/>
  <c r="P309" i="22" s="1"/>
  <c r="V309" i="22" s="1"/>
  <c r="U301" i="22"/>
  <c r="T301" i="22" s="1"/>
  <c r="S301" i="22" s="1"/>
  <c r="R301" i="22" s="1"/>
  <c r="P301" i="22" s="1"/>
  <c r="V301" i="22" s="1"/>
  <c r="U374" i="22"/>
  <c r="T374" i="22" s="1"/>
  <c r="S374" i="22" s="1"/>
  <c r="R374" i="22" s="1"/>
  <c r="P374" i="22" s="1"/>
  <c r="V374" i="22" s="1"/>
  <c r="U366" i="22"/>
  <c r="T366" i="22" s="1"/>
  <c r="S366" i="22" s="1"/>
  <c r="R366" i="22" s="1"/>
  <c r="P366" i="22" s="1"/>
  <c r="V366" i="22" s="1"/>
  <c r="U358" i="22"/>
  <c r="T358" i="22" s="1"/>
  <c r="S358" i="22" s="1"/>
  <c r="R358" i="22" s="1"/>
  <c r="P358" i="22" s="1"/>
  <c r="V358" i="22" s="1"/>
  <c r="U350" i="22"/>
  <c r="T350" i="22" s="1"/>
  <c r="S350" i="22" s="1"/>
  <c r="R350" i="22" s="1"/>
  <c r="P350" i="22" s="1"/>
  <c r="V350" i="22" s="1"/>
  <c r="U342" i="22"/>
  <c r="T342" i="22" s="1"/>
  <c r="S342" i="22" s="1"/>
  <c r="R342" i="22" s="1"/>
  <c r="P342" i="22" s="1"/>
  <c r="V342" i="22" s="1"/>
  <c r="U334" i="22"/>
  <c r="T334" i="22" s="1"/>
  <c r="S334" i="22" s="1"/>
  <c r="R334" i="22" s="1"/>
  <c r="P334" i="22" s="1"/>
  <c r="V334" i="22" s="1"/>
  <c r="U326" i="22"/>
  <c r="T326" i="22" s="1"/>
  <c r="S326" i="22" s="1"/>
  <c r="R326" i="22" s="1"/>
  <c r="P326" i="22" s="1"/>
  <c r="V326" i="22" s="1"/>
  <c r="U318" i="22"/>
  <c r="T318" i="22" s="1"/>
  <c r="S318" i="22" s="1"/>
  <c r="R318" i="22" s="1"/>
  <c r="P318" i="22" s="1"/>
  <c r="V318" i="22" s="1"/>
  <c r="U310" i="22"/>
  <c r="T310" i="22" s="1"/>
  <c r="S310" i="22" s="1"/>
  <c r="R310" i="22" s="1"/>
  <c r="P310" i="22" s="1"/>
  <c r="V310" i="22" s="1"/>
  <c r="U302" i="22"/>
  <c r="T302" i="22" s="1"/>
  <c r="S302" i="22" s="1"/>
  <c r="R302" i="22" s="1"/>
  <c r="P302" i="22" s="1"/>
  <c r="U294" i="22"/>
  <c r="T294" i="22" s="1"/>
  <c r="S294" i="22" s="1"/>
  <c r="R294" i="22" s="1"/>
  <c r="P294" i="22" s="1"/>
  <c r="V294" i="22" s="1"/>
  <c r="U286" i="22"/>
  <c r="T286" i="22" s="1"/>
  <c r="S286" i="22" s="1"/>
  <c r="R286" i="22" s="1"/>
  <c r="P286" i="22" s="1"/>
  <c r="V286" i="22" s="1"/>
  <c r="U278" i="22"/>
  <c r="T278" i="22" s="1"/>
  <c r="S278" i="22" s="1"/>
  <c r="R278" i="22" s="1"/>
  <c r="P278" i="22" s="1"/>
  <c r="V278" i="22" s="1"/>
  <c r="U270" i="22"/>
  <c r="T270" i="22" s="1"/>
  <c r="S270" i="22" s="1"/>
  <c r="R270" i="22" s="1"/>
  <c r="P270" i="22" s="1"/>
  <c r="V270" i="22" s="1"/>
  <c r="U262" i="22"/>
  <c r="T262" i="22" s="1"/>
  <c r="S262" i="22" s="1"/>
  <c r="R262" i="22" s="1"/>
  <c r="P262" i="22" s="1"/>
  <c r="V262" i="22" s="1"/>
  <c r="U254" i="22"/>
  <c r="T254" i="22" s="1"/>
  <c r="S254" i="22" s="1"/>
  <c r="R254" i="22" s="1"/>
  <c r="P254" i="22" s="1"/>
  <c r="V254" i="22" s="1"/>
  <c r="U246" i="22"/>
  <c r="T246" i="22" s="1"/>
  <c r="S246" i="22" s="1"/>
  <c r="R246" i="22" s="1"/>
  <c r="P246" i="22" s="1"/>
  <c r="V246" i="22" s="1"/>
  <c r="U238" i="22"/>
  <c r="T238" i="22" s="1"/>
  <c r="S238" i="22" s="1"/>
  <c r="R238" i="22" s="1"/>
  <c r="P238" i="22" s="1"/>
  <c r="V238" i="22" s="1"/>
  <c r="U230" i="22"/>
  <c r="T230" i="22" s="1"/>
  <c r="S230" i="22" s="1"/>
  <c r="R230" i="22" s="1"/>
  <c r="P230" i="22" s="1"/>
  <c r="V230" i="22" s="1"/>
  <c r="U222" i="22"/>
  <c r="T222" i="22" s="1"/>
  <c r="S222" i="22" s="1"/>
  <c r="R222" i="22" s="1"/>
  <c r="P222" i="22" s="1"/>
  <c r="V222" i="22" s="1"/>
  <c r="U214" i="22"/>
  <c r="T214" i="22" s="1"/>
  <c r="S214" i="22" s="1"/>
  <c r="R214" i="22" s="1"/>
  <c r="P214" i="22" s="1"/>
  <c r="V214" i="22" s="1"/>
  <c r="U206" i="22"/>
  <c r="T206" i="22" s="1"/>
  <c r="S206" i="22" s="1"/>
  <c r="R206" i="22" s="1"/>
  <c r="P206" i="22" s="1"/>
  <c r="V206" i="22" s="1"/>
  <c r="U198" i="22"/>
  <c r="T198" i="22" s="1"/>
  <c r="S198" i="22" s="1"/>
  <c r="R198" i="22" s="1"/>
  <c r="P198" i="22" s="1"/>
  <c r="V198" i="22" s="1"/>
  <c r="U190" i="22"/>
  <c r="T190" i="22" s="1"/>
  <c r="S190" i="22" s="1"/>
  <c r="R190" i="22" s="1"/>
  <c r="P190" i="22" s="1"/>
  <c r="V190" i="22" s="1"/>
  <c r="U182" i="22"/>
  <c r="T182" i="22" s="1"/>
  <c r="S182" i="22" s="1"/>
  <c r="R182" i="22" s="1"/>
  <c r="P182" i="22" s="1"/>
  <c r="V182" i="22" s="1"/>
  <c r="U174" i="22"/>
  <c r="T174" i="22" s="1"/>
  <c r="S174" i="22" s="1"/>
  <c r="R174" i="22" s="1"/>
  <c r="P174" i="22" s="1"/>
  <c r="V174" i="22" s="1"/>
  <c r="U166" i="22"/>
  <c r="T166" i="22" s="1"/>
  <c r="S166" i="22" s="1"/>
  <c r="R166" i="22" s="1"/>
  <c r="P166" i="22" s="1"/>
  <c r="V166" i="22" s="1"/>
  <c r="U158" i="22"/>
  <c r="T158" i="22" s="1"/>
  <c r="S158" i="22" s="1"/>
  <c r="R158" i="22" s="1"/>
  <c r="P158" i="22" s="1"/>
  <c r="V158" i="22" s="1"/>
  <c r="U150" i="22"/>
  <c r="T150" i="22" s="1"/>
  <c r="S150" i="22" s="1"/>
  <c r="R150" i="22" s="1"/>
  <c r="P150" i="22" s="1"/>
  <c r="V150" i="22" s="1"/>
  <c r="U142" i="22"/>
  <c r="T142" i="22" s="1"/>
  <c r="S142" i="22" s="1"/>
  <c r="R142" i="22" s="1"/>
  <c r="P142" i="22" s="1"/>
  <c r="V142" i="22" s="1"/>
  <c r="U134" i="22"/>
  <c r="T134" i="22" s="1"/>
  <c r="S134" i="22" s="1"/>
  <c r="R134" i="22" s="1"/>
  <c r="P134" i="22" s="1"/>
  <c r="V134" i="22" s="1"/>
  <c r="U126" i="22"/>
  <c r="T126" i="22" s="1"/>
  <c r="S126" i="22" s="1"/>
  <c r="R126" i="22" s="1"/>
  <c r="P126" i="22" s="1"/>
  <c r="V126" i="22" s="1"/>
  <c r="U118" i="22"/>
  <c r="T118" i="22" s="1"/>
  <c r="S118" i="22" s="1"/>
  <c r="R118" i="22" s="1"/>
  <c r="P118" i="22" s="1"/>
  <c r="V118" i="22" s="1"/>
  <c r="U110" i="22"/>
  <c r="T110" i="22" s="1"/>
  <c r="S110" i="22" s="1"/>
  <c r="R110" i="22" s="1"/>
  <c r="P110" i="22" s="1"/>
  <c r="V110" i="22" s="1"/>
  <c r="U102" i="22"/>
  <c r="T102" i="22" s="1"/>
  <c r="S102" i="22" s="1"/>
  <c r="R102" i="22" s="1"/>
  <c r="P102" i="22" s="1"/>
  <c r="V102" i="22" s="1"/>
  <c r="U94" i="22"/>
  <c r="T94" i="22" s="1"/>
  <c r="S94" i="22" s="1"/>
  <c r="R94" i="22" s="1"/>
  <c r="P94" i="22" s="1"/>
  <c r="V94" i="22" s="1"/>
  <c r="U86" i="22"/>
  <c r="T86" i="22" s="1"/>
  <c r="S86" i="22" s="1"/>
  <c r="R86" i="22" s="1"/>
  <c r="P86" i="22" s="1"/>
  <c r="V86" i="22" s="1"/>
  <c r="U78" i="22"/>
  <c r="T78" i="22" s="1"/>
  <c r="S78" i="22" s="1"/>
  <c r="R78" i="22" s="1"/>
  <c r="P78" i="22" s="1"/>
  <c r="V78" i="22" s="1"/>
  <c r="U70" i="22"/>
  <c r="T70" i="22" s="1"/>
  <c r="S70" i="22" s="1"/>
  <c r="R70" i="22" s="1"/>
  <c r="P70" i="22" s="1"/>
  <c r="V70" i="22" s="1"/>
  <c r="U62" i="22"/>
  <c r="T62" i="22" s="1"/>
  <c r="S62" i="22" s="1"/>
  <c r="R62" i="22" s="1"/>
  <c r="P62" i="22" s="1"/>
  <c r="V62" i="22" s="1"/>
  <c r="U54" i="22"/>
  <c r="T54" i="22" s="1"/>
  <c r="S54" i="22" s="1"/>
  <c r="R54" i="22" s="1"/>
  <c r="P54" i="22" s="1"/>
  <c r="V54" i="22" s="1"/>
  <c r="U46" i="22"/>
  <c r="T46" i="22" s="1"/>
  <c r="S46" i="22" s="1"/>
  <c r="R46" i="22" s="1"/>
  <c r="P46" i="22" s="1"/>
  <c r="V46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U17" i="22"/>
  <c r="T17" i="22" s="1"/>
  <c r="S17" i="22" s="1"/>
  <c r="R17" i="22" s="1"/>
  <c r="P17" i="22" s="1"/>
  <c r="V17" i="22" s="1"/>
  <c r="U379" i="22"/>
  <c r="U375" i="22"/>
  <c r="T375" i="22" s="1"/>
  <c r="S375" i="22" s="1"/>
  <c r="R375" i="22" s="1"/>
  <c r="P375" i="22" s="1"/>
  <c r="V375" i="22" s="1"/>
  <c r="U371" i="22"/>
  <c r="T371" i="22" s="1"/>
  <c r="S371" i="22" s="1"/>
  <c r="R371" i="22" s="1"/>
  <c r="P371" i="22" s="1"/>
  <c r="V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U331" i="22"/>
  <c r="T331" i="22" s="1"/>
  <c r="S331" i="22" s="1"/>
  <c r="R331" i="22" s="1"/>
  <c r="P331" i="22" s="1"/>
  <c r="V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U319" i="22"/>
  <c r="T319" i="22" s="1"/>
  <c r="S319" i="22" s="1"/>
  <c r="R319" i="22" s="1"/>
  <c r="P319" i="22" s="1"/>
  <c r="V319" i="22" s="1"/>
  <c r="U315" i="22"/>
  <c r="T315" i="22" s="1"/>
  <c r="S315" i="22" s="1"/>
  <c r="R315" i="22" s="1"/>
  <c r="P315" i="22" s="1"/>
  <c r="V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U163" i="22"/>
  <c r="T163" i="22" s="1"/>
  <c r="S163" i="22" s="1"/>
  <c r="R163" i="22" s="1"/>
  <c r="P163" i="22" s="1"/>
  <c r="V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U119" i="22"/>
  <c r="T119" i="22" s="1"/>
  <c r="S119" i="22" s="1"/>
  <c r="R119" i="22" s="1"/>
  <c r="P119" i="22" s="1"/>
  <c r="V119" i="22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U99" i="22"/>
  <c r="T99" i="22" s="1"/>
  <c r="S99" i="22" s="1"/>
  <c r="R99" i="22" s="1"/>
  <c r="P99" i="22" s="1"/>
  <c r="V99" i="22" s="1"/>
  <c r="U95" i="22"/>
  <c r="T95" i="22" s="1"/>
  <c r="S95" i="22" s="1"/>
  <c r="R95" i="22" s="1"/>
  <c r="P95" i="22" s="1"/>
  <c r="V95" i="22" s="1"/>
  <c r="U91" i="22"/>
  <c r="T91" i="22" s="1"/>
  <c r="S91" i="22" s="1"/>
  <c r="R91" i="22" s="1"/>
  <c r="P91" i="22" s="1"/>
  <c r="V91" i="22" s="1"/>
  <c r="U87" i="22"/>
  <c r="T87" i="22" s="1"/>
  <c r="S87" i="22" s="1"/>
  <c r="R87" i="22" s="1"/>
  <c r="P87" i="22" s="1"/>
  <c r="V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U75" i="22"/>
  <c r="T75" i="22" s="1"/>
  <c r="S75" i="22" s="1"/>
  <c r="R75" i="22" s="1"/>
  <c r="P75" i="22" s="1"/>
  <c r="V75" i="22" s="1"/>
  <c r="U71" i="22"/>
  <c r="T71" i="22" s="1"/>
  <c r="S71" i="22" s="1"/>
  <c r="R71" i="22" s="1"/>
  <c r="P71" i="22" s="1"/>
  <c r="V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U59" i="22"/>
  <c r="T59" i="22" s="1"/>
  <c r="S59" i="22" s="1"/>
  <c r="R59" i="22" s="1"/>
  <c r="P59" i="22" s="1"/>
  <c r="V59" i="22" s="1"/>
  <c r="U55" i="22"/>
  <c r="T55" i="22" s="1"/>
  <c r="S55" i="22" s="1"/>
  <c r="R55" i="22" s="1"/>
  <c r="P55" i="22" s="1"/>
  <c r="V55" i="22" s="1"/>
  <c r="U51" i="22"/>
  <c r="T51" i="22" s="1"/>
  <c r="S51" i="22" s="1"/>
  <c r="R51" i="22" s="1"/>
  <c r="P51" i="22" s="1"/>
  <c r="V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U16" i="22"/>
  <c r="T16" i="22" s="1"/>
  <c r="S16" i="22" s="1"/>
  <c r="R16" i="22" s="1"/>
  <c r="P16" i="22" s="1"/>
  <c r="V16" i="22" s="1"/>
  <c r="U19" i="22"/>
  <c r="T19" i="22" s="1"/>
  <c r="S19" i="22" s="1"/>
  <c r="R19" i="22" s="1"/>
  <c r="P19" i="22" s="1"/>
  <c r="V19" i="22" s="1"/>
  <c r="U22" i="22"/>
  <c r="T22" i="22" s="1"/>
  <c r="S22" i="22" s="1"/>
  <c r="R22" i="22" s="1"/>
  <c r="P22" i="22" s="1"/>
  <c r="V22" i="22" s="1"/>
  <c r="U306" i="22"/>
  <c r="T306" i="22" s="1"/>
  <c r="S306" i="22" s="1"/>
  <c r="R306" i="22" s="1"/>
  <c r="P306" i="22" s="1"/>
  <c r="V306" i="22" s="1"/>
  <c r="U282" i="22"/>
  <c r="T282" i="22" s="1"/>
  <c r="S282" i="22" s="1"/>
  <c r="R282" i="22" s="1"/>
  <c r="P282" i="22" s="1"/>
  <c r="V282" i="22" s="1"/>
  <c r="U266" i="22"/>
  <c r="T266" i="22" s="1"/>
  <c r="S266" i="22" s="1"/>
  <c r="R266" i="22" s="1"/>
  <c r="P266" i="22" s="1"/>
  <c r="V266" i="22" s="1"/>
  <c r="U250" i="22"/>
  <c r="T250" i="22" s="1"/>
  <c r="S250" i="22" s="1"/>
  <c r="R250" i="22" s="1"/>
  <c r="P250" i="22" s="1"/>
  <c r="V250" i="22" s="1"/>
  <c r="U234" i="22"/>
  <c r="T234" i="22" s="1"/>
  <c r="S234" i="22" s="1"/>
  <c r="R234" i="22" s="1"/>
  <c r="P234" i="22" s="1"/>
  <c r="V234" i="22" s="1"/>
  <c r="U218" i="22"/>
  <c r="T218" i="22" s="1"/>
  <c r="S218" i="22" s="1"/>
  <c r="R218" i="22" s="1"/>
  <c r="P218" i="22" s="1"/>
  <c r="V218" i="22" s="1"/>
  <c r="U202" i="22"/>
  <c r="T202" i="22" s="1"/>
  <c r="S202" i="22" s="1"/>
  <c r="R202" i="22" s="1"/>
  <c r="P202" i="22" s="1"/>
  <c r="V202" i="22" s="1"/>
  <c r="U186" i="22"/>
  <c r="T186" i="22" s="1"/>
  <c r="S186" i="22" s="1"/>
  <c r="R186" i="22" s="1"/>
  <c r="P186" i="22" s="1"/>
  <c r="V186" i="22" s="1"/>
  <c r="U170" i="22"/>
  <c r="T170" i="22" s="1"/>
  <c r="S170" i="22" s="1"/>
  <c r="R170" i="22" s="1"/>
  <c r="P170" i="22" s="1"/>
  <c r="V170" i="22" s="1"/>
  <c r="U154" i="22"/>
  <c r="T154" i="22" s="1"/>
  <c r="S154" i="22" s="1"/>
  <c r="R154" i="22" s="1"/>
  <c r="P154" i="22" s="1"/>
  <c r="V154" i="22" s="1"/>
  <c r="U138" i="22"/>
  <c r="T138" i="22" s="1"/>
  <c r="S138" i="22" s="1"/>
  <c r="R138" i="22" s="1"/>
  <c r="P138" i="22" s="1"/>
  <c r="V138" i="22" s="1"/>
  <c r="U122" i="22"/>
  <c r="T122" i="22" s="1"/>
  <c r="S122" i="22" s="1"/>
  <c r="R122" i="22" s="1"/>
  <c r="P122" i="22" s="1"/>
  <c r="V122" i="22" s="1"/>
  <c r="U106" i="22"/>
  <c r="T106" i="22" s="1"/>
  <c r="S106" i="22" s="1"/>
  <c r="R106" i="22" s="1"/>
  <c r="P106" i="22" s="1"/>
  <c r="V106" i="22" s="1"/>
  <c r="U90" i="22"/>
  <c r="T90" i="22" s="1"/>
  <c r="S90" i="22" s="1"/>
  <c r="R90" i="22" s="1"/>
  <c r="P90" i="22" s="1"/>
  <c r="V90" i="22" s="1"/>
  <c r="U74" i="22"/>
  <c r="T74" i="22" s="1"/>
  <c r="S74" i="22" s="1"/>
  <c r="R74" i="22" s="1"/>
  <c r="P74" i="22" s="1"/>
  <c r="V74" i="22" s="1"/>
  <c r="U58" i="22"/>
  <c r="T58" i="22" s="1"/>
  <c r="S58" i="22" s="1"/>
  <c r="R58" i="22" s="1"/>
  <c r="P58" i="22" s="1"/>
  <c r="V58" i="22" s="1"/>
  <c r="U42" i="22"/>
  <c r="T42" i="22" s="1"/>
  <c r="S42" i="22" s="1"/>
  <c r="R42" i="22" s="1"/>
  <c r="P42" i="22" s="1"/>
  <c r="V42" i="22" s="1"/>
  <c r="U32" i="22"/>
  <c r="T32" i="22" s="1"/>
  <c r="S32" i="22" s="1"/>
  <c r="R32" i="22" s="1"/>
  <c r="P32" i="22" s="1"/>
  <c r="V32" i="22" s="1"/>
  <c r="U24" i="22"/>
  <c r="T24" i="22" s="1"/>
  <c r="S24" i="22" s="1"/>
  <c r="R24" i="22" s="1"/>
  <c r="P24" i="22" s="1"/>
  <c r="V24" i="22" s="1"/>
  <c r="U18" i="22"/>
  <c r="T18" i="22" s="1"/>
  <c r="S18" i="22" s="1"/>
  <c r="R18" i="22" s="1"/>
  <c r="P18" i="22" s="1"/>
  <c r="V18" i="22" s="1"/>
  <c r="U377" i="22"/>
  <c r="T377" i="22" s="1"/>
  <c r="S377" i="22" s="1"/>
  <c r="R377" i="22" s="1"/>
  <c r="P377" i="22" s="1"/>
  <c r="V377" i="22" s="1"/>
  <c r="U369" i="22"/>
  <c r="T369" i="22" s="1"/>
  <c r="S369" i="22" s="1"/>
  <c r="R369" i="22" s="1"/>
  <c r="P369" i="22" s="1"/>
  <c r="V369" i="22" s="1"/>
  <c r="U361" i="22"/>
  <c r="T361" i="22" s="1"/>
  <c r="S361" i="22" s="1"/>
  <c r="R361" i="22" s="1"/>
  <c r="P361" i="22" s="1"/>
  <c r="V361" i="22" s="1"/>
  <c r="U353" i="22"/>
  <c r="T353" i="22" s="1"/>
  <c r="S353" i="22" s="1"/>
  <c r="R353" i="22" s="1"/>
  <c r="P353" i="22" s="1"/>
  <c r="V353" i="22" s="1"/>
  <c r="U345" i="22"/>
  <c r="T345" i="22" s="1"/>
  <c r="S345" i="22" s="1"/>
  <c r="R345" i="22" s="1"/>
  <c r="P345" i="22" s="1"/>
  <c r="V345" i="22" s="1"/>
  <c r="U337" i="22"/>
  <c r="T337" i="22" s="1"/>
  <c r="S337" i="22" s="1"/>
  <c r="R337" i="22" s="1"/>
  <c r="P337" i="22" s="1"/>
  <c r="V337" i="22" s="1"/>
  <c r="U329" i="22"/>
  <c r="T329" i="22" s="1"/>
  <c r="S329" i="22" s="1"/>
  <c r="R329" i="22" s="1"/>
  <c r="P329" i="22" s="1"/>
  <c r="V329" i="22" s="1"/>
  <c r="U321" i="22"/>
  <c r="T321" i="22" s="1"/>
  <c r="S321" i="22" s="1"/>
  <c r="R321" i="22" s="1"/>
  <c r="P321" i="22" s="1"/>
  <c r="V321" i="22" s="1"/>
  <c r="U313" i="22"/>
  <c r="T313" i="22" s="1"/>
  <c r="S313" i="22" s="1"/>
  <c r="R313" i="22" s="1"/>
  <c r="P313" i="22" s="1"/>
  <c r="V313" i="22" s="1"/>
  <c r="U305" i="22"/>
  <c r="T305" i="22" s="1"/>
  <c r="S305" i="22" s="1"/>
  <c r="R305" i="22" s="1"/>
  <c r="P305" i="22" s="1"/>
  <c r="V305" i="22" s="1"/>
  <c r="U297" i="22"/>
  <c r="T297" i="22" s="1"/>
  <c r="S297" i="22" s="1"/>
  <c r="R297" i="22" s="1"/>
  <c r="P297" i="22" s="1"/>
  <c r="V297" i="22" s="1"/>
  <c r="U289" i="22"/>
  <c r="T289" i="22" s="1"/>
  <c r="S289" i="22" s="1"/>
  <c r="R289" i="22" s="1"/>
  <c r="P289" i="22" s="1"/>
  <c r="V289" i="22" s="1"/>
  <c r="U281" i="22"/>
  <c r="T281" i="22" s="1"/>
  <c r="S281" i="22" s="1"/>
  <c r="R281" i="22" s="1"/>
  <c r="P281" i="22" s="1"/>
  <c r="V281" i="22" s="1"/>
  <c r="U273" i="22"/>
  <c r="T273" i="22" s="1"/>
  <c r="S273" i="22" s="1"/>
  <c r="R273" i="22" s="1"/>
  <c r="P273" i="22" s="1"/>
  <c r="V273" i="22" s="1"/>
  <c r="U265" i="22"/>
  <c r="T265" i="22" s="1"/>
  <c r="S265" i="22" s="1"/>
  <c r="R265" i="22" s="1"/>
  <c r="P265" i="22" s="1"/>
  <c r="V265" i="22" s="1"/>
  <c r="U257" i="22"/>
  <c r="T257" i="22" s="1"/>
  <c r="S257" i="22" s="1"/>
  <c r="R257" i="22" s="1"/>
  <c r="P257" i="22" s="1"/>
  <c r="V257" i="22" s="1"/>
  <c r="U249" i="22"/>
  <c r="T249" i="22" s="1"/>
  <c r="S249" i="22" s="1"/>
  <c r="R249" i="22" s="1"/>
  <c r="P249" i="22" s="1"/>
  <c r="V249" i="22" s="1"/>
  <c r="U241" i="22"/>
  <c r="T241" i="22" s="1"/>
  <c r="S241" i="22" s="1"/>
  <c r="R241" i="22" s="1"/>
  <c r="P241" i="22" s="1"/>
  <c r="U233" i="22"/>
  <c r="T233" i="22" s="1"/>
  <c r="S233" i="22" s="1"/>
  <c r="R233" i="22" s="1"/>
  <c r="P233" i="22" s="1"/>
  <c r="V233" i="22" s="1"/>
  <c r="U225" i="22"/>
  <c r="T225" i="22" s="1"/>
  <c r="S225" i="22" s="1"/>
  <c r="R225" i="22" s="1"/>
  <c r="P225" i="22" s="1"/>
  <c r="V225" i="22" s="1"/>
  <c r="U217" i="22"/>
  <c r="T217" i="22" s="1"/>
  <c r="S217" i="22" s="1"/>
  <c r="R217" i="22" s="1"/>
  <c r="P217" i="22" s="1"/>
  <c r="V217" i="22" s="1"/>
  <c r="U209" i="22"/>
  <c r="T209" i="22" s="1"/>
  <c r="S209" i="22" s="1"/>
  <c r="R209" i="22" s="1"/>
  <c r="P209" i="22" s="1"/>
  <c r="V209" i="22" s="1"/>
  <c r="U201" i="22"/>
  <c r="T201" i="22" s="1"/>
  <c r="S201" i="22" s="1"/>
  <c r="R201" i="22" s="1"/>
  <c r="P201" i="22" s="1"/>
  <c r="V201" i="22" s="1"/>
  <c r="U193" i="22"/>
  <c r="T193" i="22" s="1"/>
  <c r="S193" i="22" s="1"/>
  <c r="R193" i="22" s="1"/>
  <c r="P193" i="22" s="1"/>
  <c r="V193" i="22" s="1"/>
  <c r="U185" i="22"/>
  <c r="T185" i="22" s="1"/>
  <c r="S185" i="22" s="1"/>
  <c r="R185" i="22" s="1"/>
  <c r="P185" i="22" s="1"/>
  <c r="V185" i="22" s="1"/>
  <c r="U177" i="22"/>
  <c r="T177" i="22" s="1"/>
  <c r="S177" i="22" s="1"/>
  <c r="R177" i="22" s="1"/>
  <c r="P177" i="22" s="1"/>
  <c r="V177" i="22" s="1"/>
  <c r="U169" i="22"/>
  <c r="T169" i="22" s="1"/>
  <c r="S169" i="22" s="1"/>
  <c r="R169" i="22" s="1"/>
  <c r="P169" i="22" s="1"/>
  <c r="V169" i="22" s="1"/>
  <c r="U161" i="22"/>
  <c r="T161" i="22" s="1"/>
  <c r="S161" i="22" s="1"/>
  <c r="R161" i="22" s="1"/>
  <c r="P161" i="22" s="1"/>
  <c r="V161" i="22" s="1"/>
  <c r="U153" i="22"/>
  <c r="T153" i="22" s="1"/>
  <c r="S153" i="22" s="1"/>
  <c r="R153" i="22" s="1"/>
  <c r="P153" i="22" s="1"/>
  <c r="V153" i="22" s="1"/>
  <c r="U145" i="22"/>
  <c r="T145" i="22" s="1"/>
  <c r="S145" i="22" s="1"/>
  <c r="R145" i="22" s="1"/>
  <c r="P145" i="22" s="1"/>
  <c r="V145" i="22" s="1"/>
  <c r="U137" i="22"/>
  <c r="T137" i="22" s="1"/>
  <c r="S137" i="22" s="1"/>
  <c r="R137" i="22" s="1"/>
  <c r="P137" i="22" s="1"/>
  <c r="V137" i="22" s="1"/>
  <c r="U129" i="22"/>
  <c r="T129" i="22" s="1"/>
  <c r="S129" i="22" s="1"/>
  <c r="R129" i="22" s="1"/>
  <c r="P129" i="22" s="1"/>
  <c r="V129" i="22" s="1"/>
  <c r="U121" i="22"/>
  <c r="T121" i="22" s="1"/>
  <c r="S121" i="22" s="1"/>
  <c r="R121" i="22" s="1"/>
  <c r="P121" i="22" s="1"/>
  <c r="V121" i="22" s="1"/>
  <c r="U113" i="22"/>
  <c r="T113" i="22" s="1"/>
  <c r="S113" i="22" s="1"/>
  <c r="R113" i="22" s="1"/>
  <c r="P113" i="22" s="1"/>
  <c r="V113" i="22" s="1"/>
  <c r="U105" i="22"/>
  <c r="T105" i="22" s="1"/>
  <c r="S105" i="22" s="1"/>
  <c r="R105" i="22" s="1"/>
  <c r="P105" i="22" s="1"/>
  <c r="V105" i="22" s="1"/>
  <c r="U97" i="22"/>
  <c r="T97" i="22" s="1"/>
  <c r="S97" i="22" s="1"/>
  <c r="R97" i="22" s="1"/>
  <c r="P97" i="22" s="1"/>
  <c r="V97" i="22" s="1"/>
  <c r="U89" i="22"/>
  <c r="T89" i="22" s="1"/>
  <c r="S89" i="22" s="1"/>
  <c r="R89" i="22" s="1"/>
  <c r="P89" i="22" s="1"/>
  <c r="V89" i="22" s="1"/>
  <c r="U81" i="22"/>
  <c r="T81" i="22" s="1"/>
  <c r="S81" i="22" s="1"/>
  <c r="R81" i="22" s="1"/>
  <c r="P81" i="22" s="1"/>
  <c r="V81" i="22" s="1"/>
  <c r="U73" i="22"/>
  <c r="T73" i="22" s="1"/>
  <c r="S73" i="22" s="1"/>
  <c r="R73" i="22" s="1"/>
  <c r="P73" i="22" s="1"/>
  <c r="V73" i="22" s="1"/>
  <c r="U65" i="22"/>
  <c r="T65" i="22" s="1"/>
  <c r="S65" i="22" s="1"/>
  <c r="R65" i="22" s="1"/>
  <c r="P65" i="22" s="1"/>
  <c r="V65" i="22" s="1"/>
  <c r="U57" i="22"/>
  <c r="T57" i="22" s="1"/>
  <c r="S57" i="22" s="1"/>
  <c r="R57" i="22" s="1"/>
  <c r="P57" i="22" s="1"/>
  <c r="V57" i="22" s="1"/>
  <c r="U49" i="22"/>
  <c r="T49" i="22" s="1"/>
  <c r="S49" i="22" s="1"/>
  <c r="R49" i="22" s="1"/>
  <c r="P49" i="22" s="1"/>
  <c r="V49" i="22" s="1"/>
  <c r="U41" i="22"/>
  <c r="T41" i="22" s="1"/>
  <c r="S41" i="22" s="1"/>
  <c r="R41" i="22" s="1"/>
  <c r="P41" i="22" s="1"/>
  <c r="V41" i="22" s="1"/>
  <c r="U33" i="22"/>
  <c r="T33" i="22" s="1"/>
  <c r="S33" i="22" s="1"/>
  <c r="R33" i="22" s="1"/>
  <c r="P33" i="22" s="1"/>
  <c r="V33" i="22" s="1"/>
  <c r="U25" i="22"/>
  <c r="T25" i="22" s="1"/>
  <c r="S25" i="22" s="1"/>
  <c r="R25" i="22" s="1"/>
  <c r="P25" i="22" s="1"/>
  <c r="V25" i="22" s="1"/>
  <c r="U20" i="22"/>
  <c r="T20" i="22" s="1"/>
  <c r="S20" i="22" s="1"/>
  <c r="R20" i="22" s="1"/>
  <c r="P20" i="22" s="1"/>
  <c r="V20" i="22" s="1"/>
  <c r="U61" i="22"/>
  <c r="T61" i="22" s="1"/>
  <c r="S61" i="22" s="1"/>
  <c r="R61" i="22" s="1"/>
  <c r="P61" i="22" s="1"/>
  <c r="V61" i="22" s="1"/>
  <c r="U45" i="22"/>
  <c r="T45" i="22" s="1"/>
  <c r="S45" i="22" s="1"/>
  <c r="R45" i="22" s="1"/>
  <c r="P45" i="22" s="1"/>
  <c r="V45" i="22" s="1"/>
  <c r="U29" i="22"/>
  <c r="T29" i="22" s="1"/>
  <c r="S29" i="22" s="1"/>
  <c r="R29" i="22" s="1"/>
  <c r="P29" i="22" s="1"/>
  <c r="V29" i="22" s="1"/>
  <c r="U293" i="22"/>
  <c r="T293" i="22" s="1"/>
  <c r="S293" i="22" s="1"/>
  <c r="R293" i="22" s="1"/>
  <c r="P293" i="22" s="1"/>
  <c r="V293" i="22" s="1"/>
  <c r="U285" i="22"/>
  <c r="T285" i="22" s="1"/>
  <c r="S285" i="22" s="1"/>
  <c r="R285" i="22" s="1"/>
  <c r="P285" i="22" s="1"/>
  <c r="V285" i="22" s="1"/>
  <c r="U277" i="22"/>
  <c r="T277" i="22" s="1"/>
  <c r="S277" i="22" s="1"/>
  <c r="R277" i="22" s="1"/>
  <c r="P277" i="22" s="1"/>
  <c r="V277" i="22" s="1"/>
  <c r="U269" i="22"/>
  <c r="T269" i="22" s="1"/>
  <c r="S269" i="22" s="1"/>
  <c r="R269" i="22" s="1"/>
  <c r="P269" i="22" s="1"/>
  <c r="V269" i="22" s="1"/>
  <c r="U261" i="22"/>
  <c r="T261" i="22" s="1"/>
  <c r="S261" i="22" s="1"/>
  <c r="R261" i="22" s="1"/>
  <c r="P261" i="22" s="1"/>
  <c r="V261" i="22" s="1"/>
  <c r="U253" i="22"/>
  <c r="T253" i="22" s="1"/>
  <c r="S253" i="22" s="1"/>
  <c r="R253" i="22" s="1"/>
  <c r="P253" i="22" s="1"/>
  <c r="V253" i="22" s="1"/>
  <c r="U245" i="22"/>
  <c r="T245" i="22" s="1"/>
  <c r="S245" i="22" s="1"/>
  <c r="R245" i="22" s="1"/>
  <c r="P245" i="22" s="1"/>
  <c r="V245" i="22" s="1"/>
  <c r="U237" i="22"/>
  <c r="T237" i="22" s="1"/>
  <c r="S237" i="22" s="1"/>
  <c r="R237" i="22" s="1"/>
  <c r="P237" i="22" s="1"/>
  <c r="V237" i="22" s="1"/>
  <c r="U229" i="22"/>
  <c r="T229" i="22" s="1"/>
  <c r="S229" i="22" s="1"/>
  <c r="R229" i="22" s="1"/>
  <c r="P229" i="22" s="1"/>
  <c r="V229" i="22" s="1"/>
  <c r="U221" i="22"/>
  <c r="T221" i="22" s="1"/>
  <c r="S221" i="22" s="1"/>
  <c r="R221" i="22" s="1"/>
  <c r="P221" i="22" s="1"/>
  <c r="V221" i="22" s="1"/>
  <c r="U213" i="22"/>
  <c r="T213" i="22" s="1"/>
  <c r="S213" i="22" s="1"/>
  <c r="R213" i="22" s="1"/>
  <c r="P213" i="22" s="1"/>
  <c r="V213" i="22" s="1"/>
  <c r="U205" i="22"/>
  <c r="T205" i="22" s="1"/>
  <c r="S205" i="22" s="1"/>
  <c r="R205" i="22" s="1"/>
  <c r="P205" i="22" s="1"/>
  <c r="V205" i="22" s="1"/>
  <c r="U197" i="22"/>
  <c r="T197" i="22" s="1"/>
  <c r="S197" i="22" s="1"/>
  <c r="R197" i="22" s="1"/>
  <c r="P197" i="22" s="1"/>
  <c r="V197" i="22" s="1"/>
  <c r="U189" i="22"/>
  <c r="T189" i="22" s="1"/>
  <c r="S189" i="22" s="1"/>
  <c r="R189" i="22" s="1"/>
  <c r="P189" i="22" s="1"/>
  <c r="V189" i="22" s="1"/>
  <c r="U181" i="22"/>
  <c r="T181" i="22" s="1"/>
  <c r="S181" i="22" s="1"/>
  <c r="R181" i="22" s="1"/>
  <c r="P181" i="22" s="1"/>
  <c r="V181" i="22" s="1"/>
  <c r="U173" i="22"/>
  <c r="T173" i="22" s="1"/>
  <c r="S173" i="22" s="1"/>
  <c r="R173" i="22" s="1"/>
  <c r="P173" i="22" s="1"/>
  <c r="V173" i="22" s="1"/>
  <c r="U165" i="22"/>
  <c r="T165" i="22" s="1"/>
  <c r="S165" i="22" s="1"/>
  <c r="R165" i="22" s="1"/>
  <c r="P165" i="22" s="1"/>
  <c r="V165" i="22" s="1"/>
  <c r="U157" i="22"/>
  <c r="T157" i="22" s="1"/>
  <c r="S157" i="22" s="1"/>
  <c r="R157" i="22" s="1"/>
  <c r="P157" i="22" s="1"/>
  <c r="V157" i="22" s="1"/>
  <c r="U149" i="22"/>
  <c r="T149" i="22" s="1"/>
  <c r="S149" i="22" s="1"/>
  <c r="R149" i="22" s="1"/>
  <c r="P149" i="22" s="1"/>
  <c r="V149" i="22" s="1"/>
  <c r="U141" i="22"/>
  <c r="T141" i="22" s="1"/>
  <c r="S141" i="22" s="1"/>
  <c r="R141" i="22" s="1"/>
  <c r="P141" i="22" s="1"/>
  <c r="V141" i="22" s="1"/>
  <c r="U133" i="22"/>
  <c r="T133" i="22" s="1"/>
  <c r="S133" i="22" s="1"/>
  <c r="R133" i="22" s="1"/>
  <c r="P133" i="22" s="1"/>
  <c r="V133" i="22" s="1"/>
  <c r="U125" i="22"/>
  <c r="T125" i="22" s="1"/>
  <c r="S125" i="22" s="1"/>
  <c r="R125" i="22" s="1"/>
  <c r="P125" i="22" s="1"/>
  <c r="V125" i="22" s="1"/>
  <c r="U117" i="22"/>
  <c r="T117" i="22" s="1"/>
  <c r="S117" i="22" s="1"/>
  <c r="R117" i="22" s="1"/>
  <c r="P117" i="22" s="1"/>
  <c r="V117" i="22" s="1"/>
  <c r="U109" i="22"/>
  <c r="T109" i="22" s="1"/>
  <c r="S109" i="22" s="1"/>
  <c r="R109" i="22" s="1"/>
  <c r="P109" i="22" s="1"/>
  <c r="V109" i="22" s="1"/>
  <c r="U101" i="22"/>
  <c r="T101" i="22" s="1"/>
  <c r="S101" i="22" s="1"/>
  <c r="R101" i="22" s="1"/>
  <c r="P101" i="22" s="1"/>
  <c r="V101" i="22" s="1"/>
  <c r="U93" i="22"/>
  <c r="T93" i="22" s="1"/>
  <c r="S93" i="22" s="1"/>
  <c r="R93" i="22" s="1"/>
  <c r="P93" i="22" s="1"/>
  <c r="V93" i="22" s="1"/>
  <c r="U85" i="22"/>
  <c r="T85" i="22" s="1"/>
  <c r="S85" i="22" s="1"/>
  <c r="R85" i="22" s="1"/>
  <c r="P85" i="22" s="1"/>
  <c r="V85" i="22" s="1"/>
  <c r="U77" i="22"/>
  <c r="T77" i="22" s="1"/>
  <c r="S77" i="22" s="1"/>
  <c r="R77" i="22" s="1"/>
  <c r="P77" i="22" s="1"/>
  <c r="V77" i="22" s="1"/>
  <c r="U69" i="22"/>
  <c r="T69" i="22" s="1"/>
  <c r="S69" i="22" s="1"/>
  <c r="R69" i="22" s="1"/>
  <c r="P69" i="22" s="1"/>
  <c r="V69" i="22" s="1"/>
  <c r="U53" i="22"/>
  <c r="T53" i="22" s="1"/>
  <c r="S53" i="22" s="1"/>
  <c r="R53" i="22" s="1"/>
  <c r="P53" i="22" s="1"/>
  <c r="V53" i="22" s="1"/>
  <c r="U37" i="22"/>
  <c r="T37" i="22" s="1"/>
  <c r="S37" i="22" s="1"/>
  <c r="R37" i="22" s="1"/>
  <c r="P37" i="22" s="1"/>
  <c r="V37" i="22" s="1"/>
  <c r="U23" i="22"/>
  <c r="T23" i="22" s="1"/>
  <c r="S23" i="22" s="1"/>
  <c r="R23" i="22" s="1"/>
  <c r="P23" i="22" s="1"/>
  <c r="V23" i="22" s="1"/>
  <c r="C66" i="19"/>
  <c r="AH22" i="7"/>
  <c r="V88" i="20"/>
  <c r="D66" i="19" s="1"/>
  <c r="T381" i="20"/>
  <c r="T382" i="20"/>
  <c r="S15" i="20"/>
  <c r="T383" i="20"/>
  <c r="Z11" i="16"/>
  <c r="Z5" i="16" s="1"/>
  <c r="H13" i="19" s="1"/>
  <c r="J13" i="19"/>
  <c r="Y11" i="16"/>
  <c r="AA11" i="16"/>
  <c r="AA5" i="16" s="1"/>
  <c r="I13" i="19" s="1"/>
  <c r="AJ4" i="16"/>
  <c r="P13" i="19" s="1"/>
  <c r="AL13" i="16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AI244" i="22"/>
  <c r="AH244" i="22" s="1"/>
  <c r="AG244" i="22" s="1"/>
  <c r="AF244" i="22" s="1"/>
  <c r="AD244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AE383" i="23"/>
  <c r="V379" i="18"/>
  <c r="P382" i="18"/>
  <c r="P383" i="18"/>
  <c r="P381" i="18"/>
  <c r="AK4" i="16"/>
  <c r="R13" i="19" s="1"/>
  <c r="N14" i="19" s="1"/>
  <c r="AM13" i="16"/>
  <c r="AG15" i="20"/>
  <c r="AH381" i="20"/>
  <c r="AH382" i="20"/>
  <c r="AH383" i="20"/>
  <c r="AE382" i="23"/>
  <c r="Q381" i="23"/>
  <c r="AH38" i="7"/>
  <c r="AH36" i="7"/>
  <c r="Q10" i="24"/>
  <c r="Q47" i="24" s="1"/>
  <c r="AY15" i="7"/>
  <c r="Q21" i="24"/>
  <c r="AH35" i="7"/>
  <c r="Q382" i="23"/>
  <c r="Q383" i="23"/>
  <c r="AI374" i="22" l="1"/>
  <c r="AH374" i="22" s="1"/>
  <c r="AG374" i="22" s="1"/>
  <c r="AF374" i="22" s="1"/>
  <c r="AD374" i="22" s="1"/>
  <c r="AI366" i="22"/>
  <c r="AH366" i="22" s="1"/>
  <c r="AG366" i="22" s="1"/>
  <c r="AF366" i="22" s="1"/>
  <c r="AD366" i="22" s="1"/>
  <c r="AI358" i="22"/>
  <c r="AH358" i="22" s="1"/>
  <c r="AG358" i="22" s="1"/>
  <c r="AF358" i="22" s="1"/>
  <c r="AD358" i="22" s="1"/>
  <c r="AI350" i="22"/>
  <c r="AH350" i="22" s="1"/>
  <c r="AG350" i="22" s="1"/>
  <c r="AF350" i="22" s="1"/>
  <c r="AD350" i="22" s="1"/>
  <c r="AI342" i="22"/>
  <c r="AH342" i="22" s="1"/>
  <c r="AG342" i="22" s="1"/>
  <c r="AF342" i="22" s="1"/>
  <c r="AD342" i="22" s="1"/>
  <c r="AI334" i="22"/>
  <c r="AH334" i="22" s="1"/>
  <c r="AG334" i="22" s="1"/>
  <c r="AF334" i="22" s="1"/>
  <c r="AD334" i="22" s="1"/>
  <c r="AI326" i="22"/>
  <c r="AH326" i="22" s="1"/>
  <c r="AG326" i="22" s="1"/>
  <c r="AF326" i="22" s="1"/>
  <c r="AD326" i="22" s="1"/>
  <c r="AI318" i="22"/>
  <c r="AH318" i="22" s="1"/>
  <c r="AG318" i="22" s="1"/>
  <c r="AF318" i="22" s="1"/>
  <c r="AD318" i="22" s="1"/>
  <c r="AI310" i="22"/>
  <c r="AH310" i="22" s="1"/>
  <c r="AG310" i="22" s="1"/>
  <c r="AF310" i="22" s="1"/>
  <c r="AD310" i="22" s="1"/>
  <c r="AI302" i="22"/>
  <c r="AH302" i="22" s="1"/>
  <c r="AG302" i="22" s="1"/>
  <c r="AF302" i="22" s="1"/>
  <c r="AD302" i="22" s="1"/>
  <c r="AI294" i="22"/>
  <c r="AH294" i="22" s="1"/>
  <c r="AG294" i="22" s="1"/>
  <c r="AF294" i="22" s="1"/>
  <c r="AD294" i="22" s="1"/>
  <c r="AI286" i="22"/>
  <c r="AH286" i="22" s="1"/>
  <c r="AG286" i="22" s="1"/>
  <c r="AF286" i="22" s="1"/>
  <c r="AD286" i="22" s="1"/>
  <c r="AI278" i="22"/>
  <c r="AH278" i="22" s="1"/>
  <c r="AG278" i="22" s="1"/>
  <c r="AF278" i="22" s="1"/>
  <c r="AD278" i="22" s="1"/>
  <c r="AI270" i="22"/>
  <c r="AH270" i="22" s="1"/>
  <c r="AG270" i="22" s="1"/>
  <c r="AF270" i="22" s="1"/>
  <c r="AD270" i="22" s="1"/>
  <c r="AI262" i="22"/>
  <c r="AH262" i="22" s="1"/>
  <c r="AG262" i="22" s="1"/>
  <c r="AF262" i="22" s="1"/>
  <c r="AD262" i="22" s="1"/>
  <c r="AI254" i="22"/>
  <c r="AH254" i="22" s="1"/>
  <c r="AG254" i="22" s="1"/>
  <c r="AF254" i="22" s="1"/>
  <c r="AD254" i="22" s="1"/>
  <c r="AI246" i="22"/>
  <c r="AH246" i="22" s="1"/>
  <c r="AG246" i="22" s="1"/>
  <c r="AF246" i="22" s="1"/>
  <c r="AD246" i="22" s="1"/>
  <c r="AI238" i="22"/>
  <c r="AH238" i="22" s="1"/>
  <c r="AG238" i="22" s="1"/>
  <c r="AF238" i="22" s="1"/>
  <c r="AD238" i="22" s="1"/>
  <c r="AI230" i="22"/>
  <c r="AH230" i="22" s="1"/>
  <c r="AG230" i="22" s="1"/>
  <c r="AF230" i="22" s="1"/>
  <c r="AD230" i="22" s="1"/>
  <c r="AI222" i="22"/>
  <c r="AH222" i="22" s="1"/>
  <c r="AG222" i="22" s="1"/>
  <c r="AF222" i="22" s="1"/>
  <c r="AD222" i="22" s="1"/>
  <c r="AI214" i="22"/>
  <c r="AH214" i="22" s="1"/>
  <c r="AG214" i="22" s="1"/>
  <c r="AF214" i="22" s="1"/>
  <c r="AD214" i="22" s="1"/>
  <c r="AI206" i="22"/>
  <c r="AH206" i="22" s="1"/>
  <c r="AG206" i="22" s="1"/>
  <c r="AF206" i="22" s="1"/>
  <c r="AD206" i="22" s="1"/>
  <c r="AI198" i="22"/>
  <c r="AH198" i="22" s="1"/>
  <c r="AG198" i="22" s="1"/>
  <c r="AF198" i="22" s="1"/>
  <c r="AD198" i="22" s="1"/>
  <c r="AI190" i="22"/>
  <c r="AH190" i="22" s="1"/>
  <c r="AG190" i="22" s="1"/>
  <c r="AF190" i="22" s="1"/>
  <c r="AD190" i="22" s="1"/>
  <c r="AI182" i="22"/>
  <c r="AH182" i="22" s="1"/>
  <c r="AG182" i="22" s="1"/>
  <c r="AF182" i="22" s="1"/>
  <c r="AD182" i="22" s="1"/>
  <c r="AI174" i="22"/>
  <c r="AH174" i="22" s="1"/>
  <c r="AG174" i="22" s="1"/>
  <c r="AF174" i="22" s="1"/>
  <c r="AD174" i="22" s="1"/>
  <c r="AI166" i="22"/>
  <c r="AH166" i="22" s="1"/>
  <c r="AG166" i="22" s="1"/>
  <c r="AF166" i="22" s="1"/>
  <c r="AD166" i="22" s="1"/>
  <c r="AI158" i="22"/>
  <c r="AH158" i="22" s="1"/>
  <c r="AG158" i="22" s="1"/>
  <c r="AF158" i="22" s="1"/>
  <c r="AD158" i="22" s="1"/>
  <c r="AI150" i="22"/>
  <c r="AH150" i="22" s="1"/>
  <c r="AG150" i="22" s="1"/>
  <c r="AF150" i="22" s="1"/>
  <c r="AD150" i="22" s="1"/>
  <c r="AI142" i="22"/>
  <c r="AH142" i="22" s="1"/>
  <c r="AG142" i="22" s="1"/>
  <c r="AF142" i="22" s="1"/>
  <c r="AD142" i="22" s="1"/>
  <c r="AI134" i="22"/>
  <c r="AH134" i="22" s="1"/>
  <c r="AG134" i="22" s="1"/>
  <c r="AF134" i="22" s="1"/>
  <c r="AD134" i="22" s="1"/>
  <c r="AI126" i="22"/>
  <c r="AH126" i="22" s="1"/>
  <c r="AG126" i="22" s="1"/>
  <c r="AF126" i="22" s="1"/>
  <c r="AD126" i="22" s="1"/>
  <c r="AI118" i="22"/>
  <c r="AH118" i="22" s="1"/>
  <c r="AG118" i="22" s="1"/>
  <c r="AF118" i="22" s="1"/>
  <c r="AD118" i="22" s="1"/>
  <c r="AI110" i="22"/>
  <c r="AH110" i="22" s="1"/>
  <c r="AG110" i="22" s="1"/>
  <c r="AF110" i="22" s="1"/>
  <c r="AD110" i="22" s="1"/>
  <c r="AI377" i="22"/>
  <c r="AH377" i="22" s="1"/>
  <c r="AG377" i="22" s="1"/>
  <c r="AF377" i="22" s="1"/>
  <c r="AD377" i="22" s="1"/>
  <c r="AI369" i="22"/>
  <c r="AH369" i="22" s="1"/>
  <c r="AG369" i="22" s="1"/>
  <c r="AF369" i="22" s="1"/>
  <c r="AD369" i="22" s="1"/>
  <c r="AI361" i="22"/>
  <c r="AH361" i="22" s="1"/>
  <c r="AG361" i="22" s="1"/>
  <c r="AF361" i="22" s="1"/>
  <c r="AD361" i="22" s="1"/>
  <c r="AI353" i="22"/>
  <c r="AH353" i="22" s="1"/>
  <c r="AG353" i="22" s="1"/>
  <c r="AF353" i="22" s="1"/>
  <c r="AD353" i="22" s="1"/>
  <c r="AI345" i="22"/>
  <c r="AH345" i="22" s="1"/>
  <c r="AG345" i="22" s="1"/>
  <c r="AF345" i="22" s="1"/>
  <c r="AD345" i="22" s="1"/>
  <c r="AI337" i="22"/>
  <c r="AH337" i="22" s="1"/>
  <c r="AG337" i="22" s="1"/>
  <c r="AF337" i="22" s="1"/>
  <c r="AD337" i="22" s="1"/>
  <c r="AI329" i="22"/>
  <c r="AH329" i="22" s="1"/>
  <c r="AG329" i="22" s="1"/>
  <c r="AF329" i="22" s="1"/>
  <c r="AD329" i="22" s="1"/>
  <c r="AI321" i="22"/>
  <c r="AH321" i="22" s="1"/>
  <c r="AG321" i="22" s="1"/>
  <c r="AF321" i="22" s="1"/>
  <c r="AD321" i="22" s="1"/>
  <c r="AI313" i="22"/>
  <c r="AH313" i="22" s="1"/>
  <c r="AG313" i="22" s="1"/>
  <c r="AF313" i="22" s="1"/>
  <c r="AD313" i="22" s="1"/>
  <c r="AI305" i="22"/>
  <c r="AH305" i="22" s="1"/>
  <c r="AG305" i="22" s="1"/>
  <c r="AF305" i="22" s="1"/>
  <c r="AD305" i="22" s="1"/>
  <c r="AI297" i="22"/>
  <c r="AH297" i="22" s="1"/>
  <c r="AG297" i="22" s="1"/>
  <c r="AF297" i="22" s="1"/>
  <c r="AD297" i="22" s="1"/>
  <c r="AI289" i="22"/>
  <c r="AH289" i="22" s="1"/>
  <c r="AG289" i="22" s="1"/>
  <c r="AF289" i="22" s="1"/>
  <c r="AD289" i="22" s="1"/>
  <c r="AI281" i="22"/>
  <c r="AH281" i="22" s="1"/>
  <c r="AG281" i="22" s="1"/>
  <c r="AF281" i="22" s="1"/>
  <c r="AD281" i="22" s="1"/>
  <c r="AI273" i="22"/>
  <c r="AH273" i="22" s="1"/>
  <c r="AG273" i="22" s="1"/>
  <c r="AF273" i="22" s="1"/>
  <c r="AD273" i="22" s="1"/>
  <c r="AI265" i="22"/>
  <c r="AH265" i="22" s="1"/>
  <c r="AG265" i="22" s="1"/>
  <c r="AF265" i="22" s="1"/>
  <c r="AD265" i="22" s="1"/>
  <c r="AI257" i="22"/>
  <c r="AH257" i="22" s="1"/>
  <c r="AG257" i="22" s="1"/>
  <c r="AF257" i="22" s="1"/>
  <c r="AD257" i="22" s="1"/>
  <c r="AI249" i="22"/>
  <c r="AH249" i="22" s="1"/>
  <c r="AG249" i="22" s="1"/>
  <c r="AF249" i="22" s="1"/>
  <c r="AD249" i="22" s="1"/>
  <c r="AI241" i="22"/>
  <c r="AH241" i="22" s="1"/>
  <c r="AG241" i="22" s="1"/>
  <c r="AF241" i="22" s="1"/>
  <c r="AD241" i="22" s="1"/>
  <c r="AI233" i="22"/>
  <c r="AH233" i="22" s="1"/>
  <c r="AG233" i="22" s="1"/>
  <c r="AF233" i="22" s="1"/>
  <c r="AD233" i="22" s="1"/>
  <c r="AI225" i="22"/>
  <c r="AH225" i="22" s="1"/>
  <c r="AG225" i="22" s="1"/>
  <c r="AF225" i="22" s="1"/>
  <c r="AD225" i="22" s="1"/>
  <c r="AI217" i="22"/>
  <c r="AH217" i="22" s="1"/>
  <c r="AG217" i="22" s="1"/>
  <c r="AF217" i="22" s="1"/>
  <c r="AD217" i="22" s="1"/>
  <c r="AI209" i="22"/>
  <c r="AH209" i="22" s="1"/>
  <c r="AG209" i="22" s="1"/>
  <c r="AF209" i="22" s="1"/>
  <c r="AD209" i="22" s="1"/>
  <c r="AI201" i="22"/>
  <c r="AH201" i="22" s="1"/>
  <c r="AG201" i="22" s="1"/>
  <c r="AF201" i="22" s="1"/>
  <c r="AD201" i="22" s="1"/>
  <c r="AI193" i="22"/>
  <c r="AH193" i="22" s="1"/>
  <c r="AG193" i="22" s="1"/>
  <c r="AF193" i="22" s="1"/>
  <c r="AD193" i="22" s="1"/>
  <c r="AI185" i="22"/>
  <c r="AH185" i="22" s="1"/>
  <c r="AG185" i="22" s="1"/>
  <c r="AF185" i="22" s="1"/>
  <c r="AD185" i="22" s="1"/>
  <c r="AI177" i="22"/>
  <c r="AH177" i="22" s="1"/>
  <c r="AG177" i="22" s="1"/>
  <c r="AF177" i="22" s="1"/>
  <c r="AD177" i="22" s="1"/>
  <c r="AI169" i="22"/>
  <c r="AH169" i="22" s="1"/>
  <c r="AG169" i="22" s="1"/>
  <c r="AF169" i="22" s="1"/>
  <c r="AD169" i="22" s="1"/>
  <c r="AI161" i="22"/>
  <c r="AH161" i="22" s="1"/>
  <c r="AG161" i="22" s="1"/>
  <c r="AF161" i="22" s="1"/>
  <c r="AD161" i="22" s="1"/>
  <c r="AI153" i="22"/>
  <c r="AH153" i="22" s="1"/>
  <c r="AG153" i="22" s="1"/>
  <c r="AF153" i="22" s="1"/>
  <c r="AD153" i="22" s="1"/>
  <c r="AI145" i="22"/>
  <c r="AH145" i="22" s="1"/>
  <c r="AG145" i="22" s="1"/>
  <c r="AF145" i="22" s="1"/>
  <c r="AD145" i="22" s="1"/>
  <c r="AI137" i="22"/>
  <c r="AH137" i="22" s="1"/>
  <c r="AG137" i="22" s="1"/>
  <c r="AF137" i="22" s="1"/>
  <c r="AD137" i="22" s="1"/>
  <c r="AI129" i="22"/>
  <c r="AH129" i="22" s="1"/>
  <c r="AG129" i="22" s="1"/>
  <c r="AF129" i="22" s="1"/>
  <c r="AD129" i="22" s="1"/>
  <c r="AI121" i="22"/>
  <c r="AH121" i="22" s="1"/>
  <c r="AG121" i="22" s="1"/>
  <c r="AF121" i="22" s="1"/>
  <c r="AD121" i="22" s="1"/>
  <c r="AI113" i="22"/>
  <c r="AH113" i="22" s="1"/>
  <c r="AG113" i="22" s="1"/>
  <c r="AF113" i="22" s="1"/>
  <c r="AD113" i="22" s="1"/>
  <c r="AI105" i="22"/>
  <c r="AH105" i="22" s="1"/>
  <c r="AG105" i="22" s="1"/>
  <c r="AF105" i="22" s="1"/>
  <c r="AD105" i="22" s="1"/>
  <c r="AI372" i="22"/>
  <c r="AH372" i="22" s="1"/>
  <c r="AG372" i="22" s="1"/>
  <c r="AF372" i="22" s="1"/>
  <c r="AD372" i="22" s="1"/>
  <c r="AI364" i="22"/>
  <c r="AH364" i="22" s="1"/>
  <c r="AG364" i="22" s="1"/>
  <c r="AF364" i="22" s="1"/>
  <c r="AD364" i="22" s="1"/>
  <c r="AI356" i="22"/>
  <c r="AH356" i="22" s="1"/>
  <c r="AG356" i="22" s="1"/>
  <c r="AF356" i="22" s="1"/>
  <c r="AD356" i="22" s="1"/>
  <c r="AI348" i="22"/>
  <c r="AH348" i="22" s="1"/>
  <c r="AG348" i="22" s="1"/>
  <c r="AF348" i="22" s="1"/>
  <c r="AD348" i="22" s="1"/>
  <c r="AI340" i="22"/>
  <c r="AH340" i="22" s="1"/>
  <c r="AG340" i="22" s="1"/>
  <c r="AF340" i="22" s="1"/>
  <c r="AD340" i="22" s="1"/>
  <c r="AI332" i="22"/>
  <c r="AH332" i="22" s="1"/>
  <c r="AG332" i="22" s="1"/>
  <c r="AF332" i="22" s="1"/>
  <c r="AD332" i="22" s="1"/>
  <c r="AI324" i="22"/>
  <c r="AH324" i="22" s="1"/>
  <c r="AG324" i="22" s="1"/>
  <c r="AF324" i="22" s="1"/>
  <c r="AD324" i="22" s="1"/>
  <c r="AI316" i="22"/>
  <c r="AH316" i="22" s="1"/>
  <c r="AG316" i="22" s="1"/>
  <c r="AF316" i="22" s="1"/>
  <c r="AD316" i="22" s="1"/>
  <c r="AI308" i="22"/>
  <c r="AH308" i="22" s="1"/>
  <c r="AG308" i="22" s="1"/>
  <c r="AF308" i="22" s="1"/>
  <c r="AD308" i="22" s="1"/>
  <c r="AI300" i="22"/>
  <c r="AH300" i="22" s="1"/>
  <c r="AG300" i="22" s="1"/>
  <c r="AF300" i="22" s="1"/>
  <c r="AD300" i="22" s="1"/>
  <c r="AI292" i="22"/>
  <c r="AH292" i="22" s="1"/>
  <c r="AG292" i="22" s="1"/>
  <c r="AF292" i="22" s="1"/>
  <c r="AD292" i="22" s="1"/>
  <c r="AI284" i="22"/>
  <c r="AH284" i="22" s="1"/>
  <c r="AG284" i="22" s="1"/>
  <c r="AF284" i="22" s="1"/>
  <c r="AD284" i="22" s="1"/>
  <c r="AI276" i="22"/>
  <c r="AH276" i="22" s="1"/>
  <c r="AG276" i="22" s="1"/>
  <c r="AF276" i="22" s="1"/>
  <c r="AD276" i="22" s="1"/>
  <c r="AI268" i="22"/>
  <c r="AH268" i="22" s="1"/>
  <c r="AG268" i="22" s="1"/>
  <c r="AF268" i="22" s="1"/>
  <c r="AD268" i="22" s="1"/>
  <c r="AI260" i="22"/>
  <c r="AH260" i="22" s="1"/>
  <c r="AG260" i="22" s="1"/>
  <c r="AF260" i="22" s="1"/>
  <c r="AD260" i="22" s="1"/>
  <c r="AI252" i="22"/>
  <c r="AH252" i="22" s="1"/>
  <c r="AG252" i="22" s="1"/>
  <c r="AF252" i="22" s="1"/>
  <c r="AD252" i="22" s="1"/>
  <c r="AI378" i="22"/>
  <c r="AH378" i="22" s="1"/>
  <c r="AG378" i="22" s="1"/>
  <c r="AF378" i="22" s="1"/>
  <c r="AD378" i="22" s="1"/>
  <c r="AI370" i="22"/>
  <c r="AH370" i="22" s="1"/>
  <c r="AG370" i="22" s="1"/>
  <c r="AF370" i="22" s="1"/>
  <c r="AD370" i="22" s="1"/>
  <c r="AI362" i="22"/>
  <c r="AH362" i="22" s="1"/>
  <c r="AG362" i="22" s="1"/>
  <c r="AF362" i="22" s="1"/>
  <c r="AD362" i="22" s="1"/>
  <c r="AI354" i="22"/>
  <c r="AH354" i="22" s="1"/>
  <c r="AG354" i="22" s="1"/>
  <c r="AF354" i="22" s="1"/>
  <c r="AD354" i="22" s="1"/>
  <c r="AI346" i="22"/>
  <c r="AH346" i="22" s="1"/>
  <c r="AG346" i="22" s="1"/>
  <c r="AF346" i="22" s="1"/>
  <c r="AD346" i="22" s="1"/>
  <c r="AI338" i="22"/>
  <c r="AH338" i="22" s="1"/>
  <c r="AG338" i="22" s="1"/>
  <c r="AF338" i="22" s="1"/>
  <c r="AD338" i="22" s="1"/>
  <c r="AI330" i="22"/>
  <c r="AH330" i="22" s="1"/>
  <c r="AG330" i="22" s="1"/>
  <c r="AF330" i="22" s="1"/>
  <c r="AD330" i="22" s="1"/>
  <c r="AI322" i="22"/>
  <c r="AH322" i="22" s="1"/>
  <c r="AG322" i="22" s="1"/>
  <c r="AF322" i="22" s="1"/>
  <c r="AD322" i="22" s="1"/>
  <c r="AI314" i="22"/>
  <c r="AH314" i="22" s="1"/>
  <c r="AG314" i="22" s="1"/>
  <c r="AF314" i="22" s="1"/>
  <c r="AD314" i="22" s="1"/>
  <c r="AI306" i="22"/>
  <c r="AH306" i="22" s="1"/>
  <c r="AG306" i="22" s="1"/>
  <c r="AF306" i="22" s="1"/>
  <c r="AD306" i="22" s="1"/>
  <c r="AI298" i="22"/>
  <c r="AH298" i="22" s="1"/>
  <c r="AG298" i="22" s="1"/>
  <c r="AF298" i="22" s="1"/>
  <c r="AD298" i="22" s="1"/>
  <c r="AI290" i="22"/>
  <c r="AH290" i="22" s="1"/>
  <c r="AG290" i="22" s="1"/>
  <c r="AF290" i="22" s="1"/>
  <c r="AD290" i="22" s="1"/>
  <c r="AI282" i="22"/>
  <c r="AH282" i="22" s="1"/>
  <c r="AG282" i="22" s="1"/>
  <c r="AF282" i="22" s="1"/>
  <c r="AD282" i="22" s="1"/>
  <c r="AI274" i="22"/>
  <c r="AH274" i="22" s="1"/>
  <c r="AG274" i="22" s="1"/>
  <c r="AF274" i="22" s="1"/>
  <c r="AD274" i="22" s="1"/>
  <c r="AI266" i="22"/>
  <c r="AH266" i="22" s="1"/>
  <c r="AG266" i="22" s="1"/>
  <c r="AF266" i="22" s="1"/>
  <c r="AD266" i="22" s="1"/>
  <c r="AI258" i="22"/>
  <c r="AH258" i="22" s="1"/>
  <c r="AG258" i="22" s="1"/>
  <c r="AF258" i="22" s="1"/>
  <c r="AD258" i="22" s="1"/>
  <c r="AI250" i="22"/>
  <c r="AH250" i="22" s="1"/>
  <c r="AG250" i="22" s="1"/>
  <c r="AF250" i="22" s="1"/>
  <c r="AD250" i="22" s="1"/>
  <c r="AI242" i="22"/>
  <c r="AH242" i="22" s="1"/>
  <c r="AG242" i="22" s="1"/>
  <c r="AF242" i="22" s="1"/>
  <c r="AD242" i="22" s="1"/>
  <c r="AI234" i="22"/>
  <c r="AH234" i="22" s="1"/>
  <c r="AG234" i="22" s="1"/>
  <c r="AF234" i="22" s="1"/>
  <c r="AD234" i="22" s="1"/>
  <c r="AI226" i="22"/>
  <c r="AH226" i="22" s="1"/>
  <c r="AG226" i="22" s="1"/>
  <c r="AF226" i="22" s="1"/>
  <c r="AD226" i="22" s="1"/>
  <c r="AI218" i="22"/>
  <c r="AH218" i="22" s="1"/>
  <c r="AG218" i="22" s="1"/>
  <c r="AF218" i="22" s="1"/>
  <c r="AD218" i="22" s="1"/>
  <c r="AI210" i="22"/>
  <c r="AH210" i="22" s="1"/>
  <c r="AG210" i="22" s="1"/>
  <c r="AF210" i="22" s="1"/>
  <c r="AD210" i="22" s="1"/>
  <c r="AI202" i="22"/>
  <c r="AH202" i="22" s="1"/>
  <c r="AG202" i="22" s="1"/>
  <c r="AF202" i="22" s="1"/>
  <c r="AD202" i="22" s="1"/>
  <c r="AI194" i="22"/>
  <c r="AH194" i="22" s="1"/>
  <c r="AG194" i="22" s="1"/>
  <c r="AF194" i="22" s="1"/>
  <c r="AD194" i="22" s="1"/>
  <c r="AI186" i="22"/>
  <c r="AH186" i="22" s="1"/>
  <c r="AG186" i="22" s="1"/>
  <c r="AF186" i="22" s="1"/>
  <c r="AD186" i="22" s="1"/>
  <c r="AI178" i="22"/>
  <c r="AH178" i="22" s="1"/>
  <c r="AG178" i="22" s="1"/>
  <c r="AF178" i="22" s="1"/>
  <c r="AD178" i="22" s="1"/>
  <c r="AI170" i="22"/>
  <c r="AH170" i="22" s="1"/>
  <c r="AG170" i="22" s="1"/>
  <c r="AF170" i="22" s="1"/>
  <c r="AD170" i="22" s="1"/>
  <c r="AI162" i="22"/>
  <c r="AH162" i="22" s="1"/>
  <c r="AG162" i="22" s="1"/>
  <c r="AF162" i="22" s="1"/>
  <c r="AD162" i="22" s="1"/>
  <c r="AI154" i="22"/>
  <c r="AH154" i="22" s="1"/>
  <c r="AG154" i="22" s="1"/>
  <c r="AF154" i="22" s="1"/>
  <c r="AD154" i="22" s="1"/>
  <c r="AI146" i="22"/>
  <c r="AH146" i="22" s="1"/>
  <c r="AG146" i="22" s="1"/>
  <c r="AF146" i="22" s="1"/>
  <c r="AD146" i="22" s="1"/>
  <c r="AI138" i="22"/>
  <c r="AH138" i="22" s="1"/>
  <c r="AG138" i="22" s="1"/>
  <c r="AF138" i="22" s="1"/>
  <c r="AD138" i="22" s="1"/>
  <c r="AI130" i="22"/>
  <c r="AH130" i="22" s="1"/>
  <c r="AG130" i="22" s="1"/>
  <c r="AF130" i="22" s="1"/>
  <c r="AD130" i="22" s="1"/>
  <c r="AI122" i="22"/>
  <c r="AH122" i="22" s="1"/>
  <c r="AG122" i="22" s="1"/>
  <c r="AF122" i="22" s="1"/>
  <c r="AD122" i="22" s="1"/>
  <c r="AI114" i="22"/>
  <c r="AH114" i="22" s="1"/>
  <c r="AG114" i="22" s="1"/>
  <c r="AF114" i="22" s="1"/>
  <c r="AD114" i="22" s="1"/>
  <c r="AI106" i="22"/>
  <c r="AH106" i="22" s="1"/>
  <c r="AG106" i="22" s="1"/>
  <c r="AF106" i="22" s="1"/>
  <c r="AD106" i="22" s="1"/>
  <c r="AI373" i="22"/>
  <c r="AH373" i="22" s="1"/>
  <c r="AG373" i="22" s="1"/>
  <c r="AF373" i="22" s="1"/>
  <c r="AD373" i="22" s="1"/>
  <c r="AI365" i="22"/>
  <c r="AH365" i="22" s="1"/>
  <c r="AG365" i="22" s="1"/>
  <c r="AF365" i="22" s="1"/>
  <c r="AD365" i="22" s="1"/>
  <c r="AI357" i="22"/>
  <c r="AH357" i="22" s="1"/>
  <c r="AG357" i="22" s="1"/>
  <c r="AF357" i="22" s="1"/>
  <c r="AD357" i="22" s="1"/>
  <c r="AI349" i="22"/>
  <c r="AH349" i="22" s="1"/>
  <c r="AG349" i="22" s="1"/>
  <c r="AF349" i="22" s="1"/>
  <c r="AD349" i="22" s="1"/>
  <c r="AI341" i="22"/>
  <c r="AH341" i="22" s="1"/>
  <c r="AG341" i="22" s="1"/>
  <c r="AF341" i="22" s="1"/>
  <c r="AD341" i="22" s="1"/>
  <c r="AI333" i="22"/>
  <c r="AH333" i="22" s="1"/>
  <c r="AG333" i="22" s="1"/>
  <c r="AF333" i="22" s="1"/>
  <c r="AD333" i="22" s="1"/>
  <c r="AI325" i="22"/>
  <c r="AH325" i="22" s="1"/>
  <c r="AG325" i="22" s="1"/>
  <c r="AF325" i="22" s="1"/>
  <c r="AD325" i="22" s="1"/>
  <c r="AI317" i="22"/>
  <c r="AH317" i="22" s="1"/>
  <c r="AG317" i="22" s="1"/>
  <c r="AF317" i="22" s="1"/>
  <c r="AD317" i="22" s="1"/>
  <c r="AI309" i="22"/>
  <c r="AH309" i="22" s="1"/>
  <c r="AG309" i="22" s="1"/>
  <c r="AF309" i="22" s="1"/>
  <c r="AD309" i="22" s="1"/>
  <c r="AI301" i="22"/>
  <c r="AH301" i="22" s="1"/>
  <c r="AG301" i="22" s="1"/>
  <c r="AF301" i="22" s="1"/>
  <c r="AD301" i="22" s="1"/>
  <c r="AI293" i="22"/>
  <c r="AH293" i="22" s="1"/>
  <c r="AG293" i="22" s="1"/>
  <c r="AF293" i="22" s="1"/>
  <c r="AD293" i="22" s="1"/>
  <c r="AI285" i="22"/>
  <c r="AH285" i="22" s="1"/>
  <c r="AG285" i="22" s="1"/>
  <c r="AF285" i="22" s="1"/>
  <c r="AD285" i="22" s="1"/>
  <c r="AI277" i="22"/>
  <c r="AH277" i="22" s="1"/>
  <c r="AG277" i="22" s="1"/>
  <c r="AF277" i="22" s="1"/>
  <c r="AD277" i="22" s="1"/>
  <c r="AI269" i="22"/>
  <c r="AH269" i="22" s="1"/>
  <c r="AG269" i="22" s="1"/>
  <c r="AF269" i="22" s="1"/>
  <c r="AD269" i="22" s="1"/>
  <c r="AI261" i="22"/>
  <c r="AH261" i="22" s="1"/>
  <c r="AG261" i="22" s="1"/>
  <c r="AF261" i="22" s="1"/>
  <c r="AD261" i="22" s="1"/>
  <c r="AI253" i="22"/>
  <c r="AH253" i="22" s="1"/>
  <c r="AG253" i="22" s="1"/>
  <c r="AF253" i="22" s="1"/>
  <c r="AD253" i="22" s="1"/>
  <c r="AI245" i="22"/>
  <c r="AH245" i="22" s="1"/>
  <c r="AG245" i="22" s="1"/>
  <c r="AF245" i="22" s="1"/>
  <c r="AD245" i="22" s="1"/>
  <c r="AI237" i="22"/>
  <c r="AH237" i="22" s="1"/>
  <c r="AG237" i="22" s="1"/>
  <c r="AF237" i="22" s="1"/>
  <c r="AD237" i="22" s="1"/>
  <c r="AI229" i="22"/>
  <c r="AH229" i="22" s="1"/>
  <c r="AG229" i="22" s="1"/>
  <c r="AF229" i="22" s="1"/>
  <c r="AD229" i="22" s="1"/>
  <c r="AI221" i="22"/>
  <c r="AH221" i="22" s="1"/>
  <c r="AG221" i="22" s="1"/>
  <c r="AF221" i="22" s="1"/>
  <c r="AD221" i="22" s="1"/>
  <c r="AI213" i="22"/>
  <c r="AH213" i="22" s="1"/>
  <c r="AG213" i="22" s="1"/>
  <c r="AF213" i="22" s="1"/>
  <c r="AD213" i="22" s="1"/>
  <c r="AI205" i="22"/>
  <c r="AH205" i="22" s="1"/>
  <c r="AG205" i="22" s="1"/>
  <c r="AF205" i="22" s="1"/>
  <c r="AD205" i="22" s="1"/>
  <c r="AI197" i="22"/>
  <c r="AH197" i="22" s="1"/>
  <c r="AG197" i="22" s="1"/>
  <c r="AF197" i="22" s="1"/>
  <c r="AD197" i="22" s="1"/>
  <c r="AI189" i="22"/>
  <c r="AH189" i="22" s="1"/>
  <c r="AG189" i="22" s="1"/>
  <c r="AF189" i="22" s="1"/>
  <c r="AD189" i="22" s="1"/>
  <c r="AI181" i="22"/>
  <c r="AH181" i="22" s="1"/>
  <c r="AG181" i="22" s="1"/>
  <c r="AF181" i="22" s="1"/>
  <c r="AD181" i="22" s="1"/>
  <c r="AI173" i="22"/>
  <c r="AH173" i="22" s="1"/>
  <c r="AG173" i="22" s="1"/>
  <c r="AF173" i="22" s="1"/>
  <c r="AD173" i="22" s="1"/>
  <c r="AI165" i="22"/>
  <c r="AH165" i="22" s="1"/>
  <c r="AG165" i="22" s="1"/>
  <c r="AF165" i="22" s="1"/>
  <c r="AD165" i="22" s="1"/>
  <c r="AI157" i="22"/>
  <c r="AH157" i="22" s="1"/>
  <c r="AG157" i="22" s="1"/>
  <c r="AF157" i="22" s="1"/>
  <c r="AD157" i="22" s="1"/>
  <c r="AI149" i="22"/>
  <c r="AH149" i="22" s="1"/>
  <c r="AG149" i="22" s="1"/>
  <c r="AF149" i="22" s="1"/>
  <c r="AD149" i="22" s="1"/>
  <c r="AI141" i="22"/>
  <c r="AH141" i="22" s="1"/>
  <c r="AG141" i="22" s="1"/>
  <c r="AF141" i="22" s="1"/>
  <c r="AD141" i="22" s="1"/>
  <c r="AI133" i="22"/>
  <c r="AH133" i="22" s="1"/>
  <c r="AG133" i="22" s="1"/>
  <c r="AF133" i="22" s="1"/>
  <c r="AD133" i="22" s="1"/>
  <c r="AI125" i="22"/>
  <c r="AH125" i="22" s="1"/>
  <c r="AG125" i="22" s="1"/>
  <c r="AF125" i="22" s="1"/>
  <c r="AD125" i="22" s="1"/>
  <c r="AI117" i="22"/>
  <c r="AH117" i="22" s="1"/>
  <c r="AG117" i="22" s="1"/>
  <c r="AF117" i="22" s="1"/>
  <c r="AD117" i="22" s="1"/>
  <c r="AI109" i="22"/>
  <c r="AH109" i="22" s="1"/>
  <c r="AG109" i="22" s="1"/>
  <c r="AF109" i="22" s="1"/>
  <c r="AD109" i="22" s="1"/>
  <c r="AI376" i="22"/>
  <c r="AH376" i="22" s="1"/>
  <c r="AG376" i="22" s="1"/>
  <c r="AF376" i="22" s="1"/>
  <c r="AD376" i="22" s="1"/>
  <c r="AI368" i="22"/>
  <c r="AH368" i="22" s="1"/>
  <c r="AG368" i="22" s="1"/>
  <c r="AF368" i="22" s="1"/>
  <c r="AD368" i="22" s="1"/>
  <c r="AI360" i="22"/>
  <c r="AH360" i="22" s="1"/>
  <c r="AG360" i="22" s="1"/>
  <c r="AF360" i="22" s="1"/>
  <c r="AD360" i="22" s="1"/>
  <c r="AI352" i="22"/>
  <c r="AH352" i="22" s="1"/>
  <c r="AG352" i="22" s="1"/>
  <c r="AF352" i="22" s="1"/>
  <c r="AD352" i="22" s="1"/>
  <c r="AI344" i="22"/>
  <c r="AH344" i="22" s="1"/>
  <c r="AG344" i="22" s="1"/>
  <c r="AF344" i="22" s="1"/>
  <c r="AD344" i="22" s="1"/>
  <c r="AI336" i="22"/>
  <c r="AH336" i="22" s="1"/>
  <c r="AG336" i="22" s="1"/>
  <c r="AF336" i="22" s="1"/>
  <c r="AD336" i="22" s="1"/>
  <c r="AI328" i="22"/>
  <c r="AH328" i="22" s="1"/>
  <c r="AG328" i="22" s="1"/>
  <c r="AF328" i="22" s="1"/>
  <c r="AD328" i="22" s="1"/>
  <c r="AI320" i="22"/>
  <c r="AH320" i="22" s="1"/>
  <c r="AG320" i="22" s="1"/>
  <c r="AF320" i="22" s="1"/>
  <c r="AD320" i="22" s="1"/>
  <c r="AI312" i="22"/>
  <c r="AH312" i="22" s="1"/>
  <c r="AG312" i="22" s="1"/>
  <c r="AF312" i="22" s="1"/>
  <c r="AD312" i="22" s="1"/>
  <c r="AI304" i="22"/>
  <c r="AH304" i="22" s="1"/>
  <c r="AG304" i="22" s="1"/>
  <c r="AF304" i="22" s="1"/>
  <c r="AD304" i="22" s="1"/>
  <c r="AI296" i="22"/>
  <c r="AH296" i="22" s="1"/>
  <c r="AG296" i="22" s="1"/>
  <c r="AF296" i="22" s="1"/>
  <c r="AD296" i="22" s="1"/>
  <c r="AI288" i="22"/>
  <c r="AH288" i="22" s="1"/>
  <c r="AG288" i="22" s="1"/>
  <c r="AF288" i="22" s="1"/>
  <c r="AD288" i="22" s="1"/>
  <c r="AI280" i="22"/>
  <c r="AH280" i="22" s="1"/>
  <c r="AG280" i="22" s="1"/>
  <c r="AF280" i="22" s="1"/>
  <c r="AD280" i="22" s="1"/>
  <c r="AI272" i="22"/>
  <c r="AH272" i="22" s="1"/>
  <c r="AG272" i="22" s="1"/>
  <c r="AF272" i="22" s="1"/>
  <c r="AD272" i="22" s="1"/>
  <c r="AI264" i="22"/>
  <c r="AH264" i="22" s="1"/>
  <c r="AG264" i="22" s="1"/>
  <c r="AF264" i="22" s="1"/>
  <c r="AD264" i="22" s="1"/>
  <c r="AI256" i="22"/>
  <c r="AH256" i="22" s="1"/>
  <c r="AG256" i="22" s="1"/>
  <c r="AF256" i="22" s="1"/>
  <c r="AD256" i="22" s="1"/>
  <c r="AI248" i="22"/>
  <c r="AH248" i="22" s="1"/>
  <c r="AG248" i="22" s="1"/>
  <c r="AF248" i="22" s="1"/>
  <c r="AD248" i="22" s="1"/>
  <c r="AI240" i="22"/>
  <c r="AH240" i="22" s="1"/>
  <c r="AG240" i="22" s="1"/>
  <c r="AF240" i="22" s="1"/>
  <c r="AD240" i="22" s="1"/>
  <c r="I37" i="19"/>
  <c r="H37" i="19"/>
  <c r="Q357" i="24"/>
  <c r="AH32" i="7"/>
  <c r="Q293" i="24"/>
  <c r="AD381" i="18"/>
  <c r="AD383" i="18"/>
  <c r="AD382" i="18"/>
  <c r="Q325" i="24"/>
  <c r="Q261" i="24"/>
  <c r="Q373" i="24"/>
  <c r="Q341" i="24"/>
  <c r="Q309" i="24"/>
  <c r="Q277" i="24"/>
  <c r="Q245" i="24"/>
  <c r="AE11" i="24"/>
  <c r="Q365" i="24"/>
  <c r="Q349" i="24"/>
  <c r="Q333" i="24"/>
  <c r="Q317" i="24"/>
  <c r="Q301" i="24"/>
  <c r="Q285" i="24"/>
  <c r="Q269" i="24"/>
  <c r="Q253" i="24"/>
  <c r="Q208" i="24"/>
  <c r="Q377" i="24"/>
  <c r="Q369" i="24"/>
  <c r="Q361" i="24"/>
  <c r="Q353" i="24"/>
  <c r="Q345" i="24"/>
  <c r="Q337" i="24"/>
  <c r="Q329" i="24"/>
  <c r="Q321" i="24"/>
  <c r="Q313" i="24"/>
  <c r="Q305" i="24"/>
  <c r="Q297" i="24"/>
  <c r="Q289" i="24"/>
  <c r="Q281" i="24"/>
  <c r="Q273" i="24"/>
  <c r="Q265" i="24"/>
  <c r="Q257" i="24"/>
  <c r="Q249" i="24"/>
  <c r="Q232" i="24"/>
  <c r="Q144" i="24"/>
  <c r="Q379" i="24"/>
  <c r="Q12" i="25" s="1"/>
  <c r="Q375" i="24"/>
  <c r="Q371" i="24"/>
  <c r="Q367" i="24"/>
  <c r="Q363" i="24"/>
  <c r="Q359" i="24"/>
  <c r="Q355" i="24"/>
  <c r="Q351" i="24"/>
  <c r="Q347" i="24"/>
  <c r="Q343" i="24"/>
  <c r="Q339" i="24"/>
  <c r="Q335" i="24"/>
  <c r="Q331" i="24"/>
  <c r="Q327" i="24"/>
  <c r="Q323" i="24"/>
  <c r="Q319" i="24"/>
  <c r="Q315" i="24"/>
  <c r="Q311" i="24"/>
  <c r="Q307" i="24"/>
  <c r="Q303" i="24"/>
  <c r="Q299" i="24"/>
  <c r="Q295" i="24"/>
  <c r="Q291" i="24"/>
  <c r="Q287" i="24"/>
  <c r="Q283" i="24"/>
  <c r="Q279" i="24"/>
  <c r="Q275" i="24"/>
  <c r="Q271" i="24"/>
  <c r="Q267" i="24"/>
  <c r="Q263" i="24"/>
  <c r="Q259" i="24"/>
  <c r="Q255" i="24"/>
  <c r="Q251" i="24"/>
  <c r="Q247" i="24"/>
  <c r="Q240" i="24"/>
  <c r="Q224" i="24"/>
  <c r="Q176" i="24"/>
  <c r="Q112" i="24"/>
  <c r="V363" i="22"/>
  <c r="AH43" i="7"/>
  <c r="AN16" i="7"/>
  <c r="AT11" i="7" s="1"/>
  <c r="U11" i="23" s="1"/>
  <c r="U12" i="23"/>
  <c r="T379" i="22"/>
  <c r="S379" i="22" s="1"/>
  <c r="R379" i="22" s="1"/>
  <c r="P379" i="22" s="1"/>
  <c r="V88" i="22"/>
  <c r="D67" i="19" s="1"/>
  <c r="AH34" i="7"/>
  <c r="V272" i="22"/>
  <c r="J67" i="19" s="1"/>
  <c r="AH40" i="7"/>
  <c r="AH39" i="7"/>
  <c r="V241" i="22"/>
  <c r="I67" i="19" s="1"/>
  <c r="AH41" i="7"/>
  <c r="V302" i="22"/>
  <c r="K67" i="19" s="1"/>
  <c r="AH42" i="7"/>
  <c r="V333" i="22"/>
  <c r="L67" i="19" s="1"/>
  <c r="U383" i="22"/>
  <c r="U381" i="22"/>
  <c r="U382" i="22"/>
  <c r="T15" i="22"/>
  <c r="AH33" i="7"/>
  <c r="V60" i="22"/>
  <c r="C67" i="19" s="1"/>
  <c r="V180" i="22"/>
  <c r="G67" i="19" s="1"/>
  <c r="AH37" i="7"/>
  <c r="Q243" i="24"/>
  <c r="Q236" i="24"/>
  <c r="Q228" i="24"/>
  <c r="Q220" i="24"/>
  <c r="Q192" i="24"/>
  <c r="Q160" i="24"/>
  <c r="Q128" i="24"/>
  <c r="Q96" i="24"/>
  <c r="Q80" i="24"/>
  <c r="AH15" i="22"/>
  <c r="AI12" i="23"/>
  <c r="AH379" i="22"/>
  <c r="AG379" i="22" s="1"/>
  <c r="AF379" i="22" s="1"/>
  <c r="AD379" i="22" s="1"/>
  <c r="Q216" i="24"/>
  <c r="Q200" i="24"/>
  <c r="Q184" i="24"/>
  <c r="Q168" i="24"/>
  <c r="Q152" i="24"/>
  <c r="Q136" i="24"/>
  <c r="Q120" i="24"/>
  <c r="Q104" i="24"/>
  <c r="Q88" i="24"/>
  <c r="Q64" i="24"/>
  <c r="AG382" i="20"/>
  <c r="AG381" i="20"/>
  <c r="AG383" i="20"/>
  <c r="AF15" i="20"/>
  <c r="M65" i="19"/>
  <c r="N65" i="19" s="1"/>
  <c r="V380" i="18"/>
  <c r="V381" i="18" s="1"/>
  <c r="S383" i="20"/>
  <c r="S381" i="20"/>
  <c r="S382" i="20"/>
  <c r="R15" i="20"/>
  <c r="Q72" i="24"/>
  <c r="Q5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H67" i="19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AI382" i="22" l="1"/>
  <c r="AI381" i="22"/>
  <c r="AI383" i="22"/>
  <c r="V379" i="22"/>
  <c r="D41" i="19"/>
  <c r="AS16" i="7"/>
  <c r="T382" i="22"/>
  <c r="T383" i="22"/>
  <c r="S15" i="22"/>
  <c r="T381" i="22"/>
  <c r="U10" i="23"/>
  <c r="AI91" i="23" s="1"/>
  <c r="AH91" i="23" s="1"/>
  <c r="AG91" i="23" s="1"/>
  <c r="AF91" i="23" s="1"/>
  <c r="AD91" i="23" s="1"/>
  <c r="M67" i="19"/>
  <c r="Q383" i="24"/>
  <c r="V383" i="18"/>
  <c r="V382" i="18"/>
  <c r="AD15" i="20"/>
  <c r="AF381" i="20"/>
  <c r="AF382" i="20"/>
  <c r="AF383" i="20"/>
  <c r="AH383" i="22"/>
  <c r="AH382" i="22"/>
  <c r="AG15" i="22"/>
  <c r="AH381" i="22"/>
  <c r="Q381" i="24"/>
  <c r="R383" i="20"/>
  <c r="P15" i="20"/>
  <c r="R382" i="20"/>
  <c r="R381" i="20"/>
  <c r="AI35" i="23"/>
  <c r="Q382" i="24"/>
  <c r="AE381" i="24"/>
  <c r="AE382" i="24"/>
  <c r="AE383" i="24"/>
  <c r="BE15" i="7"/>
  <c r="Q10" i="25"/>
  <c r="BG15" i="7" s="1"/>
  <c r="AI11" i="23" l="1"/>
  <c r="AI211" i="23" s="1"/>
  <c r="AH211" i="23" s="1"/>
  <c r="AG211" i="23" s="1"/>
  <c r="AF211" i="23" s="1"/>
  <c r="AD211" i="23" s="1"/>
  <c r="Q363" i="25"/>
  <c r="Q315" i="25"/>
  <c r="Q379" i="25"/>
  <c r="BF15" i="7" s="1"/>
  <c r="Q347" i="25"/>
  <c r="Q283" i="25"/>
  <c r="Q331" i="25"/>
  <c r="Q299" i="25"/>
  <c r="Q259" i="25"/>
  <c r="Q371" i="25"/>
  <c r="Q355" i="25"/>
  <c r="Q339" i="25"/>
  <c r="Q323" i="25"/>
  <c r="Q307" i="25"/>
  <c r="Q291" i="25"/>
  <c r="Q275" i="25"/>
  <c r="Q243" i="25"/>
  <c r="Q267" i="25"/>
  <c r="Q251" i="25"/>
  <c r="Q227" i="25"/>
  <c r="Q235" i="25"/>
  <c r="Q215" i="25"/>
  <c r="Q375" i="25"/>
  <c r="Q367" i="25"/>
  <c r="Q359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07" i="25"/>
  <c r="AI315" i="23"/>
  <c r="AH315" i="23" s="1"/>
  <c r="AG315" i="23" s="1"/>
  <c r="AF315" i="23" s="1"/>
  <c r="AD315" i="23" s="1"/>
  <c r="AI179" i="23"/>
  <c r="AH179" i="23" s="1"/>
  <c r="AG179" i="23" s="1"/>
  <c r="AF179" i="23" s="1"/>
  <c r="AD179" i="23" s="1"/>
  <c r="AI64" i="23"/>
  <c r="AH64" i="23" s="1"/>
  <c r="AG64" i="23" s="1"/>
  <c r="AF64" i="23" s="1"/>
  <c r="AD64" i="23" s="1"/>
  <c r="AI187" i="23"/>
  <c r="AH187" i="23" s="1"/>
  <c r="AG187" i="23" s="1"/>
  <c r="AF187" i="23" s="1"/>
  <c r="AD187" i="23" s="1"/>
  <c r="AI323" i="23"/>
  <c r="AH323" i="23" s="1"/>
  <c r="AG323" i="23" s="1"/>
  <c r="AF323" i="23" s="1"/>
  <c r="AD323" i="23" s="1"/>
  <c r="AI331" i="23"/>
  <c r="AH331" i="23" s="1"/>
  <c r="AG331" i="23" s="1"/>
  <c r="AF331" i="23" s="1"/>
  <c r="AD331" i="23" s="1"/>
  <c r="AI131" i="23"/>
  <c r="AH131" i="23" s="1"/>
  <c r="AG131" i="23" s="1"/>
  <c r="AF131" i="23" s="1"/>
  <c r="AD131" i="23" s="1"/>
  <c r="AI351" i="23"/>
  <c r="AH351" i="23" s="1"/>
  <c r="AG351" i="23" s="1"/>
  <c r="AF351" i="23" s="1"/>
  <c r="AD351" i="23" s="1"/>
  <c r="AI251" i="23"/>
  <c r="AH251" i="23" s="1"/>
  <c r="AG251" i="23" s="1"/>
  <c r="AF251" i="23" s="1"/>
  <c r="AD251" i="23" s="1"/>
  <c r="AI123" i="23"/>
  <c r="AH123" i="23" s="1"/>
  <c r="AG123" i="23" s="1"/>
  <c r="AF123" i="23" s="1"/>
  <c r="AD123" i="23" s="1"/>
  <c r="Q219" i="25"/>
  <c r="Q211" i="25"/>
  <c r="Q203" i="25"/>
  <c r="AI355" i="23"/>
  <c r="AH355" i="23" s="1"/>
  <c r="AG355" i="23" s="1"/>
  <c r="AF355" i="23" s="1"/>
  <c r="AD355" i="23" s="1"/>
  <c r="AI259" i="23"/>
  <c r="AH259" i="23" s="1"/>
  <c r="AG259" i="23" s="1"/>
  <c r="AF259" i="23" s="1"/>
  <c r="AD259" i="23" s="1"/>
  <c r="AI363" i="23"/>
  <c r="AH363" i="23" s="1"/>
  <c r="AG363" i="23" s="1"/>
  <c r="AF363" i="23" s="1"/>
  <c r="AD363" i="23" s="1"/>
  <c r="AI275" i="23"/>
  <c r="AH275" i="23" s="1"/>
  <c r="AG275" i="23" s="1"/>
  <c r="AF275" i="23" s="1"/>
  <c r="AD275" i="23" s="1"/>
  <c r="AI163" i="23"/>
  <c r="AH163" i="23" s="1"/>
  <c r="AG163" i="23" s="1"/>
  <c r="AF163" i="23" s="1"/>
  <c r="AD163" i="23" s="1"/>
  <c r="AI99" i="23"/>
  <c r="AH99" i="23" s="1"/>
  <c r="AG99" i="23" s="1"/>
  <c r="AF99" i="23" s="1"/>
  <c r="AD99" i="23" s="1"/>
  <c r="AI367" i="23"/>
  <c r="AH367" i="23" s="1"/>
  <c r="AG367" i="23" s="1"/>
  <c r="AF367" i="23" s="1"/>
  <c r="AD367" i="23" s="1"/>
  <c r="AI335" i="23"/>
  <c r="AH335" i="23" s="1"/>
  <c r="AG335" i="23" s="1"/>
  <c r="AF335" i="23" s="1"/>
  <c r="AD335" i="23" s="1"/>
  <c r="AI283" i="23"/>
  <c r="AH283" i="23" s="1"/>
  <c r="AG283" i="23" s="1"/>
  <c r="AF283" i="23" s="1"/>
  <c r="AD283" i="23" s="1"/>
  <c r="AI219" i="23"/>
  <c r="AH219" i="23" s="1"/>
  <c r="AG219" i="23" s="1"/>
  <c r="AF219" i="23" s="1"/>
  <c r="AD219" i="23" s="1"/>
  <c r="AI155" i="23"/>
  <c r="AH155" i="23" s="1"/>
  <c r="AG155" i="23" s="1"/>
  <c r="AF155" i="23" s="1"/>
  <c r="AD155" i="23" s="1"/>
  <c r="Q191" i="25"/>
  <c r="Q199" i="25"/>
  <c r="Q183" i="25"/>
  <c r="Q195" i="25"/>
  <c r="Q187" i="25"/>
  <c r="Q177" i="25"/>
  <c r="Q161" i="25"/>
  <c r="Q169" i="25"/>
  <c r="Q145" i="25"/>
  <c r="Q153" i="25"/>
  <c r="Q137" i="25"/>
  <c r="Q121" i="25"/>
  <c r="Q105" i="25"/>
  <c r="Q129" i="25"/>
  <c r="Q113" i="25"/>
  <c r="Q81" i="25"/>
  <c r="Q97" i="25"/>
  <c r="Q65" i="25"/>
  <c r="U54" i="23"/>
  <c r="T54" i="23" s="1"/>
  <c r="S54" i="23" s="1"/>
  <c r="R54" i="23" s="1"/>
  <c r="P54" i="23" s="1"/>
  <c r="V54" i="23" s="1"/>
  <c r="AI377" i="23"/>
  <c r="AH377" i="23" s="1"/>
  <c r="AG377" i="23" s="1"/>
  <c r="AF377" i="23" s="1"/>
  <c r="AD377" i="23" s="1"/>
  <c r="AI369" i="23"/>
  <c r="AH369" i="23" s="1"/>
  <c r="AG369" i="23" s="1"/>
  <c r="AF369" i="23" s="1"/>
  <c r="AD369" i="23" s="1"/>
  <c r="AI361" i="23"/>
  <c r="AH361" i="23" s="1"/>
  <c r="AG361" i="23" s="1"/>
  <c r="AF361" i="23" s="1"/>
  <c r="AD361" i="23" s="1"/>
  <c r="AI353" i="23"/>
  <c r="AH353" i="23" s="1"/>
  <c r="AG353" i="23" s="1"/>
  <c r="AF353" i="23" s="1"/>
  <c r="AD353" i="23" s="1"/>
  <c r="AI345" i="23"/>
  <c r="AH345" i="23" s="1"/>
  <c r="AG345" i="23" s="1"/>
  <c r="AF345" i="23" s="1"/>
  <c r="AD345" i="23" s="1"/>
  <c r="AI337" i="23"/>
  <c r="AH337" i="23" s="1"/>
  <c r="AG337" i="23" s="1"/>
  <c r="AF337" i="23" s="1"/>
  <c r="AD337" i="23" s="1"/>
  <c r="AI329" i="23"/>
  <c r="AH329" i="23" s="1"/>
  <c r="AG329" i="23" s="1"/>
  <c r="AF329" i="23" s="1"/>
  <c r="AD329" i="23" s="1"/>
  <c r="AI319" i="23"/>
  <c r="AH319" i="23" s="1"/>
  <c r="AG319" i="23" s="1"/>
  <c r="AF319" i="23" s="1"/>
  <c r="AD319" i="23" s="1"/>
  <c r="AI303" i="23"/>
  <c r="AH303" i="23" s="1"/>
  <c r="AG303" i="23" s="1"/>
  <c r="AF303" i="23" s="1"/>
  <c r="AD303" i="23" s="1"/>
  <c r="AI287" i="23"/>
  <c r="AH287" i="23" s="1"/>
  <c r="AG287" i="23" s="1"/>
  <c r="AF287" i="23" s="1"/>
  <c r="AD287" i="23" s="1"/>
  <c r="AI271" i="23"/>
  <c r="AH271" i="23" s="1"/>
  <c r="AG271" i="23" s="1"/>
  <c r="AF271" i="23" s="1"/>
  <c r="AD271" i="23" s="1"/>
  <c r="AI255" i="23"/>
  <c r="AH255" i="23" s="1"/>
  <c r="AG255" i="23" s="1"/>
  <c r="AF255" i="23" s="1"/>
  <c r="AD255" i="23" s="1"/>
  <c r="AI239" i="23"/>
  <c r="AH239" i="23" s="1"/>
  <c r="AG239" i="23" s="1"/>
  <c r="AF239" i="23" s="1"/>
  <c r="AD239" i="23" s="1"/>
  <c r="AI223" i="23"/>
  <c r="AH223" i="23" s="1"/>
  <c r="AG223" i="23" s="1"/>
  <c r="AF223" i="23" s="1"/>
  <c r="AD223" i="23" s="1"/>
  <c r="AI207" i="23"/>
  <c r="AH207" i="23" s="1"/>
  <c r="AG207" i="23" s="1"/>
  <c r="AF207" i="23" s="1"/>
  <c r="AD207" i="23" s="1"/>
  <c r="AI191" i="23"/>
  <c r="AH191" i="23" s="1"/>
  <c r="AG191" i="23" s="1"/>
  <c r="AF191" i="23" s="1"/>
  <c r="AD191" i="23" s="1"/>
  <c r="AI175" i="23"/>
  <c r="AH175" i="23" s="1"/>
  <c r="AG175" i="23" s="1"/>
  <c r="AF175" i="23" s="1"/>
  <c r="AD175" i="23" s="1"/>
  <c r="AI159" i="23"/>
  <c r="AH159" i="23" s="1"/>
  <c r="AG159" i="23" s="1"/>
  <c r="AF159" i="23" s="1"/>
  <c r="AD159" i="23" s="1"/>
  <c r="AI143" i="23"/>
  <c r="AH143" i="23" s="1"/>
  <c r="AG143" i="23" s="1"/>
  <c r="AF143" i="23" s="1"/>
  <c r="AD143" i="23" s="1"/>
  <c r="AI127" i="23"/>
  <c r="AH127" i="23" s="1"/>
  <c r="AG127" i="23" s="1"/>
  <c r="AF127" i="23" s="1"/>
  <c r="AD127" i="23" s="1"/>
  <c r="AI111" i="23"/>
  <c r="AH111" i="23" s="1"/>
  <c r="AG111" i="23" s="1"/>
  <c r="AF111" i="23" s="1"/>
  <c r="AD111" i="23" s="1"/>
  <c r="AI95" i="23"/>
  <c r="AH95" i="23" s="1"/>
  <c r="AG95" i="23" s="1"/>
  <c r="AF95" i="23" s="1"/>
  <c r="AD95" i="23" s="1"/>
  <c r="AI79" i="23"/>
  <c r="AH79" i="23" s="1"/>
  <c r="AG79" i="23" s="1"/>
  <c r="AF79" i="23" s="1"/>
  <c r="AD79" i="23" s="1"/>
  <c r="AI51" i="23"/>
  <c r="AH51" i="23" s="1"/>
  <c r="AG51" i="23" s="1"/>
  <c r="AF51" i="23" s="1"/>
  <c r="AD51" i="23" s="1"/>
  <c r="U375" i="23"/>
  <c r="T375" i="23" s="1"/>
  <c r="S375" i="23" s="1"/>
  <c r="R375" i="23" s="1"/>
  <c r="P375" i="23" s="1"/>
  <c r="V375" i="23" s="1"/>
  <c r="U311" i="23"/>
  <c r="T311" i="23" s="1"/>
  <c r="S311" i="23" s="1"/>
  <c r="R311" i="23" s="1"/>
  <c r="P311" i="23" s="1"/>
  <c r="V311" i="23" s="1"/>
  <c r="U247" i="23"/>
  <c r="T247" i="23" s="1"/>
  <c r="S247" i="23" s="1"/>
  <c r="R247" i="23" s="1"/>
  <c r="P247" i="23" s="1"/>
  <c r="V247" i="23" s="1"/>
  <c r="U182" i="23"/>
  <c r="T182" i="23" s="1"/>
  <c r="S182" i="23" s="1"/>
  <c r="R182" i="23" s="1"/>
  <c r="P182" i="23" s="1"/>
  <c r="V182" i="23" s="1"/>
  <c r="U26" i="23"/>
  <c r="T26" i="23" s="1"/>
  <c r="S26" i="23" s="1"/>
  <c r="R26" i="23" s="1"/>
  <c r="P26" i="23" s="1"/>
  <c r="V26" i="23" s="1"/>
  <c r="U42" i="23"/>
  <c r="T42" i="23" s="1"/>
  <c r="S42" i="23" s="1"/>
  <c r="R42" i="23" s="1"/>
  <c r="P42" i="23" s="1"/>
  <c r="V42" i="23" s="1"/>
  <c r="U58" i="23"/>
  <c r="T58" i="23" s="1"/>
  <c r="S58" i="23" s="1"/>
  <c r="R58" i="23" s="1"/>
  <c r="P58" i="23" s="1"/>
  <c r="V58" i="23" s="1"/>
  <c r="U74" i="23"/>
  <c r="T74" i="23" s="1"/>
  <c r="S74" i="23" s="1"/>
  <c r="R74" i="23" s="1"/>
  <c r="P74" i="23" s="1"/>
  <c r="V74" i="23" s="1"/>
  <c r="U90" i="23"/>
  <c r="T90" i="23" s="1"/>
  <c r="S90" i="23" s="1"/>
  <c r="R90" i="23" s="1"/>
  <c r="P90" i="23" s="1"/>
  <c r="V90" i="23" s="1"/>
  <c r="U106" i="23"/>
  <c r="T106" i="23" s="1"/>
  <c r="S106" i="23" s="1"/>
  <c r="R106" i="23" s="1"/>
  <c r="P106" i="23" s="1"/>
  <c r="V106" i="23" s="1"/>
  <c r="U122" i="23"/>
  <c r="T122" i="23" s="1"/>
  <c r="S122" i="23" s="1"/>
  <c r="R122" i="23" s="1"/>
  <c r="P122" i="23" s="1"/>
  <c r="V122" i="23" s="1"/>
  <c r="U138" i="23"/>
  <c r="T138" i="23" s="1"/>
  <c r="S138" i="23" s="1"/>
  <c r="R138" i="23" s="1"/>
  <c r="P138" i="23" s="1"/>
  <c r="V138" i="23" s="1"/>
  <c r="U154" i="23"/>
  <c r="T154" i="23" s="1"/>
  <c r="S154" i="23" s="1"/>
  <c r="R154" i="23" s="1"/>
  <c r="P154" i="23" s="1"/>
  <c r="V154" i="23" s="1"/>
  <c r="U170" i="23"/>
  <c r="T170" i="23" s="1"/>
  <c r="S170" i="23" s="1"/>
  <c r="R170" i="23" s="1"/>
  <c r="P170" i="23" s="1"/>
  <c r="V170" i="23" s="1"/>
  <c r="U185" i="23"/>
  <c r="T185" i="23" s="1"/>
  <c r="S185" i="23" s="1"/>
  <c r="R185" i="23" s="1"/>
  <c r="P185" i="23" s="1"/>
  <c r="V185" i="23" s="1"/>
  <c r="U193" i="23"/>
  <c r="T193" i="23" s="1"/>
  <c r="S193" i="23" s="1"/>
  <c r="R193" i="23" s="1"/>
  <c r="P193" i="23" s="1"/>
  <c r="V193" i="23" s="1"/>
  <c r="U201" i="23"/>
  <c r="T201" i="23" s="1"/>
  <c r="S201" i="23" s="1"/>
  <c r="R201" i="23" s="1"/>
  <c r="P201" i="23" s="1"/>
  <c r="V201" i="23" s="1"/>
  <c r="U209" i="23"/>
  <c r="T209" i="23" s="1"/>
  <c r="S209" i="23" s="1"/>
  <c r="R209" i="23" s="1"/>
  <c r="P209" i="23" s="1"/>
  <c r="V209" i="23" s="1"/>
  <c r="U217" i="23"/>
  <c r="T217" i="23" s="1"/>
  <c r="S217" i="23" s="1"/>
  <c r="R217" i="23" s="1"/>
  <c r="P217" i="23" s="1"/>
  <c r="V217" i="23" s="1"/>
  <c r="U225" i="23"/>
  <c r="T225" i="23" s="1"/>
  <c r="S225" i="23" s="1"/>
  <c r="R225" i="23" s="1"/>
  <c r="P225" i="23" s="1"/>
  <c r="V225" i="23" s="1"/>
  <c r="U233" i="23"/>
  <c r="T233" i="23" s="1"/>
  <c r="S233" i="23" s="1"/>
  <c r="R233" i="23" s="1"/>
  <c r="P233" i="23" s="1"/>
  <c r="V233" i="23" s="1"/>
  <c r="U241" i="23"/>
  <c r="T241" i="23" s="1"/>
  <c r="S241" i="23" s="1"/>
  <c r="R241" i="23" s="1"/>
  <c r="P241" i="23" s="1"/>
  <c r="U249" i="23"/>
  <c r="T249" i="23" s="1"/>
  <c r="S249" i="23" s="1"/>
  <c r="R249" i="23" s="1"/>
  <c r="P249" i="23" s="1"/>
  <c r="V249" i="23" s="1"/>
  <c r="U257" i="23"/>
  <c r="T257" i="23" s="1"/>
  <c r="S257" i="23" s="1"/>
  <c r="R257" i="23" s="1"/>
  <c r="P257" i="23" s="1"/>
  <c r="V257" i="23" s="1"/>
  <c r="U265" i="23"/>
  <c r="T265" i="23" s="1"/>
  <c r="S265" i="23" s="1"/>
  <c r="R265" i="23" s="1"/>
  <c r="P265" i="23" s="1"/>
  <c r="V265" i="23" s="1"/>
  <c r="U273" i="23"/>
  <c r="T273" i="23" s="1"/>
  <c r="S273" i="23" s="1"/>
  <c r="R273" i="23" s="1"/>
  <c r="P273" i="23" s="1"/>
  <c r="V273" i="23" s="1"/>
  <c r="U281" i="23"/>
  <c r="T281" i="23" s="1"/>
  <c r="S281" i="23" s="1"/>
  <c r="R281" i="23" s="1"/>
  <c r="P281" i="23" s="1"/>
  <c r="V281" i="23" s="1"/>
  <c r="U289" i="23"/>
  <c r="T289" i="23" s="1"/>
  <c r="S289" i="23" s="1"/>
  <c r="R289" i="23" s="1"/>
  <c r="P289" i="23" s="1"/>
  <c r="V289" i="23" s="1"/>
  <c r="U297" i="23"/>
  <c r="T297" i="23" s="1"/>
  <c r="S297" i="23" s="1"/>
  <c r="R297" i="23" s="1"/>
  <c r="P297" i="23" s="1"/>
  <c r="V297" i="23" s="1"/>
  <c r="U305" i="23"/>
  <c r="T305" i="23" s="1"/>
  <c r="S305" i="23" s="1"/>
  <c r="R305" i="23" s="1"/>
  <c r="P305" i="23" s="1"/>
  <c r="V305" i="23" s="1"/>
  <c r="U313" i="23"/>
  <c r="T313" i="23" s="1"/>
  <c r="S313" i="23" s="1"/>
  <c r="R313" i="23" s="1"/>
  <c r="P313" i="23" s="1"/>
  <c r="V313" i="23" s="1"/>
  <c r="U321" i="23"/>
  <c r="T321" i="23" s="1"/>
  <c r="S321" i="23" s="1"/>
  <c r="R321" i="23" s="1"/>
  <c r="P321" i="23" s="1"/>
  <c r="V321" i="23" s="1"/>
  <c r="U329" i="23"/>
  <c r="T329" i="23" s="1"/>
  <c r="S329" i="23" s="1"/>
  <c r="R329" i="23" s="1"/>
  <c r="P329" i="23" s="1"/>
  <c r="V329" i="23" s="1"/>
  <c r="U337" i="23"/>
  <c r="T337" i="23" s="1"/>
  <c r="S337" i="23" s="1"/>
  <c r="R337" i="23" s="1"/>
  <c r="P337" i="23" s="1"/>
  <c r="V337" i="23" s="1"/>
  <c r="U345" i="23"/>
  <c r="T345" i="23" s="1"/>
  <c r="S345" i="23" s="1"/>
  <c r="R345" i="23" s="1"/>
  <c r="P345" i="23" s="1"/>
  <c r="V345" i="23" s="1"/>
  <c r="U353" i="23"/>
  <c r="T353" i="23" s="1"/>
  <c r="S353" i="23" s="1"/>
  <c r="R353" i="23" s="1"/>
  <c r="P353" i="23" s="1"/>
  <c r="V353" i="23" s="1"/>
  <c r="U361" i="23"/>
  <c r="T361" i="23" s="1"/>
  <c r="S361" i="23" s="1"/>
  <c r="R361" i="23" s="1"/>
  <c r="P361" i="23" s="1"/>
  <c r="V361" i="23" s="1"/>
  <c r="U369" i="23"/>
  <c r="T369" i="23" s="1"/>
  <c r="S369" i="23" s="1"/>
  <c r="R369" i="23" s="1"/>
  <c r="P369" i="23" s="1"/>
  <c r="V369" i="23" s="1"/>
  <c r="U377" i="23"/>
  <c r="T377" i="23" s="1"/>
  <c r="S377" i="23" s="1"/>
  <c r="R377" i="23" s="1"/>
  <c r="P377" i="23" s="1"/>
  <c r="V377" i="23" s="1"/>
  <c r="AI21" i="23"/>
  <c r="AH21" i="23" s="1"/>
  <c r="AG21" i="23" s="1"/>
  <c r="AF21" i="23" s="1"/>
  <c r="AD21" i="23" s="1"/>
  <c r="AI29" i="23"/>
  <c r="AH29" i="23" s="1"/>
  <c r="AG29" i="23" s="1"/>
  <c r="AF29" i="23" s="1"/>
  <c r="AD29" i="23" s="1"/>
  <c r="AI37" i="23"/>
  <c r="AH37" i="23" s="1"/>
  <c r="AG37" i="23" s="1"/>
  <c r="AF37" i="23" s="1"/>
  <c r="AD37" i="23" s="1"/>
  <c r="AI45" i="23"/>
  <c r="AH45" i="23" s="1"/>
  <c r="AG45" i="23" s="1"/>
  <c r="AF45" i="23" s="1"/>
  <c r="AD45" i="23" s="1"/>
  <c r="AI53" i="23"/>
  <c r="AH53" i="23" s="1"/>
  <c r="AG53" i="23" s="1"/>
  <c r="AF53" i="23" s="1"/>
  <c r="AD53" i="23" s="1"/>
  <c r="AI61" i="23"/>
  <c r="AH61" i="23" s="1"/>
  <c r="AG61" i="23" s="1"/>
  <c r="AF61" i="23" s="1"/>
  <c r="AD61" i="23" s="1"/>
  <c r="AI65" i="23"/>
  <c r="AH65" i="23" s="1"/>
  <c r="AG65" i="23" s="1"/>
  <c r="AF65" i="23" s="1"/>
  <c r="AD65" i="23" s="1"/>
  <c r="AI69" i="23"/>
  <c r="AH69" i="23" s="1"/>
  <c r="AG69" i="23" s="1"/>
  <c r="AF69" i="23" s="1"/>
  <c r="AD69" i="23" s="1"/>
  <c r="U46" i="23"/>
  <c r="T46" i="23" s="1"/>
  <c r="S46" i="23" s="1"/>
  <c r="R46" i="23" s="1"/>
  <c r="P46" i="23" s="1"/>
  <c r="V46" i="23" s="1"/>
  <c r="U78" i="23"/>
  <c r="T78" i="23" s="1"/>
  <c r="S78" i="23" s="1"/>
  <c r="R78" i="23" s="1"/>
  <c r="P78" i="23" s="1"/>
  <c r="V78" i="23" s="1"/>
  <c r="U110" i="23"/>
  <c r="T110" i="23" s="1"/>
  <c r="S110" i="23" s="1"/>
  <c r="R110" i="23" s="1"/>
  <c r="P110" i="23" s="1"/>
  <c r="V110" i="23" s="1"/>
  <c r="U142" i="23"/>
  <c r="T142" i="23" s="1"/>
  <c r="S142" i="23" s="1"/>
  <c r="R142" i="23" s="1"/>
  <c r="P142" i="23" s="1"/>
  <c r="V142" i="23" s="1"/>
  <c r="U174" i="23"/>
  <c r="T174" i="23" s="1"/>
  <c r="S174" i="23" s="1"/>
  <c r="R174" i="23" s="1"/>
  <c r="P174" i="23" s="1"/>
  <c r="V174" i="23" s="1"/>
  <c r="U195" i="23"/>
  <c r="T195" i="23" s="1"/>
  <c r="S195" i="23" s="1"/>
  <c r="R195" i="23" s="1"/>
  <c r="P195" i="23" s="1"/>
  <c r="V195" i="23" s="1"/>
  <c r="U211" i="23"/>
  <c r="T211" i="23" s="1"/>
  <c r="S211" i="23" s="1"/>
  <c r="R211" i="23" s="1"/>
  <c r="P211" i="23" s="1"/>
  <c r="V211" i="23" s="1"/>
  <c r="U227" i="23"/>
  <c r="T227" i="23" s="1"/>
  <c r="S227" i="23" s="1"/>
  <c r="R227" i="23" s="1"/>
  <c r="P227" i="23" s="1"/>
  <c r="V227" i="23" s="1"/>
  <c r="U243" i="23"/>
  <c r="T243" i="23" s="1"/>
  <c r="S243" i="23" s="1"/>
  <c r="R243" i="23" s="1"/>
  <c r="P243" i="23" s="1"/>
  <c r="V243" i="23" s="1"/>
  <c r="U259" i="23"/>
  <c r="T259" i="23" s="1"/>
  <c r="S259" i="23" s="1"/>
  <c r="R259" i="23" s="1"/>
  <c r="P259" i="23" s="1"/>
  <c r="V259" i="23" s="1"/>
  <c r="U275" i="23"/>
  <c r="T275" i="23" s="1"/>
  <c r="S275" i="23" s="1"/>
  <c r="R275" i="23" s="1"/>
  <c r="P275" i="23" s="1"/>
  <c r="V275" i="23" s="1"/>
  <c r="U291" i="23"/>
  <c r="T291" i="23" s="1"/>
  <c r="S291" i="23" s="1"/>
  <c r="R291" i="23" s="1"/>
  <c r="P291" i="23" s="1"/>
  <c r="V291" i="23" s="1"/>
  <c r="U307" i="23"/>
  <c r="T307" i="23" s="1"/>
  <c r="S307" i="23" s="1"/>
  <c r="R307" i="23" s="1"/>
  <c r="P307" i="23" s="1"/>
  <c r="V307" i="23" s="1"/>
  <c r="U323" i="23"/>
  <c r="T323" i="23" s="1"/>
  <c r="S323" i="23" s="1"/>
  <c r="R323" i="23" s="1"/>
  <c r="P323" i="23" s="1"/>
  <c r="V323" i="23" s="1"/>
  <c r="U339" i="23"/>
  <c r="T339" i="23" s="1"/>
  <c r="S339" i="23" s="1"/>
  <c r="R339" i="23" s="1"/>
  <c r="P339" i="23" s="1"/>
  <c r="V339" i="23" s="1"/>
  <c r="U355" i="23"/>
  <c r="T355" i="23" s="1"/>
  <c r="S355" i="23" s="1"/>
  <c r="R355" i="23" s="1"/>
  <c r="P355" i="23" s="1"/>
  <c r="V355" i="23" s="1"/>
  <c r="U371" i="23"/>
  <c r="T371" i="23" s="1"/>
  <c r="S371" i="23" s="1"/>
  <c r="R371" i="23" s="1"/>
  <c r="P371" i="23" s="1"/>
  <c r="V371" i="23" s="1"/>
  <c r="AI20" i="23"/>
  <c r="AH20" i="23" s="1"/>
  <c r="AG20" i="23" s="1"/>
  <c r="AF20" i="23" s="1"/>
  <c r="AD20" i="23" s="1"/>
  <c r="AI31" i="23"/>
  <c r="AH31" i="23" s="1"/>
  <c r="AG31" i="23" s="1"/>
  <c r="AF31" i="23" s="1"/>
  <c r="AD31" i="23" s="1"/>
  <c r="AI47" i="23"/>
  <c r="AH47" i="23" s="1"/>
  <c r="AG47" i="23" s="1"/>
  <c r="AF47" i="23" s="1"/>
  <c r="AD47" i="23" s="1"/>
  <c r="AI62" i="23"/>
  <c r="AH62" i="23" s="1"/>
  <c r="AG62" i="23" s="1"/>
  <c r="AF62" i="23" s="1"/>
  <c r="AD62" i="23" s="1"/>
  <c r="AI70" i="23"/>
  <c r="AH70" i="23" s="1"/>
  <c r="AG70" i="23" s="1"/>
  <c r="AF70" i="23" s="1"/>
  <c r="AD70" i="23" s="1"/>
  <c r="AI74" i="23"/>
  <c r="AH74" i="23" s="1"/>
  <c r="AG74" i="23" s="1"/>
  <c r="AF74" i="23" s="1"/>
  <c r="AD74" i="23" s="1"/>
  <c r="AI78" i="23"/>
  <c r="AH78" i="23" s="1"/>
  <c r="AG78" i="23" s="1"/>
  <c r="AF78" i="23" s="1"/>
  <c r="AD78" i="23" s="1"/>
  <c r="AI82" i="23"/>
  <c r="AH82" i="23" s="1"/>
  <c r="AG82" i="23" s="1"/>
  <c r="AF82" i="23" s="1"/>
  <c r="AD82" i="23" s="1"/>
  <c r="AI86" i="23"/>
  <c r="AH86" i="23" s="1"/>
  <c r="AG86" i="23" s="1"/>
  <c r="AF86" i="23" s="1"/>
  <c r="AD86" i="23" s="1"/>
  <c r="AI90" i="23"/>
  <c r="AH90" i="23" s="1"/>
  <c r="AG90" i="23" s="1"/>
  <c r="AF90" i="23" s="1"/>
  <c r="AD90" i="23" s="1"/>
  <c r="AI94" i="23"/>
  <c r="AH94" i="23" s="1"/>
  <c r="AG94" i="23" s="1"/>
  <c r="AF94" i="23" s="1"/>
  <c r="AD94" i="23" s="1"/>
  <c r="AI98" i="23"/>
  <c r="AH98" i="23" s="1"/>
  <c r="AG98" i="23" s="1"/>
  <c r="AF98" i="23" s="1"/>
  <c r="AD98" i="23" s="1"/>
  <c r="AI102" i="23"/>
  <c r="AH102" i="23" s="1"/>
  <c r="AG102" i="23" s="1"/>
  <c r="AF102" i="23" s="1"/>
  <c r="AD102" i="23" s="1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76" i="23"/>
  <c r="AH376" i="23" s="1"/>
  <c r="AG376" i="23" s="1"/>
  <c r="AF376" i="23" s="1"/>
  <c r="AD376" i="23" s="1"/>
  <c r="AI372" i="23"/>
  <c r="AH372" i="23" s="1"/>
  <c r="AG372" i="23" s="1"/>
  <c r="AF372" i="23" s="1"/>
  <c r="AD372" i="23" s="1"/>
  <c r="AI368" i="23"/>
  <c r="AH368" i="23" s="1"/>
  <c r="AG368" i="23" s="1"/>
  <c r="AF368" i="23" s="1"/>
  <c r="AD368" i="23" s="1"/>
  <c r="AI364" i="23"/>
  <c r="AH364" i="23" s="1"/>
  <c r="AG364" i="23" s="1"/>
  <c r="AF364" i="23" s="1"/>
  <c r="AD364" i="23" s="1"/>
  <c r="AI360" i="23"/>
  <c r="AH360" i="23" s="1"/>
  <c r="AG360" i="23" s="1"/>
  <c r="AF360" i="23" s="1"/>
  <c r="AD360" i="23" s="1"/>
  <c r="AI356" i="23"/>
  <c r="AH356" i="23" s="1"/>
  <c r="AG356" i="23" s="1"/>
  <c r="AF356" i="23" s="1"/>
  <c r="AD356" i="23" s="1"/>
  <c r="AI352" i="23"/>
  <c r="AH352" i="23" s="1"/>
  <c r="AG352" i="23" s="1"/>
  <c r="AF352" i="23" s="1"/>
  <c r="AD352" i="23" s="1"/>
  <c r="AI348" i="23"/>
  <c r="AH348" i="23" s="1"/>
  <c r="AG348" i="23" s="1"/>
  <c r="AF348" i="23" s="1"/>
  <c r="AD348" i="23" s="1"/>
  <c r="AI344" i="23"/>
  <c r="AH344" i="23" s="1"/>
  <c r="AG344" i="23" s="1"/>
  <c r="AF344" i="23" s="1"/>
  <c r="AD344" i="23" s="1"/>
  <c r="AI340" i="23"/>
  <c r="AH340" i="23" s="1"/>
  <c r="AG340" i="23" s="1"/>
  <c r="AF340" i="23" s="1"/>
  <c r="AD340" i="23" s="1"/>
  <c r="AI336" i="23"/>
  <c r="AH336" i="23" s="1"/>
  <c r="AG336" i="23" s="1"/>
  <c r="AF336" i="23" s="1"/>
  <c r="AD336" i="23" s="1"/>
  <c r="AI332" i="23"/>
  <c r="AH332" i="23" s="1"/>
  <c r="AG332" i="23" s="1"/>
  <c r="AF332" i="23" s="1"/>
  <c r="AD332" i="23" s="1"/>
  <c r="AI373" i="23"/>
  <c r="AH373" i="23" s="1"/>
  <c r="AG373" i="23" s="1"/>
  <c r="AF373" i="23" s="1"/>
  <c r="AD373" i="23" s="1"/>
  <c r="AI365" i="23"/>
  <c r="AH365" i="23" s="1"/>
  <c r="AG365" i="23" s="1"/>
  <c r="AF365" i="23" s="1"/>
  <c r="AD365" i="23" s="1"/>
  <c r="AI357" i="23"/>
  <c r="AH357" i="23" s="1"/>
  <c r="AG357" i="23" s="1"/>
  <c r="AF357" i="23" s="1"/>
  <c r="AD357" i="23" s="1"/>
  <c r="AI349" i="23"/>
  <c r="AH349" i="23" s="1"/>
  <c r="AG349" i="23" s="1"/>
  <c r="AF349" i="23" s="1"/>
  <c r="AD349" i="23" s="1"/>
  <c r="AI341" i="23"/>
  <c r="AH341" i="23" s="1"/>
  <c r="AG341" i="23" s="1"/>
  <c r="AF341" i="23" s="1"/>
  <c r="AD341" i="23" s="1"/>
  <c r="AI333" i="23"/>
  <c r="AH333" i="23" s="1"/>
  <c r="AG333" i="23" s="1"/>
  <c r="AF333" i="23" s="1"/>
  <c r="AD333" i="23" s="1"/>
  <c r="AI325" i="23"/>
  <c r="AH325" i="23" s="1"/>
  <c r="AG325" i="23" s="1"/>
  <c r="AF325" i="23" s="1"/>
  <c r="AD325" i="23" s="1"/>
  <c r="AI311" i="23"/>
  <c r="AH311" i="23" s="1"/>
  <c r="AG311" i="23" s="1"/>
  <c r="AF311" i="23" s="1"/>
  <c r="AD311" i="23" s="1"/>
  <c r="AI295" i="23"/>
  <c r="AH295" i="23" s="1"/>
  <c r="AG295" i="23" s="1"/>
  <c r="AF295" i="23" s="1"/>
  <c r="AD295" i="23" s="1"/>
  <c r="AI279" i="23"/>
  <c r="AH279" i="23" s="1"/>
  <c r="AG279" i="23" s="1"/>
  <c r="AF279" i="23" s="1"/>
  <c r="AD279" i="23" s="1"/>
  <c r="AI263" i="23"/>
  <c r="AH263" i="23" s="1"/>
  <c r="AG263" i="23" s="1"/>
  <c r="AF263" i="23" s="1"/>
  <c r="AD263" i="23" s="1"/>
  <c r="AI247" i="23"/>
  <c r="AH247" i="23" s="1"/>
  <c r="AG247" i="23" s="1"/>
  <c r="AF247" i="23" s="1"/>
  <c r="AD247" i="23" s="1"/>
  <c r="AI231" i="23"/>
  <c r="AH231" i="23" s="1"/>
  <c r="AG231" i="23" s="1"/>
  <c r="AF231" i="23" s="1"/>
  <c r="AD231" i="23" s="1"/>
  <c r="AI215" i="23"/>
  <c r="AH215" i="23" s="1"/>
  <c r="AG215" i="23" s="1"/>
  <c r="AF215" i="23" s="1"/>
  <c r="AD215" i="23" s="1"/>
  <c r="AI199" i="23"/>
  <c r="AH199" i="23" s="1"/>
  <c r="AG199" i="23" s="1"/>
  <c r="AF199" i="23" s="1"/>
  <c r="AD199" i="23" s="1"/>
  <c r="AI183" i="23"/>
  <c r="AH183" i="23" s="1"/>
  <c r="AG183" i="23" s="1"/>
  <c r="AF183" i="23" s="1"/>
  <c r="AD183" i="23" s="1"/>
  <c r="AI167" i="23"/>
  <c r="AH167" i="23" s="1"/>
  <c r="AG167" i="23" s="1"/>
  <c r="AF167" i="23" s="1"/>
  <c r="AD167" i="23" s="1"/>
  <c r="AI151" i="23"/>
  <c r="AH151" i="23" s="1"/>
  <c r="AG151" i="23" s="1"/>
  <c r="AF151" i="23" s="1"/>
  <c r="AD151" i="23" s="1"/>
  <c r="AI135" i="23"/>
  <c r="AH135" i="23" s="1"/>
  <c r="AG135" i="23" s="1"/>
  <c r="AF135" i="23" s="1"/>
  <c r="AD135" i="23" s="1"/>
  <c r="AI119" i="23"/>
  <c r="AH119" i="23" s="1"/>
  <c r="AG119" i="23" s="1"/>
  <c r="AF119" i="23" s="1"/>
  <c r="AD119" i="23" s="1"/>
  <c r="AI103" i="23"/>
  <c r="AH103" i="23" s="1"/>
  <c r="AG103" i="23" s="1"/>
  <c r="AF103" i="23" s="1"/>
  <c r="AD103" i="23" s="1"/>
  <c r="AI87" i="23"/>
  <c r="AH87" i="23" s="1"/>
  <c r="AG87" i="23" s="1"/>
  <c r="AF87" i="23" s="1"/>
  <c r="AD87" i="23" s="1"/>
  <c r="AI71" i="23"/>
  <c r="AH71" i="23" s="1"/>
  <c r="AG71" i="23" s="1"/>
  <c r="AF71" i="23" s="1"/>
  <c r="AD71" i="23" s="1"/>
  <c r="AI17" i="23"/>
  <c r="AH17" i="23" s="1"/>
  <c r="AG17" i="23" s="1"/>
  <c r="AF17" i="23" s="1"/>
  <c r="AD17" i="23" s="1"/>
  <c r="U343" i="23"/>
  <c r="T343" i="23" s="1"/>
  <c r="S343" i="23" s="1"/>
  <c r="R343" i="23" s="1"/>
  <c r="P343" i="23" s="1"/>
  <c r="V343" i="23" s="1"/>
  <c r="U279" i="23"/>
  <c r="T279" i="23" s="1"/>
  <c r="S279" i="23" s="1"/>
  <c r="R279" i="23" s="1"/>
  <c r="P279" i="23" s="1"/>
  <c r="V279" i="23" s="1"/>
  <c r="U215" i="23"/>
  <c r="T215" i="23" s="1"/>
  <c r="S215" i="23" s="1"/>
  <c r="R215" i="23" s="1"/>
  <c r="P215" i="23" s="1"/>
  <c r="V215" i="23" s="1"/>
  <c r="U118" i="23"/>
  <c r="T118" i="23" s="1"/>
  <c r="S118" i="23" s="1"/>
  <c r="R118" i="23" s="1"/>
  <c r="P118" i="23" s="1"/>
  <c r="V118" i="23" s="1"/>
  <c r="U34" i="23"/>
  <c r="T34" i="23" s="1"/>
  <c r="S34" i="23" s="1"/>
  <c r="R34" i="23" s="1"/>
  <c r="P34" i="23" s="1"/>
  <c r="V34" i="23" s="1"/>
  <c r="U50" i="23"/>
  <c r="T50" i="23" s="1"/>
  <c r="S50" i="23" s="1"/>
  <c r="R50" i="23" s="1"/>
  <c r="P50" i="23" s="1"/>
  <c r="V50" i="23" s="1"/>
  <c r="U66" i="23"/>
  <c r="T66" i="23" s="1"/>
  <c r="S66" i="23" s="1"/>
  <c r="R66" i="23" s="1"/>
  <c r="P66" i="23" s="1"/>
  <c r="V66" i="23" s="1"/>
  <c r="U82" i="23"/>
  <c r="T82" i="23" s="1"/>
  <c r="S82" i="23" s="1"/>
  <c r="R82" i="23" s="1"/>
  <c r="P82" i="23" s="1"/>
  <c r="V82" i="23" s="1"/>
  <c r="U98" i="23"/>
  <c r="T98" i="23" s="1"/>
  <c r="S98" i="23" s="1"/>
  <c r="R98" i="23" s="1"/>
  <c r="P98" i="23" s="1"/>
  <c r="V98" i="23" s="1"/>
  <c r="U114" i="23"/>
  <c r="T114" i="23" s="1"/>
  <c r="S114" i="23" s="1"/>
  <c r="R114" i="23" s="1"/>
  <c r="P114" i="23" s="1"/>
  <c r="V114" i="23" s="1"/>
  <c r="U130" i="23"/>
  <c r="T130" i="23" s="1"/>
  <c r="S130" i="23" s="1"/>
  <c r="R130" i="23" s="1"/>
  <c r="P130" i="23" s="1"/>
  <c r="V130" i="23" s="1"/>
  <c r="U146" i="23"/>
  <c r="T146" i="23" s="1"/>
  <c r="S146" i="23" s="1"/>
  <c r="R146" i="23" s="1"/>
  <c r="P146" i="23" s="1"/>
  <c r="V146" i="23" s="1"/>
  <c r="U162" i="23"/>
  <c r="T162" i="23" s="1"/>
  <c r="S162" i="23" s="1"/>
  <c r="R162" i="23" s="1"/>
  <c r="P162" i="23" s="1"/>
  <c r="V162" i="23" s="1"/>
  <c r="U178" i="23"/>
  <c r="T178" i="23" s="1"/>
  <c r="S178" i="23" s="1"/>
  <c r="R178" i="23" s="1"/>
  <c r="P178" i="23" s="1"/>
  <c r="V178" i="23" s="1"/>
  <c r="U189" i="23"/>
  <c r="T189" i="23" s="1"/>
  <c r="S189" i="23" s="1"/>
  <c r="R189" i="23" s="1"/>
  <c r="P189" i="23" s="1"/>
  <c r="V189" i="23" s="1"/>
  <c r="U197" i="23"/>
  <c r="T197" i="23" s="1"/>
  <c r="S197" i="23" s="1"/>
  <c r="R197" i="23" s="1"/>
  <c r="P197" i="23" s="1"/>
  <c r="V197" i="23" s="1"/>
  <c r="U205" i="23"/>
  <c r="T205" i="23" s="1"/>
  <c r="S205" i="23" s="1"/>
  <c r="R205" i="23" s="1"/>
  <c r="P205" i="23" s="1"/>
  <c r="V205" i="23" s="1"/>
  <c r="U213" i="23"/>
  <c r="T213" i="23" s="1"/>
  <c r="S213" i="23" s="1"/>
  <c r="R213" i="23" s="1"/>
  <c r="P213" i="23" s="1"/>
  <c r="V213" i="23" s="1"/>
  <c r="U221" i="23"/>
  <c r="T221" i="23" s="1"/>
  <c r="S221" i="23" s="1"/>
  <c r="R221" i="23" s="1"/>
  <c r="P221" i="23" s="1"/>
  <c r="V221" i="23" s="1"/>
  <c r="U229" i="23"/>
  <c r="T229" i="23" s="1"/>
  <c r="S229" i="23" s="1"/>
  <c r="R229" i="23" s="1"/>
  <c r="P229" i="23" s="1"/>
  <c r="V229" i="23" s="1"/>
  <c r="U237" i="23"/>
  <c r="T237" i="23" s="1"/>
  <c r="S237" i="23" s="1"/>
  <c r="R237" i="23" s="1"/>
  <c r="P237" i="23" s="1"/>
  <c r="V237" i="23" s="1"/>
  <c r="U245" i="23"/>
  <c r="T245" i="23" s="1"/>
  <c r="S245" i="23" s="1"/>
  <c r="R245" i="23" s="1"/>
  <c r="P245" i="23" s="1"/>
  <c r="V245" i="23" s="1"/>
  <c r="U253" i="23"/>
  <c r="T253" i="23" s="1"/>
  <c r="S253" i="23" s="1"/>
  <c r="R253" i="23" s="1"/>
  <c r="P253" i="23" s="1"/>
  <c r="V253" i="23" s="1"/>
  <c r="U261" i="23"/>
  <c r="T261" i="23" s="1"/>
  <c r="S261" i="23" s="1"/>
  <c r="R261" i="23" s="1"/>
  <c r="P261" i="23" s="1"/>
  <c r="V261" i="23" s="1"/>
  <c r="U269" i="23"/>
  <c r="T269" i="23" s="1"/>
  <c r="S269" i="23" s="1"/>
  <c r="R269" i="23" s="1"/>
  <c r="P269" i="23" s="1"/>
  <c r="V269" i="23" s="1"/>
  <c r="U277" i="23"/>
  <c r="T277" i="23" s="1"/>
  <c r="S277" i="23" s="1"/>
  <c r="R277" i="23" s="1"/>
  <c r="P277" i="23" s="1"/>
  <c r="V277" i="23" s="1"/>
  <c r="U285" i="23"/>
  <c r="T285" i="23" s="1"/>
  <c r="S285" i="23" s="1"/>
  <c r="R285" i="23" s="1"/>
  <c r="P285" i="23" s="1"/>
  <c r="V285" i="23" s="1"/>
  <c r="U293" i="23"/>
  <c r="T293" i="23" s="1"/>
  <c r="S293" i="23" s="1"/>
  <c r="R293" i="23" s="1"/>
  <c r="P293" i="23" s="1"/>
  <c r="V293" i="23" s="1"/>
  <c r="U301" i="23"/>
  <c r="T301" i="23" s="1"/>
  <c r="S301" i="23" s="1"/>
  <c r="R301" i="23" s="1"/>
  <c r="P301" i="23" s="1"/>
  <c r="V301" i="23" s="1"/>
  <c r="U309" i="23"/>
  <c r="T309" i="23" s="1"/>
  <c r="S309" i="23" s="1"/>
  <c r="R309" i="23" s="1"/>
  <c r="P309" i="23" s="1"/>
  <c r="V309" i="23" s="1"/>
  <c r="U317" i="23"/>
  <c r="T317" i="23" s="1"/>
  <c r="S317" i="23" s="1"/>
  <c r="R317" i="23" s="1"/>
  <c r="P317" i="23" s="1"/>
  <c r="V317" i="23" s="1"/>
  <c r="U325" i="23"/>
  <c r="T325" i="23" s="1"/>
  <c r="S325" i="23" s="1"/>
  <c r="R325" i="23" s="1"/>
  <c r="P325" i="23" s="1"/>
  <c r="V325" i="23" s="1"/>
  <c r="U333" i="23"/>
  <c r="T333" i="23" s="1"/>
  <c r="S333" i="23" s="1"/>
  <c r="R333" i="23" s="1"/>
  <c r="P333" i="23" s="1"/>
  <c r="U341" i="23"/>
  <c r="T341" i="23" s="1"/>
  <c r="S341" i="23" s="1"/>
  <c r="R341" i="23" s="1"/>
  <c r="P341" i="23" s="1"/>
  <c r="V341" i="23" s="1"/>
  <c r="U349" i="23"/>
  <c r="T349" i="23" s="1"/>
  <c r="S349" i="23" s="1"/>
  <c r="R349" i="23" s="1"/>
  <c r="P349" i="23" s="1"/>
  <c r="V349" i="23" s="1"/>
  <c r="U357" i="23"/>
  <c r="T357" i="23" s="1"/>
  <c r="S357" i="23" s="1"/>
  <c r="R357" i="23" s="1"/>
  <c r="P357" i="23" s="1"/>
  <c r="V357" i="23" s="1"/>
  <c r="U365" i="23"/>
  <c r="T365" i="23" s="1"/>
  <c r="S365" i="23" s="1"/>
  <c r="R365" i="23" s="1"/>
  <c r="P365" i="23" s="1"/>
  <c r="V365" i="23" s="1"/>
  <c r="U373" i="23"/>
  <c r="T373" i="23" s="1"/>
  <c r="S373" i="23" s="1"/>
  <c r="R373" i="23" s="1"/>
  <c r="P373" i="23" s="1"/>
  <c r="V373" i="23" s="1"/>
  <c r="AI18" i="23"/>
  <c r="AH18" i="23" s="1"/>
  <c r="AG18" i="23" s="1"/>
  <c r="AF18" i="23" s="1"/>
  <c r="AD18" i="23" s="1"/>
  <c r="AI25" i="23"/>
  <c r="AH25" i="23" s="1"/>
  <c r="AG25" i="23" s="1"/>
  <c r="AF25" i="23" s="1"/>
  <c r="AD25" i="23" s="1"/>
  <c r="AI33" i="23"/>
  <c r="AH33" i="23" s="1"/>
  <c r="AG33" i="23" s="1"/>
  <c r="AF33" i="23" s="1"/>
  <c r="AD33" i="23" s="1"/>
  <c r="AI41" i="23"/>
  <c r="AH41" i="23" s="1"/>
  <c r="AG41" i="23" s="1"/>
  <c r="AF41" i="23" s="1"/>
  <c r="AD41" i="23" s="1"/>
  <c r="AI49" i="23"/>
  <c r="AH49" i="23" s="1"/>
  <c r="AG49" i="23" s="1"/>
  <c r="AF49" i="23" s="1"/>
  <c r="AD49" i="23" s="1"/>
  <c r="AI57" i="23"/>
  <c r="AH57" i="23" s="1"/>
  <c r="AG57" i="23" s="1"/>
  <c r="AF57" i="23" s="1"/>
  <c r="AD57" i="23" s="1"/>
  <c r="AI63" i="23"/>
  <c r="AH63" i="23" s="1"/>
  <c r="AG63" i="23" s="1"/>
  <c r="AF63" i="23" s="1"/>
  <c r="AD63" i="23" s="1"/>
  <c r="AI67" i="23"/>
  <c r="AH67" i="23" s="1"/>
  <c r="AG67" i="23" s="1"/>
  <c r="AF67" i="23" s="1"/>
  <c r="AD67" i="23" s="1"/>
  <c r="U30" i="23"/>
  <c r="T30" i="23" s="1"/>
  <c r="S30" i="23" s="1"/>
  <c r="R30" i="23" s="1"/>
  <c r="P30" i="23" s="1"/>
  <c r="V30" i="23" s="1"/>
  <c r="U62" i="23"/>
  <c r="T62" i="23" s="1"/>
  <c r="S62" i="23" s="1"/>
  <c r="R62" i="23" s="1"/>
  <c r="P62" i="23" s="1"/>
  <c r="V62" i="23" s="1"/>
  <c r="U94" i="23"/>
  <c r="T94" i="23" s="1"/>
  <c r="S94" i="23" s="1"/>
  <c r="R94" i="23" s="1"/>
  <c r="P94" i="23" s="1"/>
  <c r="V94" i="23" s="1"/>
  <c r="U126" i="23"/>
  <c r="T126" i="23" s="1"/>
  <c r="S126" i="23" s="1"/>
  <c r="R126" i="23" s="1"/>
  <c r="P126" i="23" s="1"/>
  <c r="V126" i="23" s="1"/>
  <c r="U158" i="23"/>
  <c r="T158" i="23" s="1"/>
  <c r="S158" i="23" s="1"/>
  <c r="R158" i="23" s="1"/>
  <c r="P158" i="23" s="1"/>
  <c r="V158" i="23" s="1"/>
  <c r="U187" i="23"/>
  <c r="T187" i="23" s="1"/>
  <c r="S187" i="23" s="1"/>
  <c r="R187" i="23" s="1"/>
  <c r="P187" i="23" s="1"/>
  <c r="V187" i="23" s="1"/>
  <c r="U203" i="23"/>
  <c r="T203" i="23" s="1"/>
  <c r="S203" i="23" s="1"/>
  <c r="R203" i="23" s="1"/>
  <c r="P203" i="23" s="1"/>
  <c r="V203" i="23" s="1"/>
  <c r="U219" i="23"/>
  <c r="T219" i="23" s="1"/>
  <c r="S219" i="23" s="1"/>
  <c r="R219" i="23" s="1"/>
  <c r="P219" i="23" s="1"/>
  <c r="V219" i="23" s="1"/>
  <c r="U235" i="23"/>
  <c r="T235" i="23" s="1"/>
  <c r="S235" i="23" s="1"/>
  <c r="R235" i="23" s="1"/>
  <c r="P235" i="23" s="1"/>
  <c r="V235" i="23" s="1"/>
  <c r="U251" i="23"/>
  <c r="T251" i="23" s="1"/>
  <c r="S251" i="23" s="1"/>
  <c r="R251" i="23" s="1"/>
  <c r="P251" i="23" s="1"/>
  <c r="V251" i="23" s="1"/>
  <c r="U267" i="23"/>
  <c r="T267" i="23" s="1"/>
  <c r="S267" i="23" s="1"/>
  <c r="R267" i="23" s="1"/>
  <c r="P267" i="23" s="1"/>
  <c r="V267" i="23" s="1"/>
  <c r="U283" i="23"/>
  <c r="T283" i="23" s="1"/>
  <c r="S283" i="23" s="1"/>
  <c r="R283" i="23" s="1"/>
  <c r="P283" i="23" s="1"/>
  <c r="V283" i="23" s="1"/>
  <c r="U299" i="23"/>
  <c r="T299" i="23" s="1"/>
  <c r="S299" i="23" s="1"/>
  <c r="R299" i="23" s="1"/>
  <c r="P299" i="23" s="1"/>
  <c r="V299" i="23" s="1"/>
  <c r="U315" i="23"/>
  <c r="T315" i="23" s="1"/>
  <c r="S315" i="23" s="1"/>
  <c r="R315" i="23" s="1"/>
  <c r="P315" i="23" s="1"/>
  <c r="V315" i="23" s="1"/>
  <c r="U331" i="23"/>
  <c r="T331" i="23" s="1"/>
  <c r="S331" i="23" s="1"/>
  <c r="R331" i="23" s="1"/>
  <c r="P331" i="23" s="1"/>
  <c r="V331" i="23" s="1"/>
  <c r="U347" i="23"/>
  <c r="T347" i="23" s="1"/>
  <c r="S347" i="23" s="1"/>
  <c r="R347" i="23" s="1"/>
  <c r="P347" i="23" s="1"/>
  <c r="V347" i="23" s="1"/>
  <c r="U363" i="23"/>
  <c r="T363" i="23" s="1"/>
  <c r="S363" i="23" s="1"/>
  <c r="R363" i="23" s="1"/>
  <c r="P363" i="23" s="1"/>
  <c r="U379" i="23"/>
  <c r="AI19" i="23"/>
  <c r="AH19" i="23" s="1"/>
  <c r="AG19" i="23" s="1"/>
  <c r="AF19" i="23" s="1"/>
  <c r="AD19" i="23" s="1"/>
  <c r="AI39" i="23"/>
  <c r="AH39" i="23" s="1"/>
  <c r="AG39" i="23" s="1"/>
  <c r="AF39" i="23" s="1"/>
  <c r="AD39" i="23" s="1"/>
  <c r="AI55" i="23"/>
  <c r="AH55" i="23" s="1"/>
  <c r="AG55" i="23" s="1"/>
  <c r="AF55" i="23" s="1"/>
  <c r="AD55" i="23" s="1"/>
  <c r="AI66" i="23"/>
  <c r="AH66" i="23" s="1"/>
  <c r="AG66" i="23" s="1"/>
  <c r="AF66" i="23" s="1"/>
  <c r="AD66" i="23" s="1"/>
  <c r="AI72" i="23"/>
  <c r="AH72" i="23" s="1"/>
  <c r="AG72" i="23" s="1"/>
  <c r="AF72" i="23" s="1"/>
  <c r="AD72" i="23" s="1"/>
  <c r="AI76" i="23"/>
  <c r="AH76" i="23" s="1"/>
  <c r="AG76" i="23" s="1"/>
  <c r="AF76" i="23" s="1"/>
  <c r="AD76" i="23" s="1"/>
  <c r="AI80" i="23"/>
  <c r="AH80" i="23" s="1"/>
  <c r="AG80" i="23" s="1"/>
  <c r="AF80" i="23" s="1"/>
  <c r="AD80" i="23" s="1"/>
  <c r="AI84" i="23"/>
  <c r="AH84" i="23" s="1"/>
  <c r="AG84" i="23" s="1"/>
  <c r="AF84" i="23" s="1"/>
  <c r="AD84" i="23" s="1"/>
  <c r="AI88" i="23"/>
  <c r="AH88" i="23" s="1"/>
  <c r="AG88" i="23" s="1"/>
  <c r="AF88" i="23" s="1"/>
  <c r="AD88" i="23" s="1"/>
  <c r="AI92" i="23"/>
  <c r="AH92" i="23" s="1"/>
  <c r="AG92" i="23" s="1"/>
  <c r="AF92" i="23" s="1"/>
  <c r="AD92" i="23" s="1"/>
  <c r="AI96" i="23"/>
  <c r="AH96" i="23" s="1"/>
  <c r="AG96" i="23" s="1"/>
  <c r="AF96" i="23" s="1"/>
  <c r="AD96" i="23" s="1"/>
  <c r="AI100" i="23"/>
  <c r="AH100" i="23" s="1"/>
  <c r="AG100" i="23" s="1"/>
  <c r="AF100" i="23" s="1"/>
  <c r="AD10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78" i="23"/>
  <c r="AH378" i="23" s="1"/>
  <c r="AG378" i="23" s="1"/>
  <c r="AF378" i="23" s="1"/>
  <c r="AD378" i="23" s="1"/>
  <c r="AI374" i="23"/>
  <c r="AH374" i="23" s="1"/>
  <c r="AG374" i="23" s="1"/>
  <c r="AF374" i="23" s="1"/>
  <c r="AD374" i="23" s="1"/>
  <c r="AI370" i="23"/>
  <c r="AH370" i="23" s="1"/>
  <c r="AG370" i="23" s="1"/>
  <c r="AF370" i="23" s="1"/>
  <c r="AD370" i="23" s="1"/>
  <c r="AI366" i="23"/>
  <c r="AH366" i="23" s="1"/>
  <c r="AG366" i="23" s="1"/>
  <c r="AF366" i="23" s="1"/>
  <c r="AD366" i="23" s="1"/>
  <c r="AI362" i="23"/>
  <c r="AH362" i="23" s="1"/>
  <c r="AG362" i="23" s="1"/>
  <c r="AF362" i="23" s="1"/>
  <c r="AD362" i="23" s="1"/>
  <c r="AI358" i="23"/>
  <c r="AH358" i="23" s="1"/>
  <c r="AG358" i="23" s="1"/>
  <c r="AF358" i="23" s="1"/>
  <c r="AD358" i="23" s="1"/>
  <c r="AI354" i="23"/>
  <c r="AH354" i="23" s="1"/>
  <c r="AG354" i="23" s="1"/>
  <c r="AF354" i="23" s="1"/>
  <c r="AD354" i="23" s="1"/>
  <c r="AI350" i="23"/>
  <c r="AH350" i="23" s="1"/>
  <c r="AG350" i="23" s="1"/>
  <c r="AF350" i="23" s="1"/>
  <c r="AD350" i="23" s="1"/>
  <c r="AI346" i="23"/>
  <c r="AH346" i="23" s="1"/>
  <c r="AG346" i="23" s="1"/>
  <c r="AF346" i="23" s="1"/>
  <c r="AD346" i="23" s="1"/>
  <c r="AI342" i="23"/>
  <c r="AH342" i="23" s="1"/>
  <c r="AG342" i="23" s="1"/>
  <c r="AF342" i="23" s="1"/>
  <c r="AD342" i="23" s="1"/>
  <c r="AI338" i="23"/>
  <c r="AH338" i="23" s="1"/>
  <c r="AG338" i="23" s="1"/>
  <c r="AF338" i="23" s="1"/>
  <c r="AD338" i="23" s="1"/>
  <c r="AI334" i="23"/>
  <c r="AH334" i="23" s="1"/>
  <c r="AG334" i="23" s="1"/>
  <c r="AF334" i="23" s="1"/>
  <c r="AD334" i="23" s="1"/>
  <c r="AI330" i="23"/>
  <c r="AH330" i="23" s="1"/>
  <c r="AG330" i="23" s="1"/>
  <c r="AF330" i="23" s="1"/>
  <c r="AD330" i="23" s="1"/>
  <c r="AI326" i="23"/>
  <c r="AH326" i="23" s="1"/>
  <c r="AG326" i="23" s="1"/>
  <c r="AF326" i="23" s="1"/>
  <c r="AD326" i="23" s="1"/>
  <c r="AI328" i="23"/>
  <c r="AH328" i="23" s="1"/>
  <c r="AG328" i="23" s="1"/>
  <c r="AF328" i="23" s="1"/>
  <c r="AD328" i="23" s="1"/>
  <c r="AI321" i="23"/>
  <c r="AH321" i="23" s="1"/>
  <c r="AG321" i="23" s="1"/>
  <c r="AF321" i="23" s="1"/>
  <c r="AD321" i="23" s="1"/>
  <c r="AI313" i="23"/>
  <c r="AH313" i="23" s="1"/>
  <c r="AG313" i="23" s="1"/>
  <c r="AF313" i="23" s="1"/>
  <c r="AD313" i="23" s="1"/>
  <c r="AI305" i="23"/>
  <c r="AH305" i="23" s="1"/>
  <c r="AG305" i="23" s="1"/>
  <c r="AF305" i="23" s="1"/>
  <c r="AD305" i="23" s="1"/>
  <c r="AI297" i="23"/>
  <c r="AH297" i="23" s="1"/>
  <c r="AG297" i="23" s="1"/>
  <c r="AF297" i="23" s="1"/>
  <c r="AD297" i="23" s="1"/>
  <c r="AI289" i="23"/>
  <c r="AH289" i="23" s="1"/>
  <c r="AG289" i="23" s="1"/>
  <c r="AF289" i="23" s="1"/>
  <c r="AD289" i="23" s="1"/>
  <c r="AI281" i="23"/>
  <c r="AH281" i="23" s="1"/>
  <c r="AG281" i="23" s="1"/>
  <c r="AF281" i="23" s="1"/>
  <c r="AD281" i="23" s="1"/>
  <c r="AI273" i="23"/>
  <c r="AH273" i="23" s="1"/>
  <c r="AG273" i="23" s="1"/>
  <c r="AF273" i="23" s="1"/>
  <c r="AD273" i="23" s="1"/>
  <c r="AI265" i="23"/>
  <c r="AH265" i="23" s="1"/>
  <c r="AG265" i="23" s="1"/>
  <c r="AF265" i="23" s="1"/>
  <c r="AD265" i="23" s="1"/>
  <c r="AI257" i="23"/>
  <c r="AH257" i="23" s="1"/>
  <c r="AG257" i="23" s="1"/>
  <c r="AF257" i="23" s="1"/>
  <c r="AD257" i="23" s="1"/>
  <c r="AI249" i="23"/>
  <c r="AH249" i="23" s="1"/>
  <c r="AG249" i="23" s="1"/>
  <c r="AF249" i="23" s="1"/>
  <c r="AD249" i="23" s="1"/>
  <c r="AI241" i="23"/>
  <c r="AH241" i="23" s="1"/>
  <c r="AG241" i="23" s="1"/>
  <c r="AF241" i="23" s="1"/>
  <c r="AD241" i="23" s="1"/>
  <c r="AI233" i="23"/>
  <c r="AH233" i="23" s="1"/>
  <c r="AG233" i="23" s="1"/>
  <c r="AF233" i="23" s="1"/>
  <c r="AD233" i="23" s="1"/>
  <c r="AI225" i="23"/>
  <c r="AH225" i="23" s="1"/>
  <c r="AG225" i="23" s="1"/>
  <c r="AF225" i="23" s="1"/>
  <c r="AD225" i="23" s="1"/>
  <c r="AI217" i="23"/>
  <c r="AH217" i="23" s="1"/>
  <c r="AG217" i="23" s="1"/>
  <c r="AF217" i="23" s="1"/>
  <c r="AD217" i="23" s="1"/>
  <c r="AI209" i="23"/>
  <c r="AH209" i="23" s="1"/>
  <c r="AG209" i="23" s="1"/>
  <c r="AF209" i="23" s="1"/>
  <c r="AD209" i="23" s="1"/>
  <c r="AI201" i="23"/>
  <c r="AH201" i="23" s="1"/>
  <c r="AG201" i="23" s="1"/>
  <c r="AF201" i="23" s="1"/>
  <c r="AD201" i="23" s="1"/>
  <c r="AI193" i="23"/>
  <c r="AH193" i="23" s="1"/>
  <c r="AG193" i="23" s="1"/>
  <c r="AF193" i="23" s="1"/>
  <c r="AD193" i="23" s="1"/>
  <c r="AI185" i="23"/>
  <c r="AH185" i="23" s="1"/>
  <c r="AG185" i="23" s="1"/>
  <c r="AF185" i="23" s="1"/>
  <c r="AD185" i="23" s="1"/>
  <c r="AI177" i="23"/>
  <c r="AH177" i="23" s="1"/>
  <c r="AG177" i="23" s="1"/>
  <c r="AF177" i="23" s="1"/>
  <c r="AD177" i="23" s="1"/>
  <c r="AI169" i="23"/>
  <c r="AH169" i="23" s="1"/>
  <c r="AG169" i="23" s="1"/>
  <c r="AF169" i="23" s="1"/>
  <c r="AD169" i="23" s="1"/>
  <c r="AI161" i="23"/>
  <c r="AH161" i="23" s="1"/>
  <c r="AG161" i="23" s="1"/>
  <c r="AF161" i="23" s="1"/>
  <c r="AD161" i="23" s="1"/>
  <c r="AI153" i="23"/>
  <c r="AH153" i="23" s="1"/>
  <c r="AG153" i="23" s="1"/>
  <c r="AF153" i="23" s="1"/>
  <c r="AD153" i="23" s="1"/>
  <c r="AI145" i="23"/>
  <c r="AH145" i="23" s="1"/>
  <c r="AG145" i="23" s="1"/>
  <c r="AF145" i="23" s="1"/>
  <c r="AD145" i="23" s="1"/>
  <c r="AI137" i="23"/>
  <c r="AH137" i="23" s="1"/>
  <c r="AG137" i="23" s="1"/>
  <c r="AF137" i="23" s="1"/>
  <c r="AD137" i="23" s="1"/>
  <c r="AI129" i="23"/>
  <c r="AH129" i="23" s="1"/>
  <c r="AG129" i="23" s="1"/>
  <c r="AF129" i="23" s="1"/>
  <c r="AD129" i="23" s="1"/>
  <c r="AI121" i="23"/>
  <c r="AH121" i="23" s="1"/>
  <c r="AG121" i="23" s="1"/>
  <c r="AF121" i="23" s="1"/>
  <c r="AD121" i="23" s="1"/>
  <c r="AI113" i="23"/>
  <c r="AH113" i="23" s="1"/>
  <c r="AG113" i="23" s="1"/>
  <c r="AF113" i="23" s="1"/>
  <c r="AD113" i="23" s="1"/>
  <c r="AI105" i="23"/>
  <c r="AH105" i="23" s="1"/>
  <c r="AG105" i="23" s="1"/>
  <c r="AF105" i="23" s="1"/>
  <c r="AD105" i="23" s="1"/>
  <c r="AI97" i="23"/>
  <c r="AH97" i="23" s="1"/>
  <c r="AG97" i="23" s="1"/>
  <c r="AF97" i="23" s="1"/>
  <c r="AD97" i="23" s="1"/>
  <c r="AI89" i="23"/>
  <c r="AH89" i="23" s="1"/>
  <c r="AG89" i="23" s="1"/>
  <c r="AF89" i="23" s="1"/>
  <c r="AD89" i="23" s="1"/>
  <c r="AI81" i="23"/>
  <c r="AH81" i="23" s="1"/>
  <c r="AG81" i="23" s="1"/>
  <c r="AF81" i="23" s="1"/>
  <c r="AD81" i="23" s="1"/>
  <c r="AI73" i="23"/>
  <c r="AH73" i="23" s="1"/>
  <c r="AG73" i="23" s="1"/>
  <c r="AF73" i="23" s="1"/>
  <c r="AD73" i="23" s="1"/>
  <c r="AI59" i="23"/>
  <c r="AH59" i="23" s="1"/>
  <c r="AG59" i="23" s="1"/>
  <c r="AF59" i="23" s="1"/>
  <c r="AD59" i="23" s="1"/>
  <c r="AI27" i="23"/>
  <c r="AH27" i="23" s="1"/>
  <c r="AG27" i="23" s="1"/>
  <c r="AF27" i="23" s="1"/>
  <c r="AD27" i="23" s="1"/>
  <c r="U351" i="23"/>
  <c r="T351" i="23" s="1"/>
  <c r="S351" i="23" s="1"/>
  <c r="R351" i="23" s="1"/>
  <c r="P351" i="23" s="1"/>
  <c r="V351" i="23" s="1"/>
  <c r="U319" i="23"/>
  <c r="T319" i="23" s="1"/>
  <c r="S319" i="23" s="1"/>
  <c r="R319" i="23" s="1"/>
  <c r="P319" i="23" s="1"/>
  <c r="V319" i="23" s="1"/>
  <c r="U287" i="23"/>
  <c r="T287" i="23" s="1"/>
  <c r="S287" i="23" s="1"/>
  <c r="R287" i="23" s="1"/>
  <c r="P287" i="23" s="1"/>
  <c r="V287" i="23" s="1"/>
  <c r="U255" i="23"/>
  <c r="T255" i="23" s="1"/>
  <c r="S255" i="23" s="1"/>
  <c r="R255" i="23" s="1"/>
  <c r="P255" i="23" s="1"/>
  <c r="V255" i="23" s="1"/>
  <c r="U223" i="23"/>
  <c r="T223" i="23" s="1"/>
  <c r="S223" i="23" s="1"/>
  <c r="R223" i="23" s="1"/>
  <c r="P223" i="23" s="1"/>
  <c r="V223" i="23" s="1"/>
  <c r="U191" i="23"/>
  <c r="T191" i="23" s="1"/>
  <c r="S191" i="23" s="1"/>
  <c r="R191" i="23" s="1"/>
  <c r="P191" i="23" s="1"/>
  <c r="V191" i="23" s="1"/>
  <c r="U134" i="23"/>
  <c r="T134" i="23" s="1"/>
  <c r="S134" i="23" s="1"/>
  <c r="R134" i="23" s="1"/>
  <c r="P134" i="23" s="1"/>
  <c r="V134" i="23" s="1"/>
  <c r="U70" i="23"/>
  <c r="T70" i="23" s="1"/>
  <c r="S70" i="23" s="1"/>
  <c r="R70" i="23" s="1"/>
  <c r="P70" i="23" s="1"/>
  <c r="V70" i="23" s="1"/>
  <c r="U15" i="23"/>
  <c r="U17" i="23"/>
  <c r="T17" i="23" s="1"/>
  <c r="S17" i="23" s="1"/>
  <c r="R17" i="23" s="1"/>
  <c r="P17" i="23" s="1"/>
  <c r="V17" i="23" s="1"/>
  <c r="U21" i="23"/>
  <c r="T21" i="23" s="1"/>
  <c r="S21" i="23" s="1"/>
  <c r="R21" i="23" s="1"/>
  <c r="P21" i="23" s="1"/>
  <c r="V21" i="23" s="1"/>
  <c r="U27" i="23"/>
  <c r="T27" i="23" s="1"/>
  <c r="S27" i="23" s="1"/>
  <c r="R27" i="23" s="1"/>
  <c r="P27" i="23" s="1"/>
  <c r="V27" i="23" s="1"/>
  <c r="U31" i="23"/>
  <c r="T31" i="23" s="1"/>
  <c r="S31" i="23" s="1"/>
  <c r="R31" i="23" s="1"/>
  <c r="P31" i="23" s="1"/>
  <c r="V31" i="23" s="1"/>
  <c r="U35" i="23"/>
  <c r="T35" i="23" s="1"/>
  <c r="S35" i="23" s="1"/>
  <c r="R35" i="23" s="1"/>
  <c r="P35" i="23" s="1"/>
  <c r="V35" i="23" s="1"/>
  <c r="U39" i="23"/>
  <c r="T39" i="23" s="1"/>
  <c r="S39" i="23" s="1"/>
  <c r="R39" i="23" s="1"/>
  <c r="P39" i="23" s="1"/>
  <c r="V39" i="23" s="1"/>
  <c r="U43" i="23"/>
  <c r="T43" i="23" s="1"/>
  <c r="S43" i="23" s="1"/>
  <c r="R43" i="23" s="1"/>
  <c r="P43" i="23" s="1"/>
  <c r="V43" i="23" s="1"/>
  <c r="U47" i="23"/>
  <c r="T47" i="23" s="1"/>
  <c r="S47" i="23" s="1"/>
  <c r="R47" i="23" s="1"/>
  <c r="P47" i="23" s="1"/>
  <c r="V47" i="23" s="1"/>
  <c r="U51" i="23"/>
  <c r="T51" i="23" s="1"/>
  <c r="S51" i="23" s="1"/>
  <c r="R51" i="23" s="1"/>
  <c r="P51" i="23" s="1"/>
  <c r="V51" i="23" s="1"/>
  <c r="U55" i="23"/>
  <c r="T55" i="23" s="1"/>
  <c r="S55" i="23" s="1"/>
  <c r="R55" i="23" s="1"/>
  <c r="P55" i="23" s="1"/>
  <c r="V55" i="23" s="1"/>
  <c r="U59" i="23"/>
  <c r="T59" i="23" s="1"/>
  <c r="S59" i="23" s="1"/>
  <c r="R59" i="23" s="1"/>
  <c r="P59" i="23" s="1"/>
  <c r="V59" i="23" s="1"/>
  <c r="U63" i="23"/>
  <c r="T63" i="23" s="1"/>
  <c r="S63" i="23" s="1"/>
  <c r="R63" i="23" s="1"/>
  <c r="P63" i="23" s="1"/>
  <c r="V63" i="23" s="1"/>
  <c r="U67" i="23"/>
  <c r="T67" i="23" s="1"/>
  <c r="S67" i="23" s="1"/>
  <c r="R67" i="23" s="1"/>
  <c r="P67" i="23" s="1"/>
  <c r="V67" i="23" s="1"/>
  <c r="U71" i="23"/>
  <c r="T71" i="23" s="1"/>
  <c r="S71" i="23" s="1"/>
  <c r="R71" i="23" s="1"/>
  <c r="P71" i="23" s="1"/>
  <c r="V71" i="23" s="1"/>
  <c r="U75" i="23"/>
  <c r="T75" i="23" s="1"/>
  <c r="S75" i="23" s="1"/>
  <c r="R75" i="23" s="1"/>
  <c r="P75" i="23" s="1"/>
  <c r="V75" i="23" s="1"/>
  <c r="U79" i="23"/>
  <c r="T79" i="23" s="1"/>
  <c r="S79" i="23" s="1"/>
  <c r="R79" i="23" s="1"/>
  <c r="P79" i="23" s="1"/>
  <c r="V79" i="23" s="1"/>
  <c r="U83" i="23"/>
  <c r="T83" i="23" s="1"/>
  <c r="S83" i="23" s="1"/>
  <c r="R83" i="23" s="1"/>
  <c r="P83" i="23" s="1"/>
  <c r="V83" i="23" s="1"/>
  <c r="U87" i="23"/>
  <c r="T87" i="23" s="1"/>
  <c r="S87" i="23" s="1"/>
  <c r="R87" i="23" s="1"/>
  <c r="P87" i="23" s="1"/>
  <c r="V87" i="23" s="1"/>
  <c r="U91" i="23"/>
  <c r="T91" i="23" s="1"/>
  <c r="S91" i="23" s="1"/>
  <c r="R91" i="23" s="1"/>
  <c r="P91" i="23" s="1"/>
  <c r="V91" i="23" s="1"/>
  <c r="U95" i="23"/>
  <c r="T95" i="23" s="1"/>
  <c r="S95" i="23" s="1"/>
  <c r="R95" i="23" s="1"/>
  <c r="P95" i="23" s="1"/>
  <c r="V95" i="23" s="1"/>
  <c r="U99" i="23"/>
  <c r="T99" i="23" s="1"/>
  <c r="S99" i="23" s="1"/>
  <c r="R99" i="23" s="1"/>
  <c r="P99" i="23" s="1"/>
  <c r="V99" i="23" s="1"/>
  <c r="U103" i="23"/>
  <c r="T103" i="23" s="1"/>
  <c r="S103" i="23" s="1"/>
  <c r="R103" i="23" s="1"/>
  <c r="P103" i="23" s="1"/>
  <c r="V103" i="23" s="1"/>
  <c r="U107" i="23"/>
  <c r="T107" i="23" s="1"/>
  <c r="S107" i="23" s="1"/>
  <c r="R107" i="23" s="1"/>
  <c r="P107" i="23" s="1"/>
  <c r="V107" i="23" s="1"/>
  <c r="U111" i="23"/>
  <c r="T111" i="23" s="1"/>
  <c r="S111" i="23" s="1"/>
  <c r="R111" i="23" s="1"/>
  <c r="P111" i="23" s="1"/>
  <c r="V111" i="23" s="1"/>
  <c r="U115" i="23"/>
  <c r="T115" i="23" s="1"/>
  <c r="S115" i="23" s="1"/>
  <c r="R115" i="23" s="1"/>
  <c r="P115" i="23" s="1"/>
  <c r="V115" i="23" s="1"/>
  <c r="U119" i="23"/>
  <c r="T119" i="23" s="1"/>
  <c r="S119" i="23" s="1"/>
  <c r="R119" i="23" s="1"/>
  <c r="P119" i="23" s="1"/>
  <c r="U123" i="23"/>
  <c r="T123" i="23" s="1"/>
  <c r="S123" i="23" s="1"/>
  <c r="R123" i="23" s="1"/>
  <c r="P123" i="23" s="1"/>
  <c r="V123" i="23" s="1"/>
  <c r="U127" i="23"/>
  <c r="T127" i="23" s="1"/>
  <c r="S127" i="23" s="1"/>
  <c r="R127" i="23" s="1"/>
  <c r="P127" i="23" s="1"/>
  <c r="V127" i="23" s="1"/>
  <c r="U131" i="23"/>
  <c r="T131" i="23" s="1"/>
  <c r="S131" i="23" s="1"/>
  <c r="R131" i="23" s="1"/>
  <c r="P131" i="23" s="1"/>
  <c r="V131" i="23" s="1"/>
  <c r="U135" i="23"/>
  <c r="T135" i="23" s="1"/>
  <c r="S135" i="23" s="1"/>
  <c r="R135" i="23" s="1"/>
  <c r="P135" i="23" s="1"/>
  <c r="V135" i="23" s="1"/>
  <c r="U139" i="23"/>
  <c r="T139" i="23" s="1"/>
  <c r="S139" i="23" s="1"/>
  <c r="R139" i="23" s="1"/>
  <c r="P139" i="23" s="1"/>
  <c r="V139" i="23" s="1"/>
  <c r="U143" i="23"/>
  <c r="T143" i="23" s="1"/>
  <c r="S143" i="23" s="1"/>
  <c r="R143" i="23" s="1"/>
  <c r="P143" i="23" s="1"/>
  <c r="V143" i="23" s="1"/>
  <c r="U147" i="23"/>
  <c r="T147" i="23" s="1"/>
  <c r="S147" i="23" s="1"/>
  <c r="R147" i="23" s="1"/>
  <c r="P147" i="23" s="1"/>
  <c r="V147" i="23" s="1"/>
  <c r="U151" i="23"/>
  <c r="T151" i="23" s="1"/>
  <c r="S151" i="23" s="1"/>
  <c r="R151" i="23" s="1"/>
  <c r="P151" i="23" s="1"/>
  <c r="V151" i="23" s="1"/>
  <c r="U155" i="23"/>
  <c r="T155" i="23" s="1"/>
  <c r="S155" i="23" s="1"/>
  <c r="R155" i="23" s="1"/>
  <c r="P155" i="23" s="1"/>
  <c r="V155" i="23" s="1"/>
  <c r="U159" i="23"/>
  <c r="T159" i="23" s="1"/>
  <c r="S159" i="23" s="1"/>
  <c r="R159" i="23" s="1"/>
  <c r="P159" i="23" s="1"/>
  <c r="V159" i="23" s="1"/>
  <c r="U163" i="23"/>
  <c r="T163" i="23" s="1"/>
  <c r="S163" i="23" s="1"/>
  <c r="R163" i="23" s="1"/>
  <c r="P163" i="23" s="1"/>
  <c r="V163" i="23" s="1"/>
  <c r="U167" i="23"/>
  <c r="T167" i="23" s="1"/>
  <c r="S167" i="23" s="1"/>
  <c r="R167" i="23" s="1"/>
  <c r="P167" i="23" s="1"/>
  <c r="V167" i="23" s="1"/>
  <c r="U171" i="23"/>
  <c r="T171" i="23" s="1"/>
  <c r="S171" i="23" s="1"/>
  <c r="R171" i="23" s="1"/>
  <c r="P171" i="23" s="1"/>
  <c r="V171" i="23" s="1"/>
  <c r="U175" i="23"/>
  <c r="T175" i="23" s="1"/>
  <c r="S175" i="23" s="1"/>
  <c r="R175" i="23" s="1"/>
  <c r="P175" i="23" s="1"/>
  <c r="V175" i="23" s="1"/>
  <c r="U179" i="23"/>
  <c r="T179" i="23" s="1"/>
  <c r="S179" i="23" s="1"/>
  <c r="R179" i="23" s="1"/>
  <c r="P179" i="23" s="1"/>
  <c r="V179" i="23" s="1"/>
  <c r="U183" i="23"/>
  <c r="T183" i="23" s="1"/>
  <c r="S183" i="23" s="1"/>
  <c r="R183" i="23" s="1"/>
  <c r="P183" i="23" s="1"/>
  <c r="V183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U378" i="23"/>
  <c r="T378" i="23" s="1"/>
  <c r="S378" i="23" s="1"/>
  <c r="R378" i="23" s="1"/>
  <c r="P378" i="23" s="1"/>
  <c r="V378" i="23" s="1"/>
  <c r="U374" i="23"/>
  <c r="T374" i="23" s="1"/>
  <c r="S374" i="23" s="1"/>
  <c r="R374" i="23" s="1"/>
  <c r="P374" i="23" s="1"/>
  <c r="V374" i="23" s="1"/>
  <c r="U370" i="23"/>
  <c r="T370" i="23" s="1"/>
  <c r="S370" i="23" s="1"/>
  <c r="R370" i="23" s="1"/>
  <c r="P370" i="23" s="1"/>
  <c r="V370" i="23" s="1"/>
  <c r="U366" i="23"/>
  <c r="T366" i="23" s="1"/>
  <c r="S366" i="23" s="1"/>
  <c r="R366" i="23" s="1"/>
  <c r="P366" i="23" s="1"/>
  <c r="V366" i="23" s="1"/>
  <c r="U362" i="23"/>
  <c r="T362" i="23" s="1"/>
  <c r="S362" i="23" s="1"/>
  <c r="R362" i="23" s="1"/>
  <c r="P362" i="23" s="1"/>
  <c r="V362" i="23" s="1"/>
  <c r="U358" i="23"/>
  <c r="T358" i="23" s="1"/>
  <c r="S358" i="23" s="1"/>
  <c r="R358" i="23" s="1"/>
  <c r="P358" i="23" s="1"/>
  <c r="V358" i="23" s="1"/>
  <c r="U354" i="23"/>
  <c r="T354" i="23" s="1"/>
  <c r="S354" i="23" s="1"/>
  <c r="R354" i="23" s="1"/>
  <c r="P354" i="23" s="1"/>
  <c r="V354" i="23" s="1"/>
  <c r="U350" i="23"/>
  <c r="T350" i="23" s="1"/>
  <c r="S350" i="23" s="1"/>
  <c r="R350" i="23" s="1"/>
  <c r="P350" i="23" s="1"/>
  <c r="V350" i="23" s="1"/>
  <c r="U346" i="23"/>
  <c r="T346" i="23" s="1"/>
  <c r="S346" i="23" s="1"/>
  <c r="R346" i="23" s="1"/>
  <c r="P346" i="23" s="1"/>
  <c r="V346" i="23" s="1"/>
  <c r="U342" i="23"/>
  <c r="T342" i="23" s="1"/>
  <c r="S342" i="23" s="1"/>
  <c r="R342" i="23" s="1"/>
  <c r="P342" i="23" s="1"/>
  <c r="V342" i="23" s="1"/>
  <c r="U338" i="23"/>
  <c r="T338" i="23" s="1"/>
  <c r="S338" i="23" s="1"/>
  <c r="R338" i="23" s="1"/>
  <c r="P338" i="23" s="1"/>
  <c r="V338" i="23" s="1"/>
  <c r="U334" i="23"/>
  <c r="T334" i="23" s="1"/>
  <c r="S334" i="23" s="1"/>
  <c r="R334" i="23" s="1"/>
  <c r="P334" i="23" s="1"/>
  <c r="V334" i="23" s="1"/>
  <c r="U330" i="23"/>
  <c r="T330" i="23" s="1"/>
  <c r="S330" i="23" s="1"/>
  <c r="R330" i="23" s="1"/>
  <c r="P330" i="23" s="1"/>
  <c r="V330" i="23" s="1"/>
  <c r="U326" i="23"/>
  <c r="T326" i="23" s="1"/>
  <c r="S326" i="23" s="1"/>
  <c r="R326" i="23" s="1"/>
  <c r="P326" i="23" s="1"/>
  <c r="V326" i="23" s="1"/>
  <c r="U322" i="23"/>
  <c r="T322" i="23" s="1"/>
  <c r="S322" i="23" s="1"/>
  <c r="R322" i="23" s="1"/>
  <c r="P322" i="23" s="1"/>
  <c r="V322" i="23" s="1"/>
  <c r="U318" i="23"/>
  <c r="T318" i="23" s="1"/>
  <c r="S318" i="23" s="1"/>
  <c r="R318" i="23" s="1"/>
  <c r="P318" i="23" s="1"/>
  <c r="V318" i="23" s="1"/>
  <c r="U314" i="23"/>
  <c r="T314" i="23" s="1"/>
  <c r="S314" i="23" s="1"/>
  <c r="R314" i="23" s="1"/>
  <c r="P314" i="23" s="1"/>
  <c r="V314" i="23" s="1"/>
  <c r="U310" i="23"/>
  <c r="T310" i="23" s="1"/>
  <c r="S310" i="23" s="1"/>
  <c r="R310" i="23" s="1"/>
  <c r="P310" i="23" s="1"/>
  <c r="V310" i="23" s="1"/>
  <c r="U306" i="23"/>
  <c r="T306" i="23" s="1"/>
  <c r="S306" i="23" s="1"/>
  <c r="R306" i="23" s="1"/>
  <c r="P306" i="23" s="1"/>
  <c r="V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U294" i="23"/>
  <c r="T294" i="23" s="1"/>
  <c r="S294" i="23" s="1"/>
  <c r="R294" i="23" s="1"/>
  <c r="P294" i="23" s="1"/>
  <c r="V294" i="23" s="1"/>
  <c r="U290" i="23"/>
  <c r="T290" i="23" s="1"/>
  <c r="S290" i="23" s="1"/>
  <c r="R290" i="23" s="1"/>
  <c r="P290" i="23" s="1"/>
  <c r="V290" i="23" s="1"/>
  <c r="U286" i="23"/>
  <c r="T286" i="23" s="1"/>
  <c r="S286" i="23" s="1"/>
  <c r="R286" i="23" s="1"/>
  <c r="P286" i="23" s="1"/>
  <c r="V286" i="23" s="1"/>
  <c r="U282" i="23"/>
  <c r="T282" i="23" s="1"/>
  <c r="S282" i="23" s="1"/>
  <c r="R282" i="23" s="1"/>
  <c r="P282" i="23" s="1"/>
  <c r="V282" i="23" s="1"/>
  <c r="U278" i="23"/>
  <c r="T278" i="23" s="1"/>
  <c r="S278" i="23" s="1"/>
  <c r="R278" i="23" s="1"/>
  <c r="P278" i="23" s="1"/>
  <c r="V278" i="23" s="1"/>
  <c r="U274" i="23"/>
  <c r="T274" i="23" s="1"/>
  <c r="S274" i="23" s="1"/>
  <c r="R274" i="23" s="1"/>
  <c r="P274" i="23" s="1"/>
  <c r="V274" i="23" s="1"/>
  <c r="U270" i="23"/>
  <c r="T270" i="23" s="1"/>
  <c r="S270" i="23" s="1"/>
  <c r="R270" i="23" s="1"/>
  <c r="P270" i="23" s="1"/>
  <c r="V270" i="23" s="1"/>
  <c r="U266" i="23"/>
  <c r="T266" i="23" s="1"/>
  <c r="S266" i="23" s="1"/>
  <c r="R266" i="23" s="1"/>
  <c r="P266" i="23" s="1"/>
  <c r="V266" i="23" s="1"/>
  <c r="U262" i="23"/>
  <c r="T262" i="23" s="1"/>
  <c r="S262" i="23" s="1"/>
  <c r="R262" i="23" s="1"/>
  <c r="P262" i="23" s="1"/>
  <c r="V262" i="23" s="1"/>
  <c r="U258" i="23"/>
  <c r="T258" i="23" s="1"/>
  <c r="S258" i="23" s="1"/>
  <c r="R258" i="23" s="1"/>
  <c r="P258" i="23" s="1"/>
  <c r="V258" i="23" s="1"/>
  <c r="U254" i="23"/>
  <c r="T254" i="23" s="1"/>
  <c r="S254" i="23" s="1"/>
  <c r="R254" i="23" s="1"/>
  <c r="P254" i="23" s="1"/>
  <c r="V254" i="23" s="1"/>
  <c r="U250" i="23"/>
  <c r="T250" i="23" s="1"/>
  <c r="S250" i="23" s="1"/>
  <c r="R250" i="23" s="1"/>
  <c r="P250" i="23" s="1"/>
  <c r="V250" i="23" s="1"/>
  <c r="U246" i="23"/>
  <c r="T246" i="23" s="1"/>
  <c r="S246" i="23" s="1"/>
  <c r="R246" i="23" s="1"/>
  <c r="P246" i="23" s="1"/>
  <c r="V246" i="23" s="1"/>
  <c r="U242" i="23"/>
  <c r="T242" i="23" s="1"/>
  <c r="S242" i="23" s="1"/>
  <c r="R242" i="23" s="1"/>
  <c r="P242" i="23" s="1"/>
  <c r="V242" i="23" s="1"/>
  <c r="U238" i="23"/>
  <c r="T238" i="23" s="1"/>
  <c r="S238" i="23" s="1"/>
  <c r="R238" i="23" s="1"/>
  <c r="P238" i="23" s="1"/>
  <c r="V238" i="23" s="1"/>
  <c r="U234" i="23"/>
  <c r="T234" i="23" s="1"/>
  <c r="S234" i="23" s="1"/>
  <c r="R234" i="23" s="1"/>
  <c r="P234" i="23" s="1"/>
  <c r="V234" i="23" s="1"/>
  <c r="U230" i="23"/>
  <c r="T230" i="23" s="1"/>
  <c r="S230" i="23" s="1"/>
  <c r="R230" i="23" s="1"/>
  <c r="P230" i="23" s="1"/>
  <c r="V230" i="23" s="1"/>
  <c r="U226" i="23"/>
  <c r="T226" i="23" s="1"/>
  <c r="S226" i="23" s="1"/>
  <c r="R226" i="23" s="1"/>
  <c r="P226" i="23" s="1"/>
  <c r="V226" i="23" s="1"/>
  <c r="U222" i="23"/>
  <c r="T222" i="23" s="1"/>
  <c r="S222" i="23" s="1"/>
  <c r="R222" i="23" s="1"/>
  <c r="P222" i="23" s="1"/>
  <c r="V222" i="23" s="1"/>
  <c r="U218" i="23"/>
  <c r="T218" i="23" s="1"/>
  <c r="S218" i="23" s="1"/>
  <c r="R218" i="23" s="1"/>
  <c r="P218" i="23" s="1"/>
  <c r="V218" i="23" s="1"/>
  <c r="U214" i="23"/>
  <c r="T214" i="23" s="1"/>
  <c r="S214" i="23" s="1"/>
  <c r="R214" i="23" s="1"/>
  <c r="P214" i="23" s="1"/>
  <c r="V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U202" i="23"/>
  <c r="T202" i="23" s="1"/>
  <c r="S202" i="23" s="1"/>
  <c r="R202" i="23" s="1"/>
  <c r="P202" i="23" s="1"/>
  <c r="V202" i="23" s="1"/>
  <c r="U198" i="23"/>
  <c r="T198" i="23" s="1"/>
  <c r="S198" i="23" s="1"/>
  <c r="R198" i="23" s="1"/>
  <c r="P198" i="23" s="1"/>
  <c r="V198" i="23" s="1"/>
  <c r="U194" i="23"/>
  <c r="T194" i="23" s="1"/>
  <c r="S194" i="23" s="1"/>
  <c r="R194" i="23" s="1"/>
  <c r="P194" i="23" s="1"/>
  <c r="V194" i="23" s="1"/>
  <c r="U190" i="23"/>
  <c r="T190" i="23" s="1"/>
  <c r="S190" i="23" s="1"/>
  <c r="R190" i="23" s="1"/>
  <c r="P190" i="23" s="1"/>
  <c r="V190" i="23" s="1"/>
  <c r="U186" i="23"/>
  <c r="T186" i="23" s="1"/>
  <c r="S186" i="23" s="1"/>
  <c r="R186" i="23" s="1"/>
  <c r="P186" i="23" s="1"/>
  <c r="V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U164" i="23"/>
  <c r="T164" i="23" s="1"/>
  <c r="S164" i="23" s="1"/>
  <c r="R164" i="23" s="1"/>
  <c r="P164" i="23" s="1"/>
  <c r="V164" i="23" s="1"/>
  <c r="U156" i="23"/>
  <c r="T156" i="23" s="1"/>
  <c r="S156" i="23" s="1"/>
  <c r="R156" i="23" s="1"/>
  <c r="P156" i="23" s="1"/>
  <c r="V156" i="23" s="1"/>
  <c r="U148" i="23"/>
  <c r="T148" i="23" s="1"/>
  <c r="S148" i="23" s="1"/>
  <c r="R148" i="23" s="1"/>
  <c r="P148" i="23" s="1"/>
  <c r="V148" i="23" s="1"/>
  <c r="U140" i="23"/>
  <c r="T140" i="23" s="1"/>
  <c r="S140" i="23" s="1"/>
  <c r="R140" i="23" s="1"/>
  <c r="P140" i="23" s="1"/>
  <c r="V140" i="23" s="1"/>
  <c r="U132" i="23"/>
  <c r="T132" i="23" s="1"/>
  <c r="S132" i="23" s="1"/>
  <c r="R132" i="23" s="1"/>
  <c r="P132" i="23" s="1"/>
  <c r="V132" i="23" s="1"/>
  <c r="U124" i="23"/>
  <c r="T124" i="23" s="1"/>
  <c r="S124" i="23" s="1"/>
  <c r="R124" i="23" s="1"/>
  <c r="P124" i="23" s="1"/>
  <c r="V124" i="23" s="1"/>
  <c r="U116" i="23"/>
  <c r="T116" i="23" s="1"/>
  <c r="S116" i="23" s="1"/>
  <c r="R116" i="23" s="1"/>
  <c r="P116" i="23" s="1"/>
  <c r="V116" i="23" s="1"/>
  <c r="U108" i="23"/>
  <c r="T108" i="23" s="1"/>
  <c r="S108" i="23" s="1"/>
  <c r="R108" i="23" s="1"/>
  <c r="P108" i="23" s="1"/>
  <c r="V108" i="23" s="1"/>
  <c r="U100" i="23"/>
  <c r="T100" i="23" s="1"/>
  <c r="S100" i="23" s="1"/>
  <c r="R100" i="23" s="1"/>
  <c r="P100" i="23" s="1"/>
  <c r="V100" i="23" s="1"/>
  <c r="U92" i="23"/>
  <c r="T92" i="23" s="1"/>
  <c r="S92" i="23" s="1"/>
  <c r="R92" i="23" s="1"/>
  <c r="P92" i="23" s="1"/>
  <c r="V92" i="23" s="1"/>
  <c r="U84" i="23"/>
  <c r="T84" i="23" s="1"/>
  <c r="S84" i="23" s="1"/>
  <c r="R84" i="23" s="1"/>
  <c r="P84" i="23" s="1"/>
  <c r="V84" i="23" s="1"/>
  <c r="U76" i="23"/>
  <c r="T76" i="23" s="1"/>
  <c r="S76" i="23" s="1"/>
  <c r="R76" i="23" s="1"/>
  <c r="P76" i="23" s="1"/>
  <c r="V76" i="23" s="1"/>
  <c r="U68" i="23"/>
  <c r="T68" i="23" s="1"/>
  <c r="S68" i="23" s="1"/>
  <c r="R68" i="23" s="1"/>
  <c r="P68" i="23" s="1"/>
  <c r="V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U44" i="23"/>
  <c r="T44" i="23" s="1"/>
  <c r="S44" i="23" s="1"/>
  <c r="R44" i="23" s="1"/>
  <c r="P44" i="23" s="1"/>
  <c r="V44" i="23" s="1"/>
  <c r="U36" i="23"/>
  <c r="T36" i="23" s="1"/>
  <c r="S36" i="23" s="1"/>
  <c r="R36" i="23" s="1"/>
  <c r="P36" i="23" s="1"/>
  <c r="V36" i="23" s="1"/>
  <c r="U28" i="23"/>
  <c r="T28" i="23" s="1"/>
  <c r="S28" i="23" s="1"/>
  <c r="R28" i="23" s="1"/>
  <c r="P28" i="23" s="1"/>
  <c r="V28" i="23" s="1"/>
  <c r="U19" i="23"/>
  <c r="T19" i="23" s="1"/>
  <c r="S19" i="23" s="1"/>
  <c r="R19" i="23" s="1"/>
  <c r="P19" i="23" s="1"/>
  <c r="V19" i="23" s="1"/>
  <c r="AI324" i="23"/>
  <c r="AH324" i="23" s="1"/>
  <c r="AG324" i="23" s="1"/>
  <c r="AF324" i="23" s="1"/>
  <c r="AD324" i="23" s="1"/>
  <c r="AI317" i="23"/>
  <c r="AH317" i="23" s="1"/>
  <c r="AG317" i="23" s="1"/>
  <c r="AF317" i="23" s="1"/>
  <c r="AD317" i="23" s="1"/>
  <c r="AI309" i="23"/>
  <c r="AH309" i="23" s="1"/>
  <c r="AG309" i="23" s="1"/>
  <c r="AF309" i="23" s="1"/>
  <c r="AD309" i="23" s="1"/>
  <c r="AI301" i="23"/>
  <c r="AH301" i="23" s="1"/>
  <c r="AG301" i="23" s="1"/>
  <c r="AF301" i="23" s="1"/>
  <c r="AD301" i="23" s="1"/>
  <c r="AI293" i="23"/>
  <c r="AH293" i="23" s="1"/>
  <c r="AG293" i="23" s="1"/>
  <c r="AF293" i="23" s="1"/>
  <c r="AD293" i="23" s="1"/>
  <c r="AI285" i="23"/>
  <c r="AH285" i="23" s="1"/>
  <c r="AG285" i="23" s="1"/>
  <c r="AF285" i="23" s="1"/>
  <c r="AD285" i="23" s="1"/>
  <c r="AI277" i="23"/>
  <c r="AH277" i="23" s="1"/>
  <c r="AG277" i="23" s="1"/>
  <c r="AF277" i="23" s="1"/>
  <c r="AD277" i="23" s="1"/>
  <c r="AI269" i="23"/>
  <c r="AH269" i="23" s="1"/>
  <c r="AG269" i="23" s="1"/>
  <c r="AF269" i="23" s="1"/>
  <c r="AD269" i="23" s="1"/>
  <c r="AI261" i="23"/>
  <c r="AH261" i="23" s="1"/>
  <c r="AG261" i="23" s="1"/>
  <c r="AF261" i="23" s="1"/>
  <c r="AD261" i="23" s="1"/>
  <c r="AI253" i="23"/>
  <c r="AH253" i="23" s="1"/>
  <c r="AG253" i="23" s="1"/>
  <c r="AF253" i="23" s="1"/>
  <c r="AD253" i="23" s="1"/>
  <c r="AI245" i="23"/>
  <c r="AH245" i="23" s="1"/>
  <c r="AG245" i="23" s="1"/>
  <c r="AF245" i="23" s="1"/>
  <c r="AD245" i="23" s="1"/>
  <c r="AI237" i="23"/>
  <c r="AH237" i="23" s="1"/>
  <c r="AG237" i="23" s="1"/>
  <c r="AF237" i="23" s="1"/>
  <c r="AD237" i="23" s="1"/>
  <c r="AI229" i="23"/>
  <c r="AH229" i="23" s="1"/>
  <c r="AG229" i="23" s="1"/>
  <c r="AF229" i="23" s="1"/>
  <c r="AD229" i="23" s="1"/>
  <c r="AI221" i="23"/>
  <c r="AH221" i="23" s="1"/>
  <c r="AG221" i="23" s="1"/>
  <c r="AF221" i="23" s="1"/>
  <c r="AD221" i="23" s="1"/>
  <c r="AI213" i="23"/>
  <c r="AH213" i="23" s="1"/>
  <c r="AG213" i="23" s="1"/>
  <c r="AF213" i="23" s="1"/>
  <c r="AD213" i="23" s="1"/>
  <c r="AI205" i="23"/>
  <c r="AH205" i="23" s="1"/>
  <c r="AG205" i="23" s="1"/>
  <c r="AF205" i="23" s="1"/>
  <c r="AD205" i="23" s="1"/>
  <c r="AI197" i="23"/>
  <c r="AH197" i="23" s="1"/>
  <c r="AG197" i="23" s="1"/>
  <c r="AF197" i="23" s="1"/>
  <c r="AD197" i="23" s="1"/>
  <c r="AI189" i="23"/>
  <c r="AH189" i="23" s="1"/>
  <c r="AG189" i="23" s="1"/>
  <c r="AF189" i="23" s="1"/>
  <c r="AD189" i="23" s="1"/>
  <c r="AI181" i="23"/>
  <c r="AH181" i="23" s="1"/>
  <c r="AG181" i="23" s="1"/>
  <c r="AF181" i="23" s="1"/>
  <c r="AD181" i="23" s="1"/>
  <c r="AI173" i="23"/>
  <c r="AH173" i="23" s="1"/>
  <c r="AG173" i="23" s="1"/>
  <c r="AF173" i="23" s="1"/>
  <c r="AD173" i="23" s="1"/>
  <c r="AI165" i="23"/>
  <c r="AH165" i="23" s="1"/>
  <c r="AG165" i="23" s="1"/>
  <c r="AF165" i="23" s="1"/>
  <c r="AD165" i="23" s="1"/>
  <c r="AI157" i="23"/>
  <c r="AH157" i="23" s="1"/>
  <c r="AG157" i="23" s="1"/>
  <c r="AF157" i="23" s="1"/>
  <c r="AD157" i="23" s="1"/>
  <c r="AI149" i="23"/>
  <c r="AH149" i="23" s="1"/>
  <c r="AG149" i="23" s="1"/>
  <c r="AF149" i="23" s="1"/>
  <c r="AD149" i="23" s="1"/>
  <c r="AI141" i="23"/>
  <c r="AH141" i="23" s="1"/>
  <c r="AG141" i="23" s="1"/>
  <c r="AF141" i="23" s="1"/>
  <c r="AD141" i="23" s="1"/>
  <c r="AI133" i="23"/>
  <c r="AH133" i="23" s="1"/>
  <c r="AG133" i="23" s="1"/>
  <c r="AF133" i="23" s="1"/>
  <c r="AD133" i="23" s="1"/>
  <c r="AI125" i="23"/>
  <c r="AH125" i="23" s="1"/>
  <c r="AG125" i="23" s="1"/>
  <c r="AF125" i="23" s="1"/>
  <c r="AD125" i="23" s="1"/>
  <c r="AI117" i="23"/>
  <c r="AH117" i="23" s="1"/>
  <c r="AG117" i="23" s="1"/>
  <c r="AF117" i="23" s="1"/>
  <c r="AD117" i="23" s="1"/>
  <c r="AI109" i="23"/>
  <c r="AH109" i="23" s="1"/>
  <c r="AG109" i="23" s="1"/>
  <c r="AF109" i="23" s="1"/>
  <c r="AD109" i="23" s="1"/>
  <c r="AI101" i="23"/>
  <c r="AH101" i="23" s="1"/>
  <c r="AG101" i="23" s="1"/>
  <c r="AF101" i="23" s="1"/>
  <c r="AD101" i="23" s="1"/>
  <c r="AI93" i="23"/>
  <c r="AH93" i="23" s="1"/>
  <c r="AG93" i="23" s="1"/>
  <c r="AF93" i="23" s="1"/>
  <c r="AD93" i="23" s="1"/>
  <c r="AI85" i="23"/>
  <c r="AH85" i="23" s="1"/>
  <c r="AG85" i="23" s="1"/>
  <c r="AF85" i="23" s="1"/>
  <c r="AD85" i="23" s="1"/>
  <c r="AI77" i="23"/>
  <c r="AH77" i="23" s="1"/>
  <c r="AG77" i="23" s="1"/>
  <c r="AF77" i="23" s="1"/>
  <c r="AD77" i="23" s="1"/>
  <c r="AI68" i="23"/>
  <c r="AH68" i="23" s="1"/>
  <c r="AG68" i="23" s="1"/>
  <c r="AF68" i="23" s="1"/>
  <c r="AD68" i="23" s="1"/>
  <c r="AI43" i="23"/>
  <c r="AH43" i="23" s="1"/>
  <c r="AG43" i="23" s="1"/>
  <c r="AF43" i="23" s="1"/>
  <c r="AD43" i="23" s="1"/>
  <c r="U367" i="23"/>
  <c r="T367" i="23" s="1"/>
  <c r="S367" i="23" s="1"/>
  <c r="R367" i="23" s="1"/>
  <c r="P367" i="23" s="1"/>
  <c r="V367" i="23" s="1"/>
  <c r="U335" i="23"/>
  <c r="T335" i="23" s="1"/>
  <c r="S335" i="23" s="1"/>
  <c r="R335" i="23" s="1"/>
  <c r="P335" i="23" s="1"/>
  <c r="V335" i="23" s="1"/>
  <c r="U303" i="23"/>
  <c r="T303" i="23" s="1"/>
  <c r="S303" i="23" s="1"/>
  <c r="R303" i="23" s="1"/>
  <c r="P303" i="23" s="1"/>
  <c r="V303" i="23" s="1"/>
  <c r="U271" i="23"/>
  <c r="T271" i="23" s="1"/>
  <c r="S271" i="23" s="1"/>
  <c r="R271" i="23" s="1"/>
  <c r="P271" i="23" s="1"/>
  <c r="V271" i="23" s="1"/>
  <c r="U239" i="23"/>
  <c r="T239" i="23" s="1"/>
  <c r="S239" i="23" s="1"/>
  <c r="R239" i="23" s="1"/>
  <c r="P239" i="23" s="1"/>
  <c r="V239" i="23" s="1"/>
  <c r="U207" i="23"/>
  <c r="T207" i="23" s="1"/>
  <c r="S207" i="23" s="1"/>
  <c r="R207" i="23" s="1"/>
  <c r="P207" i="23" s="1"/>
  <c r="V207" i="23" s="1"/>
  <c r="U166" i="23"/>
  <c r="T166" i="23" s="1"/>
  <c r="S166" i="23" s="1"/>
  <c r="R166" i="23" s="1"/>
  <c r="P166" i="23" s="1"/>
  <c r="V166" i="23" s="1"/>
  <c r="U102" i="23"/>
  <c r="T102" i="23" s="1"/>
  <c r="S102" i="23" s="1"/>
  <c r="R102" i="23" s="1"/>
  <c r="P102" i="23" s="1"/>
  <c r="V102" i="23" s="1"/>
  <c r="U38" i="23"/>
  <c r="T38" i="23" s="1"/>
  <c r="S38" i="23" s="1"/>
  <c r="R38" i="23" s="1"/>
  <c r="P38" i="23" s="1"/>
  <c r="V38" i="23" s="1"/>
  <c r="AU16" i="7"/>
  <c r="U22" i="23"/>
  <c r="T22" i="23" s="1"/>
  <c r="S22" i="23" s="1"/>
  <c r="R22" i="23" s="1"/>
  <c r="P22" i="23" s="1"/>
  <c r="V22" i="23" s="1"/>
  <c r="U16" i="23"/>
  <c r="T16" i="23" s="1"/>
  <c r="S16" i="23" s="1"/>
  <c r="R16" i="23" s="1"/>
  <c r="P16" i="23" s="1"/>
  <c r="V16" i="23" s="1"/>
  <c r="U25" i="23"/>
  <c r="T25" i="23" s="1"/>
  <c r="S25" i="23" s="1"/>
  <c r="R25" i="23" s="1"/>
  <c r="P25" i="23" s="1"/>
  <c r="V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U37" i="23"/>
  <c r="T37" i="23" s="1"/>
  <c r="S37" i="23" s="1"/>
  <c r="R37" i="23" s="1"/>
  <c r="P37" i="23" s="1"/>
  <c r="V37" i="23" s="1"/>
  <c r="U41" i="23"/>
  <c r="T41" i="23" s="1"/>
  <c r="S41" i="23" s="1"/>
  <c r="R41" i="23" s="1"/>
  <c r="P41" i="23" s="1"/>
  <c r="V41" i="23" s="1"/>
  <c r="U45" i="23"/>
  <c r="T45" i="23" s="1"/>
  <c r="S45" i="23" s="1"/>
  <c r="R45" i="23" s="1"/>
  <c r="P45" i="23" s="1"/>
  <c r="V45" i="23" s="1"/>
  <c r="U49" i="23"/>
  <c r="T49" i="23" s="1"/>
  <c r="S49" i="23" s="1"/>
  <c r="R49" i="23" s="1"/>
  <c r="P49" i="23" s="1"/>
  <c r="V49" i="23" s="1"/>
  <c r="U53" i="23"/>
  <c r="T53" i="23" s="1"/>
  <c r="S53" i="23" s="1"/>
  <c r="R53" i="23" s="1"/>
  <c r="P53" i="23" s="1"/>
  <c r="V53" i="23" s="1"/>
  <c r="U57" i="23"/>
  <c r="T57" i="23" s="1"/>
  <c r="S57" i="23" s="1"/>
  <c r="R57" i="23" s="1"/>
  <c r="P57" i="23" s="1"/>
  <c r="V57" i="23" s="1"/>
  <c r="U61" i="23"/>
  <c r="T61" i="23" s="1"/>
  <c r="S61" i="23" s="1"/>
  <c r="R61" i="23" s="1"/>
  <c r="P61" i="23" s="1"/>
  <c r="V61" i="23" s="1"/>
  <c r="U65" i="23"/>
  <c r="T65" i="23" s="1"/>
  <c r="S65" i="23" s="1"/>
  <c r="R65" i="23" s="1"/>
  <c r="P65" i="23" s="1"/>
  <c r="V65" i="23" s="1"/>
  <c r="U69" i="23"/>
  <c r="T69" i="23" s="1"/>
  <c r="S69" i="23" s="1"/>
  <c r="R69" i="23" s="1"/>
  <c r="P69" i="23" s="1"/>
  <c r="V69" i="23" s="1"/>
  <c r="U73" i="23"/>
  <c r="T73" i="23" s="1"/>
  <c r="S73" i="23" s="1"/>
  <c r="R73" i="23" s="1"/>
  <c r="P73" i="23" s="1"/>
  <c r="V73" i="23" s="1"/>
  <c r="U77" i="23"/>
  <c r="T77" i="23" s="1"/>
  <c r="S77" i="23" s="1"/>
  <c r="R77" i="23" s="1"/>
  <c r="P77" i="23" s="1"/>
  <c r="V77" i="23" s="1"/>
  <c r="U81" i="23"/>
  <c r="T81" i="23" s="1"/>
  <c r="S81" i="23" s="1"/>
  <c r="R81" i="23" s="1"/>
  <c r="P81" i="23" s="1"/>
  <c r="V81" i="23" s="1"/>
  <c r="U85" i="23"/>
  <c r="T85" i="23" s="1"/>
  <c r="S85" i="23" s="1"/>
  <c r="R85" i="23" s="1"/>
  <c r="P85" i="23" s="1"/>
  <c r="V85" i="23" s="1"/>
  <c r="U89" i="23"/>
  <c r="T89" i="23" s="1"/>
  <c r="S89" i="23" s="1"/>
  <c r="R89" i="23" s="1"/>
  <c r="P89" i="23" s="1"/>
  <c r="V89" i="23" s="1"/>
  <c r="U93" i="23"/>
  <c r="T93" i="23" s="1"/>
  <c r="S93" i="23" s="1"/>
  <c r="R93" i="23" s="1"/>
  <c r="P93" i="23" s="1"/>
  <c r="V93" i="23" s="1"/>
  <c r="U97" i="23"/>
  <c r="T97" i="23" s="1"/>
  <c r="S97" i="23" s="1"/>
  <c r="R97" i="23" s="1"/>
  <c r="P97" i="23" s="1"/>
  <c r="V97" i="23" s="1"/>
  <c r="U101" i="23"/>
  <c r="T101" i="23" s="1"/>
  <c r="S101" i="23" s="1"/>
  <c r="R101" i="23" s="1"/>
  <c r="P101" i="23" s="1"/>
  <c r="V101" i="23" s="1"/>
  <c r="U105" i="23"/>
  <c r="T105" i="23" s="1"/>
  <c r="S105" i="23" s="1"/>
  <c r="R105" i="23" s="1"/>
  <c r="P105" i="23" s="1"/>
  <c r="V105" i="23" s="1"/>
  <c r="U109" i="23"/>
  <c r="T109" i="23" s="1"/>
  <c r="S109" i="23" s="1"/>
  <c r="R109" i="23" s="1"/>
  <c r="P109" i="23" s="1"/>
  <c r="V109" i="23" s="1"/>
  <c r="U113" i="23"/>
  <c r="T113" i="23" s="1"/>
  <c r="S113" i="23" s="1"/>
  <c r="R113" i="23" s="1"/>
  <c r="P113" i="23" s="1"/>
  <c r="V113" i="23" s="1"/>
  <c r="U117" i="23"/>
  <c r="T117" i="23" s="1"/>
  <c r="S117" i="23" s="1"/>
  <c r="R117" i="23" s="1"/>
  <c r="P117" i="23" s="1"/>
  <c r="V117" i="23" s="1"/>
  <c r="U121" i="23"/>
  <c r="T121" i="23" s="1"/>
  <c r="S121" i="23" s="1"/>
  <c r="R121" i="23" s="1"/>
  <c r="P121" i="23" s="1"/>
  <c r="V121" i="23" s="1"/>
  <c r="U125" i="23"/>
  <c r="T125" i="23" s="1"/>
  <c r="S125" i="23" s="1"/>
  <c r="R125" i="23" s="1"/>
  <c r="P125" i="23" s="1"/>
  <c r="V125" i="23" s="1"/>
  <c r="U129" i="23"/>
  <c r="T129" i="23" s="1"/>
  <c r="S129" i="23" s="1"/>
  <c r="R129" i="23" s="1"/>
  <c r="P129" i="23" s="1"/>
  <c r="V129" i="23" s="1"/>
  <c r="U133" i="23"/>
  <c r="T133" i="23" s="1"/>
  <c r="S133" i="23" s="1"/>
  <c r="R133" i="23" s="1"/>
  <c r="P133" i="23" s="1"/>
  <c r="V133" i="23" s="1"/>
  <c r="U137" i="23"/>
  <c r="T137" i="23" s="1"/>
  <c r="S137" i="23" s="1"/>
  <c r="R137" i="23" s="1"/>
  <c r="P137" i="23" s="1"/>
  <c r="V137" i="23" s="1"/>
  <c r="U141" i="23"/>
  <c r="T141" i="23" s="1"/>
  <c r="S141" i="23" s="1"/>
  <c r="R141" i="23" s="1"/>
  <c r="P141" i="23" s="1"/>
  <c r="V141" i="23" s="1"/>
  <c r="U145" i="23"/>
  <c r="T145" i="23" s="1"/>
  <c r="S145" i="23" s="1"/>
  <c r="R145" i="23" s="1"/>
  <c r="P145" i="23" s="1"/>
  <c r="V145" i="23" s="1"/>
  <c r="U149" i="23"/>
  <c r="T149" i="23" s="1"/>
  <c r="S149" i="23" s="1"/>
  <c r="R149" i="23" s="1"/>
  <c r="P149" i="23" s="1"/>
  <c r="U153" i="23"/>
  <c r="T153" i="23" s="1"/>
  <c r="S153" i="23" s="1"/>
  <c r="R153" i="23" s="1"/>
  <c r="P153" i="23" s="1"/>
  <c r="V153" i="23" s="1"/>
  <c r="U157" i="23"/>
  <c r="T157" i="23" s="1"/>
  <c r="S157" i="23" s="1"/>
  <c r="R157" i="23" s="1"/>
  <c r="P157" i="23" s="1"/>
  <c r="V157" i="23" s="1"/>
  <c r="U161" i="23"/>
  <c r="T161" i="23" s="1"/>
  <c r="S161" i="23" s="1"/>
  <c r="R161" i="23" s="1"/>
  <c r="P161" i="23" s="1"/>
  <c r="V161" i="23" s="1"/>
  <c r="U165" i="23"/>
  <c r="T165" i="23" s="1"/>
  <c r="S165" i="23" s="1"/>
  <c r="R165" i="23" s="1"/>
  <c r="P165" i="23" s="1"/>
  <c r="V165" i="23" s="1"/>
  <c r="U169" i="23"/>
  <c r="T169" i="23" s="1"/>
  <c r="S169" i="23" s="1"/>
  <c r="R169" i="23" s="1"/>
  <c r="P169" i="23" s="1"/>
  <c r="V169" i="23" s="1"/>
  <c r="U173" i="23"/>
  <c r="T173" i="23" s="1"/>
  <c r="S173" i="23" s="1"/>
  <c r="R173" i="23" s="1"/>
  <c r="P173" i="23" s="1"/>
  <c r="V173" i="23" s="1"/>
  <c r="U177" i="23"/>
  <c r="T177" i="23" s="1"/>
  <c r="S177" i="23" s="1"/>
  <c r="R177" i="23" s="1"/>
  <c r="P177" i="23" s="1"/>
  <c r="V177" i="23" s="1"/>
  <c r="U181" i="23"/>
  <c r="T181" i="23" s="1"/>
  <c r="S181" i="23" s="1"/>
  <c r="R181" i="23" s="1"/>
  <c r="P181" i="23" s="1"/>
  <c r="V181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U376" i="23"/>
  <c r="T376" i="23" s="1"/>
  <c r="S376" i="23" s="1"/>
  <c r="R376" i="23" s="1"/>
  <c r="P376" i="23" s="1"/>
  <c r="V376" i="23" s="1"/>
  <c r="U372" i="23"/>
  <c r="T372" i="23" s="1"/>
  <c r="S372" i="23" s="1"/>
  <c r="R372" i="23" s="1"/>
  <c r="P372" i="23" s="1"/>
  <c r="V372" i="23" s="1"/>
  <c r="U368" i="23"/>
  <c r="T368" i="23" s="1"/>
  <c r="S368" i="23" s="1"/>
  <c r="R368" i="23" s="1"/>
  <c r="P368" i="23" s="1"/>
  <c r="V368" i="23" s="1"/>
  <c r="U364" i="23"/>
  <c r="T364" i="23" s="1"/>
  <c r="S364" i="23" s="1"/>
  <c r="R364" i="23" s="1"/>
  <c r="P364" i="23" s="1"/>
  <c r="V364" i="23" s="1"/>
  <c r="U360" i="23"/>
  <c r="T360" i="23" s="1"/>
  <c r="S360" i="23" s="1"/>
  <c r="R360" i="23" s="1"/>
  <c r="P360" i="23" s="1"/>
  <c r="V360" i="23" s="1"/>
  <c r="U356" i="23"/>
  <c r="T356" i="23" s="1"/>
  <c r="S356" i="23" s="1"/>
  <c r="R356" i="23" s="1"/>
  <c r="P356" i="23" s="1"/>
  <c r="V356" i="23" s="1"/>
  <c r="U352" i="23"/>
  <c r="T352" i="23" s="1"/>
  <c r="S352" i="23" s="1"/>
  <c r="R352" i="23" s="1"/>
  <c r="P352" i="23" s="1"/>
  <c r="V352" i="23" s="1"/>
  <c r="U348" i="23"/>
  <c r="T348" i="23" s="1"/>
  <c r="S348" i="23" s="1"/>
  <c r="R348" i="23" s="1"/>
  <c r="P348" i="23" s="1"/>
  <c r="V348" i="23" s="1"/>
  <c r="U344" i="23"/>
  <c r="T344" i="23" s="1"/>
  <c r="S344" i="23" s="1"/>
  <c r="R344" i="23" s="1"/>
  <c r="P344" i="23" s="1"/>
  <c r="V344" i="23" s="1"/>
  <c r="U340" i="23"/>
  <c r="T340" i="23" s="1"/>
  <c r="S340" i="23" s="1"/>
  <c r="R340" i="23" s="1"/>
  <c r="P340" i="23" s="1"/>
  <c r="V340" i="23" s="1"/>
  <c r="U336" i="23"/>
  <c r="T336" i="23" s="1"/>
  <c r="S336" i="23" s="1"/>
  <c r="R336" i="23" s="1"/>
  <c r="P336" i="23" s="1"/>
  <c r="V336" i="23" s="1"/>
  <c r="U332" i="23"/>
  <c r="T332" i="23" s="1"/>
  <c r="S332" i="23" s="1"/>
  <c r="R332" i="23" s="1"/>
  <c r="P332" i="23" s="1"/>
  <c r="V332" i="23" s="1"/>
  <c r="U328" i="23"/>
  <c r="T328" i="23" s="1"/>
  <c r="S328" i="23" s="1"/>
  <c r="R328" i="23" s="1"/>
  <c r="P328" i="23" s="1"/>
  <c r="V328" i="23" s="1"/>
  <c r="U324" i="23"/>
  <c r="T324" i="23" s="1"/>
  <c r="S324" i="23" s="1"/>
  <c r="R324" i="23" s="1"/>
  <c r="P324" i="23" s="1"/>
  <c r="V324" i="23" s="1"/>
  <c r="U320" i="23"/>
  <c r="T320" i="23" s="1"/>
  <c r="S320" i="23" s="1"/>
  <c r="R320" i="23" s="1"/>
  <c r="P320" i="23" s="1"/>
  <c r="V320" i="23" s="1"/>
  <c r="U316" i="23"/>
  <c r="T316" i="23" s="1"/>
  <c r="S316" i="23" s="1"/>
  <c r="R316" i="23" s="1"/>
  <c r="P316" i="23" s="1"/>
  <c r="V316" i="23" s="1"/>
  <c r="U312" i="23"/>
  <c r="T312" i="23" s="1"/>
  <c r="S312" i="23" s="1"/>
  <c r="R312" i="23" s="1"/>
  <c r="P312" i="23" s="1"/>
  <c r="V312" i="23" s="1"/>
  <c r="U308" i="23"/>
  <c r="T308" i="23" s="1"/>
  <c r="S308" i="23" s="1"/>
  <c r="R308" i="23" s="1"/>
  <c r="P308" i="23" s="1"/>
  <c r="V308" i="23" s="1"/>
  <c r="U304" i="23"/>
  <c r="T304" i="23" s="1"/>
  <c r="S304" i="23" s="1"/>
  <c r="R304" i="23" s="1"/>
  <c r="P304" i="23" s="1"/>
  <c r="V304" i="23" s="1"/>
  <c r="U300" i="23"/>
  <c r="T300" i="23" s="1"/>
  <c r="S300" i="23" s="1"/>
  <c r="R300" i="23" s="1"/>
  <c r="P300" i="23" s="1"/>
  <c r="V300" i="23" s="1"/>
  <c r="U296" i="23"/>
  <c r="T296" i="23" s="1"/>
  <c r="S296" i="23" s="1"/>
  <c r="R296" i="23" s="1"/>
  <c r="P296" i="23" s="1"/>
  <c r="V296" i="23" s="1"/>
  <c r="U292" i="23"/>
  <c r="T292" i="23" s="1"/>
  <c r="S292" i="23" s="1"/>
  <c r="R292" i="23" s="1"/>
  <c r="P292" i="23" s="1"/>
  <c r="V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U280" i="23"/>
  <c r="T280" i="23" s="1"/>
  <c r="S280" i="23" s="1"/>
  <c r="R280" i="23" s="1"/>
  <c r="P280" i="23" s="1"/>
  <c r="V280" i="23" s="1"/>
  <c r="U276" i="23"/>
  <c r="T276" i="23" s="1"/>
  <c r="S276" i="23" s="1"/>
  <c r="R276" i="23" s="1"/>
  <c r="P276" i="23" s="1"/>
  <c r="V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U264" i="23"/>
  <c r="T264" i="23" s="1"/>
  <c r="S264" i="23" s="1"/>
  <c r="R264" i="23" s="1"/>
  <c r="P264" i="23" s="1"/>
  <c r="V264" i="23" s="1"/>
  <c r="U260" i="23"/>
  <c r="T260" i="23" s="1"/>
  <c r="S260" i="23" s="1"/>
  <c r="R260" i="23" s="1"/>
  <c r="P260" i="23" s="1"/>
  <c r="V260" i="23" s="1"/>
  <c r="U256" i="23"/>
  <c r="T256" i="23" s="1"/>
  <c r="S256" i="23" s="1"/>
  <c r="R256" i="23" s="1"/>
  <c r="P256" i="23" s="1"/>
  <c r="V256" i="23" s="1"/>
  <c r="U252" i="23"/>
  <c r="T252" i="23" s="1"/>
  <c r="S252" i="23" s="1"/>
  <c r="R252" i="23" s="1"/>
  <c r="P252" i="23" s="1"/>
  <c r="V252" i="23" s="1"/>
  <c r="U248" i="23"/>
  <c r="T248" i="23" s="1"/>
  <c r="S248" i="23" s="1"/>
  <c r="R248" i="23" s="1"/>
  <c r="P248" i="23" s="1"/>
  <c r="V248" i="23" s="1"/>
  <c r="U244" i="23"/>
  <c r="T244" i="23" s="1"/>
  <c r="S244" i="23" s="1"/>
  <c r="R244" i="23" s="1"/>
  <c r="P244" i="23" s="1"/>
  <c r="V244" i="23" s="1"/>
  <c r="U240" i="23"/>
  <c r="T240" i="23" s="1"/>
  <c r="S240" i="23" s="1"/>
  <c r="R240" i="23" s="1"/>
  <c r="P240" i="23" s="1"/>
  <c r="V240" i="23" s="1"/>
  <c r="U236" i="23"/>
  <c r="T236" i="23" s="1"/>
  <c r="S236" i="23" s="1"/>
  <c r="R236" i="23" s="1"/>
  <c r="P236" i="23" s="1"/>
  <c r="V236" i="23" s="1"/>
  <c r="U232" i="23"/>
  <c r="T232" i="23" s="1"/>
  <c r="S232" i="23" s="1"/>
  <c r="R232" i="23" s="1"/>
  <c r="P232" i="23" s="1"/>
  <c r="V232" i="23" s="1"/>
  <c r="U228" i="23"/>
  <c r="T228" i="23" s="1"/>
  <c r="S228" i="23" s="1"/>
  <c r="R228" i="23" s="1"/>
  <c r="P228" i="23" s="1"/>
  <c r="V228" i="23" s="1"/>
  <c r="U224" i="23"/>
  <c r="T224" i="23" s="1"/>
  <c r="S224" i="23" s="1"/>
  <c r="R224" i="23" s="1"/>
  <c r="P224" i="23" s="1"/>
  <c r="V224" i="23" s="1"/>
  <c r="U220" i="23"/>
  <c r="T220" i="23" s="1"/>
  <c r="S220" i="23" s="1"/>
  <c r="R220" i="23" s="1"/>
  <c r="P220" i="23" s="1"/>
  <c r="V220" i="23" s="1"/>
  <c r="U216" i="23"/>
  <c r="T216" i="23" s="1"/>
  <c r="S216" i="23" s="1"/>
  <c r="R216" i="23" s="1"/>
  <c r="P216" i="23" s="1"/>
  <c r="V216" i="23" s="1"/>
  <c r="U212" i="23"/>
  <c r="T212" i="23" s="1"/>
  <c r="S212" i="23" s="1"/>
  <c r="R212" i="23" s="1"/>
  <c r="P212" i="23" s="1"/>
  <c r="V212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76" i="23"/>
  <c r="T176" i="23" s="1"/>
  <c r="S176" i="23" s="1"/>
  <c r="R176" i="23" s="1"/>
  <c r="P176" i="23" s="1"/>
  <c r="V176" i="23" s="1"/>
  <c r="U168" i="23"/>
  <c r="T168" i="23" s="1"/>
  <c r="S168" i="23" s="1"/>
  <c r="R168" i="23" s="1"/>
  <c r="P168" i="23" s="1"/>
  <c r="V168" i="23" s="1"/>
  <c r="U160" i="23"/>
  <c r="T160" i="23" s="1"/>
  <c r="S160" i="23" s="1"/>
  <c r="R160" i="23" s="1"/>
  <c r="P160" i="23" s="1"/>
  <c r="V160" i="23" s="1"/>
  <c r="U152" i="23"/>
  <c r="T152" i="23" s="1"/>
  <c r="S152" i="23" s="1"/>
  <c r="R152" i="23" s="1"/>
  <c r="P152" i="23" s="1"/>
  <c r="V152" i="23" s="1"/>
  <c r="U144" i="23"/>
  <c r="T144" i="23" s="1"/>
  <c r="S144" i="23" s="1"/>
  <c r="R144" i="23" s="1"/>
  <c r="P144" i="23" s="1"/>
  <c r="V144" i="23" s="1"/>
  <c r="U136" i="23"/>
  <c r="T136" i="23" s="1"/>
  <c r="S136" i="23" s="1"/>
  <c r="R136" i="23" s="1"/>
  <c r="P136" i="23" s="1"/>
  <c r="V136" i="23" s="1"/>
  <c r="U128" i="23"/>
  <c r="T128" i="23" s="1"/>
  <c r="S128" i="23" s="1"/>
  <c r="R128" i="23" s="1"/>
  <c r="P128" i="23" s="1"/>
  <c r="V128" i="23" s="1"/>
  <c r="U120" i="23"/>
  <c r="T120" i="23" s="1"/>
  <c r="S120" i="23" s="1"/>
  <c r="R120" i="23" s="1"/>
  <c r="P120" i="23" s="1"/>
  <c r="V120" i="23" s="1"/>
  <c r="U112" i="23"/>
  <c r="T112" i="23" s="1"/>
  <c r="S112" i="23" s="1"/>
  <c r="R112" i="23" s="1"/>
  <c r="P112" i="23" s="1"/>
  <c r="V112" i="23" s="1"/>
  <c r="U104" i="23"/>
  <c r="T104" i="23" s="1"/>
  <c r="S104" i="23" s="1"/>
  <c r="R104" i="23" s="1"/>
  <c r="P104" i="23" s="1"/>
  <c r="V104" i="23" s="1"/>
  <c r="U96" i="23"/>
  <c r="T96" i="23" s="1"/>
  <c r="S96" i="23" s="1"/>
  <c r="R96" i="23" s="1"/>
  <c r="P96" i="23" s="1"/>
  <c r="V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U72" i="23"/>
  <c r="T72" i="23" s="1"/>
  <c r="S72" i="23" s="1"/>
  <c r="R72" i="23" s="1"/>
  <c r="P72" i="23" s="1"/>
  <c r="V72" i="23" s="1"/>
  <c r="U64" i="23"/>
  <c r="T64" i="23" s="1"/>
  <c r="S64" i="23" s="1"/>
  <c r="R64" i="23" s="1"/>
  <c r="P64" i="23" s="1"/>
  <c r="V64" i="23" s="1"/>
  <c r="U56" i="23"/>
  <c r="T56" i="23" s="1"/>
  <c r="S56" i="23" s="1"/>
  <c r="R56" i="23" s="1"/>
  <c r="P56" i="23" s="1"/>
  <c r="V56" i="23" s="1"/>
  <c r="U48" i="23"/>
  <c r="T48" i="23" s="1"/>
  <c r="S48" i="23" s="1"/>
  <c r="R48" i="23" s="1"/>
  <c r="P48" i="23" s="1"/>
  <c r="V48" i="23" s="1"/>
  <c r="U40" i="23"/>
  <c r="T40" i="23" s="1"/>
  <c r="S40" i="23" s="1"/>
  <c r="R40" i="23" s="1"/>
  <c r="P40" i="23" s="1"/>
  <c r="V40" i="23" s="1"/>
  <c r="U32" i="23"/>
  <c r="T32" i="23" s="1"/>
  <c r="S32" i="23" s="1"/>
  <c r="R32" i="23" s="1"/>
  <c r="P32" i="23" s="1"/>
  <c r="V32" i="23" s="1"/>
  <c r="U24" i="23"/>
  <c r="T24" i="23" s="1"/>
  <c r="S24" i="23" s="1"/>
  <c r="R24" i="23" s="1"/>
  <c r="P24" i="23" s="1"/>
  <c r="V24" i="23" s="1"/>
  <c r="U18" i="23"/>
  <c r="T18" i="23" s="1"/>
  <c r="S18" i="23" s="1"/>
  <c r="R18" i="23" s="1"/>
  <c r="P18" i="23" s="1"/>
  <c r="V18" i="23" s="1"/>
  <c r="S381" i="22"/>
  <c r="S382" i="22"/>
  <c r="S383" i="22"/>
  <c r="R15" i="22"/>
  <c r="U231" i="23"/>
  <c r="T231" i="23" s="1"/>
  <c r="S231" i="23" s="1"/>
  <c r="R231" i="23" s="1"/>
  <c r="P231" i="23" s="1"/>
  <c r="V231" i="23" s="1"/>
  <c r="U295" i="23"/>
  <c r="T295" i="23" s="1"/>
  <c r="S295" i="23" s="1"/>
  <c r="R295" i="23" s="1"/>
  <c r="P295" i="23" s="1"/>
  <c r="V295" i="23" s="1"/>
  <c r="U20" i="23"/>
  <c r="T20" i="23" s="1"/>
  <c r="S20" i="23" s="1"/>
  <c r="R20" i="23" s="1"/>
  <c r="P20" i="23" s="1"/>
  <c r="V20" i="23" s="1"/>
  <c r="U263" i="23"/>
  <c r="T263" i="23" s="1"/>
  <c r="S263" i="23" s="1"/>
  <c r="R263" i="23" s="1"/>
  <c r="P263" i="23" s="1"/>
  <c r="V263" i="23" s="1"/>
  <c r="U86" i="23"/>
  <c r="T86" i="23" s="1"/>
  <c r="S86" i="23" s="1"/>
  <c r="R86" i="23" s="1"/>
  <c r="P86" i="23" s="1"/>
  <c r="V86" i="23" s="1"/>
  <c r="AI371" i="23"/>
  <c r="AH371" i="23" s="1"/>
  <c r="AG371" i="23" s="1"/>
  <c r="AF371" i="23" s="1"/>
  <c r="AD371" i="23" s="1"/>
  <c r="AI339" i="23"/>
  <c r="AH339" i="23" s="1"/>
  <c r="AG339" i="23" s="1"/>
  <c r="AF339" i="23" s="1"/>
  <c r="AD339" i="23" s="1"/>
  <c r="AI291" i="23"/>
  <c r="AH291" i="23" s="1"/>
  <c r="AG291" i="23" s="1"/>
  <c r="AF291" i="23" s="1"/>
  <c r="AD291" i="23" s="1"/>
  <c r="AI227" i="23"/>
  <c r="AH227" i="23" s="1"/>
  <c r="AG227" i="23" s="1"/>
  <c r="AF227" i="23" s="1"/>
  <c r="AD227" i="23" s="1"/>
  <c r="AI379" i="23"/>
  <c r="AI12" i="24" s="1"/>
  <c r="AI347" i="23"/>
  <c r="AH347" i="23" s="1"/>
  <c r="AG347" i="23" s="1"/>
  <c r="AF347" i="23" s="1"/>
  <c r="AD347" i="23" s="1"/>
  <c r="AI307" i="23"/>
  <c r="AH307" i="23" s="1"/>
  <c r="AG307" i="23" s="1"/>
  <c r="AF307" i="23" s="1"/>
  <c r="AD307" i="23" s="1"/>
  <c r="AI243" i="23"/>
  <c r="AH243" i="23" s="1"/>
  <c r="AG243" i="23" s="1"/>
  <c r="AF243" i="23" s="1"/>
  <c r="AD243" i="23" s="1"/>
  <c r="AI195" i="23"/>
  <c r="AH195" i="23" s="1"/>
  <c r="AG195" i="23" s="1"/>
  <c r="AF195" i="23" s="1"/>
  <c r="AD195" i="23" s="1"/>
  <c r="AI147" i="23"/>
  <c r="AH147" i="23" s="1"/>
  <c r="AG147" i="23" s="1"/>
  <c r="AF147" i="23" s="1"/>
  <c r="AD147" i="23" s="1"/>
  <c r="AI115" i="23"/>
  <c r="AH115" i="23" s="1"/>
  <c r="AG115" i="23" s="1"/>
  <c r="AF115" i="23" s="1"/>
  <c r="AD115" i="23" s="1"/>
  <c r="AI83" i="23"/>
  <c r="AH83" i="23" s="1"/>
  <c r="AG83" i="23" s="1"/>
  <c r="AF83" i="23" s="1"/>
  <c r="AD83" i="23" s="1"/>
  <c r="AI375" i="23"/>
  <c r="AH375" i="23" s="1"/>
  <c r="AG375" i="23" s="1"/>
  <c r="AF375" i="23" s="1"/>
  <c r="AD375" i="23" s="1"/>
  <c r="AI359" i="23"/>
  <c r="AH359" i="23" s="1"/>
  <c r="AG359" i="23" s="1"/>
  <c r="AF359" i="23" s="1"/>
  <c r="AD359" i="23" s="1"/>
  <c r="AI343" i="23"/>
  <c r="AH343" i="23" s="1"/>
  <c r="AG343" i="23" s="1"/>
  <c r="AF343" i="23" s="1"/>
  <c r="AD343" i="23" s="1"/>
  <c r="AI327" i="23"/>
  <c r="AH327" i="23" s="1"/>
  <c r="AG327" i="23" s="1"/>
  <c r="AF327" i="23" s="1"/>
  <c r="AD327" i="23" s="1"/>
  <c r="AI299" i="23"/>
  <c r="AH299" i="23" s="1"/>
  <c r="AG299" i="23" s="1"/>
  <c r="AF299" i="23" s="1"/>
  <c r="AD299" i="23" s="1"/>
  <c r="AI267" i="23"/>
  <c r="AH267" i="23" s="1"/>
  <c r="AG267" i="23" s="1"/>
  <c r="AF267" i="23" s="1"/>
  <c r="AD267" i="23" s="1"/>
  <c r="AI235" i="23"/>
  <c r="AH235" i="23" s="1"/>
  <c r="AG235" i="23" s="1"/>
  <c r="AF235" i="23" s="1"/>
  <c r="AD235" i="23" s="1"/>
  <c r="AI203" i="23"/>
  <c r="AH203" i="23" s="1"/>
  <c r="AG203" i="23" s="1"/>
  <c r="AF203" i="23" s="1"/>
  <c r="AD203" i="23" s="1"/>
  <c r="AI171" i="23"/>
  <c r="AH171" i="23" s="1"/>
  <c r="AG171" i="23" s="1"/>
  <c r="AF171" i="23" s="1"/>
  <c r="AD171" i="23" s="1"/>
  <c r="AI139" i="23"/>
  <c r="AH139" i="23" s="1"/>
  <c r="AG139" i="23" s="1"/>
  <c r="AF139" i="23" s="1"/>
  <c r="AD139" i="23" s="1"/>
  <c r="AI107" i="23"/>
  <c r="AH107" i="23" s="1"/>
  <c r="AG107" i="23" s="1"/>
  <c r="AF107" i="23" s="1"/>
  <c r="AD107" i="23" s="1"/>
  <c r="AI75" i="23"/>
  <c r="AH75" i="23" s="1"/>
  <c r="AG75" i="23" s="1"/>
  <c r="AF75" i="23" s="1"/>
  <c r="AD75" i="23" s="1"/>
  <c r="U359" i="23"/>
  <c r="T359" i="23" s="1"/>
  <c r="S359" i="23" s="1"/>
  <c r="R359" i="23" s="1"/>
  <c r="P359" i="23" s="1"/>
  <c r="V359" i="23" s="1"/>
  <c r="U23" i="23"/>
  <c r="T23" i="23" s="1"/>
  <c r="S23" i="23" s="1"/>
  <c r="R23" i="23" s="1"/>
  <c r="P23" i="23" s="1"/>
  <c r="V23" i="23" s="1"/>
  <c r="U150" i="23"/>
  <c r="T150" i="23" s="1"/>
  <c r="S150" i="23" s="1"/>
  <c r="R150" i="23" s="1"/>
  <c r="P150" i="23" s="1"/>
  <c r="V150" i="23" s="1"/>
  <c r="U327" i="23"/>
  <c r="T327" i="23" s="1"/>
  <c r="S327" i="23" s="1"/>
  <c r="R327" i="23" s="1"/>
  <c r="P327" i="23" s="1"/>
  <c r="V327" i="23" s="1"/>
  <c r="U199" i="23"/>
  <c r="T199" i="23" s="1"/>
  <c r="S199" i="23" s="1"/>
  <c r="R199" i="23" s="1"/>
  <c r="P199" i="23" s="1"/>
  <c r="V199" i="23" s="1"/>
  <c r="V15" i="20"/>
  <c r="P381" i="20"/>
  <c r="P382" i="20"/>
  <c r="P383" i="20"/>
  <c r="AH35" i="23"/>
  <c r="AG383" i="22"/>
  <c r="AF15" i="22"/>
  <c r="AG382" i="22"/>
  <c r="AG381" i="22"/>
  <c r="AD381" i="20"/>
  <c r="AD382" i="20"/>
  <c r="AD383" i="20"/>
  <c r="Q49" i="25"/>
  <c r="Q33" i="25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AF15" i="23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Q382" i="25" l="1"/>
  <c r="AH379" i="23"/>
  <c r="AG379" i="23" s="1"/>
  <c r="AF379" i="23" s="1"/>
  <c r="AD379" i="23" s="1"/>
  <c r="AI382" i="23"/>
  <c r="AI381" i="23"/>
  <c r="AH46" i="7"/>
  <c r="V88" i="23"/>
  <c r="D68" i="19" s="1"/>
  <c r="V272" i="23"/>
  <c r="J68" i="19" s="1"/>
  <c r="AH52" i="7"/>
  <c r="V60" i="23"/>
  <c r="C68" i="19" s="1"/>
  <c r="AH45" i="7"/>
  <c r="V210" i="23"/>
  <c r="H68" i="19" s="1"/>
  <c r="AH50" i="7"/>
  <c r="AH47" i="7"/>
  <c r="V119" i="23"/>
  <c r="E68" i="19" s="1"/>
  <c r="T15" i="23"/>
  <c r="U382" i="23"/>
  <c r="U381" i="23"/>
  <c r="U383" i="23"/>
  <c r="AH55" i="7"/>
  <c r="V363" i="23"/>
  <c r="V333" i="23"/>
  <c r="L68" i="19" s="1"/>
  <c r="AH54" i="7"/>
  <c r="AI383" i="23"/>
  <c r="R382" i="22"/>
  <c r="P15" i="22"/>
  <c r="R383" i="22"/>
  <c r="R381" i="22"/>
  <c r="AH48" i="7"/>
  <c r="V149" i="23"/>
  <c r="F68" i="19" s="1"/>
  <c r="AH44" i="7"/>
  <c r="V29" i="23"/>
  <c r="V180" i="23"/>
  <c r="G68" i="19" s="1"/>
  <c r="AH49" i="7"/>
  <c r="AH53" i="7"/>
  <c r="V302" i="23"/>
  <c r="K68" i="19" s="1"/>
  <c r="T379" i="23"/>
  <c r="S379" i="23" s="1"/>
  <c r="R379" i="23" s="1"/>
  <c r="P379" i="23" s="1"/>
  <c r="AT16" i="7"/>
  <c r="AZ11" i="7" s="1"/>
  <c r="U11" i="24" s="1"/>
  <c r="U12" i="24"/>
  <c r="AH51" i="7"/>
  <c r="V241" i="23"/>
  <c r="I68" i="19" s="1"/>
  <c r="AF381" i="22"/>
  <c r="AF383" i="22"/>
  <c r="AF382" i="22"/>
  <c r="AD15" i="22"/>
  <c r="AG35" i="23"/>
  <c r="V381" i="20"/>
  <c r="B66" i="19"/>
  <c r="N66" i="19" s="1"/>
  <c r="V382" i="20"/>
  <c r="V383" i="20"/>
  <c r="Q383" i="25"/>
  <c r="Q381" i="25"/>
  <c r="AE381" i="25"/>
  <c r="AE382" i="25"/>
  <c r="AE383" i="25"/>
  <c r="AD15" i="23"/>
  <c r="V379" i="23" l="1"/>
  <c r="D42" i="19"/>
  <c r="AH382" i="23"/>
  <c r="AH381" i="23"/>
  <c r="AH383" i="23"/>
  <c r="AY16" i="7"/>
  <c r="M68" i="19"/>
  <c r="U10" i="24"/>
  <c r="AI11" i="24" s="1"/>
  <c r="P381" i="22"/>
  <c r="P382" i="22"/>
  <c r="P383" i="22"/>
  <c r="V15" i="22"/>
  <c r="T381" i="23"/>
  <c r="S15" i="23"/>
  <c r="T383" i="23"/>
  <c r="T382" i="23"/>
  <c r="AF35" i="23"/>
  <c r="AG382" i="23"/>
  <c r="AG381" i="23"/>
  <c r="AG383" i="23"/>
  <c r="AD383" i="22"/>
  <c r="AD382" i="22"/>
  <c r="AD381" i="22"/>
  <c r="S382" i="23" l="1"/>
  <c r="S381" i="23"/>
  <c r="S383" i="23"/>
  <c r="R15" i="23"/>
  <c r="V381" i="22"/>
  <c r="B67" i="19"/>
  <c r="N67" i="19" s="1"/>
  <c r="V383" i="22"/>
  <c r="V382" i="22"/>
  <c r="AI275" i="24"/>
  <c r="AH275" i="24" s="1"/>
  <c r="AG275" i="24" s="1"/>
  <c r="AF275" i="24" s="1"/>
  <c r="AD275" i="24" s="1"/>
  <c r="AI259" i="24"/>
  <c r="AH259" i="24" s="1"/>
  <c r="AG259" i="24" s="1"/>
  <c r="AF259" i="24" s="1"/>
  <c r="AD259" i="24" s="1"/>
  <c r="AI243" i="24"/>
  <c r="AH243" i="24" s="1"/>
  <c r="AG243" i="24" s="1"/>
  <c r="AF243" i="24" s="1"/>
  <c r="AD243" i="24" s="1"/>
  <c r="AI227" i="24"/>
  <c r="AH227" i="24" s="1"/>
  <c r="AG227" i="24" s="1"/>
  <c r="AF227" i="24" s="1"/>
  <c r="AD227" i="24" s="1"/>
  <c r="AI211" i="24"/>
  <c r="AH211" i="24" s="1"/>
  <c r="AG211" i="24" s="1"/>
  <c r="AF211" i="24" s="1"/>
  <c r="AD211" i="24" s="1"/>
  <c r="AI195" i="24"/>
  <c r="AH195" i="24" s="1"/>
  <c r="AG195" i="24" s="1"/>
  <c r="AF195" i="24" s="1"/>
  <c r="AD195" i="24" s="1"/>
  <c r="AI179" i="24"/>
  <c r="AH179" i="24" s="1"/>
  <c r="AG179" i="24" s="1"/>
  <c r="AF179" i="24" s="1"/>
  <c r="AD179" i="24" s="1"/>
  <c r="AI163" i="24"/>
  <c r="AH163" i="24" s="1"/>
  <c r="AG163" i="24" s="1"/>
  <c r="AF163" i="24" s="1"/>
  <c r="AD163" i="24" s="1"/>
  <c r="AI147" i="24"/>
  <c r="AH147" i="24" s="1"/>
  <c r="AG147" i="24" s="1"/>
  <c r="AF147" i="24" s="1"/>
  <c r="AD147" i="24" s="1"/>
  <c r="AI131" i="24"/>
  <c r="AH131" i="24" s="1"/>
  <c r="AG131" i="24" s="1"/>
  <c r="AF131" i="24" s="1"/>
  <c r="AD131" i="24" s="1"/>
  <c r="AI115" i="24"/>
  <c r="AH115" i="24" s="1"/>
  <c r="AG115" i="24" s="1"/>
  <c r="AF115" i="24" s="1"/>
  <c r="AD115" i="24" s="1"/>
  <c r="AI99" i="24"/>
  <c r="AH99" i="24" s="1"/>
  <c r="AG99" i="24" s="1"/>
  <c r="AF99" i="24" s="1"/>
  <c r="AD99" i="24" s="1"/>
  <c r="AI83" i="24"/>
  <c r="AH83" i="24" s="1"/>
  <c r="AG83" i="24" s="1"/>
  <c r="AF83" i="24" s="1"/>
  <c r="AD83" i="24" s="1"/>
  <c r="AI67" i="24"/>
  <c r="AH67" i="24" s="1"/>
  <c r="AG67" i="24" s="1"/>
  <c r="AF67" i="24" s="1"/>
  <c r="AD67" i="24" s="1"/>
  <c r="AI51" i="24"/>
  <c r="AH51" i="24" s="1"/>
  <c r="AG51" i="24" s="1"/>
  <c r="AF51" i="24" s="1"/>
  <c r="AD51" i="24" s="1"/>
  <c r="AI35" i="24"/>
  <c r="AH35" i="24" s="1"/>
  <c r="AG35" i="24" s="1"/>
  <c r="AF35" i="24" s="1"/>
  <c r="AD35" i="24" s="1"/>
  <c r="BA16" i="7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06" i="24"/>
  <c r="AH106" i="24" s="1"/>
  <c r="AG106" i="24" s="1"/>
  <c r="AF106" i="24" s="1"/>
  <c r="AD106" i="24" s="1"/>
  <c r="AI110" i="24"/>
  <c r="AH110" i="24" s="1"/>
  <c r="AG110" i="24" s="1"/>
  <c r="AF110" i="24" s="1"/>
  <c r="AD110" i="24" s="1"/>
  <c r="AI114" i="24"/>
  <c r="AH114" i="24" s="1"/>
  <c r="AG114" i="24" s="1"/>
  <c r="AF114" i="24" s="1"/>
  <c r="AD114" i="24" s="1"/>
  <c r="AI118" i="24"/>
  <c r="AH118" i="24" s="1"/>
  <c r="AG118" i="24" s="1"/>
  <c r="AF118" i="24" s="1"/>
  <c r="AD118" i="24" s="1"/>
  <c r="AI122" i="24"/>
  <c r="AH122" i="24" s="1"/>
  <c r="AG122" i="24" s="1"/>
  <c r="AF122" i="24" s="1"/>
  <c r="AD122" i="24" s="1"/>
  <c r="AI126" i="24"/>
  <c r="AH126" i="24" s="1"/>
  <c r="AG126" i="24" s="1"/>
  <c r="AF126" i="24" s="1"/>
  <c r="AD126" i="24" s="1"/>
  <c r="AI130" i="24"/>
  <c r="AH130" i="24" s="1"/>
  <c r="AG130" i="24" s="1"/>
  <c r="AF130" i="24" s="1"/>
  <c r="AD130" i="24" s="1"/>
  <c r="AI134" i="24"/>
  <c r="AH134" i="24" s="1"/>
  <c r="AG134" i="24" s="1"/>
  <c r="AF134" i="24" s="1"/>
  <c r="AD134" i="24" s="1"/>
  <c r="AI138" i="24"/>
  <c r="AH138" i="24" s="1"/>
  <c r="AG138" i="24" s="1"/>
  <c r="AF138" i="24" s="1"/>
  <c r="AD138" i="24" s="1"/>
  <c r="AI142" i="24"/>
  <c r="AH142" i="24" s="1"/>
  <c r="AG142" i="24" s="1"/>
  <c r="AF142" i="24" s="1"/>
  <c r="AD142" i="24" s="1"/>
  <c r="AI146" i="24"/>
  <c r="AH146" i="24" s="1"/>
  <c r="AG146" i="24" s="1"/>
  <c r="AF146" i="24" s="1"/>
  <c r="AD146" i="24" s="1"/>
  <c r="AI150" i="24"/>
  <c r="AH150" i="24" s="1"/>
  <c r="AG150" i="24" s="1"/>
  <c r="AF150" i="24" s="1"/>
  <c r="AD150" i="24" s="1"/>
  <c r="AI154" i="24"/>
  <c r="AH154" i="24" s="1"/>
  <c r="AG154" i="24" s="1"/>
  <c r="AF154" i="24" s="1"/>
  <c r="AD154" i="24" s="1"/>
  <c r="AI158" i="24"/>
  <c r="AH158" i="24" s="1"/>
  <c r="AG158" i="24" s="1"/>
  <c r="AF158" i="24" s="1"/>
  <c r="AD158" i="24" s="1"/>
  <c r="AI162" i="24"/>
  <c r="AH162" i="24" s="1"/>
  <c r="AG162" i="24" s="1"/>
  <c r="AF162" i="24" s="1"/>
  <c r="AD162" i="24" s="1"/>
  <c r="AI166" i="24"/>
  <c r="AH166" i="24" s="1"/>
  <c r="AG166" i="24" s="1"/>
  <c r="AF166" i="24" s="1"/>
  <c r="AD166" i="24" s="1"/>
  <c r="AI170" i="24"/>
  <c r="AH170" i="24" s="1"/>
  <c r="AG170" i="24" s="1"/>
  <c r="AF170" i="24" s="1"/>
  <c r="AD170" i="24" s="1"/>
  <c r="AI174" i="24"/>
  <c r="AH174" i="24" s="1"/>
  <c r="AG174" i="24" s="1"/>
  <c r="AF174" i="24" s="1"/>
  <c r="AD174" i="24" s="1"/>
  <c r="AI178" i="24"/>
  <c r="AH178" i="24" s="1"/>
  <c r="AG178" i="24" s="1"/>
  <c r="AF178" i="24" s="1"/>
  <c r="AD178" i="24" s="1"/>
  <c r="AI182" i="24"/>
  <c r="AH182" i="24" s="1"/>
  <c r="AG182" i="24" s="1"/>
  <c r="AF182" i="24" s="1"/>
  <c r="AD182" i="24" s="1"/>
  <c r="AI186" i="24"/>
  <c r="AH186" i="24" s="1"/>
  <c r="AG186" i="24" s="1"/>
  <c r="AF186" i="24" s="1"/>
  <c r="AD186" i="24" s="1"/>
  <c r="AI190" i="24"/>
  <c r="AH190" i="24" s="1"/>
  <c r="AG190" i="24" s="1"/>
  <c r="AF190" i="24" s="1"/>
  <c r="AD190" i="24" s="1"/>
  <c r="AI194" i="24"/>
  <c r="AH194" i="24" s="1"/>
  <c r="AG194" i="24" s="1"/>
  <c r="AF194" i="24" s="1"/>
  <c r="AD194" i="24" s="1"/>
  <c r="AI198" i="24"/>
  <c r="AH198" i="24" s="1"/>
  <c r="AG198" i="24" s="1"/>
  <c r="AF198" i="24" s="1"/>
  <c r="AD198" i="24" s="1"/>
  <c r="AI202" i="24"/>
  <c r="AH202" i="24" s="1"/>
  <c r="AG202" i="24" s="1"/>
  <c r="AF202" i="24" s="1"/>
  <c r="AD202" i="24" s="1"/>
  <c r="AI206" i="24"/>
  <c r="AH206" i="24" s="1"/>
  <c r="AG206" i="24" s="1"/>
  <c r="AF206" i="24" s="1"/>
  <c r="AD206" i="24" s="1"/>
  <c r="AI210" i="24"/>
  <c r="AH210" i="24" s="1"/>
  <c r="AG210" i="24" s="1"/>
  <c r="AF210" i="24" s="1"/>
  <c r="AD210" i="24" s="1"/>
  <c r="AI214" i="24"/>
  <c r="AH214" i="24" s="1"/>
  <c r="AG214" i="24" s="1"/>
  <c r="AF214" i="24" s="1"/>
  <c r="AD214" i="24" s="1"/>
  <c r="AI218" i="24"/>
  <c r="AH218" i="24" s="1"/>
  <c r="AG218" i="24" s="1"/>
  <c r="AF218" i="24" s="1"/>
  <c r="AD218" i="24" s="1"/>
  <c r="AI222" i="24"/>
  <c r="AH222" i="24" s="1"/>
  <c r="AG222" i="24" s="1"/>
  <c r="AF222" i="24" s="1"/>
  <c r="AD222" i="24" s="1"/>
  <c r="AI226" i="24"/>
  <c r="AH226" i="24" s="1"/>
  <c r="AG226" i="24" s="1"/>
  <c r="AF226" i="24" s="1"/>
  <c r="AD226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78" i="24"/>
  <c r="AH378" i="24" s="1"/>
  <c r="AG378" i="24" s="1"/>
  <c r="AF378" i="24" s="1"/>
  <c r="AD378" i="24" s="1"/>
  <c r="AI374" i="24"/>
  <c r="AH374" i="24" s="1"/>
  <c r="AG374" i="24" s="1"/>
  <c r="AF374" i="24" s="1"/>
  <c r="AD374" i="24" s="1"/>
  <c r="AI370" i="24"/>
  <c r="AH370" i="24" s="1"/>
  <c r="AG370" i="24" s="1"/>
  <c r="AF370" i="24" s="1"/>
  <c r="AD370" i="24" s="1"/>
  <c r="AI366" i="24"/>
  <c r="AH366" i="24" s="1"/>
  <c r="AG366" i="24" s="1"/>
  <c r="AF366" i="24" s="1"/>
  <c r="AD366" i="24" s="1"/>
  <c r="AI362" i="24"/>
  <c r="AH362" i="24" s="1"/>
  <c r="AG362" i="24" s="1"/>
  <c r="AF362" i="24" s="1"/>
  <c r="AD362" i="24" s="1"/>
  <c r="AI358" i="24"/>
  <c r="AH358" i="24" s="1"/>
  <c r="AG358" i="24" s="1"/>
  <c r="AF358" i="24" s="1"/>
  <c r="AD358" i="24" s="1"/>
  <c r="AI353" i="24"/>
  <c r="AH353" i="24" s="1"/>
  <c r="AG353" i="24" s="1"/>
  <c r="AF353" i="24" s="1"/>
  <c r="AD353" i="24" s="1"/>
  <c r="AI345" i="24"/>
  <c r="AH345" i="24" s="1"/>
  <c r="AG345" i="24" s="1"/>
  <c r="AF345" i="24" s="1"/>
  <c r="AD345" i="24" s="1"/>
  <c r="AI337" i="24"/>
  <c r="AH337" i="24" s="1"/>
  <c r="AG337" i="24" s="1"/>
  <c r="AF337" i="24" s="1"/>
  <c r="AD337" i="24" s="1"/>
  <c r="AI329" i="24"/>
  <c r="AH329" i="24" s="1"/>
  <c r="AG329" i="24" s="1"/>
  <c r="AF329" i="24" s="1"/>
  <c r="AD329" i="24" s="1"/>
  <c r="AI321" i="24"/>
  <c r="AH321" i="24" s="1"/>
  <c r="AG321" i="24" s="1"/>
  <c r="AF321" i="24" s="1"/>
  <c r="AD321" i="24" s="1"/>
  <c r="AI313" i="24"/>
  <c r="AH313" i="24" s="1"/>
  <c r="AG313" i="24" s="1"/>
  <c r="AF313" i="24" s="1"/>
  <c r="AD313" i="24" s="1"/>
  <c r="AI305" i="24"/>
  <c r="AH305" i="24" s="1"/>
  <c r="AG305" i="24" s="1"/>
  <c r="AF305" i="24" s="1"/>
  <c r="AD305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375" i="24"/>
  <c r="AH375" i="24" s="1"/>
  <c r="AG375" i="24" s="1"/>
  <c r="AF375" i="24" s="1"/>
  <c r="AD375" i="24" s="1"/>
  <c r="AI367" i="24"/>
  <c r="AH367" i="24" s="1"/>
  <c r="AG367" i="24" s="1"/>
  <c r="AF367" i="24" s="1"/>
  <c r="AD367" i="24" s="1"/>
  <c r="AI359" i="24"/>
  <c r="AH359" i="24" s="1"/>
  <c r="AG359" i="24" s="1"/>
  <c r="AF359" i="24" s="1"/>
  <c r="AD359" i="24" s="1"/>
  <c r="AI347" i="24"/>
  <c r="AH347" i="24" s="1"/>
  <c r="AG347" i="24" s="1"/>
  <c r="AF347" i="24" s="1"/>
  <c r="AD347" i="24" s="1"/>
  <c r="AI331" i="24"/>
  <c r="AH331" i="24" s="1"/>
  <c r="AG331" i="24" s="1"/>
  <c r="AF331" i="24" s="1"/>
  <c r="AD331" i="24" s="1"/>
  <c r="AI315" i="24"/>
  <c r="AH315" i="24" s="1"/>
  <c r="AG315" i="24" s="1"/>
  <c r="AF315" i="24" s="1"/>
  <c r="AD315" i="24" s="1"/>
  <c r="AI299" i="24"/>
  <c r="AH299" i="24" s="1"/>
  <c r="AG299" i="24" s="1"/>
  <c r="AF299" i="24" s="1"/>
  <c r="AD299" i="24" s="1"/>
  <c r="AI283" i="24"/>
  <c r="AH283" i="24" s="1"/>
  <c r="AG283" i="24" s="1"/>
  <c r="AF283" i="24" s="1"/>
  <c r="AD283" i="24" s="1"/>
  <c r="AI267" i="24"/>
  <c r="AH267" i="24" s="1"/>
  <c r="AG267" i="24" s="1"/>
  <c r="AF267" i="24" s="1"/>
  <c r="AD267" i="24" s="1"/>
  <c r="AI251" i="24"/>
  <c r="AH251" i="24" s="1"/>
  <c r="AG251" i="24" s="1"/>
  <c r="AF251" i="24" s="1"/>
  <c r="AD251" i="24" s="1"/>
  <c r="AI235" i="24"/>
  <c r="AH235" i="24" s="1"/>
  <c r="AG235" i="24" s="1"/>
  <c r="AF235" i="24" s="1"/>
  <c r="AD235" i="24" s="1"/>
  <c r="AI219" i="24"/>
  <c r="AH219" i="24" s="1"/>
  <c r="AG219" i="24" s="1"/>
  <c r="AF219" i="24" s="1"/>
  <c r="AD219" i="24" s="1"/>
  <c r="AI203" i="24"/>
  <c r="AH203" i="24" s="1"/>
  <c r="AG203" i="24" s="1"/>
  <c r="AF203" i="24" s="1"/>
  <c r="AD203" i="24" s="1"/>
  <c r="AI187" i="24"/>
  <c r="AH187" i="24" s="1"/>
  <c r="AG187" i="24" s="1"/>
  <c r="AF187" i="24" s="1"/>
  <c r="AD187" i="24" s="1"/>
  <c r="AI171" i="24"/>
  <c r="AH171" i="24" s="1"/>
  <c r="AG171" i="24" s="1"/>
  <c r="AF171" i="24" s="1"/>
  <c r="AD171" i="24" s="1"/>
  <c r="AI155" i="24"/>
  <c r="AH155" i="24" s="1"/>
  <c r="AG155" i="24" s="1"/>
  <c r="AF155" i="24" s="1"/>
  <c r="AD155" i="24" s="1"/>
  <c r="AI139" i="24"/>
  <c r="AH139" i="24" s="1"/>
  <c r="AG139" i="24" s="1"/>
  <c r="AF139" i="24" s="1"/>
  <c r="AD139" i="24" s="1"/>
  <c r="AI123" i="24"/>
  <c r="AH123" i="24" s="1"/>
  <c r="AG123" i="24" s="1"/>
  <c r="AF123" i="24" s="1"/>
  <c r="AD123" i="24" s="1"/>
  <c r="AI107" i="24"/>
  <c r="AH107" i="24" s="1"/>
  <c r="AG107" i="24" s="1"/>
  <c r="AF107" i="24" s="1"/>
  <c r="AD107" i="24" s="1"/>
  <c r="AI91" i="24"/>
  <c r="AH91" i="24" s="1"/>
  <c r="AG91" i="24" s="1"/>
  <c r="AF91" i="24" s="1"/>
  <c r="AD91" i="24" s="1"/>
  <c r="AI75" i="24"/>
  <c r="AH75" i="24" s="1"/>
  <c r="AG75" i="24" s="1"/>
  <c r="AF75" i="24" s="1"/>
  <c r="AD75" i="24" s="1"/>
  <c r="AI59" i="24"/>
  <c r="AH59" i="24" s="1"/>
  <c r="AG59" i="24" s="1"/>
  <c r="AF59" i="24" s="1"/>
  <c r="AD59" i="24" s="1"/>
  <c r="AI43" i="24"/>
  <c r="AH43" i="24" s="1"/>
  <c r="AG43" i="24" s="1"/>
  <c r="AF43" i="24" s="1"/>
  <c r="AD43" i="24" s="1"/>
  <c r="AI27" i="24"/>
  <c r="AH27" i="24" s="1"/>
  <c r="AG27" i="24" s="1"/>
  <c r="AF27" i="24" s="1"/>
  <c r="AD2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AI256" i="24"/>
  <c r="AH256" i="24" s="1"/>
  <c r="AG256" i="24" s="1"/>
  <c r="AF256" i="24" s="1"/>
  <c r="AD256" i="24" s="1"/>
  <c r="AI260" i="24"/>
  <c r="AH260" i="24" s="1"/>
  <c r="AG260" i="24" s="1"/>
  <c r="AF260" i="24" s="1"/>
  <c r="AD260" i="24" s="1"/>
  <c r="AI264" i="24"/>
  <c r="AH264" i="24" s="1"/>
  <c r="AG264" i="24" s="1"/>
  <c r="AF264" i="24" s="1"/>
  <c r="AD264" i="24" s="1"/>
  <c r="AI268" i="24"/>
  <c r="AH268" i="24" s="1"/>
  <c r="AG268" i="24" s="1"/>
  <c r="AF268" i="24" s="1"/>
  <c r="AD268" i="24" s="1"/>
  <c r="AI272" i="24"/>
  <c r="AH272" i="24" s="1"/>
  <c r="AG272" i="24" s="1"/>
  <c r="AF272" i="24" s="1"/>
  <c r="AD272" i="24" s="1"/>
  <c r="AI276" i="24"/>
  <c r="AH276" i="24" s="1"/>
  <c r="AG276" i="24" s="1"/>
  <c r="AF276" i="24" s="1"/>
  <c r="AD276" i="24" s="1"/>
  <c r="AI280" i="24"/>
  <c r="AH280" i="24" s="1"/>
  <c r="AG280" i="24" s="1"/>
  <c r="AF280" i="24" s="1"/>
  <c r="AD280" i="24" s="1"/>
  <c r="AI284" i="24"/>
  <c r="AH284" i="24" s="1"/>
  <c r="AG284" i="24" s="1"/>
  <c r="AF284" i="24" s="1"/>
  <c r="AD284" i="24" s="1"/>
  <c r="AI288" i="24"/>
  <c r="AH288" i="24" s="1"/>
  <c r="AG288" i="24" s="1"/>
  <c r="AF288" i="24" s="1"/>
  <c r="AD288" i="24" s="1"/>
  <c r="AI292" i="24"/>
  <c r="AH292" i="24" s="1"/>
  <c r="AG292" i="24" s="1"/>
  <c r="AF292" i="24" s="1"/>
  <c r="AD292" i="24" s="1"/>
  <c r="AI296" i="24"/>
  <c r="AH296" i="24" s="1"/>
  <c r="AG296" i="24" s="1"/>
  <c r="AF296" i="24" s="1"/>
  <c r="AD296" i="24" s="1"/>
  <c r="AI300" i="24"/>
  <c r="AH300" i="24" s="1"/>
  <c r="AG300" i="24" s="1"/>
  <c r="AF300" i="24" s="1"/>
  <c r="AD300" i="24" s="1"/>
  <c r="AI304" i="24"/>
  <c r="AH304" i="24" s="1"/>
  <c r="AG304" i="24" s="1"/>
  <c r="AF304" i="24" s="1"/>
  <c r="AD304" i="24" s="1"/>
  <c r="AI308" i="24"/>
  <c r="AH308" i="24" s="1"/>
  <c r="AG308" i="24" s="1"/>
  <c r="AF308" i="24" s="1"/>
  <c r="AD308" i="24" s="1"/>
  <c r="AI312" i="24"/>
  <c r="AH312" i="24" s="1"/>
  <c r="AG312" i="24" s="1"/>
  <c r="AF312" i="24" s="1"/>
  <c r="AD312" i="24" s="1"/>
  <c r="AI316" i="24"/>
  <c r="AH316" i="24" s="1"/>
  <c r="AG316" i="24" s="1"/>
  <c r="AF316" i="24" s="1"/>
  <c r="AD316" i="24" s="1"/>
  <c r="AI320" i="24"/>
  <c r="AH320" i="24" s="1"/>
  <c r="AG320" i="24" s="1"/>
  <c r="AF320" i="24" s="1"/>
  <c r="AD320" i="24" s="1"/>
  <c r="AI324" i="24"/>
  <c r="AH324" i="24" s="1"/>
  <c r="AG324" i="24" s="1"/>
  <c r="AF324" i="24" s="1"/>
  <c r="AD324" i="24" s="1"/>
  <c r="AI328" i="24"/>
  <c r="AH328" i="24" s="1"/>
  <c r="AG328" i="24" s="1"/>
  <c r="AF328" i="24" s="1"/>
  <c r="AD328" i="24" s="1"/>
  <c r="AI332" i="24"/>
  <c r="AH332" i="24" s="1"/>
  <c r="AG332" i="24" s="1"/>
  <c r="AF332" i="24" s="1"/>
  <c r="AD332" i="24" s="1"/>
  <c r="AI336" i="24"/>
  <c r="AH336" i="24" s="1"/>
  <c r="AG336" i="24" s="1"/>
  <c r="AF336" i="24" s="1"/>
  <c r="AD336" i="24" s="1"/>
  <c r="AI340" i="24"/>
  <c r="AH340" i="24" s="1"/>
  <c r="AG340" i="24" s="1"/>
  <c r="AF340" i="24" s="1"/>
  <c r="AD340" i="24" s="1"/>
  <c r="AI344" i="24"/>
  <c r="AH344" i="24" s="1"/>
  <c r="AG344" i="24" s="1"/>
  <c r="AF344" i="24" s="1"/>
  <c r="AD344" i="24" s="1"/>
  <c r="AI348" i="24"/>
  <c r="AH348" i="24" s="1"/>
  <c r="AG348" i="24" s="1"/>
  <c r="AF348" i="24" s="1"/>
  <c r="AD348" i="24" s="1"/>
  <c r="AI352" i="24"/>
  <c r="AH352" i="24" s="1"/>
  <c r="AG352" i="24" s="1"/>
  <c r="AF352" i="24" s="1"/>
  <c r="AD352" i="24" s="1"/>
  <c r="AI376" i="24"/>
  <c r="AH376" i="24" s="1"/>
  <c r="AG376" i="24" s="1"/>
  <c r="AF376" i="24" s="1"/>
  <c r="AD376" i="24" s="1"/>
  <c r="AI372" i="24"/>
  <c r="AH372" i="24" s="1"/>
  <c r="AG372" i="24" s="1"/>
  <c r="AF372" i="24" s="1"/>
  <c r="AD372" i="24" s="1"/>
  <c r="AI368" i="24"/>
  <c r="AH368" i="24" s="1"/>
  <c r="AG368" i="24" s="1"/>
  <c r="AF368" i="24" s="1"/>
  <c r="AD368" i="24" s="1"/>
  <c r="AI364" i="24"/>
  <c r="AH364" i="24" s="1"/>
  <c r="AG364" i="24" s="1"/>
  <c r="AF364" i="24" s="1"/>
  <c r="AD364" i="24" s="1"/>
  <c r="AI360" i="24"/>
  <c r="AH360" i="24" s="1"/>
  <c r="AG360" i="24" s="1"/>
  <c r="AF360" i="24" s="1"/>
  <c r="AD360" i="24" s="1"/>
  <c r="AI356" i="24"/>
  <c r="AH356" i="24" s="1"/>
  <c r="AG356" i="24" s="1"/>
  <c r="AF356" i="24" s="1"/>
  <c r="AD356" i="24" s="1"/>
  <c r="AI349" i="24"/>
  <c r="AH349" i="24" s="1"/>
  <c r="AG349" i="24" s="1"/>
  <c r="AF349" i="24" s="1"/>
  <c r="AD349" i="24" s="1"/>
  <c r="AI341" i="24"/>
  <c r="AH341" i="24" s="1"/>
  <c r="AG341" i="24" s="1"/>
  <c r="AF341" i="24" s="1"/>
  <c r="AD341" i="24" s="1"/>
  <c r="AI333" i="24"/>
  <c r="AH333" i="24" s="1"/>
  <c r="AG333" i="24" s="1"/>
  <c r="AF333" i="24" s="1"/>
  <c r="AD333" i="24" s="1"/>
  <c r="AI325" i="24"/>
  <c r="AH325" i="24" s="1"/>
  <c r="AG325" i="24" s="1"/>
  <c r="AF325" i="24" s="1"/>
  <c r="AD325" i="24" s="1"/>
  <c r="AI317" i="24"/>
  <c r="AH317" i="24" s="1"/>
  <c r="AG317" i="24" s="1"/>
  <c r="AF317" i="24" s="1"/>
  <c r="AD317" i="24" s="1"/>
  <c r="AI309" i="24"/>
  <c r="AH309" i="24" s="1"/>
  <c r="AG309" i="24" s="1"/>
  <c r="AF309" i="24" s="1"/>
  <c r="AD309" i="24" s="1"/>
  <c r="AI301" i="24"/>
  <c r="AH301" i="24" s="1"/>
  <c r="AG301" i="24" s="1"/>
  <c r="AF301" i="24" s="1"/>
  <c r="AD301" i="24" s="1"/>
  <c r="AI293" i="24"/>
  <c r="AH293" i="24" s="1"/>
  <c r="AG293" i="24" s="1"/>
  <c r="AF293" i="24" s="1"/>
  <c r="AD293" i="24" s="1"/>
  <c r="AI285" i="24"/>
  <c r="AH285" i="24" s="1"/>
  <c r="AG285" i="24" s="1"/>
  <c r="AF285" i="24" s="1"/>
  <c r="AD285" i="24" s="1"/>
  <c r="AI277" i="24"/>
  <c r="AH277" i="24" s="1"/>
  <c r="AG277" i="24" s="1"/>
  <c r="AF277" i="24" s="1"/>
  <c r="AD277" i="24" s="1"/>
  <c r="AI269" i="24"/>
  <c r="AH269" i="24" s="1"/>
  <c r="AG269" i="24" s="1"/>
  <c r="AF269" i="24" s="1"/>
  <c r="AD269" i="24" s="1"/>
  <c r="AI261" i="24"/>
  <c r="AH261" i="24" s="1"/>
  <c r="AG261" i="24" s="1"/>
  <c r="AF261" i="24" s="1"/>
  <c r="AD261" i="24" s="1"/>
  <c r="AI253" i="24"/>
  <c r="AH253" i="24" s="1"/>
  <c r="AG253" i="24" s="1"/>
  <c r="AF253" i="24" s="1"/>
  <c r="AD253" i="24" s="1"/>
  <c r="AI245" i="24"/>
  <c r="AH245" i="24" s="1"/>
  <c r="AG245" i="24" s="1"/>
  <c r="AF245" i="24" s="1"/>
  <c r="AD245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G213" i="24" s="1"/>
  <c r="AF213" i="24" s="1"/>
  <c r="AD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AI21" i="24"/>
  <c r="AH21" i="24" s="1"/>
  <c r="AG21" i="24" s="1"/>
  <c r="AF21" i="24" s="1"/>
  <c r="AD21" i="24" s="1"/>
  <c r="AI291" i="24"/>
  <c r="AH291" i="24" s="1"/>
  <c r="AG291" i="24" s="1"/>
  <c r="AF291" i="24" s="1"/>
  <c r="AD291" i="24" s="1"/>
  <c r="AI323" i="24"/>
  <c r="AH323" i="24" s="1"/>
  <c r="AG323" i="24" s="1"/>
  <c r="AF323" i="24" s="1"/>
  <c r="AD323" i="24" s="1"/>
  <c r="AI355" i="24"/>
  <c r="AH355" i="24" s="1"/>
  <c r="AG355" i="24" s="1"/>
  <c r="AF355" i="24" s="1"/>
  <c r="AD355" i="24" s="1"/>
  <c r="AI371" i="24"/>
  <c r="AH371" i="24" s="1"/>
  <c r="AG371" i="24" s="1"/>
  <c r="AF371" i="24" s="1"/>
  <c r="AD371" i="24" s="1"/>
  <c r="AI15" i="24"/>
  <c r="AI47" i="24"/>
  <c r="AH47" i="24" s="1"/>
  <c r="AG47" i="24" s="1"/>
  <c r="AF47" i="24" s="1"/>
  <c r="AD47" i="24" s="1"/>
  <c r="AI79" i="24"/>
  <c r="AH79" i="24" s="1"/>
  <c r="AG79" i="24" s="1"/>
  <c r="AF79" i="24" s="1"/>
  <c r="AD79" i="24" s="1"/>
  <c r="AI111" i="24"/>
  <c r="AH111" i="24" s="1"/>
  <c r="AG111" i="24" s="1"/>
  <c r="AF111" i="24" s="1"/>
  <c r="AD111" i="24" s="1"/>
  <c r="AI143" i="24"/>
  <c r="AH143" i="24" s="1"/>
  <c r="AG143" i="24" s="1"/>
  <c r="AF143" i="24" s="1"/>
  <c r="AD143" i="24" s="1"/>
  <c r="AI175" i="24"/>
  <c r="AH175" i="24" s="1"/>
  <c r="AG175" i="24" s="1"/>
  <c r="AF175" i="24" s="1"/>
  <c r="AD175" i="24" s="1"/>
  <c r="AI207" i="24"/>
  <c r="AH207" i="24" s="1"/>
  <c r="AG207" i="24" s="1"/>
  <c r="AF207" i="24" s="1"/>
  <c r="AD207" i="24" s="1"/>
  <c r="AI239" i="24"/>
  <c r="AH239" i="24" s="1"/>
  <c r="AG239" i="24" s="1"/>
  <c r="AF239" i="24" s="1"/>
  <c r="AD239" i="24" s="1"/>
  <c r="AI271" i="24"/>
  <c r="AH271" i="24" s="1"/>
  <c r="AG271" i="24" s="1"/>
  <c r="AF271" i="24" s="1"/>
  <c r="AD271" i="24" s="1"/>
  <c r="AI303" i="24"/>
  <c r="AH303" i="24" s="1"/>
  <c r="AG303" i="24" s="1"/>
  <c r="AF303" i="24" s="1"/>
  <c r="AD303" i="24" s="1"/>
  <c r="AI335" i="24"/>
  <c r="AH335" i="24" s="1"/>
  <c r="AG335" i="24" s="1"/>
  <c r="AF335" i="24" s="1"/>
  <c r="AD335" i="24" s="1"/>
  <c r="AI361" i="24"/>
  <c r="AH361" i="24" s="1"/>
  <c r="AG361" i="24" s="1"/>
  <c r="AF361" i="24" s="1"/>
  <c r="AD361" i="24" s="1"/>
  <c r="AI377" i="24"/>
  <c r="AH377" i="24" s="1"/>
  <c r="AG377" i="24" s="1"/>
  <c r="AF377" i="24" s="1"/>
  <c r="AD377" i="24" s="1"/>
  <c r="AI39" i="24"/>
  <c r="AH39" i="24" s="1"/>
  <c r="AG39" i="24" s="1"/>
  <c r="AF39" i="24" s="1"/>
  <c r="AD39" i="24" s="1"/>
  <c r="AI71" i="24"/>
  <c r="AH71" i="24" s="1"/>
  <c r="AG71" i="24" s="1"/>
  <c r="AF71" i="24" s="1"/>
  <c r="AD71" i="24" s="1"/>
  <c r="AI103" i="24"/>
  <c r="AH103" i="24" s="1"/>
  <c r="AG103" i="24" s="1"/>
  <c r="AF103" i="24" s="1"/>
  <c r="AD103" i="24" s="1"/>
  <c r="AI135" i="24"/>
  <c r="AH135" i="24" s="1"/>
  <c r="AG135" i="24" s="1"/>
  <c r="AF135" i="24" s="1"/>
  <c r="AD135" i="24" s="1"/>
  <c r="AI167" i="24"/>
  <c r="AH167" i="24" s="1"/>
  <c r="AG167" i="24" s="1"/>
  <c r="AF167" i="24" s="1"/>
  <c r="AD167" i="24" s="1"/>
  <c r="AI199" i="24"/>
  <c r="AH199" i="24" s="1"/>
  <c r="AG199" i="24" s="1"/>
  <c r="AF199" i="24" s="1"/>
  <c r="AD199" i="24" s="1"/>
  <c r="AI231" i="24"/>
  <c r="AH231" i="24" s="1"/>
  <c r="AG231" i="24" s="1"/>
  <c r="AF231" i="24" s="1"/>
  <c r="AD231" i="24" s="1"/>
  <c r="AI263" i="24"/>
  <c r="AH263" i="24" s="1"/>
  <c r="AG263" i="24" s="1"/>
  <c r="AF263" i="24" s="1"/>
  <c r="AD263" i="24" s="1"/>
  <c r="AI295" i="24"/>
  <c r="AH295" i="24" s="1"/>
  <c r="AG295" i="24" s="1"/>
  <c r="AF295" i="24" s="1"/>
  <c r="AD295" i="24" s="1"/>
  <c r="AI327" i="24"/>
  <c r="AH327" i="24" s="1"/>
  <c r="AG327" i="24" s="1"/>
  <c r="AF327" i="24" s="1"/>
  <c r="AD327" i="24" s="1"/>
  <c r="AI357" i="24"/>
  <c r="AH357" i="24" s="1"/>
  <c r="AG357" i="24" s="1"/>
  <c r="AF357" i="24" s="1"/>
  <c r="AD357" i="24" s="1"/>
  <c r="AI373" i="24"/>
  <c r="AH373" i="24" s="1"/>
  <c r="AG373" i="24" s="1"/>
  <c r="AF373" i="24" s="1"/>
  <c r="AD373" i="24" s="1"/>
  <c r="AI18" i="24"/>
  <c r="AH18" i="24" s="1"/>
  <c r="AG18" i="24" s="1"/>
  <c r="AF18" i="24" s="1"/>
  <c r="AD18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3" i="24"/>
  <c r="AH363" i="24" s="1"/>
  <c r="AG363" i="24" s="1"/>
  <c r="AF363" i="24" s="1"/>
  <c r="AD363" i="24" s="1"/>
  <c r="AI379" i="24"/>
  <c r="AI31" i="24"/>
  <c r="AH31" i="24" s="1"/>
  <c r="AG31" i="24" s="1"/>
  <c r="AF31" i="24" s="1"/>
  <c r="AD31" i="24" s="1"/>
  <c r="AI63" i="24"/>
  <c r="AH63" i="24" s="1"/>
  <c r="AG63" i="24" s="1"/>
  <c r="AF63" i="24" s="1"/>
  <c r="AD63" i="24" s="1"/>
  <c r="AI95" i="24"/>
  <c r="AH95" i="24" s="1"/>
  <c r="AG95" i="24" s="1"/>
  <c r="AF95" i="24" s="1"/>
  <c r="AD95" i="24" s="1"/>
  <c r="AI127" i="24"/>
  <c r="AH127" i="24" s="1"/>
  <c r="AG127" i="24" s="1"/>
  <c r="AF127" i="24" s="1"/>
  <c r="AD127" i="24" s="1"/>
  <c r="AI159" i="24"/>
  <c r="AH159" i="24" s="1"/>
  <c r="AG159" i="24" s="1"/>
  <c r="AF159" i="24" s="1"/>
  <c r="AD159" i="24" s="1"/>
  <c r="AI191" i="24"/>
  <c r="AH191" i="24" s="1"/>
  <c r="AG191" i="24" s="1"/>
  <c r="AF191" i="24" s="1"/>
  <c r="AD191" i="24" s="1"/>
  <c r="AI223" i="24"/>
  <c r="AH223" i="24" s="1"/>
  <c r="AG223" i="24" s="1"/>
  <c r="AF223" i="24" s="1"/>
  <c r="AD223" i="24" s="1"/>
  <c r="AI255" i="24"/>
  <c r="AH255" i="24" s="1"/>
  <c r="AG255" i="24" s="1"/>
  <c r="AF255" i="24" s="1"/>
  <c r="AD255" i="24" s="1"/>
  <c r="AI287" i="24"/>
  <c r="AH287" i="24" s="1"/>
  <c r="AG287" i="24" s="1"/>
  <c r="AF287" i="24" s="1"/>
  <c r="AD287" i="24" s="1"/>
  <c r="AI319" i="24"/>
  <c r="AH319" i="24" s="1"/>
  <c r="AG319" i="24" s="1"/>
  <c r="AF319" i="24" s="1"/>
  <c r="AD319" i="24" s="1"/>
  <c r="AI351" i="24"/>
  <c r="AH351" i="24" s="1"/>
  <c r="AG351" i="24" s="1"/>
  <c r="AF351" i="24" s="1"/>
  <c r="AD351" i="24" s="1"/>
  <c r="AI369" i="24"/>
  <c r="AH369" i="24" s="1"/>
  <c r="AG369" i="24" s="1"/>
  <c r="AF369" i="24" s="1"/>
  <c r="AD369" i="24" s="1"/>
  <c r="AI17" i="24"/>
  <c r="AH17" i="24" s="1"/>
  <c r="AG17" i="24" s="1"/>
  <c r="AF17" i="24" s="1"/>
  <c r="AD17" i="24" s="1"/>
  <c r="AI55" i="24"/>
  <c r="AH55" i="24" s="1"/>
  <c r="AG55" i="24" s="1"/>
  <c r="AF55" i="24" s="1"/>
  <c r="AD55" i="24" s="1"/>
  <c r="AI87" i="24"/>
  <c r="AH87" i="24" s="1"/>
  <c r="AG87" i="24" s="1"/>
  <c r="AF87" i="24" s="1"/>
  <c r="AD87" i="24" s="1"/>
  <c r="AI119" i="24"/>
  <c r="AH119" i="24" s="1"/>
  <c r="AG119" i="24" s="1"/>
  <c r="AF119" i="24" s="1"/>
  <c r="AD119" i="24" s="1"/>
  <c r="AI151" i="24"/>
  <c r="AH151" i="24" s="1"/>
  <c r="AG151" i="24" s="1"/>
  <c r="AF151" i="24" s="1"/>
  <c r="AD151" i="24" s="1"/>
  <c r="AI183" i="24"/>
  <c r="AH183" i="24" s="1"/>
  <c r="AG183" i="24" s="1"/>
  <c r="AF183" i="24" s="1"/>
  <c r="AD183" i="24" s="1"/>
  <c r="AI215" i="24"/>
  <c r="AH215" i="24" s="1"/>
  <c r="AG215" i="24" s="1"/>
  <c r="AF215" i="24" s="1"/>
  <c r="AD215" i="24" s="1"/>
  <c r="AI247" i="24"/>
  <c r="AH247" i="24" s="1"/>
  <c r="AG247" i="24" s="1"/>
  <c r="AF247" i="24" s="1"/>
  <c r="AD247" i="24" s="1"/>
  <c r="AI279" i="24"/>
  <c r="AH279" i="24" s="1"/>
  <c r="AG279" i="24" s="1"/>
  <c r="AF279" i="24" s="1"/>
  <c r="AD279" i="24" s="1"/>
  <c r="AI311" i="24"/>
  <c r="AH311" i="24" s="1"/>
  <c r="AG311" i="24" s="1"/>
  <c r="AF311" i="24" s="1"/>
  <c r="AD311" i="24" s="1"/>
  <c r="AI343" i="24"/>
  <c r="AH343" i="24" s="1"/>
  <c r="AG343" i="24" s="1"/>
  <c r="AF343" i="24" s="1"/>
  <c r="AD343" i="24" s="1"/>
  <c r="AI365" i="24"/>
  <c r="AH365" i="24" s="1"/>
  <c r="AG365" i="24" s="1"/>
  <c r="AF365" i="24" s="1"/>
  <c r="AD365" i="24" s="1"/>
  <c r="U24" i="24"/>
  <c r="T24" i="24" s="1"/>
  <c r="S24" i="24" s="1"/>
  <c r="R24" i="24" s="1"/>
  <c r="P24" i="24" s="1"/>
  <c r="V24" i="24" s="1"/>
  <c r="U21" i="24"/>
  <c r="T21" i="24" s="1"/>
  <c r="S21" i="24" s="1"/>
  <c r="R21" i="24" s="1"/>
  <c r="P21" i="24" s="1"/>
  <c r="V21" i="24" s="1"/>
  <c r="U33" i="24"/>
  <c r="T33" i="24" s="1"/>
  <c r="S33" i="24" s="1"/>
  <c r="R33" i="24" s="1"/>
  <c r="P33" i="24" s="1"/>
  <c r="V33" i="24" s="1"/>
  <c r="U41" i="24"/>
  <c r="T41" i="24" s="1"/>
  <c r="S41" i="24" s="1"/>
  <c r="R41" i="24" s="1"/>
  <c r="P41" i="24" s="1"/>
  <c r="V41" i="24" s="1"/>
  <c r="U49" i="24"/>
  <c r="T49" i="24" s="1"/>
  <c r="S49" i="24" s="1"/>
  <c r="R49" i="24" s="1"/>
  <c r="P49" i="24" s="1"/>
  <c r="V49" i="24" s="1"/>
  <c r="U57" i="24"/>
  <c r="T57" i="24" s="1"/>
  <c r="S57" i="24" s="1"/>
  <c r="R57" i="24" s="1"/>
  <c r="P57" i="24" s="1"/>
  <c r="V57" i="24" s="1"/>
  <c r="U65" i="24"/>
  <c r="T65" i="24" s="1"/>
  <c r="S65" i="24" s="1"/>
  <c r="R65" i="24" s="1"/>
  <c r="P65" i="24" s="1"/>
  <c r="V65" i="24" s="1"/>
  <c r="U73" i="24"/>
  <c r="T73" i="24" s="1"/>
  <c r="S73" i="24" s="1"/>
  <c r="R73" i="24" s="1"/>
  <c r="P73" i="24" s="1"/>
  <c r="V73" i="24" s="1"/>
  <c r="U81" i="24"/>
  <c r="T81" i="24" s="1"/>
  <c r="S81" i="24" s="1"/>
  <c r="R81" i="24" s="1"/>
  <c r="P81" i="24" s="1"/>
  <c r="V81" i="24" s="1"/>
  <c r="U89" i="24"/>
  <c r="T89" i="24" s="1"/>
  <c r="S89" i="24" s="1"/>
  <c r="R89" i="24" s="1"/>
  <c r="P89" i="24" s="1"/>
  <c r="V89" i="24" s="1"/>
  <c r="U97" i="24"/>
  <c r="T97" i="24" s="1"/>
  <c r="S97" i="24" s="1"/>
  <c r="R97" i="24" s="1"/>
  <c r="P97" i="24" s="1"/>
  <c r="V97" i="24" s="1"/>
  <c r="U105" i="24"/>
  <c r="T105" i="24" s="1"/>
  <c r="S105" i="24" s="1"/>
  <c r="R105" i="24" s="1"/>
  <c r="P105" i="24" s="1"/>
  <c r="V105" i="24" s="1"/>
  <c r="U113" i="24"/>
  <c r="T113" i="24" s="1"/>
  <c r="S113" i="24" s="1"/>
  <c r="R113" i="24" s="1"/>
  <c r="P113" i="24" s="1"/>
  <c r="V113" i="24" s="1"/>
  <c r="U121" i="24"/>
  <c r="T121" i="24" s="1"/>
  <c r="S121" i="24" s="1"/>
  <c r="R121" i="24" s="1"/>
  <c r="P121" i="24" s="1"/>
  <c r="V121" i="24" s="1"/>
  <c r="U129" i="24"/>
  <c r="T129" i="24" s="1"/>
  <c r="S129" i="24" s="1"/>
  <c r="R129" i="24" s="1"/>
  <c r="P129" i="24" s="1"/>
  <c r="V129" i="24" s="1"/>
  <c r="U137" i="24"/>
  <c r="T137" i="24" s="1"/>
  <c r="S137" i="24" s="1"/>
  <c r="R137" i="24" s="1"/>
  <c r="P137" i="24" s="1"/>
  <c r="V137" i="24" s="1"/>
  <c r="U145" i="24"/>
  <c r="T145" i="24" s="1"/>
  <c r="S145" i="24" s="1"/>
  <c r="R145" i="24" s="1"/>
  <c r="P145" i="24" s="1"/>
  <c r="V145" i="24" s="1"/>
  <c r="U153" i="24"/>
  <c r="T153" i="24" s="1"/>
  <c r="S153" i="24" s="1"/>
  <c r="R153" i="24" s="1"/>
  <c r="P153" i="24" s="1"/>
  <c r="V153" i="24" s="1"/>
  <c r="U161" i="24"/>
  <c r="T161" i="24" s="1"/>
  <c r="S161" i="24" s="1"/>
  <c r="R161" i="24" s="1"/>
  <c r="P161" i="24" s="1"/>
  <c r="V161" i="24" s="1"/>
  <c r="U169" i="24"/>
  <c r="T169" i="24" s="1"/>
  <c r="S169" i="24" s="1"/>
  <c r="R169" i="24" s="1"/>
  <c r="P169" i="24" s="1"/>
  <c r="V169" i="24" s="1"/>
  <c r="U177" i="24"/>
  <c r="T177" i="24" s="1"/>
  <c r="S177" i="24" s="1"/>
  <c r="R177" i="24" s="1"/>
  <c r="P177" i="24" s="1"/>
  <c r="V177" i="24" s="1"/>
  <c r="U185" i="24"/>
  <c r="T185" i="24" s="1"/>
  <c r="S185" i="24" s="1"/>
  <c r="R185" i="24" s="1"/>
  <c r="P185" i="24" s="1"/>
  <c r="V185" i="24" s="1"/>
  <c r="U193" i="24"/>
  <c r="T193" i="24" s="1"/>
  <c r="S193" i="24" s="1"/>
  <c r="R193" i="24" s="1"/>
  <c r="P193" i="24" s="1"/>
  <c r="V193" i="24" s="1"/>
  <c r="U201" i="24"/>
  <c r="T201" i="24" s="1"/>
  <c r="S201" i="24" s="1"/>
  <c r="R201" i="24" s="1"/>
  <c r="P201" i="24" s="1"/>
  <c r="V201" i="24" s="1"/>
  <c r="U209" i="24"/>
  <c r="T209" i="24" s="1"/>
  <c r="S209" i="24" s="1"/>
  <c r="R209" i="24" s="1"/>
  <c r="P209" i="24" s="1"/>
  <c r="V209" i="24" s="1"/>
  <c r="U217" i="24"/>
  <c r="T217" i="24" s="1"/>
  <c r="S217" i="24" s="1"/>
  <c r="R217" i="24" s="1"/>
  <c r="P217" i="24" s="1"/>
  <c r="V217" i="24" s="1"/>
  <c r="U225" i="24"/>
  <c r="T225" i="24" s="1"/>
  <c r="S225" i="24" s="1"/>
  <c r="R225" i="24" s="1"/>
  <c r="P225" i="24" s="1"/>
  <c r="V225" i="24" s="1"/>
  <c r="U233" i="24"/>
  <c r="T233" i="24" s="1"/>
  <c r="S233" i="24" s="1"/>
  <c r="R233" i="24" s="1"/>
  <c r="P233" i="24" s="1"/>
  <c r="V233" i="24" s="1"/>
  <c r="U241" i="24"/>
  <c r="T241" i="24" s="1"/>
  <c r="S241" i="24" s="1"/>
  <c r="R241" i="24" s="1"/>
  <c r="P241" i="24" s="1"/>
  <c r="U249" i="24"/>
  <c r="T249" i="24" s="1"/>
  <c r="S249" i="24" s="1"/>
  <c r="R249" i="24" s="1"/>
  <c r="P249" i="24" s="1"/>
  <c r="V249" i="24" s="1"/>
  <c r="U257" i="24"/>
  <c r="T257" i="24" s="1"/>
  <c r="S257" i="24" s="1"/>
  <c r="R257" i="24" s="1"/>
  <c r="P257" i="24" s="1"/>
  <c r="V257" i="24" s="1"/>
  <c r="U265" i="24"/>
  <c r="T265" i="24" s="1"/>
  <c r="S265" i="24" s="1"/>
  <c r="R265" i="24" s="1"/>
  <c r="P265" i="24" s="1"/>
  <c r="V265" i="24" s="1"/>
  <c r="U273" i="24"/>
  <c r="T273" i="24" s="1"/>
  <c r="S273" i="24" s="1"/>
  <c r="R273" i="24" s="1"/>
  <c r="P273" i="24" s="1"/>
  <c r="V273" i="24" s="1"/>
  <c r="U281" i="24"/>
  <c r="T281" i="24" s="1"/>
  <c r="S281" i="24" s="1"/>
  <c r="R281" i="24" s="1"/>
  <c r="P281" i="24" s="1"/>
  <c r="V281" i="24" s="1"/>
  <c r="U289" i="24"/>
  <c r="T289" i="24" s="1"/>
  <c r="S289" i="24" s="1"/>
  <c r="R289" i="24" s="1"/>
  <c r="P289" i="24" s="1"/>
  <c r="V289" i="24" s="1"/>
  <c r="U297" i="24"/>
  <c r="T297" i="24" s="1"/>
  <c r="S297" i="24" s="1"/>
  <c r="R297" i="24" s="1"/>
  <c r="P297" i="24" s="1"/>
  <c r="V297" i="24" s="1"/>
  <c r="U305" i="24"/>
  <c r="T305" i="24" s="1"/>
  <c r="S305" i="24" s="1"/>
  <c r="R305" i="24" s="1"/>
  <c r="P305" i="24" s="1"/>
  <c r="V305" i="24" s="1"/>
  <c r="U313" i="24"/>
  <c r="T313" i="24" s="1"/>
  <c r="S313" i="24" s="1"/>
  <c r="R313" i="24" s="1"/>
  <c r="P313" i="24" s="1"/>
  <c r="V313" i="24" s="1"/>
  <c r="U321" i="24"/>
  <c r="T321" i="24" s="1"/>
  <c r="S321" i="24" s="1"/>
  <c r="R321" i="24" s="1"/>
  <c r="P321" i="24" s="1"/>
  <c r="V321" i="24" s="1"/>
  <c r="U329" i="24"/>
  <c r="T329" i="24" s="1"/>
  <c r="S329" i="24" s="1"/>
  <c r="R329" i="24" s="1"/>
  <c r="P329" i="24" s="1"/>
  <c r="V329" i="24" s="1"/>
  <c r="U337" i="24"/>
  <c r="T337" i="24" s="1"/>
  <c r="S337" i="24" s="1"/>
  <c r="R337" i="24" s="1"/>
  <c r="P337" i="24" s="1"/>
  <c r="V337" i="24" s="1"/>
  <c r="U345" i="24"/>
  <c r="T345" i="24" s="1"/>
  <c r="S345" i="24" s="1"/>
  <c r="R345" i="24" s="1"/>
  <c r="P345" i="24" s="1"/>
  <c r="V345" i="24" s="1"/>
  <c r="U353" i="24"/>
  <c r="T353" i="24" s="1"/>
  <c r="S353" i="24" s="1"/>
  <c r="R353" i="24" s="1"/>
  <c r="P353" i="24" s="1"/>
  <c r="V353" i="24" s="1"/>
  <c r="U361" i="24"/>
  <c r="T361" i="24" s="1"/>
  <c r="S361" i="24" s="1"/>
  <c r="R361" i="24" s="1"/>
  <c r="P361" i="24" s="1"/>
  <c r="V361" i="24" s="1"/>
  <c r="U369" i="24"/>
  <c r="T369" i="24" s="1"/>
  <c r="S369" i="24" s="1"/>
  <c r="R369" i="24" s="1"/>
  <c r="P369" i="24" s="1"/>
  <c r="V369" i="24" s="1"/>
  <c r="U377" i="24"/>
  <c r="T377" i="24" s="1"/>
  <c r="S377" i="24" s="1"/>
  <c r="R377" i="24" s="1"/>
  <c r="P377" i="24" s="1"/>
  <c r="V377" i="24" s="1"/>
  <c r="U18" i="24"/>
  <c r="T18" i="24" s="1"/>
  <c r="S18" i="24" s="1"/>
  <c r="R18" i="24" s="1"/>
  <c r="P18" i="24" s="1"/>
  <c r="V18" i="24" s="1"/>
  <c r="U31" i="24"/>
  <c r="T31" i="24" s="1"/>
  <c r="S31" i="24" s="1"/>
  <c r="R31" i="24" s="1"/>
  <c r="P31" i="24" s="1"/>
  <c r="V31" i="24" s="1"/>
  <c r="U39" i="24"/>
  <c r="T39" i="24" s="1"/>
  <c r="S39" i="24" s="1"/>
  <c r="R39" i="24" s="1"/>
  <c r="P39" i="24" s="1"/>
  <c r="V39" i="24" s="1"/>
  <c r="U47" i="24"/>
  <c r="T47" i="24" s="1"/>
  <c r="S47" i="24" s="1"/>
  <c r="R47" i="24" s="1"/>
  <c r="P47" i="24" s="1"/>
  <c r="V47" i="24" s="1"/>
  <c r="U55" i="24"/>
  <c r="T55" i="24" s="1"/>
  <c r="S55" i="24" s="1"/>
  <c r="R55" i="24" s="1"/>
  <c r="P55" i="24" s="1"/>
  <c r="V55" i="24" s="1"/>
  <c r="U63" i="24"/>
  <c r="T63" i="24" s="1"/>
  <c r="S63" i="24" s="1"/>
  <c r="R63" i="24" s="1"/>
  <c r="P63" i="24" s="1"/>
  <c r="V63" i="24" s="1"/>
  <c r="U71" i="24"/>
  <c r="T71" i="24" s="1"/>
  <c r="S71" i="24" s="1"/>
  <c r="R71" i="24" s="1"/>
  <c r="P71" i="24" s="1"/>
  <c r="V71" i="24" s="1"/>
  <c r="U79" i="24"/>
  <c r="T79" i="24" s="1"/>
  <c r="S79" i="24" s="1"/>
  <c r="R79" i="24" s="1"/>
  <c r="P79" i="24" s="1"/>
  <c r="V79" i="24" s="1"/>
  <c r="U87" i="24"/>
  <c r="T87" i="24" s="1"/>
  <c r="S87" i="24" s="1"/>
  <c r="R87" i="24" s="1"/>
  <c r="P87" i="24" s="1"/>
  <c r="V87" i="24" s="1"/>
  <c r="U95" i="24"/>
  <c r="T95" i="24" s="1"/>
  <c r="S95" i="24" s="1"/>
  <c r="R95" i="24" s="1"/>
  <c r="P95" i="24" s="1"/>
  <c r="V95" i="24" s="1"/>
  <c r="U103" i="24"/>
  <c r="T103" i="24" s="1"/>
  <c r="S103" i="24" s="1"/>
  <c r="R103" i="24" s="1"/>
  <c r="P103" i="24" s="1"/>
  <c r="V103" i="24" s="1"/>
  <c r="U111" i="24"/>
  <c r="T111" i="24" s="1"/>
  <c r="S111" i="24" s="1"/>
  <c r="R111" i="24" s="1"/>
  <c r="P111" i="24" s="1"/>
  <c r="V111" i="24" s="1"/>
  <c r="U119" i="24"/>
  <c r="T119" i="24" s="1"/>
  <c r="S119" i="24" s="1"/>
  <c r="R119" i="24" s="1"/>
  <c r="P119" i="24" s="1"/>
  <c r="U127" i="24"/>
  <c r="T127" i="24" s="1"/>
  <c r="S127" i="24" s="1"/>
  <c r="R127" i="24" s="1"/>
  <c r="P127" i="24" s="1"/>
  <c r="V127" i="24" s="1"/>
  <c r="U135" i="24"/>
  <c r="T135" i="24" s="1"/>
  <c r="S135" i="24" s="1"/>
  <c r="R135" i="24" s="1"/>
  <c r="P135" i="24" s="1"/>
  <c r="V135" i="24" s="1"/>
  <c r="U143" i="24"/>
  <c r="T143" i="24" s="1"/>
  <c r="S143" i="24" s="1"/>
  <c r="R143" i="24" s="1"/>
  <c r="P143" i="24" s="1"/>
  <c r="V143" i="24" s="1"/>
  <c r="U151" i="24"/>
  <c r="T151" i="24" s="1"/>
  <c r="S151" i="24" s="1"/>
  <c r="R151" i="24" s="1"/>
  <c r="P151" i="24" s="1"/>
  <c r="V151" i="24" s="1"/>
  <c r="U159" i="24"/>
  <c r="T159" i="24" s="1"/>
  <c r="S159" i="24" s="1"/>
  <c r="R159" i="24" s="1"/>
  <c r="P159" i="24" s="1"/>
  <c r="V159" i="24" s="1"/>
  <c r="U167" i="24"/>
  <c r="T167" i="24" s="1"/>
  <c r="S167" i="24" s="1"/>
  <c r="R167" i="24" s="1"/>
  <c r="P167" i="24" s="1"/>
  <c r="V167" i="24" s="1"/>
  <c r="U175" i="24"/>
  <c r="T175" i="24" s="1"/>
  <c r="S175" i="24" s="1"/>
  <c r="R175" i="24" s="1"/>
  <c r="P175" i="24" s="1"/>
  <c r="V175" i="24" s="1"/>
  <c r="U183" i="24"/>
  <c r="T183" i="24" s="1"/>
  <c r="S183" i="24" s="1"/>
  <c r="R183" i="24" s="1"/>
  <c r="P183" i="24" s="1"/>
  <c r="V183" i="24" s="1"/>
  <c r="U191" i="24"/>
  <c r="T191" i="24" s="1"/>
  <c r="S191" i="24" s="1"/>
  <c r="R191" i="24" s="1"/>
  <c r="P191" i="24" s="1"/>
  <c r="V191" i="24" s="1"/>
  <c r="U199" i="24"/>
  <c r="T199" i="24" s="1"/>
  <c r="S199" i="24" s="1"/>
  <c r="R199" i="24" s="1"/>
  <c r="P199" i="24" s="1"/>
  <c r="V199" i="24" s="1"/>
  <c r="U207" i="24"/>
  <c r="T207" i="24" s="1"/>
  <c r="S207" i="24" s="1"/>
  <c r="R207" i="24" s="1"/>
  <c r="P207" i="24" s="1"/>
  <c r="V207" i="24" s="1"/>
  <c r="U215" i="24"/>
  <c r="T215" i="24" s="1"/>
  <c r="S215" i="24" s="1"/>
  <c r="R215" i="24" s="1"/>
  <c r="P215" i="24" s="1"/>
  <c r="V215" i="24" s="1"/>
  <c r="U223" i="24"/>
  <c r="T223" i="24" s="1"/>
  <c r="S223" i="24" s="1"/>
  <c r="R223" i="24" s="1"/>
  <c r="P223" i="24" s="1"/>
  <c r="V223" i="24" s="1"/>
  <c r="U231" i="24"/>
  <c r="T231" i="24" s="1"/>
  <c r="S231" i="24" s="1"/>
  <c r="R231" i="24" s="1"/>
  <c r="P231" i="24" s="1"/>
  <c r="V231" i="24" s="1"/>
  <c r="U239" i="24"/>
  <c r="T239" i="24" s="1"/>
  <c r="S239" i="24" s="1"/>
  <c r="R239" i="24" s="1"/>
  <c r="P239" i="24" s="1"/>
  <c r="V239" i="24" s="1"/>
  <c r="U247" i="24"/>
  <c r="T247" i="24" s="1"/>
  <c r="S247" i="24" s="1"/>
  <c r="R247" i="24" s="1"/>
  <c r="P247" i="24" s="1"/>
  <c r="V247" i="24" s="1"/>
  <c r="U255" i="24"/>
  <c r="T255" i="24" s="1"/>
  <c r="S255" i="24" s="1"/>
  <c r="R255" i="24" s="1"/>
  <c r="P255" i="24" s="1"/>
  <c r="V255" i="24" s="1"/>
  <c r="U263" i="24"/>
  <c r="T263" i="24" s="1"/>
  <c r="S263" i="24" s="1"/>
  <c r="R263" i="24" s="1"/>
  <c r="P263" i="24" s="1"/>
  <c r="V263" i="24" s="1"/>
  <c r="U271" i="24"/>
  <c r="T271" i="24" s="1"/>
  <c r="S271" i="24" s="1"/>
  <c r="R271" i="24" s="1"/>
  <c r="P271" i="24" s="1"/>
  <c r="V271" i="24" s="1"/>
  <c r="U279" i="24"/>
  <c r="T279" i="24" s="1"/>
  <c r="S279" i="24" s="1"/>
  <c r="R279" i="24" s="1"/>
  <c r="P279" i="24" s="1"/>
  <c r="V279" i="24" s="1"/>
  <c r="U287" i="24"/>
  <c r="T287" i="24" s="1"/>
  <c r="S287" i="24" s="1"/>
  <c r="R287" i="24" s="1"/>
  <c r="P287" i="24" s="1"/>
  <c r="V287" i="24" s="1"/>
  <c r="U295" i="24"/>
  <c r="T295" i="24" s="1"/>
  <c r="S295" i="24" s="1"/>
  <c r="R295" i="24" s="1"/>
  <c r="P295" i="24" s="1"/>
  <c r="V295" i="24" s="1"/>
  <c r="U303" i="24"/>
  <c r="T303" i="24" s="1"/>
  <c r="S303" i="24" s="1"/>
  <c r="R303" i="24" s="1"/>
  <c r="P303" i="24" s="1"/>
  <c r="V303" i="24" s="1"/>
  <c r="U311" i="24"/>
  <c r="T311" i="24" s="1"/>
  <c r="S311" i="24" s="1"/>
  <c r="R311" i="24" s="1"/>
  <c r="P311" i="24" s="1"/>
  <c r="V311" i="24" s="1"/>
  <c r="U319" i="24"/>
  <c r="T319" i="24" s="1"/>
  <c r="S319" i="24" s="1"/>
  <c r="R319" i="24" s="1"/>
  <c r="P319" i="24" s="1"/>
  <c r="V319" i="24" s="1"/>
  <c r="U327" i="24"/>
  <c r="T327" i="24" s="1"/>
  <c r="S327" i="24" s="1"/>
  <c r="R327" i="24" s="1"/>
  <c r="P327" i="24" s="1"/>
  <c r="V327" i="24" s="1"/>
  <c r="U335" i="24"/>
  <c r="T335" i="24" s="1"/>
  <c r="S335" i="24" s="1"/>
  <c r="R335" i="24" s="1"/>
  <c r="P335" i="24" s="1"/>
  <c r="V335" i="24" s="1"/>
  <c r="U343" i="24"/>
  <c r="T343" i="24" s="1"/>
  <c r="S343" i="24" s="1"/>
  <c r="R343" i="24" s="1"/>
  <c r="P343" i="24" s="1"/>
  <c r="V343" i="24" s="1"/>
  <c r="U351" i="24"/>
  <c r="T351" i="24" s="1"/>
  <c r="S351" i="24" s="1"/>
  <c r="R351" i="24" s="1"/>
  <c r="P351" i="24" s="1"/>
  <c r="V351" i="24" s="1"/>
  <c r="U359" i="24"/>
  <c r="T359" i="24" s="1"/>
  <c r="S359" i="24" s="1"/>
  <c r="R359" i="24" s="1"/>
  <c r="P359" i="24" s="1"/>
  <c r="V359" i="24" s="1"/>
  <c r="U367" i="24"/>
  <c r="T367" i="24" s="1"/>
  <c r="S367" i="24" s="1"/>
  <c r="R367" i="24" s="1"/>
  <c r="P367" i="24" s="1"/>
  <c r="V367" i="24" s="1"/>
  <c r="U375" i="24"/>
  <c r="T375" i="24" s="1"/>
  <c r="S375" i="24" s="1"/>
  <c r="R375" i="24" s="1"/>
  <c r="P375" i="24" s="1"/>
  <c r="V375" i="24" s="1"/>
  <c r="U374" i="24"/>
  <c r="T374" i="24" s="1"/>
  <c r="S374" i="24" s="1"/>
  <c r="R374" i="24" s="1"/>
  <c r="P374" i="24" s="1"/>
  <c r="V374" i="24" s="1"/>
  <c r="U358" i="24"/>
  <c r="T358" i="24" s="1"/>
  <c r="S358" i="24" s="1"/>
  <c r="R358" i="24" s="1"/>
  <c r="P358" i="24" s="1"/>
  <c r="V358" i="24" s="1"/>
  <c r="U342" i="24"/>
  <c r="T342" i="24" s="1"/>
  <c r="S342" i="24" s="1"/>
  <c r="R342" i="24" s="1"/>
  <c r="P342" i="24" s="1"/>
  <c r="V342" i="24" s="1"/>
  <c r="U326" i="24"/>
  <c r="T326" i="24" s="1"/>
  <c r="S326" i="24" s="1"/>
  <c r="R326" i="24" s="1"/>
  <c r="P326" i="24" s="1"/>
  <c r="V326" i="24" s="1"/>
  <c r="U310" i="24"/>
  <c r="T310" i="24" s="1"/>
  <c r="S310" i="24" s="1"/>
  <c r="R310" i="24" s="1"/>
  <c r="P310" i="24" s="1"/>
  <c r="V310" i="24" s="1"/>
  <c r="U294" i="24"/>
  <c r="T294" i="24" s="1"/>
  <c r="S294" i="24" s="1"/>
  <c r="R294" i="24" s="1"/>
  <c r="P294" i="24" s="1"/>
  <c r="V294" i="24" s="1"/>
  <c r="U278" i="24"/>
  <c r="T278" i="24" s="1"/>
  <c r="S278" i="24" s="1"/>
  <c r="R278" i="24" s="1"/>
  <c r="P278" i="24" s="1"/>
  <c r="V278" i="24" s="1"/>
  <c r="U258" i="24"/>
  <c r="T258" i="24" s="1"/>
  <c r="S258" i="24" s="1"/>
  <c r="R258" i="24" s="1"/>
  <c r="P258" i="24" s="1"/>
  <c r="V258" i="24" s="1"/>
  <c r="U242" i="24"/>
  <c r="T242" i="24" s="1"/>
  <c r="S242" i="24" s="1"/>
  <c r="R242" i="24" s="1"/>
  <c r="P242" i="24" s="1"/>
  <c r="V242" i="24" s="1"/>
  <c r="U226" i="24"/>
  <c r="T226" i="24" s="1"/>
  <c r="S226" i="24" s="1"/>
  <c r="R226" i="24" s="1"/>
  <c r="P226" i="24" s="1"/>
  <c r="V226" i="24" s="1"/>
  <c r="U210" i="24"/>
  <c r="T210" i="24" s="1"/>
  <c r="S210" i="24" s="1"/>
  <c r="R210" i="24" s="1"/>
  <c r="P210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46" i="24"/>
  <c r="T46" i="24" s="1"/>
  <c r="S46" i="24" s="1"/>
  <c r="R46" i="24" s="1"/>
  <c r="P46" i="24" s="1"/>
  <c r="V46" i="24" s="1"/>
  <c r="U30" i="24"/>
  <c r="T30" i="24" s="1"/>
  <c r="S30" i="24" s="1"/>
  <c r="R30" i="24" s="1"/>
  <c r="P30" i="24" s="1"/>
  <c r="V30" i="24" s="1"/>
  <c r="U23" i="24"/>
  <c r="T23" i="24" s="1"/>
  <c r="S23" i="24" s="1"/>
  <c r="R23" i="24" s="1"/>
  <c r="P23" i="24" s="1"/>
  <c r="V23" i="24" s="1"/>
  <c r="U370" i="24"/>
  <c r="T370" i="24" s="1"/>
  <c r="S370" i="24" s="1"/>
  <c r="R370" i="24" s="1"/>
  <c r="P370" i="24" s="1"/>
  <c r="V370" i="24" s="1"/>
  <c r="U354" i="24"/>
  <c r="T354" i="24" s="1"/>
  <c r="S354" i="24" s="1"/>
  <c r="R354" i="24" s="1"/>
  <c r="P354" i="24" s="1"/>
  <c r="V354" i="24" s="1"/>
  <c r="U338" i="24"/>
  <c r="T338" i="24" s="1"/>
  <c r="S338" i="24" s="1"/>
  <c r="R338" i="24" s="1"/>
  <c r="P338" i="24" s="1"/>
  <c r="V338" i="24" s="1"/>
  <c r="U322" i="24"/>
  <c r="T322" i="24" s="1"/>
  <c r="S322" i="24" s="1"/>
  <c r="R322" i="24" s="1"/>
  <c r="P322" i="24" s="1"/>
  <c r="V322" i="24" s="1"/>
  <c r="U306" i="24"/>
  <c r="T306" i="24" s="1"/>
  <c r="S306" i="24" s="1"/>
  <c r="R306" i="24" s="1"/>
  <c r="P306" i="24" s="1"/>
  <c r="V306" i="24" s="1"/>
  <c r="U290" i="24"/>
  <c r="T290" i="24" s="1"/>
  <c r="S290" i="24" s="1"/>
  <c r="R290" i="24" s="1"/>
  <c r="P290" i="24" s="1"/>
  <c r="V290" i="24" s="1"/>
  <c r="U274" i="24"/>
  <c r="T274" i="24" s="1"/>
  <c r="S274" i="24" s="1"/>
  <c r="R274" i="24" s="1"/>
  <c r="P274" i="24" s="1"/>
  <c r="V274" i="24" s="1"/>
  <c r="U262" i="24"/>
  <c r="T262" i="24" s="1"/>
  <c r="S262" i="24" s="1"/>
  <c r="R262" i="24" s="1"/>
  <c r="P262" i="24" s="1"/>
  <c r="V262" i="24" s="1"/>
  <c r="U246" i="24"/>
  <c r="T246" i="24" s="1"/>
  <c r="S246" i="24" s="1"/>
  <c r="R246" i="24" s="1"/>
  <c r="P246" i="24" s="1"/>
  <c r="V246" i="24" s="1"/>
  <c r="U230" i="24"/>
  <c r="T230" i="24" s="1"/>
  <c r="S230" i="24" s="1"/>
  <c r="R230" i="24" s="1"/>
  <c r="P230" i="24" s="1"/>
  <c r="V230" i="24" s="1"/>
  <c r="U214" i="24"/>
  <c r="T214" i="24" s="1"/>
  <c r="S214" i="24" s="1"/>
  <c r="R214" i="24" s="1"/>
  <c r="P214" i="24" s="1"/>
  <c r="V214" i="24" s="1"/>
  <c r="U198" i="24"/>
  <c r="T198" i="24" s="1"/>
  <c r="S198" i="24" s="1"/>
  <c r="R198" i="24" s="1"/>
  <c r="P198" i="24" s="1"/>
  <c r="V198" i="24" s="1"/>
  <c r="U182" i="24"/>
  <c r="T182" i="24" s="1"/>
  <c r="S182" i="24" s="1"/>
  <c r="R182" i="24" s="1"/>
  <c r="P182" i="24" s="1"/>
  <c r="V182" i="24" s="1"/>
  <c r="U166" i="24"/>
  <c r="T166" i="24" s="1"/>
  <c r="S166" i="24" s="1"/>
  <c r="R166" i="24" s="1"/>
  <c r="P166" i="24" s="1"/>
  <c r="V166" i="24" s="1"/>
  <c r="U150" i="24"/>
  <c r="T150" i="24" s="1"/>
  <c r="S150" i="24" s="1"/>
  <c r="R150" i="24" s="1"/>
  <c r="P150" i="24" s="1"/>
  <c r="V150" i="24" s="1"/>
  <c r="U134" i="24"/>
  <c r="T134" i="24" s="1"/>
  <c r="S134" i="24" s="1"/>
  <c r="R134" i="24" s="1"/>
  <c r="P134" i="24" s="1"/>
  <c r="V134" i="24" s="1"/>
  <c r="U118" i="24"/>
  <c r="T118" i="24" s="1"/>
  <c r="S118" i="24" s="1"/>
  <c r="R118" i="24" s="1"/>
  <c r="P118" i="24" s="1"/>
  <c r="V118" i="24" s="1"/>
  <c r="U102" i="24"/>
  <c r="T102" i="24" s="1"/>
  <c r="S102" i="24" s="1"/>
  <c r="R102" i="24" s="1"/>
  <c r="P102" i="24" s="1"/>
  <c r="V102" i="24" s="1"/>
  <c r="U86" i="24"/>
  <c r="T86" i="24" s="1"/>
  <c r="S86" i="24" s="1"/>
  <c r="R86" i="24" s="1"/>
  <c r="P86" i="24" s="1"/>
  <c r="V86" i="24" s="1"/>
  <c r="U70" i="24"/>
  <c r="T70" i="24" s="1"/>
  <c r="S70" i="24" s="1"/>
  <c r="R70" i="24" s="1"/>
  <c r="P70" i="24" s="1"/>
  <c r="V70" i="24" s="1"/>
  <c r="U58" i="24"/>
  <c r="T58" i="24" s="1"/>
  <c r="S58" i="24" s="1"/>
  <c r="R58" i="24" s="1"/>
  <c r="P58" i="24" s="1"/>
  <c r="V58" i="24" s="1"/>
  <c r="U42" i="24"/>
  <c r="T42" i="24" s="1"/>
  <c r="S42" i="24" s="1"/>
  <c r="R42" i="24" s="1"/>
  <c r="P42" i="24" s="1"/>
  <c r="V42" i="24" s="1"/>
  <c r="U26" i="24"/>
  <c r="T26" i="24" s="1"/>
  <c r="S26" i="24" s="1"/>
  <c r="R26" i="24" s="1"/>
  <c r="P26" i="24" s="1"/>
  <c r="V26" i="24" s="1"/>
  <c r="U376" i="24"/>
  <c r="T376" i="24" s="1"/>
  <c r="S376" i="24" s="1"/>
  <c r="R376" i="24" s="1"/>
  <c r="P376" i="24" s="1"/>
  <c r="V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8" i="24"/>
  <c r="T328" i="24" s="1"/>
  <c r="S328" i="24" s="1"/>
  <c r="R328" i="24" s="1"/>
  <c r="P328" i="24" s="1"/>
  <c r="V328" i="24" s="1"/>
  <c r="U320" i="24"/>
  <c r="T320" i="24" s="1"/>
  <c r="S320" i="24" s="1"/>
  <c r="R320" i="24" s="1"/>
  <c r="P320" i="24" s="1"/>
  <c r="V320" i="24" s="1"/>
  <c r="U312" i="24"/>
  <c r="T312" i="24" s="1"/>
  <c r="S312" i="24" s="1"/>
  <c r="R312" i="24" s="1"/>
  <c r="P312" i="24" s="1"/>
  <c r="V312" i="24" s="1"/>
  <c r="U304" i="24"/>
  <c r="T304" i="24" s="1"/>
  <c r="S304" i="24" s="1"/>
  <c r="R304" i="24" s="1"/>
  <c r="P304" i="24" s="1"/>
  <c r="V304" i="24" s="1"/>
  <c r="U296" i="24"/>
  <c r="T296" i="24" s="1"/>
  <c r="S296" i="24" s="1"/>
  <c r="R296" i="24" s="1"/>
  <c r="P296" i="24" s="1"/>
  <c r="V296" i="24" s="1"/>
  <c r="U288" i="24"/>
  <c r="T288" i="24" s="1"/>
  <c r="S288" i="24" s="1"/>
  <c r="R288" i="24" s="1"/>
  <c r="P288" i="24" s="1"/>
  <c r="V288" i="24" s="1"/>
  <c r="U280" i="24"/>
  <c r="T280" i="24" s="1"/>
  <c r="S280" i="24" s="1"/>
  <c r="R280" i="24" s="1"/>
  <c r="P280" i="24" s="1"/>
  <c r="V280" i="24" s="1"/>
  <c r="U272" i="24"/>
  <c r="T272" i="24" s="1"/>
  <c r="S272" i="24" s="1"/>
  <c r="R272" i="24" s="1"/>
  <c r="P272" i="24" s="1"/>
  <c r="U264" i="24"/>
  <c r="T264" i="24" s="1"/>
  <c r="S264" i="24" s="1"/>
  <c r="R264" i="24" s="1"/>
  <c r="P264" i="24" s="1"/>
  <c r="V264" i="24" s="1"/>
  <c r="U256" i="24"/>
  <c r="T256" i="24" s="1"/>
  <c r="S256" i="24" s="1"/>
  <c r="R256" i="24" s="1"/>
  <c r="P256" i="24" s="1"/>
  <c r="V256" i="24" s="1"/>
  <c r="U248" i="24"/>
  <c r="T248" i="24" s="1"/>
  <c r="S248" i="24" s="1"/>
  <c r="R248" i="24" s="1"/>
  <c r="P248" i="24" s="1"/>
  <c r="V248" i="24" s="1"/>
  <c r="U240" i="24"/>
  <c r="T240" i="24" s="1"/>
  <c r="S240" i="24" s="1"/>
  <c r="R240" i="24" s="1"/>
  <c r="P240" i="24" s="1"/>
  <c r="V240" i="24" s="1"/>
  <c r="U232" i="24"/>
  <c r="T232" i="24" s="1"/>
  <c r="S232" i="24" s="1"/>
  <c r="R232" i="24" s="1"/>
  <c r="P232" i="24" s="1"/>
  <c r="V232" i="24" s="1"/>
  <c r="U224" i="24"/>
  <c r="T224" i="24" s="1"/>
  <c r="S224" i="24" s="1"/>
  <c r="R224" i="24" s="1"/>
  <c r="P224" i="24" s="1"/>
  <c r="V224" i="24" s="1"/>
  <c r="U216" i="24"/>
  <c r="T216" i="24" s="1"/>
  <c r="S216" i="24" s="1"/>
  <c r="R216" i="24" s="1"/>
  <c r="P216" i="24" s="1"/>
  <c r="V216" i="24" s="1"/>
  <c r="U208" i="24"/>
  <c r="T208" i="24" s="1"/>
  <c r="S208" i="24" s="1"/>
  <c r="R208" i="24" s="1"/>
  <c r="P208" i="24" s="1"/>
  <c r="V208" i="24" s="1"/>
  <c r="U200" i="24"/>
  <c r="T200" i="24" s="1"/>
  <c r="S200" i="24" s="1"/>
  <c r="R200" i="24" s="1"/>
  <c r="P200" i="24" s="1"/>
  <c r="V200" i="24" s="1"/>
  <c r="U192" i="24"/>
  <c r="T192" i="24" s="1"/>
  <c r="S192" i="24" s="1"/>
  <c r="R192" i="24" s="1"/>
  <c r="P192" i="24" s="1"/>
  <c r="V192" i="24" s="1"/>
  <c r="U184" i="24"/>
  <c r="T184" i="24" s="1"/>
  <c r="S184" i="24" s="1"/>
  <c r="R184" i="24" s="1"/>
  <c r="P184" i="24" s="1"/>
  <c r="V184" i="24" s="1"/>
  <c r="U176" i="24"/>
  <c r="T176" i="24" s="1"/>
  <c r="S176" i="24" s="1"/>
  <c r="R176" i="24" s="1"/>
  <c r="P176" i="24" s="1"/>
  <c r="V176" i="24" s="1"/>
  <c r="U168" i="24"/>
  <c r="T168" i="24" s="1"/>
  <c r="S168" i="24" s="1"/>
  <c r="R168" i="24" s="1"/>
  <c r="P168" i="24" s="1"/>
  <c r="V168" i="24" s="1"/>
  <c r="U160" i="24"/>
  <c r="T160" i="24" s="1"/>
  <c r="S160" i="24" s="1"/>
  <c r="R160" i="24" s="1"/>
  <c r="P160" i="24" s="1"/>
  <c r="V160" i="24" s="1"/>
  <c r="U152" i="24"/>
  <c r="T152" i="24" s="1"/>
  <c r="S152" i="24" s="1"/>
  <c r="R152" i="24" s="1"/>
  <c r="P152" i="24" s="1"/>
  <c r="V152" i="24" s="1"/>
  <c r="U144" i="24"/>
  <c r="T144" i="24" s="1"/>
  <c r="S144" i="24" s="1"/>
  <c r="R144" i="24" s="1"/>
  <c r="P144" i="24" s="1"/>
  <c r="V144" i="24" s="1"/>
  <c r="U136" i="24"/>
  <c r="T136" i="24" s="1"/>
  <c r="S136" i="24" s="1"/>
  <c r="R136" i="24" s="1"/>
  <c r="P136" i="24" s="1"/>
  <c r="V136" i="24" s="1"/>
  <c r="U128" i="24"/>
  <c r="T128" i="24" s="1"/>
  <c r="S128" i="24" s="1"/>
  <c r="R128" i="24" s="1"/>
  <c r="P128" i="24" s="1"/>
  <c r="V128" i="24" s="1"/>
  <c r="U120" i="24"/>
  <c r="T120" i="24" s="1"/>
  <c r="S120" i="24" s="1"/>
  <c r="R120" i="24" s="1"/>
  <c r="P120" i="24" s="1"/>
  <c r="V120" i="24" s="1"/>
  <c r="U112" i="24"/>
  <c r="T112" i="24" s="1"/>
  <c r="S112" i="24" s="1"/>
  <c r="R112" i="24" s="1"/>
  <c r="P112" i="24" s="1"/>
  <c r="V112" i="24" s="1"/>
  <c r="U104" i="24"/>
  <c r="T104" i="24" s="1"/>
  <c r="S104" i="24" s="1"/>
  <c r="R104" i="24" s="1"/>
  <c r="P104" i="24" s="1"/>
  <c r="V104" i="24" s="1"/>
  <c r="U96" i="24"/>
  <c r="T96" i="24" s="1"/>
  <c r="S96" i="24" s="1"/>
  <c r="R96" i="24" s="1"/>
  <c r="P96" i="24" s="1"/>
  <c r="V96" i="24" s="1"/>
  <c r="U88" i="24"/>
  <c r="T88" i="24" s="1"/>
  <c r="S88" i="24" s="1"/>
  <c r="R88" i="24" s="1"/>
  <c r="P88" i="24" s="1"/>
  <c r="U80" i="24"/>
  <c r="T80" i="24" s="1"/>
  <c r="S80" i="24" s="1"/>
  <c r="R80" i="24" s="1"/>
  <c r="P80" i="24" s="1"/>
  <c r="V80" i="24" s="1"/>
  <c r="U72" i="24"/>
  <c r="T72" i="24" s="1"/>
  <c r="S72" i="24" s="1"/>
  <c r="R72" i="24" s="1"/>
  <c r="P72" i="24" s="1"/>
  <c r="V72" i="24" s="1"/>
  <c r="U64" i="24"/>
  <c r="T64" i="24" s="1"/>
  <c r="S64" i="24" s="1"/>
  <c r="R64" i="24" s="1"/>
  <c r="P64" i="24" s="1"/>
  <c r="V64" i="24" s="1"/>
  <c r="U56" i="24"/>
  <c r="T56" i="24" s="1"/>
  <c r="S56" i="24" s="1"/>
  <c r="R56" i="24" s="1"/>
  <c r="P56" i="24" s="1"/>
  <c r="V56" i="24" s="1"/>
  <c r="U48" i="24"/>
  <c r="T48" i="24" s="1"/>
  <c r="S48" i="24" s="1"/>
  <c r="R48" i="24" s="1"/>
  <c r="P48" i="24" s="1"/>
  <c r="V48" i="24" s="1"/>
  <c r="U40" i="24"/>
  <c r="T40" i="24" s="1"/>
  <c r="S40" i="24" s="1"/>
  <c r="R40" i="24" s="1"/>
  <c r="P40" i="24" s="1"/>
  <c r="V40" i="24" s="1"/>
  <c r="U32" i="24"/>
  <c r="T32" i="24" s="1"/>
  <c r="S32" i="24" s="1"/>
  <c r="R32" i="24" s="1"/>
  <c r="P32" i="24" s="1"/>
  <c r="V32" i="24" s="1"/>
  <c r="U25" i="24"/>
  <c r="T25" i="24" s="1"/>
  <c r="S25" i="24" s="1"/>
  <c r="R25" i="24" s="1"/>
  <c r="P25" i="24" s="1"/>
  <c r="V25" i="24" s="1"/>
  <c r="U19" i="24"/>
  <c r="T19" i="24" s="1"/>
  <c r="S19" i="24" s="1"/>
  <c r="R19" i="24" s="1"/>
  <c r="P19" i="24" s="1"/>
  <c r="V19" i="24" s="1"/>
  <c r="U29" i="24"/>
  <c r="T29" i="24" s="1"/>
  <c r="S29" i="24" s="1"/>
  <c r="R29" i="24" s="1"/>
  <c r="P29" i="24" s="1"/>
  <c r="U37" i="24"/>
  <c r="T37" i="24" s="1"/>
  <c r="S37" i="24" s="1"/>
  <c r="R37" i="24" s="1"/>
  <c r="P37" i="24" s="1"/>
  <c r="V37" i="24" s="1"/>
  <c r="U45" i="24"/>
  <c r="T45" i="24" s="1"/>
  <c r="S45" i="24" s="1"/>
  <c r="R45" i="24" s="1"/>
  <c r="P45" i="24" s="1"/>
  <c r="V45" i="24" s="1"/>
  <c r="U53" i="24"/>
  <c r="T53" i="24" s="1"/>
  <c r="S53" i="24" s="1"/>
  <c r="R53" i="24" s="1"/>
  <c r="P53" i="24" s="1"/>
  <c r="V53" i="24" s="1"/>
  <c r="U61" i="24"/>
  <c r="T61" i="24" s="1"/>
  <c r="S61" i="24" s="1"/>
  <c r="R61" i="24" s="1"/>
  <c r="P61" i="24" s="1"/>
  <c r="V61" i="24" s="1"/>
  <c r="U69" i="24"/>
  <c r="T69" i="24" s="1"/>
  <c r="S69" i="24" s="1"/>
  <c r="R69" i="24" s="1"/>
  <c r="P69" i="24" s="1"/>
  <c r="V69" i="24" s="1"/>
  <c r="U77" i="24"/>
  <c r="T77" i="24" s="1"/>
  <c r="S77" i="24" s="1"/>
  <c r="R77" i="24" s="1"/>
  <c r="P77" i="24" s="1"/>
  <c r="V77" i="24" s="1"/>
  <c r="U85" i="24"/>
  <c r="T85" i="24" s="1"/>
  <c r="S85" i="24" s="1"/>
  <c r="R85" i="24" s="1"/>
  <c r="P85" i="24" s="1"/>
  <c r="V85" i="24" s="1"/>
  <c r="U93" i="24"/>
  <c r="T93" i="24" s="1"/>
  <c r="S93" i="24" s="1"/>
  <c r="R93" i="24" s="1"/>
  <c r="P93" i="24" s="1"/>
  <c r="V93" i="24" s="1"/>
  <c r="U101" i="24"/>
  <c r="T101" i="24" s="1"/>
  <c r="S101" i="24" s="1"/>
  <c r="R101" i="24" s="1"/>
  <c r="P101" i="24" s="1"/>
  <c r="V101" i="24" s="1"/>
  <c r="U109" i="24"/>
  <c r="T109" i="24" s="1"/>
  <c r="S109" i="24" s="1"/>
  <c r="R109" i="24" s="1"/>
  <c r="P109" i="24" s="1"/>
  <c r="V109" i="24" s="1"/>
  <c r="U117" i="24"/>
  <c r="T117" i="24" s="1"/>
  <c r="S117" i="24" s="1"/>
  <c r="R117" i="24" s="1"/>
  <c r="P117" i="24" s="1"/>
  <c r="V117" i="24" s="1"/>
  <c r="U125" i="24"/>
  <c r="T125" i="24" s="1"/>
  <c r="S125" i="24" s="1"/>
  <c r="R125" i="24" s="1"/>
  <c r="P125" i="24" s="1"/>
  <c r="V125" i="24" s="1"/>
  <c r="U133" i="24"/>
  <c r="T133" i="24" s="1"/>
  <c r="S133" i="24" s="1"/>
  <c r="R133" i="24" s="1"/>
  <c r="P133" i="24" s="1"/>
  <c r="V133" i="24" s="1"/>
  <c r="U141" i="24"/>
  <c r="T141" i="24" s="1"/>
  <c r="S141" i="24" s="1"/>
  <c r="R141" i="24" s="1"/>
  <c r="P141" i="24" s="1"/>
  <c r="V141" i="24" s="1"/>
  <c r="U149" i="24"/>
  <c r="T149" i="24" s="1"/>
  <c r="S149" i="24" s="1"/>
  <c r="R149" i="24" s="1"/>
  <c r="P149" i="24" s="1"/>
  <c r="U157" i="24"/>
  <c r="T157" i="24" s="1"/>
  <c r="S157" i="24" s="1"/>
  <c r="R157" i="24" s="1"/>
  <c r="P157" i="24" s="1"/>
  <c r="V157" i="24" s="1"/>
  <c r="U165" i="24"/>
  <c r="T165" i="24" s="1"/>
  <c r="S165" i="24" s="1"/>
  <c r="R165" i="24" s="1"/>
  <c r="P165" i="24" s="1"/>
  <c r="V165" i="24" s="1"/>
  <c r="U173" i="24"/>
  <c r="T173" i="24" s="1"/>
  <c r="S173" i="24" s="1"/>
  <c r="R173" i="24" s="1"/>
  <c r="P173" i="24" s="1"/>
  <c r="V173" i="24" s="1"/>
  <c r="U181" i="24"/>
  <c r="T181" i="24" s="1"/>
  <c r="S181" i="24" s="1"/>
  <c r="R181" i="24" s="1"/>
  <c r="P181" i="24" s="1"/>
  <c r="V181" i="24" s="1"/>
  <c r="U189" i="24"/>
  <c r="T189" i="24" s="1"/>
  <c r="S189" i="24" s="1"/>
  <c r="R189" i="24" s="1"/>
  <c r="P189" i="24" s="1"/>
  <c r="V189" i="24" s="1"/>
  <c r="U197" i="24"/>
  <c r="T197" i="24" s="1"/>
  <c r="S197" i="24" s="1"/>
  <c r="R197" i="24" s="1"/>
  <c r="P197" i="24" s="1"/>
  <c r="V197" i="24" s="1"/>
  <c r="U205" i="24"/>
  <c r="T205" i="24" s="1"/>
  <c r="S205" i="24" s="1"/>
  <c r="R205" i="24" s="1"/>
  <c r="P205" i="24" s="1"/>
  <c r="V205" i="24" s="1"/>
  <c r="U213" i="24"/>
  <c r="T213" i="24" s="1"/>
  <c r="S213" i="24" s="1"/>
  <c r="R213" i="24" s="1"/>
  <c r="P213" i="24" s="1"/>
  <c r="V213" i="24" s="1"/>
  <c r="U221" i="24"/>
  <c r="T221" i="24" s="1"/>
  <c r="S221" i="24" s="1"/>
  <c r="R221" i="24" s="1"/>
  <c r="P221" i="24" s="1"/>
  <c r="V221" i="24" s="1"/>
  <c r="U229" i="24"/>
  <c r="T229" i="24" s="1"/>
  <c r="S229" i="24" s="1"/>
  <c r="R229" i="24" s="1"/>
  <c r="P229" i="24" s="1"/>
  <c r="V229" i="24" s="1"/>
  <c r="U237" i="24"/>
  <c r="T237" i="24" s="1"/>
  <c r="S237" i="24" s="1"/>
  <c r="R237" i="24" s="1"/>
  <c r="P237" i="24" s="1"/>
  <c r="V237" i="24" s="1"/>
  <c r="U245" i="24"/>
  <c r="T245" i="24" s="1"/>
  <c r="S245" i="24" s="1"/>
  <c r="R245" i="24" s="1"/>
  <c r="P245" i="24" s="1"/>
  <c r="V245" i="24" s="1"/>
  <c r="U253" i="24"/>
  <c r="T253" i="24" s="1"/>
  <c r="S253" i="24" s="1"/>
  <c r="R253" i="24" s="1"/>
  <c r="P253" i="24" s="1"/>
  <c r="V253" i="24" s="1"/>
  <c r="U261" i="24"/>
  <c r="T261" i="24" s="1"/>
  <c r="S261" i="24" s="1"/>
  <c r="R261" i="24" s="1"/>
  <c r="P261" i="24" s="1"/>
  <c r="V261" i="24" s="1"/>
  <c r="U269" i="24"/>
  <c r="T269" i="24" s="1"/>
  <c r="S269" i="24" s="1"/>
  <c r="R269" i="24" s="1"/>
  <c r="P269" i="24" s="1"/>
  <c r="V269" i="24" s="1"/>
  <c r="U277" i="24"/>
  <c r="T277" i="24" s="1"/>
  <c r="S277" i="24" s="1"/>
  <c r="R277" i="24" s="1"/>
  <c r="P277" i="24" s="1"/>
  <c r="V277" i="24" s="1"/>
  <c r="U285" i="24"/>
  <c r="T285" i="24" s="1"/>
  <c r="S285" i="24" s="1"/>
  <c r="R285" i="24" s="1"/>
  <c r="P285" i="24" s="1"/>
  <c r="V285" i="24" s="1"/>
  <c r="U293" i="24"/>
  <c r="T293" i="24" s="1"/>
  <c r="S293" i="24" s="1"/>
  <c r="R293" i="24" s="1"/>
  <c r="P293" i="24" s="1"/>
  <c r="V293" i="24" s="1"/>
  <c r="U301" i="24"/>
  <c r="T301" i="24" s="1"/>
  <c r="S301" i="24" s="1"/>
  <c r="R301" i="24" s="1"/>
  <c r="P301" i="24" s="1"/>
  <c r="V301" i="24" s="1"/>
  <c r="U309" i="24"/>
  <c r="T309" i="24" s="1"/>
  <c r="S309" i="24" s="1"/>
  <c r="R309" i="24" s="1"/>
  <c r="P309" i="24" s="1"/>
  <c r="V309" i="24" s="1"/>
  <c r="U317" i="24"/>
  <c r="T317" i="24" s="1"/>
  <c r="S317" i="24" s="1"/>
  <c r="R317" i="24" s="1"/>
  <c r="P317" i="24" s="1"/>
  <c r="V317" i="24" s="1"/>
  <c r="U325" i="24"/>
  <c r="T325" i="24" s="1"/>
  <c r="S325" i="24" s="1"/>
  <c r="R325" i="24" s="1"/>
  <c r="P325" i="24" s="1"/>
  <c r="V325" i="24" s="1"/>
  <c r="U333" i="24"/>
  <c r="T333" i="24" s="1"/>
  <c r="S333" i="24" s="1"/>
  <c r="R333" i="24" s="1"/>
  <c r="P333" i="24" s="1"/>
  <c r="U341" i="24"/>
  <c r="T341" i="24" s="1"/>
  <c r="S341" i="24" s="1"/>
  <c r="R341" i="24" s="1"/>
  <c r="P341" i="24" s="1"/>
  <c r="V341" i="24" s="1"/>
  <c r="U349" i="24"/>
  <c r="T349" i="24" s="1"/>
  <c r="S349" i="24" s="1"/>
  <c r="R349" i="24" s="1"/>
  <c r="P349" i="24" s="1"/>
  <c r="V349" i="24" s="1"/>
  <c r="U357" i="24"/>
  <c r="T357" i="24" s="1"/>
  <c r="S357" i="24" s="1"/>
  <c r="R357" i="24" s="1"/>
  <c r="P357" i="24" s="1"/>
  <c r="V357" i="24" s="1"/>
  <c r="U365" i="24"/>
  <c r="T365" i="24" s="1"/>
  <c r="S365" i="24" s="1"/>
  <c r="R365" i="24" s="1"/>
  <c r="P365" i="24" s="1"/>
  <c r="V365" i="24" s="1"/>
  <c r="U373" i="24"/>
  <c r="T373" i="24" s="1"/>
  <c r="S373" i="24" s="1"/>
  <c r="R373" i="24" s="1"/>
  <c r="P373" i="24" s="1"/>
  <c r="V373" i="24" s="1"/>
  <c r="U16" i="24"/>
  <c r="T16" i="24" s="1"/>
  <c r="S16" i="24" s="1"/>
  <c r="R16" i="24" s="1"/>
  <c r="P16" i="24" s="1"/>
  <c r="V16" i="24" s="1"/>
  <c r="U27" i="24"/>
  <c r="T27" i="24" s="1"/>
  <c r="S27" i="24" s="1"/>
  <c r="R27" i="24" s="1"/>
  <c r="P27" i="24" s="1"/>
  <c r="V27" i="24" s="1"/>
  <c r="U35" i="24"/>
  <c r="T35" i="24" s="1"/>
  <c r="S35" i="24" s="1"/>
  <c r="R35" i="24" s="1"/>
  <c r="P35" i="24" s="1"/>
  <c r="V35" i="24" s="1"/>
  <c r="U43" i="24"/>
  <c r="T43" i="24" s="1"/>
  <c r="S43" i="24" s="1"/>
  <c r="R43" i="24" s="1"/>
  <c r="P43" i="24" s="1"/>
  <c r="V43" i="24" s="1"/>
  <c r="U51" i="24"/>
  <c r="T51" i="24" s="1"/>
  <c r="S51" i="24" s="1"/>
  <c r="R51" i="24" s="1"/>
  <c r="P51" i="24" s="1"/>
  <c r="V51" i="24" s="1"/>
  <c r="U59" i="24"/>
  <c r="T59" i="24" s="1"/>
  <c r="S59" i="24" s="1"/>
  <c r="R59" i="24" s="1"/>
  <c r="P59" i="24" s="1"/>
  <c r="V59" i="24" s="1"/>
  <c r="U67" i="24"/>
  <c r="T67" i="24" s="1"/>
  <c r="S67" i="24" s="1"/>
  <c r="R67" i="24" s="1"/>
  <c r="P67" i="24" s="1"/>
  <c r="V67" i="24" s="1"/>
  <c r="U75" i="24"/>
  <c r="T75" i="24" s="1"/>
  <c r="S75" i="24" s="1"/>
  <c r="R75" i="24" s="1"/>
  <c r="P75" i="24" s="1"/>
  <c r="V75" i="24" s="1"/>
  <c r="U83" i="24"/>
  <c r="T83" i="24" s="1"/>
  <c r="S83" i="24" s="1"/>
  <c r="R83" i="24" s="1"/>
  <c r="P83" i="24" s="1"/>
  <c r="V83" i="24" s="1"/>
  <c r="U91" i="24"/>
  <c r="T91" i="24" s="1"/>
  <c r="S91" i="24" s="1"/>
  <c r="R91" i="24" s="1"/>
  <c r="P91" i="24" s="1"/>
  <c r="V91" i="24" s="1"/>
  <c r="U99" i="24"/>
  <c r="T99" i="24" s="1"/>
  <c r="S99" i="24" s="1"/>
  <c r="R99" i="24" s="1"/>
  <c r="P99" i="24" s="1"/>
  <c r="V99" i="24" s="1"/>
  <c r="U107" i="24"/>
  <c r="T107" i="24" s="1"/>
  <c r="S107" i="24" s="1"/>
  <c r="R107" i="24" s="1"/>
  <c r="P107" i="24" s="1"/>
  <c r="V107" i="24" s="1"/>
  <c r="U115" i="24"/>
  <c r="T115" i="24" s="1"/>
  <c r="S115" i="24" s="1"/>
  <c r="R115" i="24" s="1"/>
  <c r="P115" i="24" s="1"/>
  <c r="V115" i="24" s="1"/>
  <c r="U123" i="24"/>
  <c r="T123" i="24" s="1"/>
  <c r="S123" i="24" s="1"/>
  <c r="R123" i="24" s="1"/>
  <c r="P123" i="24" s="1"/>
  <c r="V123" i="24" s="1"/>
  <c r="U131" i="24"/>
  <c r="T131" i="24" s="1"/>
  <c r="S131" i="24" s="1"/>
  <c r="R131" i="24" s="1"/>
  <c r="P131" i="24" s="1"/>
  <c r="V131" i="24" s="1"/>
  <c r="U139" i="24"/>
  <c r="T139" i="24" s="1"/>
  <c r="S139" i="24" s="1"/>
  <c r="R139" i="24" s="1"/>
  <c r="P139" i="24" s="1"/>
  <c r="V139" i="24" s="1"/>
  <c r="U147" i="24"/>
  <c r="T147" i="24" s="1"/>
  <c r="S147" i="24" s="1"/>
  <c r="R147" i="24" s="1"/>
  <c r="P147" i="24" s="1"/>
  <c r="V147" i="24" s="1"/>
  <c r="U155" i="24"/>
  <c r="T155" i="24" s="1"/>
  <c r="S155" i="24" s="1"/>
  <c r="R155" i="24" s="1"/>
  <c r="P155" i="24" s="1"/>
  <c r="V155" i="24" s="1"/>
  <c r="U163" i="24"/>
  <c r="T163" i="24" s="1"/>
  <c r="S163" i="24" s="1"/>
  <c r="R163" i="24" s="1"/>
  <c r="P163" i="24" s="1"/>
  <c r="V163" i="24" s="1"/>
  <c r="U171" i="24"/>
  <c r="T171" i="24" s="1"/>
  <c r="S171" i="24" s="1"/>
  <c r="R171" i="24" s="1"/>
  <c r="P171" i="24" s="1"/>
  <c r="V171" i="24" s="1"/>
  <c r="U179" i="24"/>
  <c r="T179" i="24" s="1"/>
  <c r="S179" i="24" s="1"/>
  <c r="R179" i="24" s="1"/>
  <c r="P179" i="24" s="1"/>
  <c r="V179" i="24" s="1"/>
  <c r="U187" i="24"/>
  <c r="T187" i="24" s="1"/>
  <c r="S187" i="24" s="1"/>
  <c r="R187" i="24" s="1"/>
  <c r="P187" i="24" s="1"/>
  <c r="V187" i="24" s="1"/>
  <c r="U195" i="24"/>
  <c r="T195" i="24" s="1"/>
  <c r="S195" i="24" s="1"/>
  <c r="R195" i="24" s="1"/>
  <c r="P195" i="24" s="1"/>
  <c r="V195" i="24" s="1"/>
  <c r="U203" i="24"/>
  <c r="T203" i="24" s="1"/>
  <c r="S203" i="24" s="1"/>
  <c r="R203" i="24" s="1"/>
  <c r="P203" i="24" s="1"/>
  <c r="V203" i="24" s="1"/>
  <c r="U211" i="24"/>
  <c r="T211" i="24" s="1"/>
  <c r="S211" i="24" s="1"/>
  <c r="R211" i="24" s="1"/>
  <c r="P211" i="24" s="1"/>
  <c r="V211" i="24" s="1"/>
  <c r="U219" i="24"/>
  <c r="T219" i="24" s="1"/>
  <c r="S219" i="24" s="1"/>
  <c r="R219" i="24" s="1"/>
  <c r="P219" i="24" s="1"/>
  <c r="V219" i="24" s="1"/>
  <c r="U227" i="24"/>
  <c r="T227" i="24" s="1"/>
  <c r="S227" i="24" s="1"/>
  <c r="R227" i="24" s="1"/>
  <c r="P227" i="24" s="1"/>
  <c r="V227" i="24" s="1"/>
  <c r="U235" i="24"/>
  <c r="T235" i="24" s="1"/>
  <c r="S235" i="24" s="1"/>
  <c r="R235" i="24" s="1"/>
  <c r="P235" i="24" s="1"/>
  <c r="V235" i="24" s="1"/>
  <c r="U243" i="24"/>
  <c r="T243" i="24" s="1"/>
  <c r="S243" i="24" s="1"/>
  <c r="R243" i="24" s="1"/>
  <c r="P243" i="24" s="1"/>
  <c r="V243" i="24" s="1"/>
  <c r="U251" i="24"/>
  <c r="T251" i="24" s="1"/>
  <c r="S251" i="24" s="1"/>
  <c r="R251" i="24" s="1"/>
  <c r="P251" i="24" s="1"/>
  <c r="V251" i="24" s="1"/>
  <c r="U259" i="24"/>
  <c r="T259" i="24" s="1"/>
  <c r="S259" i="24" s="1"/>
  <c r="R259" i="24" s="1"/>
  <c r="P259" i="24" s="1"/>
  <c r="V259" i="24" s="1"/>
  <c r="U267" i="24"/>
  <c r="T267" i="24" s="1"/>
  <c r="S267" i="24" s="1"/>
  <c r="R267" i="24" s="1"/>
  <c r="P267" i="24" s="1"/>
  <c r="V267" i="24" s="1"/>
  <c r="U275" i="24"/>
  <c r="T275" i="24" s="1"/>
  <c r="S275" i="24" s="1"/>
  <c r="R275" i="24" s="1"/>
  <c r="P275" i="24" s="1"/>
  <c r="V275" i="24" s="1"/>
  <c r="U283" i="24"/>
  <c r="T283" i="24" s="1"/>
  <c r="S283" i="24" s="1"/>
  <c r="R283" i="24" s="1"/>
  <c r="P283" i="24" s="1"/>
  <c r="V283" i="24" s="1"/>
  <c r="U291" i="24"/>
  <c r="T291" i="24" s="1"/>
  <c r="S291" i="24" s="1"/>
  <c r="R291" i="24" s="1"/>
  <c r="P291" i="24" s="1"/>
  <c r="V291" i="24" s="1"/>
  <c r="U299" i="24"/>
  <c r="T299" i="24" s="1"/>
  <c r="S299" i="24" s="1"/>
  <c r="R299" i="24" s="1"/>
  <c r="P299" i="24" s="1"/>
  <c r="V299" i="24" s="1"/>
  <c r="U307" i="24"/>
  <c r="T307" i="24" s="1"/>
  <c r="S307" i="24" s="1"/>
  <c r="R307" i="24" s="1"/>
  <c r="P307" i="24" s="1"/>
  <c r="V307" i="24" s="1"/>
  <c r="U315" i="24"/>
  <c r="T315" i="24" s="1"/>
  <c r="S315" i="24" s="1"/>
  <c r="R315" i="24" s="1"/>
  <c r="P315" i="24" s="1"/>
  <c r="V315" i="24" s="1"/>
  <c r="U323" i="24"/>
  <c r="T323" i="24" s="1"/>
  <c r="S323" i="24" s="1"/>
  <c r="R323" i="24" s="1"/>
  <c r="P323" i="24" s="1"/>
  <c r="V323" i="24" s="1"/>
  <c r="U331" i="24"/>
  <c r="T331" i="24" s="1"/>
  <c r="S331" i="24" s="1"/>
  <c r="R331" i="24" s="1"/>
  <c r="P331" i="24" s="1"/>
  <c r="V331" i="24" s="1"/>
  <c r="U339" i="24"/>
  <c r="T339" i="24" s="1"/>
  <c r="S339" i="24" s="1"/>
  <c r="R339" i="24" s="1"/>
  <c r="P339" i="24" s="1"/>
  <c r="V339" i="24" s="1"/>
  <c r="U347" i="24"/>
  <c r="T347" i="24" s="1"/>
  <c r="S347" i="24" s="1"/>
  <c r="R347" i="24" s="1"/>
  <c r="P347" i="24" s="1"/>
  <c r="V347" i="24" s="1"/>
  <c r="U355" i="24"/>
  <c r="T355" i="24" s="1"/>
  <c r="S355" i="24" s="1"/>
  <c r="R355" i="24" s="1"/>
  <c r="P355" i="24" s="1"/>
  <c r="V355" i="24" s="1"/>
  <c r="U363" i="24"/>
  <c r="T363" i="24" s="1"/>
  <c r="S363" i="24" s="1"/>
  <c r="R363" i="24" s="1"/>
  <c r="P363" i="24" s="1"/>
  <c r="U371" i="24"/>
  <c r="T371" i="24" s="1"/>
  <c r="S371" i="24" s="1"/>
  <c r="R371" i="24" s="1"/>
  <c r="P371" i="24" s="1"/>
  <c r="V371" i="24" s="1"/>
  <c r="U379" i="24"/>
  <c r="U366" i="24"/>
  <c r="T366" i="24" s="1"/>
  <c r="S366" i="24" s="1"/>
  <c r="R366" i="24" s="1"/>
  <c r="P366" i="24" s="1"/>
  <c r="V366" i="24" s="1"/>
  <c r="U350" i="24"/>
  <c r="T350" i="24" s="1"/>
  <c r="S350" i="24" s="1"/>
  <c r="R350" i="24" s="1"/>
  <c r="P350" i="24" s="1"/>
  <c r="V350" i="24" s="1"/>
  <c r="U334" i="24"/>
  <c r="T334" i="24" s="1"/>
  <c r="S334" i="24" s="1"/>
  <c r="R334" i="24" s="1"/>
  <c r="P334" i="24" s="1"/>
  <c r="V334" i="24" s="1"/>
  <c r="U318" i="24"/>
  <c r="T318" i="24" s="1"/>
  <c r="S318" i="24" s="1"/>
  <c r="R318" i="24" s="1"/>
  <c r="P318" i="24" s="1"/>
  <c r="V318" i="24" s="1"/>
  <c r="U302" i="24"/>
  <c r="T302" i="24" s="1"/>
  <c r="S302" i="24" s="1"/>
  <c r="R302" i="24" s="1"/>
  <c r="P302" i="24" s="1"/>
  <c r="U286" i="24"/>
  <c r="T286" i="24" s="1"/>
  <c r="S286" i="24" s="1"/>
  <c r="R286" i="24" s="1"/>
  <c r="P286" i="24" s="1"/>
  <c r="V286" i="24" s="1"/>
  <c r="U270" i="24"/>
  <c r="T270" i="24" s="1"/>
  <c r="S270" i="24" s="1"/>
  <c r="R270" i="24" s="1"/>
  <c r="P270" i="24" s="1"/>
  <c r="V270" i="24" s="1"/>
  <c r="U250" i="24"/>
  <c r="T250" i="24" s="1"/>
  <c r="S250" i="24" s="1"/>
  <c r="R250" i="24" s="1"/>
  <c r="P250" i="24" s="1"/>
  <c r="V250" i="24" s="1"/>
  <c r="U234" i="24"/>
  <c r="T234" i="24" s="1"/>
  <c r="S234" i="24" s="1"/>
  <c r="R234" i="24" s="1"/>
  <c r="P234" i="24" s="1"/>
  <c r="V234" i="24" s="1"/>
  <c r="U218" i="24"/>
  <c r="T218" i="24" s="1"/>
  <c r="S218" i="24" s="1"/>
  <c r="R218" i="24" s="1"/>
  <c r="P218" i="24" s="1"/>
  <c r="V218" i="24" s="1"/>
  <c r="U202" i="24"/>
  <c r="T202" i="24" s="1"/>
  <c r="S202" i="24" s="1"/>
  <c r="R202" i="24" s="1"/>
  <c r="P202" i="24" s="1"/>
  <c r="V202" i="24" s="1"/>
  <c r="U186" i="24"/>
  <c r="T186" i="24" s="1"/>
  <c r="S186" i="24" s="1"/>
  <c r="R186" i="24" s="1"/>
  <c r="P186" i="24" s="1"/>
  <c r="V186" i="24" s="1"/>
  <c r="U170" i="24"/>
  <c r="T170" i="24" s="1"/>
  <c r="S170" i="24" s="1"/>
  <c r="R170" i="24" s="1"/>
  <c r="P170" i="24" s="1"/>
  <c r="V170" i="24" s="1"/>
  <c r="U154" i="24"/>
  <c r="T154" i="24" s="1"/>
  <c r="S154" i="24" s="1"/>
  <c r="R154" i="24" s="1"/>
  <c r="P154" i="24" s="1"/>
  <c r="V154" i="24" s="1"/>
  <c r="U138" i="24"/>
  <c r="T138" i="24" s="1"/>
  <c r="S138" i="24" s="1"/>
  <c r="R138" i="24" s="1"/>
  <c r="P138" i="24" s="1"/>
  <c r="V138" i="24" s="1"/>
  <c r="U122" i="24"/>
  <c r="T122" i="24" s="1"/>
  <c r="S122" i="24" s="1"/>
  <c r="R122" i="24" s="1"/>
  <c r="P122" i="24" s="1"/>
  <c r="V122" i="24" s="1"/>
  <c r="U106" i="24"/>
  <c r="T106" i="24" s="1"/>
  <c r="S106" i="24" s="1"/>
  <c r="R106" i="24" s="1"/>
  <c r="P106" i="24" s="1"/>
  <c r="V106" i="24" s="1"/>
  <c r="U90" i="24"/>
  <c r="T90" i="24" s="1"/>
  <c r="S90" i="24" s="1"/>
  <c r="R90" i="24" s="1"/>
  <c r="P90" i="24" s="1"/>
  <c r="V90" i="24" s="1"/>
  <c r="U74" i="24"/>
  <c r="T74" i="24" s="1"/>
  <c r="S74" i="24" s="1"/>
  <c r="R74" i="24" s="1"/>
  <c r="P74" i="24" s="1"/>
  <c r="V74" i="24" s="1"/>
  <c r="U54" i="24"/>
  <c r="T54" i="24" s="1"/>
  <c r="S54" i="24" s="1"/>
  <c r="R54" i="24" s="1"/>
  <c r="P54" i="24" s="1"/>
  <c r="V54" i="24" s="1"/>
  <c r="U38" i="24"/>
  <c r="T38" i="24" s="1"/>
  <c r="S38" i="24" s="1"/>
  <c r="R38" i="24" s="1"/>
  <c r="P38" i="24" s="1"/>
  <c r="V38" i="24" s="1"/>
  <c r="U17" i="24"/>
  <c r="T17" i="24" s="1"/>
  <c r="S17" i="24" s="1"/>
  <c r="R17" i="24" s="1"/>
  <c r="P17" i="24" s="1"/>
  <c r="V17" i="24" s="1"/>
  <c r="U378" i="24"/>
  <c r="T378" i="24" s="1"/>
  <c r="S378" i="24" s="1"/>
  <c r="R378" i="24" s="1"/>
  <c r="P378" i="24" s="1"/>
  <c r="V378" i="24" s="1"/>
  <c r="U362" i="24"/>
  <c r="T362" i="24" s="1"/>
  <c r="S362" i="24" s="1"/>
  <c r="R362" i="24" s="1"/>
  <c r="P362" i="24" s="1"/>
  <c r="V362" i="24" s="1"/>
  <c r="U346" i="24"/>
  <c r="T346" i="24" s="1"/>
  <c r="S346" i="24" s="1"/>
  <c r="R346" i="24" s="1"/>
  <c r="P346" i="24" s="1"/>
  <c r="V346" i="24" s="1"/>
  <c r="U330" i="24"/>
  <c r="T330" i="24" s="1"/>
  <c r="S330" i="24" s="1"/>
  <c r="R330" i="24" s="1"/>
  <c r="P330" i="24" s="1"/>
  <c r="V330" i="24" s="1"/>
  <c r="U314" i="24"/>
  <c r="T314" i="24" s="1"/>
  <c r="S314" i="24" s="1"/>
  <c r="R314" i="24" s="1"/>
  <c r="P314" i="24" s="1"/>
  <c r="V314" i="24" s="1"/>
  <c r="U298" i="24"/>
  <c r="T298" i="24" s="1"/>
  <c r="S298" i="24" s="1"/>
  <c r="R298" i="24" s="1"/>
  <c r="P298" i="24" s="1"/>
  <c r="V298" i="24" s="1"/>
  <c r="U282" i="24"/>
  <c r="T282" i="24" s="1"/>
  <c r="S282" i="24" s="1"/>
  <c r="R282" i="24" s="1"/>
  <c r="P282" i="24" s="1"/>
  <c r="V282" i="24" s="1"/>
  <c r="U266" i="24"/>
  <c r="T266" i="24" s="1"/>
  <c r="S266" i="24" s="1"/>
  <c r="R266" i="24" s="1"/>
  <c r="P266" i="24" s="1"/>
  <c r="V266" i="24" s="1"/>
  <c r="U254" i="24"/>
  <c r="T254" i="24" s="1"/>
  <c r="S254" i="24" s="1"/>
  <c r="R254" i="24" s="1"/>
  <c r="P254" i="24" s="1"/>
  <c r="V254" i="24" s="1"/>
  <c r="U238" i="24"/>
  <c r="T238" i="24" s="1"/>
  <c r="S238" i="24" s="1"/>
  <c r="R238" i="24" s="1"/>
  <c r="P238" i="24" s="1"/>
  <c r="V238" i="24" s="1"/>
  <c r="U222" i="24"/>
  <c r="T222" i="24" s="1"/>
  <c r="S222" i="24" s="1"/>
  <c r="R222" i="24" s="1"/>
  <c r="P222" i="24" s="1"/>
  <c r="V222" i="24" s="1"/>
  <c r="U206" i="24"/>
  <c r="T206" i="24" s="1"/>
  <c r="S206" i="24" s="1"/>
  <c r="R206" i="24" s="1"/>
  <c r="P206" i="24" s="1"/>
  <c r="V206" i="24" s="1"/>
  <c r="U190" i="24"/>
  <c r="T190" i="24" s="1"/>
  <c r="S190" i="24" s="1"/>
  <c r="R190" i="24" s="1"/>
  <c r="P190" i="24" s="1"/>
  <c r="V190" i="24" s="1"/>
  <c r="U174" i="24"/>
  <c r="T174" i="24" s="1"/>
  <c r="S174" i="24" s="1"/>
  <c r="R174" i="24" s="1"/>
  <c r="P174" i="24" s="1"/>
  <c r="V174" i="24" s="1"/>
  <c r="U158" i="24"/>
  <c r="T158" i="24" s="1"/>
  <c r="S158" i="24" s="1"/>
  <c r="R158" i="24" s="1"/>
  <c r="P158" i="24" s="1"/>
  <c r="V158" i="24" s="1"/>
  <c r="U142" i="24"/>
  <c r="T142" i="24" s="1"/>
  <c r="S142" i="24" s="1"/>
  <c r="R142" i="24" s="1"/>
  <c r="P142" i="24" s="1"/>
  <c r="V142" i="24" s="1"/>
  <c r="U126" i="24"/>
  <c r="T126" i="24" s="1"/>
  <c r="S126" i="24" s="1"/>
  <c r="R126" i="24" s="1"/>
  <c r="P126" i="24" s="1"/>
  <c r="V126" i="24" s="1"/>
  <c r="U110" i="24"/>
  <c r="T110" i="24" s="1"/>
  <c r="S110" i="24" s="1"/>
  <c r="R110" i="24" s="1"/>
  <c r="P110" i="24" s="1"/>
  <c r="V110" i="24" s="1"/>
  <c r="U94" i="24"/>
  <c r="T94" i="24" s="1"/>
  <c r="S94" i="24" s="1"/>
  <c r="R94" i="24" s="1"/>
  <c r="P94" i="24" s="1"/>
  <c r="V94" i="24" s="1"/>
  <c r="U78" i="24"/>
  <c r="T78" i="24" s="1"/>
  <c r="S78" i="24" s="1"/>
  <c r="R78" i="24" s="1"/>
  <c r="P78" i="24" s="1"/>
  <c r="V78" i="24" s="1"/>
  <c r="U62" i="24"/>
  <c r="T62" i="24" s="1"/>
  <c r="S62" i="24" s="1"/>
  <c r="R62" i="24" s="1"/>
  <c r="P62" i="24" s="1"/>
  <c r="V62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2" i="24"/>
  <c r="T22" i="24" s="1"/>
  <c r="S22" i="24" s="1"/>
  <c r="R22" i="24" s="1"/>
  <c r="P22" i="24" s="1"/>
  <c r="V22" i="24" s="1"/>
  <c r="U372" i="24"/>
  <c r="T372" i="24" s="1"/>
  <c r="S372" i="24" s="1"/>
  <c r="R372" i="24" s="1"/>
  <c r="P372" i="24" s="1"/>
  <c r="V372" i="24" s="1"/>
  <c r="U364" i="24"/>
  <c r="T364" i="24" s="1"/>
  <c r="S364" i="24" s="1"/>
  <c r="R364" i="24" s="1"/>
  <c r="P364" i="24" s="1"/>
  <c r="V364" i="24" s="1"/>
  <c r="U356" i="24"/>
  <c r="T356" i="24" s="1"/>
  <c r="S356" i="24" s="1"/>
  <c r="R356" i="24" s="1"/>
  <c r="P356" i="24" s="1"/>
  <c r="V356" i="24" s="1"/>
  <c r="U348" i="24"/>
  <c r="T348" i="24" s="1"/>
  <c r="S348" i="24" s="1"/>
  <c r="R348" i="24" s="1"/>
  <c r="P348" i="24" s="1"/>
  <c r="V348" i="24" s="1"/>
  <c r="U340" i="24"/>
  <c r="T340" i="24" s="1"/>
  <c r="S340" i="24" s="1"/>
  <c r="R340" i="24" s="1"/>
  <c r="P340" i="24" s="1"/>
  <c r="V340" i="24" s="1"/>
  <c r="U332" i="24"/>
  <c r="T332" i="24" s="1"/>
  <c r="S332" i="24" s="1"/>
  <c r="R332" i="24" s="1"/>
  <c r="P332" i="24" s="1"/>
  <c r="V332" i="24" s="1"/>
  <c r="U324" i="24"/>
  <c r="T324" i="24" s="1"/>
  <c r="S324" i="24" s="1"/>
  <c r="R324" i="24" s="1"/>
  <c r="P324" i="24" s="1"/>
  <c r="V324" i="24" s="1"/>
  <c r="U316" i="24"/>
  <c r="T316" i="24" s="1"/>
  <c r="S316" i="24" s="1"/>
  <c r="R316" i="24" s="1"/>
  <c r="P316" i="24" s="1"/>
  <c r="V316" i="24" s="1"/>
  <c r="U308" i="24"/>
  <c r="T308" i="24" s="1"/>
  <c r="S308" i="24" s="1"/>
  <c r="R308" i="24" s="1"/>
  <c r="P308" i="24" s="1"/>
  <c r="V308" i="24" s="1"/>
  <c r="U300" i="24"/>
  <c r="T300" i="24" s="1"/>
  <c r="S300" i="24" s="1"/>
  <c r="R300" i="24" s="1"/>
  <c r="P300" i="24" s="1"/>
  <c r="V300" i="24" s="1"/>
  <c r="U292" i="24"/>
  <c r="T292" i="24" s="1"/>
  <c r="S292" i="24" s="1"/>
  <c r="R292" i="24" s="1"/>
  <c r="P292" i="24" s="1"/>
  <c r="V292" i="24" s="1"/>
  <c r="U284" i="24"/>
  <c r="T284" i="24" s="1"/>
  <c r="S284" i="24" s="1"/>
  <c r="R284" i="24" s="1"/>
  <c r="P284" i="24" s="1"/>
  <c r="V284" i="24" s="1"/>
  <c r="U276" i="24"/>
  <c r="T276" i="24" s="1"/>
  <c r="S276" i="24" s="1"/>
  <c r="R276" i="24" s="1"/>
  <c r="P276" i="24" s="1"/>
  <c r="V276" i="24" s="1"/>
  <c r="U268" i="24"/>
  <c r="T268" i="24" s="1"/>
  <c r="S268" i="24" s="1"/>
  <c r="R268" i="24" s="1"/>
  <c r="P268" i="24" s="1"/>
  <c r="V268" i="24" s="1"/>
  <c r="U260" i="24"/>
  <c r="T260" i="24" s="1"/>
  <c r="S260" i="24" s="1"/>
  <c r="R260" i="24" s="1"/>
  <c r="P260" i="24" s="1"/>
  <c r="V260" i="24" s="1"/>
  <c r="U252" i="24"/>
  <c r="T252" i="24" s="1"/>
  <c r="S252" i="24" s="1"/>
  <c r="R252" i="24" s="1"/>
  <c r="P252" i="24" s="1"/>
  <c r="V252" i="24" s="1"/>
  <c r="U244" i="24"/>
  <c r="T244" i="24" s="1"/>
  <c r="S244" i="24" s="1"/>
  <c r="R244" i="24" s="1"/>
  <c r="P244" i="24" s="1"/>
  <c r="V244" i="24" s="1"/>
  <c r="U236" i="24"/>
  <c r="T236" i="24" s="1"/>
  <c r="S236" i="24" s="1"/>
  <c r="R236" i="24" s="1"/>
  <c r="P236" i="24" s="1"/>
  <c r="V236" i="24" s="1"/>
  <c r="U228" i="24"/>
  <c r="T228" i="24" s="1"/>
  <c r="S228" i="24" s="1"/>
  <c r="R228" i="24" s="1"/>
  <c r="P228" i="24" s="1"/>
  <c r="V228" i="24" s="1"/>
  <c r="U220" i="24"/>
  <c r="T220" i="24" s="1"/>
  <c r="S220" i="24" s="1"/>
  <c r="R220" i="24" s="1"/>
  <c r="P220" i="24" s="1"/>
  <c r="V220" i="24" s="1"/>
  <c r="U212" i="24"/>
  <c r="T212" i="24" s="1"/>
  <c r="S212" i="24" s="1"/>
  <c r="R212" i="24" s="1"/>
  <c r="P212" i="24" s="1"/>
  <c r="V212" i="24" s="1"/>
  <c r="U204" i="24"/>
  <c r="T204" i="24" s="1"/>
  <c r="S204" i="24" s="1"/>
  <c r="R204" i="24" s="1"/>
  <c r="P204" i="24" s="1"/>
  <c r="V204" i="24" s="1"/>
  <c r="U196" i="24"/>
  <c r="T196" i="24" s="1"/>
  <c r="S196" i="24" s="1"/>
  <c r="R196" i="24" s="1"/>
  <c r="P196" i="24" s="1"/>
  <c r="V196" i="24" s="1"/>
  <c r="U188" i="24"/>
  <c r="T188" i="24" s="1"/>
  <c r="S188" i="24" s="1"/>
  <c r="R188" i="24" s="1"/>
  <c r="P188" i="24" s="1"/>
  <c r="V188" i="24" s="1"/>
  <c r="U180" i="24"/>
  <c r="T180" i="24" s="1"/>
  <c r="S180" i="24" s="1"/>
  <c r="R180" i="24" s="1"/>
  <c r="P180" i="24" s="1"/>
  <c r="U172" i="24"/>
  <c r="T172" i="24" s="1"/>
  <c r="S172" i="24" s="1"/>
  <c r="R172" i="24" s="1"/>
  <c r="P172" i="24" s="1"/>
  <c r="V172" i="24" s="1"/>
  <c r="U164" i="24"/>
  <c r="T164" i="24" s="1"/>
  <c r="S164" i="24" s="1"/>
  <c r="R164" i="24" s="1"/>
  <c r="P164" i="24" s="1"/>
  <c r="V164" i="24" s="1"/>
  <c r="U156" i="24"/>
  <c r="T156" i="24" s="1"/>
  <c r="S156" i="24" s="1"/>
  <c r="R156" i="24" s="1"/>
  <c r="P156" i="24" s="1"/>
  <c r="V156" i="24" s="1"/>
  <c r="U148" i="24"/>
  <c r="T148" i="24" s="1"/>
  <c r="S148" i="24" s="1"/>
  <c r="R148" i="24" s="1"/>
  <c r="P148" i="24" s="1"/>
  <c r="V148" i="24" s="1"/>
  <c r="U140" i="24"/>
  <c r="T140" i="24" s="1"/>
  <c r="S140" i="24" s="1"/>
  <c r="R140" i="24" s="1"/>
  <c r="P140" i="24" s="1"/>
  <c r="V140" i="24" s="1"/>
  <c r="U132" i="24"/>
  <c r="T132" i="24" s="1"/>
  <c r="S132" i="24" s="1"/>
  <c r="R132" i="24" s="1"/>
  <c r="P132" i="24" s="1"/>
  <c r="V132" i="24" s="1"/>
  <c r="U124" i="24"/>
  <c r="T124" i="24" s="1"/>
  <c r="S124" i="24" s="1"/>
  <c r="R124" i="24" s="1"/>
  <c r="P124" i="24" s="1"/>
  <c r="V124" i="24" s="1"/>
  <c r="U116" i="24"/>
  <c r="T116" i="24" s="1"/>
  <c r="S116" i="24" s="1"/>
  <c r="R116" i="24" s="1"/>
  <c r="P116" i="24" s="1"/>
  <c r="V116" i="24" s="1"/>
  <c r="U108" i="24"/>
  <c r="T108" i="24" s="1"/>
  <c r="S108" i="24" s="1"/>
  <c r="R108" i="24" s="1"/>
  <c r="P108" i="24" s="1"/>
  <c r="V108" i="24" s="1"/>
  <c r="U100" i="24"/>
  <c r="T100" i="24" s="1"/>
  <c r="S100" i="24" s="1"/>
  <c r="R100" i="24" s="1"/>
  <c r="P100" i="24" s="1"/>
  <c r="V100" i="24" s="1"/>
  <c r="U92" i="24"/>
  <c r="T92" i="24" s="1"/>
  <c r="S92" i="24" s="1"/>
  <c r="R92" i="24" s="1"/>
  <c r="P92" i="24" s="1"/>
  <c r="V92" i="24" s="1"/>
  <c r="U84" i="24"/>
  <c r="T84" i="24" s="1"/>
  <c r="S84" i="24" s="1"/>
  <c r="R84" i="24" s="1"/>
  <c r="P84" i="24" s="1"/>
  <c r="V84" i="24" s="1"/>
  <c r="U76" i="24"/>
  <c r="T76" i="24" s="1"/>
  <c r="S76" i="24" s="1"/>
  <c r="R76" i="24" s="1"/>
  <c r="P76" i="24" s="1"/>
  <c r="V76" i="24" s="1"/>
  <c r="U68" i="24"/>
  <c r="T68" i="24" s="1"/>
  <c r="S68" i="24" s="1"/>
  <c r="R68" i="24" s="1"/>
  <c r="P68" i="24" s="1"/>
  <c r="V68" i="24" s="1"/>
  <c r="U60" i="24"/>
  <c r="T60" i="24" s="1"/>
  <c r="S60" i="24" s="1"/>
  <c r="R60" i="24" s="1"/>
  <c r="P60" i="24" s="1"/>
  <c r="U52" i="24"/>
  <c r="T52" i="24" s="1"/>
  <c r="S52" i="24" s="1"/>
  <c r="R52" i="24" s="1"/>
  <c r="P52" i="24" s="1"/>
  <c r="V52" i="24" s="1"/>
  <c r="U44" i="24"/>
  <c r="T44" i="24" s="1"/>
  <c r="S44" i="24" s="1"/>
  <c r="R44" i="24" s="1"/>
  <c r="P44" i="24" s="1"/>
  <c r="V44" i="24" s="1"/>
  <c r="U36" i="24"/>
  <c r="T36" i="24" s="1"/>
  <c r="S36" i="24" s="1"/>
  <c r="R36" i="24" s="1"/>
  <c r="P36" i="24" s="1"/>
  <c r="V36" i="24" s="1"/>
  <c r="U28" i="24"/>
  <c r="T28" i="24" s="1"/>
  <c r="S28" i="24" s="1"/>
  <c r="R28" i="24" s="1"/>
  <c r="P28" i="24" s="1"/>
  <c r="V28" i="24" s="1"/>
  <c r="U15" i="24"/>
  <c r="U20" i="24"/>
  <c r="T20" i="24" s="1"/>
  <c r="S20" i="24" s="1"/>
  <c r="R20" i="24" s="1"/>
  <c r="P20" i="24" s="1"/>
  <c r="V20" i="24" s="1"/>
  <c r="AD35" i="23"/>
  <c r="AF381" i="23"/>
  <c r="AF383" i="23"/>
  <c r="AF382" i="23"/>
  <c r="AH57" i="7" l="1"/>
  <c r="V60" i="24"/>
  <c r="C69" i="19" s="1"/>
  <c r="T15" i="24"/>
  <c r="U381" i="24"/>
  <c r="U382" i="24"/>
  <c r="U383" i="24"/>
  <c r="AH61" i="7"/>
  <c r="V180" i="24"/>
  <c r="G69" i="19" s="1"/>
  <c r="V302" i="24"/>
  <c r="K69" i="19" s="1"/>
  <c r="AH65" i="7"/>
  <c r="AH66" i="7"/>
  <c r="V333" i="24"/>
  <c r="L69" i="19" s="1"/>
  <c r="AH56" i="7"/>
  <c r="V29" i="24"/>
  <c r="AH58" i="7"/>
  <c r="V88" i="24"/>
  <c r="D69" i="19" s="1"/>
  <c r="V210" i="24"/>
  <c r="H69" i="19" s="1"/>
  <c r="AH62" i="7"/>
  <c r="AH379" i="24"/>
  <c r="AG379" i="24" s="1"/>
  <c r="AF379" i="24" s="1"/>
  <c r="AD379" i="24" s="1"/>
  <c r="AI12" i="25"/>
  <c r="R383" i="23"/>
  <c r="R382" i="23"/>
  <c r="R381" i="23"/>
  <c r="P15" i="23"/>
  <c r="AZ16" i="7"/>
  <c r="BF11" i="7" s="1"/>
  <c r="U11" i="25" s="1"/>
  <c r="U12" i="25"/>
  <c r="T379" i="24"/>
  <c r="S379" i="24" s="1"/>
  <c r="R379" i="24" s="1"/>
  <c r="P379" i="24" s="1"/>
  <c r="AH67" i="7"/>
  <c r="V363" i="24"/>
  <c r="V149" i="24"/>
  <c r="F69" i="19" s="1"/>
  <c r="AH60" i="7"/>
  <c r="V272" i="24"/>
  <c r="J69" i="19" s="1"/>
  <c r="AH64" i="7"/>
  <c r="AH59" i="7"/>
  <c r="V119" i="24"/>
  <c r="E69" i="19" s="1"/>
  <c r="V241" i="24"/>
  <c r="I69" i="19" s="1"/>
  <c r="AH63" i="7"/>
  <c r="AH15" i="24"/>
  <c r="AI383" i="24"/>
  <c r="AI381" i="24"/>
  <c r="AI382" i="24"/>
  <c r="AD381" i="23"/>
  <c r="AD382" i="23"/>
  <c r="AD383" i="23"/>
  <c r="V379" i="24" l="1"/>
  <c r="M69" i="19" s="1"/>
  <c r="D43" i="19"/>
  <c r="U10" i="25"/>
  <c r="U56" i="25" s="1"/>
  <c r="T56" i="25" s="1"/>
  <c r="S56" i="25" s="1"/>
  <c r="R56" i="25" s="1"/>
  <c r="P56" i="25" s="1"/>
  <c r="V56" i="25" s="1"/>
  <c r="AG15" i="24"/>
  <c r="AH382" i="24"/>
  <c r="AH381" i="24"/>
  <c r="AH383" i="24"/>
  <c r="BE16" i="7"/>
  <c r="U24" i="25"/>
  <c r="T24" i="25" s="1"/>
  <c r="S24" i="25" s="1"/>
  <c r="R24" i="25" s="1"/>
  <c r="P24" i="25" s="1"/>
  <c r="V24" i="25" s="1"/>
  <c r="U88" i="25"/>
  <c r="T88" i="25" s="1"/>
  <c r="S88" i="25" s="1"/>
  <c r="R88" i="25" s="1"/>
  <c r="P88" i="25" s="1"/>
  <c r="U152" i="25"/>
  <c r="T152" i="25" s="1"/>
  <c r="S152" i="25" s="1"/>
  <c r="R152" i="25" s="1"/>
  <c r="P152" i="25" s="1"/>
  <c r="V152" i="25" s="1"/>
  <c r="U198" i="25"/>
  <c r="T198" i="25" s="1"/>
  <c r="S198" i="25" s="1"/>
  <c r="R198" i="25" s="1"/>
  <c r="P198" i="25" s="1"/>
  <c r="V198" i="25" s="1"/>
  <c r="U230" i="25"/>
  <c r="T230" i="25" s="1"/>
  <c r="S230" i="25" s="1"/>
  <c r="R230" i="25" s="1"/>
  <c r="P230" i="25" s="1"/>
  <c r="V230" i="25" s="1"/>
  <c r="U262" i="25"/>
  <c r="T262" i="25" s="1"/>
  <c r="S262" i="25" s="1"/>
  <c r="R262" i="25" s="1"/>
  <c r="P262" i="25" s="1"/>
  <c r="V262" i="25" s="1"/>
  <c r="U314" i="25"/>
  <c r="T314" i="25" s="1"/>
  <c r="S314" i="25" s="1"/>
  <c r="R314" i="25" s="1"/>
  <c r="P314" i="25" s="1"/>
  <c r="V314" i="25" s="1"/>
  <c r="U378" i="25"/>
  <c r="T378" i="25" s="1"/>
  <c r="S378" i="25" s="1"/>
  <c r="R378" i="25" s="1"/>
  <c r="P378" i="25" s="1"/>
  <c r="V378" i="25" s="1"/>
  <c r="U68" i="25"/>
  <c r="T68" i="25" s="1"/>
  <c r="S68" i="25" s="1"/>
  <c r="R68" i="25" s="1"/>
  <c r="P68" i="25" s="1"/>
  <c r="V68" i="25" s="1"/>
  <c r="U132" i="25"/>
  <c r="T132" i="25" s="1"/>
  <c r="S132" i="25" s="1"/>
  <c r="R132" i="25" s="1"/>
  <c r="P132" i="25" s="1"/>
  <c r="V132" i="25" s="1"/>
  <c r="U188" i="25"/>
  <c r="T188" i="25" s="1"/>
  <c r="S188" i="25" s="1"/>
  <c r="R188" i="25" s="1"/>
  <c r="P188" i="25" s="1"/>
  <c r="V188" i="25" s="1"/>
  <c r="U220" i="25"/>
  <c r="T220" i="25" s="1"/>
  <c r="S220" i="25" s="1"/>
  <c r="R220" i="25" s="1"/>
  <c r="P220" i="25" s="1"/>
  <c r="V220" i="25" s="1"/>
  <c r="U252" i="25"/>
  <c r="T252" i="25" s="1"/>
  <c r="S252" i="25" s="1"/>
  <c r="R252" i="25" s="1"/>
  <c r="P252" i="25" s="1"/>
  <c r="V252" i="25" s="1"/>
  <c r="U284" i="25"/>
  <c r="T284" i="25" s="1"/>
  <c r="S284" i="25" s="1"/>
  <c r="R284" i="25" s="1"/>
  <c r="P284" i="25" s="1"/>
  <c r="V284" i="25" s="1"/>
  <c r="U316" i="25"/>
  <c r="T316" i="25" s="1"/>
  <c r="S316" i="25" s="1"/>
  <c r="R316" i="25" s="1"/>
  <c r="P316" i="25" s="1"/>
  <c r="V316" i="25" s="1"/>
  <c r="U348" i="25"/>
  <c r="T348" i="25" s="1"/>
  <c r="S348" i="25" s="1"/>
  <c r="R348" i="25" s="1"/>
  <c r="P348" i="25" s="1"/>
  <c r="V348" i="25" s="1"/>
  <c r="U270" i="25"/>
  <c r="T270" i="25" s="1"/>
  <c r="S270" i="25" s="1"/>
  <c r="R270" i="25" s="1"/>
  <c r="P270" i="25" s="1"/>
  <c r="V270" i="25" s="1"/>
  <c r="U342" i="25"/>
  <c r="T342" i="25" s="1"/>
  <c r="S342" i="25" s="1"/>
  <c r="R342" i="25" s="1"/>
  <c r="P342" i="25" s="1"/>
  <c r="V342" i="25" s="1"/>
  <c r="U31" i="25"/>
  <c r="T31" i="25" s="1"/>
  <c r="S31" i="25" s="1"/>
  <c r="R31" i="25" s="1"/>
  <c r="P31" i="25" s="1"/>
  <c r="V31" i="25" s="1"/>
  <c r="U63" i="25"/>
  <c r="T63" i="25" s="1"/>
  <c r="S63" i="25" s="1"/>
  <c r="R63" i="25" s="1"/>
  <c r="P63" i="25" s="1"/>
  <c r="V63" i="25" s="1"/>
  <c r="U95" i="25"/>
  <c r="T95" i="25" s="1"/>
  <c r="S95" i="25" s="1"/>
  <c r="R95" i="25" s="1"/>
  <c r="P95" i="25" s="1"/>
  <c r="V95" i="25" s="1"/>
  <c r="U127" i="25"/>
  <c r="T127" i="25" s="1"/>
  <c r="S127" i="25" s="1"/>
  <c r="R127" i="25" s="1"/>
  <c r="P127" i="25" s="1"/>
  <c r="V127" i="25" s="1"/>
  <c r="U147" i="25"/>
  <c r="T147" i="25" s="1"/>
  <c r="S147" i="25" s="1"/>
  <c r="R147" i="25" s="1"/>
  <c r="P147" i="25" s="1"/>
  <c r="V147" i="25" s="1"/>
  <c r="U163" i="25"/>
  <c r="T163" i="25" s="1"/>
  <c r="S163" i="25" s="1"/>
  <c r="R163" i="25" s="1"/>
  <c r="P163" i="25" s="1"/>
  <c r="V163" i="25" s="1"/>
  <c r="U179" i="25"/>
  <c r="T179" i="25" s="1"/>
  <c r="S179" i="25" s="1"/>
  <c r="R179" i="25" s="1"/>
  <c r="P179" i="25" s="1"/>
  <c r="V179" i="25" s="1"/>
  <c r="U365" i="25"/>
  <c r="T365" i="25" s="1"/>
  <c r="S365" i="25" s="1"/>
  <c r="R365" i="25" s="1"/>
  <c r="P365" i="25" s="1"/>
  <c r="V365" i="25" s="1"/>
  <c r="U349" i="25"/>
  <c r="T349" i="25" s="1"/>
  <c r="S349" i="25" s="1"/>
  <c r="R349" i="25" s="1"/>
  <c r="P349" i="25" s="1"/>
  <c r="V349" i="25" s="1"/>
  <c r="U333" i="25"/>
  <c r="T333" i="25" s="1"/>
  <c r="S333" i="25" s="1"/>
  <c r="R333" i="25" s="1"/>
  <c r="P333" i="25" s="1"/>
  <c r="U317" i="25"/>
  <c r="T317" i="25" s="1"/>
  <c r="S317" i="25" s="1"/>
  <c r="R317" i="25" s="1"/>
  <c r="P317" i="25" s="1"/>
  <c r="V317" i="25" s="1"/>
  <c r="U301" i="25"/>
  <c r="T301" i="25" s="1"/>
  <c r="S301" i="25" s="1"/>
  <c r="R301" i="25" s="1"/>
  <c r="P301" i="25" s="1"/>
  <c r="V301" i="25" s="1"/>
  <c r="U285" i="25"/>
  <c r="T285" i="25" s="1"/>
  <c r="S285" i="25" s="1"/>
  <c r="R285" i="25" s="1"/>
  <c r="P285" i="25" s="1"/>
  <c r="V285" i="25" s="1"/>
  <c r="U269" i="25"/>
  <c r="T269" i="25" s="1"/>
  <c r="S269" i="25" s="1"/>
  <c r="R269" i="25" s="1"/>
  <c r="P269" i="25" s="1"/>
  <c r="V269" i="25" s="1"/>
  <c r="U253" i="25"/>
  <c r="T253" i="25" s="1"/>
  <c r="S253" i="25" s="1"/>
  <c r="R253" i="25" s="1"/>
  <c r="P253" i="25" s="1"/>
  <c r="V253" i="25" s="1"/>
  <c r="U237" i="25"/>
  <c r="T237" i="25" s="1"/>
  <c r="S237" i="25" s="1"/>
  <c r="R237" i="25" s="1"/>
  <c r="P237" i="25" s="1"/>
  <c r="V237" i="25" s="1"/>
  <c r="U221" i="25"/>
  <c r="T221" i="25" s="1"/>
  <c r="S221" i="25" s="1"/>
  <c r="R221" i="25" s="1"/>
  <c r="P221" i="25" s="1"/>
  <c r="V221" i="25" s="1"/>
  <c r="U205" i="25"/>
  <c r="T205" i="25" s="1"/>
  <c r="S205" i="25" s="1"/>
  <c r="R205" i="25" s="1"/>
  <c r="P205" i="25" s="1"/>
  <c r="V205" i="25" s="1"/>
  <c r="U189" i="25"/>
  <c r="T189" i="25" s="1"/>
  <c r="S189" i="25" s="1"/>
  <c r="R189" i="25" s="1"/>
  <c r="P189" i="25" s="1"/>
  <c r="V189" i="25" s="1"/>
  <c r="U166" i="25"/>
  <c r="T166" i="25" s="1"/>
  <c r="S166" i="25" s="1"/>
  <c r="R166" i="25" s="1"/>
  <c r="P166" i="25" s="1"/>
  <c r="V166" i="25" s="1"/>
  <c r="U134" i="25"/>
  <c r="T134" i="25" s="1"/>
  <c r="S134" i="25" s="1"/>
  <c r="R134" i="25" s="1"/>
  <c r="P134" i="25" s="1"/>
  <c r="V134" i="25" s="1"/>
  <c r="U102" i="25"/>
  <c r="T102" i="25" s="1"/>
  <c r="S102" i="25" s="1"/>
  <c r="R102" i="25" s="1"/>
  <c r="P102" i="25" s="1"/>
  <c r="V102" i="25" s="1"/>
  <c r="U70" i="25"/>
  <c r="T70" i="25" s="1"/>
  <c r="S70" i="25" s="1"/>
  <c r="R70" i="25" s="1"/>
  <c r="P70" i="25" s="1"/>
  <c r="V70" i="25" s="1"/>
  <c r="U38" i="25"/>
  <c r="T38" i="25" s="1"/>
  <c r="S38" i="25" s="1"/>
  <c r="R38" i="25" s="1"/>
  <c r="P38" i="25" s="1"/>
  <c r="V38" i="25" s="1"/>
  <c r="U19" i="25"/>
  <c r="T19" i="25" s="1"/>
  <c r="S19" i="25" s="1"/>
  <c r="R19" i="25" s="1"/>
  <c r="P19" i="25" s="1"/>
  <c r="V19" i="25" s="1"/>
  <c r="U29" i="25"/>
  <c r="T29" i="25" s="1"/>
  <c r="S29" i="25" s="1"/>
  <c r="R29" i="25" s="1"/>
  <c r="P29" i="25" s="1"/>
  <c r="U37" i="25"/>
  <c r="T37" i="25" s="1"/>
  <c r="S37" i="25" s="1"/>
  <c r="R37" i="25" s="1"/>
  <c r="P37" i="25" s="1"/>
  <c r="V37" i="25" s="1"/>
  <c r="U45" i="25"/>
  <c r="T45" i="25" s="1"/>
  <c r="S45" i="25" s="1"/>
  <c r="R45" i="25" s="1"/>
  <c r="P45" i="25" s="1"/>
  <c r="V45" i="25" s="1"/>
  <c r="U53" i="25"/>
  <c r="T53" i="25" s="1"/>
  <c r="S53" i="25" s="1"/>
  <c r="R53" i="25" s="1"/>
  <c r="P53" i="25" s="1"/>
  <c r="V53" i="25" s="1"/>
  <c r="U61" i="25"/>
  <c r="T61" i="25" s="1"/>
  <c r="S61" i="25" s="1"/>
  <c r="R61" i="25" s="1"/>
  <c r="P61" i="25" s="1"/>
  <c r="V61" i="25" s="1"/>
  <c r="U69" i="25"/>
  <c r="T69" i="25" s="1"/>
  <c r="S69" i="25" s="1"/>
  <c r="R69" i="25" s="1"/>
  <c r="P69" i="25" s="1"/>
  <c r="V69" i="25" s="1"/>
  <c r="U77" i="25"/>
  <c r="T77" i="25" s="1"/>
  <c r="S77" i="25" s="1"/>
  <c r="R77" i="25" s="1"/>
  <c r="P77" i="25" s="1"/>
  <c r="V77" i="25" s="1"/>
  <c r="U85" i="25"/>
  <c r="T85" i="25" s="1"/>
  <c r="S85" i="25" s="1"/>
  <c r="R85" i="25" s="1"/>
  <c r="P85" i="25" s="1"/>
  <c r="V85" i="25" s="1"/>
  <c r="U93" i="25"/>
  <c r="T93" i="25" s="1"/>
  <c r="S93" i="25" s="1"/>
  <c r="R93" i="25" s="1"/>
  <c r="P93" i="25" s="1"/>
  <c r="V93" i="25" s="1"/>
  <c r="U101" i="25"/>
  <c r="T101" i="25" s="1"/>
  <c r="S101" i="25" s="1"/>
  <c r="R101" i="25" s="1"/>
  <c r="P101" i="25" s="1"/>
  <c r="V101" i="25" s="1"/>
  <c r="U109" i="25"/>
  <c r="T109" i="25" s="1"/>
  <c r="S109" i="25" s="1"/>
  <c r="R109" i="25" s="1"/>
  <c r="P109" i="25" s="1"/>
  <c r="V109" i="25" s="1"/>
  <c r="U117" i="25"/>
  <c r="T117" i="25" s="1"/>
  <c r="S117" i="25" s="1"/>
  <c r="R117" i="25" s="1"/>
  <c r="P117" i="25" s="1"/>
  <c r="V117" i="25" s="1"/>
  <c r="U125" i="25"/>
  <c r="T125" i="25" s="1"/>
  <c r="S125" i="25" s="1"/>
  <c r="R125" i="25" s="1"/>
  <c r="P125" i="25" s="1"/>
  <c r="V125" i="25" s="1"/>
  <c r="U133" i="25"/>
  <c r="T133" i="25" s="1"/>
  <c r="S133" i="25" s="1"/>
  <c r="R133" i="25" s="1"/>
  <c r="P133" i="25" s="1"/>
  <c r="V133" i="25" s="1"/>
  <c r="U141" i="25"/>
  <c r="T141" i="25" s="1"/>
  <c r="S141" i="25" s="1"/>
  <c r="R141" i="25" s="1"/>
  <c r="P141" i="25" s="1"/>
  <c r="V141" i="25" s="1"/>
  <c r="U149" i="25"/>
  <c r="T149" i="25" s="1"/>
  <c r="S149" i="25" s="1"/>
  <c r="R149" i="25" s="1"/>
  <c r="P149" i="25" s="1"/>
  <c r="U157" i="25"/>
  <c r="T157" i="25" s="1"/>
  <c r="S157" i="25" s="1"/>
  <c r="R157" i="25" s="1"/>
  <c r="P157" i="25" s="1"/>
  <c r="V157" i="25" s="1"/>
  <c r="U165" i="25"/>
  <c r="T165" i="25" s="1"/>
  <c r="S165" i="25" s="1"/>
  <c r="R165" i="25" s="1"/>
  <c r="P165" i="25" s="1"/>
  <c r="V165" i="25" s="1"/>
  <c r="U173" i="25"/>
  <c r="T173" i="25" s="1"/>
  <c r="S173" i="25" s="1"/>
  <c r="R173" i="25" s="1"/>
  <c r="P173" i="25" s="1"/>
  <c r="V173" i="25" s="1"/>
  <c r="U379" i="25"/>
  <c r="U371" i="25"/>
  <c r="T371" i="25" s="1"/>
  <c r="S371" i="25" s="1"/>
  <c r="R371" i="25" s="1"/>
  <c r="P371" i="25" s="1"/>
  <c r="V371" i="25" s="1"/>
  <c r="U363" i="25"/>
  <c r="T363" i="25" s="1"/>
  <c r="S363" i="25" s="1"/>
  <c r="R363" i="25" s="1"/>
  <c r="P363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1" i="25"/>
  <c r="T251" i="25" s="1"/>
  <c r="S251" i="25" s="1"/>
  <c r="R251" i="25" s="1"/>
  <c r="P251" i="25" s="1"/>
  <c r="V251" i="25" s="1"/>
  <c r="U243" i="25"/>
  <c r="T243" i="25" s="1"/>
  <c r="S243" i="25" s="1"/>
  <c r="R243" i="25" s="1"/>
  <c r="P243" i="25" s="1"/>
  <c r="V243" i="25" s="1"/>
  <c r="U235" i="25"/>
  <c r="T235" i="25" s="1"/>
  <c r="S235" i="25" s="1"/>
  <c r="R235" i="25" s="1"/>
  <c r="P235" i="25" s="1"/>
  <c r="V235" i="25" s="1"/>
  <c r="U227" i="25"/>
  <c r="T227" i="25" s="1"/>
  <c r="S227" i="25" s="1"/>
  <c r="R227" i="25" s="1"/>
  <c r="P227" i="25" s="1"/>
  <c r="V227" i="25" s="1"/>
  <c r="U219" i="25"/>
  <c r="T219" i="25" s="1"/>
  <c r="S219" i="25" s="1"/>
  <c r="R219" i="25" s="1"/>
  <c r="P219" i="25" s="1"/>
  <c r="V219" i="25" s="1"/>
  <c r="U211" i="25"/>
  <c r="T211" i="25" s="1"/>
  <c r="S211" i="25" s="1"/>
  <c r="R211" i="25" s="1"/>
  <c r="P211" i="25" s="1"/>
  <c r="V211" i="25" s="1"/>
  <c r="U203" i="25"/>
  <c r="T203" i="25" s="1"/>
  <c r="S203" i="25" s="1"/>
  <c r="R203" i="25" s="1"/>
  <c r="P203" i="25" s="1"/>
  <c r="V203" i="25" s="1"/>
  <c r="U195" i="25"/>
  <c r="T195" i="25" s="1"/>
  <c r="S195" i="25" s="1"/>
  <c r="R195" i="25" s="1"/>
  <c r="P195" i="25" s="1"/>
  <c r="V195" i="25" s="1"/>
  <c r="U187" i="25"/>
  <c r="T187" i="25" s="1"/>
  <c r="S187" i="25" s="1"/>
  <c r="R187" i="25" s="1"/>
  <c r="P187" i="25" s="1"/>
  <c r="V187" i="25" s="1"/>
  <c r="U178" i="25"/>
  <c r="T178" i="25" s="1"/>
  <c r="S178" i="25" s="1"/>
  <c r="R178" i="25" s="1"/>
  <c r="P178" i="25" s="1"/>
  <c r="V178" i="25" s="1"/>
  <c r="U162" i="25"/>
  <c r="T162" i="25" s="1"/>
  <c r="S162" i="25" s="1"/>
  <c r="R162" i="25" s="1"/>
  <c r="P162" i="25" s="1"/>
  <c r="V162" i="25" s="1"/>
  <c r="U146" i="25"/>
  <c r="T146" i="25" s="1"/>
  <c r="S146" i="25" s="1"/>
  <c r="R146" i="25" s="1"/>
  <c r="P146" i="25" s="1"/>
  <c r="V146" i="25" s="1"/>
  <c r="U130" i="25"/>
  <c r="T130" i="25" s="1"/>
  <c r="S130" i="25" s="1"/>
  <c r="R130" i="25" s="1"/>
  <c r="P130" i="25" s="1"/>
  <c r="V130" i="25" s="1"/>
  <c r="U114" i="25"/>
  <c r="T114" i="25" s="1"/>
  <c r="S114" i="25" s="1"/>
  <c r="R114" i="25" s="1"/>
  <c r="P114" i="25" s="1"/>
  <c r="V114" i="25" s="1"/>
  <c r="U98" i="25"/>
  <c r="T98" i="25" s="1"/>
  <c r="S98" i="25" s="1"/>
  <c r="R98" i="25" s="1"/>
  <c r="P98" i="25" s="1"/>
  <c r="V98" i="25" s="1"/>
  <c r="U82" i="25"/>
  <c r="T82" i="25" s="1"/>
  <c r="S82" i="25" s="1"/>
  <c r="R82" i="25" s="1"/>
  <c r="P82" i="25" s="1"/>
  <c r="V82" i="25" s="1"/>
  <c r="U66" i="25"/>
  <c r="T66" i="25" s="1"/>
  <c r="S66" i="25" s="1"/>
  <c r="R66" i="25" s="1"/>
  <c r="P66" i="25" s="1"/>
  <c r="V66" i="25" s="1"/>
  <c r="U50" i="25"/>
  <c r="T50" i="25" s="1"/>
  <c r="S50" i="25" s="1"/>
  <c r="R50" i="25" s="1"/>
  <c r="P50" i="25" s="1"/>
  <c r="V50" i="25" s="1"/>
  <c r="U34" i="25"/>
  <c r="T34" i="25" s="1"/>
  <c r="S34" i="25" s="1"/>
  <c r="R34" i="25" s="1"/>
  <c r="P34" i="25" s="1"/>
  <c r="V34" i="25" s="1"/>
  <c r="U20" i="25"/>
  <c r="T20" i="25" s="1"/>
  <c r="S20" i="25" s="1"/>
  <c r="R20" i="25" s="1"/>
  <c r="P20" i="25" s="1"/>
  <c r="V20" i="25" s="1"/>
  <c r="U380" i="25"/>
  <c r="T380" i="25" s="1"/>
  <c r="S380" i="25" s="1"/>
  <c r="R380" i="25" s="1"/>
  <c r="P380" i="25" s="1"/>
  <c r="V380" i="25" s="1"/>
  <c r="U255" i="25"/>
  <c r="T255" i="25" s="1"/>
  <c r="S255" i="25" s="1"/>
  <c r="R255" i="25" s="1"/>
  <c r="P255" i="25" s="1"/>
  <c r="V255" i="25" s="1"/>
  <c r="U247" i="25"/>
  <c r="T247" i="25" s="1"/>
  <c r="S247" i="25" s="1"/>
  <c r="R247" i="25" s="1"/>
  <c r="P247" i="25" s="1"/>
  <c r="V247" i="25" s="1"/>
  <c r="U239" i="25"/>
  <c r="T239" i="25" s="1"/>
  <c r="S239" i="25" s="1"/>
  <c r="R239" i="25" s="1"/>
  <c r="P239" i="25" s="1"/>
  <c r="V239" i="25" s="1"/>
  <c r="U231" i="25"/>
  <c r="T231" i="25" s="1"/>
  <c r="S231" i="25" s="1"/>
  <c r="R231" i="25" s="1"/>
  <c r="P231" i="25" s="1"/>
  <c r="V231" i="25" s="1"/>
  <c r="U223" i="25"/>
  <c r="T223" i="25" s="1"/>
  <c r="S223" i="25" s="1"/>
  <c r="R223" i="25" s="1"/>
  <c r="P223" i="25" s="1"/>
  <c r="V223" i="25" s="1"/>
  <c r="U215" i="25"/>
  <c r="T215" i="25" s="1"/>
  <c r="S215" i="25" s="1"/>
  <c r="R215" i="25" s="1"/>
  <c r="P215" i="25" s="1"/>
  <c r="V215" i="25" s="1"/>
  <c r="U207" i="25"/>
  <c r="T207" i="25" s="1"/>
  <c r="S207" i="25" s="1"/>
  <c r="R207" i="25" s="1"/>
  <c r="P207" i="25" s="1"/>
  <c r="V207" i="25" s="1"/>
  <c r="U199" i="25"/>
  <c r="T199" i="25" s="1"/>
  <c r="S199" i="25" s="1"/>
  <c r="R199" i="25" s="1"/>
  <c r="P199" i="25" s="1"/>
  <c r="V199" i="25" s="1"/>
  <c r="U191" i="25"/>
  <c r="T191" i="25" s="1"/>
  <c r="S191" i="25" s="1"/>
  <c r="R191" i="25" s="1"/>
  <c r="P191" i="25" s="1"/>
  <c r="V191" i="25" s="1"/>
  <c r="U183" i="25"/>
  <c r="T183" i="25" s="1"/>
  <c r="S183" i="25" s="1"/>
  <c r="R183" i="25" s="1"/>
  <c r="P183" i="25" s="1"/>
  <c r="V183" i="25" s="1"/>
  <c r="U170" i="25"/>
  <c r="T170" i="25" s="1"/>
  <c r="S170" i="25" s="1"/>
  <c r="R170" i="25" s="1"/>
  <c r="P170" i="25" s="1"/>
  <c r="V170" i="25" s="1"/>
  <c r="U154" i="25"/>
  <c r="T154" i="25" s="1"/>
  <c r="S154" i="25" s="1"/>
  <c r="R154" i="25" s="1"/>
  <c r="P154" i="25" s="1"/>
  <c r="V154" i="25" s="1"/>
  <c r="U138" i="25"/>
  <c r="T138" i="25" s="1"/>
  <c r="S138" i="25" s="1"/>
  <c r="R138" i="25" s="1"/>
  <c r="P138" i="25" s="1"/>
  <c r="V138" i="25" s="1"/>
  <c r="U122" i="25"/>
  <c r="T122" i="25" s="1"/>
  <c r="S122" i="25" s="1"/>
  <c r="R122" i="25" s="1"/>
  <c r="P122" i="25" s="1"/>
  <c r="V122" i="25" s="1"/>
  <c r="U106" i="25"/>
  <c r="T106" i="25" s="1"/>
  <c r="S106" i="25" s="1"/>
  <c r="R106" i="25" s="1"/>
  <c r="P106" i="25" s="1"/>
  <c r="V106" i="25" s="1"/>
  <c r="U90" i="25"/>
  <c r="T90" i="25" s="1"/>
  <c r="S90" i="25" s="1"/>
  <c r="R90" i="25" s="1"/>
  <c r="P90" i="25" s="1"/>
  <c r="V90" i="25" s="1"/>
  <c r="U74" i="25"/>
  <c r="T74" i="25" s="1"/>
  <c r="S74" i="25" s="1"/>
  <c r="R74" i="25" s="1"/>
  <c r="P74" i="25" s="1"/>
  <c r="V74" i="25" s="1"/>
  <c r="U58" i="25"/>
  <c r="T58" i="25" s="1"/>
  <c r="S58" i="25" s="1"/>
  <c r="R58" i="25" s="1"/>
  <c r="P58" i="25" s="1"/>
  <c r="V58" i="25" s="1"/>
  <c r="U42" i="25"/>
  <c r="T42" i="25" s="1"/>
  <c r="S42" i="25" s="1"/>
  <c r="R42" i="25" s="1"/>
  <c r="P42" i="25" s="1"/>
  <c r="V42" i="25" s="1"/>
  <c r="U27" i="25"/>
  <c r="T27" i="25" s="1"/>
  <c r="S27" i="25" s="1"/>
  <c r="R27" i="25" s="1"/>
  <c r="P27" i="25" s="1"/>
  <c r="V27" i="25" s="1"/>
  <c r="P381" i="23"/>
  <c r="P383" i="23"/>
  <c r="P382" i="23"/>
  <c r="V15" i="23"/>
  <c r="AI78" i="25"/>
  <c r="AH78" i="25" s="1"/>
  <c r="AG78" i="25" s="1"/>
  <c r="AF78" i="25" s="1"/>
  <c r="AD78" i="25" s="1"/>
  <c r="AI118" i="25"/>
  <c r="AH118" i="25" s="1"/>
  <c r="AG118" i="25" s="1"/>
  <c r="AF118" i="25" s="1"/>
  <c r="AD118" i="25" s="1"/>
  <c r="AI150" i="25"/>
  <c r="AH150" i="25" s="1"/>
  <c r="AG150" i="25" s="1"/>
  <c r="AF150" i="25" s="1"/>
  <c r="AD150" i="25" s="1"/>
  <c r="AI182" i="25"/>
  <c r="AH182" i="25" s="1"/>
  <c r="AG182" i="25" s="1"/>
  <c r="AF182" i="25" s="1"/>
  <c r="AD182" i="25" s="1"/>
  <c r="AI199" i="25"/>
  <c r="AH199" i="25" s="1"/>
  <c r="AG199" i="25" s="1"/>
  <c r="AF199" i="25" s="1"/>
  <c r="AD199" i="25" s="1"/>
  <c r="AI215" i="25"/>
  <c r="AH215" i="25" s="1"/>
  <c r="AG215" i="25" s="1"/>
  <c r="AF215" i="25" s="1"/>
  <c r="AD215" i="25" s="1"/>
  <c r="AI231" i="25"/>
  <c r="AH231" i="25" s="1"/>
  <c r="AG231" i="25" s="1"/>
  <c r="AF231" i="25" s="1"/>
  <c r="AD231" i="25" s="1"/>
  <c r="AI247" i="25"/>
  <c r="AH247" i="25" s="1"/>
  <c r="AG247" i="25" s="1"/>
  <c r="AF247" i="25" s="1"/>
  <c r="AD247" i="25" s="1"/>
  <c r="AI263" i="25"/>
  <c r="AH263" i="25" s="1"/>
  <c r="AG263" i="25" s="1"/>
  <c r="AF263" i="25" s="1"/>
  <c r="AD263" i="25" s="1"/>
  <c r="AI279" i="25"/>
  <c r="AH279" i="25" s="1"/>
  <c r="AG279" i="25" s="1"/>
  <c r="AF279" i="25" s="1"/>
  <c r="AD279" i="25" s="1"/>
  <c r="AI292" i="25"/>
  <c r="AH292" i="25" s="1"/>
  <c r="AG292" i="25" s="1"/>
  <c r="AF292" i="25" s="1"/>
  <c r="AD292" i="25" s="1"/>
  <c r="AI300" i="25"/>
  <c r="AH300" i="25" s="1"/>
  <c r="AG300" i="25" s="1"/>
  <c r="AF300" i="25" s="1"/>
  <c r="AD300" i="25" s="1"/>
  <c r="AI308" i="25"/>
  <c r="AH308" i="25" s="1"/>
  <c r="AG308" i="25" s="1"/>
  <c r="AF308" i="25" s="1"/>
  <c r="AD308" i="25" s="1"/>
  <c r="AI316" i="25"/>
  <c r="AH316" i="25" s="1"/>
  <c r="AG316" i="25" s="1"/>
  <c r="AF316" i="25" s="1"/>
  <c r="AD316" i="25" s="1"/>
  <c r="AI324" i="25"/>
  <c r="AH324" i="25" s="1"/>
  <c r="AG324" i="25" s="1"/>
  <c r="AF324" i="25" s="1"/>
  <c r="AD324" i="25" s="1"/>
  <c r="AI332" i="25"/>
  <c r="AH332" i="25" s="1"/>
  <c r="AG332" i="25" s="1"/>
  <c r="AF332" i="25" s="1"/>
  <c r="AD332" i="25" s="1"/>
  <c r="AI340" i="25"/>
  <c r="AH340" i="25" s="1"/>
  <c r="AG340" i="25" s="1"/>
  <c r="AF340" i="25" s="1"/>
  <c r="AD340" i="25" s="1"/>
  <c r="AI348" i="25"/>
  <c r="AH348" i="25" s="1"/>
  <c r="AG348" i="25" s="1"/>
  <c r="AF348" i="25" s="1"/>
  <c r="AD348" i="25" s="1"/>
  <c r="AI356" i="25"/>
  <c r="AH356" i="25" s="1"/>
  <c r="AG356" i="25" s="1"/>
  <c r="AF356" i="25" s="1"/>
  <c r="AD356" i="25" s="1"/>
  <c r="AI364" i="25"/>
  <c r="AH364" i="25" s="1"/>
  <c r="AG364" i="25" s="1"/>
  <c r="AF364" i="25" s="1"/>
  <c r="AD364" i="25" s="1"/>
  <c r="AI372" i="25"/>
  <c r="AH372" i="25" s="1"/>
  <c r="AG372" i="25" s="1"/>
  <c r="AF372" i="25" s="1"/>
  <c r="AD372" i="25" s="1"/>
  <c r="AI46" i="25"/>
  <c r="AH46" i="25" s="1"/>
  <c r="AG46" i="25" s="1"/>
  <c r="AF46" i="25" s="1"/>
  <c r="AD46" i="25" s="1"/>
  <c r="AI102" i="25"/>
  <c r="AH102" i="25" s="1"/>
  <c r="AG102" i="25" s="1"/>
  <c r="AF102" i="25" s="1"/>
  <c r="AD102" i="25" s="1"/>
  <c r="AI134" i="25"/>
  <c r="AH134" i="25" s="1"/>
  <c r="AG134" i="25" s="1"/>
  <c r="AF134" i="25" s="1"/>
  <c r="AD134" i="25" s="1"/>
  <c r="AI166" i="25"/>
  <c r="AH166" i="25" s="1"/>
  <c r="AG166" i="25" s="1"/>
  <c r="AF166" i="25" s="1"/>
  <c r="AD166" i="25" s="1"/>
  <c r="AI191" i="25"/>
  <c r="AH191" i="25" s="1"/>
  <c r="AG191" i="25" s="1"/>
  <c r="AF191" i="25" s="1"/>
  <c r="AD191" i="25" s="1"/>
  <c r="AI207" i="25"/>
  <c r="AH207" i="25" s="1"/>
  <c r="AG207" i="25" s="1"/>
  <c r="AF207" i="25" s="1"/>
  <c r="AD207" i="25" s="1"/>
  <c r="AI223" i="25"/>
  <c r="AH223" i="25" s="1"/>
  <c r="AG223" i="25" s="1"/>
  <c r="AF223" i="25" s="1"/>
  <c r="AD223" i="25" s="1"/>
  <c r="AI239" i="25"/>
  <c r="AH239" i="25" s="1"/>
  <c r="AG239" i="25" s="1"/>
  <c r="AF239" i="25" s="1"/>
  <c r="AD239" i="25" s="1"/>
  <c r="AI255" i="25"/>
  <c r="AH255" i="25" s="1"/>
  <c r="AG255" i="25" s="1"/>
  <c r="AF255" i="25" s="1"/>
  <c r="AD255" i="25" s="1"/>
  <c r="AI271" i="25"/>
  <c r="AH271" i="25" s="1"/>
  <c r="AG271" i="25" s="1"/>
  <c r="AF271" i="25" s="1"/>
  <c r="AD271" i="25" s="1"/>
  <c r="AI287" i="25"/>
  <c r="AH287" i="25" s="1"/>
  <c r="AG287" i="25" s="1"/>
  <c r="AF287" i="25" s="1"/>
  <c r="AD287" i="25" s="1"/>
  <c r="AI296" i="25"/>
  <c r="AH296" i="25" s="1"/>
  <c r="AG296" i="25" s="1"/>
  <c r="AF296" i="25" s="1"/>
  <c r="AD296" i="25" s="1"/>
  <c r="AI304" i="25"/>
  <c r="AH304" i="25" s="1"/>
  <c r="AG304" i="25" s="1"/>
  <c r="AF304" i="25" s="1"/>
  <c r="AD304" i="25" s="1"/>
  <c r="AI312" i="25"/>
  <c r="AH312" i="25" s="1"/>
  <c r="AG312" i="25" s="1"/>
  <c r="AF312" i="25" s="1"/>
  <c r="AD312" i="25" s="1"/>
  <c r="AI320" i="25"/>
  <c r="AH320" i="25" s="1"/>
  <c r="AG320" i="25" s="1"/>
  <c r="AF320" i="25" s="1"/>
  <c r="AD320" i="25" s="1"/>
  <c r="AI328" i="25"/>
  <c r="AH328" i="25" s="1"/>
  <c r="AG328" i="25" s="1"/>
  <c r="AF328" i="25" s="1"/>
  <c r="AD328" i="25" s="1"/>
  <c r="AI336" i="25"/>
  <c r="AH336" i="25" s="1"/>
  <c r="AG336" i="25" s="1"/>
  <c r="AF336" i="25" s="1"/>
  <c r="AD336" i="25" s="1"/>
  <c r="AI344" i="25"/>
  <c r="AH344" i="25" s="1"/>
  <c r="AG344" i="25" s="1"/>
  <c r="AF344" i="25" s="1"/>
  <c r="AD344" i="25" s="1"/>
  <c r="AI352" i="25"/>
  <c r="AH352" i="25" s="1"/>
  <c r="AG352" i="25" s="1"/>
  <c r="AF352" i="25" s="1"/>
  <c r="AD352" i="25" s="1"/>
  <c r="AI360" i="25"/>
  <c r="AH360" i="25" s="1"/>
  <c r="AG360" i="25" s="1"/>
  <c r="AF360" i="25" s="1"/>
  <c r="AD360" i="25" s="1"/>
  <c r="AI368" i="25"/>
  <c r="AH368" i="25" s="1"/>
  <c r="AG368" i="25" s="1"/>
  <c r="AF368" i="25" s="1"/>
  <c r="AD368" i="25" s="1"/>
  <c r="AI376" i="25"/>
  <c r="AH376" i="25" s="1"/>
  <c r="AG376" i="25" s="1"/>
  <c r="AF376" i="25" s="1"/>
  <c r="AD376" i="25" s="1"/>
  <c r="AI21" i="25"/>
  <c r="AH21" i="25" s="1"/>
  <c r="AG21" i="25" s="1"/>
  <c r="AF21" i="25" s="1"/>
  <c r="AD21" i="25" s="1"/>
  <c r="AI34" i="25"/>
  <c r="AH34" i="25" s="1"/>
  <c r="AG34" i="25" s="1"/>
  <c r="AF34" i="25" s="1"/>
  <c r="AD34" i="25" s="1"/>
  <c r="AI50" i="25"/>
  <c r="AH50" i="25" s="1"/>
  <c r="AG50" i="25" s="1"/>
  <c r="AF50" i="25" s="1"/>
  <c r="AD50" i="25" s="1"/>
  <c r="AI66" i="25"/>
  <c r="AH66" i="25" s="1"/>
  <c r="AG66" i="25" s="1"/>
  <c r="AF66" i="25" s="1"/>
  <c r="AD66" i="25" s="1"/>
  <c r="AI82" i="25"/>
  <c r="AH82" i="25" s="1"/>
  <c r="AG82" i="25" s="1"/>
  <c r="AF82" i="25" s="1"/>
  <c r="AD82" i="25" s="1"/>
  <c r="AI96" i="25"/>
  <c r="AH96" i="25" s="1"/>
  <c r="AG96" i="25" s="1"/>
  <c r="AF96" i="25" s="1"/>
  <c r="AD96" i="25" s="1"/>
  <c r="AI104" i="25"/>
  <c r="AH104" i="25" s="1"/>
  <c r="AG104" i="25" s="1"/>
  <c r="AF104" i="25" s="1"/>
  <c r="AD104" i="25" s="1"/>
  <c r="AI112" i="25"/>
  <c r="AH112" i="25" s="1"/>
  <c r="AG112" i="25" s="1"/>
  <c r="AF112" i="25" s="1"/>
  <c r="AD112" i="25" s="1"/>
  <c r="AI120" i="25"/>
  <c r="AH120" i="25" s="1"/>
  <c r="AG120" i="25" s="1"/>
  <c r="AF120" i="25" s="1"/>
  <c r="AD120" i="25" s="1"/>
  <c r="AI128" i="25"/>
  <c r="AH128" i="25" s="1"/>
  <c r="AG128" i="25" s="1"/>
  <c r="AF128" i="25" s="1"/>
  <c r="AD128" i="25" s="1"/>
  <c r="AI136" i="25"/>
  <c r="AH136" i="25" s="1"/>
  <c r="AG136" i="25" s="1"/>
  <c r="AF136" i="25" s="1"/>
  <c r="AD136" i="25" s="1"/>
  <c r="AI144" i="25"/>
  <c r="AH144" i="25" s="1"/>
  <c r="AG144" i="25" s="1"/>
  <c r="AF144" i="25" s="1"/>
  <c r="AD144" i="25" s="1"/>
  <c r="AI152" i="25"/>
  <c r="AH152" i="25" s="1"/>
  <c r="AG152" i="25" s="1"/>
  <c r="AF152" i="25" s="1"/>
  <c r="AD152" i="25" s="1"/>
  <c r="AI160" i="25"/>
  <c r="AH160" i="25" s="1"/>
  <c r="AG160" i="25" s="1"/>
  <c r="AF160" i="25" s="1"/>
  <c r="AD160" i="25" s="1"/>
  <c r="AI168" i="25"/>
  <c r="AH168" i="25" s="1"/>
  <c r="AG168" i="25" s="1"/>
  <c r="AF168" i="25" s="1"/>
  <c r="AD168" i="25" s="1"/>
  <c r="AI176" i="25"/>
  <c r="AH176" i="25" s="1"/>
  <c r="AG176" i="25" s="1"/>
  <c r="AF176" i="25" s="1"/>
  <c r="AD176" i="25" s="1"/>
  <c r="AI184" i="25"/>
  <c r="AH184" i="25" s="1"/>
  <c r="AG184" i="25" s="1"/>
  <c r="AF184" i="25" s="1"/>
  <c r="AD184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38" i="25"/>
  <c r="AH38" i="25" s="1"/>
  <c r="AG38" i="25" s="1"/>
  <c r="AF38" i="25" s="1"/>
  <c r="AD38" i="25" s="1"/>
  <c r="AI70" i="25"/>
  <c r="AH70" i="25" s="1"/>
  <c r="AG70" i="25" s="1"/>
  <c r="AF70" i="25" s="1"/>
  <c r="AD70" i="25" s="1"/>
  <c r="AI98" i="25"/>
  <c r="AH98" i="25" s="1"/>
  <c r="AG98" i="25" s="1"/>
  <c r="AF98" i="25" s="1"/>
  <c r="AD98" i="25" s="1"/>
  <c r="AI114" i="25"/>
  <c r="AH114" i="25" s="1"/>
  <c r="AG114" i="25" s="1"/>
  <c r="AF114" i="25" s="1"/>
  <c r="AD114" i="25" s="1"/>
  <c r="AI130" i="25"/>
  <c r="AH130" i="25" s="1"/>
  <c r="AG130" i="25" s="1"/>
  <c r="AF130" i="25" s="1"/>
  <c r="AD130" i="25" s="1"/>
  <c r="AI146" i="25"/>
  <c r="AH146" i="25" s="1"/>
  <c r="AG146" i="25" s="1"/>
  <c r="AF146" i="25" s="1"/>
  <c r="AD146" i="25" s="1"/>
  <c r="AI162" i="25"/>
  <c r="AH162" i="25" s="1"/>
  <c r="AG162" i="25" s="1"/>
  <c r="AF162" i="25" s="1"/>
  <c r="AD162" i="25" s="1"/>
  <c r="AI178" i="25"/>
  <c r="AH178" i="25" s="1"/>
  <c r="AG178" i="25" s="1"/>
  <c r="AF178" i="25" s="1"/>
  <c r="AD178" i="25" s="1"/>
  <c r="AI189" i="25"/>
  <c r="AH189" i="25" s="1"/>
  <c r="AG189" i="25" s="1"/>
  <c r="AF189" i="25" s="1"/>
  <c r="AD189" i="25" s="1"/>
  <c r="AI197" i="25"/>
  <c r="AH197" i="25" s="1"/>
  <c r="AG197" i="25" s="1"/>
  <c r="AF197" i="25" s="1"/>
  <c r="AD197" i="25" s="1"/>
  <c r="AI205" i="25"/>
  <c r="AH205" i="25" s="1"/>
  <c r="AG205" i="25" s="1"/>
  <c r="AF205" i="25" s="1"/>
  <c r="AD205" i="25" s="1"/>
  <c r="AI213" i="25"/>
  <c r="AH213" i="25" s="1"/>
  <c r="AG213" i="25" s="1"/>
  <c r="AF213" i="25" s="1"/>
  <c r="AD213" i="25" s="1"/>
  <c r="AI221" i="25"/>
  <c r="AH221" i="25" s="1"/>
  <c r="AG221" i="25" s="1"/>
  <c r="AF221" i="25" s="1"/>
  <c r="AD221" i="25" s="1"/>
  <c r="AI229" i="25"/>
  <c r="AH229" i="25" s="1"/>
  <c r="AG229" i="25" s="1"/>
  <c r="AF229" i="25" s="1"/>
  <c r="AD229" i="25" s="1"/>
  <c r="AI237" i="25"/>
  <c r="AH237" i="25" s="1"/>
  <c r="AG237" i="25" s="1"/>
  <c r="AF237" i="25" s="1"/>
  <c r="AD237" i="25" s="1"/>
  <c r="AI245" i="25"/>
  <c r="AH245" i="25" s="1"/>
  <c r="AG245" i="25" s="1"/>
  <c r="AF245" i="25" s="1"/>
  <c r="AD245" i="25" s="1"/>
  <c r="AI253" i="25"/>
  <c r="AH253" i="25" s="1"/>
  <c r="AG253" i="25" s="1"/>
  <c r="AF253" i="25" s="1"/>
  <c r="AD253" i="25" s="1"/>
  <c r="AI261" i="25"/>
  <c r="AH261" i="25" s="1"/>
  <c r="AG261" i="25" s="1"/>
  <c r="AF261" i="25" s="1"/>
  <c r="AD261" i="25" s="1"/>
  <c r="AI269" i="25"/>
  <c r="AH269" i="25" s="1"/>
  <c r="AG269" i="25" s="1"/>
  <c r="AF269" i="25" s="1"/>
  <c r="AD269" i="25" s="1"/>
  <c r="AI277" i="25"/>
  <c r="AH277" i="25" s="1"/>
  <c r="AG277" i="25" s="1"/>
  <c r="AF277" i="25" s="1"/>
  <c r="AD277" i="25" s="1"/>
  <c r="AI285" i="25"/>
  <c r="AH285" i="25" s="1"/>
  <c r="AG285" i="25" s="1"/>
  <c r="AF285" i="25" s="1"/>
  <c r="AD285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374" i="25"/>
  <c r="AH374" i="25" s="1"/>
  <c r="AG374" i="25" s="1"/>
  <c r="AF374" i="25" s="1"/>
  <c r="AD374" i="25" s="1"/>
  <c r="AI366" i="25"/>
  <c r="AH366" i="25" s="1"/>
  <c r="AG366" i="25" s="1"/>
  <c r="AF366" i="25" s="1"/>
  <c r="AD366" i="25" s="1"/>
  <c r="AI358" i="25"/>
  <c r="AH358" i="25" s="1"/>
  <c r="AG358" i="25" s="1"/>
  <c r="AF358" i="25" s="1"/>
  <c r="AD358" i="25" s="1"/>
  <c r="AI350" i="25"/>
  <c r="AH350" i="25" s="1"/>
  <c r="AG350" i="25" s="1"/>
  <c r="AF350" i="25" s="1"/>
  <c r="AD350" i="25" s="1"/>
  <c r="AI342" i="25"/>
  <c r="AH342" i="25" s="1"/>
  <c r="AG342" i="25" s="1"/>
  <c r="AF342" i="25" s="1"/>
  <c r="AD342" i="25" s="1"/>
  <c r="AI334" i="25"/>
  <c r="AH334" i="25" s="1"/>
  <c r="AG334" i="25" s="1"/>
  <c r="AF334" i="25" s="1"/>
  <c r="AD334" i="25" s="1"/>
  <c r="AI326" i="25"/>
  <c r="AH326" i="25" s="1"/>
  <c r="AG326" i="25" s="1"/>
  <c r="AF326" i="25" s="1"/>
  <c r="AD326" i="25" s="1"/>
  <c r="AI318" i="25"/>
  <c r="AH318" i="25" s="1"/>
  <c r="AG318" i="25" s="1"/>
  <c r="AF318" i="25" s="1"/>
  <c r="AD318" i="25" s="1"/>
  <c r="AI310" i="25"/>
  <c r="AH310" i="25" s="1"/>
  <c r="AG310" i="25" s="1"/>
  <c r="AF310" i="25" s="1"/>
  <c r="AD310" i="25" s="1"/>
  <c r="AI302" i="25"/>
  <c r="AH302" i="25" s="1"/>
  <c r="AG302" i="25" s="1"/>
  <c r="AF302" i="25" s="1"/>
  <c r="AD302" i="25" s="1"/>
  <c r="AI294" i="25"/>
  <c r="AH294" i="25" s="1"/>
  <c r="AG294" i="25" s="1"/>
  <c r="AF294" i="25" s="1"/>
  <c r="AD294" i="25" s="1"/>
  <c r="AI283" i="25"/>
  <c r="AH283" i="25" s="1"/>
  <c r="AG283" i="25" s="1"/>
  <c r="AF283" i="25" s="1"/>
  <c r="AD283" i="25" s="1"/>
  <c r="AI267" i="25"/>
  <c r="AH267" i="25" s="1"/>
  <c r="AG267" i="25" s="1"/>
  <c r="AF267" i="25" s="1"/>
  <c r="AD267" i="25" s="1"/>
  <c r="AI251" i="25"/>
  <c r="AH251" i="25" s="1"/>
  <c r="AG251" i="25" s="1"/>
  <c r="AF251" i="25" s="1"/>
  <c r="AD251" i="25" s="1"/>
  <c r="AI235" i="25"/>
  <c r="AH235" i="25" s="1"/>
  <c r="AG235" i="25" s="1"/>
  <c r="AF235" i="25" s="1"/>
  <c r="AD235" i="25" s="1"/>
  <c r="AI219" i="25"/>
  <c r="AH219" i="25" s="1"/>
  <c r="AG219" i="25" s="1"/>
  <c r="AF219" i="25" s="1"/>
  <c r="AD219" i="25" s="1"/>
  <c r="AI203" i="25"/>
  <c r="AH203" i="25" s="1"/>
  <c r="AG203" i="25" s="1"/>
  <c r="AF203" i="25" s="1"/>
  <c r="AD203" i="25" s="1"/>
  <c r="AI187" i="25"/>
  <c r="AH187" i="25" s="1"/>
  <c r="AG187" i="25" s="1"/>
  <c r="AF187" i="25" s="1"/>
  <c r="AD187" i="25" s="1"/>
  <c r="AI158" i="25"/>
  <c r="AH158" i="25" s="1"/>
  <c r="AG158" i="25" s="1"/>
  <c r="AF158" i="25" s="1"/>
  <c r="AD158" i="25" s="1"/>
  <c r="AI126" i="25"/>
  <c r="AH126" i="25" s="1"/>
  <c r="AG126" i="25" s="1"/>
  <c r="AF126" i="25" s="1"/>
  <c r="AD126" i="25" s="1"/>
  <c r="AI94" i="25"/>
  <c r="AH94" i="25" s="1"/>
  <c r="AG94" i="25" s="1"/>
  <c r="AF94" i="25" s="1"/>
  <c r="AD94" i="25" s="1"/>
  <c r="AI30" i="25"/>
  <c r="AH30" i="25" s="1"/>
  <c r="AG30" i="25" s="1"/>
  <c r="AF30" i="25" s="1"/>
  <c r="AD30" i="25" s="1"/>
  <c r="AI88" i="25"/>
  <c r="AH88" i="25" s="1"/>
  <c r="AG88" i="25" s="1"/>
  <c r="AF88" i="25" s="1"/>
  <c r="AD88" i="25" s="1"/>
  <c r="AI80" i="25"/>
  <c r="AH80" i="25" s="1"/>
  <c r="AG80" i="25" s="1"/>
  <c r="AF80" i="25" s="1"/>
  <c r="AD80" i="25" s="1"/>
  <c r="AI72" i="25"/>
  <c r="AH72" i="25" s="1"/>
  <c r="AG72" i="25" s="1"/>
  <c r="AF72" i="25" s="1"/>
  <c r="AD72" i="25" s="1"/>
  <c r="AI64" i="25"/>
  <c r="AH64" i="25" s="1"/>
  <c r="AG64" i="25" s="1"/>
  <c r="AF64" i="25" s="1"/>
  <c r="AD64" i="25" s="1"/>
  <c r="AI56" i="25"/>
  <c r="AH56" i="25" s="1"/>
  <c r="AG56" i="25" s="1"/>
  <c r="AF56" i="25" s="1"/>
  <c r="AD56" i="25" s="1"/>
  <c r="AI48" i="25"/>
  <c r="AH48" i="25" s="1"/>
  <c r="AG48" i="25" s="1"/>
  <c r="AF48" i="25" s="1"/>
  <c r="AD48" i="25" s="1"/>
  <c r="AI40" i="25"/>
  <c r="AH40" i="25" s="1"/>
  <c r="AG40" i="25" s="1"/>
  <c r="AF40" i="25" s="1"/>
  <c r="AD40" i="25" s="1"/>
  <c r="AI32" i="25"/>
  <c r="AH32" i="25" s="1"/>
  <c r="AG32" i="25" s="1"/>
  <c r="AF32" i="25" s="1"/>
  <c r="AD32" i="25" s="1"/>
  <c r="AI26" i="25"/>
  <c r="AH26" i="25" s="1"/>
  <c r="AG26" i="25" s="1"/>
  <c r="AF26" i="25" s="1"/>
  <c r="AD26" i="25" s="1"/>
  <c r="AI27" i="25"/>
  <c r="AH27" i="25" s="1"/>
  <c r="AG27" i="25" s="1"/>
  <c r="AF27" i="25" s="1"/>
  <c r="AD27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AI29" i="25"/>
  <c r="AH29" i="25" s="1"/>
  <c r="AG29" i="25" s="1"/>
  <c r="AF29" i="25" s="1"/>
  <c r="AD29" i="25" s="1"/>
  <c r="AI33" i="25"/>
  <c r="AH33" i="25" s="1"/>
  <c r="AG33" i="25" s="1"/>
  <c r="AF33" i="25" s="1"/>
  <c r="AD33" i="25" s="1"/>
  <c r="AI37" i="25"/>
  <c r="AH37" i="25" s="1"/>
  <c r="AG37" i="25" s="1"/>
  <c r="AF37" i="25" s="1"/>
  <c r="AD37" i="25" s="1"/>
  <c r="AI41" i="25"/>
  <c r="AH41" i="25" s="1"/>
  <c r="AG41" i="25" s="1"/>
  <c r="AF41" i="25" s="1"/>
  <c r="AD41" i="25" s="1"/>
  <c r="AI45" i="25"/>
  <c r="AH45" i="25" s="1"/>
  <c r="AG45" i="25" s="1"/>
  <c r="AF45" i="25" s="1"/>
  <c r="AD45" i="25" s="1"/>
  <c r="AI49" i="25"/>
  <c r="AH49" i="25" s="1"/>
  <c r="AG49" i="25" s="1"/>
  <c r="AF49" i="25" s="1"/>
  <c r="AD49" i="25" s="1"/>
  <c r="AI53" i="25"/>
  <c r="AH53" i="25" s="1"/>
  <c r="AG53" i="25" s="1"/>
  <c r="AF53" i="25" s="1"/>
  <c r="AD53" i="25" s="1"/>
  <c r="AI57" i="25"/>
  <c r="AH57" i="25" s="1"/>
  <c r="AG57" i="25" s="1"/>
  <c r="AF57" i="25" s="1"/>
  <c r="AD57" i="25" s="1"/>
  <c r="AI61" i="25"/>
  <c r="AH61" i="25" s="1"/>
  <c r="AG61" i="25" s="1"/>
  <c r="AF61" i="25" s="1"/>
  <c r="AD61" i="25" s="1"/>
  <c r="AI65" i="25"/>
  <c r="AH65" i="25" s="1"/>
  <c r="AG65" i="25" s="1"/>
  <c r="AF65" i="25" s="1"/>
  <c r="AD65" i="25" s="1"/>
  <c r="AI69" i="25"/>
  <c r="AH69" i="25" s="1"/>
  <c r="AG69" i="25" s="1"/>
  <c r="AF69" i="25" s="1"/>
  <c r="AD69" i="25" s="1"/>
  <c r="AI73" i="25"/>
  <c r="AH73" i="25" s="1"/>
  <c r="AG73" i="25" s="1"/>
  <c r="AF73" i="25" s="1"/>
  <c r="AD73" i="25" s="1"/>
  <c r="AI77" i="25"/>
  <c r="AH77" i="25" s="1"/>
  <c r="AG77" i="25" s="1"/>
  <c r="AF77" i="25" s="1"/>
  <c r="AD77" i="25" s="1"/>
  <c r="AI81" i="25"/>
  <c r="AH81" i="25" s="1"/>
  <c r="AG81" i="25" s="1"/>
  <c r="AF81" i="25" s="1"/>
  <c r="AD81" i="25" s="1"/>
  <c r="AI85" i="25"/>
  <c r="AH85" i="25" s="1"/>
  <c r="AG85" i="25" s="1"/>
  <c r="AF85" i="25" s="1"/>
  <c r="AD85" i="25" s="1"/>
  <c r="AI89" i="25"/>
  <c r="AH89" i="25" s="1"/>
  <c r="AG89" i="25" s="1"/>
  <c r="AF89" i="25" s="1"/>
  <c r="AD89" i="25" s="1"/>
  <c r="AI93" i="25"/>
  <c r="AH93" i="25" s="1"/>
  <c r="AG93" i="25" s="1"/>
  <c r="AF93" i="25" s="1"/>
  <c r="AD93" i="25" s="1"/>
  <c r="AI97" i="25"/>
  <c r="AH97" i="25" s="1"/>
  <c r="AG97" i="25" s="1"/>
  <c r="AF97" i="25" s="1"/>
  <c r="AD97" i="25" s="1"/>
  <c r="AI101" i="25"/>
  <c r="AH101" i="25" s="1"/>
  <c r="AG101" i="25" s="1"/>
  <c r="AF101" i="25" s="1"/>
  <c r="AD101" i="25" s="1"/>
  <c r="AI105" i="25"/>
  <c r="AH105" i="25" s="1"/>
  <c r="AG105" i="25" s="1"/>
  <c r="AF105" i="25" s="1"/>
  <c r="AD105" i="25" s="1"/>
  <c r="AI109" i="25"/>
  <c r="AH109" i="25" s="1"/>
  <c r="AG109" i="25" s="1"/>
  <c r="AF109" i="25" s="1"/>
  <c r="AD109" i="25" s="1"/>
  <c r="AI113" i="25"/>
  <c r="AH113" i="25" s="1"/>
  <c r="AG113" i="25" s="1"/>
  <c r="AF113" i="25" s="1"/>
  <c r="AD113" i="25" s="1"/>
  <c r="AI117" i="25"/>
  <c r="AH117" i="25" s="1"/>
  <c r="AG117" i="25" s="1"/>
  <c r="AF117" i="25" s="1"/>
  <c r="AD117" i="25" s="1"/>
  <c r="AI121" i="25"/>
  <c r="AH121" i="25" s="1"/>
  <c r="AG121" i="25" s="1"/>
  <c r="AF121" i="25" s="1"/>
  <c r="AD121" i="25" s="1"/>
  <c r="AI125" i="25"/>
  <c r="AH125" i="25" s="1"/>
  <c r="AG125" i="25" s="1"/>
  <c r="AF125" i="25" s="1"/>
  <c r="AD125" i="25" s="1"/>
  <c r="AI129" i="25"/>
  <c r="AH129" i="25" s="1"/>
  <c r="AG129" i="25" s="1"/>
  <c r="AF129" i="25" s="1"/>
  <c r="AD129" i="25" s="1"/>
  <c r="AI133" i="25"/>
  <c r="AH133" i="25" s="1"/>
  <c r="AG133" i="25" s="1"/>
  <c r="AF133" i="25" s="1"/>
  <c r="AD133" i="25" s="1"/>
  <c r="AI137" i="25"/>
  <c r="AH137" i="25" s="1"/>
  <c r="AG137" i="25" s="1"/>
  <c r="AF137" i="25" s="1"/>
  <c r="AD137" i="25" s="1"/>
  <c r="AI141" i="25"/>
  <c r="AH141" i="25" s="1"/>
  <c r="AG141" i="25" s="1"/>
  <c r="AF141" i="25" s="1"/>
  <c r="AD141" i="25" s="1"/>
  <c r="AI145" i="25"/>
  <c r="AH145" i="25" s="1"/>
  <c r="AG145" i="25" s="1"/>
  <c r="AF145" i="25" s="1"/>
  <c r="AD145" i="25" s="1"/>
  <c r="AI149" i="25"/>
  <c r="AH149" i="25" s="1"/>
  <c r="AG149" i="25" s="1"/>
  <c r="AF149" i="25" s="1"/>
  <c r="AD149" i="25" s="1"/>
  <c r="AI153" i="25"/>
  <c r="AH153" i="25" s="1"/>
  <c r="AG153" i="25" s="1"/>
  <c r="AF153" i="25" s="1"/>
  <c r="AD153" i="25" s="1"/>
  <c r="AI157" i="25"/>
  <c r="AH157" i="25" s="1"/>
  <c r="AG157" i="25" s="1"/>
  <c r="AF157" i="25" s="1"/>
  <c r="AD157" i="25" s="1"/>
  <c r="AI161" i="25"/>
  <c r="AH161" i="25" s="1"/>
  <c r="AG161" i="25" s="1"/>
  <c r="AF161" i="25" s="1"/>
  <c r="AD161" i="25" s="1"/>
  <c r="AI165" i="25"/>
  <c r="AH165" i="25" s="1"/>
  <c r="AG165" i="25" s="1"/>
  <c r="AF165" i="25" s="1"/>
  <c r="AD165" i="25" s="1"/>
  <c r="AI169" i="25"/>
  <c r="AH169" i="25" s="1"/>
  <c r="AG169" i="25" s="1"/>
  <c r="AF169" i="25" s="1"/>
  <c r="AD169" i="25" s="1"/>
  <c r="AI173" i="25"/>
  <c r="AH173" i="25" s="1"/>
  <c r="AG173" i="25" s="1"/>
  <c r="AF173" i="25" s="1"/>
  <c r="AD173" i="25" s="1"/>
  <c r="AI177" i="25"/>
  <c r="AH177" i="25" s="1"/>
  <c r="AG177" i="25" s="1"/>
  <c r="AF177" i="25" s="1"/>
  <c r="AD177" i="25" s="1"/>
  <c r="AI181" i="25"/>
  <c r="AH181" i="25" s="1"/>
  <c r="AG181" i="25" s="1"/>
  <c r="AF181" i="25" s="1"/>
  <c r="AD181" i="25" s="1"/>
  <c r="AI380" i="25"/>
  <c r="AH380" i="25" s="1"/>
  <c r="AG380" i="25" s="1"/>
  <c r="AF380" i="25" s="1"/>
  <c r="AD380" i="25" s="1"/>
  <c r="AI18" i="25"/>
  <c r="AH18" i="25" s="1"/>
  <c r="AG18" i="25" s="1"/>
  <c r="AF18" i="25" s="1"/>
  <c r="AD18" i="25" s="1"/>
  <c r="AI19" i="25"/>
  <c r="AH19" i="25" s="1"/>
  <c r="AG19" i="25" s="1"/>
  <c r="AF19" i="25" s="1"/>
  <c r="AD19" i="25" s="1"/>
  <c r="AI42" i="25"/>
  <c r="AH42" i="25" s="1"/>
  <c r="AG42" i="25" s="1"/>
  <c r="AF42" i="25" s="1"/>
  <c r="AD42" i="25" s="1"/>
  <c r="AI58" i="25"/>
  <c r="AH58" i="25" s="1"/>
  <c r="AG58" i="25" s="1"/>
  <c r="AF58" i="25" s="1"/>
  <c r="AD58" i="25" s="1"/>
  <c r="AI74" i="25"/>
  <c r="AH74" i="25" s="1"/>
  <c r="AG74" i="25" s="1"/>
  <c r="AF74" i="25" s="1"/>
  <c r="AD74" i="25" s="1"/>
  <c r="AI90" i="25"/>
  <c r="AH90" i="25" s="1"/>
  <c r="AG90" i="25" s="1"/>
  <c r="AF90" i="25" s="1"/>
  <c r="AD90" i="25" s="1"/>
  <c r="AI100" i="25"/>
  <c r="AH100" i="25" s="1"/>
  <c r="AG100" i="25" s="1"/>
  <c r="AF100" i="25" s="1"/>
  <c r="AD100" i="25" s="1"/>
  <c r="AI108" i="25"/>
  <c r="AH108" i="25" s="1"/>
  <c r="AG108" i="25" s="1"/>
  <c r="AF108" i="25" s="1"/>
  <c r="AD108" i="25" s="1"/>
  <c r="AI116" i="25"/>
  <c r="AH116" i="25" s="1"/>
  <c r="AG116" i="25" s="1"/>
  <c r="AF116" i="25" s="1"/>
  <c r="AD116" i="25" s="1"/>
  <c r="AI124" i="25"/>
  <c r="AH124" i="25" s="1"/>
  <c r="AG124" i="25" s="1"/>
  <c r="AF124" i="25" s="1"/>
  <c r="AD124" i="25" s="1"/>
  <c r="AI132" i="25"/>
  <c r="AH132" i="25" s="1"/>
  <c r="AG132" i="25" s="1"/>
  <c r="AF132" i="25" s="1"/>
  <c r="AD132" i="25" s="1"/>
  <c r="AI140" i="25"/>
  <c r="AH140" i="25" s="1"/>
  <c r="AG140" i="25" s="1"/>
  <c r="AF140" i="25" s="1"/>
  <c r="AD140" i="25" s="1"/>
  <c r="AI148" i="25"/>
  <c r="AH148" i="25" s="1"/>
  <c r="AG148" i="25" s="1"/>
  <c r="AF148" i="25" s="1"/>
  <c r="AD148" i="25" s="1"/>
  <c r="AI156" i="25"/>
  <c r="AH156" i="25" s="1"/>
  <c r="AG156" i="25" s="1"/>
  <c r="AF156" i="25" s="1"/>
  <c r="AD156" i="25" s="1"/>
  <c r="AI164" i="25"/>
  <c r="AH164" i="25" s="1"/>
  <c r="AG164" i="25" s="1"/>
  <c r="AF164" i="25" s="1"/>
  <c r="AD164" i="25" s="1"/>
  <c r="AI172" i="25"/>
  <c r="AH172" i="25" s="1"/>
  <c r="AG172" i="25" s="1"/>
  <c r="AF172" i="25" s="1"/>
  <c r="AD172" i="25" s="1"/>
  <c r="AI180" i="25"/>
  <c r="AH180" i="25" s="1"/>
  <c r="AG180" i="25" s="1"/>
  <c r="AF180" i="25" s="1"/>
  <c r="AD180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G254" i="25" s="1"/>
  <c r="AF254" i="25" s="1"/>
  <c r="AD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15" i="25"/>
  <c r="AI54" i="25"/>
  <c r="AH54" i="25" s="1"/>
  <c r="AG54" i="25" s="1"/>
  <c r="AF54" i="25" s="1"/>
  <c r="AD54" i="25" s="1"/>
  <c r="AI86" i="25"/>
  <c r="AH86" i="25" s="1"/>
  <c r="AG86" i="25" s="1"/>
  <c r="AF86" i="25" s="1"/>
  <c r="AD86" i="25" s="1"/>
  <c r="AI106" i="25"/>
  <c r="AH106" i="25" s="1"/>
  <c r="AG106" i="25" s="1"/>
  <c r="AF106" i="25" s="1"/>
  <c r="AD106" i="25" s="1"/>
  <c r="AI122" i="25"/>
  <c r="AH122" i="25" s="1"/>
  <c r="AG122" i="25" s="1"/>
  <c r="AF122" i="25" s="1"/>
  <c r="AD122" i="25" s="1"/>
  <c r="AI138" i="25"/>
  <c r="AH138" i="25" s="1"/>
  <c r="AG138" i="25" s="1"/>
  <c r="AF138" i="25" s="1"/>
  <c r="AD138" i="25" s="1"/>
  <c r="AI154" i="25"/>
  <c r="AH154" i="25" s="1"/>
  <c r="AG154" i="25" s="1"/>
  <c r="AF154" i="25" s="1"/>
  <c r="AD154" i="25" s="1"/>
  <c r="AI170" i="25"/>
  <c r="AH170" i="25" s="1"/>
  <c r="AG170" i="25" s="1"/>
  <c r="AF170" i="25" s="1"/>
  <c r="AD170" i="25" s="1"/>
  <c r="AI185" i="25"/>
  <c r="AH185" i="25" s="1"/>
  <c r="AG185" i="25" s="1"/>
  <c r="AF185" i="25" s="1"/>
  <c r="AD185" i="25" s="1"/>
  <c r="AI193" i="25"/>
  <c r="AH193" i="25" s="1"/>
  <c r="AG193" i="25" s="1"/>
  <c r="AF193" i="25" s="1"/>
  <c r="AD193" i="25" s="1"/>
  <c r="AI201" i="25"/>
  <c r="AH201" i="25" s="1"/>
  <c r="AG201" i="25" s="1"/>
  <c r="AF201" i="25" s="1"/>
  <c r="AD201" i="25" s="1"/>
  <c r="AI209" i="25"/>
  <c r="AH209" i="25" s="1"/>
  <c r="AG209" i="25" s="1"/>
  <c r="AF209" i="25" s="1"/>
  <c r="AD209" i="25" s="1"/>
  <c r="AI217" i="25"/>
  <c r="AH217" i="25" s="1"/>
  <c r="AG217" i="25" s="1"/>
  <c r="AF217" i="25" s="1"/>
  <c r="AD217" i="25" s="1"/>
  <c r="AI225" i="25"/>
  <c r="AH225" i="25" s="1"/>
  <c r="AG225" i="25" s="1"/>
  <c r="AF225" i="25" s="1"/>
  <c r="AD225" i="25" s="1"/>
  <c r="AI233" i="25"/>
  <c r="AH233" i="25" s="1"/>
  <c r="AG233" i="25" s="1"/>
  <c r="AF233" i="25" s="1"/>
  <c r="AD233" i="25" s="1"/>
  <c r="AI241" i="25"/>
  <c r="AH241" i="25" s="1"/>
  <c r="AG241" i="25" s="1"/>
  <c r="AF241" i="25" s="1"/>
  <c r="AD241" i="25" s="1"/>
  <c r="AI249" i="25"/>
  <c r="AH249" i="25" s="1"/>
  <c r="AG249" i="25" s="1"/>
  <c r="AF249" i="25" s="1"/>
  <c r="AD249" i="25" s="1"/>
  <c r="AI257" i="25"/>
  <c r="AH257" i="25" s="1"/>
  <c r="AG257" i="25" s="1"/>
  <c r="AF257" i="25" s="1"/>
  <c r="AD257" i="25" s="1"/>
  <c r="AI265" i="25"/>
  <c r="AH265" i="25" s="1"/>
  <c r="AG265" i="25" s="1"/>
  <c r="AF265" i="25" s="1"/>
  <c r="AD265" i="25" s="1"/>
  <c r="AI273" i="25"/>
  <c r="AH273" i="25" s="1"/>
  <c r="AG273" i="25" s="1"/>
  <c r="AF273" i="25" s="1"/>
  <c r="AD273" i="25" s="1"/>
  <c r="AI281" i="25"/>
  <c r="AH281" i="25" s="1"/>
  <c r="AG281" i="25" s="1"/>
  <c r="AF281" i="25" s="1"/>
  <c r="AD281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370" i="25"/>
  <c r="AH370" i="25" s="1"/>
  <c r="AG370" i="25" s="1"/>
  <c r="AF370" i="25" s="1"/>
  <c r="AD370" i="25" s="1"/>
  <c r="AI354" i="25"/>
  <c r="AH354" i="25" s="1"/>
  <c r="AG354" i="25" s="1"/>
  <c r="AF354" i="25" s="1"/>
  <c r="AD354" i="25" s="1"/>
  <c r="AI338" i="25"/>
  <c r="AH338" i="25" s="1"/>
  <c r="AG338" i="25" s="1"/>
  <c r="AF338" i="25" s="1"/>
  <c r="AD338" i="25" s="1"/>
  <c r="AI322" i="25"/>
  <c r="AH322" i="25" s="1"/>
  <c r="AG322" i="25" s="1"/>
  <c r="AF322" i="25" s="1"/>
  <c r="AD322" i="25" s="1"/>
  <c r="AI306" i="25"/>
  <c r="AH306" i="25" s="1"/>
  <c r="AG306" i="25" s="1"/>
  <c r="AF306" i="25" s="1"/>
  <c r="AD306" i="25" s="1"/>
  <c r="AI290" i="25"/>
  <c r="AH290" i="25" s="1"/>
  <c r="AG290" i="25" s="1"/>
  <c r="AF290" i="25" s="1"/>
  <c r="AD290" i="25" s="1"/>
  <c r="AI259" i="25"/>
  <c r="AH259" i="25" s="1"/>
  <c r="AG259" i="25" s="1"/>
  <c r="AF259" i="25" s="1"/>
  <c r="AD259" i="25" s="1"/>
  <c r="AI227" i="25"/>
  <c r="AH227" i="25" s="1"/>
  <c r="AG227" i="25" s="1"/>
  <c r="AF227" i="25" s="1"/>
  <c r="AD227" i="25" s="1"/>
  <c r="AI195" i="25"/>
  <c r="AH195" i="25" s="1"/>
  <c r="AG195" i="25" s="1"/>
  <c r="AF195" i="25" s="1"/>
  <c r="AD195" i="25" s="1"/>
  <c r="AI142" i="25"/>
  <c r="AH142" i="25" s="1"/>
  <c r="AG142" i="25" s="1"/>
  <c r="AF142" i="25" s="1"/>
  <c r="AD142" i="25" s="1"/>
  <c r="AI62" i="25"/>
  <c r="AH62" i="25" s="1"/>
  <c r="AG62" i="25" s="1"/>
  <c r="AF62" i="25" s="1"/>
  <c r="AD62" i="25" s="1"/>
  <c r="AI84" i="25"/>
  <c r="AH84" i="25" s="1"/>
  <c r="AG84" i="25" s="1"/>
  <c r="AF84" i="25" s="1"/>
  <c r="AD84" i="25" s="1"/>
  <c r="AI68" i="25"/>
  <c r="AH68" i="25" s="1"/>
  <c r="AG68" i="25" s="1"/>
  <c r="AF68" i="25" s="1"/>
  <c r="AD68" i="25" s="1"/>
  <c r="AI52" i="25"/>
  <c r="AH52" i="25" s="1"/>
  <c r="AG52" i="25" s="1"/>
  <c r="AF52" i="25" s="1"/>
  <c r="AD52" i="25" s="1"/>
  <c r="AI36" i="25"/>
  <c r="AH36" i="25" s="1"/>
  <c r="AG36" i="25" s="1"/>
  <c r="AF36" i="25" s="1"/>
  <c r="AD36" i="25" s="1"/>
  <c r="AI25" i="25"/>
  <c r="AH25" i="25" s="1"/>
  <c r="AG25" i="25" s="1"/>
  <c r="AF25" i="25" s="1"/>
  <c r="AD25" i="25" s="1"/>
  <c r="AI24" i="25"/>
  <c r="AH24" i="25" s="1"/>
  <c r="AG24" i="25" s="1"/>
  <c r="AF24" i="25" s="1"/>
  <c r="AD24" i="25" s="1"/>
  <c r="AI20" i="25"/>
  <c r="AH20" i="25" s="1"/>
  <c r="AG20" i="25" s="1"/>
  <c r="AF20" i="25" s="1"/>
  <c r="AD20" i="25" s="1"/>
  <c r="AI35" i="25"/>
  <c r="AH35" i="25" s="1"/>
  <c r="AG35" i="25" s="1"/>
  <c r="AF35" i="25" s="1"/>
  <c r="AD35" i="25" s="1"/>
  <c r="AI43" i="25"/>
  <c r="AH43" i="25" s="1"/>
  <c r="AG43" i="25" s="1"/>
  <c r="AF43" i="25" s="1"/>
  <c r="AD43" i="25" s="1"/>
  <c r="AI51" i="25"/>
  <c r="AH51" i="25" s="1"/>
  <c r="AG51" i="25" s="1"/>
  <c r="AF51" i="25" s="1"/>
  <c r="AD51" i="25" s="1"/>
  <c r="AI59" i="25"/>
  <c r="AH59" i="25" s="1"/>
  <c r="AG59" i="25" s="1"/>
  <c r="AF59" i="25" s="1"/>
  <c r="AD59" i="25" s="1"/>
  <c r="AI67" i="25"/>
  <c r="AH67" i="25" s="1"/>
  <c r="AG67" i="25" s="1"/>
  <c r="AF67" i="25" s="1"/>
  <c r="AD67" i="25" s="1"/>
  <c r="AI75" i="25"/>
  <c r="AH75" i="25" s="1"/>
  <c r="AG75" i="25" s="1"/>
  <c r="AF75" i="25" s="1"/>
  <c r="AD75" i="25" s="1"/>
  <c r="AI83" i="25"/>
  <c r="AH83" i="25" s="1"/>
  <c r="AG83" i="25" s="1"/>
  <c r="AF83" i="25" s="1"/>
  <c r="AD83" i="25" s="1"/>
  <c r="AI91" i="25"/>
  <c r="AH91" i="25" s="1"/>
  <c r="AG91" i="25" s="1"/>
  <c r="AF91" i="25" s="1"/>
  <c r="AD91" i="25" s="1"/>
  <c r="AI99" i="25"/>
  <c r="AH99" i="25" s="1"/>
  <c r="AG99" i="25" s="1"/>
  <c r="AF99" i="25" s="1"/>
  <c r="AD99" i="25" s="1"/>
  <c r="AI107" i="25"/>
  <c r="AH107" i="25" s="1"/>
  <c r="AG107" i="25" s="1"/>
  <c r="AF107" i="25" s="1"/>
  <c r="AD107" i="25" s="1"/>
  <c r="AI115" i="25"/>
  <c r="AH115" i="25" s="1"/>
  <c r="AG115" i="25" s="1"/>
  <c r="AF115" i="25" s="1"/>
  <c r="AD115" i="25" s="1"/>
  <c r="AI123" i="25"/>
  <c r="AH123" i="25" s="1"/>
  <c r="AG123" i="25" s="1"/>
  <c r="AF123" i="25" s="1"/>
  <c r="AD123" i="25" s="1"/>
  <c r="AI131" i="25"/>
  <c r="AH131" i="25" s="1"/>
  <c r="AG131" i="25" s="1"/>
  <c r="AF131" i="25" s="1"/>
  <c r="AD131" i="25" s="1"/>
  <c r="AI139" i="25"/>
  <c r="AH139" i="25" s="1"/>
  <c r="AG139" i="25" s="1"/>
  <c r="AF139" i="25" s="1"/>
  <c r="AD139" i="25" s="1"/>
  <c r="AI147" i="25"/>
  <c r="AH147" i="25" s="1"/>
  <c r="AG147" i="25" s="1"/>
  <c r="AF147" i="25" s="1"/>
  <c r="AD147" i="25" s="1"/>
  <c r="AI155" i="25"/>
  <c r="AH155" i="25" s="1"/>
  <c r="AG155" i="25" s="1"/>
  <c r="AF155" i="25" s="1"/>
  <c r="AD155" i="25" s="1"/>
  <c r="AI163" i="25"/>
  <c r="AH163" i="25" s="1"/>
  <c r="AG163" i="25" s="1"/>
  <c r="AF163" i="25" s="1"/>
  <c r="AD163" i="25" s="1"/>
  <c r="AI171" i="25"/>
  <c r="AH171" i="25" s="1"/>
  <c r="AG171" i="25" s="1"/>
  <c r="AF171" i="25" s="1"/>
  <c r="AD171" i="25" s="1"/>
  <c r="AI179" i="25"/>
  <c r="AH179" i="25" s="1"/>
  <c r="AG179" i="25" s="1"/>
  <c r="AF179" i="25" s="1"/>
  <c r="AD179" i="25" s="1"/>
  <c r="AI378" i="25"/>
  <c r="AH378" i="25" s="1"/>
  <c r="AG378" i="25" s="1"/>
  <c r="AF378" i="25" s="1"/>
  <c r="AD378" i="25" s="1"/>
  <c r="AI362" i="25"/>
  <c r="AH362" i="25" s="1"/>
  <c r="AG362" i="25" s="1"/>
  <c r="AF362" i="25" s="1"/>
  <c r="AD362" i="25" s="1"/>
  <c r="AI346" i="25"/>
  <c r="AH346" i="25" s="1"/>
  <c r="AG346" i="25" s="1"/>
  <c r="AF346" i="25" s="1"/>
  <c r="AD346" i="25" s="1"/>
  <c r="AI330" i="25"/>
  <c r="AH330" i="25" s="1"/>
  <c r="AG330" i="25" s="1"/>
  <c r="AF330" i="25" s="1"/>
  <c r="AD330" i="25" s="1"/>
  <c r="AI314" i="25"/>
  <c r="AH314" i="25" s="1"/>
  <c r="AG314" i="25" s="1"/>
  <c r="AF314" i="25" s="1"/>
  <c r="AD314" i="25" s="1"/>
  <c r="AI298" i="25"/>
  <c r="AH298" i="25" s="1"/>
  <c r="AG298" i="25" s="1"/>
  <c r="AF298" i="25" s="1"/>
  <c r="AD298" i="25" s="1"/>
  <c r="AI275" i="25"/>
  <c r="AH275" i="25" s="1"/>
  <c r="AG275" i="25" s="1"/>
  <c r="AF275" i="25" s="1"/>
  <c r="AD275" i="25" s="1"/>
  <c r="AI243" i="25"/>
  <c r="AH243" i="25" s="1"/>
  <c r="AG243" i="25" s="1"/>
  <c r="AF243" i="25" s="1"/>
  <c r="AD243" i="25" s="1"/>
  <c r="AI211" i="25"/>
  <c r="AH211" i="25" s="1"/>
  <c r="AG211" i="25" s="1"/>
  <c r="AF211" i="25" s="1"/>
  <c r="AD211" i="25" s="1"/>
  <c r="AI174" i="25"/>
  <c r="AH174" i="25" s="1"/>
  <c r="AG174" i="25" s="1"/>
  <c r="AF174" i="25" s="1"/>
  <c r="AD174" i="25" s="1"/>
  <c r="AI110" i="25"/>
  <c r="AH110" i="25" s="1"/>
  <c r="AG110" i="25" s="1"/>
  <c r="AF110" i="25" s="1"/>
  <c r="AD110" i="25" s="1"/>
  <c r="AI92" i="25"/>
  <c r="AH92" i="25" s="1"/>
  <c r="AG92" i="25" s="1"/>
  <c r="AF92" i="25" s="1"/>
  <c r="AD92" i="25" s="1"/>
  <c r="AI76" i="25"/>
  <c r="AH76" i="25" s="1"/>
  <c r="AG76" i="25" s="1"/>
  <c r="AF76" i="25" s="1"/>
  <c r="AD76" i="25" s="1"/>
  <c r="AI60" i="25"/>
  <c r="AH60" i="25" s="1"/>
  <c r="AG60" i="25" s="1"/>
  <c r="AF60" i="25" s="1"/>
  <c r="AD60" i="25" s="1"/>
  <c r="AI44" i="25"/>
  <c r="AH44" i="25" s="1"/>
  <c r="AG44" i="25" s="1"/>
  <c r="AF44" i="25" s="1"/>
  <c r="AD44" i="25" s="1"/>
  <c r="AI28" i="25"/>
  <c r="AH28" i="25" s="1"/>
  <c r="AG28" i="25" s="1"/>
  <c r="AF28" i="25" s="1"/>
  <c r="AD28" i="25" s="1"/>
  <c r="AI17" i="25"/>
  <c r="AH17" i="25" s="1"/>
  <c r="AG17" i="25" s="1"/>
  <c r="AF17" i="25" s="1"/>
  <c r="AD17" i="25" s="1"/>
  <c r="AI16" i="25"/>
  <c r="AH16" i="25" s="1"/>
  <c r="AG16" i="25" s="1"/>
  <c r="AF16" i="25" s="1"/>
  <c r="AD16" i="25" s="1"/>
  <c r="AI31" i="25"/>
  <c r="AH31" i="25" s="1"/>
  <c r="AG31" i="25" s="1"/>
  <c r="AF31" i="25" s="1"/>
  <c r="AD31" i="25" s="1"/>
  <c r="AI39" i="25"/>
  <c r="AH39" i="25" s="1"/>
  <c r="AG39" i="25" s="1"/>
  <c r="AF39" i="25" s="1"/>
  <c r="AD39" i="25" s="1"/>
  <c r="AI47" i="25"/>
  <c r="AH47" i="25" s="1"/>
  <c r="AG47" i="25" s="1"/>
  <c r="AF47" i="25" s="1"/>
  <c r="AD47" i="25" s="1"/>
  <c r="AI55" i="25"/>
  <c r="AH55" i="25" s="1"/>
  <c r="AG55" i="25" s="1"/>
  <c r="AF55" i="25" s="1"/>
  <c r="AD55" i="25" s="1"/>
  <c r="AI63" i="25"/>
  <c r="AH63" i="25" s="1"/>
  <c r="AG63" i="25" s="1"/>
  <c r="AF63" i="25" s="1"/>
  <c r="AD63" i="25" s="1"/>
  <c r="AI71" i="25"/>
  <c r="AH71" i="25" s="1"/>
  <c r="AG71" i="25" s="1"/>
  <c r="AF71" i="25" s="1"/>
  <c r="AD71" i="25" s="1"/>
  <c r="AI79" i="25"/>
  <c r="AH79" i="25" s="1"/>
  <c r="AG79" i="25" s="1"/>
  <c r="AF79" i="25" s="1"/>
  <c r="AD79" i="25" s="1"/>
  <c r="AI87" i="25"/>
  <c r="AH87" i="25" s="1"/>
  <c r="AG87" i="25" s="1"/>
  <c r="AF87" i="25" s="1"/>
  <c r="AD87" i="25" s="1"/>
  <c r="AI95" i="25"/>
  <c r="AH95" i="25" s="1"/>
  <c r="AG95" i="25" s="1"/>
  <c r="AF95" i="25" s="1"/>
  <c r="AD95" i="25" s="1"/>
  <c r="AI103" i="25"/>
  <c r="AH103" i="25" s="1"/>
  <c r="AG103" i="25" s="1"/>
  <c r="AF103" i="25" s="1"/>
  <c r="AD103" i="25" s="1"/>
  <c r="AI111" i="25"/>
  <c r="AH111" i="25" s="1"/>
  <c r="AG111" i="25" s="1"/>
  <c r="AF111" i="25" s="1"/>
  <c r="AD111" i="25" s="1"/>
  <c r="AI119" i="25"/>
  <c r="AH119" i="25" s="1"/>
  <c r="AG119" i="25" s="1"/>
  <c r="AF119" i="25" s="1"/>
  <c r="AD119" i="25" s="1"/>
  <c r="AI127" i="25"/>
  <c r="AH127" i="25" s="1"/>
  <c r="AG127" i="25" s="1"/>
  <c r="AF127" i="25" s="1"/>
  <c r="AD127" i="25" s="1"/>
  <c r="AI135" i="25"/>
  <c r="AH135" i="25" s="1"/>
  <c r="AG135" i="25" s="1"/>
  <c r="AF135" i="25" s="1"/>
  <c r="AD135" i="25" s="1"/>
  <c r="AI143" i="25"/>
  <c r="AH143" i="25" s="1"/>
  <c r="AG143" i="25" s="1"/>
  <c r="AF143" i="25" s="1"/>
  <c r="AD143" i="25" s="1"/>
  <c r="AI151" i="25"/>
  <c r="AH151" i="25" s="1"/>
  <c r="AG151" i="25" s="1"/>
  <c r="AF151" i="25" s="1"/>
  <c r="AD151" i="25" s="1"/>
  <c r="AI159" i="25"/>
  <c r="AH159" i="25" s="1"/>
  <c r="AG159" i="25" s="1"/>
  <c r="AF159" i="25" s="1"/>
  <c r="AD159" i="25" s="1"/>
  <c r="AI167" i="25"/>
  <c r="AH167" i="25" s="1"/>
  <c r="AG167" i="25" s="1"/>
  <c r="AF167" i="25" s="1"/>
  <c r="AD167" i="25" s="1"/>
  <c r="AI175" i="25"/>
  <c r="AH175" i="25" s="1"/>
  <c r="AG175" i="25" s="1"/>
  <c r="AF175" i="25" s="1"/>
  <c r="AD175" i="25" s="1"/>
  <c r="AI183" i="25"/>
  <c r="AH183" i="25" s="1"/>
  <c r="AG183" i="25" s="1"/>
  <c r="AF183" i="25" s="1"/>
  <c r="AD183" i="25" s="1"/>
  <c r="T383" i="24"/>
  <c r="T381" i="24"/>
  <c r="T382" i="24"/>
  <c r="S15" i="24"/>
  <c r="U359" i="25" l="1"/>
  <c r="T359" i="25" s="1"/>
  <c r="S359" i="25" s="1"/>
  <c r="R359" i="25" s="1"/>
  <c r="P359" i="25" s="1"/>
  <c r="V359" i="25" s="1"/>
  <c r="U367" i="25"/>
  <c r="T367" i="25" s="1"/>
  <c r="S367" i="25" s="1"/>
  <c r="R367" i="25" s="1"/>
  <c r="P367" i="25" s="1"/>
  <c r="V367" i="25" s="1"/>
  <c r="U375" i="25"/>
  <c r="T375" i="25" s="1"/>
  <c r="S375" i="25" s="1"/>
  <c r="R375" i="25" s="1"/>
  <c r="P375" i="25" s="1"/>
  <c r="V375" i="25" s="1"/>
  <c r="U177" i="25"/>
  <c r="T177" i="25" s="1"/>
  <c r="S177" i="25" s="1"/>
  <c r="R177" i="25" s="1"/>
  <c r="P177" i="25" s="1"/>
  <c r="V177" i="25" s="1"/>
  <c r="U169" i="25"/>
  <c r="T169" i="25" s="1"/>
  <c r="S169" i="25" s="1"/>
  <c r="R169" i="25" s="1"/>
  <c r="P169" i="25" s="1"/>
  <c r="V169" i="25" s="1"/>
  <c r="U161" i="25"/>
  <c r="T161" i="25" s="1"/>
  <c r="S161" i="25" s="1"/>
  <c r="R161" i="25" s="1"/>
  <c r="P161" i="25" s="1"/>
  <c r="V161" i="25" s="1"/>
  <c r="U153" i="25"/>
  <c r="T153" i="25" s="1"/>
  <c r="S153" i="25" s="1"/>
  <c r="R153" i="25" s="1"/>
  <c r="P153" i="25" s="1"/>
  <c r="V153" i="25" s="1"/>
  <c r="U145" i="25"/>
  <c r="T145" i="25" s="1"/>
  <c r="S145" i="25" s="1"/>
  <c r="R145" i="25" s="1"/>
  <c r="P145" i="25" s="1"/>
  <c r="V145" i="25" s="1"/>
  <c r="U137" i="25"/>
  <c r="T137" i="25" s="1"/>
  <c r="S137" i="25" s="1"/>
  <c r="R137" i="25" s="1"/>
  <c r="P137" i="25" s="1"/>
  <c r="V137" i="25" s="1"/>
  <c r="U129" i="25"/>
  <c r="T129" i="25" s="1"/>
  <c r="S129" i="25" s="1"/>
  <c r="R129" i="25" s="1"/>
  <c r="P129" i="25" s="1"/>
  <c r="V129" i="25" s="1"/>
  <c r="U121" i="25"/>
  <c r="T121" i="25" s="1"/>
  <c r="S121" i="25" s="1"/>
  <c r="R121" i="25" s="1"/>
  <c r="P121" i="25" s="1"/>
  <c r="V121" i="25" s="1"/>
  <c r="U113" i="25"/>
  <c r="T113" i="25" s="1"/>
  <c r="S113" i="25" s="1"/>
  <c r="R113" i="25" s="1"/>
  <c r="P113" i="25" s="1"/>
  <c r="V113" i="25" s="1"/>
  <c r="U105" i="25"/>
  <c r="T105" i="25" s="1"/>
  <c r="S105" i="25" s="1"/>
  <c r="R105" i="25" s="1"/>
  <c r="P105" i="25" s="1"/>
  <c r="V105" i="25" s="1"/>
  <c r="U97" i="25"/>
  <c r="T97" i="25" s="1"/>
  <c r="S97" i="25" s="1"/>
  <c r="R97" i="25" s="1"/>
  <c r="P97" i="25" s="1"/>
  <c r="V97" i="25" s="1"/>
  <c r="U89" i="25"/>
  <c r="T89" i="25" s="1"/>
  <c r="S89" i="25" s="1"/>
  <c r="R89" i="25" s="1"/>
  <c r="P89" i="25" s="1"/>
  <c r="V89" i="25" s="1"/>
  <c r="U81" i="25"/>
  <c r="T81" i="25" s="1"/>
  <c r="S81" i="25" s="1"/>
  <c r="R81" i="25" s="1"/>
  <c r="P81" i="25" s="1"/>
  <c r="V81" i="25" s="1"/>
  <c r="U73" i="25"/>
  <c r="T73" i="25" s="1"/>
  <c r="S73" i="25" s="1"/>
  <c r="R73" i="25" s="1"/>
  <c r="P73" i="25" s="1"/>
  <c r="V73" i="25" s="1"/>
  <c r="U65" i="25"/>
  <c r="T65" i="25" s="1"/>
  <c r="S65" i="25" s="1"/>
  <c r="R65" i="25" s="1"/>
  <c r="P65" i="25" s="1"/>
  <c r="V65" i="25" s="1"/>
  <c r="U57" i="25"/>
  <c r="T57" i="25" s="1"/>
  <c r="S57" i="25" s="1"/>
  <c r="R57" i="25" s="1"/>
  <c r="P57" i="25" s="1"/>
  <c r="V57" i="25" s="1"/>
  <c r="U49" i="25"/>
  <c r="T49" i="25" s="1"/>
  <c r="S49" i="25" s="1"/>
  <c r="R49" i="25" s="1"/>
  <c r="P49" i="25" s="1"/>
  <c r="V49" i="25" s="1"/>
  <c r="U41" i="25"/>
  <c r="T41" i="25" s="1"/>
  <c r="S41" i="25" s="1"/>
  <c r="R41" i="25" s="1"/>
  <c r="P41" i="25" s="1"/>
  <c r="V41" i="25" s="1"/>
  <c r="U33" i="25"/>
  <c r="T33" i="25" s="1"/>
  <c r="S33" i="25" s="1"/>
  <c r="R33" i="25" s="1"/>
  <c r="P33" i="25" s="1"/>
  <c r="V33" i="25" s="1"/>
  <c r="U25" i="25"/>
  <c r="T25" i="25" s="1"/>
  <c r="S25" i="25" s="1"/>
  <c r="R25" i="25" s="1"/>
  <c r="P25" i="25" s="1"/>
  <c r="V25" i="25" s="1"/>
  <c r="U17" i="25"/>
  <c r="T17" i="25" s="1"/>
  <c r="S17" i="25" s="1"/>
  <c r="R17" i="25" s="1"/>
  <c r="P17" i="25" s="1"/>
  <c r="V17" i="25" s="1"/>
  <c r="U54" i="25"/>
  <c r="T54" i="25" s="1"/>
  <c r="S54" i="25" s="1"/>
  <c r="R54" i="25" s="1"/>
  <c r="P54" i="25" s="1"/>
  <c r="V54" i="25" s="1"/>
  <c r="U86" i="25"/>
  <c r="T86" i="25" s="1"/>
  <c r="S86" i="25" s="1"/>
  <c r="R86" i="25" s="1"/>
  <c r="P86" i="25" s="1"/>
  <c r="V86" i="25" s="1"/>
  <c r="U118" i="25"/>
  <c r="T118" i="25" s="1"/>
  <c r="S118" i="25" s="1"/>
  <c r="R118" i="25" s="1"/>
  <c r="P118" i="25" s="1"/>
  <c r="V118" i="25" s="1"/>
  <c r="U150" i="25"/>
  <c r="T150" i="25" s="1"/>
  <c r="S150" i="25" s="1"/>
  <c r="R150" i="25" s="1"/>
  <c r="P150" i="25" s="1"/>
  <c r="V150" i="25" s="1"/>
  <c r="U181" i="25"/>
  <c r="T181" i="25" s="1"/>
  <c r="S181" i="25" s="1"/>
  <c r="R181" i="25" s="1"/>
  <c r="P181" i="25" s="1"/>
  <c r="V181" i="25" s="1"/>
  <c r="U197" i="25"/>
  <c r="T197" i="25" s="1"/>
  <c r="S197" i="25" s="1"/>
  <c r="R197" i="25" s="1"/>
  <c r="P197" i="25" s="1"/>
  <c r="V197" i="25" s="1"/>
  <c r="U213" i="25"/>
  <c r="T213" i="25" s="1"/>
  <c r="S213" i="25" s="1"/>
  <c r="R213" i="25" s="1"/>
  <c r="P213" i="25" s="1"/>
  <c r="V213" i="25" s="1"/>
  <c r="U229" i="25"/>
  <c r="T229" i="25" s="1"/>
  <c r="S229" i="25" s="1"/>
  <c r="R229" i="25" s="1"/>
  <c r="P229" i="25" s="1"/>
  <c r="V229" i="25" s="1"/>
  <c r="U245" i="25"/>
  <c r="T245" i="25" s="1"/>
  <c r="S245" i="25" s="1"/>
  <c r="R245" i="25" s="1"/>
  <c r="P245" i="25" s="1"/>
  <c r="V245" i="25" s="1"/>
  <c r="U261" i="25"/>
  <c r="T261" i="25" s="1"/>
  <c r="S261" i="25" s="1"/>
  <c r="R261" i="25" s="1"/>
  <c r="P261" i="25" s="1"/>
  <c r="V261" i="25" s="1"/>
  <c r="U277" i="25"/>
  <c r="T277" i="25" s="1"/>
  <c r="S277" i="25" s="1"/>
  <c r="R277" i="25" s="1"/>
  <c r="P277" i="25" s="1"/>
  <c r="V277" i="25" s="1"/>
  <c r="U293" i="25"/>
  <c r="T293" i="25" s="1"/>
  <c r="S293" i="25" s="1"/>
  <c r="R293" i="25" s="1"/>
  <c r="P293" i="25" s="1"/>
  <c r="V293" i="25" s="1"/>
  <c r="U309" i="25"/>
  <c r="T309" i="25" s="1"/>
  <c r="S309" i="25" s="1"/>
  <c r="R309" i="25" s="1"/>
  <c r="P309" i="25" s="1"/>
  <c r="V309" i="25" s="1"/>
  <c r="U325" i="25"/>
  <c r="T325" i="25" s="1"/>
  <c r="S325" i="25" s="1"/>
  <c r="R325" i="25" s="1"/>
  <c r="P325" i="25" s="1"/>
  <c r="V325" i="25" s="1"/>
  <c r="U341" i="25"/>
  <c r="T341" i="25" s="1"/>
  <c r="S341" i="25" s="1"/>
  <c r="R341" i="25" s="1"/>
  <c r="P341" i="25" s="1"/>
  <c r="V341" i="25" s="1"/>
  <c r="U357" i="25"/>
  <c r="T357" i="25" s="1"/>
  <c r="S357" i="25" s="1"/>
  <c r="R357" i="25" s="1"/>
  <c r="P357" i="25" s="1"/>
  <c r="V357" i="25" s="1"/>
  <c r="U373" i="25"/>
  <c r="T373" i="25" s="1"/>
  <c r="S373" i="25" s="1"/>
  <c r="R373" i="25" s="1"/>
  <c r="P373" i="25" s="1"/>
  <c r="V373" i="25" s="1"/>
  <c r="U171" i="25"/>
  <c r="T171" i="25" s="1"/>
  <c r="S171" i="25" s="1"/>
  <c r="R171" i="25" s="1"/>
  <c r="P171" i="25" s="1"/>
  <c r="V171" i="25" s="1"/>
  <c r="U155" i="25"/>
  <c r="T155" i="25" s="1"/>
  <c r="S155" i="25" s="1"/>
  <c r="R155" i="25" s="1"/>
  <c r="P155" i="25" s="1"/>
  <c r="V155" i="25" s="1"/>
  <c r="U139" i="25"/>
  <c r="T139" i="25" s="1"/>
  <c r="S139" i="25" s="1"/>
  <c r="R139" i="25" s="1"/>
  <c r="P139" i="25" s="1"/>
  <c r="V139" i="25" s="1"/>
  <c r="U111" i="25"/>
  <c r="T111" i="25" s="1"/>
  <c r="S111" i="25" s="1"/>
  <c r="R111" i="25" s="1"/>
  <c r="P111" i="25" s="1"/>
  <c r="V111" i="25" s="1"/>
  <c r="U79" i="25"/>
  <c r="T79" i="25" s="1"/>
  <c r="S79" i="25" s="1"/>
  <c r="R79" i="25" s="1"/>
  <c r="P79" i="25" s="1"/>
  <c r="V79" i="25" s="1"/>
  <c r="U47" i="25"/>
  <c r="T47" i="25" s="1"/>
  <c r="S47" i="25" s="1"/>
  <c r="R47" i="25" s="1"/>
  <c r="P47" i="25" s="1"/>
  <c r="V47" i="25" s="1"/>
  <c r="U374" i="25"/>
  <c r="T374" i="25" s="1"/>
  <c r="S374" i="25" s="1"/>
  <c r="R374" i="25" s="1"/>
  <c r="P374" i="25" s="1"/>
  <c r="V374" i="25" s="1"/>
  <c r="U310" i="25"/>
  <c r="T310" i="25" s="1"/>
  <c r="S310" i="25" s="1"/>
  <c r="R310" i="25" s="1"/>
  <c r="P310" i="25" s="1"/>
  <c r="V310" i="25" s="1"/>
  <c r="U364" i="25"/>
  <c r="T364" i="25" s="1"/>
  <c r="S364" i="25" s="1"/>
  <c r="R364" i="25" s="1"/>
  <c r="P364" i="25" s="1"/>
  <c r="V364" i="25" s="1"/>
  <c r="U332" i="25"/>
  <c r="T332" i="25" s="1"/>
  <c r="S332" i="25" s="1"/>
  <c r="R332" i="25" s="1"/>
  <c r="P332" i="25" s="1"/>
  <c r="V332" i="25" s="1"/>
  <c r="U300" i="25"/>
  <c r="T300" i="25" s="1"/>
  <c r="S300" i="25" s="1"/>
  <c r="R300" i="25" s="1"/>
  <c r="P300" i="25" s="1"/>
  <c r="V300" i="25" s="1"/>
  <c r="U268" i="25"/>
  <c r="T268" i="25" s="1"/>
  <c r="S268" i="25" s="1"/>
  <c r="R268" i="25" s="1"/>
  <c r="P268" i="25" s="1"/>
  <c r="V268" i="25" s="1"/>
  <c r="U236" i="25"/>
  <c r="T236" i="25" s="1"/>
  <c r="S236" i="25" s="1"/>
  <c r="R236" i="25" s="1"/>
  <c r="P236" i="25" s="1"/>
  <c r="V236" i="25" s="1"/>
  <c r="U204" i="25"/>
  <c r="T204" i="25" s="1"/>
  <c r="S204" i="25" s="1"/>
  <c r="R204" i="25" s="1"/>
  <c r="P204" i="25" s="1"/>
  <c r="V204" i="25" s="1"/>
  <c r="U164" i="25"/>
  <c r="T164" i="25" s="1"/>
  <c r="S164" i="25" s="1"/>
  <c r="R164" i="25" s="1"/>
  <c r="P164" i="25" s="1"/>
  <c r="V164" i="25" s="1"/>
  <c r="U100" i="25"/>
  <c r="T100" i="25" s="1"/>
  <c r="S100" i="25" s="1"/>
  <c r="R100" i="25" s="1"/>
  <c r="P100" i="25" s="1"/>
  <c r="V100" i="25" s="1"/>
  <c r="U36" i="25"/>
  <c r="T36" i="25" s="1"/>
  <c r="S36" i="25" s="1"/>
  <c r="R36" i="25" s="1"/>
  <c r="P36" i="25" s="1"/>
  <c r="V36" i="25" s="1"/>
  <c r="U346" i="25"/>
  <c r="T346" i="25" s="1"/>
  <c r="S346" i="25" s="1"/>
  <c r="R346" i="25" s="1"/>
  <c r="P346" i="25" s="1"/>
  <c r="V346" i="25" s="1"/>
  <c r="U282" i="25"/>
  <c r="T282" i="25" s="1"/>
  <c r="S282" i="25" s="1"/>
  <c r="R282" i="25" s="1"/>
  <c r="P282" i="25" s="1"/>
  <c r="V282" i="25" s="1"/>
  <c r="U246" i="25"/>
  <c r="T246" i="25" s="1"/>
  <c r="S246" i="25" s="1"/>
  <c r="R246" i="25" s="1"/>
  <c r="P246" i="25" s="1"/>
  <c r="V246" i="25" s="1"/>
  <c r="U214" i="25"/>
  <c r="T214" i="25" s="1"/>
  <c r="S214" i="25" s="1"/>
  <c r="R214" i="25" s="1"/>
  <c r="P214" i="25" s="1"/>
  <c r="V214" i="25" s="1"/>
  <c r="U182" i="25"/>
  <c r="T182" i="25" s="1"/>
  <c r="S182" i="25" s="1"/>
  <c r="R182" i="25" s="1"/>
  <c r="P182" i="25" s="1"/>
  <c r="V182" i="25" s="1"/>
  <c r="U120" i="25"/>
  <c r="T120" i="25" s="1"/>
  <c r="S120" i="25" s="1"/>
  <c r="R120" i="25" s="1"/>
  <c r="P120" i="25" s="1"/>
  <c r="V120" i="25" s="1"/>
  <c r="U40" i="25"/>
  <c r="T40" i="25" s="1"/>
  <c r="S40" i="25" s="1"/>
  <c r="R40" i="25" s="1"/>
  <c r="P40" i="25" s="1"/>
  <c r="V40" i="25" s="1"/>
  <c r="U72" i="25"/>
  <c r="T72" i="25" s="1"/>
  <c r="S72" i="25" s="1"/>
  <c r="R72" i="25" s="1"/>
  <c r="P72" i="25" s="1"/>
  <c r="V72" i="25" s="1"/>
  <c r="U104" i="25"/>
  <c r="T104" i="25" s="1"/>
  <c r="S104" i="25" s="1"/>
  <c r="R104" i="25" s="1"/>
  <c r="P104" i="25" s="1"/>
  <c r="V104" i="25" s="1"/>
  <c r="U136" i="25"/>
  <c r="T136" i="25" s="1"/>
  <c r="S136" i="25" s="1"/>
  <c r="R136" i="25" s="1"/>
  <c r="P136" i="25" s="1"/>
  <c r="V136" i="25" s="1"/>
  <c r="U168" i="25"/>
  <c r="T168" i="25" s="1"/>
  <c r="S168" i="25" s="1"/>
  <c r="R168" i="25" s="1"/>
  <c r="P168" i="25" s="1"/>
  <c r="V168" i="25" s="1"/>
  <c r="U190" i="25"/>
  <c r="T190" i="25" s="1"/>
  <c r="S190" i="25" s="1"/>
  <c r="R190" i="25" s="1"/>
  <c r="P190" i="25" s="1"/>
  <c r="V190" i="25" s="1"/>
  <c r="U206" i="25"/>
  <c r="T206" i="25" s="1"/>
  <c r="S206" i="25" s="1"/>
  <c r="R206" i="25" s="1"/>
  <c r="P206" i="25" s="1"/>
  <c r="V206" i="25" s="1"/>
  <c r="U222" i="25"/>
  <c r="T222" i="25" s="1"/>
  <c r="S222" i="25" s="1"/>
  <c r="R222" i="25" s="1"/>
  <c r="P222" i="25" s="1"/>
  <c r="V222" i="25" s="1"/>
  <c r="U238" i="25"/>
  <c r="T238" i="25" s="1"/>
  <c r="S238" i="25" s="1"/>
  <c r="R238" i="25" s="1"/>
  <c r="P238" i="25" s="1"/>
  <c r="V238" i="25" s="1"/>
  <c r="U254" i="25"/>
  <c r="T254" i="25" s="1"/>
  <c r="S254" i="25" s="1"/>
  <c r="R254" i="25" s="1"/>
  <c r="P254" i="25" s="1"/>
  <c r="V254" i="25" s="1"/>
  <c r="U274" i="25"/>
  <c r="T274" i="25" s="1"/>
  <c r="S274" i="25" s="1"/>
  <c r="R274" i="25" s="1"/>
  <c r="P274" i="25" s="1"/>
  <c r="V274" i="25" s="1"/>
  <c r="U298" i="25"/>
  <c r="T298" i="25" s="1"/>
  <c r="S298" i="25" s="1"/>
  <c r="R298" i="25" s="1"/>
  <c r="P298" i="25" s="1"/>
  <c r="V298" i="25" s="1"/>
  <c r="U330" i="25"/>
  <c r="T330" i="25" s="1"/>
  <c r="S330" i="25" s="1"/>
  <c r="R330" i="25" s="1"/>
  <c r="P330" i="25" s="1"/>
  <c r="V330" i="25" s="1"/>
  <c r="U362" i="25"/>
  <c r="T362" i="25" s="1"/>
  <c r="S362" i="25" s="1"/>
  <c r="R362" i="25" s="1"/>
  <c r="P362" i="25" s="1"/>
  <c r="V362" i="25" s="1"/>
  <c r="U18" i="25"/>
  <c r="T18" i="25" s="1"/>
  <c r="S18" i="25" s="1"/>
  <c r="R18" i="25" s="1"/>
  <c r="P18" i="25" s="1"/>
  <c r="V18" i="25" s="1"/>
  <c r="U52" i="25"/>
  <c r="T52" i="25" s="1"/>
  <c r="S52" i="25" s="1"/>
  <c r="R52" i="25" s="1"/>
  <c r="P52" i="25" s="1"/>
  <c r="V52" i="25" s="1"/>
  <c r="U84" i="25"/>
  <c r="T84" i="25" s="1"/>
  <c r="S84" i="25" s="1"/>
  <c r="R84" i="25" s="1"/>
  <c r="P84" i="25" s="1"/>
  <c r="V84" i="25" s="1"/>
  <c r="U116" i="25"/>
  <c r="T116" i="25" s="1"/>
  <c r="S116" i="25" s="1"/>
  <c r="R116" i="25" s="1"/>
  <c r="P116" i="25" s="1"/>
  <c r="V116" i="25" s="1"/>
  <c r="U148" i="25"/>
  <c r="T148" i="25" s="1"/>
  <c r="S148" i="25" s="1"/>
  <c r="R148" i="25" s="1"/>
  <c r="P148" i="25" s="1"/>
  <c r="V148" i="25" s="1"/>
  <c r="U180" i="25"/>
  <c r="T180" i="25" s="1"/>
  <c r="S180" i="25" s="1"/>
  <c r="R180" i="25" s="1"/>
  <c r="P180" i="25" s="1"/>
  <c r="V180" i="25" s="1"/>
  <c r="U196" i="25"/>
  <c r="T196" i="25" s="1"/>
  <c r="S196" i="25" s="1"/>
  <c r="R196" i="25" s="1"/>
  <c r="P196" i="25" s="1"/>
  <c r="V196" i="25" s="1"/>
  <c r="U212" i="25"/>
  <c r="T212" i="25" s="1"/>
  <c r="S212" i="25" s="1"/>
  <c r="R212" i="25" s="1"/>
  <c r="P212" i="25" s="1"/>
  <c r="V212" i="25" s="1"/>
  <c r="U228" i="25"/>
  <c r="T228" i="25" s="1"/>
  <c r="S228" i="25" s="1"/>
  <c r="R228" i="25" s="1"/>
  <c r="P228" i="25" s="1"/>
  <c r="V228" i="25" s="1"/>
  <c r="U244" i="25"/>
  <c r="T244" i="25" s="1"/>
  <c r="S244" i="25" s="1"/>
  <c r="R244" i="25" s="1"/>
  <c r="P244" i="25" s="1"/>
  <c r="V244" i="25" s="1"/>
  <c r="U260" i="25"/>
  <c r="T260" i="25" s="1"/>
  <c r="S260" i="25" s="1"/>
  <c r="R260" i="25" s="1"/>
  <c r="P260" i="25" s="1"/>
  <c r="V260" i="25" s="1"/>
  <c r="U276" i="25"/>
  <c r="T276" i="25" s="1"/>
  <c r="S276" i="25" s="1"/>
  <c r="R276" i="25" s="1"/>
  <c r="P276" i="25" s="1"/>
  <c r="V276" i="25" s="1"/>
  <c r="U292" i="25"/>
  <c r="T292" i="25" s="1"/>
  <c r="S292" i="25" s="1"/>
  <c r="R292" i="25" s="1"/>
  <c r="P292" i="25" s="1"/>
  <c r="V292" i="25" s="1"/>
  <c r="U308" i="25"/>
  <c r="T308" i="25" s="1"/>
  <c r="S308" i="25" s="1"/>
  <c r="R308" i="25" s="1"/>
  <c r="P308" i="25" s="1"/>
  <c r="V308" i="25" s="1"/>
  <c r="U324" i="25"/>
  <c r="T324" i="25" s="1"/>
  <c r="S324" i="25" s="1"/>
  <c r="R324" i="25" s="1"/>
  <c r="P324" i="25" s="1"/>
  <c r="V324" i="25" s="1"/>
  <c r="U340" i="25"/>
  <c r="T340" i="25" s="1"/>
  <c r="S340" i="25" s="1"/>
  <c r="R340" i="25" s="1"/>
  <c r="P340" i="25" s="1"/>
  <c r="V340" i="25" s="1"/>
  <c r="U356" i="25"/>
  <c r="T356" i="25" s="1"/>
  <c r="S356" i="25" s="1"/>
  <c r="R356" i="25" s="1"/>
  <c r="P356" i="25" s="1"/>
  <c r="V356" i="25" s="1"/>
  <c r="U372" i="25"/>
  <c r="T372" i="25" s="1"/>
  <c r="S372" i="25" s="1"/>
  <c r="R372" i="25" s="1"/>
  <c r="P372" i="25" s="1"/>
  <c r="V372" i="25" s="1"/>
  <c r="U294" i="25"/>
  <c r="T294" i="25" s="1"/>
  <c r="S294" i="25" s="1"/>
  <c r="R294" i="25" s="1"/>
  <c r="P294" i="25" s="1"/>
  <c r="V294" i="25" s="1"/>
  <c r="U326" i="25"/>
  <c r="T326" i="25" s="1"/>
  <c r="S326" i="25" s="1"/>
  <c r="R326" i="25" s="1"/>
  <c r="P326" i="25" s="1"/>
  <c r="V326" i="25" s="1"/>
  <c r="U358" i="25"/>
  <c r="T358" i="25" s="1"/>
  <c r="S358" i="25" s="1"/>
  <c r="R358" i="25" s="1"/>
  <c r="P358" i="25" s="1"/>
  <c r="V358" i="25" s="1"/>
  <c r="U23" i="25"/>
  <c r="T23" i="25" s="1"/>
  <c r="S23" i="25" s="1"/>
  <c r="R23" i="25" s="1"/>
  <c r="P23" i="25" s="1"/>
  <c r="V23" i="25" s="1"/>
  <c r="U39" i="25"/>
  <c r="T39" i="25" s="1"/>
  <c r="S39" i="25" s="1"/>
  <c r="R39" i="25" s="1"/>
  <c r="P39" i="25" s="1"/>
  <c r="V39" i="25" s="1"/>
  <c r="U55" i="25"/>
  <c r="T55" i="25" s="1"/>
  <c r="S55" i="25" s="1"/>
  <c r="R55" i="25" s="1"/>
  <c r="P55" i="25" s="1"/>
  <c r="V55" i="25" s="1"/>
  <c r="U71" i="25"/>
  <c r="T71" i="25" s="1"/>
  <c r="S71" i="25" s="1"/>
  <c r="R71" i="25" s="1"/>
  <c r="P71" i="25" s="1"/>
  <c r="V71" i="25" s="1"/>
  <c r="U87" i="25"/>
  <c r="T87" i="25" s="1"/>
  <c r="S87" i="25" s="1"/>
  <c r="R87" i="25" s="1"/>
  <c r="P87" i="25" s="1"/>
  <c r="V87" i="25" s="1"/>
  <c r="U103" i="25"/>
  <c r="T103" i="25" s="1"/>
  <c r="S103" i="25" s="1"/>
  <c r="R103" i="25" s="1"/>
  <c r="P103" i="25" s="1"/>
  <c r="V103" i="25" s="1"/>
  <c r="U119" i="25"/>
  <c r="T119" i="25" s="1"/>
  <c r="S119" i="25" s="1"/>
  <c r="R119" i="25" s="1"/>
  <c r="P119" i="25" s="1"/>
  <c r="AH71" i="7" s="1"/>
  <c r="U135" i="25"/>
  <c r="T135" i="25" s="1"/>
  <c r="S135" i="25" s="1"/>
  <c r="R135" i="25" s="1"/>
  <c r="P135" i="25" s="1"/>
  <c r="V135" i="25" s="1"/>
  <c r="U143" i="25"/>
  <c r="T143" i="25" s="1"/>
  <c r="S143" i="25" s="1"/>
  <c r="R143" i="25" s="1"/>
  <c r="P143" i="25" s="1"/>
  <c r="V143" i="25" s="1"/>
  <c r="U151" i="25"/>
  <c r="T151" i="25" s="1"/>
  <c r="S151" i="25" s="1"/>
  <c r="R151" i="25" s="1"/>
  <c r="P151" i="25" s="1"/>
  <c r="V151" i="25" s="1"/>
  <c r="U159" i="25"/>
  <c r="T159" i="25" s="1"/>
  <c r="S159" i="25" s="1"/>
  <c r="R159" i="25" s="1"/>
  <c r="P159" i="25" s="1"/>
  <c r="V159" i="25" s="1"/>
  <c r="U167" i="25"/>
  <c r="T167" i="25" s="1"/>
  <c r="S167" i="25" s="1"/>
  <c r="R167" i="25" s="1"/>
  <c r="P167" i="25" s="1"/>
  <c r="V167" i="25" s="1"/>
  <c r="U175" i="25"/>
  <c r="T175" i="25" s="1"/>
  <c r="S175" i="25" s="1"/>
  <c r="R175" i="25" s="1"/>
  <c r="P175" i="25" s="1"/>
  <c r="V175" i="25" s="1"/>
  <c r="U377" i="25"/>
  <c r="T377" i="25" s="1"/>
  <c r="S377" i="25" s="1"/>
  <c r="R377" i="25" s="1"/>
  <c r="P377" i="25" s="1"/>
  <c r="V377" i="25" s="1"/>
  <c r="U369" i="25"/>
  <c r="T369" i="25" s="1"/>
  <c r="S369" i="25" s="1"/>
  <c r="R369" i="25" s="1"/>
  <c r="P369" i="25" s="1"/>
  <c r="V369" i="25" s="1"/>
  <c r="U361" i="25"/>
  <c r="T361" i="25" s="1"/>
  <c r="S361" i="25" s="1"/>
  <c r="R361" i="25" s="1"/>
  <c r="P361" i="25" s="1"/>
  <c r="V361" i="25" s="1"/>
  <c r="U353" i="25"/>
  <c r="T353" i="25" s="1"/>
  <c r="S353" i="25" s="1"/>
  <c r="R353" i="25" s="1"/>
  <c r="P353" i="25" s="1"/>
  <c r="V353" i="25" s="1"/>
  <c r="U345" i="25"/>
  <c r="T345" i="25" s="1"/>
  <c r="S345" i="25" s="1"/>
  <c r="R345" i="25" s="1"/>
  <c r="P345" i="25" s="1"/>
  <c r="V345" i="25" s="1"/>
  <c r="U337" i="25"/>
  <c r="T337" i="25" s="1"/>
  <c r="S337" i="25" s="1"/>
  <c r="R337" i="25" s="1"/>
  <c r="P337" i="25" s="1"/>
  <c r="V337" i="25" s="1"/>
  <c r="U329" i="25"/>
  <c r="T329" i="25" s="1"/>
  <c r="S329" i="25" s="1"/>
  <c r="R329" i="25" s="1"/>
  <c r="P329" i="25" s="1"/>
  <c r="V329" i="25" s="1"/>
  <c r="U321" i="25"/>
  <c r="T321" i="25" s="1"/>
  <c r="S321" i="25" s="1"/>
  <c r="R321" i="25" s="1"/>
  <c r="P321" i="25" s="1"/>
  <c r="V321" i="25" s="1"/>
  <c r="U313" i="25"/>
  <c r="T313" i="25" s="1"/>
  <c r="S313" i="25" s="1"/>
  <c r="R313" i="25" s="1"/>
  <c r="P313" i="25" s="1"/>
  <c r="V313" i="25" s="1"/>
  <c r="U305" i="25"/>
  <c r="T305" i="25" s="1"/>
  <c r="S305" i="25" s="1"/>
  <c r="R305" i="25" s="1"/>
  <c r="P305" i="25" s="1"/>
  <c r="V305" i="25" s="1"/>
  <c r="U297" i="25"/>
  <c r="T297" i="25" s="1"/>
  <c r="S297" i="25" s="1"/>
  <c r="R297" i="25" s="1"/>
  <c r="P297" i="25" s="1"/>
  <c r="V297" i="25" s="1"/>
  <c r="U289" i="25"/>
  <c r="T289" i="25" s="1"/>
  <c r="S289" i="25" s="1"/>
  <c r="R289" i="25" s="1"/>
  <c r="P289" i="25" s="1"/>
  <c r="V289" i="25" s="1"/>
  <c r="U281" i="25"/>
  <c r="T281" i="25" s="1"/>
  <c r="S281" i="25" s="1"/>
  <c r="R281" i="25" s="1"/>
  <c r="P281" i="25" s="1"/>
  <c r="V281" i="25" s="1"/>
  <c r="U273" i="25"/>
  <c r="T273" i="25" s="1"/>
  <c r="S273" i="25" s="1"/>
  <c r="R273" i="25" s="1"/>
  <c r="P273" i="25" s="1"/>
  <c r="V273" i="25" s="1"/>
  <c r="U265" i="25"/>
  <c r="T265" i="25" s="1"/>
  <c r="S265" i="25" s="1"/>
  <c r="R265" i="25" s="1"/>
  <c r="P265" i="25" s="1"/>
  <c r="V265" i="25" s="1"/>
  <c r="U257" i="25"/>
  <c r="T257" i="25" s="1"/>
  <c r="S257" i="25" s="1"/>
  <c r="R257" i="25" s="1"/>
  <c r="P257" i="25" s="1"/>
  <c r="V257" i="25" s="1"/>
  <c r="U249" i="25"/>
  <c r="T249" i="25" s="1"/>
  <c r="S249" i="25" s="1"/>
  <c r="R249" i="25" s="1"/>
  <c r="P249" i="25" s="1"/>
  <c r="V249" i="25" s="1"/>
  <c r="U241" i="25"/>
  <c r="T241" i="25" s="1"/>
  <c r="S241" i="25" s="1"/>
  <c r="R241" i="25" s="1"/>
  <c r="P241" i="25" s="1"/>
  <c r="AH75" i="7" s="1"/>
  <c r="U233" i="25"/>
  <c r="T233" i="25" s="1"/>
  <c r="S233" i="25" s="1"/>
  <c r="R233" i="25" s="1"/>
  <c r="P233" i="25" s="1"/>
  <c r="V233" i="25" s="1"/>
  <c r="U225" i="25"/>
  <c r="T225" i="25" s="1"/>
  <c r="S225" i="25" s="1"/>
  <c r="R225" i="25" s="1"/>
  <c r="P225" i="25" s="1"/>
  <c r="V225" i="25" s="1"/>
  <c r="U217" i="25"/>
  <c r="T217" i="25" s="1"/>
  <c r="S217" i="25" s="1"/>
  <c r="R217" i="25" s="1"/>
  <c r="P217" i="25" s="1"/>
  <c r="V217" i="25" s="1"/>
  <c r="U209" i="25"/>
  <c r="T209" i="25" s="1"/>
  <c r="S209" i="25" s="1"/>
  <c r="R209" i="25" s="1"/>
  <c r="P209" i="25" s="1"/>
  <c r="V209" i="25" s="1"/>
  <c r="U201" i="25"/>
  <c r="T201" i="25" s="1"/>
  <c r="S201" i="25" s="1"/>
  <c r="R201" i="25" s="1"/>
  <c r="P201" i="25" s="1"/>
  <c r="V201" i="25" s="1"/>
  <c r="U193" i="25"/>
  <c r="T193" i="25" s="1"/>
  <c r="S193" i="25" s="1"/>
  <c r="R193" i="25" s="1"/>
  <c r="P193" i="25" s="1"/>
  <c r="V193" i="25" s="1"/>
  <c r="U185" i="25"/>
  <c r="T185" i="25" s="1"/>
  <c r="S185" i="25" s="1"/>
  <c r="R185" i="25" s="1"/>
  <c r="P185" i="25" s="1"/>
  <c r="V185" i="25" s="1"/>
  <c r="U174" i="25"/>
  <c r="T174" i="25" s="1"/>
  <c r="S174" i="25" s="1"/>
  <c r="R174" i="25" s="1"/>
  <c r="P174" i="25" s="1"/>
  <c r="V174" i="25" s="1"/>
  <c r="U158" i="25"/>
  <c r="T158" i="25" s="1"/>
  <c r="S158" i="25" s="1"/>
  <c r="R158" i="25" s="1"/>
  <c r="P158" i="25" s="1"/>
  <c r="V158" i="25" s="1"/>
  <c r="U142" i="25"/>
  <c r="T142" i="25" s="1"/>
  <c r="S142" i="25" s="1"/>
  <c r="R142" i="25" s="1"/>
  <c r="P142" i="25" s="1"/>
  <c r="V142" i="25" s="1"/>
  <c r="U126" i="25"/>
  <c r="T126" i="25" s="1"/>
  <c r="S126" i="25" s="1"/>
  <c r="R126" i="25" s="1"/>
  <c r="P126" i="25" s="1"/>
  <c r="V126" i="25" s="1"/>
  <c r="U110" i="25"/>
  <c r="T110" i="25" s="1"/>
  <c r="S110" i="25" s="1"/>
  <c r="R110" i="25" s="1"/>
  <c r="P110" i="25" s="1"/>
  <c r="V110" i="25" s="1"/>
  <c r="U94" i="25"/>
  <c r="T94" i="25" s="1"/>
  <c r="S94" i="25" s="1"/>
  <c r="R94" i="25" s="1"/>
  <c r="P94" i="25" s="1"/>
  <c r="V94" i="25" s="1"/>
  <c r="U78" i="25"/>
  <c r="T78" i="25" s="1"/>
  <c r="S78" i="25" s="1"/>
  <c r="R78" i="25" s="1"/>
  <c r="P78" i="25" s="1"/>
  <c r="V78" i="25" s="1"/>
  <c r="U62" i="25"/>
  <c r="T62" i="25" s="1"/>
  <c r="S62" i="25" s="1"/>
  <c r="R62" i="25" s="1"/>
  <c r="P62" i="25" s="1"/>
  <c r="V62" i="25" s="1"/>
  <c r="U46" i="25"/>
  <c r="T46" i="25" s="1"/>
  <c r="S46" i="25" s="1"/>
  <c r="R46" i="25" s="1"/>
  <c r="P46" i="25" s="1"/>
  <c r="V46" i="25" s="1"/>
  <c r="U30" i="25"/>
  <c r="T30" i="25" s="1"/>
  <c r="S30" i="25" s="1"/>
  <c r="R30" i="25" s="1"/>
  <c r="P30" i="25" s="1"/>
  <c r="V30" i="25" s="1"/>
  <c r="U16" i="25"/>
  <c r="T16" i="25" s="1"/>
  <c r="S16" i="25" s="1"/>
  <c r="R16" i="25" s="1"/>
  <c r="P16" i="25" s="1"/>
  <c r="V16" i="25" s="1"/>
  <c r="U26" i="25"/>
  <c r="T26" i="25" s="1"/>
  <c r="S26" i="25" s="1"/>
  <c r="R26" i="25" s="1"/>
  <c r="P26" i="25" s="1"/>
  <c r="V26" i="25" s="1"/>
  <c r="BG16" i="7"/>
  <c r="U32" i="25"/>
  <c r="T32" i="25" s="1"/>
  <c r="S32" i="25" s="1"/>
  <c r="R32" i="25" s="1"/>
  <c r="P32" i="25" s="1"/>
  <c r="V32" i="25" s="1"/>
  <c r="U48" i="25"/>
  <c r="T48" i="25" s="1"/>
  <c r="S48" i="25" s="1"/>
  <c r="R48" i="25" s="1"/>
  <c r="P48" i="25" s="1"/>
  <c r="V48" i="25" s="1"/>
  <c r="U64" i="25"/>
  <c r="T64" i="25" s="1"/>
  <c r="S64" i="25" s="1"/>
  <c r="R64" i="25" s="1"/>
  <c r="P64" i="25" s="1"/>
  <c r="V64" i="25" s="1"/>
  <c r="U80" i="25"/>
  <c r="T80" i="25" s="1"/>
  <c r="S80" i="25" s="1"/>
  <c r="R80" i="25" s="1"/>
  <c r="P80" i="25" s="1"/>
  <c r="V80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0" i="25"/>
  <c r="T160" i="25" s="1"/>
  <c r="S160" i="25" s="1"/>
  <c r="R160" i="25" s="1"/>
  <c r="P160" i="25" s="1"/>
  <c r="V160" i="25" s="1"/>
  <c r="U176" i="25"/>
  <c r="T176" i="25" s="1"/>
  <c r="S176" i="25" s="1"/>
  <c r="R176" i="25" s="1"/>
  <c r="P176" i="25" s="1"/>
  <c r="V176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U202" i="25"/>
  <c r="T202" i="25" s="1"/>
  <c r="S202" i="25" s="1"/>
  <c r="R202" i="25" s="1"/>
  <c r="P202" i="25" s="1"/>
  <c r="V202" i="25" s="1"/>
  <c r="U210" i="25"/>
  <c r="T210" i="25" s="1"/>
  <c r="S210" i="25" s="1"/>
  <c r="R210" i="25" s="1"/>
  <c r="P210" i="25" s="1"/>
  <c r="AH74" i="7" s="1"/>
  <c r="U218" i="25"/>
  <c r="T218" i="25" s="1"/>
  <c r="S218" i="25" s="1"/>
  <c r="R218" i="25" s="1"/>
  <c r="P218" i="25" s="1"/>
  <c r="V218" i="25" s="1"/>
  <c r="U226" i="25"/>
  <c r="T226" i="25" s="1"/>
  <c r="S226" i="25" s="1"/>
  <c r="R226" i="25" s="1"/>
  <c r="P226" i="25" s="1"/>
  <c r="V226" i="25" s="1"/>
  <c r="U234" i="25"/>
  <c r="T234" i="25" s="1"/>
  <c r="S234" i="25" s="1"/>
  <c r="R234" i="25" s="1"/>
  <c r="P234" i="25" s="1"/>
  <c r="V234" i="25" s="1"/>
  <c r="U242" i="25"/>
  <c r="T242" i="25" s="1"/>
  <c r="S242" i="25" s="1"/>
  <c r="R242" i="25" s="1"/>
  <c r="P242" i="25" s="1"/>
  <c r="V242" i="25" s="1"/>
  <c r="U250" i="25"/>
  <c r="T250" i="25" s="1"/>
  <c r="S250" i="25" s="1"/>
  <c r="R250" i="25" s="1"/>
  <c r="P250" i="25" s="1"/>
  <c r="V250" i="25" s="1"/>
  <c r="U258" i="25"/>
  <c r="T258" i="25" s="1"/>
  <c r="S258" i="25" s="1"/>
  <c r="R258" i="25" s="1"/>
  <c r="P258" i="25" s="1"/>
  <c r="V258" i="25" s="1"/>
  <c r="U266" i="25"/>
  <c r="T266" i="25" s="1"/>
  <c r="S266" i="25" s="1"/>
  <c r="R266" i="25" s="1"/>
  <c r="P266" i="25" s="1"/>
  <c r="V266" i="25" s="1"/>
  <c r="U278" i="25"/>
  <c r="T278" i="25" s="1"/>
  <c r="S278" i="25" s="1"/>
  <c r="R278" i="25" s="1"/>
  <c r="P278" i="25" s="1"/>
  <c r="V278" i="25" s="1"/>
  <c r="U290" i="25"/>
  <c r="T290" i="25" s="1"/>
  <c r="S290" i="25" s="1"/>
  <c r="R290" i="25" s="1"/>
  <c r="P290" i="25" s="1"/>
  <c r="V290" i="25" s="1"/>
  <c r="U306" i="25"/>
  <c r="T306" i="25" s="1"/>
  <c r="S306" i="25" s="1"/>
  <c r="R306" i="25" s="1"/>
  <c r="P306" i="25" s="1"/>
  <c r="V306" i="25" s="1"/>
  <c r="U322" i="25"/>
  <c r="T322" i="25" s="1"/>
  <c r="S322" i="25" s="1"/>
  <c r="R322" i="25" s="1"/>
  <c r="P322" i="25" s="1"/>
  <c r="V322" i="25" s="1"/>
  <c r="U338" i="25"/>
  <c r="T338" i="25" s="1"/>
  <c r="S338" i="25" s="1"/>
  <c r="R338" i="25" s="1"/>
  <c r="P338" i="25" s="1"/>
  <c r="V338" i="25" s="1"/>
  <c r="U354" i="25"/>
  <c r="T354" i="25" s="1"/>
  <c r="S354" i="25" s="1"/>
  <c r="R354" i="25" s="1"/>
  <c r="P354" i="25" s="1"/>
  <c r="V354" i="25" s="1"/>
  <c r="U370" i="25"/>
  <c r="T370" i="25" s="1"/>
  <c r="S370" i="25" s="1"/>
  <c r="R370" i="25" s="1"/>
  <c r="P370" i="25" s="1"/>
  <c r="V370" i="25" s="1"/>
  <c r="U15" i="25"/>
  <c r="U28" i="25"/>
  <c r="T28" i="25" s="1"/>
  <c r="S28" i="25" s="1"/>
  <c r="R28" i="25" s="1"/>
  <c r="P28" i="25" s="1"/>
  <c r="V28" i="25" s="1"/>
  <c r="U44" i="25"/>
  <c r="T44" i="25" s="1"/>
  <c r="S44" i="25" s="1"/>
  <c r="R44" i="25" s="1"/>
  <c r="P44" i="25" s="1"/>
  <c r="V44" i="25" s="1"/>
  <c r="U60" i="25"/>
  <c r="T60" i="25" s="1"/>
  <c r="S60" i="25" s="1"/>
  <c r="R60" i="25" s="1"/>
  <c r="P60" i="25" s="1"/>
  <c r="AH69" i="7" s="1"/>
  <c r="U76" i="25"/>
  <c r="T76" i="25" s="1"/>
  <c r="S76" i="25" s="1"/>
  <c r="R76" i="25" s="1"/>
  <c r="P76" i="25" s="1"/>
  <c r="V76" i="25" s="1"/>
  <c r="U92" i="25"/>
  <c r="T92" i="25" s="1"/>
  <c r="S92" i="25" s="1"/>
  <c r="R92" i="25" s="1"/>
  <c r="P92" i="25" s="1"/>
  <c r="V92" i="25" s="1"/>
  <c r="U108" i="25"/>
  <c r="T108" i="25" s="1"/>
  <c r="S108" i="25" s="1"/>
  <c r="R108" i="25" s="1"/>
  <c r="P108" i="25" s="1"/>
  <c r="V108" i="25" s="1"/>
  <c r="U124" i="25"/>
  <c r="T124" i="25" s="1"/>
  <c r="S124" i="25" s="1"/>
  <c r="R124" i="25" s="1"/>
  <c r="P124" i="25" s="1"/>
  <c r="V124" i="25" s="1"/>
  <c r="U140" i="25"/>
  <c r="T140" i="25" s="1"/>
  <c r="S140" i="25" s="1"/>
  <c r="R140" i="25" s="1"/>
  <c r="P140" i="25" s="1"/>
  <c r="V140" i="25" s="1"/>
  <c r="U156" i="25"/>
  <c r="T156" i="25" s="1"/>
  <c r="S156" i="25" s="1"/>
  <c r="R156" i="25" s="1"/>
  <c r="P156" i="25" s="1"/>
  <c r="V156" i="25" s="1"/>
  <c r="U172" i="25"/>
  <c r="T172" i="25" s="1"/>
  <c r="S172" i="25" s="1"/>
  <c r="R172" i="25" s="1"/>
  <c r="P172" i="25" s="1"/>
  <c r="V172" i="25" s="1"/>
  <c r="U184" i="25"/>
  <c r="T184" i="25" s="1"/>
  <c r="S184" i="25" s="1"/>
  <c r="R184" i="25" s="1"/>
  <c r="P184" i="25" s="1"/>
  <c r="V184" i="25" s="1"/>
  <c r="U192" i="25"/>
  <c r="T192" i="25" s="1"/>
  <c r="S192" i="25" s="1"/>
  <c r="R192" i="25" s="1"/>
  <c r="P192" i="25" s="1"/>
  <c r="V192" i="25" s="1"/>
  <c r="U200" i="25"/>
  <c r="T200" i="25" s="1"/>
  <c r="S200" i="25" s="1"/>
  <c r="R200" i="25" s="1"/>
  <c r="P200" i="25" s="1"/>
  <c r="V200" i="25" s="1"/>
  <c r="U208" i="25"/>
  <c r="T208" i="25" s="1"/>
  <c r="S208" i="25" s="1"/>
  <c r="R208" i="25" s="1"/>
  <c r="P208" i="25" s="1"/>
  <c r="V208" i="25" s="1"/>
  <c r="U216" i="25"/>
  <c r="T216" i="25" s="1"/>
  <c r="S216" i="25" s="1"/>
  <c r="R216" i="25" s="1"/>
  <c r="P216" i="25" s="1"/>
  <c r="V216" i="25" s="1"/>
  <c r="U224" i="25"/>
  <c r="T224" i="25" s="1"/>
  <c r="S224" i="25" s="1"/>
  <c r="R224" i="25" s="1"/>
  <c r="P224" i="25" s="1"/>
  <c r="V224" i="25" s="1"/>
  <c r="U232" i="25"/>
  <c r="T232" i="25" s="1"/>
  <c r="S232" i="25" s="1"/>
  <c r="R232" i="25" s="1"/>
  <c r="P232" i="25" s="1"/>
  <c r="V232" i="25" s="1"/>
  <c r="U240" i="25"/>
  <c r="T240" i="25" s="1"/>
  <c r="S240" i="25" s="1"/>
  <c r="R240" i="25" s="1"/>
  <c r="P240" i="25" s="1"/>
  <c r="V240" i="25" s="1"/>
  <c r="U248" i="25"/>
  <c r="T248" i="25" s="1"/>
  <c r="S248" i="25" s="1"/>
  <c r="R248" i="25" s="1"/>
  <c r="P248" i="25" s="1"/>
  <c r="V248" i="25" s="1"/>
  <c r="U256" i="25"/>
  <c r="T256" i="25" s="1"/>
  <c r="S256" i="25" s="1"/>
  <c r="R256" i="25" s="1"/>
  <c r="P256" i="25" s="1"/>
  <c r="V256" i="25" s="1"/>
  <c r="U264" i="25"/>
  <c r="T264" i="25" s="1"/>
  <c r="S264" i="25" s="1"/>
  <c r="R264" i="25" s="1"/>
  <c r="P264" i="25" s="1"/>
  <c r="V264" i="25" s="1"/>
  <c r="U272" i="25"/>
  <c r="T272" i="25" s="1"/>
  <c r="S272" i="25" s="1"/>
  <c r="R272" i="25" s="1"/>
  <c r="P272" i="25" s="1"/>
  <c r="V272" i="25" s="1"/>
  <c r="U280" i="25"/>
  <c r="T280" i="25" s="1"/>
  <c r="S280" i="25" s="1"/>
  <c r="R280" i="25" s="1"/>
  <c r="P280" i="25" s="1"/>
  <c r="V280" i="25" s="1"/>
  <c r="U288" i="25"/>
  <c r="T288" i="25" s="1"/>
  <c r="S288" i="25" s="1"/>
  <c r="R288" i="25" s="1"/>
  <c r="P288" i="25" s="1"/>
  <c r="V288" i="25" s="1"/>
  <c r="U296" i="25"/>
  <c r="T296" i="25" s="1"/>
  <c r="S296" i="25" s="1"/>
  <c r="R296" i="25" s="1"/>
  <c r="P296" i="25" s="1"/>
  <c r="V296" i="25" s="1"/>
  <c r="U304" i="25"/>
  <c r="T304" i="25" s="1"/>
  <c r="S304" i="25" s="1"/>
  <c r="R304" i="25" s="1"/>
  <c r="P304" i="25" s="1"/>
  <c r="V304" i="25" s="1"/>
  <c r="U312" i="25"/>
  <c r="T312" i="25" s="1"/>
  <c r="S312" i="25" s="1"/>
  <c r="R312" i="25" s="1"/>
  <c r="P312" i="25" s="1"/>
  <c r="V312" i="25" s="1"/>
  <c r="U320" i="25"/>
  <c r="T320" i="25" s="1"/>
  <c r="S320" i="25" s="1"/>
  <c r="R320" i="25" s="1"/>
  <c r="P320" i="25" s="1"/>
  <c r="V320" i="25" s="1"/>
  <c r="U328" i="25"/>
  <c r="T328" i="25" s="1"/>
  <c r="S328" i="25" s="1"/>
  <c r="R328" i="25" s="1"/>
  <c r="P328" i="25" s="1"/>
  <c r="V328" i="25" s="1"/>
  <c r="U336" i="25"/>
  <c r="T336" i="25" s="1"/>
  <c r="S336" i="25" s="1"/>
  <c r="R336" i="25" s="1"/>
  <c r="P336" i="25" s="1"/>
  <c r="V336" i="25" s="1"/>
  <c r="U344" i="25"/>
  <c r="T344" i="25" s="1"/>
  <c r="S344" i="25" s="1"/>
  <c r="R344" i="25" s="1"/>
  <c r="P344" i="25" s="1"/>
  <c r="V344" i="25" s="1"/>
  <c r="U352" i="25"/>
  <c r="T352" i="25" s="1"/>
  <c r="S352" i="25" s="1"/>
  <c r="R352" i="25" s="1"/>
  <c r="P352" i="25" s="1"/>
  <c r="V352" i="25" s="1"/>
  <c r="U360" i="25"/>
  <c r="T360" i="25" s="1"/>
  <c r="S360" i="25" s="1"/>
  <c r="R360" i="25" s="1"/>
  <c r="P360" i="25" s="1"/>
  <c r="V360" i="25" s="1"/>
  <c r="U368" i="25"/>
  <c r="T368" i="25" s="1"/>
  <c r="S368" i="25" s="1"/>
  <c r="R368" i="25" s="1"/>
  <c r="P368" i="25" s="1"/>
  <c r="V368" i="25" s="1"/>
  <c r="U376" i="25"/>
  <c r="T376" i="25" s="1"/>
  <c r="S376" i="25" s="1"/>
  <c r="R376" i="25" s="1"/>
  <c r="P376" i="25" s="1"/>
  <c r="V376" i="25" s="1"/>
  <c r="U286" i="25"/>
  <c r="T286" i="25" s="1"/>
  <c r="S286" i="25" s="1"/>
  <c r="R286" i="25" s="1"/>
  <c r="P286" i="25" s="1"/>
  <c r="V286" i="25" s="1"/>
  <c r="U302" i="25"/>
  <c r="T302" i="25" s="1"/>
  <c r="S302" i="25" s="1"/>
  <c r="R302" i="25" s="1"/>
  <c r="P302" i="25" s="1"/>
  <c r="V302" i="25" s="1"/>
  <c r="U318" i="25"/>
  <c r="T318" i="25" s="1"/>
  <c r="S318" i="25" s="1"/>
  <c r="R318" i="25" s="1"/>
  <c r="P318" i="25" s="1"/>
  <c r="V318" i="25" s="1"/>
  <c r="U334" i="25"/>
  <c r="T334" i="25" s="1"/>
  <c r="S334" i="25" s="1"/>
  <c r="R334" i="25" s="1"/>
  <c r="P334" i="25" s="1"/>
  <c r="V334" i="25" s="1"/>
  <c r="U350" i="25"/>
  <c r="T350" i="25" s="1"/>
  <c r="S350" i="25" s="1"/>
  <c r="R350" i="25" s="1"/>
  <c r="P350" i="25" s="1"/>
  <c r="V350" i="25" s="1"/>
  <c r="U366" i="25"/>
  <c r="T366" i="25" s="1"/>
  <c r="S366" i="25" s="1"/>
  <c r="R366" i="25" s="1"/>
  <c r="P366" i="25" s="1"/>
  <c r="V366" i="25" s="1"/>
  <c r="U21" i="25"/>
  <c r="T21" i="25" s="1"/>
  <c r="S21" i="25" s="1"/>
  <c r="R21" i="25" s="1"/>
  <c r="P21" i="25" s="1"/>
  <c r="V21" i="25" s="1"/>
  <c r="U22" i="25"/>
  <c r="T22" i="25" s="1"/>
  <c r="S22" i="25" s="1"/>
  <c r="R22" i="25" s="1"/>
  <c r="P22" i="25" s="1"/>
  <c r="V22" i="25" s="1"/>
  <c r="U35" i="25"/>
  <c r="T35" i="25" s="1"/>
  <c r="S35" i="25" s="1"/>
  <c r="R35" i="25" s="1"/>
  <c r="P35" i="25" s="1"/>
  <c r="V35" i="25" s="1"/>
  <c r="U43" i="25"/>
  <c r="T43" i="25" s="1"/>
  <c r="S43" i="25" s="1"/>
  <c r="R43" i="25" s="1"/>
  <c r="P43" i="25" s="1"/>
  <c r="V43" i="25" s="1"/>
  <c r="U51" i="25"/>
  <c r="T51" i="25" s="1"/>
  <c r="S51" i="25" s="1"/>
  <c r="R51" i="25" s="1"/>
  <c r="P51" i="25" s="1"/>
  <c r="V51" i="25" s="1"/>
  <c r="U59" i="25"/>
  <c r="T59" i="25" s="1"/>
  <c r="S59" i="25" s="1"/>
  <c r="R59" i="25" s="1"/>
  <c r="P59" i="25" s="1"/>
  <c r="V59" i="25" s="1"/>
  <c r="U67" i="25"/>
  <c r="T67" i="25" s="1"/>
  <c r="S67" i="25" s="1"/>
  <c r="R67" i="25" s="1"/>
  <c r="P67" i="25" s="1"/>
  <c r="V67" i="25" s="1"/>
  <c r="U75" i="25"/>
  <c r="T75" i="25" s="1"/>
  <c r="S75" i="25" s="1"/>
  <c r="R75" i="25" s="1"/>
  <c r="P75" i="25" s="1"/>
  <c r="V75" i="25" s="1"/>
  <c r="U83" i="25"/>
  <c r="T83" i="25" s="1"/>
  <c r="S83" i="25" s="1"/>
  <c r="R83" i="25" s="1"/>
  <c r="P83" i="25" s="1"/>
  <c r="V83" i="25" s="1"/>
  <c r="U91" i="25"/>
  <c r="T91" i="25" s="1"/>
  <c r="S91" i="25" s="1"/>
  <c r="R91" i="25" s="1"/>
  <c r="P91" i="25" s="1"/>
  <c r="V91" i="25" s="1"/>
  <c r="U99" i="25"/>
  <c r="T99" i="25" s="1"/>
  <c r="S99" i="25" s="1"/>
  <c r="R99" i="25" s="1"/>
  <c r="P99" i="25" s="1"/>
  <c r="V99" i="25" s="1"/>
  <c r="U107" i="25"/>
  <c r="T107" i="25" s="1"/>
  <c r="S107" i="25" s="1"/>
  <c r="R107" i="25" s="1"/>
  <c r="P107" i="25" s="1"/>
  <c r="V107" i="25" s="1"/>
  <c r="U115" i="25"/>
  <c r="T115" i="25" s="1"/>
  <c r="S115" i="25" s="1"/>
  <c r="R115" i="25" s="1"/>
  <c r="P115" i="25" s="1"/>
  <c r="V115" i="25" s="1"/>
  <c r="U123" i="25"/>
  <c r="T123" i="25" s="1"/>
  <c r="S123" i="25" s="1"/>
  <c r="R123" i="25" s="1"/>
  <c r="P123" i="25" s="1"/>
  <c r="V123" i="25" s="1"/>
  <c r="U131" i="25"/>
  <c r="T131" i="25" s="1"/>
  <c r="S131" i="25" s="1"/>
  <c r="R131" i="25" s="1"/>
  <c r="P131" i="25" s="1"/>
  <c r="V131" i="25" s="1"/>
  <c r="S382" i="24"/>
  <c r="S381" i="24"/>
  <c r="S383" i="24"/>
  <c r="R15" i="24"/>
  <c r="AH15" i="25"/>
  <c r="AI381" i="25"/>
  <c r="AI382" i="25"/>
  <c r="AI383" i="25"/>
  <c r="V381" i="23"/>
  <c r="V383" i="23"/>
  <c r="V382" i="23"/>
  <c r="B68" i="19"/>
  <c r="N68" i="19" s="1"/>
  <c r="V333" i="25"/>
  <c r="AH78" i="7"/>
  <c r="AH77" i="7"/>
  <c r="AH76" i="7"/>
  <c r="V60" i="25"/>
  <c r="T15" i="25"/>
  <c r="V210" i="25"/>
  <c r="AH79" i="7"/>
  <c r="V363" i="25"/>
  <c r="BF16" i="7"/>
  <c r="T379" i="25"/>
  <c r="S379" i="25" s="1"/>
  <c r="R379" i="25" s="1"/>
  <c r="P379" i="25" s="1"/>
  <c r="V149" i="25"/>
  <c r="AH72" i="7"/>
  <c r="AH68" i="7"/>
  <c r="V29" i="25"/>
  <c r="AH70" i="7"/>
  <c r="V88" i="25"/>
  <c r="AG381" i="24"/>
  <c r="AG382" i="24"/>
  <c r="AG383" i="24"/>
  <c r="AF15" i="24"/>
  <c r="V379" i="25" l="1"/>
  <c r="D44" i="19"/>
  <c r="D33" i="19" s="1"/>
  <c r="V119" i="25"/>
  <c r="E70" i="19" s="1"/>
  <c r="E57" i="19" s="1"/>
  <c r="AH73" i="7"/>
  <c r="V241" i="25"/>
  <c r="I70" i="19" s="1"/>
  <c r="I58" i="19" s="1"/>
  <c r="C70" i="19"/>
  <c r="C58" i="19" s="1"/>
  <c r="K70" i="19"/>
  <c r="K57" i="19" s="1"/>
  <c r="U381" i="25"/>
  <c r="D70" i="19"/>
  <c r="D57" i="19" s="1"/>
  <c r="U383" i="25"/>
  <c r="U382" i="25"/>
  <c r="G70" i="19"/>
  <c r="G59" i="19" s="1"/>
  <c r="F70" i="19"/>
  <c r="F57" i="19" s="1"/>
  <c r="H70" i="19"/>
  <c r="H57" i="19" s="1"/>
  <c r="J70" i="19"/>
  <c r="J59" i="19" s="1"/>
  <c r="L70" i="19"/>
  <c r="L57" i="19" s="1"/>
  <c r="M70" i="19"/>
  <c r="M59" i="19" s="1"/>
  <c r="AF383" i="24"/>
  <c r="AF382" i="24"/>
  <c r="AF381" i="24"/>
  <c r="AD15" i="24"/>
  <c r="T382" i="25"/>
  <c r="T383" i="25"/>
  <c r="T381" i="25"/>
  <c r="S15" i="25"/>
  <c r="R381" i="24"/>
  <c r="R382" i="24"/>
  <c r="R383" i="24"/>
  <c r="P15" i="24"/>
  <c r="AG15" i="25"/>
  <c r="AH381" i="25"/>
  <c r="AH383" i="25"/>
  <c r="AH382" i="25"/>
  <c r="J58" i="19" l="1"/>
  <c r="E58" i="19"/>
  <c r="H58" i="19"/>
  <c r="I57" i="19"/>
  <c r="C59" i="19"/>
  <c r="F59" i="19"/>
  <c r="K59" i="19"/>
  <c r="C57" i="19"/>
  <c r="M58" i="19"/>
  <c r="J57" i="19"/>
  <c r="I59" i="19"/>
  <c r="K58" i="19"/>
  <c r="D59" i="19"/>
  <c r="L58" i="19"/>
  <c r="F58" i="19"/>
  <c r="D58" i="19"/>
  <c r="G58" i="19"/>
  <c r="E59" i="19"/>
  <c r="L59" i="19"/>
  <c r="H59" i="19"/>
  <c r="G57" i="19"/>
  <c r="M57" i="19"/>
  <c r="AG381" i="25"/>
  <c r="AG383" i="25"/>
  <c r="AG382" i="25"/>
  <c r="AF15" i="25"/>
  <c r="S383" i="25"/>
  <c r="S382" i="25"/>
  <c r="S381" i="25"/>
  <c r="R15" i="25"/>
  <c r="AD382" i="24"/>
  <c r="AD383" i="24"/>
  <c r="AD381" i="24"/>
  <c r="P382" i="24"/>
  <c r="V15" i="24"/>
  <c r="P381" i="24"/>
  <c r="P383" i="24"/>
  <c r="V382" i="24" l="1"/>
  <c r="V381" i="24"/>
  <c r="V383" i="24"/>
  <c r="B69" i="19"/>
  <c r="R381" i="25"/>
  <c r="R382" i="25"/>
  <c r="R383" i="25"/>
  <c r="P15" i="25"/>
  <c r="AF381" i="25"/>
  <c r="AF382" i="25"/>
  <c r="AF383" i="25"/>
  <c r="AD15" i="25"/>
  <c r="W379" i="17"/>
  <c r="W375" i="17"/>
  <c r="W371" i="17"/>
  <c r="W367" i="17"/>
  <c r="W363" i="17"/>
  <c r="W359" i="17"/>
  <c r="W355" i="17"/>
  <c r="W351" i="17"/>
  <c r="W347" i="17"/>
  <c r="W343" i="17"/>
  <c r="W339" i="17"/>
  <c r="W335" i="17"/>
  <c r="W331" i="17"/>
  <c r="W327" i="17"/>
  <c r="W323" i="17"/>
  <c r="W319" i="17"/>
  <c r="W315" i="17"/>
  <c r="W311" i="17"/>
  <c r="W307" i="17"/>
  <c r="W303" i="17"/>
  <c r="W299" i="17"/>
  <c r="W295" i="17"/>
  <c r="W291" i="17"/>
  <c r="W287" i="17"/>
  <c r="W283" i="17"/>
  <c r="W279" i="17"/>
  <c r="W275" i="17"/>
  <c r="W271" i="17"/>
  <c r="W267" i="17"/>
  <c r="W263" i="17"/>
  <c r="W259" i="17"/>
  <c r="W255" i="17"/>
  <c r="W251" i="17"/>
  <c r="W247" i="17"/>
  <c r="W243" i="17"/>
  <c r="W239" i="17"/>
  <c r="W235" i="17"/>
  <c r="W231" i="17"/>
  <c r="W227" i="17"/>
  <c r="W223" i="17"/>
  <c r="W219" i="17"/>
  <c r="W215" i="17"/>
  <c r="W211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207" i="17"/>
  <c r="W203" i="17"/>
  <c r="W199" i="17"/>
  <c r="W195" i="17"/>
  <c r="W191" i="17"/>
  <c r="W187" i="17"/>
  <c r="W183" i="17"/>
  <c r="W179" i="17"/>
  <c r="W175" i="17"/>
  <c r="W171" i="17"/>
  <c r="W167" i="17"/>
  <c r="W163" i="17"/>
  <c r="W159" i="17"/>
  <c r="W155" i="17"/>
  <c r="W151" i="17"/>
  <c r="W147" i="17"/>
  <c r="W143" i="17"/>
  <c r="W139" i="17"/>
  <c r="W135" i="17"/>
  <c r="W131" i="17"/>
  <c r="W127" i="17"/>
  <c r="W377" i="17"/>
  <c r="W369" i="17"/>
  <c r="W361" i="17"/>
  <c r="W353" i="17"/>
  <c r="W345" i="17"/>
  <c r="W337" i="17"/>
  <c r="W329" i="17"/>
  <c r="W321" i="17"/>
  <c r="W313" i="17"/>
  <c r="W305" i="17"/>
  <c r="W297" i="17"/>
  <c r="W289" i="17"/>
  <c r="W281" i="17"/>
  <c r="W273" i="17"/>
  <c r="W265" i="17"/>
  <c r="W257" i="17"/>
  <c r="W249" i="17"/>
  <c r="W241" i="17"/>
  <c r="W233" i="17"/>
  <c r="W225" i="17"/>
  <c r="W217" i="17"/>
  <c r="W376" i="17"/>
  <c r="W360" i="17"/>
  <c r="W344" i="17"/>
  <c r="W328" i="17"/>
  <c r="W312" i="17"/>
  <c r="W296" i="17"/>
  <c r="W280" i="17"/>
  <c r="W264" i="17"/>
  <c r="W248" i="17"/>
  <c r="W232" i="17"/>
  <c r="W216" i="17"/>
  <c r="W205" i="17"/>
  <c r="W197" i="17"/>
  <c r="W189" i="17"/>
  <c r="W181" i="17"/>
  <c r="W173" i="17"/>
  <c r="W165" i="17"/>
  <c r="W157" i="17"/>
  <c r="W149" i="17"/>
  <c r="W141" i="17"/>
  <c r="W133" i="17"/>
  <c r="W125" i="17"/>
  <c r="W370" i="17"/>
  <c r="W354" i="17"/>
  <c r="W338" i="17"/>
  <c r="W322" i="17"/>
  <c r="W306" i="17"/>
  <c r="W290" i="17"/>
  <c r="W274" i="17"/>
  <c r="W258" i="17"/>
  <c r="W242" i="17"/>
  <c r="W226" i="17"/>
  <c r="W210" i="17"/>
  <c r="W202" i="17"/>
  <c r="W194" i="17"/>
  <c r="W186" i="17"/>
  <c r="W178" i="17"/>
  <c r="W170" i="17"/>
  <c r="W162" i="17"/>
  <c r="W154" i="17"/>
  <c r="W146" i="17"/>
  <c r="W138" i="17"/>
  <c r="W130" i="17"/>
  <c r="W123" i="17"/>
  <c r="W119" i="17"/>
  <c r="W115" i="17"/>
  <c r="W111" i="17"/>
  <c r="W107" i="17"/>
  <c r="W103" i="17"/>
  <c r="W99" i="17"/>
  <c r="W95" i="17"/>
  <c r="W91" i="17"/>
  <c r="W87" i="17"/>
  <c r="W83" i="17"/>
  <c r="W79" i="17"/>
  <c r="W75" i="17"/>
  <c r="W71" i="17"/>
  <c r="W67" i="17"/>
  <c r="W63" i="17"/>
  <c r="W59" i="17"/>
  <c r="W55" i="17"/>
  <c r="W51" i="17"/>
  <c r="W47" i="17"/>
  <c r="W43" i="17"/>
  <c r="W39" i="17"/>
  <c r="W35" i="17"/>
  <c r="W31" i="17"/>
  <c r="W27" i="17"/>
  <c r="W374" i="17"/>
  <c r="W358" i="17"/>
  <c r="W342" i="17"/>
  <c r="W326" i="17"/>
  <c r="W310" i="17"/>
  <c r="W294" i="17"/>
  <c r="W278" i="17"/>
  <c r="W262" i="17"/>
  <c r="W246" i="17"/>
  <c r="W230" i="17"/>
  <c r="W214" i="17"/>
  <c r="W204" i="17"/>
  <c r="W196" i="17"/>
  <c r="W188" i="17"/>
  <c r="W180" i="17"/>
  <c r="W172" i="17"/>
  <c r="W164" i="17"/>
  <c r="W156" i="17"/>
  <c r="W148" i="17"/>
  <c r="W140" i="17"/>
  <c r="W132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" i="17"/>
  <c r="W32" i="17"/>
  <c r="W28" i="17"/>
  <c r="W24" i="17"/>
  <c r="W20" i="17"/>
  <c r="W16" i="17"/>
  <c r="W19" i="17"/>
  <c r="W17" i="17"/>
  <c r="W373" i="17"/>
  <c r="W357" i="17"/>
  <c r="W341" i="17"/>
  <c r="W325" i="17"/>
  <c r="W309" i="17"/>
  <c r="W293" i="17"/>
  <c r="W277" i="17"/>
  <c r="W261" i="17"/>
  <c r="W245" i="17"/>
  <c r="W229" i="17"/>
  <c r="W213" i="17"/>
  <c r="W352" i="17"/>
  <c r="W320" i="17"/>
  <c r="W288" i="17"/>
  <c r="W256" i="17"/>
  <c r="W224" i="17"/>
  <c r="W201" i="17"/>
  <c r="W185" i="17"/>
  <c r="W169" i="17"/>
  <c r="W153" i="17"/>
  <c r="W137" i="17"/>
  <c r="W378" i="17"/>
  <c r="W346" i="17"/>
  <c r="W314" i="17"/>
  <c r="W282" i="17"/>
  <c r="W250" i="17"/>
  <c r="W218" i="17"/>
  <c r="W198" i="17"/>
  <c r="W182" i="17"/>
  <c r="W166" i="17"/>
  <c r="W150" i="17"/>
  <c r="W134" i="17"/>
  <c r="W121" i="17"/>
  <c r="W113" i="17"/>
  <c r="W105" i="17"/>
  <c r="W97" i="17"/>
  <c r="W89" i="17"/>
  <c r="W81" i="17"/>
  <c r="W73" i="17"/>
  <c r="W65" i="17"/>
  <c r="W57" i="17"/>
  <c r="W49" i="17"/>
  <c r="W41" i="17"/>
  <c r="W33" i="17"/>
  <c r="W25" i="17"/>
  <c r="W350" i="17"/>
  <c r="W318" i="17"/>
  <c r="W286" i="17"/>
  <c r="W254" i="17"/>
  <c r="W222" i="17"/>
  <c r="W200" i="17"/>
  <c r="W184" i="17"/>
  <c r="W168" i="17"/>
  <c r="W152" i="17"/>
  <c r="W136" i="17"/>
  <c r="W122" i="17"/>
  <c r="W114" i="17"/>
  <c r="W106" i="17"/>
  <c r="W98" i="17"/>
  <c r="W90" i="17"/>
  <c r="W82" i="17"/>
  <c r="W74" i="17"/>
  <c r="W66" i="17"/>
  <c r="W58" i="17"/>
  <c r="W50" i="17"/>
  <c r="W42" i="17"/>
  <c r="W34" i="17"/>
  <c r="W26" i="17"/>
  <c r="W18" i="17"/>
  <c r="W330" i="17"/>
  <c r="W145" i="17"/>
  <c r="W365" i="17"/>
  <c r="W333" i="17"/>
  <c r="W301" i="17"/>
  <c r="W269" i="17"/>
  <c r="W237" i="17"/>
  <c r="W368" i="17"/>
  <c r="W304" i="17"/>
  <c r="W240" i="17"/>
  <c r="W193" i="17"/>
  <c r="W161" i="17"/>
  <c r="W129" i="17"/>
  <c r="W266" i="17"/>
  <c r="W206" i="17"/>
  <c r="W174" i="17"/>
  <c r="W142" i="17"/>
  <c r="W117" i="17"/>
  <c r="W101" i="17"/>
  <c r="W85" i="17"/>
  <c r="W69" i="17"/>
  <c r="W53" i="17"/>
  <c r="W37" i="17"/>
  <c r="W366" i="17"/>
  <c r="W302" i="17"/>
  <c r="W238" i="17"/>
  <c r="W192" i="17"/>
  <c r="W160" i="17"/>
  <c r="W128" i="17"/>
  <c r="W110" i="17"/>
  <c r="W94" i="17"/>
  <c r="W78" i="17"/>
  <c r="W62" i="17"/>
  <c r="W46" i="17"/>
  <c r="W30" i="17"/>
  <c r="W23" i="17"/>
  <c r="W21" i="17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W102" i="17"/>
  <c r="W176" i="17"/>
  <c r="W208" i="17"/>
  <c r="W118" i="17"/>
  <c r="W158" i="17"/>
  <c r="W29" i="17"/>
  <c r="W349" i="17"/>
  <c r="W285" i="17"/>
  <c r="W221" i="17"/>
  <c r="W272" i="17"/>
  <c r="W177" i="17"/>
  <c r="W362" i="17"/>
  <c r="W234" i="17"/>
  <c r="W109" i="17"/>
  <c r="W77" i="17"/>
  <c r="D77" i="17"/>
  <c r="E77" i="17" s="1"/>
  <c r="F77" i="17" s="1"/>
  <c r="W45" i="17"/>
  <c r="W334" i="17"/>
  <c r="W144" i="17"/>
  <c r="W70" i="17"/>
  <c r="W38" i="17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C240" i="6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C87" i="6" s="1"/>
  <c r="D203" i="17"/>
  <c r="E203" i="17" s="1"/>
  <c r="F203" i="17" s="1"/>
  <c r="W22" i="17"/>
  <c r="W190" i="17"/>
  <c r="W93" i="17"/>
  <c r="W209" i="17"/>
  <c r="W126" i="17"/>
  <c r="W336" i="17"/>
  <c r="W61" i="17"/>
  <c r="W317" i="17"/>
  <c r="W86" i="17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C93" i="6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W298" i="17"/>
  <c r="D264" i="17"/>
  <c r="E264" i="17" s="1"/>
  <c r="F264" i="17" s="1"/>
  <c r="H264" i="17" s="1"/>
  <c r="W253" i="17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W54" i="17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W270" i="17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E105" i="17" s="1"/>
  <c r="F105" i="17" s="1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B174" i="18"/>
  <c r="B174" i="20" s="1"/>
  <c r="B232" i="18"/>
  <c r="B132" i="18"/>
  <c r="W132" i="18" s="1"/>
  <c r="B76" i="18"/>
  <c r="B38" i="18"/>
  <c r="W38" i="18" s="1"/>
  <c r="B295" i="18"/>
  <c r="B153" i="18"/>
  <c r="D153" i="18" s="1"/>
  <c r="E153" i="18" s="1"/>
  <c r="F153" i="18" s="1"/>
  <c r="B81" i="18"/>
  <c r="B100" i="18"/>
  <c r="B100" i="20" s="1"/>
  <c r="B62" i="18"/>
  <c r="B251" i="18"/>
  <c r="W251" i="18" s="1"/>
  <c r="B73" i="18"/>
  <c r="B331" i="18"/>
  <c r="W331" i="18" s="1"/>
  <c r="B309" i="18"/>
  <c r="B235" i="18"/>
  <c r="B235" i="20" s="1"/>
  <c r="B332" i="18"/>
  <c r="B32" i="18"/>
  <c r="B32" i="20" s="1"/>
  <c r="B125" i="18"/>
  <c r="B103" i="18"/>
  <c r="B103" i="20" s="1"/>
  <c r="B321" i="18"/>
  <c r="B229" i="18"/>
  <c r="B229" i="20" s="1"/>
  <c r="B157" i="18"/>
  <c r="B52" i="18"/>
  <c r="B52" i="20" s="1"/>
  <c r="B163" i="18"/>
  <c r="B353" i="18"/>
  <c r="B374" i="18"/>
  <c r="B152" i="18"/>
  <c r="W152" i="18" s="1"/>
  <c r="B98" i="18"/>
  <c r="B306" i="18"/>
  <c r="W306" i="18" s="1"/>
  <c r="B311" i="18"/>
  <c r="B305" i="18"/>
  <c r="B305" i="20" s="1"/>
  <c r="B236" i="18"/>
  <c r="B299" i="18"/>
  <c r="W299" i="18" s="1"/>
  <c r="B310" i="18"/>
  <c r="B252" i="18"/>
  <c r="B252" i="20" s="1"/>
  <c r="B182" i="18"/>
  <c r="B207" i="18"/>
  <c r="B207" i="20" s="1"/>
  <c r="B378" i="18"/>
  <c r="B204" i="18"/>
  <c r="B204" i="20" s="1"/>
  <c r="B289" i="18"/>
  <c r="B205" i="18"/>
  <c r="W205" i="18" s="1"/>
  <c r="B90" i="18"/>
  <c r="B222" i="18"/>
  <c r="B222" i="20" s="1"/>
  <c r="B78" i="18"/>
  <c r="B64" i="18"/>
  <c r="W64" i="18" s="1"/>
  <c r="B137" i="18"/>
  <c r="B366" i="18"/>
  <c r="W366" i="18" s="1"/>
  <c r="B362" i="18"/>
  <c r="B358" i="18"/>
  <c r="W358" i="18" s="1"/>
  <c r="B356" i="18"/>
  <c r="B342" i="18"/>
  <c r="B342" i="20" s="1"/>
  <c r="B340" i="18"/>
  <c r="B338" i="18"/>
  <c r="W338" i="18" s="1"/>
  <c r="B314" i="18"/>
  <c r="B312" i="18"/>
  <c r="D312" i="18" s="1"/>
  <c r="E312" i="18" s="1"/>
  <c r="F312" i="18" s="1"/>
  <c r="B290" i="18"/>
  <c r="B286" i="18"/>
  <c r="B286" i="20" s="1"/>
  <c r="B264" i="18"/>
  <c r="B242" i="18"/>
  <c r="B242" i="20" s="1"/>
  <c r="B240" i="18"/>
  <c r="B224" i="18"/>
  <c r="W224" i="18" s="1"/>
  <c r="B214" i="18"/>
  <c r="B212" i="18"/>
  <c r="W212" i="18" s="1"/>
  <c r="B206" i="18"/>
  <c r="B200" i="18"/>
  <c r="B200" i="20" s="1"/>
  <c r="B198" i="18"/>
  <c r="B190" i="18"/>
  <c r="B190" i="20" s="1"/>
  <c r="B186" i="18"/>
  <c r="B168" i="18"/>
  <c r="W168" i="18" s="1"/>
  <c r="B162" i="18"/>
  <c r="B158" i="18"/>
  <c r="B158" i="20" s="1"/>
  <c r="B156" i="18"/>
  <c r="B134" i="18"/>
  <c r="B134" i="20" s="1"/>
  <c r="B102" i="18"/>
  <c r="B82" i="18"/>
  <c r="B82" i="20" s="1"/>
  <c r="B72" i="18"/>
  <c r="B68" i="18"/>
  <c r="W68" i="18" s="1"/>
  <c r="B58" i="18"/>
  <c r="B54" i="18"/>
  <c r="W54" i="18" s="1"/>
  <c r="B44" i="18"/>
  <c r="B40" i="18"/>
  <c r="B40" i="20" s="1"/>
  <c r="B36" i="18"/>
  <c r="B30" i="18"/>
  <c r="W30" i="18" s="1"/>
  <c r="B24" i="18"/>
  <c r="B377" i="18"/>
  <c r="W377" i="18" s="1"/>
  <c r="B355" i="18"/>
  <c r="B351" i="18"/>
  <c r="W351" i="18" s="1"/>
  <c r="B345" i="18"/>
  <c r="B343" i="18"/>
  <c r="B343" i="20" s="1"/>
  <c r="B329" i="18"/>
  <c r="W329" i="18" s="1"/>
  <c r="B315" i="18"/>
  <c r="B297" i="18"/>
  <c r="W297" i="18" s="1"/>
  <c r="B279" i="18"/>
  <c r="B243" i="18"/>
  <c r="W243" i="18" s="1"/>
  <c r="B239" i="18"/>
  <c r="B237" i="18"/>
  <c r="W237" i="18" s="1"/>
  <c r="B225" i="18"/>
  <c r="B217" i="18"/>
  <c r="D217" i="18" s="1"/>
  <c r="E217" i="18" s="1"/>
  <c r="F217" i="18" s="1"/>
  <c r="B213" i="18"/>
  <c r="B199" i="18"/>
  <c r="B199" i="20" s="1"/>
  <c r="B165" i="18"/>
  <c r="B133" i="18"/>
  <c r="B129" i="18"/>
  <c r="W129" i="18" s="1"/>
  <c r="B121" i="18"/>
  <c r="B117" i="18"/>
  <c r="B117" i="20" s="1"/>
  <c r="B115" i="18"/>
  <c r="B113" i="18"/>
  <c r="B113" i="20" s="1"/>
  <c r="B109" i="18"/>
  <c r="B91" i="18"/>
  <c r="B91" i="20" s="1"/>
  <c r="B85" i="18"/>
  <c r="B57" i="18"/>
  <c r="B57" i="20" s="1"/>
  <c r="B51" i="18"/>
  <c r="B41" i="18"/>
  <c r="B41" i="20" s="1"/>
  <c r="B25" i="18"/>
  <c r="B26" i="18"/>
  <c r="W26" i="18" s="1"/>
  <c r="B370" i="18"/>
  <c r="B370" i="20" s="1"/>
  <c r="B364" i="18"/>
  <c r="B360" i="18"/>
  <c r="B360" i="20" s="1"/>
  <c r="B350" i="18"/>
  <c r="B344" i="18"/>
  <c r="W344" i="18" s="1"/>
  <c r="B330" i="18"/>
  <c r="B324" i="18"/>
  <c r="W324" i="18" s="1"/>
  <c r="B322" i="18"/>
  <c r="B304" i="18"/>
  <c r="B304" i="20" s="1"/>
  <c r="B292" i="18"/>
  <c r="B280" i="18"/>
  <c r="B280" i="20" s="1"/>
  <c r="B266" i="18"/>
  <c r="B262" i="18"/>
  <c r="W262" i="18" s="1"/>
  <c r="B256" i="18"/>
  <c r="B238" i="18"/>
  <c r="W238" i="18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D28" i="18" s="1"/>
  <c r="E28" i="18" s="1"/>
  <c r="F28" i="18" s="1"/>
  <c r="B27" i="18"/>
  <c r="B18" i="18"/>
  <c r="W18" i="18" s="1"/>
  <c r="B20" i="18"/>
  <c r="B288" i="18"/>
  <c r="B375" i="18"/>
  <c r="B375" i="20" s="1"/>
  <c r="B373" i="18"/>
  <c r="B359" i="18"/>
  <c r="W359" i="18" s="1"/>
  <c r="B357" i="18"/>
  <c r="B337" i="18"/>
  <c r="D337" i="18" s="1"/>
  <c r="E337" i="18" s="1"/>
  <c r="F337" i="18" s="1"/>
  <c r="B325" i="18"/>
  <c r="B313" i="18"/>
  <c r="W313" i="18" s="1"/>
  <c r="B307" i="18"/>
  <c r="B301" i="18"/>
  <c r="W301" i="18" s="1"/>
  <c r="B277" i="18"/>
  <c r="B269" i="18"/>
  <c r="W269" i="18" s="1"/>
  <c r="B267" i="18"/>
  <c r="B257" i="18"/>
  <c r="B257" i="20" s="1"/>
  <c r="B245" i="18"/>
  <c r="B231" i="18"/>
  <c r="W231" i="18" s="1"/>
  <c r="B223" i="18"/>
  <c r="B211" i="18"/>
  <c r="W211" i="18" s="1"/>
  <c r="B203" i="18"/>
  <c r="B193" i="18"/>
  <c r="W193" i="18" s="1"/>
  <c r="B191" i="18"/>
  <c r="B179" i="18"/>
  <c r="D179" i="18" s="1"/>
  <c r="E179" i="18" s="1"/>
  <c r="F179" i="18" s="1"/>
  <c r="B169" i="18"/>
  <c r="B151" i="18"/>
  <c r="B151" i="20" s="1"/>
  <c r="B143" i="18"/>
  <c r="B141" i="18"/>
  <c r="B141" i="20" s="1"/>
  <c r="B139" i="18"/>
  <c r="B107" i="18"/>
  <c r="B107" i="20" s="1"/>
  <c r="B65" i="18"/>
  <c r="B59" i="18"/>
  <c r="W59" i="18" s="1"/>
  <c r="B53" i="18"/>
  <c r="B39" i="18"/>
  <c r="B39" i="20" s="1"/>
  <c r="B372" i="18"/>
  <c r="B348" i="18"/>
  <c r="W348" i="18" s="1"/>
  <c r="B334" i="18"/>
  <c r="B326" i="18"/>
  <c r="W326" i="18" s="1"/>
  <c r="B300" i="18"/>
  <c r="W300" i="18" s="1"/>
  <c r="B296" i="18"/>
  <c r="B294" i="18"/>
  <c r="W294" i="18" s="1"/>
  <c r="B250" i="18"/>
  <c r="B228" i="18"/>
  <c r="W228" i="18" s="1"/>
  <c r="B218" i="18"/>
  <c r="B192" i="18"/>
  <c r="W192" i="18" s="1"/>
  <c r="B188" i="18"/>
  <c r="B164" i="18"/>
  <c r="W164" i="18" s="1"/>
  <c r="B148" i="18"/>
  <c r="B146" i="18"/>
  <c r="B146" i="20" s="1"/>
  <c r="B144" i="18"/>
  <c r="B142" i="18"/>
  <c r="B142" i="20" s="1"/>
  <c r="B126" i="18"/>
  <c r="B120" i="18"/>
  <c r="W120" i="18" s="1"/>
  <c r="B112" i="18"/>
  <c r="B108" i="18"/>
  <c r="W108" i="18" s="1"/>
  <c r="B96" i="18"/>
  <c r="B94" i="18"/>
  <c r="W94" i="18" s="1"/>
  <c r="B86" i="18"/>
  <c r="B80" i="18"/>
  <c r="B80" i="20" s="1"/>
  <c r="B34" i="18"/>
  <c r="B371" i="18"/>
  <c r="B341" i="18"/>
  <c r="B341" i="20" s="1"/>
  <c r="B339" i="18"/>
  <c r="B327" i="18"/>
  <c r="W327" i="18" s="1"/>
  <c r="B303" i="18"/>
  <c r="B293" i="18"/>
  <c r="B293" i="20" s="1"/>
  <c r="B291" i="18"/>
  <c r="B285" i="18"/>
  <c r="B285" i="20" s="1"/>
  <c r="B275" i="18"/>
  <c r="B259" i="18"/>
  <c r="W259" i="18" s="1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W131" i="18" s="1"/>
  <c r="B123" i="18"/>
  <c r="B93" i="18"/>
  <c r="B93" i="20" s="1"/>
  <c r="B87" i="18"/>
  <c r="B79" i="18"/>
  <c r="W79" i="18" s="1"/>
  <c r="B71" i="18"/>
  <c r="B69" i="18"/>
  <c r="W69" i="18" s="1"/>
  <c r="B49" i="18"/>
  <c r="B47" i="18"/>
  <c r="B47" i="20" s="1"/>
  <c r="B45" i="18"/>
  <c r="B33" i="18"/>
  <c r="B33" i="20" s="1"/>
  <c r="B31" i="18"/>
  <c r="B23" i="18"/>
  <c r="W23" i="18" s="1"/>
  <c r="B21" i="18"/>
  <c r="B258" i="18"/>
  <c r="W258" i="18" s="1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D270" i="18" s="1"/>
  <c r="E270" i="18" s="1"/>
  <c r="F270" i="18" s="1"/>
  <c r="B268" i="18"/>
  <c r="B260" i="18"/>
  <c r="B260" i="20" s="1"/>
  <c r="B254" i="18"/>
  <c r="B246" i="18"/>
  <c r="B230" i="18"/>
  <c r="B230" i="20" s="1"/>
  <c r="B220" i="18"/>
  <c r="B178" i="18"/>
  <c r="B178" i="20" s="1"/>
  <c r="B176" i="18"/>
  <c r="B170" i="18"/>
  <c r="W170" i="18" s="1"/>
  <c r="B140" i="18"/>
  <c r="B136" i="18"/>
  <c r="D136" i="18" s="1"/>
  <c r="E136" i="18" s="1"/>
  <c r="F136" i="18" s="1"/>
  <c r="B128" i="18"/>
  <c r="B118" i="18"/>
  <c r="B118" i="20" s="1"/>
  <c r="B110" i="18"/>
  <c r="B106" i="18"/>
  <c r="B106" i="20" s="1"/>
  <c r="B104" i="18"/>
  <c r="B92" i="18"/>
  <c r="W92" i="18" s="1"/>
  <c r="B84" i="18"/>
  <c r="B70" i="18"/>
  <c r="W70" i="18" s="1"/>
  <c r="B56" i="18"/>
  <c r="B50" i="18"/>
  <c r="W50" i="18" s="1"/>
  <c r="B42" i="18"/>
  <c r="B361" i="18"/>
  <c r="B323" i="18"/>
  <c r="W323" i="18" s="1"/>
  <c r="B317" i="18"/>
  <c r="B281" i="18"/>
  <c r="B281" i="20" s="1"/>
  <c r="B273" i="18"/>
  <c r="B271" i="18"/>
  <c r="B271" i="20" s="1"/>
  <c r="B263" i="18"/>
  <c r="B255" i="18"/>
  <c r="W255" i="18" s="1"/>
  <c r="B249" i="18"/>
  <c r="B247" i="18"/>
  <c r="B247" i="20" s="1"/>
  <c r="B219" i="18"/>
  <c r="B197" i="18"/>
  <c r="W197" i="18" s="1"/>
  <c r="B185" i="18"/>
  <c r="B183" i="18"/>
  <c r="W183" i="18" s="1"/>
  <c r="B173" i="18"/>
  <c r="B167" i="18"/>
  <c r="D167" i="18" s="1"/>
  <c r="E167" i="18" s="1"/>
  <c r="F167" i="18" s="1"/>
  <c r="B159" i="18"/>
  <c r="B155" i="18"/>
  <c r="W155" i="18" s="1"/>
  <c r="B127" i="18"/>
  <c r="B101" i="18"/>
  <c r="W101" i="18" s="1"/>
  <c r="B99" i="18"/>
  <c r="B97" i="18"/>
  <c r="W97" i="18" s="1"/>
  <c r="B89" i="18"/>
  <c r="B83" i="18"/>
  <c r="B83" i="20" s="1"/>
  <c r="B77" i="18"/>
  <c r="B63" i="18"/>
  <c r="B63" i="20" s="1"/>
  <c r="B61" i="18"/>
  <c r="B55" i="18"/>
  <c r="D55" i="18" s="1"/>
  <c r="E55" i="18" s="1"/>
  <c r="F55" i="18" s="1"/>
  <c r="B37" i="18"/>
  <c r="B88" i="18"/>
  <c r="B19" i="18"/>
  <c r="W19" i="18" s="1"/>
  <c r="B265" i="18"/>
  <c r="W265" i="18" s="1"/>
  <c r="B287" i="18"/>
  <c r="B130" i="18"/>
  <c r="B130" i="20" s="1"/>
  <c r="B161" i="18"/>
  <c r="B175" i="18"/>
  <c r="B175" i="20" s="1"/>
  <c r="B253" i="18"/>
  <c r="B116" i="18"/>
  <c r="W116" i="18" s="1"/>
  <c r="B244" i="18"/>
  <c r="B284" i="18"/>
  <c r="W284" i="18" s="1"/>
  <c r="B369" i="18"/>
  <c r="B241" i="18"/>
  <c r="B241" i="20" s="1"/>
  <c r="B210" i="18"/>
  <c r="B302" i="18"/>
  <c r="B302" i="20" s="1"/>
  <c r="B189" i="18"/>
  <c r="B189" i="20" s="1"/>
  <c r="B347" i="18"/>
  <c r="B367" i="18"/>
  <c r="W367" i="18" s="1"/>
  <c r="B114" i="18"/>
  <c r="B154" i="18"/>
  <c r="B154" i="20" s="1"/>
  <c r="B376" i="18"/>
  <c r="B335" i="18"/>
  <c r="W335" i="18" s="1"/>
  <c r="B66" i="18"/>
  <c r="B66" i="20" s="1"/>
  <c r="B194" i="18"/>
  <c r="B368" i="18"/>
  <c r="B368" i="20" s="1"/>
  <c r="B135" i="18"/>
  <c r="B272" i="18"/>
  <c r="B95" i="18"/>
  <c r="W95" i="18" s="1"/>
  <c r="B171" i="18"/>
  <c r="B278" i="18"/>
  <c r="B278" i="20" s="1"/>
  <c r="B346" i="18"/>
  <c r="B43" i="18"/>
  <c r="W43" i="18" s="1"/>
  <c r="B75" i="18"/>
  <c r="B111" i="18"/>
  <c r="B111" i="20" s="1"/>
  <c r="B283" i="18"/>
  <c r="B216" i="18"/>
  <c r="W216" i="18" s="1"/>
  <c r="B261" i="18"/>
  <c r="B17" i="18"/>
  <c r="B17" i="20" s="1"/>
  <c r="B248" i="18"/>
  <c r="B354" i="18"/>
  <c r="B354" i="20" s="1"/>
  <c r="B74" i="18"/>
  <c r="B319" i="18"/>
  <c r="B319" i="20" s="1"/>
  <c r="B22" i="18"/>
  <c r="B227" i="18"/>
  <c r="W227" i="18" s="1"/>
  <c r="B349" i="18"/>
  <c r="B166" i="18"/>
  <c r="B166" i="20" s="1"/>
  <c r="B46" i="18"/>
  <c r="B35" i="18"/>
  <c r="W35" i="18" s="1"/>
  <c r="B67" i="18"/>
  <c r="B177" i="18"/>
  <c r="B177" i="20" s="1"/>
  <c r="B208" i="18"/>
  <c r="W208" i="18" s="1"/>
  <c r="B226" i="18"/>
  <c r="B298" i="18"/>
  <c r="B298" i="20" s="1"/>
  <c r="B187" i="18"/>
  <c r="B16" i="18"/>
  <c r="W16" i="18" s="1"/>
  <c r="B150" i="18"/>
  <c r="B316" i="18"/>
  <c r="W316" i="18" s="1"/>
  <c r="B365" i="18"/>
  <c r="B105" i="18"/>
  <c r="B105" i="20" s="1"/>
  <c r="B29" i="18"/>
  <c r="B149" i="18"/>
  <c r="B149" i="20" s="1"/>
  <c r="B333" i="18"/>
  <c r="B180" i="18"/>
  <c r="D180" i="18" s="1"/>
  <c r="E180" i="18" s="1"/>
  <c r="F180" i="18" s="1"/>
  <c r="B196" i="18"/>
  <c r="B60" i="18"/>
  <c r="B363" i="18"/>
  <c r="W363" i="18" s="1"/>
  <c r="B379" i="18"/>
  <c r="B379" i="20" s="1"/>
  <c r="B119" i="18"/>
  <c r="AD383" i="25" l="1"/>
  <c r="AD381" i="25"/>
  <c r="AD382" i="25"/>
  <c r="P383" i="25"/>
  <c r="P381" i="25"/>
  <c r="P382" i="25"/>
  <c r="V15" i="25"/>
  <c r="N69" i="19"/>
  <c r="B28" i="20"/>
  <c r="D28" i="20" s="1"/>
  <c r="E28" i="20" s="1"/>
  <c r="F28" i="20" s="1"/>
  <c r="B132" i="20"/>
  <c r="B132" i="22" s="1"/>
  <c r="B108" i="20"/>
  <c r="D108" i="20" s="1"/>
  <c r="E108" i="20" s="1"/>
  <c r="F108" i="20" s="1"/>
  <c r="B193" i="20"/>
  <c r="W193" i="20" s="1"/>
  <c r="B237" i="20"/>
  <c r="D237" i="20" s="1"/>
  <c r="E237" i="20" s="1"/>
  <c r="F237" i="20" s="1"/>
  <c r="B30" i="20"/>
  <c r="D30" i="20" s="1"/>
  <c r="E30" i="20" s="1"/>
  <c r="F30" i="20" s="1"/>
  <c r="B363" i="20"/>
  <c r="D363" i="20" s="1"/>
  <c r="E363" i="20" s="1"/>
  <c r="F363" i="20" s="1"/>
  <c r="B180" i="20"/>
  <c r="D180" i="20" s="1"/>
  <c r="E180" i="20" s="1"/>
  <c r="F180" i="20" s="1"/>
  <c r="B300" i="20"/>
  <c r="W300" i="20" s="1"/>
  <c r="B326" i="20"/>
  <c r="W326" i="20" s="1"/>
  <c r="B359" i="20"/>
  <c r="D359" i="20" s="1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B16" i="20"/>
  <c r="B16" i="22" s="1"/>
  <c r="B335" i="20"/>
  <c r="D335" i="20" s="1"/>
  <c r="E335" i="20" s="1"/>
  <c r="F335" i="20" s="1"/>
  <c r="B116" i="20"/>
  <c r="D116" i="20" s="1"/>
  <c r="E116" i="20" s="1"/>
  <c r="F116" i="20" s="1"/>
  <c r="B155" i="20"/>
  <c r="W155" i="20" s="1"/>
  <c r="B323" i="20"/>
  <c r="W323" i="20" s="1"/>
  <c r="B50" i="20"/>
  <c r="D50" i="20" s="1"/>
  <c r="E50" i="20" s="1"/>
  <c r="F50" i="20" s="1"/>
  <c r="B164" i="20"/>
  <c r="W164" i="20" s="1"/>
  <c r="B269" i="20"/>
  <c r="D269" i="20" s="1"/>
  <c r="E269" i="20" s="1"/>
  <c r="F269" i="20" s="1"/>
  <c r="B26" i="20"/>
  <c r="B26" i="22" s="1"/>
  <c r="B152" i="20"/>
  <c r="W152" i="20" s="1"/>
  <c r="B251" i="20"/>
  <c r="B251" i="22" s="1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B208" i="20"/>
  <c r="W208" i="20" s="1"/>
  <c r="B367" i="20"/>
  <c r="W367" i="20" s="1"/>
  <c r="B97" i="20"/>
  <c r="W97" i="20" s="1"/>
  <c r="B183" i="20"/>
  <c r="D183" i="20" s="1"/>
  <c r="E183" i="20" s="1"/>
  <c r="F183" i="20" s="1"/>
  <c r="B92" i="20"/>
  <c r="D92" i="20" s="1"/>
  <c r="E92" i="20" s="1"/>
  <c r="F92" i="20" s="1"/>
  <c r="B170" i="20"/>
  <c r="W170" i="20" s="1"/>
  <c r="B258" i="20"/>
  <c r="W258" i="20" s="1"/>
  <c r="B69" i="20"/>
  <c r="B69" i="22" s="1"/>
  <c r="B259" i="20"/>
  <c r="D259" i="20" s="1"/>
  <c r="E259" i="20" s="1"/>
  <c r="F259" i="20" s="1"/>
  <c r="B228" i="20"/>
  <c r="D228" i="20" s="1"/>
  <c r="E228" i="20" s="1"/>
  <c r="F228" i="20" s="1"/>
  <c r="B231" i="20"/>
  <c r="D231" i="20" s="1"/>
  <c r="E231" i="20" s="1"/>
  <c r="F231" i="20" s="1"/>
  <c r="B313" i="20"/>
  <c r="B313" i="22" s="1"/>
  <c r="B262" i="20"/>
  <c r="B262" i="22" s="1"/>
  <c r="B344" i="20"/>
  <c r="W344" i="20" s="1"/>
  <c r="B129" i="20"/>
  <c r="W129" i="20" s="1"/>
  <c r="B297" i="20"/>
  <c r="W297" i="20" s="1"/>
  <c r="B351" i="20"/>
  <c r="W351" i="20" s="1"/>
  <c r="B54" i="20"/>
  <c r="D54" i="20" s="1"/>
  <c r="E54" i="20" s="1"/>
  <c r="F54" i="20" s="1"/>
  <c r="B212" i="20"/>
  <c r="W212" i="20" s="1"/>
  <c r="B312" i="20"/>
  <c r="W312" i="20" s="1"/>
  <c r="B366" i="20"/>
  <c r="D366" i="20" s="1"/>
  <c r="E366" i="20" s="1"/>
  <c r="F366" i="20" s="1"/>
  <c r="B153" i="20"/>
  <c r="D153" i="20" s="1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C252" i="6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B316" i="20"/>
  <c r="W316" i="20" s="1"/>
  <c r="B35" i="20"/>
  <c r="W35" i="20" s="1"/>
  <c r="B227" i="20"/>
  <c r="W227" i="20" s="1"/>
  <c r="B216" i="20"/>
  <c r="W216" i="20" s="1"/>
  <c r="B43" i="20"/>
  <c r="D43" i="20" s="1"/>
  <c r="E43" i="20" s="1"/>
  <c r="F43" i="20" s="1"/>
  <c r="B95" i="20"/>
  <c r="D95" i="20" s="1"/>
  <c r="E95" i="20" s="1"/>
  <c r="F95" i="20" s="1"/>
  <c r="B284" i="20"/>
  <c r="W284" i="20" s="1"/>
  <c r="B265" i="20"/>
  <c r="W265" i="20" s="1"/>
  <c r="B19" i="20"/>
  <c r="W19" i="20" s="1"/>
  <c r="B55" i="20"/>
  <c r="W55" i="20" s="1"/>
  <c r="B101" i="20"/>
  <c r="B101" i="22" s="1"/>
  <c r="B167" i="20"/>
  <c r="W167" i="20" s="1"/>
  <c r="B197" i="20"/>
  <c r="D197" i="20" s="1"/>
  <c r="E197" i="20" s="1"/>
  <c r="F197" i="20" s="1"/>
  <c r="B255" i="20"/>
  <c r="D255" i="20" s="1"/>
  <c r="E255" i="20" s="1"/>
  <c r="F255" i="20" s="1"/>
  <c r="B70" i="20"/>
  <c r="W70" i="20" s="1"/>
  <c r="B136" i="20"/>
  <c r="D136" i="20" s="1"/>
  <c r="E136" i="20" s="1"/>
  <c r="F136" i="20" s="1"/>
  <c r="B270" i="20"/>
  <c r="D270" i="20" s="1"/>
  <c r="E270" i="20" s="1"/>
  <c r="F270" i="20" s="1"/>
  <c r="B23" i="20"/>
  <c r="W23" i="20" s="1"/>
  <c r="B79" i="20"/>
  <c r="D79" i="20" s="1"/>
  <c r="E79" i="20" s="1"/>
  <c r="F79" i="20" s="1"/>
  <c r="B131" i="20"/>
  <c r="W131" i="20" s="1"/>
  <c r="B327" i="20"/>
  <c r="W327" i="20" s="1"/>
  <c r="B94" i="20"/>
  <c r="D94" i="20" s="1"/>
  <c r="E94" i="20" s="1"/>
  <c r="F94" i="20" s="1"/>
  <c r="B120" i="20"/>
  <c r="B120" i="22" s="1"/>
  <c r="B192" i="20"/>
  <c r="D192" i="20" s="1"/>
  <c r="E192" i="20" s="1"/>
  <c r="F192" i="20" s="1"/>
  <c r="B294" i="20"/>
  <c r="W294" i="20" s="1"/>
  <c r="B348" i="20"/>
  <c r="W348" i="20" s="1"/>
  <c r="D39" i="18"/>
  <c r="E39" i="18" s="1"/>
  <c r="F39" i="18" s="1"/>
  <c r="AA39" i="18" s="1"/>
  <c r="Z39" i="18" s="1"/>
  <c r="Y39" i="18" s="1"/>
  <c r="W39" i="18"/>
  <c r="B59" i="20"/>
  <c r="D59" i="20" s="1"/>
  <c r="E59" i="20" s="1"/>
  <c r="F59" i="20" s="1"/>
  <c r="B179" i="20"/>
  <c r="W179" i="20" s="1"/>
  <c r="B211" i="20"/>
  <c r="D211" i="20" s="1"/>
  <c r="E211" i="20" s="1"/>
  <c r="F211" i="20" s="1"/>
  <c r="B301" i="20"/>
  <c r="W301" i="20" s="1"/>
  <c r="B337" i="20"/>
  <c r="D337" i="20" s="1"/>
  <c r="E337" i="20" s="1"/>
  <c r="F337" i="20" s="1"/>
  <c r="B18" i="20"/>
  <c r="D18" i="20" s="1"/>
  <c r="E18" i="20" s="1"/>
  <c r="F18" i="20" s="1"/>
  <c r="B238" i="20"/>
  <c r="B238" i="22" s="1"/>
  <c r="B324" i="20"/>
  <c r="W324" i="20" s="1"/>
  <c r="B217" i="20"/>
  <c r="B217" i="22" s="1"/>
  <c r="B243" i="20"/>
  <c r="W243" i="20" s="1"/>
  <c r="B329" i="20"/>
  <c r="D329" i="20" s="1"/>
  <c r="E329" i="20" s="1"/>
  <c r="F329" i="20" s="1"/>
  <c r="B377" i="20"/>
  <c r="D377" i="20" s="1"/>
  <c r="E377" i="20" s="1"/>
  <c r="F377" i="20" s="1"/>
  <c r="B68" i="20"/>
  <c r="B68" i="22" s="1"/>
  <c r="B168" i="20"/>
  <c r="D168" i="20" s="1"/>
  <c r="E168" i="20" s="1"/>
  <c r="F168" i="20" s="1"/>
  <c r="B224" i="20"/>
  <c r="W224" i="20" s="1"/>
  <c r="B338" i="20"/>
  <c r="W338" i="20" s="1"/>
  <c r="B358" i="20"/>
  <c r="D358" i="20" s="1"/>
  <c r="E358" i="20" s="1"/>
  <c r="F358" i="20" s="1"/>
  <c r="B64" i="20"/>
  <c r="W64" i="20" s="1"/>
  <c r="B205" i="20"/>
  <c r="D205" i="20" s="1"/>
  <c r="E205" i="20" s="1"/>
  <c r="F205" i="20" s="1"/>
  <c r="B299" i="20"/>
  <c r="B299" i="22" s="1"/>
  <c r="B306" i="20"/>
  <c r="D306" i="20" s="1"/>
  <c r="E306" i="20" s="1"/>
  <c r="F306" i="20" s="1"/>
  <c r="B353" i="20"/>
  <c r="W353" i="20" s="1"/>
  <c r="B331" i="20"/>
  <c r="D331" i="20" s="1"/>
  <c r="E331" i="20" s="1"/>
  <c r="F331" i="20" s="1"/>
  <c r="B38" i="20"/>
  <c r="W38" i="20" s="1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C267" i="6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B296" i="6" s="1"/>
  <c r="AA240" i="17"/>
  <c r="Z240" i="17" s="1"/>
  <c r="Y240" i="17" s="1"/>
  <c r="AA87" i="17"/>
  <c r="Z87" i="17" s="1"/>
  <c r="Y87" i="17" s="1"/>
  <c r="I87" i="17"/>
  <c r="B87" i="6" s="1"/>
  <c r="W379" i="20"/>
  <c r="D379" i="20"/>
  <c r="E379" i="20" s="1"/>
  <c r="F379" i="20" s="1"/>
  <c r="B379" i="22"/>
  <c r="B29" i="20"/>
  <c r="W29" i="18"/>
  <c r="D29" i="18"/>
  <c r="E29" i="18" s="1"/>
  <c r="F29" i="18" s="1"/>
  <c r="W150" i="18"/>
  <c r="D150" i="18"/>
  <c r="E150" i="18" s="1"/>
  <c r="F150" i="18" s="1"/>
  <c r="B150" i="20"/>
  <c r="W226" i="18"/>
  <c r="D226" i="18"/>
  <c r="E226" i="18" s="1"/>
  <c r="F226" i="18" s="1"/>
  <c r="B226" i="20"/>
  <c r="W177" i="20"/>
  <c r="D177" i="20"/>
  <c r="E177" i="20" s="1"/>
  <c r="F177" i="20" s="1"/>
  <c r="B177" i="22"/>
  <c r="W354" i="20"/>
  <c r="B354" i="22"/>
  <c r="D354" i="20"/>
  <c r="E354" i="20" s="1"/>
  <c r="F354" i="20" s="1"/>
  <c r="W283" i="18"/>
  <c r="D283" i="18"/>
  <c r="E283" i="18" s="1"/>
  <c r="F283" i="18" s="1"/>
  <c r="B283" i="20"/>
  <c r="W43" i="20"/>
  <c r="D135" i="18"/>
  <c r="E135" i="18" s="1"/>
  <c r="F135" i="18" s="1"/>
  <c r="W135" i="18"/>
  <c r="B135" i="20"/>
  <c r="W114" i="18"/>
  <c r="D114" i="18"/>
  <c r="E114" i="18" s="1"/>
  <c r="F114" i="18" s="1"/>
  <c r="B114" i="20"/>
  <c r="W210" i="18"/>
  <c r="D210" i="18"/>
  <c r="E210" i="18" s="1"/>
  <c r="F210" i="18" s="1"/>
  <c r="B210" i="20"/>
  <c r="W161" i="18"/>
  <c r="D161" i="18"/>
  <c r="E161" i="18" s="1"/>
  <c r="F161" i="18" s="1"/>
  <c r="B161" i="20"/>
  <c r="G55" i="18"/>
  <c r="CA55" i="6" s="1"/>
  <c r="AA55" i="18"/>
  <c r="Z55" i="18" s="1"/>
  <c r="Y55" i="18" s="1"/>
  <c r="W77" i="18"/>
  <c r="D77" i="18"/>
  <c r="E77" i="18" s="1"/>
  <c r="F77" i="18" s="1"/>
  <c r="B77" i="20"/>
  <c r="W99" i="18"/>
  <c r="D99" i="18"/>
  <c r="E99" i="18" s="1"/>
  <c r="F99" i="18" s="1"/>
  <c r="B99" i="20"/>
  <c r="D159" i="18"/>
  <c r="E159" i="18" s="1"/>
  <c r="F159" i="18" s="1"/>
  <c r="B159" i="20"/>
  <c r="W159" i="18"/>
  <c r="W247" i="20"/>
  <c r="B247" i="22"/>
  <c r="D247" i="20"/>
  <c r="E247" i="20" s="1"/>
  <c r="F247" i="20" s="1"/>
  <c r="W263" i="18"/>
  <c r="D263" i="18"/>
  <c r="E263" i="18" s="1"/>
  <c r="F263" i="18" s="1"/>
  <c r="B263" i="20"/>
  <c r="D281" i="20"/>
  <c r="E281" i="20" s="1"/>
  <c r="F281" i="20" s="1"/>
  <c r="B281" i="22"/>
  <c r="W281" i="20"/>
  <c r="W84" i="18"/>
  <c r="B84" i="20"/>
  <c r="D84" i="18"/>
  <c r="E84" i="18" s="1"/>
  <c r="F84" i="18" s="1"/>
  <c r="W106" i="20"/>
  <c r="D106" i="20"/>
  <c r="E106" i="20" s="1"/>
  <c r="F106" i="20" s="1"/>
  <c r="B106" i="22"/>
  <c r="W178" i="20"/>
  <c r="D178" i="20"/>
  <c r="E178" i="20" s="1"/>
  <c r="F178" i="20" s="1"/>
  <c r="B178" i="22"/>
  <c r="G270" i="18"/>
  <c r="CA270" i="6" s="1"/>
  <c r="AA270" i="18"/>
  <c r="Z270" i="18" s="1"/>
  <c r="Y270" i="18" s="1"/>
  <c r="W274" i="18"/>
  <c r="D274" i="18"/>
  <c r="E274" i="18" s="1"/>
  <c r="F274" i="18" s="1"/>
  <c r="B274" i="20"/>
  <c r="W318" i="18"/>
  <c r="B318" i="20"/>
  <c r="D318" i="18"/>
  <c r="E318" i="18" s="1"/>
  <c r="F318" i="18" s="1"/>
  <c r="W352" i="18"/>
  <c r="D352" i="18"/>
  <c r="E352" i="18" s="1"/>
  <c r="F352" i="18" s="1"/>
  <c r="B352" i="20"/>
  <c r="W33" i="20"/>
  <c r="D33" i="20"/>
  <c r="E33" i="20" s="1"/>
  <c r="F33" i="20" s="1"/>
  <c r="B33" i="22"/>
  <c r="W60" i="18"/>
  <c r="B60" i="20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B333" i="20"/>
  <c r="W149" i="20"/>
  <c r="D149" i="20"/>
  <c r="E149" i="20" s="1"/>
  <c r="F149" i="20" s="1"/>
  <c r="B149" i="22"/>
  <c r="W365" i="18"/>
  <c r="B365" i="20"/>
  <c r="D365" i="18"/>
  <c r="E365" i="18" s="1"/>
  <c r="F365" i="18" s="1"/>
  <c r="W187" i="18"/>
  <c r="D187" i="18"/>
  <c r="E187" i="18" s="1"/>
  <c r="F187" i="18" s="1"/>
  <c r="B187" i="20"/>
  <c r="D298" i="20"/>
  <c r="E298" i="20" s="1"/>
  <c r="F298" i="20" s="1"/>
  <c r="W298" i="20"/>
  <c r="B298" i="22"/>
  <c r="W46" i="18"/>
  <c r="D46" i="18"/>
  <c r="E46" i="18" s="1"/>
  <c r="F46" i="18" s="1"/>
  <c r="B46" i="20"/>
  <c r="W349" i="18"/>
  <c r="B349" i="20"/>
  <c r="D349" i="18"/>
  <c r="E349" i="18" s="1"/>
  <c r="F349" i="18" s="1"/>
  <c r="W319" i="20"/>
  <c r="D319" i="20"/>
  <c r="E319" i="20" s="1"/>
  <c r="F319" i="20" s="1"/>
  <c r="B319" i="22"/>
  <c r="W74" i="18"/>
  <c r="D74" i="18"/>
  <c r="E74" i="18" s="1"/>
  <c r="F74" i="18" s="1"/>
  <c r="B74" i="20"/>
  <c r="D17" i="20"/>
  <c r="E17" i="20" s="1"/>
  <c r="F17" i="20" s="1"/>
  <c r="W17" i="20"/>
  <c r="B17" i="22"/>
  <c r="W261" i="18"/>
  <c r="B261" i="20"/>
  <c r="D261" i="18"/>
  <c r="E261" i="18" s="1"/>
  <c r="F261" i="18" s="1"/>
  <c r="W111" i="20"/>
  <c r="D111" i="20"/>
  <c r="E111" i="20" s="1"/>
  <c r="F111" i="20" s="1"/>
  <c r="B111" i="22"/>
  <c r="W75" i="18"/>
  <c r="D75" i="18"/>
  <c r="E75" i="18" s="1"/>
  <c r="F75" i="18" s="1"/>
  <c r="B75" i="20"/>
  <c r="W278" i="20"/>
  <c r="B278" i="22"/>
  <c r="D278" i="20"/>
  <c r="E278" i="20" s="1"/>
  <c r="F278" i="20" s="1"/>
  <c r="W171" i="18"/>
  <c r="B171" i="20"/>
  <c r="D171" i="18"/>
  <c r="E171" i="18" s="1"/>
  <c r="F171" i="18" s="1"/>
  <c r="W194" i="18"/>
  <c r="D194" i="18"/>
  <c r="E194" i="18" s="1"/>
  <c r="F194" i="18" s="1"/>
  <c r="B194" i="20"/>
  <c r="W66" i="20"/>
  <c r="D66" i="20"/>
  <c r="E66" i="20" s="1"/>
  <c r="F66" i="20" s="1"/>
  <c r="B66" i="22"/>
  <c r="W335" i="20"/>
  <c r="W376" i="18"/>
  <c r="D376" i="18"/>
  <c r="E376" i="18" s="1"/>
  <c r="F376" i="18" s="1"/>
  <c r="B376" i="20"/>
  <c r="W347" i="18"/>
  <c r="D347" i="18"/>
  <c r="E347" i="18" s="1"/>
  <c r="F347" i="18" s="1"/>
  <c r="B347" i="20"/>
  <c r="W302" i="20"/>
  <c r="D302" i="20"/>
  <c r="E302" i="20" s="1"/>
  <c r="F302" i="20" s="1"/>
  <c r="B302" i="22"/>
  <c r="W369" i="18"/>
  <c r="D369" i="18"/>
  <c r="E369" i="18" s="1"/>
  <c r="F369" i="18" s="1"/>
  <c r="B369" i="20"/>
  <c r="W253" i="18"/>
  <c r="D253" i="18"/>
  <c r="E253" i="18" s="1"/>
  <c r="F253" i="18" s="1"/>
  <c r="B253" i="20"/>
  <c r="W175" i="20"/>
  <c r="D175" i="20"/>
  <c r="E175" i="20" s="1"/>
  <c r="F175" i="20" s="1"/>
  <c r="B175" i="22"/>
  <c r="W130" i="20"/>
  <c r="D130" i="20"/>
  <c r="E130" i="20" s="1"/>
  <c r="F130" i="20" s="1"/>
  <c r="B130" i="22"/>
  <c r="W287" i="18"/>
  <c r="B287" i="20"/>
  <c r="D287" i="18"/>
  <c r="E287" i="18" s="1"/>
  <c r="F287" i="18" s="1"/>
  <c r="W61" i="18"/>
  <c r="D61" i="18"/>
  <c r="E61" i="18" s="1"/>
  <c r="F61" i="18" s="1"/>
  <c r="B61" i="20"/>
  <c r="W83" i="20"/>
  <c r="D83" i="20"/>
  <c r="E83" i="20" s="1"/>
  <c r="F83" i="20" s="1"/>
  <c r="B83" i="22"/>
  <c r="W89" i="18"/>
  <c r="D89" i="18"/>
  <c r="E89" i="18" s="1"/>
  <c r="F89" i="18" s="1"/>
  <c r="B89" i="20"/>
  <c r="W127" i="18"/>
  <c r="D127" i="18"/>
  <c r="E127" i="18" s="1"/>
  <c r="F127" i="18" s="1"/>
  <c r="B127" i="20"/>
  <c r="W173" i="18"/>
  <c r="D173" i="18"/>
  <c r="E173" i="18" s="1"/>
  <c r="F173" i="18" s="1"/>
  <c r="B173" i="20"/>
  <c r="W219" i="18"/>
  <c r="D219" i="18"/>
  <c r="E219" i="18" s="1"/>
  <c r="F219" i="18" s="1"/>
  <c r="B219" i="20"/>
  <c r="W271" i="20"/>
  <c r="D271" i="20"/>
  <c r="E271" i="20" s="1"/>
  <c r="F271" i="20" s="1"/>
  <c r="B271" i="22"/>
  <c r="W273" i="18"/>
  <c r="D273" i="18"/>
  <c r="E273" i="18" s="1"/>
  <c r="F273" i="18" s="1"/>
  <c r="B273" i="20"/>
  <c r="W361" i="18"/>
  <c r="D361" i="18"/>
  <c r="E361" i="18" s="1"/>
  <c r="F361" i="18" s="1"/>
  <c r="B361" i="20"/>
  <c r="W50" i="20"/>
  <c r="W56" i="18"/>
  <c r="D56" i="18"/>
  <c r="E56" i="18" s="1"/>
  <c r="F56" i="18" s="1"/>
  <c r="B56" i="20"/>
  <c r="W104" i="18"/>
  <c r="D104" i="18"/>
  <c r="E104" i="18" s="1"/>
  <c r="F104" i="18" s="1"/>
  <c r="B104" i="20"/>
  <c r="W118" i="20"/>
  <c r="D118" i="20"/>
  <c r="E118" i="20" s="1"/>
  <c r="F118" i="20" s="1"/>
  <c r="B118" i="22"/>
  <c r="W128" i="18"/>
  <c r="B128" i="20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B176" i="20"/>
  <c r="W230" i="20"/>
  <c r="B230" i="22"/>
  <c r="D230" i="20"/>
  <c r="E230" i="20" s="1"/>
  <c r="F230" i="20" s="1"/>
  <c r="W246" i="18"/>
  <c r="B246" i="20"/>
  <c r="D246" i="18"/>
  <c r="E246" i="18" s="1"/>
  <c r="F246" i="18" s="1"/>
  <c r="W268" i="18"/>
  <c r="D268" i="18"/>
  <c r="E268" i="18" s="1"/>
  <c r="F268" i="18" s="1"/>
  <c r="B268" i="20"/>
  <c r="W282" i="18"/>
  <c r="B282" i="20"/>
  <c r="D282" i="18"/>
  <c r="E282" i="18" s="1"/>
  <c r="F282" i="18" s="1"/>
  <c r="W308" i="20"/>
  <c r="D308" i="20"/>
  <c r="E308" i="20" s="1"/>
  <c r="F308" i="20" s="1"/>
  <c r="B308" i="22"/>
  <c r="W328" i="18"/>
  <c r="D328" i="18"/>
  <c r="E328" i="18" s="1"/>
  <c r="F328" i="18" s="1"/>
  <c r="B328" i="20"/>
  <c r="W336" i="20"/>
  <c r="B336" i="22"/>
  <c r="D336" i="20"/>
  <c r="E336" i="20" s="1"/>
  <c r="F336" i="20" s="1"/>
  <c r="W21" i="18"/>
  <c r="D21" i="18"/>
  <c r="E21" i="18" s="1"/>
  <c r="F21" i="18" s="1"/>
  <c r="B21" i="20"/>
  <c r="W45" i="18"/>
  <c r="B45" i="20"/>
  <c r="D45" i="18"/>
  <c r="E45" i="18" s="1"/>
  <c r="F45" i="18" s="1"/>
  <c r="W47" i="20"/>
  <c r="D47" i="20"/>
  <c r="E47" i="20" s="1"/>
  <c r="F47" i="20" s="1"/>
  <c r="B47" i="22"/>
  <c r="W71" i="18"/>
  <c r="D71" i="18"/>
  <c r="E71" i="18" s="1"/>
  <c r="F71" i="18" s="1"/>
  <c r="B71" i="20"/>
  <c r="W123" i="18"/>
  <c r="B123" i="20"/>
  <c r="D123" i="18"/>
  <c r="E123" i="18" s="1"/>
  <c r="F123" i="18" s="1"/>
  <c r="W181" i="18"/>
  <c r="D181" i="18"/>
  <c r="E181" i="18" s="1"/>
  <c r="F181" i="18" s="1"/>
  <c r="B181" i="20"/>
  <c r="W195" i="20"/>
  <c r="D195" i="20"/>
  <c r="E195" i="20" s="1"/>
  <c r="F195" i="20" s="1"/>
  <c r="B195" i="22"/>
  <c r="W215" i="18"/>
  <c r="D215" i="18"/>
  <c r="E215" i="18" s="1"/>
  <c r="F215" i="18" s="1"/>
  <c r="B215" i="20"/>
  <c r="W221" i="20"/>
  <c r="D221" i="20"/>
  <c r="E221" i="20" s="1"/>
  <c r="F221" i="20" s="1"/>
  <c r="B221" i="22"/>
  <c r="W233" i="18"/>
  <c r="B233" i="20"/>
  <c r="D233" i="18"/>
  <c r="E233" i="18" s="1"/>
  <c r="F233" i="18" s="1"/>
  <c r="W275" i="18"/>
  <c r="D275" i="18"/>
  <c r="E275" i="18" s="1"/>
  <c r="F275" i="18" s="1"/>
  <c r="B275" i="20"/>
  <c r="W285" i="20"/>
  <c r="D285" i="20"/>
  <c r="E285" i="20" s="1"/>
  <c r="F285" i="20" s="1"/>
  <c r="B285" i="22"/>
  <c r="W303" i="18"/>
  <c r="D303" i="18"/>
  <c r="E303" i="18" s="1"/>
  <c r="F303" i="18" s="1"/>
  <c r="B303" i="20"/>
  <c r="W86" i="18"/>
  <c r="D86" i="18"/>
  <c r="E86" i="18" s="1"/>
  <c r="F86" i="18" s="1"/>
  <c r="B86" i="20"/>
  <c r="W112" i="18"/>
  <c r="D112" i="18"/>
  <c r="E112" i="18" s="1"/>
  <c r="F112" i="18" s="1"/>
  <c r="B112" i="20"/>
  <c r="W144" i="18"/>
  <c r="D144" i="18"/>
  <c r="E144" i="18" s="1"/>
  <c r="F144" i="18" s="1"/>
  <c r="B144" i="20"/>
  <c r="W146" i="20"/>
  <c r="D146" i="20"/>
  <c r="E146" i="20" s="1"/>
  <c r="F146" i="20" s="1"/>
  <c r="B146" i="22"/>
  <c r="W188" i="18"/>
  <c r="D188" i="18"/>
  <c r="E188" i="18" s="1"/>
  <c r="F188" i="18" s="1"/>
  <c r="B188" i="20"/>
  <c r="W218" i="18"/>
  <c r="D218" i="18"/>
  <c r="E218" i="18" s="1"/>
  <c r="F218" i="18" s="1"/>
  <c r="B218" i="20"/>
  <c r="D296" i="18"/>
  <c r="E296" i="18" s="1"/>
  <c r="F296" i="18" s="1"/>
  <c r="W296" i="18"/>
  <c r="B296" i="20"/>
  <c r="W334" i="18"/>
  <c r="D334" i="18"/>
  <c r="E334" i="18" s="1"/>
  <c r="F334" i="18" s="1"/>
  <c r="B334" i="20"/>
  <c r="D39" i="20"/>
  <c r="E39" i="20" s="1"/>
  <c r="F39" i="20" s="1"/>
  <c r="B39" i="22"/>
  <c r="W39" i="20"/>
  <c r="W53" i="18"/>
  <c r="D53" i="18"/>
  <c r="E53" i="18" s="1"/>
  <c r="F53" i="18" s="1"/>
  <c r="B53" i="20"/>
  <c r="W107" i="20"/>
  <c r="B107" i="22"/>
  <c r="D107" i="20"/>
  <c r="E107" i="20" s="1"/>
  <c r="F107" i="20" s="1"/>
  <c r="W139" i="18"/>
  <c r="D139" i="18"/>
  <c r="E139" i="18" s="1"/>
  <c r="F139" i="18" s="1"/>
  <c r="B139" i="20"/>
  <c r="W151" i="20"/>
  <c r="B151" i="22"/>
  <c r="D151" i="20"/>
  <c r="E151" i="20" s="1"/>
  <c r="F151" i="20" s="1"/>
  <c r="W169" i="18"/>
  <c r="B169" i="20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B203" i="20"/>
  <c r="W245" i="18"/>
  <c r="D245" i="18"/>
  <c r="E245" i="18" s="1"/>
  <c r="F245" i="18" s="1"/>
  <c r="B245" i="20"/>
  <c r="W277" i="18"/>
  <c r="D277" i="18"/>
  <c r="E277" i="18" s="1"/>
  <c r="F277" i="18" s="1"/>
  <c r="B277" i="20"/>
  <c r="W325" i="18"/>
  <c r="D325" i="18"/>
  <c r="E325" i="18" s="1"/>
  <c r="F325" i="18" s="1"/>
  <c r="B325" i="20"/>
  <c r="G337" i="18"/>
  <c r="CA337" i="6" s="1"/>
  <c r="AA337" i="18"/>
  <c r="Z337" i="18" s="1"/>
  <c r="Y337" i="18" s="1"/>
  <c r="W375" i="20"/>
  <c r="B375" i="22"/>
  <c r="D375" i="20"/>
  <c r="E375" i="20" s="1"/>
  <c r="F375" i="20" s="1"/>
  <c r="W288" i="18"/>
  <c r="D288" i="18"/>
  <c r="E288" i="18" s="1"/>
  <c r="F288" i="18" s="1"/>
  <c r="B288" i="20"/>
  <c r="W27" i="18"/>
  <c r="D27" i="18"/>
  <c r="E27" i="18" s="1"/>
  <c r="F27" i="18" s="1"/>
  <c r="B27" i="20"/>
  <c r="W124" i="18"/>
  <c r="D124" i="18"/>
  <c r="E124" i="18" s="1"/>
  <c r="F124" i="18" s="1"/>
  <c r="B124" i="20"/>
  <c r="W138" i="20"/>
  <c r="D138" i="20"/>
  <c r="E138" i="20" s="1"/>
  <c r="F138" i="20" s="1"/>
  <c r="B138" i="22"/>
  <c r="W184" i="18"/>
  <c r="D184" i="18"/>
  <c r="E184" i="18" s="1"/>
  <c r="F184" i="18" s="1"/>
  <c r="B184" i="20"/>
  <c r="W202" i="20"/>
  <c r="D202" i="20"/>
  <c r="E202" i="20" s="1"/>
  <c r="F202" i="20" s="1"/>
  <c r="B202" i="22"/>
  <c r="W256" i="18"/>
  <c r="D256" i="18"/>
  <c r="E256" i="18" s="1"/>
  <c r="F256" i="18" s="1"/>
  <c r="B256" i="20"/>
  <c r="W292" i="18"/>
  <c r="B292" i="20"/>
  <c r="D292" i="18"/>
  <c r="E292" i="18" s="1"/>
  <c r="F292" i="18" s="1"/>
  <c r="W304" i="20"/>
  <c r="B304" i="22"/>
  <c r="D304" i="20"/>
  <c r="E304" i="20" s="1"/>
  <c r="F304" i="20" s="1"/>
  <c r="W330" i="18"/>
  <c r="D330" i="18"/>
  <c r="E330" i="18" s="1"/>
  <c r="F330" i="18" s="1"/>
  <c r="B330" i="20"/>
  <c r="W364" i="18"/>
  <c r="D364" i="18"/>
  <c r="E364" i="18" s="1"/>
  <c r="F364" i="18" s="1"/>
  <c r="B364" i="20"/>
  <c r="W370" i="20"/>
  <c r="D370" i="20"/>
  <c r="E370" i="20" s="1"/>
  <c r="F370" i="20" s="1"/>
  <c r="B370" i="22"/>
  <c r="W25" i="18"/>
  <c r="D25" i="18"/>
  <c r="E25" i="18" s="1"/>
  <c r="F25" i="18" s="1"/>
  <c r="B25" i="20"/>
  <c r="W41" i="20"/>
  <c r="D41" i="20"/>
  <c r="E41" i="20" s="1"/>
  <c r="F41" i="20" s="1"/>
  <c r="B41" i="22"/>
  <c r="W51" i="18"/>
  <c r="B51" i="20"/>
  <c r="D51" i="18"/>
  <c r="E51" i="18" s="1"/>
  <c r="F51" i="18" s="1"/>
  <c r="W91" i="20"/>
  <c r="D91" i="20"/>
  <c r="E91" i="20" s="1"/>
  <c r="F91" i="20" s="1"/>
  <c r="B91" i="22"/>
  <c r="W109" i="18"/>
  <c r="B109" i="20"/>
  <c r="D109" i="18"/>
  <c r="E109" i="18" s="1"/>
  <c r="F109" i="18" s="1"/>
  <c r="W117" i="20"/>
  <c r="D117" i="20"/>
  <c r="E117" i="20" s="1"/>
  <c r="F117" i="20" s="1"/>
  <c r="B117" i="22"/>
  <c r="W121" i="18"/>
  <c r="D121" i="18"/>
  <c r="E121" i="18" s="1"/>
  <c r="F121" i="18" s="1"/>
  <c r="B121" i="20"/>
  <c r="W165" i="18"/>
  <c r="D165" i="18"/>
  <c r="E165" i="18" s="1"/>
  <c r="F165" i="18" s="1"/>
  <c r="B165" i="20"/>
  <c r="W199" i="20"/>
  <c r="D199" i="20"/>
  <c r="E199" i="20" s="1"/>
  <c r="F199" i="20" s="1"/>
  <c r="B199" i="22"/>
  <c r="G217" i="18"/>
  <c r="CA217" i="6" s="1"/>
  <c r="AA217" i="18"/>
  <c r="Z217" i="18" s="1"/>
  <c r="Y217" i="18" s="1"/>
  <c r="W225" i="18"/>
  <c r="D225" i="18"/>
  <c r="E225" i="18" s="1"/>
  <c r="F225" i="18" s="1"/>
  <c r="B225" i="20"/>
  <c r="W279" i="18"/>
  <c r="B279" i="20"/>
  <c r="D279" i="18"/>
  <c r="E279" i="18" s="1"/>
  <c r="F279" i="18" s="1"/>
  <c r="W355" i="18"/>
  <c r="B355" i="20"/>
  <c r="D355" i="18"/>
  <c r="E355" i="18" s="1"/>
  <c r="F355" i="18" s="1"/>
  <c r="W36" i="18"/>
  <c r="D36" i="18"/>
  <c r="E36" i="18" s="1"/>
  <c r="F36" i="18" s="1"/>
  <c r="B36" i="20"/>
  <c r="W58" i="18"/>
  <c r="D58" i="18"/>
  <c r="E58" i="18" s="1"/>
  <c r="F58" i="18" s="1"/>
  <c r="B58" i="20"/>
  <c r="W82" i="20"/>
  <c r="B82" i="22"/>
  <c r="D82" i="20"/>
  <c r="E82" i="20" s="1"/>
  <c r="F82" i="20" s="1"/>
  <c r="D102" i="18"/>
  <c r="E102" i="18" s="1"/>
  <c r="F102" i="18" s="1"/>
  <c r="B102" i="20"/>
  <c r="W102" i="18"/>
  <c r="W158" i="20"/>
  <c r="D158" i="20"/>
  <c r="E158" i="20" s="1"/>
  <c r="F158" i="20" s="1"/>
  <c r="B158" i="22"/>
  <c r="B162" i="20"/>
  <c r="W162" i="18"/>
  <c r="D162" i="18"/>
  <c r="E162" i="18" s="1"/>
  <c r="F162" i="18" s="1"/>
  <c r="W186" i="18"/>
  <c r="D186" i="18"/>
  <c r="E186" i="18" s="1"/>
  <c r="F186" i="18" s="1"/>
  <c r="B186" i="20"/>
  <c r="W198" i="18"/>
  <c r="D198" i="18"/>
  <c r="E198" i="18" s="1"/>
  <c r="F198" i="18" s="1"/>
  <c r="B198" i="20"/>
  <c r="W214" i="18"/>
  <c r="D214" i="18"/>
  <c r="E214" i="18" s="1"/>
  <c r="F214" i="18" s="1"/>
  <c r="B214" i="20"/>
  <c r="W242" i="20"/>
  <c r="D242" i="20"/>
  <c r="E242" i="20" s="1"/>
  <c r="F242" i="20" s="1"/>
  <c r="B242" i="22"/>
  <c r="W264" i="18"/>
  <c r="D264" i="18"/>
  <c r="E264" i="18" s="1"/>
  <c r="F264" i="18" s="1"/>
  <c r="B264" i="20"/>
  <c r="W286" i="20"/>
  <c r="B286" i="22"/>
  <c r="D286" i="20"/>
  <c r="E286" i="20" s="1"/>
  <c r="F286" i="20" s="1"/>
  <c r="W290" i="18"/>
  <c r="B290" i="20"/>
  <c r="D290" i="18"/>
  <c r="E290" i="18" s="1"/>
  <c r="F290" i="18" s="1"/>
  <c r="B340" i="20"/>
  <c r="W340" i="18"/>
  <c r="D340" i="18"/>
  <c r="E340" i="18" s="1"/>
  <c r="F340" i="18" s="1"/>
  <c r="W362" i="18"/>
  <c r="B362" i="20"/>
  <c r="D362" i="18"/>
  <c r="E362" i="18" s="1"/>
  <c r="F362" i="18" s="1"/>
  <c r="W137" i="18"/>
  <c r="D137" i="18"/>
  <c r="E137" i="18" s="1"/>
  <c r="F137" i="18" s="1"/>
  <c r="B137" i="20"/>
  <c r="W222" i="20"/>
  <c r="D222" i="20"/>
  <c r="E222" i="20" s="1"/>
  <c r="F222" i="20" s="1"/>
  <c r="B222" i="22"/>
  <c r="D90" i="18"/>
  <c r="E90" i="18" s="1"/>
  <c r="F90" i="18" s="1"/>
  <c r="B90" i="20"/>
  <c r="W90" i="18"/>
  <c r="W204" i="20"/>
  <c r="D204" i="20"/>
  <c r="E204" i="20" s="1"/>
  <c r="F204" i="20" s="1"/>
  <c r="B204" i="22"/>
  <c r="W378" i="18"/>
  <c r="D378" i="18"/>
  <c r="E378" i="18" s="1"/>
  <c r="F378" i="18" s="1"/>
  <c r="B378" i="20"/>
  <c r="W252" i="20"/>
  <c r="D252" i="20"/>
  <c r="E252" i="20" s="1"/>
  <c r="F252" i="20" s="1"/>
  <c r="B252" i="22"/>
  <c r="W310" i="18"/>
  <c r="D310" i="18"/>
  <c r="E310" i="18" s="1"/>
  <c r="F310" i="18" s="1"/>
  <c r="B310" i="20"/>
  <c r="W305" i="20"/>
  <c r="D305" i="20"/>
  <c r="E305" i="20" s="1"/>
  <c r="F305" i="20" s="1"/>
  <c r="B305" i="22"/>
  <c r="W311" i="18"/>
  <c r="D311" i="18"/>
  <c r="E311" i="18" s="1"/>
  <c r="F311" i="18" s="1"/>
  <c r="B311" i="20"/>
  <c r="W374" i="18"/>
  <c r="D374" i="18"/>
  <c r="E374" i="18" s="1"/>
  <c r="F374" i="18" s="1"/>
  <c r="B374" i="20"/>
  <c r="W52" i="20"/>
  <c r="D52" i="20"/>
  <c r="E52" i="20" s="1"/>
  <c r="F52" i="20" s="1"/>
  <c r="B52" i="22"/>
  <c r="W157" i="18"/>
  <c r="D157" i="18"/>
  <c r="E157" i="18" s="1"/>
  <c r="F157" i="18" s="1"/>
  <c r="B157" i="20"/>
  <c r="W103" i="20"/>
  <c r="D103" i="20"/>
  <c r="E103" i="20" s="1"/>
  <c r="F103" i="20" s="1"/>
  <c r="B103" i="22"/>
  <c r="W125" i="18"/>
  <c r="D125" i="18"/>
  <c r="E125" i="18" s="1"/>
  <c r="F125" i="18" s="1"/>
  <c r="B125" i="20"/>
  <c r="W235" i="20"/>
  <c r="D235" i="20"/>
  <c r="E235" i="20" s="1"/>
  <c r="F235" i="20" s="1"/>
  <c r="B235" i="22"/>
  <c r="W309" i="18"/>
  <c r="B309" i="20"/>
  <c r="D309" i="18"/>
  <c r="E309" i="18" s="1"/>
  <c r="F309" i="18" s="1"/>
  <c r="W62" i="18"/>
  <c r="B62" i="20"/>
  <c r="D62" i="18"/>
  <c r="E62" i="18" s="1"/>
  <c r="F62" i="18" s="1"/>
  <c r="W295" i="18"/>
  <c r="D295" i="18"/>
  <c r="E295" i="18" s="1"/>
  <c r="F295" i="18" s="1"/>
  <c r="B295" i="20"/>
  <c r="W232" i="18"/>
  <c r="B232" i="20"/>
  <c r="D232" i="18"/>
  <c r="E232" i="18" s="1"/>
  <c r="F232" i="18" s="1"/>
  <c r="W119" i="18"/>
  <c r="D119" i="18"/>
  <c r="E119" i="18" s="1"/>
  <c r="F119" i="18" s="1"/>
  <c r="B119" i="20"/>
  <c r="W196" i="18"/>
  <c r="D196" i="18"/>
  <c r="E196" i="18" s="1"/>
  <c r="F196" i="18" s="1"/>
  <c r="B196" i="20"/>
  <c r="W105" i="20"/>
  <c r="B105" i="22"/>
  <c r="D105" i="20"/>
  <c r="E105" i="20" s="1"/>
  <c r="F105" i="20" s="1"/>
  <c r="W67" i="18"/>
  <c r="D67" i="18"/>
  <c r="E67" i="18" s="1"/>
  <c r="F67" i="18" s="1"/>
  <c r="B67" i="20"/>
  <c r="D166" i="20"/>
  <c r="E166" i="20" s="1"/>
  <c r="F166" i="20" s="1"/>
  <c r="B166" i="22"/>
  <c r="W166" i="20"/>
  <c r="W22" i="18"/>
  <c r="D22" i="18"/>
  <c r="E22" i="18" s="1"/>
  <c r="F22" i="18" s="1"/>
  <c r="B22" i="20"/>
  <c r="W248" i="18"/>
  <c r="D248" i="18"/>
  <c r="E248" i="18" s="1"/>
  <c r="F248" i="18" s="1"/>
  <c r="B248" i="20"/>
  <c r="W346" i="18"/>
  <c r="D346" i="18"/>
  <c r="E346" i="18" s="1"/>
  <c r="F346" i="18" s="1"/>
  <c r="B346" i="20"/>
  <c r="W272" i="18"/>
  <c r="D272" i="18"/>
  <c r="E272" i="18" s="1"/>
  <c r="F272" i="18" s="1"/>
  <c r="B272" i="20"/>
  <c r="W368" i="20"/>
  <c r="B368" i="22"/>
  <c r="D368" i="20"/>
  <c r="E368" i="20" s="1"/>
  <c r="F368" i="20" s="1"/>
  <c r="W154" i="20"/>
  <c r="B154" i="22"/>
  <c r="D154" i="20"/>
  <c r="E154" i="20" s="1"/>
  <c r="F154" i="20" s="1"/>
  <c r="D189" i="20"/>
  <c r="E189" i="20" s="1"/>
  <c r="F189" i="20" s="1"/>
  <c r="B189" i="22"/>
  <c r="W189" i="20"/>
  <c r="W241" i="20"/>
  <c r="D241" i="20"/>
  <c r="E241" i="20" s="1"/>
  <c r="F241" i="20" s="1"/>
  <c r="B241" i="22"/>
  <c r="W244" i="18"/>
  <c r="D244" i="18"/>
  <c r="E244" i="18" s="1"/>
  <c r="F244" i="18" s="1"/>
  <c r="B244" i="20"/>
  <c r="W88" i="18"/>
  <c r="D88" i="18"/>
  <c r="E88" i="18" s="1"/>
  <c r="F88" i="18" s="1"/>
  <c r="B88" i="20"/>
  <c r="W37" i="18"/>
  <c r="D37" i="18"/>
  <c r="E37" i="18" s="1"/>
  <c r="F37" i="18" s="1"/>
  <c r="B37" i="20"/>
  <c r="W63" i="20"/>
  <c r="B63" i="22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B185" i="20"/>
  <c r="W249" i="18"/>
  <c r="D249" i="18"/>
  <c r="E249" i="18" s="1"/>
  <c r="F249" i="18" s="1"/>
  <c r="B249" i="20"/>
  <c r="W317" i="18"/>
  <c r="B317" i="20"/>
  <c r="D317" i="18"/>
  <c r="E317" i="18" s="1"/>
  <c r="F317" i="18" s="1"/>
  <c r="W42" i="18"/>
  <c r="D42" i="18"/>
  <c r="E42" i="18" s="1"/>
  <c r="F42" i="18" s="1"/>
  <c r="B42" i="20"/>
  <c r="W110" i="18"/>
  <c r="B110" i="20"/>
  <c r="D110" i="18"/>
  <c r="E110" i="18" s="1"/>
  <c r="F110" i="18" s="1"/>
  <c r="W140" i="18"/>
  <c r="D140" i="18"/>
  <c r="E140" i="18" s="1"/>
  <c r="F140" i="18" s="1"/>
  <c r="B140" i="20"/>
  <c r="W220" i="18"/>
  <c r="D220" i="18"/>
  <c r="E220" i="18" s="1"/>
  <c r="F220" i="18" s="1"/>
  <c r="B220" i="20"/>
  <c r="D254" i="18"/>
  <c r="E254" i="18" s="1"/>
  <c r="F254" i="18" s="1"/>
  <c r="B254" i="20"/>
  <c r="W254" i="18"/>
  <c r="W260" i="20"/>
  <c r="D260" i="20"/>
  <c r="E260" i="20" s="1"/>
  <c r="F260" i="20" s="1"/>
  <c r="B260" i="22"/>
  <c r="W276" i="20"/>
  <c r="B276" i="22"/>
  <c r="D276" i="20"/>
  <c r="E276" i="20" s="1"/>
  <c r="F276" i="20" s="1"/>
  <c r="W320" i="20"/>
  <c r="D320" i="20"/>
  <c r="E320" i="20" s="1"/>
  <c r="F320" i="20" s="1"/>
  <c r="B320" i="22"/>
  <c r="B31" i="20"/>
  <c r="W31" i="18"/>
  <c r="D31" i="18"/>
  <c r="E31" i="18" s="1"/>
  <c r="F31" i="18" s="1"/>
  <c r="W49" i="18"/>
  <c r="D49" i="18"/>
  <c r="E49" i="18" s="1"/>
  <c r="F49" i="18" s="1"/>
  <c r="B49" i="20"/>
  <c r="D87" i="18"/>
  <c r="E87" i="18" s="1"/>
  <c r="F87" i="18" s="1"/>
  <c r="B87" i="20"/>
  <c r="W87" i="18"/>
  <c r="D93" i="20"/>
  <c r="E93" i="20" s="1"/>
  <c r="F93" i="20" s="1"/>
  <c r="B93" i="22"/>
  <c r="W93" i="20"/>
  <c r="W145" i="18"/>
  <c r="D145" i="18"/>
  <c r="E145" i="18" s="1"/>
  <c r="F145" i="18" s="1"/>
  <c r="B145" i="20"/>
  <c r="W147" i="20"/>
  <c r="D147" i="20"/>
  <c r="E147" i="20" s="1"/>
  <c r="F147" i="20" s="1"/>
  <c r="B147" i="22"/>
  <c r="W201" i="18"/>
  <c r="D201" i="18"/>
  <c r="E201" i="18" s="1"/>
  <c r="F201" i="18" s="1"/>
  <c r="B201" i="20"/>
  <c r="W209" i="20"/>
  <c r="D209" i="20"/>
  <c r="E209" i="20" s="1"/>
  <c r="F209" i="20" s="1"/>
  <c r="B209" i="22"/>
  <c r="W291" i="18"/>
  <c r="D291" i="18"/>
  <c r="E291" i="18" s="1"/>
  <c r="F291" i="18" s="1"/>
  <c r="B291" i="20"/>
  <c r="W293" i="20"/>
  <c r="D293" i="20"/>
  <c r="E293" i="20" s="1"/>
  <c r="F293" i="20" s="1"/>
  <c r="B293" i="22"/>
  <c r="W339" i="18"/>
  <c r="D339" i="18"/>
  <c r="E339" i="18" s="1"/>
  <c r="F339" i="18" s="1"/>
  <c r="B339" i="20"/>
  <c r="D341" i="20"/>
  <c r="E341" i="20" s="1"/>
  <c r="F341" i="20" s="1"/>
  <c r="W341" i="20"/>
  <c r="B341" i="22"/>
  <c r="W371" i="18"/>
  <c r="D371" i="18"/>
  <c r="E371" i="18" s="1"/>
  <c r="F371" i="18" s="1"/>
  <c r="B371" i="20"/>
  <c r="W34" i="18"/>
  <c r="D34" i="18"/>
  <c r="E34" i="18" s="1"/>
  <c r="F34" i="18" s="1"/>
  <c r="B34" i="20"/>
  <c r="W80" i="20"/>
  <c r="D80" i="20"/>
  <c r="E80" i="20" s="1"/>
  <c r="F80" i="20" s="1"/>
  <c r="B80" i="22"/>
  <c r="W96" i="18"/>
  <c r="D96" i="18"/>
  <c r="E96" i="18" s="1"/>
  <c r="F96" i="18" s="1"/>
  <c r="B96" i="20"/>
  <c r="W126" i="18"/>
  <c r="D126" i="18"/>
  <c r="E126" i="18" s="1"/>
  <c r="F126" i="18" s="1"/>
  <c r="B126" i="20"/>
  <c r="D142" i="20"/>
  <c r="E142" i="20" s="1"/>
  <c r="F142" i="20" s="1"/>
  <c r="W142" i="20"/>
  <c r="B142" i="22"/>
  <c r="W148" i="18"/>
  <c r="D148" i="18"/>
  <c r="E148" i="18" s="1"/>
  <c r="F148" i="18" s="1"/>
  <c r="B148" i="20"/>
  <c r="D250" i="18"/>
  <c r="E250" i="18" s="1"/>
  <c r="F250" i="18" s="1"/>
  <c r="W250" i="18"/>
  <c r="B250" i="20"/>
  <c r="W372" i="18"/>
  <c r="B372" i="20"/>
  <c r="D372" i="18"/>
  <c r="E372" i="18" s="1"/>
  <c r="F372" i="18" s="1"/>
  <c r="W65" i="18"/>
  <c r="D65" i="18"/>
  <c r="E65" i="18" s="1"/>
  <c r="F65" i="18" s="1"/>
  <c r="B65" i="20"/>
  <c r="W141" i="20"/>
  <c r="D141" i="20"/>
  <c r="E141" i="20" s="1"/>
  <c r="F141" i="20" s="1"/>
  <c r="B141" i="22"/>
  <c r="W143" i="18"/>
  <c r="D143" i="18"/>
  <c r="E143" i="18" s="1"/>
  <c r="F143" i="18" s="1"/>
  <c r="B143" i="20"/>
  <c r="W191" i="18"/>
  <c r="B191" i="20"/>
  <c r="D191" i="18"/>
  <c r="E191" i="18" s="1"/>
  <c r="F191" i="18" s="1"/>
  <c r="W223" i="18"/>
  <c r="D223" i="18"/>
  <c r="E223" i="18" s="1"/>
  <c r="F223" i="18" s="1"/>
  <c r="B223" i="20"/>
  <c r="D257" i="20"/>
  <c r="E257" i="20" s="1"/>
  <c r="F257" i="20" s="1"/>
  <c r="W257" i="20"/>
  <c r="B257" i="22"/>
  <c r="W267" i="18"/>
  <c r="B267" i="20"/>
  <c r="D267" i="18"/>
  <c r="E267" i="18" s="1"/>
  <c r="F267" i="18" s="1"/>
  <c r="W307" i="18"/>
  <c r="D307" i="18"/>
  <c r="E307" i="18" s="1"/>
  <c r="F307" i="18" s="1"/>
  <c r="B307" i="20"/>
  <c r="W357" i="18"/>
  <c r="D357" i="18"/>
  <c r="E357" i="18" s="1"/>
  <c r="F357" i="18" s="1"/>
  <c r="B357" i="20"/>
  <c r="W373" i="18"/>
  <c r="B373" i="20"/>
  <c r="D373" i="18"/>
  <c r="E373" i="18" s="1"/>
  <c r="F373" i="18" s="1"/>
  <c r="W20" i="18"/>
  <c r="B20" i="20"/>
  <c r="D20" i="18"/>
  <c r="E20" i="18" s="1"/>
  <c r="F20" i="18" s="1"/>
  <c r="W48" i="18"/>
  <c r="D48" i="18"/>
  <c r="E48" i="18" s="1"/>
  <c r="F48" i="18" s="1"/>
  <c r="B48" i="20"/>
  <c r="W122" i="20"/>
  <c r="B122" i="22"/>
  <c r="D122" i="20"/>
  <c r="E122" i="20" s="1"/>
  <c r="F122" i="20" s="1"/>
  <c r="W160" i="18"/>
  <c r="D160" i="18"/>
  <c r="E160" i="18" s="1"/>
  <c r="F160" i="18" s="1"/>
  <c r="B160" i="20"/>
  <c r="D172" i="20"/>
  <c r="E172" i="20" s="1"/>
  <c r="F172" i="20" s="1"/>
  <c r="W172" i="20"/>
  <c r="B172" i="22"/>
  <c r="W234" i="18"/>
  <c r="B234" i="20"/>
  <c r="D234" i="18"/>
  <c r="E234" i="18" s="1"/>
  <c r="F234" i="18" s="1"/>
  <c r="W266" i="18"/>
  <c r="D266" i="18"/>
  <c r="E266" i="18" s="1"/>
  <c r="F266" i="18" s="1"/>
  <c r="B266" i="20"/>
  <c r="W280" i="20"/>
  <c r="D280" i="20"/>
  <c r="E280" i="20" s="1"/>
  <c r="F280" i="20" s="1"/>
  <c r="B280" i="22"/>
  <c r="W322" i="18"/>
  <c r="D322" i="18"/>
  <c r="E322" i="18" s="1"/>
  <c r="F322" i="18" s="1"/>
  <c r="B322" i="20"/>
  <c r="D350" i="18"/>
  <c r="E350" i="18" s="1"/>
  <c r="F350" i="18" s="1"/>
  <c r="W350" i="18"/>
  <c r="B350" i="20"/>
  <c r="W360" i="20"/>
  <c r="B360" i="22"/>
  <c r="D360" i="20"/>
  <c r="E360" i="20" s="1"/>
  <c r="F360" i="20" s="1"/>
  <c r="W57" i="20"/>
  <c r="B57" i="22"/>
  <c r="D57" i="20"/>
  <c r="E57" i="20" s="1"/>
  <c r="F57" i="20" s="1"/>
  <c r="W85" i="18"/>
  <c r="B85" i="20"/>
  <c r="D85" i="18"/>
  <c r="E85" i="18" s="1"/>
  <c r="F85" i="18" s="1"/>
  <c r="W113" i="20"/>
  <c r="D113" i="20"/>
  <c r="E113" i="20" s="1"/>
  <c r="F113" i="20" s="1"/>
  <c r="B113" i="22"/>
  <c r="W115" i="18"/>
  <c r="D115" i="18"/>
  <c r="E115" i="18" s="1"/>
  <c r="F115" i="18" s="1"/>
  <c r="B115" i="20"/>
  <c r="W133" i="18"/>
  <c r="D133" i="18"/>
  <c r="E133" i="18" s="1"/>
  <c r="F133" i="18" s="1"/>
  <c r="B133" i="20"/>
  <c r="W213" i="18"/>
  <c r="B213" i="20"/>
  <c r="D213" i="18"/>
  <c r="E213" i="18" s="1"/>
  <c r="F213" i="18" s="1"/>
  <c r="W239" i="18"/>
  <c r="D239" i="18"/>
  <c r="E239" i="18" s="1"/>
  <c r="F239" i="18" s="1"/>
  <c r="B239" i="20"/>
  <c r="W315" i="18"/>
  <c r="D315" i="18"/>
  <c r="E315" i="18" s="1"/>
  <c r="F315" i="18" s="1"/>
  <c r="B315" i="20"/>
  <c r="W343" i="20"/>
  <c r="D343" i="20"/>
  <c r="E343" i="20" s="1"/>
  <c r="F343" i="20" s="1"/>
  <c r="B343" i="22"/>
  <c r="W345" i="18"/>
  <c r="D345" i="18"/>
  <c r="E345" i="18" s="1"/>
  <c r="F345" i="18" s="1"/>
  <c r="B345" i="20"/>
  <c r="W24" i="18"/>
  <c r="D24" i="18"/>
  <c r="E24" i="18" s="1"/>
  <c r="F24" i="18" s="1"/>
  <c r="B24" i="20"/>
  <c r="W40" i="20"/>
  <c r="D40" i="20"/>
  <c r="E40" i="20" s="1"/>
  <c r="F40" i="20" s="1"/>
  <c r="B40" i="22"/>
  <c r="W44" i="18"/>
  <c r="D44" i="18"/>
  <c r="E44" i="18" s="1"/>
  <c r="F44" i="18" s="1"/>
  <c r="B44" i="20"/>
  <c r="W72" i="18"/>
  <c r="B72" i="20"/>
  <c r="D72" i="18"/>
  <c r="E72" i="18" s="1"/>
  <c r="F72" i="18" s="1"/>
  <c r="W134" i="20"/>
  <c r="B134" i="22"/>
  <c r="D134" i="20"/>
  <c r="E134" i="20" s="1"/>
  <c r="F134" i="20" s="1"/>
  <c r="W156" i="18"/>
  <c r="D156" i="18"/>
  <c r="E156" i="18" s="1"/>
  <c r="F156" i="18" s="1"/>
  <c r="B156" i="20"/>
  <c r="D190" i="20"/>
  <c r="E190" i="20" s="1"/>
  <c r="F190" i="20" s="1"/>
  <c r="B190" i="22"/>
  <c r="W190" i="20"/>
  <c r="W200" i="20"/>
  <c r="D200" i="20"/>
  <c r="E200" i="20" s="1"/>
  <c r="F200" i="20" s="1"/>
  <c r="B200" i="22"/>
  <c r="W206" i="18"/>
  <c r="D206" i="18"/>
  <c r="E206" i="18" s="1"/>
  <c r="F206" i="18" s="1"/>
  <c r="B206" i="20"/>
  <c r="W240" i="18"/>
  <c r="B240" i="20"/>
  <c r="D240" i="18"/>
  <c r="E240" i="18" s="1"/>
  <c r="F240" i="18" s="1"/>
  <c r="W314" i="18"/>
  <c r="B314" i="20"/>
  <c r="D314" i="18"/>
  <c r="E314" i="18" s="1"/>
  <c r="F314" i="18" s="1"/>
  <c r="W342" i="20"/>
  <c r="D342" i="20"/>
  <c r="E342" i="20" s="1"/>
  <c r="F342" i="20" s="1"/>
  <c r="B342" i="22"/>
  <c r="W356" i="18"/>
  <c r="D356" i="18"/>
  <c r="E356" i="18" s="1"/>
  <c r="F356" i="18" s="1"/>
  <c r="B356" i="20"/>
  <c r="W78" i="18"/>
  <c r="D78" i="18"/>
  <c r="E78" i="18" s="1"/>
  <c r="F78" i="18" s="1"/>
  <c r="B78" i="20"/>
  <c r="W289" i="18"/>
  <c r="D289" i="18"/>
  <c r="E289" i="18" s="1"/>
  <c r="F289" i="18" s="1"/>
  <c r="B289" i="20"/>
  <c r="W207" i="20"/>
  <c r="B207" i="22"/>
  <c r="D207" i="20"/>
  <c r="E207" i="20" s="1"/>
  <c r="F207" i="20" s="1"/>
  <c r="W182" i="18"/>
  <c r="D182" i="18"/>
  <c r="E182" i="18" s="1"/>
  <c r="F182" i="18" s="1"/>
  <c r="B182" i="20"/>
  <c r="W236" i="18"/>
  <c r="B236" i="20"/>
  <c r="D236" i="18"/>
  <c r="E236" i="18" s="1"/>
  <c r="F236" i="18" s="1"/>
  <c r="W98" i="18"/>
  <c r="D98" i="18"/>
  <c r="E98" i="18" s="1"/>
  <c r="F98" i="18" s="1"/>
  <c r="B98" i="20"/>
  <c r="W163" i="18"/>
  <c r="D163" i="18"/>
  <c r="E163" i="18" s="1"/>
  <c r="F163" i="18" s="1"/>
  <c r="B163" i="20"/>
  <c r="W229" i="20"/>
  <c r="D229" i="20"/>
  <c r="E229" i="20" s="1"/>
  <c r="F229" i="20" s="1"/>
  <c r="B229" i="22"/>
  <c r="W321" i="18"/>
  <c r="D321" i="18"/>
  <c r="E321" i="18" s="1"/>
  <c r="F321" i="18" s="1"/>
  <c r="B321" i="20"/>
  <c r="W32" i="20"/>
  <c r="D32" i="20"/>
  <c r="E32" i="20" s="1"/>
  <c r="F32" i="20" s="1"/>
  <c r="B32" i="22"/>
  <c r="W332" i="18"/>
  <c r="D332" i="18"/>
  <c r="E332" i="18" s="1"/>
  <c r="F332" i="18" s="1"/>
  <c r="B332" i="20"/>
  <c r="W73" i="18"/>
  <c r="B73" i="20"/>
  <c r="D73" i="18"/>
  <c r="E73" i="18" s="1"/>
  <c r="F73" i="18" s="1"/>
  <c r="B100" i="22"/>
  <c r="D100" i="20"/>
  <c r="E100" i="20" s="1"/>
  <c r="F100" i="20" s="1"/>
  <c r="W100" i="20"/>
  <c r="W81" i="18"/>
  <c r="D81" i="18"/>
  <c r="E81" i="18" s="1"/>
  <c r="F81" i="18" s="1"/>
  <c r="B81" i="20"/>
  <c r="G153" i="18"/>
  <c r="CA153" i="6" s="1"/>
  <c r="AA153" i="18"/>
  <c r="Z153" i="18" s="1"/>
  <c r="Y153" i="18" s="1"/>
  <c r="W76" i="18"/>
  <c r="D76" i="18"/>
  <c r="E76" i="18" s="1"/>
  <c r="F76" i="18" s="1"/>
  <c r="B76" i="20"/>
  <c r="W174" i="20"/>
  <c r="D174" i="20"/>
  <c r="E174" i="20" s="1"/>
  <c r="F174" i="20" s="1"/>
  <c r="B174" i="22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G105" i="17"/>
  <c r="BZ105" i="6" s="1"/>
  <c r="H105" i="17"/>
  <c r="AA105" i="17"/>
  <c r="Z105" i="17" s="1"/>
  <c r="Y10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C76" i="6" s="1"/>
  <c r="I76" i="17"/>
  <c r="B76" i="6" s="1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B195" i="6" s="1"/>
  <c r="J195" i="17"/>
  <c r="C195" i="6" s="1"/>
  <c r="J253" i="17"/>
  <c r="C253" i="6" s="1"/>
  <c r="I253" i="17"/>
  <c r="B253" i="6" s="1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B264" i="6" s="1"/>
  <c r="J264" i="17"/>
  <c r="C264" i="6" s="1"/>
  <c r="H98" i="17"/>
  <c r="H335" i="17"/>
  <c r="J217" i="17"/>
  <c r="C217" i="6" s="1"/>
  <c r="I217" i="17"/>
  <c r="I204" i="17"/>
  <c r="B204" i="6" s="1"/>
  <c r="J204" i="17"/>
  <c r="C204" i="6" s="1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C43" i="6" s="1"/>
  <c r="I43" i="17"/>
  <c r="B43" i="6" s="1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B251" i="6" s="1"/>
  <c r="J251" i="17"/>
  <c r="C251" i="6" s="1"/>
  <c r="G67" i="17"/>
  <c r="BZ67" i="6" s="1"/>
  <c r="J234" i="17"/>
  <c r="C234" i="6" s="1"/>
  <c r="I234" i="17"/>
  <c r="B234" i="6" s="1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B93" i="6" s="1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B316" i="6" s="1"/>
  <c r="J316" i="17"/>
  <c r="C316" i="6" s="1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B240" i="6" s="1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H217" i="18" l="1"/>
  <c r="J217" i="18" s="1"/>
  <c r="B217" i="6"/>
  <c r="H205" i="18"/>
  <c r="I205" i="18" s="1"/>
  <c r="B205" i="6"/>
  <c r="B70" i="19"/>
  <c r="V381" i="25"/>
  <c r="V382" i="25"/>
  <c r="V383" i="25"/>
  <c r="AA19" i="18"/>
  <c r="Z19" i="18" s="1"/>
  <c r="Y19" i="18" s="1"/>
  <c r="G265" i="18"/>
  <c r="CA265" i="6" s="1"/>
  <c r="W59" i="20"/>
  <c r="B108" i="22"/>
  <c r="D108" i="22" s="1"/>
  <c r="E108" i="22" s="1"/>
  <c r="F108" i="22" s="1"/>
  <c r="W363" i="20"/>
  <c r="B152" i="22"/>
  <c r="W152" i="22" s="1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B70" i="22"/>
  <c r="D70" i="22" s="1"/>
  <c r="E70" i="22" s="1"/>
  <c r="F70" i="22" s="1"/>
  <c r="W237" i="20"/>
  <c r="D262" i="20"/>
  <c r="E262" i="20" s="1"/>
  <c r="F262" i="20" s="1"/>
  <c r="G262" i="20" s="1"/>
  <c r="CB262" i="6" s="1"/>
  <c r="B28" i="22"/>
  <c r="W28" i="22" s="1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B363" i="22"/>
  <c r="W363" i="22" s="1"/>
  <c r="D152" i="20"/>
  <c r="E152" i="20" s="1"/>
  <c r="F152" i="20" s="1"/>
  <c r="G152" i="20" s="1"/>
  <c r="CB152" i="6" s="1"/>
  <c r="B212" i="22"/>
  <c r="W212" i="22" s="1"/>
  <c r="B351" i="22"/>
  <c r="W351" i="22" s="1"/>
  <c r="B237" i="22"/>
  <c r="D237" i="22" s="1"/>
  <c r="E237" i="22" s="1"/>
  <c r="F237" i="22" s="1"/>
  <c r="W28" i="20"/>
  <c r="B359" i="22"/>
  <c r="W359" i="22" s="1"/>
  <c r="D258" i="20"/>
  <c r="E258" i="20" s="1"/>
  <c r="F258" i="20" s="1"/>
  <c r="AA258" i="20" s="1"/>
  <c r="Z258" i="20" s="1"/>
  <c r="Y258" i="20" s="1"/>
  <c r="H251" i="18"/>
  <c r="I251" i="18" s="1"/>
  <c r="BA251" i="6" s="1"/>
  <c r="D251" i="6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B331" i="22"/>
  <c r="W331" i="22" s="1"/>
  <c r="B306" i="22"/>
  <c r="D306" i="22" s="1"/>
  <c r="E306" i="22" s="1"/>
  <c r="F306" i="22" s="1"/>
  <c r="B205" i="22"/>
  <c r="D205" i="22" s="1"/>
  <c r="E205" i="22" s="1"/>
  <c r="F205" i="22" s="1"/>
  <c r="D224" i="20"/>
  <c r="E224" i="20" s="1"/>
  <c r="F224" i="20" s="1"/>
  <c r="G224" i="20" s="1"/>
  <c r="CB224" i="6" s="1"/>
  <c r="W68" i="20"/>
  <c r="B329" i="22"/>
  <c r="D329" i="22" s="1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B337" i="22"/>
  <c r="W337" i="22" s="1"/>
  <c r="B211" i="22"/>
  <c r="D211" i="22" s="1"/>
  <c r="E211" i="22" s="1"/>
  <c r="F211" i="22" s="1"/>
  <c r="B59" i="22"/>
  <c r="D59" i="22" s="1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B259" i="22"/>
  <c r="W259" i="22" s="1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B358" i="22"/>
  <c r="D358" i="22" s="1"/>
  <c r="E358" i="22" s="1"/>
  <c r="F358" i="22" s="1"/>
  <c r="W359" i="20"/>
  <c r="D300" i="20"/>
  <c r="E300" i="20" s="1"/>
  <c r="F300" i="20" s="1"/>
  <c r="G300" i="20" s="1"/>
  <c r="CB300" i="6" s="1"/>
  <c r="W120" i="20"/>
  <c r="B79" i="22"/>
  <c r="W79" i="22" s="1"/>
  <c r="W270" i="20"/>
  <c r="W92" i="20"/>
  <c r="B50" i="22"/>
  <c r="D50" i="22" s="1"/>
  <c r="E50" i="22" s="1"/>
  <c r="F50" i="22" s="1"/>
  <c r="B197" i="22"/>
  <c r="W197" i="22" s="1"/>
  <c r="B335" i="22"/>
  <c r="W335" i="22" s="1"/>
  <c r="W54" i="20"/>
  <c r="B30" i="22"/>
  <c r="W30" i="22" s="1"/>
  <c r="W101" i="20"/>
  <c r="B19" i="22"/>
  <c r="D19" i="22" s="1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B193" i="22"/>
  <c r="D193" i="22" s="1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B269" i="22"/>
  <c r="D269" i="22" s="1"/>
  <c r="E269" i="22" s="1"/>
  <c r="F269" i="22" s="1"/>
  <c r="B231" i="22"/>
  <c r="D231" i="22" s="1"/>
  <c r="E231" i="22" s="1"/>
  <c r="F231" i="22" s="1"/>
  <c r="B300" i="22"/>
  <c r="D300" i="22" s="1"/>
  <c r="E300" i="22" s="1"/>
  <c r="F300" i="22" s="1"/>
  <c r="D120" i="20"/>
  <c r="E120" i="20" s="1"/>
  <c r="F120" i="20" s="1"/>
  <c r="G120" i="20" s="1"/>
  <c r="CB120" i="6" s="1"/>
  <c r="B327" i="22"/>
  <c r="W327" i="22" s="1"/>
  <c r="W79" i="20"/>
  <c r="B270" i="22"/>
  <c r="D270" i="22" s="1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B316" i="22"/>
  <c r="W316" i="22" s="1"/>
  <c r="B155" i="22"/>
  <c r="D155" i="22" s="1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B18" i="22"/>
  <c r="W18" i="22" s="1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B192" i="22"/>
  <c r="D192" i="22" s="1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B116" i="22"/>
  <c r="D116" i="22" s="1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B153" i="22"/>
  <c r="W153" i="22" s="1"/>
  <c r="W251" i="20"/>
  <c r="D338" i="20"/>
  <c r="E338" i="20" s="1"/>
  <c r="F338" i="20" s="1"/>
  <c r="G338" i="20" s="1"/>
  <c r="CB338" i="6" s="1"/>
  <c r="B54" i="22"/>
  <c r="D54" i="22" s="1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B228" i="22"/>
  <c r="W228" i="22" s="1"/>
  <c r="B94" i="22"/>
  <c r="D94" i="22" s="1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B183" i="22"/>
  <c r="W183" i="22" s="1"/>
  <c r="W116" i="20"/>
  <c r="B95" i="22"/>
  <c r="W95" i="22" s="1"/>
  <c r="B180" i="22"/>
  <c r="D180" i="22" s="1"/>
  <c r="E180" i="22" s="1"/>
  <c r="F180" i="22" s="1"/>
  <c r="J296" i="17"/>
  <c r="C296" i="6" s="1"/>
  <c r="I267" i="17"/>
  <c r="B43" i="22"/>
  <c r="W43" i="22" s="1"/>
  <c r="D227" i="20"/>
  <c r="E227" i="20" s="1"/>
  <c r="F227" i="20" s="1"/>
  <c r="AA227" i="20" s="1"/>
  <c r="Z227" i="20" s="1"/>
  <c r="Y227" i="20" s="1"/>
  <c r="J205" i="17"/>
  <c r="C205" i="6" s="1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B312" i="22"/>
  <c r="W312" i="22" s="1"/>
  <c r="B168" i="22"/>
  <c r="D168" i="22" s="1"/>
  <c r="E168" i="22" s="1"/>
  <c r="F168" i="22" s="1"/>
  <c r="B377" i="22"/>
  <c r="D377" i="22" s="1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B164" i="22"/>
  <c r="W164" i="22" s="1"/>
  <c r="AA353" i="18"/>
  <c r="Z353" i="18" s="1"/>
  <c r="Y353" i="18" s="1"/>
  <c r="B338" i="22"/>
  <c r="W338" i="22" s="1"/>
  <c r="B297" i="22"/>
  <c r="W297" i="22" s="1"/>
  <c r="B344" i="22"/>
  <c r="D344" i="22" s="1"/>
  <c r="E344" i="22" s="1"/>
  <c r="F344" i="22" s="1"/>
  <c r="D193" i="20"/>
  <c r="E193" i="20" s="1"/>
  <c r="F193" i="20" s="1"/>
  <c r="AA193" i="20" s="1"/>
  <c r="Z193" i="20" s="1"/>
  <c r="Y193" i="20" s="1"/>
  <c r="B326" i="22"/>
  <c r="W326" i="22" s="1"/>
  <c r="W192" i="20"/>
  <c r="W94" i="20"/>
  <c r="B170" i="22"/>
  <c r="D170" i="22" s="1"/>
  <c r="E170" i="22" s="1"/>
  <c r="F170" i="22" s="1"/>
  <c r="B323" i="22"/>
  <c r="D323" i="22" s="1"/>
  <c r="E323" i="22" s="1"/>
  <c r="F323" i="22" s="1"/>
  <c r="D167" i="20"/>
  <c r="E167" i="20" s="1"/>
  <c r="F167" i="20" s="1"/>
  <c r="G167" i="20" s="1"/>
  <c r="CB167" i="6" s="1"/>
  <c r="B367" i="22"/>
  <c r="W367" i="22" s="1"/>
  <c r="B136" i="22"/>
  <c r="W136" i="22" s="1"/>
  <c r="W95" i="20"/>
  <c r="W180" i="20"/>
  <c r="W366" i="20"/>
  <c r="B380" i="20"/>
  <c r="B366" i="22"/>
  <c r="W366" i="22" s="1"/>
  <c r="B224" i="22"/>
  <c r="W224" i="22" s="1"/>
  <c r="B129" i="22"/>
  <c r="D129" i="22" s="1"/>
  <c r="E129" i="22" s="1"/>
  <c r="F129" i="22" s="1"/>
  <c r="B294" i="22"/>
  <c r="D294" i="22" s="1"/>
  <c r="E294" i="22" s="1"/>
  <c r="F294" i="22" s="1"/>
  <c r="B97" i="22"/>
  <c r="W97" i="22" s="1"/>
  <c r="B208" i="22"/>
  <c r="D208" i="22" s="1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B258" i="22"/>
  <c r="D258" i="22" s="1"/>
  <c r="E258" i="22" s="1"/>
  <c r="F258" i="22" s="1"/>
  <c r="B92" i="22"/>
  <c r="D92" i="22" s="1"/>
  <c r="E92" i="22" s="1"/>
  <c r="F92" i="22" s="1"/>
  <c r="D19" i="20"/>
  <c r="E19" i="20" s="1"/>
  <c r="F19" i="20" s="1"/>
  <c r="AA19" i="20" s="1"/>
  <c r="Z19" i="20" s="1"/>
  <c r="Y19" i="20" s="1"/>
  <c r="B284" i="22"/>
  <c r="W284" i="22" s="1"/>
  <c r="D316" i="20"/>
  <c r="E316" i="20" s="1"/>
  <c r="F316" i="20" s="1"/>
  <c r="G316" i="20" s="1"/>
  <c r="CB316" i="6" s="1"/>
  <c r="B227" i="22"/>
  <c r="W227" i="22" s="1"/>
  <c r="G224" i="18"/>
  <c r="CA224" i="6" s="1"/>
  <c r="B38" i="22"/>
  <c r="W38" i="22" s="1"/>
  <c r="B353" i="22"/>
  <c r="D353" i="22" s="1"/>
  <c r="E353" i="22" s="1"/>
  <c r="F353" i="22" s="1"/>
  <c r="D299" i="20"/>
  <c r="E299" i="20" s="1"/>
  <c r="F299" i="20" s="1"/>
  <c r="G299" i="20" s="1"/>
  <c r="CB299" i="6" s="1"/>
  <c r="B64" i="22"/>
  <c r="D64" i="22" s="1"/>
  <c r="E64" i="22" s="1"/>
  <c r="F64" i="22" s="1"/>
  <c r="B243" i="22"/>
  <c r="D243" i="22" s="1"/>
  <c r="E243" i="22" s="1"/>
  <c r="F243" i="22" s="1"/>
  <c r="B324" i="22"/>
  <c r="W324" i="22" s="1"/>
  <c r="W18" i="20"/>
  <c r="B301" i="22"/>
  <c r="D301" i="22" s="1"/>
  <c r="E301" i="22" s="1"/>
  <c r="F301" i="22" s="1"/>
  <c r="B179" i="22"/>
  <c r="D179" i="22" s="1"/>
  <c r="E179" i="22" s="1"/>
  <c r="F179" i="22" s="1"/>
  <c r="B348" i="22"/>
  <c r="D348" i="22" s="1"/>
  <c r="E348" i="22" s="1"/>
  <c r="F348" i="22" s="1"/>
  <c r="B216" i="22"/>
  <c r="D216" i="22" s="1"/>
  <c r="E216" i="22" s="1"/>
  <c r="F216" i="22" s="1"/>
  <c r="B131" i="22"/>
  <c r="D131" i="22" s="1"/>
  <c r="E131" i="22" s="1"/>
  <c r="F131" i="22" s="1"/>
  <c r="B255" i="22"/>
  <c r="D255" i="22" s="1"/>
  <c r="E255" i="22" s="1"/>
  <c r="F255" i="22" s="1"/>
  <c r="B167" i="22"/>
  <c r="D167" i="22" s="1"/>
  <c r="E167" i="22" s="1"/>
  <c r="F167" i="22" s="1"/>
  <c r="B55" i="22"/>
  <c r="D55" i="22" s="1"/>
  <c r="E55" i="22" s="1"/>
  <c r="F55" i="22" s="1"/>
  <c r="B265" i="22"/>
  <c r="W265" i="22" s="1"/>
  <c r="B35" i="22"/>
  <c r="D35" i="22" s="1"/>
  <c r="E35" i="22" s="1"/>
  <c r="F35" i="22" s="1"/>
  <c r="B23" i="22"/>
  <c r="D23" i="22" s="1"/>
  <c r="E23" i="22" s="1"/>
  <c r="F23" i="22" s="1"/>
  <c r="J251" i="18"/>
  <c r="J243" i="17"/>
  <c r="C243" i="6" s="1"/>
  <c r="I243" i="17"/>
  <c r="J97" i="17"/>
  <c r="C97" i="6" s="1"/>
  <c r="I97" i="17"/>
  <c r="B97" i="6" s="1"/>
  <c r="J173" i="17"/>
  <c r="C173" i="6" s="1"/>
  <c r="I173" i="17"/>
  <c r="J64" i="17"/>
  <c r="C64" i="6" s="1"/>
  <c r="I64" i="17"/>
  <c r="J261" i="17"/>
  <c r="C261" i="6" s="1"/>
  <c r="I261" i="17"/>
  <c r="J140" i="17"/>
  <c r="C140" i="6" s="1"/>
  <c r="I140" i="17"/>
  <c r="I110" i="17"/>
  <c r="J110" i="17"/>
  <c r="C110" i="6" s="1"/>
  <c r="I206" i="17"/>
  <c r="J206" i="17"/>
  <c r="C206" i="6" s="1"/>
  <c r="J236" i="17"/>
  <c r="C236" i="6" s="1"/>
  <c r="I236" i="17"/>
  <c r="I139" i="17"/>
  <c r="J139" i="17"/>
  <c r="C139" i="6" s="1"/>
  <c r="J181" i="17"/>
  <c r="C181" i="6" s="1"/>
  <c r="I181" i="17"/>
  <c r="J266" i="17"/>
  <c r="C266" i="6" s="1"/>
  <c r="I266" i="17"/>
  <c r="I200" i="17"/>
  <c r="J200" i="17"/>
  <c r="C200" i="6" s="1"/>
  <c r="I257" i="17"/>
  <c r="J257" i="17"/>
  <c r="C257" i="6" s="1"/>
  <c r="I119" i="17"/>
  <c r="J119" i="17"/>
  <c r="C119" i="6" s="1"/>
  <c r="J237" i="17"/>
  <c r="C237" i="6" s="1"/>
  <c r="I237" i="17"/>
  <c r="I286" i="17"/>
  <c r="J286" i="17"/>
  <c r="C286" i="6" s="1"/>
  <c r="J254" i="17"/>
  <c r="C254" i="6" s="1"/>
  <c r="I254" i="17"/>
  <c r="J238" i="17"/>
  <c r="C238" i="6" s="1"/>
  <c r="I238" i="17"/>
  <c r="B238" i="6" s="1"/>
  <c r="J151" i="17"/>
  <c r="C151" i="6" s="1"/>
  <c r="I151" i="17"/>
  <c r="J99" i="17"/>
  <c r="C99" i="6" s="1"/>
  <c r="I99" i="17"/>
  <c r="J112" i="17"/>
  <c r="C112" i="6" s="1"/>
  <c r="I112" i="17"/>
  <c r="J343" i="17"/>
  <c r="C343" i="6" s="1"/>
  <c r="I343" i="17"/>
  <c r="J291" i="17"/>
  <c r="C291" i="6" s="1"/>
  <c r="I291" i="17"/>
  <c r="I126" i="17"/>
  <c r="J126" i="17"/>
  <c r="C126" i="6" s="1"/>
  <c r="I111" i="17"/>
  <c r="J111" i="17"/>
  <c r="C111" i="6" s="1"/>
  <c r="I48" i="17"/>
  <c r="J48" i="17"/>
  <c r="C48" i="6" s="1"/>
  <c r="I228" i="17"/>
  <c r="J228" i="17"/>
  <c r="C228" i="6" s="1"/>
  <c r="J317" i="17"/>
  <c r="C317" i="6" s="1"/>
  <c r="I317" i="17"/>
  <c r="J370" i="17"/>
  <c r="C370" i="6" s="1"/>
  <c r="I370" i="17"/>
  <c r="J162" i="17"/>
  <c r="C162" i="6" s="1"/>
  <c r="I162" i="17"/>
  <c r="I67" i="17"/>
  <c r="J67" i="17"/>
  <c r="C67" i="6" s="1"/>
  <c r="J61" i="17"/>
  <c r="C61" i="6" s="1"/>
  <c r="I61" i="17"/>
  <c r="I186" i="17"/>
  <c r="J186" i="17"/>
  <c r="C186" i="6" s="1"/>
  <c r="J330" i="17"/>
  <c r="C330" i="6" s="1"/>
  <c r="I330" i="17"/>
  <c r="J145" i="17"/>
  <c r="C145" i="6" s="1"/>
  <c r="I145" i="17"/>
  <c r="J101" i="17"/>
  <c r="C101" i="6" s="1"/>
  <c r="I101" i="17"/>
  <c r="J297" i="17"/>
  <c r="C297" i="6" s="1"/>
  <c r="I297" i="17"/>
  <c r="I276" i="17"/>
  <c r="J276" i="17"/>
  <c r="C276" i="6" s="1"/>
  <c r="J42" i="17"/>
  <c r="C42" i="6" s="1"/>
  <c r="I42" i="17"/>
  <c r="J77" i="17"/>
  <c r="C77" i="6" s="1"/>
  <c r="I77" i="17"/>
  <c r="J27" i="17"/>
  <c r="C27" i="6" s="1"/>
  <c r="I27" i="17"/>
  <c r="I307" i="17"/>
  <c r="J307" i="17"/>
  <c r="C307" i="6" s="1"/>
  <c r="J91" i="17"/>
  <c r="C91" i="6" s="1"/>
  <c r="I91" i="17"/>
  <c r="J182" i="17"/>
  <c r="C182" i="6" s="1"/>
  <c r="I182" i="17"/>
  <c r="I360" i="17"/>
  <c r="J360" i="17"/>
  <c r="C360" i="6" s="1"/>
  <c r="I46" i="17"/>
  <c r="J46" i="17"/>
  <c r="C46" i="6" s="1"/>
  <c r="J300" i="17"/>
  <c r="C300" i="6" s="1"/>
  <c r="I300" i="17"/>
  <c r="I59" i="17"/>
  <c r="J59" i="17"/>
  <c r="C59" i="6" s="1"/>
  <c r="J275" i="17"/>
  <c r="C275" i="6" s="1"/>
  <c r="I275" i="17"/>
  <c r="I152" i="17"/>
  <c r="J152" i="17"/>
  <c r="C152" i="6" s="1"/>
  <c r="I178" i="17"/>
  <c r="J178" i="17"/>
  <c r="C178" i="6" s="1"/>
  <c r="J203" i="17"/>
  <c r="C203" i="6" s="1"/>
  <c r="I203" i="17"/>
  <c r="J210" i="17"/>
  <c r="C210" i="6" s="1"/>
  <c r="I210" i="17"/>
  <c r="J156" i="17"/>
  <c r="C156" i="6" s="1"/>
  <c r="I156" i="17"/>
  <c r="J164" i="17"/>
  <c r="C164" i="6" s="1"/>
  <c r="I164" i="17"/>
  <c r="J133" i="17"/>
  <c r="C133" i="6" s="1"/>
  <c r="I133" i="17"/>
  <c r="J373" i="17"/>
  <c r="C373" i="6" s="1"/>
  <c r="I373" i="17"/>
  <c r="I53" i="17"/>
  <c r="J53" i="17"/>
  <c r="C53" i="6" s="1"/>
  <c r="J135" i="17"/>
  <c r="C135" i="6" s="1"/>
  <c r="I135" i="17"/>
  <c r="J81" i="17"/>
  <c r="C81" i="6" s="1"/>
  <c r="I81" i="17"/>
  <c r="J176" i="17"/>
  <c r="C176" i="6" s="1"/>
  <c r="I176" i="17"/>
  <c r="I372" i="17"/>
  <c r="J372" i="17"/>
  <c r="C372" i="6" s="1"/>
  <c r="I56" i="17"/>
  <c r="J56" i="17"/>
  <c r="C56" i="6" s="1"/>
  <c r="J318" i="17"/>
  <c r="C318" i="6" s="1"/>
  <c r="I318" i="17"/>
  <c r="J364" i="17"/>
  <c r="C364" i="6" s="1"/>
  <c r="I364" i="17"/>
  <c r="I179" i="17"/>
  <c r="J179" i="17"/>
  <c r="C179" i="6" s="1"/>
  <c r="I29" i="17"/>
  <c r="J29" i="17"/>
  <c r="C29" i="6" s="1"/>
  <c r="J37" i="17"/>
  <c r="C37" i="6" s="1"/>
  <c r="I37" i="17"/>
  <c r="I246" i="17"/>
  <c r="J246" i="17"/>
  <c r="C246" i="6" s="1"/>
  <c r="I75" i="17"/>
  <c r="J75" i="17"/>
  <c r="C75" i="6" s="1"/>
  <c r="J308" i="17"/>
  <c r="C308" i="6" s="1"/>
  <c r="I308" i="17"/>
  <c r="I323" i="17"/>
  <c r="J323" i="17"/>
  <c r="C323" i="6" s="1"/>
  <c r="J169" i="17"/>
  <c r="C169" i="6" s="1"/>
  <c r="I169" i="17"/>
  <c r="I376" i="17"/>
  <c r="J376" i="17"/>
  <c r="C376" i="6" s="1"/>
  <c r="I295" i="17"/>
  <c r="J295" i="17"/>
  <c r="C295" i="6" s="1"/>
  <c r="J191" i="17"/>
  <c r="C191" i="6" s="1"/>
  <c r="I191" i="17"/>
  <c r="J158" i="17"/>
  <c r="C158" i="6" s="1"/>
  <c r="I158" i="17"/>
  <c r="J235" i="17"/>
  <c r="C235" i="6" s="1"/>
  <c r="I235" i="17"/>
  <c r="J198" i="17"/>
  <c r="C198" i="6" s="1"/>
  <c r="I198" i="17"/>
  <c r="I279" i="17"/>
  <c r="J279" i="17"/>
  <c r="C279" i="6" s="1"/>
  <c r="I187" i="17"/>
  <c r="J187" i="17"/>
  <c r="C187" i="6" s="1"/>
  <c r="I149" i="17"/>
  <c r="J149" i="17"/>
  <c r="C149" i="6" s="1"/>
  <c r="J327" i="17"/>
  <c r="C327" i="6" s="1"/>
  <c r="I327" i="17"/>
  <c r="J336" i="17"/>
  <c r="C336" i="6" s="1"/>
  <c r="I336" i="17"/>
  <c r="J147" i="17"/>
  <c r="C147" i="6" s="1"/>
  <c r="I147" i="17"/>
  <c r="J190" i="17"/>
  <c r="C190" i="6" s="1"/>
  <c r="I190" i="17"/>
  <c r="J344" i="17"/>
  <c r="C344" i="6" s="1"/>
  <c r="I344" i="17"/>
  <c r="I277" i="17"/>
  <c r="J277" i="17"/>
  <c r="C277" i="6" s="1"/>
  <c r="I313" i="17"/>
  <c r="J313" i="17"/>
  <c r="C313" i="6" s="1"/>
  <c r="J342" i="17"/>
  <c r="C342" i="6" s="1"/>
  <c r="I342" i="17"/>
  <c r="J23" i="17"/>
  <c r="C23" i="6" s="1"/>
  <c r="I23" i="17"/>
  <c r="I96" i="17"/>
  <c r="J96" i="17"/>
  <c r="C96" i="6" s="1"/>
  <c r="J141" i="17"/>
  <c r="C141" i="6" s="1"/>
  <c r="I141" i="17"/>
  <c r="J85" i="17"/>
  <c r="C85" i="6" s="1"/>
  <c r="I85" i="17"/>
  <c r="J24" i="17"/>
  <c r="C24" i="6" s="1"/>
  <c r="I24" i="17"/>
  <c r="J245" i="17"/>
  <c r="C245" i="6" s="1"/>
  <c r="I245" i="17"/>
  <c r="J155" i="17"/>
  <c r="C155" i="6" s="1"/>
  <c r="I155" i="17"/>
  <c r="J52" i="17"/>
  <c r="C52" i="6" s="1"/>
  <c r="I52" i="17"/>
  <c r="J320" i="17"/>
  <c r="C320" i="6" s="1"/>
  <c r="I320" i="17"/>
  <c r="J269" i="17"/>
  <c r="C269" i="6" s="1"/>
  <c r="I269" i="17"/>
  <c r="I248" i="17"/>
  <c r="J248" i="17"/>
  <c r="C248" i="6" s="1"/>
  <c r="I375" i="17"/>
  <c r="J375" i="17"/>
  <c r="C375" i="6" s="1"/>
  <c r="J331" i="17"/>
  <c r="C331" i="6" s="1"/>
  <c r="I331" i="17"/>
  <c r="J325" i="17"/>
  <c r="C325" i="6" s="1"/>
  <c r="I325" i="17"/>
  <c r="J374" i="17"/>
  <c r="C374" i="6" s="1"/>
  <c r="I374" i="17"/>
  <c r="I310" i="17"/>
  <c r="J310" i="17"/>
  <c r="C310" i="6" s="1"/>
  <c r="J144" i="17"/>
  <c r="C144" i="6" s="1"/>
  <c r="I144" i="17"/>
  <c r="J17" i="17"/>
  <c r="C17" i="6" s="1"/>
  <c r="I17" i="17"/>
  <c r="I315" i="17"/>
  <c r="J315" i="17"/>
  <c r="C315" i="6" s="1"/>
  <c r="J25" i="17"/>
  <c r="C25" i="6" s="1"/>
  <c r="I25" i="17"/>
  <c r="I28" i="17"/>
  <c r="J28" i="17"/>
  <c r="C28" i="6" s="1"/>
  <c r="I107" i="17"/>
  <c r="J107" i="17"/>
  <c r="C107" i="6" s="1"/>
  <c r="J66" i="17"/>
  <c r="C66" i="6" s="1"/>
  <c r="I66" i="17"/>
  <c r="J82" i="17"/>
  <c r="C82" i="6" s="1"/>
  <c r="I82" i="17"/>
  <c r="I157" i="17"/>
  <c r="J157" i="17"/>
  <c r="C157" i="6" s="1"/>
  <c r="J78" i="17"/>
  <c r="C78" i="6" s="1"/>
  <c r="I78" i="17"/>
  <c r="J274" i="17"/>
  <c r="C274" i="6" s="1"/>
  <c r="I274" i="17"/>
  <c r="I106" i="17"/>
  <c r="J106" i="17"/>
  <c r="C106" i="6" s="1"/>
  <c r="I180" i="17"/>
  <c r="J180" i="17"/>
  <c r="C180" i="6" s="1"/>
  <c r="I117" i="17"/>
  <c r="J117" i="17"/>
  <c r="C117" i="6" s="1"/>
  <c r="I230" i="17"/>
  <c r="J230" i="17"/>
  <c r="C230" i="6" s="1"/>
  <c r="G59" i="18"/>
  <c r="CA59" i="6" s="1"/>
  <c r="AA59" i="18"/>
  <c r="Z59" i="18" s="1"/>
  <c r="Y59" i="18" s="1"/>
  <c r="I104" i="17"/>
  <c r="J104" i="17"/>
  <c r="C104" i="6" s="1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C113" i="6" s="1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C337" i="6" s="1"/>
  <c r="I337" i="17"/>
  <c r="J98" i="17"/>
  <c r="C98" i="6" s="1"/>
  <c r="I98" i="17"/>
  <c r="I102" i="17"/>
  <c r="J102" i="17"/>
  <c r="C102" i="6" s="1"/>
  <c r="J32" i="17"/>
  <c r="C32" i="6" s="1"/>
  <c r="I32" i="17"/>
  <c r="J72" i="17"/>
  <c r="C72" i="6" s="1"/>
  <c r="I72" i="17"/>
  <c r="I329" i="17"/>
  <c r="J329" i="17"/>
  <c r="C329" i="6" s="1"/>
  <c r="I26" i="17"/>
  <c r="J26" i="17"/>
  <c r="C26" i="6" s="1"/>
  <c r="I130" i="17"/>
  <c r="J130" i="17"/>
  <c r="C130" i="6" s="1"/>
  <c r="I177" i="17"/>
  <c r="J177" i="17"/>
  <c r="C177" i="6" s="1"/>
  <c r="J233" i="17"/>
  <c r="C233" i="6" s="1"/>
  <c r="I233" i="17"/>
  <c r="J92" i="17"/>
  <c r="C92" i="6" s="1"/>
  <c r="I92" i="17"/>
  <c r="I256" i="17"/>
  <c r="J256" i="17"/>
  <c r="C256" i="6" s="1"/>
  <c r="J259" i="17"/>
  <c r="C259" i="6" s="1"/>
  <c r="I259" i="17"/>
  <c r="I50" i="17"/>
  <c r="J50" i="17"/>
  <c r="C50" i="6" s="1"/>
  <c r="J161" i="17"/>
  <c r="C161" i="6" s="1"/>
  <c r="I161" i="17"/>
  <c r="I192" i="17"/>
  <c r="J192" i="17"/>
  <c r="C192" i="6" s="1"/>
  <c r="J219" i="17"/>
  <c r="C219" i="6" s="1"/>
  <c r="I219" i="17"/>
  <c r="J38" i="17"/>
  <c r="C38" i="6" s="1"/>
  <c r="I38" i="17"/>
  <c r="I213" i="17"/>
  <c r="J213" i="17"/>
  <c r="C213" i="6" s="1"/>
  <c r="J136" i="17"/>
  <c r="C136" i="6" s="1"/>
  <c r="I136" i="17"/>
  <c r="J280" i="17"/>
  <c r="C280" i="6" s="1"/>
  <c r="I280" i="17"/>
  <c r="J214" i="17"/>
  <c r="C214" i="6" s="1"/>
  <c r="I214" i="17"/>
  <c r="J348" i="17"/>
  <c r="C348" i="6" s="1"/>
  <c r="I348" i="17"/>
  <c r="J84" i="17"/>
  <c r="C84" i="6" s="1"/>
  <c r="I84" i="17"/>
  <c r="I170" i="17"/>
  <c r="J170" i="17"/>
  <c r="C170" i="6" s="1"/>
  <c r="I103" i="17"/>
  <c r="J103" i="17"/>
  <c r="C103" i="6" s="1"/>
  <c r="J51" i="17"/>
  <c r="C51" i="6" s="1"/>
  <c r="I51" i="17"/>
  <c r="I346" i="17"/>
  <c r="J346" i="17"/>
  <c r="C346" i="6" s="1"/>
  <c r="J239" i="17"/>
  <c r="C239" i="6" s="1"/>
  <c r="I239" i="17"/>
  <c r="J332" i="17"/>
  <c r="C332" i="6" s="1"/>
  <c r="I332" i="17"/>
  <c r="I202" i="17"/>
  <c r="J202" i="17"/>
  <c r="C202" i="6" s="1"/>
  <c r="J260" i="17"/>
  <c r="C260" i="6" s="1"/>
  <c r="I260" i="17"/>
  <c r="I165" i="17"/>
  <c r="J165" i="17"/>
  <c r="C165" i="6" s="1"/>
  <c r="J73" i="17"/>
  <c r="C73" i="6" s="1"/>
  <c r="I73" i="17"/>
  <c r="I229" i="17"/>
  <c r="J229" i="17"/>
  <c r="C229" i="6" s="1"/>
  <c r="I250" i="17"/>
  <c r="J250" i="17"/>
  <c r="C250" i="6" s="1"/>
  <c r="I357" i="17"/>
  <c r="J357" i="17"/>
  <c r="C357" i="6" s="1"/>
  <c r="I47" i="17"/>
  <c r="J47" i="17"/>
  <c r="C47" i="6" s="1"/>
  <c r="J129" i="17"/>
  <c r="C129" i="6" s="1"/>
  <c r="I129" i="17"/>
  <c r="I293" i="17"/>
  <c r="J293" i="17"/>
  <c r="C293" i="6" s="1"/>
  <c r="I302" i="17"/>
  <c r="J302" i="17"/>
  <c r="C302" i="6" s="1"/>
  <c r="I146" i="17"/>
  <c r="J146" i="17"/>
  <c r="C146" i="6" s="1"/>
  <c r="J58" i="17"/>
  <c r="C58" i="6" s="1"/>
  <c r="I58" i="17"/>
  <c r="J271" i="17"/>
  <c r="C271" i="6" s="1"/>
  <c r="I271" i="17"/>
  <c r="J379" i="17"/>
  <c r="C379" i="6" s="1"/>
  <c r="I379" i="17"/>
  <c r="I171" i="17"/>
  <c r="J171" i="17"/>
  <c r="C171" i="6" s="1"/>
  <c r="I40" i="17"/>
  <c r="J40" i="17"/>
  <c r="C40" i="6" s="1"/>
  <c r="J355" i="17"/>
  <c r="C355" i="6" s="1"/>
  <c r="I355" i="17"/>
  <c r="J287" i="17"/>
  <c r="C287" i="6" s="1"/>
  <c r="I287" i="17"/>
  <c r="I324" i="17"/>
  <c r="J324" i="17"/>
  <c r="C324" i="6" s="1"/>
  <c r="I201" i="17"/>
  <c r="J201" i="17"/>
  <c r="C201" i="6" s="1"/>
  <c r="I366" i="17"/>
  <c r="J366" i="17"/>
  <c r="C366" i="6" s="1"/>
  <c r="J95" i="17"/>
  <c r="C95" i="6" s="1"/>
  <c r="I95" i="17"/>
  <c r="I86" i="17"/>
  <c r="J86" i="17"/>
  <c r="C86" i="6" s="1"/>
  <c r="I309" i="17"/>
  <c r="J309" i="17"/>
  <c r="C309" i="6" s="1"/>
  <c r="I367" i="17"/>
  <c r="J367" i="17"/>
  <c r="C367" i="6" s="1"/>
  <c r="J306" i="17"/>
  <c r="C306" i="6" s="1"/>
  <c r="I306" i="17"/>
  <c r="J363" i="17"/>
  <c r="C363" i="6" s="1"/>
  <c r="I363" i="17"/>
  <c r="J351" i="17"/>
  <c r="C351" i="6" s="1"/>
  <c r="I351" i="17"/>
  <c r="J60" i="17"/>
  <c r="C60" i="6" s="1"/>
  <c r="I60" i="17"/>
  <c r="J194" i="17"/>
  <c r="C194" i="6" s="1"/>
  <c r="I194" i="17"/>
  <c r="I142" i="17"/>
  <c r="J142" i="17"/>
  <c r="C142" i="6" s="1"/>
  <c r="I304" i="17"/>
  <c r="J304" i="17"/>
  <c r="C304" i="6" s="1"/>
  <c r="J105" i="17"/>
  <c r="C105" i="6" s="1"/>
  <c r="I105" i="17"/>
  <c r="I226" i="17"/>
  <c r="J226" i="17"/>
  <c r="C226" i="6" s="1"/>
  <c r="J88" i="17"/>
  <c r="C88" i="6" s="1"/>
  <c r="I88" i="17"/>
  <c r="I172" i="17"/>
  <c r="J172" i="17"/>
  <c r="C172" i="6" s="1"/>
  <c r="J321" i="17"/>
  <c r="C321" i="6" s="1"/>
  <c r="I321" i="17"/>
  <c r="I150" i="17"/>
  <c r="J150" i="17"/>
  <c r="C150" i="6" s="1"/>
  <c r="J241" i="17"/>
  <c r="C241" i="6" s="1"/>
  <c r="I241" i="17"/>
  <c r="J215" i="17"/>
  <c r="C215" i="6" s="1"/>
  <c r="I215" i="17"/>
  <c r="J212" i="17"/>
  <c r="C212" i="6" s="1"/>
  <c r="I212" i="17"/>
  <c r="I255" i="17"/>
  <c r="J255" i="17"/>
  <c r="C255" i="6" s="1"/>
  <c r="J338" i="17"/>
  <c r="C338" i="6" s="1"/>
  <c r="I338" i="17"/>
  <c r="J263" i="17"/>
  <c r="C263" i="6" s="1"/>
  <c r="I263" i="17"/>
  <c r="I377" i="17"/>
  <c r="J377" i="17"/>
  <c r="C377" i="6" s="1"/>
  <c r="J193" i="17"/>
  <c r="C193" i="6" s="1"/>
  <c r="I193" i="17"/>
  <c r="I36" i="17"/>
  <c r="J36" i="17"/>
  <c r="C36" i="6" s="1"/>
  <c r="J244" i="17"/>
  <c r="C244" i="6" s="1"/>
  <c r="I244" i="17"/>
  <c r="J90" i="17"/>
  <c r="C90" i="6" s="1"/>
  <c r="I90" i="17"/>
  <c r="I41" i="17"/>
  <c r="J41" i="17"/>
  <c r="C41" i="6" s="1"/>
  <c r="I62" i="17"/>
  <c r="J62" i="17"/>
  <c r="C62" i="6" s="1"/>
  <c r="I39" i="17"/>
  <c r="J39" i="17"/>
  <c r="C39" i="6" s="1"/>
  <c r="J18" i="17"/>
  <c r="C18" i="6" s="1"/>
  <c r="I18" i="17"/>
  <c r="G174" i="20"/>
  <c r="CB174" i="6" s="1"/>
  <c r="AA174" i="20"/>
  <c r="Z174" i="20" s="1"/>
  <c r="Y174" i="20" s="1"/>
  <c r="W76" i="20"/>
  <c r="D76" i="20"/>
  <c r="E76" i="20" s="1"/>
  <c r="F76" i="20" s="1"/>
  <c r="B76" i="22"/>
  <c r="G81" i="18"/>
  <c r="CA81" i="6" s="1"/>
  <c r="AA81" i="18"/>
  <c r="Z81" i="18" s="1"/>
  <c r="Y81" i="18" s="1"/>
  <c r="W100" i="22"/>
  <c r="D100" i="22"/>
  <c r="E100" i="22" s="1"/>
  <c r="F100" i="22" s="1"/>
  <c r="B100" i="23"/>
  <c r="W73" i="20"/>
  <c r="D73" i="20"/>
  <c r="E73" i="20" s="1"/>
  <c r="F73" i="20" s="1"/>
  <c r="B73" i="22"/>
  <c r="G332" i="18"/>
  <c r="CA332" i="6" s="1"/>
  <c r="AA332" i="18"/>
  <c r="Z332" i="18" s="1"/>
  <c r="Y332" i="18" s="1"/>
  <c r="W32" i="22"/>
  <c r="D32" i="22"/>
  <c r="E32" i="22" s="1"/>
  <c r="F32" i="22" s="1"/>
  <c r="B32" i="23"/>
  <c r="G321" i="18"/>
  <c r="CA321" i="6" s="1"/>
  <c r="AA321" i="18"/>
  <c r="Z321" i="18" s="1"/>
  <c r="Y321" i="18" s="1"/>
  <c r="W229" i="22"/>
  <c r="D229" i="22"/>
  <c r="E229" i="22" s="1"/>
  <c r="F229" i="22" s="1"/>
  <c r="B229" i="23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B236" i="22"/>
  <c r="W299" i="22"/>
  <c r="D299" i="22"/>
  <c r="E299" i="22" s="1"/>
  <c r="F299" i="22" s="1"/>
  <c r="B299" i="23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B356" i="22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B206" i="22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B156" i="22"/>
  <c r="W134" i="22"/>
  <c r="D134" i="22"/>
  <c r="E134" i="22" s="1"/>
  <c r="F134" i="22" s="1"/>
  <c r="B134" i="23"/>
  <c r="G72" i="18"/>
  <c r="CA72" i="6" s="1"/>
  <c r="AA72" i="18"/>
  <c r="Z72" i="18" s="1"/>
  <c r="Y72" i="18" s="1"/>
  <c r="W68" i="22"/>
  <c r="D68" i="22"/>
  <c r="E68" i="22" s="1"/>
  <c r="F68" i="22" s="1"/>
  <c r="B68" i="23"/>
  <c r="W44" i="20"/>
  <c r="D44" i="20"/>
  <c r="E44" i="20" s="1"/>
  <c r="F44" i="20" s="1"/>
  <c r="B44" i="22"/>
  <c r="G40" i="20"/>
  <c r="CB40" i="6" s="1"/>
  <c r="AA40" i="20"/>
  <c r="Z40" i="20" s="1"/>
  <c r="Y40" i="20" s="1"/>
  <c r="W24" i="20"/>
  <c r="D24" i="20"/>
  <c r="E24" i="20" s="1"/>
  <c r="F24" i="20" s="1"/>
  <c r="B24" i="22"/>
  <c r="G377" i="20"/>
  <c r="CB377" i="6" s="1"/>
  <c r="AA377" i="20"/>
  <c r="Z377" i="20" s="1"/>
  <c r="Y377" i="20" s="1"/>
  <c r="W345" i="20"/>
  <c r="D345" i="20"/>
  <c r="E345" i="20" s="1"/>
  <c r="F345" i="20" s="1"/>
  <c r="B345" i="22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B213" i="22"/>
  <c r="W133" i="20"/>
  <c r="D133" i="20"/>
  <c r="E133" i="20" s="1"/>
  <c r="F133" i="20" s="1"/>
  <c r="B133" i="22"/>
  <c r="W115" i="20"/>
  <c r="D115" i="20"/>
  <c r="E115" i="20" s="1"/>
  <c r="F115" i="20" s="1"/>
  <c r="B115" i="22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B57" i="23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B280" i="23"/>
  <c r="G266" i="18"/>
  <c r="CA266" i="6" s="1"/>
  <c r="AA266" i="18"/>
  <c r="Z266" i="18" s="1"/>
  <c r="Y266" i="18" s="1"/>
  <c r="AA238" i="20"/>
  <c r="Z238" i="20" s="1"/>
  <c r="Y238" i="20" s="1"/>
  <c r="W234" i="20"/>
  <c r="D234" i="20"/>
  <c r="E234" i="20" s="1"/>
  <c r="F234" i="20" s="1"/>
  <c r="B234" i="22"/>
  <c r="W172" i="22"/>
  <c r="D172" i="22"/>
  <c r="E172" i="22" s="1"/>
  <c r="F172" i="22" s="1"/>
  <c r="B172" i="23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D337" i="22"/>
  <c r="E337" i="22" s="1"/>
  <c r="F337" i="22" s="1"/>
  <c r="G307" i="18"/>
  <c r="CA307" i="6" s="1"/>
  <c r="AA307" i="18"/>
  <c r="Z307" i="18" s="1"/>
  <c r="Y307" i="18" s="1"/>
  <c r="W267" i="20"/>
  <c r="D267" i="20"/>
  <c r="E267" i="20" s="1"/>
  <c r="F267" i="20" s="1"/>
  <c r="B267" i="22"/>
  <c r="W257" i="22"/>
  <c r="D257" i="22"/>
  <c r="E257" i="22" s="1"/>
  <c r="F257" i="22" s="1"/>
  <c r="B257" i="23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B191" i="22"/>
  <c r="G143" i="18"/>
  <c r="CA143" i="6" s="1"/>
  <c r="AA143" i="18"/>
  <c r="Z143" i="18" s="1"/>
  <c r="Y143" i="18" s="1"/>
  <c r="W141" i="22"/>
  <c r="D141" i="22"/>
  <c r="E141" i="22" s="1"/>
  <c r="F141" i="22" s="1"/>
  <c r="B141" i="23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B142" i="23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W108" i="22"/>
  <c r="AA96" i="18"/>
  <c r="Z96" i="18" s="1"/>
  <c r="Y96" i="18" s="1"/>
  <c r="G96" i="18"/>
  <c r="CA96" i="6" s="1"/>
  <c r="W80" i="22"/>
  <c r="D80" i="22"/>
  <c r="E80" i="22" s="1"/>
  <c r="F80" i="22" s="1"/>
  <c r="B80" i="23"/>
  <c r="G34" i="18"/>
  <c r="CA34" i="6" s="1"/>
  <c r="AA34" i="18"/>
  <c r="Z34" i="18" s="1"/>
  <c r="Y34" i="18" s="1"/>
  <c r="W371" i="20"/>
  <c r="D371" i="20"/>
  <c r="E371" i="20" s="1"/>
  <c r="F371" i="20" s="1"/>
  <c r="B371" i="22"/>
  <c r="W339" i="20"/>
  <c r="D339" i="20"/>
  <c r="E339" i="20" s="1"/>
  <c r="F339" i="20" s="1"/>
  <c r="B339" i="22"/>
  <c r="AA293" i="20"/>
  <c r="Z293" i="20" s="1"/>
  <c r="Y293" i="20" s="1"/>
  <c r="G293" i="20"/>
  <c r="CB293" i="6" s="1"/>
  <c r="W291" i="20"/>
  <c r="D291" i="20"/>
  <c r="E291" i="20" s="1"/>
  <c r="F291" i="20" s="1"/>
  <c r="B291" i="22"/>
  <c r="G259" i="20"/>
  <c r="CB259" i="6" s="1"/>
  <c r="AA259" i="20"/>
  <c r="Z259" i="20" s="1"/>
  <c r="Y259" i="20" s="1"/>
  <c r="W209" i="22"/>
  <c r="D209" i="22"/>
  <c r="E209" i="22" s="1"/>
  <c r="F209" i="22" s="1"/>
  <c r="B209" i="23"/>
  <c r="G201" i="18"/>
  <c r="CA201" i="6" s="1"/>
  <c r="AA201" i="18"/>
  <c r="Z201" i="18" s="1"/>
  <c r="Y201" i="18" s="1"/>
  <c r="W147" i="22"/>
  <c r="D147" i="22"/>
  <c r="E147" i="22" s="1"/>
  <c r="F147" i="22" s="1"/>
  <c r="B147" i="23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B87" i="22"/>
  <c r="W49" i="20"/>
  <c r="D49" i="20"/>
  <c r="E49" i="20" s="1"/>
  <c r="F49" i="20" s="1"/>
  <c r="B49" i="22"/>
  <c r="W320" i="22"/>
  <c r="D320" i="22"/>
  <c r="E320" i="22" s="1"/>
  <c r="F320" i="22" s="1"/>
  <c r="B320" i="23"/>
  <c r="W276" i="22"/>
  <c r="D276" i="22"/>
  <c r="E276" i="22" s="1"/>
  <c r="F276" i="22" s="1"/>
  <c r="B276" i="23"/>
  <c r="W260" i="22"/>
  <c r="D260" i="22"/>
  <c r="E260" i="22" s="1"/>
  <c r="F260" i="22" s="1"/>
  <c r="B260" i="23"/>
  <c r="W254" i="20"/>
  <c r="D254" i="20"/>
  <c r="E254" i="20" s="1"/>
  <c r="F254" i="20" s="1"/>
  <c r="B254" i="22"/>
  <c r="W220" i="20"/>
  <c r="D220" i="20"/>
  <c r="E220" i="20" s="1"/>
  <c r="F220" i="20" s="1"/>
  <c r="B220" i="22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B42" i="22"/>
  <c r="W317" i="20"/>
  <c r="D317" i="20"/>
  <c r="E317" i="20" s="1"/>
  <c r="F317" i="20" s="1"/>
  <c r="B317" i="22"/>
  <c r="W249" i="20"/>
  <c r="D249" i="20"/>
  <c r="E249" i="20" s="1"/>
  <c r="F249" i="20" s="1"/>
  <c r="B249" i="22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B88" i="22"/>
  <c r="AA244" i="18"/>
  <c r="Z244" i="18" s="1"/>
  <c r="Y244" i="18" s="1"/>
  <c r="G244" i="18"/>
  <c r="CA244" i="6" s="1"/>
  <c r="W241" i="22"/>
  <c r="D241" i="22"/>
  <c r="E241" i="22" s="1"/>
  <c r="F241" i="22" s="1"/>
  <c r="B241" i="23"/>
  <c r="W189" i="22"/>
  <c r="D189" i="22"/>
  <c r="E189" i="22" s="1"/>
  <c r="F189" i="22" s="1"/>
  <c r="B189" i="23"/>
  <c r="G154" i="20"/>
  <c r="CB154" i="6" s="1"/>
  <c r="AA154" i="20"/>
  <c r="Z154" i="20" s="1"/>
  <c r="Y154" i="20" s="1"/>
  <c r="W368" i="22"/>
  <c r="D368" i="22"/>
  <c r="E368" i="22" s="1"/>
  <c r="F368" i="22" s="1"/>
  <c r="B368" i="23"/>
  <c r="W272" i="20"/>
  <c r="D272" i="20"/>
  <c r="E272" i="20" s="1"/>
  <c r="F272" i="20" s="1"/>
  <c r="B272" i="22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B22" i="22"/>
  <c r="W166" i="22"/>
  <c r="D166" i="22"/>
  <c r="E166" i="22" s="1"/>
  <c r="F166" i="22" s="1"/>
  <c r="B166" i="23"/>
  <c r="W67" i="20"/>
  <c r="D67" i="20"/>
  <c r="E67" i="20" s="1"/>
  <c r="F67" i="20" s="1"/>
  <c r="B67" i="22"/>
  <c r="W105" i="22"/>
  <c r="D105" i="22"/>
  <c r="E105" i="22" s="1"/>
  <c r="F105" i="22" s="1"/>
  <c r="B105" i="23"/>
  <c r="W196" i="20"/>
  <c r="D196" i="20"/>
  <c r="E196" i="20" s="1"/>
  <c r="F196" i="20" s="1"/>
  <c r="B196" i="22"/>
  <c r="G363" i="20"/>
  <c r="CB363" i="6" s="1"/>
  <c r="AA363" i="20"/>
  <c r="Z363" i="20" s="1"/>
  <c r="Y363" i="20" s="1"/>
  <c r="W119" i="20"/>
  <c r="D119" i="20"/>
  <c r="E119" i="20" s="1"/>
  <c r="F119" i="20" s="1"/>
  <c r="B119" i="22"/>
  <c r="W232" i="20"/>
  <c r="D232" i="20"/>
  <c r="E232" i="20" s="1"/>
  <c r="F232" i="20" s="1"/>
  <c r="B232" i="22"/>
  <c r="G295" i="18"/>
  <c r="CA295" i="6" s="1"/>
  <c r="AA295" i="18"/>
  <c r="Z295" i="18" s="1"/>
  <c r="Y295" i="18" s="1"/>
  <c r="D62" i="20"/>
  <c r="E62" i="20" s="1"/>
  <c r="F62" i="20" s="1"/>
  <c r="W62" i="20"/>
  <c r="B62" i="22"/>
  <c r="W309" i="20"/>
  <c r="D309" i="20"/>
  <c r="E309" i="20" s="1"/>
  <c r="F309" i="20" s="1"/>
  <c r="B309" i="22"/>
  <c r="W235" i="22"/>
  <c r="D235" i="22"/>
  <c r="E235" i="22" s="1"/>
  <c r="F235" i="22" s="1"/>
  <c r="B235" i="23"/>
  <c r="G125" i="18"/>
  <c r="CA125" i="6" s="1"/>
  <c r="AA125" i="18"/>
  <c r="Z125" i="18" s="1"/>
  <c r="Y125" i="18" s="1"/>
  <c r="W103" i="22"/>
  <c r="D103" i="22"/>
  <c r="E103" i="22" s="1"/>
  <c r="F103" i="22" s="1"/>
  <c r="B103" i="23"/>
  <c r="G157" i="18"/>
  <c r="CA157" i="6" s="1"/>
  <c r="AA157" i="18"/>
  <c r="Z157" i="18" s="1"/>
  <c r="Y157" i="18" s="1"/>
  <c r="W52" i="22"/>
  <c r="D52" i="22"/>
  <c r="E52" i="22" s="1"/>
  <c r="F52" i="22" s="1"/>
  <c r="B52" i="23"/>
  <c r="W374" i="20"/>
  <c r="D374" i="20"/>
  <c r="E374" i="20" s="1"/>
  <c r="F374" i="20" s="1"/>
  <c r="B374" i="22"/>
  <c r="W311" i="20"/>
  <c r="D311" i="20"/>
  <c r="E311" i="20" s="1"/>
  <c r="F311" i="20" s="1"/>
  <c r="B311" i="22"/>
  <c r="G305" i="20"/>
  <c r="CB305" i="6" s="1"/>
  <c r="AA305" i="20"/>
  <c r="Z305" i="20" s="1"/>
  <c r="Y305" i="20" s="1"/>
  <c r="W310" i="20"/>
  <c r="D310" i="20"/>
  <c r="E310" i="20" s="1"/>
  <c r="F310" i="20" s="1"/>
  <c r="B310" i="22"/>
  <c r="G252" i="20"/>
  <c r="CB252" i="6" s="1"/>
  <c r="AA252" i="20"/>
  <c r="Z252" i="20" s="1"/>
  <c r="Y252" i="20" s="1"/>
  <c r="W378" i="20"/>
  <c r="D378" i="20"/>
  <c r="E378" i="20" s="1"/>
  <c r="F378" i="20" s="1"/>
  <c r="B378" i="22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B137" i="22"/>
  <c r="W362" i="20"/>
  <c r="D362" i="20"/>
  <c r="E362" i="20" s="1"/>
  <c r="F362" i="20" s="1"/>
  <c r="B362" i="22"/>
  <c r="W290" i="20"/>
  <c r="D290" i="20"/>
  <c r="E290" i="20" s="1"/>
  <c r="F290" i="20" s="1"/>
  <c r="B290" i="22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B242" i="23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B186" i="22"/>
  <c r="W158" i="22"/>
  <c r="D158" i="22"/>
  <c r="E158" i="22" s="1"/>
  <c r="F158" i="22" s="1"/>
  <c r="B158" i="23"/>
  <c r="W102" i="20"/>
  <c r="D102" i="20"/>
  <c r="E102" i="20" s="1"/>
  <c r="F102" i="20" s="1"/>
  <c r="B102" i="22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B355" i="22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B225" i="22"/>
  <c r="W199" i="22"/>
  <c r="D199" i="22"/>
  <c r="E199" i="22" s="1"/>
  <c r="F199" i="22" s="1"/>
  <c r="B199" i="23"/>
  <c r="G165" i="18"/>
  <c r="CA165" i="6" s="1"/>
  <c r="AA165" i="18"/>
  <c r="Z165" i="18" s="1"/>
  <c r="Y165" i="18" s="1"/>
  <c r="W121" i="20"/>
  <c r="D121" i="20"/>
  <c r="E121" i="20" s="1"/>
  <c r="F121" i="20" s="1"/>
  <c r="B121" i="22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B25" i="22"/>
  <c r="W26" i="22"/>
  <c r="D26" i="22"/>
  <c r="E26" i="22" s="1"/>
  <c r="F26" i="22" s="1"/>
  <c r="B26" i="23"/>
  <c r="W370" i="22"/>
  <c r="D370" i="22"/>
  <c r="E370" i="22" s="1"/>
  <c r="F370" i="22" s="1"/>
  <c r="B370" i="23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B292" i="22"/>
  <c r="G256" i="18"/>
  <c r="CA256" i="6" s="1"/>
  <c r="AA256" i="18"/>
  <c r="Z256" i="18" s="1"/>
  <c r="Y256" i="18" s="1"/>
  <c r="W202" i="22"/>
  <c r="D202" i="22"/>
  <c r="E202" i="22" s="1"/>
  <c r="F202" i="22" s="1"/>
  <c r="B202" i="23"/>
  <c r="G184" i="18"/>
  <c r="CA184" i="6" s="1"/>
  <c r="AA184" i="18"/>
  <c r="Z184" i="18" s="1"/>
  <c r="Y184" i="18" s="1"/>
  <c r="W138" i="22"/>
  <c r="D138" i="22"/>
  <c r="E138" i="22" s="1"/>
  <c r="F138" i="22" s="1"/>
  <c r="B138" i="23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B288" i="22"/>
  <c r="W375" i="22"/>
  <c r="D375" i="22"/>
  <c r="E375" i="22" s="1"/>
  <c r="F375" i="22" s="1"/>
  <c r="B375" i="23"/>
  <c r="D359" i="22"/>
  <c r="E359" i="22" s="1"/>
  <c r="F359" i="22" s="1"/>
  <c r="D325" i="20"/>
  <c r="E325" i="20" s="1"/>
  <c r="F325" i="20" s="1"/>
  <c r="W325" i="20"/>
  <c r="B325" i="22"/>
  <c r="W313" i="22"/>
  <c r="D313" i="22"/>
  <c r="E313" i="22" s="1"/>
  <c r="F313" i="22" s="1"/>
  <c r="B313" i="23"/>
  <c r="W277" i="20"/>
  <c r="D277" i="20"/>
  <c r="E277" i="20" s="1"/>
  <c r="F277" i="20" s="1"/>
  <c r="B277" i="22"/>
  <c r="W245" i="20"/>
  <c r="D245" i="20"/>
  <c r="E245" i="20" s="1"/>
  <c r="F245" i="20" s="1"/>
  <c r="B245" i="22"/>
  <c r="G231" i="20"/>
  <c r="CB231" i="6" s="1"/>
  <c r="AA231" i="20"/>
  <c r="Z231" i="20" s="1"/>
  <c r="Y231" i="20" s="1"/>
  <c r="W203" i="20"/>
  <c r="D203" i="20"/>
  <c r="E203" i="20" s="1"/>
  <c r="F203" i="20" s="1"/>
  <c r="B203" i="22"/>
  <c r="W169" i="20"/>
  <c r="D169" i="20"/>
  <c r="E169" i="20" s="1"/>
  <c r="F169" i="20" s="1"/>
  <c r="B169" i="22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B296" i="22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B218" i="22"/>
  <c r="G192" i="20"/>
  <c r="CB192" i="6" s="1"/>
  <c r="AA192" i="20"/>
  <c r="Z192" i="20" s="1"/>
  <c r="Y192" i="20" s="1"/>
  <c r="W188" i="20"/>
  <c r="D188" i="20"/>
  <c r="E188" i="20" s="1"/>
  <c r="F188" i="20" s="1"/>
  <c r="B188" i="22"/>
  <c r="G146" i="20"/>
  <c r="CB146" i="6" s="1"/>
  <c r="AA146" i="20"/>
  <c r="Z146" i="20" s="1"/>
  <c r="Y146" i="20" s="1"/>
  <c r="W144" i="20"/>
  <c r="D144" i="20"/>
  <c r="E144" i="20" s="1"/>
  <c r="F144" i="20" s="1"/>
  <c r="B144" i="22"/>
  <c r="W120" i="22"/>
  <c r="D120" i="22"/>
  <c r="E120" i="22" s="1"/>
  <c r="F120" i="22" s="1"/>
  <c r="B120" i="23"/>
  <c r="W112" i="20"/>
  <c r="D112" i="20"/>
  <c r="E112" i="20" s="1"/>
  <c r="F112" i="20" s="1"/>
  <c r="B112" i="22"/>
  <c r="G94" i="20"/>
  <c r="CB94" i="6" s="1"/>
  <c r="AA94" i="20"/>
  <c r="Z94" i="20" s="1"/>
  <c r="Y94" i="20" s="1"/>
  <c r="D86" i="20"/>
  <c r="E86" i="20" s="1"/>
  <c r="F86" i="20" s="1"/>
  <c r="W86" i="20"/>
  <c r="B86" i="22"/>
  <c r="D303" i="20"/>
  <c r="E303" i="20" s="1"/>
  <c r="F303" i="20" s="1"/>
  <c r="W303" i="20"/>
  <c r="B303" i="22"/>
  <c r="G285" i="20"/>
  <c r="CB285" i="6" s="1"/>
  <c r="AA285" i="20"/>
  <c r="Z285" i="20" s="1"/>
  <c r="Y285" i="20" s="1"/>
  <c r="D275" i="20"/>
  <c r="E275" i="20" s="1"/>
  <c r="F275" i="20" s="1"/>
  <c r="W275" i="20"/>
  <c r="B275" i="22"/>
  <c r="W233" i="20"/>
  <c r="D233" i="20"/>
  <c r="E233" i="20" s="1"/>
  <c r="F233" i="20" s="1"/>
  <c r="B233" i="22"/>
  <c r="D221" i="22"/>
  <c r="E221" i="22" s="1"/>
  <c r="F221" i="22" s="1"/>
  <c r="W221" i="22"/>
  <c r="B221" i="23"/>
  <c r="G215" i="18"/>
  <c r="CA215" i="6" s="1"/>
  <c r="AA215" i="18"/>
  <c r="Z215" i="18" s="1"/>
  <c r="Y215" i="18" s="1"/>
  <c r="W195" i="22"/>
  <c r="D195" i="22"/>
  <c r="E195" i="22" s="1"/>
  <c r="F195" i="22" s="1"/>
  <c r="B195" i="23"/>
  <c r="G181" i="18"/>
  <c r="CA181" i="6" s="1"/>
  <c r="AA181" i="18"/>
  <c r="Z181" i="18" s="1"/>
  <c r="Y181" i="18" s="1"/>
  <c r="W123" i="20"/>
  <c r="D123" i="20"/>
  <c r="E123" i="20" s="1"/>
  <c r="F123" i="20" s="1"/>
  <c r="B123" i="22"/>
  <c r="G71" i="18"/>
  <c r="CA71" i="6" s="1"/>
  <c r="AA71" i="18"/>
  <c r="Z71" i="18" s="1"/>
  <c r="Y71" i="18" s="1"/>
  <c r="W47" i="22"/>
  <c r="D47" i="22"/>
  <c r="E47" i="22" s="1"/>
  <c r="F47" i="22" s="1"/>
  <c r="B47" i="23"/>
  <c r="W45" i="20"/>
  <c r="D45" i="20"/>
  <c r="E45" i="20" s="1"/>
  <c r="F45" i="20" s="1"/>
  <c r="B45" i="22"/>
  <c r="W21" i="20"/>
  <c r="D21" i="20"/>
  <c r="E21" i="20" s="1"/>
  <c r="F21" i="20" s="1"/>
  <c r="B21" i="22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B308" i="23"/>
  <c r="W282" i="20"/>
  <c r="D282" i="20"/>
  <c r="E282" i="20" s="1"/>
  <c r="F282" i="20" s="1"/>
  <c r="B282" i="22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B230" i="23"/>
  <c r="W176" i="20"/>
  <c r="D176" i="20"/>
  <c r="E176" i="20" s="1"/>
  <c r="F176" i="20" s="1"/>
  <c r="B176" i="22"/>
  <c r="W128" i="20"/>
  <c r="D128" i="20"/>
  <c r="E128" i="20" s="1"/>
  <c r="F128" i="20" s="1"/>
  <c r="B128" i="22"/>
  <c r="W118" i="22"/>
  <c r="D118" i="22"/>
  <c r="E118" i="22" s="1"/>
  <c r="F118" i="22" s="1"/>
  <c r="B118" i="23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B271" i="23"/>
  <c r="W219" i="20"/>
  <c r="D219" i="20"/>
  <c r="E219" i="20" s="1"/>
  <c r="F219" i="20" s="1"/>
  <c r="B219" i="22"/>
  <c r="AA197" i="20"/>
  <c r="Z197" i="20" s="1"/>
  <c r="Y197" i="20" s="1"/>
  <c r="G197" i="20"/>
  <c r="CB197" i="6" s="1"/>
  <c r="W173" i="20"/>
  <c r="D173" i="20"/>
  <c r="E173" i="20" s="1"/>
  <c r="F173" i="20" s="1"/>
  <c r="B173" i="22"/>
  <c r="W127" i="20"/>
  <c r="D127" i="20"/>
  <c r="E127" i="20" s="1"/>
  <c r="F127" i="20" s="1"/>
  <c r="B127" i="22"/>
  <c r="D101" i="22"/>
  <c r="E101" i="22" s="1"/>
  <c r="F101" i="22" s="1"/>
  <c r="W101" i="22"/>
  <c r="B101" i="23"/>
  <c r="D89" i="20"/>
  <c r="E89" i="20" s="1"/>
  <c r="F89" i="20" s="1"/>
  <c r="W89" i="20"/>
  <c r="B89" i="22"/>
  <c r="G83" i="20"/>
  <c r="CB83" i="6" s="1"/>
  <c r="AA83" i="20"/>
  <c r="Z83" i="20" s="1"/>
  <c r="Y83" i="20" s="1"/>
  <c r="D61" i="20"/>
  <c r="E61" i="20" s="1"/>
  <c r="F61" i="20" s="1"/>
  <c r="W61" i="20"/>
  <c r="B61" i="22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B175" i="23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B302" i="23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B194" i="22"/>
  <c r="W171" i="20"/>
  <c r="D171" i="20"/>
  <c r="E171" i="20" s="1"/>
  <c r="F171" i="20" s="1"/>
  <c r="B171" i="22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B111" i="23"/>
  <c r="W261" i="20"/>
  <c r="D261" i="20"/>
  <c r="E261" i="20" s="1"/>
  <c r="F261" i="20" s="1"/>
  <c r="B261" i="22"/>
  <c r="D17" i="22"/>
  <c r="E17" i="22" s="1"/>
  <c r="F17" i="22" s="1"/>
  <c r="W17" i="22"/>
  <c r="B17" i="23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B319" i="23"/>
  <c r="D349" i="20"/>
  <c r="E349" i="20" s="1"/>
  <c r="F349" i="20" s="1"/>
  <c r="W349" i="20"/>
  <c r="B349" i="22"/>
  <c r="W46" i="20"/>
  <c r="D46" i="20"/>
  <c r="E46" i="20" s="1"/>
  <c r="F46" i="20" s="1"/>
  <c r="B46" i="22"/>
  <c r="W298" i="22"/>
  <c r="D298" i="22"/>
  <c r="E298" i="22" s="1"/>
  <c r="F298" i="22" s="1"/>
  <c r="B298" i="23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B365" i="22"/>
  <c r="W149" i="22"/>
  <c r="D149" i="22"/>
  <c r="E149" i="22" s="1"/>
  <c r="F149" i="22" s="1"/>
  <c r="B149" i="23"/>
  <c r="W60" i="20"/>
  <c r="D60" i="20"/>
  <c r="E60" i="20" s="1"/>
  <c r="F60" i="20" s="1"/>
  <c r="B60" i="22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B281" i="23"/>
  <c r="W263" i="20"/>
  <c r="D263" i="20"/>
  <c r="E263" i="20" s="1"/>
  <c r="F263" i="20" s="1"/>
  <c r="B263" i="22"/>
  <c r="W247" i="22"/>
  <c r="D247" i="22"/>
  <c r="E247" i="22" s="1"/>
  <c r="F247" i="22" s="1"/>
  <c r="B247" i="23"/>
  <c r="D159" i="20"/>
  <c r="E159" i="20" s="1"/>
  <c r="F159" i="20" s="1"/>
  <c r="W159" i="20"/>
  <c r="B159" i="22"/>
  <c r="G99" i="18"/>
  <c r="CA99" i="6" s="1"/>
  <c r="AA99" i="18"/>
  <c r="Z99" i="18" s="1"/>
  <c r="Y99" i="18" s="1"/>
  <c r="W77" i="20"/>
  <c r="D77" i="20"/>
  <c r="E77" i="20" s="1"/>
  <c r="F77" i="20" s="1"/>
  <c r="B77" i="22"/>
  <c r="W161" i="20"/>
  <c r="D161" i="20"/>
  <c r="E161" i="20" s="1"/>
  <c r="F161" i="20" s="1"/>
  <c r="B161" i="22"/>
  <c r="G116" i="20"/>
  <c r="CB116" i="6" s="1"/>
  <c r="AA116" i="20"/>
  <c r="Z116" i="20" s="1"/>
  <c r="Y116" i="20" s="1"/>
  <c r="W210" i="20"/>
  <c r="D210" i="20"/>
  <c r="E210" i="20" s="1"/>
  <c r="F210" i="20" s="1"/>
  <c r="B210" i="22"/>
  <c r="G114" i="18"/>
  <c r="CA114" i="6" s="1"/>
  <c r="AA114" i="18"/>
  <c r="Z114" i="18" s="1"/>
  <c r="Y114" i="18" s="1"/>
  <c r="W135" i="20"/>
  <c r="D135" i="20"/>
  <c r="E135" i="20" s="1"/>
  <c r="F135" i="20" s="1"/>
  <c r="B135" i="22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B177" i="23"/>
  <c r="G226" i="18"/>
  <c r="CA226" i="6" s="1"/>
  <c r="AA226" i="18"/>
  <c r="Z226" i="18" s="1"/>
  <c r="Y226" i="18" s="1"/>
  <c r="D150" i="20"/>
  <c r="E150" i="20" s="1"/>
  <c r="F150" i="20" s="1"/>
  <c r="W150" i="20"/>
  <c r="B150" i="22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C131" i="6" s="1"/>
  <c r="I131" i="17"/>
  <c r="J282" i="17"/>
  <c r="C282" i="6" s="1"/>
  <c r="I282" i="17"/>
  <c r="I31" i="17"/>
  <c r="J31" i="17"/>
  <c r="C31" i="6" s="1"/>
  <c r="I153" i="17"/>
  <c r="J153" i="17"/>
  <c r="C153" i="6" s="1"/>
  <c r="I197" i="17"/>
  <c r="B197" i="6" s="1"/>
  <c r="J197" i="17"/>
  <c r="C197" i="6" s="1"/>
  <c r="I268" i="17"/>
  <c r="J268" i="17"/>
  <c r="C268" i="6" s="1"/>
  <c r="J227" i="17"/>
  <c r="C227" i="6" s="1"/>
  <c r="I227" i="17"/>
  <c r="I312" i="17"/>
  <c r="J312" i="17"/>
  <c r="C312" i="6" s="1"/>
  <c r="I333" i="17"/>
  <c r="J333" i="17"/>
  <c r="C333" i="6" s="1"/>
  <c r="I305" i="17"/>
  <c r="J305" i="17"/>
  <c r="C305" i="6" s="1"/>
  <c r="J272" i="17"/>
  <c r="C272" i="6" s="1"/>
  <c r="I272" i="17"/>
  <c r="J114" i="17"/>
  <c r="C114" i="6" s="1"/>
  <c r="I114" i="17"/>
  <c r="I79" i="17"/>
  <c r="J79" i="17"/>
  <c r="C79" i="6" s="1"/>
  <c r="J284" i="17"/>
  <c r="C284" i="6" s="1"/>
  <c r="I284" i="17"/>
  <c r="J224" i="17"/>
  <c r="C224" i="6" s="1"/>
  <c r="I224" i="17"/>
  <c r="J356" i="17"/>
  <c r="C356" i="6" s="1"/>
  <c r="I356" i="17"/>
  <c r="J185" i="17"/>
  <c r="C185" i="6" s="1"/>
  <c r="I185" i="17"/>
  <c r="I125" i="17"/>
  <c r="J125" i="17"/>
  <c r="C125" i="6" s="1"/>
  <c r="J16" i="17"/>
  <c r="C16" i="6" s="1"/>
  <c r="I16" i="17"/>
  <c r="J220" i="17"/>
  <c r="C220" i="6" s="1"/>
  <c r="I220" i="17"/>
  <c r="I118" i="17"/>
  <c r="J118" i="17"/>
  <c r="C118" i="6" s="1"/>
  <c r="J232" i="17"/>
  <c r="C232" i="6" s="1"/>
  <c r="I232" i="17"/>
  <c r="J22" i="17"/>
  <c r="C22" i="6" s="1"/>
  <c r="I22" i="17"/>
  <c r="J378" i="17"/>
  <c r="C378" i="6" s="1"/>
  <c r="I378" i="17"/>
  <c r="I368" i="17"/>
  <c r="J368" i="17"/>
  <c r="C368" i="6" s="1"/>
  <c r="J223" i="17"/>
  <c r="C223" i="6" s="1"/>
  <c r="I223" i="17"/>
  <c r="I138" i="17"/>
  <c r="J138" i="17"/>
  <c r="C138" i="6" s="1"/>
  <c r="I347" i="17"/>
  <c r="J347" i="17"/>
  <c r="C347" i="6" s="1"/>
  <c r="J350" i="17"/>
  <c r="C350" i="6" s="1"/>
  <c r="I350" i="17"/>
  <c r="I154" i="17"/>
  <c r="J154" i="17"/>
  <c r="C154" i="6" s="1"/>
  <c r="J68" i="17"/>
  <c r="C68" i="6" s="1"/>
  <c r="I68" i="17"/>
  <c r="I341" i="17"/>
  <c r="J341" i="17"/>
  <c r="C341" i="6" s="1"/>
  <c r="J301" i="17"/>
  <c r="C301" i="6" s="1"/>
  <c r="I301" i="17"/>
  <c r="J128" i="17"/>
  <c r="C128" i="6" s="1"/>
  <c r="I128" i="17"/>
  <c r="I273" i="17"/>
  <c r="J273" i="17"/>
  <c r="C273" i="6" s="1"/>
  <c r="I122" i="17"/>
  <c r="J122" i="17"/>
  <c r="C122" i="6" s="1"/>
  <c r="I289" i="17"/>
  <c r="J289" i="17"/>
  <c r="C289" i="6" s="1"/>
  <c r="I361" i="17"/>
  <c r="J361" i="17"/>
  <c r="C361" i="6" s="1"/>
  <c r="J168" i="17"/>
  <c r="C168" i="6" s="1"/>
  <c r="I168" i="17"/>
  <c r="I283" i="17"/>
  <c r="J283" i="17"/>
  <c r="C283" i="6" s="1"/>
  <c r="J326" i="17"/>
  <c r="C326" i="6" s="1"/>
  <c r="I326" i="17"/>
  <c r="J242" i="17"/>
  <c r="C242" i="6" s="1"/>
  <c r="I242" i="17"/>
  <c r="J74" i="17"/>
  <c r="C74" i="6" s="1"/>
  <c r="I74" i="17"/>
  <c r="I34" i="17"/>
  <c r="J34" i="17"/>
  <c r="C34" i="6" s="1"/>
  <c r="I211" i="17"/>
  <c r="J211" i="17"/>
  <c r="C211" i="6" s="1"/>
  <c r="I63" i="17"/>
  <c r="J63" i="17"/>
  <c r="C63" i="6" s="1"/>
  <c r="J65" i="17"/>
  <c r="C65" i="6" s="1"/>
  <c r="I65" i="17"/>
  <c r="J278" i="17"/>
  <c r="C278" i="6" s="1"/>
  <c r="I278" i="17"/>
  <c r="I132" i="17"/>
  <c r="J132" i="17"/>
  <c r="C132" i="6" s="1"/>
  <c r="J218" i="17"/>
  <c r="C218" i="6" s="1"/>
  <c r="I218" i="17"/>
  <c r="J285" i="17"/>
  <c r="C285" i="6" s="1"/>
  <c r="I285" i="17"/>
  <c r="J319" i="17"/>
  <c r="C319" i="6" s="1"/>
  <c r="I319" i="17"/>
  <c r="J71" i="17"/>
  <c r="C71" i="6" s="1"/>
  <c r="I71" i="17"/>
  <c r="J199" i="17"/>
  <c r="C199" i="6" s="1"/>
  <c r="I199" i="17"/>
  <c r="J94" i="17"/>
  <c r="C94" i="6" s="1"/>
  <c r="I94" i="17"/>
  <c r="I209" i="17"/>
  <c r="J209" i="17"/>
  <c r="C209" i="6" s="1"/>
  <c r="I127" i="17"/>
  <c r="J127" i="17"/>
  <c r="C127" i="6" s="1"/>
  <c r="J100" i="17"/>
  <c r="C100" i="6" s="1"/>
  <c r="I100" i="17"/>
  <c r="I19" i="17"/>
  <c r="J19" i="17"/>
  <c r="C19" i="6" s="1"/>
  <c r="J148" i="17"/>
  <c r="C148" i="6" s="1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C353" i="6" s="1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C57" i="6" s="1"/>
  <c r="I57" i="17"/>
  <c r="I335" i="17"/>
  <c r="J335" i="17"/>
  <c r="C335" i="6" s="1"/>
  <c r="J365" i="17"/>
  <c r="C365" i="6" s="1"/>
  <c r="I365" i="17"/>
  <c r="I137" i="17"/>
  <c r="J137" i="17"/>
  <c r="C137" i="6" s="1"/>
  <c r="I359" i="17"/>
  <c r="J359" i="17"/>
  <c r="C359" i="6" s="1"/>
  <c r="I183" i="17"/>
  <c r="J183" i="17"/>
  <c r="C183" i="6" s="1"/>
  <c r="J166" i="17"/>
  <c r="C166" i="6" s="1"/>
  <c r="I166" i="17"/>
  <c r="J121" i="17"/>
  <c r="C121" i="6" s="1"/>
  <c r="I121" i="17"/>
  <c r="J108" i="17"/>
  <c r="C108" i="6" s="1"/>
  <c r="I108" i="17"/>
  <c r="J163" i="17"/>
  <c r="C163" i="6" s="1"/>
  <c r="I163" i="17"/>
  <c r="J196" i="17"/>
  <c r="C196" i="6" s="1"/>
  <c r="I196" i="17"/>
  <c r="J159" i="17"/>
  <c r="C159" i="6" s="1"/>
  <c r="I159" i="17"/>
  <c r="I358" i="17"/>
  <c r="J358" i="17"/>
  <c r="C358" i="6" s="1"/>
  <c r="J120" i="17"/>
  <c r="C120" i="6" s="1"/>
  <c r="I120" i="17"/>
  <c r="J249" i="17"/>
  <c r="C249" i="6" s="1"/>
  <c r="I249" i="17"/>
  <c r="I208" i="17"/>
  <c r="J208" i="17"/>
  <c r="C208" i="6" s="1"/>
  <c r="J167" i="17"/>
  <c r="C167" i="6" s="1"/>
  <c r="I167" i="17"/>
  <c r="J299" i="17"/>
  <c r="C299" i="6" s="1"/>
  <c r="I299" i="17"/>
  <c r="J216" i="17"/>
  <c r="C216" i="6" s="1"/>
  <c r="I216" i="17"/>
  <c r="J354" i="17"/>
  <c r="C354" i="6" s="1"/>
  <c r="I354" i="17"/>
  <c r="I134" i="17"/>
  <c r="J134" i="17"/>
  <c r="C134" i="6" s="1"/>
  <c r="I160" i="17"/>
  <c r="J160" i="17"/>
  <c r="C160" i="6" s="1"/>
  <c r="J298" i="17"/>
  <c r="C298" i="6" s="1"/>
  <c r="I298" i="17"/>
  <c r="I174" i="17"/>
  <c r="J174" i="17"/>
  <c r="C174" i="6" s="1"/>
  <c r="J222" i="17"/>
  <c r="C222" i="6" s="1"/>
  <c r="I222" i="17"/>
  <c r="I334" i="17"/>
  <c r="J334" i="17"/>
  <c r="C334" i="6" s="1"/>
  <c r="J322" i="17"/>
  <c r="C322" i="6" s="1"/>
  <c r="I322" i="17"/>
  <c r="I116" i="17"/>
  <c r="J116" i="17"/>
  <c r="C116" i="6" s="1"/>
  <c r="J184" i="17"/>
  <c r="C184" i="6" s="1"/>
  <c r="I184" i="17"/>
  <c r="J30" i="17"/>
  <c r="C30" i="6" s="1"/>
  <c r="I30" i="17"/>
  <c r="I231" i="17"/>
  <c r="J231" i="17"/>
  <c r="C231" i="6" s="1"/>
  <c r="I20" i="17"/>
  <c r="J20" i="17"/>
  <c r="C20" i="6" s="1"/>
  <c r="J262" i="17"/>
  <c r="C262" i="6" s="1"/>
  <c r="I262" i="17"/>
  <c r="J35" i="17"/>
  <c r="C35" i="6" s="1"/>
  <c r="I35" i="17"/>
  <c r="I115" i="17"/>
  <c r="J115" i="17"/>
  <c r="C115" i="6" s="1"/>
  <c r="J80" i="17"/>
  <c r="C80" i="6" s="1"/>
  <c r="I80" i="17"/>
  <c r="I175" i="17"/>
  <c r="J175" i="17"/>
  <c r="C175" i="6" s="1"/>
  <c r="I83" i="17"/>
  <c r="J83" i="17"/>
  <c r="C83" i="6" s="1"/>
  <c r="J44" i="17"/>
  <c r="C44" i="6" s="1"/>
  <c r="I44" i="17"/>
  <c r="J189" i="17"/>
  <c r="C189" i="6" s="1"/>
  <c r="I189" i="17"/>
  <c r="I349" i="17"/>
  <c r="J349" i="17"/>
  <c r="C349" i="6" s="1"/>
  <c r="J281" i="17"/>
  <c r="C281" i="6" s="1"/>
  <c r="I281" i="17"/>
  <c r="I123" i="17"/>
  <c r="J123" i="17"/>
  <c r="C123" i="6" s="1"/>
  <c r="J143" i="17"/>
  <c r="C143" i="6" s="1"/>
  <c r="I143" i="17"/>
  <c r="J339" i="17"/>
  <c r="C339" i="6" s="1"/>
  <c r="I339" i="17"/>
  <c r="I352" i="17"/>
  <c r="J352" i="17"/>
  <c r="C352" i="6" s="1"/>
  <c r="J124" i="17"/>
  <c r="C124" i="6" s="1"/>
  <c r="I124" i="17"/>
  <c r="I328" i="17"/>
  <c r="J328" i="17"/>
  <c r="C328" i="6" s="1"/>
  <c r="I221" i="17"/>
  <c r="J221" i="17"/>
  <c r="C221" i="6" s="1"/>
  <c r="J69" i="17"/>
  <c r="C69" i="6" s="1"/>
  <c r="I69" i="17"/>
  <c r="J288" i="17"/>
  <c r="C288" i="6" s="1"/>
  <c r="I288" i="17"/>
  <c r="J55" i="17"/>
  <c r="C55" i="6" s="1"/>
  <c r="I55" i="17"/>
  <c r="I270" i="17"/>
  <c r="J270" i="17"/>
  <c r="C270" i="6" s="1"/>
  <c r="J54" i="17"/>
  <c r="C54" i="6" s="1"/>
  <c r="I54" i="17"/>
  <c r="I340" i="17"/>
  <c r="J340" i="17"/>
  <c r="C340" i="6" s="1"/>
  <c r="J247" i="17"/>
  <c r="C247" i="6" s="1"/>
  <c r="I247" i="17"/>
  <c r="I258" i="17"/>
  <c r="J258" i="17"/>
  <c r="C258" i="6" s="1"/>
  <c r="J369" i="17"/>
  <c r="C369" i="6" s="1"/>
  <c r="I369" i="17"/>
  <c r="J225" i="17"/>
  <c r="C225" i="6" s="1"/>
  <c r="I225" i="17"/>
  <c r="J89" i="17"/>
  <c r="C89" i="6" s="1"/>
  <c r="I89" i="17"/>
  <c r="I290" i="17"/>
  <c r="J290" i="17"/>
  <c r="C290" i="6" s="1"/>
  <c r="J292" i="17"/>
  <c r="C292" i="6" s="1"/>
  <c r="I292" i="17"/>
  <c r="J303" i="17"/>
  <c r="C303" i="6" s="1"/>
  <c r="I303" i="17"/>
  <c r="J311" i="17"/>
  <c r="C311" i="6" s="1"/>
  <c r="I311" i="17"/>
  <c r="I314" i="17"/>
  <c r="J314" i="17"/>
  <c r="C314" i="6" s="1"/>
  <c r="I33" i="17"/>
  <c r="J33" i="17"/>
  <c r="C33" i="6" s="1"/>
  <c r="J265" i="17"/>
  <c r="C265" i="6" s="1"/>
  <c r="I265" i="17"/>
  <c r="I109" i="17"/>
  <c r="J109" i="17"/>
  <c r="C109" i="6" s="1"/>
  <c r="J294" i="17"/>
  <c r="C294" i="6" s="1"/>
  <c r="I294" i="17"/>
  <c r="J70" i="17"/>
  <c r="C70" i="6" s="1"/>
  <c r="I70" i="17"/>
  <c r="I371" i="17"/>
  <c r="J371" i="17"/>
  <c r="C371" i="6" s="1"/>
  <c r="J362" i="17"/>
  <c r="C362" i="6" s="1"/>
  <c r="I362" i="17"/>
  <c r="I207" i="17"/>
  <c r="J207" i="17"/>
  <c r="C207" i="6" s="1"/>
  <c r="J345" i="17"/>
  <c r="C345" i="6" s="1"/>
  <c r="I345" i="17"/>
  <c r="I188" i="17"/>
  <c r="J188" i="17"/>
  <c r="C188" i="6" s="1"/>
  <c r="J45" i="17"/>
  <c r="C45" i="6" s="1"/>
  <c r="I45" i="17"/>
  <c r="I21" i="17"/>
  <c r="J21" i="17"/>
  <c r="C21" i="6" s="1"/>
  <c r="I49" i="17"/>
  <c r="J49" i="17"/>
  <c r="C49" i="6" s="1"/>
  <c r="W174" i="22"/>
  <c r="D174" i="22"/>
  <c r="E174" i="22" s="1"/>
  <c r="F174" i="22" s="1"/>
  <c r="B174" i="23"/>
  <c r="G76" i="18"/>
  <c r="CA76" i="6" s="1"/>
  <c r="AA76" i="18"/>
  <c r="Z76" i="18" s="1"/>
  <c r="Y76" i="18" s="1"/>
  <c r="H76" i="18"/>
  <c r="W81" i="20"/>
  <c r="D81" i="20"/>
  <c r="E81" i="20" s="1"/>
  <c r="F81" i="20" s="1"/>
  <c r="B81" i="22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B332" i="22"/>
  <c r="G32" i="20"/>
  <c r="CB32" i="6" s="1"/>
  <c r="AA32" i="20"/>
  <c r="Z32" i="20" s="1"/>
  <c r="Y32" i="20" s="1"/>
  <c r="W321" i="20"/>
  <c r="D321" i="20"/>
  <c r="E321" i="20" s="1"/>
  <c r="F321" i="20" s="1"/>
  <c r="B321" i="22"/>
  <c r="G229" i="20"/>
  <c r="CB229" i="6" s="1"/>
  <c r="AA229" i="20"/>
  <c r="Z229" i="20" s="1"/>
  <c r="Y229" i="20" s="1"/>
  <c r="W163" i="20"/>
  <c r="D163" i="20"/>
  <c r="E163" i="20" s="1"/>
  <c r="F163" i="20" s="1"/>
  <c r="B163" i="22"/>
  <c r="D98" i="20"/>
  <c r="E98" i="20" s="1"/>
  <c r="F98" i="20" s="1"/>
  <c r="W98" i="20"/>
  <c r="B98" i="22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B182" i="22"/>
  <c r="W207" i="22"/>
  <c r="D207" i="22"/>
  <c r="E207" i="22" s="1"/>
  <c r="F207" i="22" s="1"/>
  <c r="B207" i="23"/>
  <c r="W289" i="20"/>
  <c r="D289" i="20"/>
  <c r="E289" i="20" s="1"/>
  <c r="F289" i="20" s="1"/>
  <c r="B289" i="22"/>
  <c r="G205" i="20"/>
  <c r="CB205" i="6" s="1"/>
  <c r="AA205" i="20"/>
  <c r="Z205" i="20" s="1"/>
  <c r="Y205" i="20" s="1"/>
  <c r="D78" i="20"/>
  <c r="E78" i="20" s="1"/>
  <c r="F78" i="20" s="1"/>
  <c r="W78" i="20"/>
  <c r="B78" i="22"/>
  <c r="AA356" i="18"/>
  <c r="Z356" i="18" s="1"/>
  <c r="Y356" i="18" s="1"/>
  <c r="G356" i="18"/>
  <c r="CA356" i="6" s="1"/>
  <c r="W342" i="22"/>
  <c r="D342" i="22"/>
  <c r="E342" i="22" s="1"/>
  <c r="F342" i="22" s="1"/>
  <c r="B342" i="23"/>
  <c r="W314" i="20"/>
  <c r="D314" i="20"/>
  <c r="E314" i="20" s="1"/>
  <c r="F314" i="20" s="1"/>
  <c r="B314" i="22"/>
  <c r="W240" i="20"/>
  <c r="D240" i="20"/>
  <c r="E240" i="20" s="1"/>
  <c r="F240" i="20" s="1"/>
  <c r="B240" i="22"/>
  <c r="G206" i="18"/>
  <c r="CA206" i="6" s="1"/>
  <c r="AA206" i="18"/>
  <c r="Z206" i="18" s="1"/>
  <c r="Y206" i="18" s="1"/>
  <c r="W200" i="22"/>
  <c r="D200" i="22"/>
  <c r="E200" i="22" s="1"/>
  <c r="F200" i="22" s="1"/>
  <c r="B200" i="23"/>
  <c r="D190" i="22"/>
  <c r="E190" i="22" s="1"/>
  <c r="F190" i="22" s="1"/>
  <c r="W190" i="22"/>
  <c r="B190" i="23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B72" i="22"/>
  <c r="G44" i="18"/>
  <c r="CA44" i="6" s="1"/>
  <c r="AA44" i="18"/>
  <c r="Z44" i="18" s="1"/>
  <c r="Y44" i="18" s="1"/>
  <c r="W40" i="22"/>
  <c r="D40" i="22"/>
  <c r="E40" i="22" s="1"/>
  <c r="F40" i="22" s="1"/>
  <c r="B40" i="23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B343" i="23"/>
  <c r="G329" i="20"/>
  <c r="CB329" i="6" s="1"/>
  <c r="AA329" i="20"/>
  <c r="Z329" i="20" s="1"/>
  <c r="Y329" i="20" s="1"/>
  <c r="D315" i="20"/>
  <c r="E315" i="20" s="1"/>
  <c r="F315" i="20" s="1"/>
  <c r="W315" i="20"/>
  <c r="B315" i="22"/>
  <c r="W239" i="20"/>
  <c r="D239" i="20"/>
  <c r="E239" i="20" s="1"/>
  <c r="F239" i="20" s="1"/>
  <c r="B239" i="22"/>
  <c r="W217" i="22"/>
  <c r="D217" i="22"/>
  <c r="E217" i="22" s="1"/>
  <c r="F217" i="22" s="1"/>
  <c r="B217" i="23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B113" i="23"/>
  <c r="W85" i="20"/>
  <c r="D85" i="20"/>
  <c r="E85" i="20" s="1"/>
  <c r="F85" i="20" s="1"/>
  <c r="B85" i="22"/>
  <c r="G57" i="20"/>
  <c r="CB57" i="6" s="1"/>
  <c r="AA57" i="20"/>
  <c r="Z57" i="20" s="1"/>
  <c r="Y57" i="20" s="1"/>
  <c r="W360" i="22"/>
  <c r="D360" i="22"/>
  <c r="E360" i="22" s="1"/>
  <c r="F360" i="22" s="1"/>
  <c r="B360" i="23"/>
  <c r="D350" i="20"/>
  <c r="E350" i="20" s="1"/>
  <c r="F350" i="20" s="1"/>
  <c r="W350" i="20"/>
  <c r="B350" i="22"/>
  <c r="G350" i="18"/>
  <c r="CA350" i="6" s="1"/>
  <c r="AA350" i="18"/>
  <c r="Z350" i="18" s="1"/>
  <c r="Y350" i="18" s="1"/>
  <c r="W322" i="20"/>
  <c r="D322" i="20"/>
  <c r="E322" i="20" s="1"/>
  <c r="F322" i="20" s="1"/>
  <c r="B322" i="22"/>
  <c r="G280" i="20"/>
  <c r="CB280" i="6" s="1"/>
  <c r="AA280" i="20"/>
  <c r="Z280" i="20" s="1"/>
  <c r="Y280" i="20" s="1"/>
  <c r="W266" i="20"/>
  <c r="D266" i="20"/>
  <c r="E266" i="20" s="1"/>
  <c r="F266" i="20" s="1"/>
  <c r="B266" i="22"/>
  <c r="W238" i="22"/>
  <c r="D238" i="22"/>
  <c r="E238" i="22" s="1"/>
  <c r="F238" i="22" s="1"/>
  <c r="B238" i="23"/>
  <c r="G234" i="18"/>
  <c r="CA234" i="6" s="1"/>
  <c r="AA234" i="18"/>
  <c r="Z234" i="18" s="1"/>
  <c r="Y234" i="18" s="1"/>
  <c r="H234" i="18"/>
  <c r="W160" i="20"/>
  <c r="D160" i="20"/>
  <c r="E160" i="20" s="1"/>
  <c r="F160" i="20" s="1"/>
  <c r="B160" i="22"/>
  <c r="W122" i="22"/>
  <c r="D122" i="22"/>
  <c r="E122" i="22" s="1"/>
  <c r="F122" i="22" s="1"/>
  <c r="B122" i="23"/>
  <c r="W48" i="20"/>
  <c r="D48" i="20"/>
  <c r="E48" i="20" s="1"/>
  <c r="F48" i="20" s="1"/>
  <c r="B48" i="22"/>
  <c r="G20" i="18"/>
  <c r="CA20" i="6" s="1"/>
  <c r="AA20" i="18"/>
  <c r="Z20" i="18" s="1"/>
  <c r="Y20" i="18" s="1"/>
  <c r="W373" i="20"/>
  <c r="D373" i="20"/>
  <c r="E373" i="20" s="1"/>
  <c r="F373" i="20" s="1"/>
  <c r="B373" i="22"/>
  <c r="W357" i="20"/>
  <c r="D357" i="20"/>
  <c r="E357" i="20" s="1"/>
  <c r="F357" i="20" s="1"/>
  <c r="B357" i="22"/>
  <c r="G337" i="20"/>
  <c r="CB337" i="6" s="1"/>
  <c r="AA337" i="20"/>
  <c r="Z337" i="20" s="1"/>
  <c r="Y337" i="20" s="1"/>
  <c r="W307" i="20"/>
  <c r="D307" i="20"/>
  <c r="E307" i="20" s="1"/>
  <c r="F307" i="20" s="1"/>
  <c r="B307" i="22"/>
  <c r="G267" i="18"/>
  <c r="CA267" i="6" s="1"/>
  <c r="AA267" i="18"/>
  <c r="Z267" i="18" s="1"/>
  <c r="Y267" i="18" s="1"/>
  <c r="W223" i="20"/>
  <c r="D223" i="20"/>
  <c r="E223" i="20" s="1"/>
  <c r="F223" i="20" s="1"/>
  <c r="B223" i="22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B143" i="22"/>
  <c r="AA141" i="20"/>
  <c r="Z141" i="20" s="1"/>
  <c r="Y141" i="20" s="1"/>
  <c r="G141" i="20"/>
  <c r="CB141" i="6" s="1"/>
  <c r="D65" i="20"/>
  <c r="E65" i="20" s="1"/>
  <c r="F65" i="20" s="1"/>
  <c r="W65" i="20"/>
  <c r="B65" i="22"/>
  <c r="G59" i="20"/>
  <c r="CB59" i="6" s="1"/>
  <c r="AA59" i="20"/>
  <c r="Z59" i="20" s="1"/>
  <c r="Y59" i="20" s="1"/>
  <c r="W372" i="20"/>
  <c r="D372" i="20"/>
  <c r="E372" i="20" s="1"/>
  <c r="F372" i="20" s="1"/>
  <c r="B372" i="22"/>
  <c r="D250" i="20"/>
  <c r="E250" i="20" s="1"/>
  <c r="F250" i="20" s="1"/>
  <c r="W250" i="20"/>
  <c r="B250" i="22"/>
  <c r="G250" i="18"/>
  <c r="CA250" i="6" s="1"/>
  <c r="AA250" i="18"/>
  <c r="Z250" i="18" s="1"/>
  <c r="Y250" i="18" s="1"/>
  <c r="W148" i="20"/>
  <c r="D148" i="20"/>
  <c r="E148" i="20" s="1"/>
  <c r="F148" i="20" s="1"/>
  <c r="B148" i="22"/>
  <c r="W126" i="20"/>
  <c r="D126" i="20"/>
  <c r="E126" i="20" s="1"/>
  <c r="F126" i="20" s="1"/>
  <c r="B126" i="22"/>
  <c r="G108" i="20"/>
  <c r="CB108" i="6" s="1"/>
  <c r="AA108" i="20"/>
  <c r="Z108" i="20" s="1"/>
  <c r="Y108" i="20" s="1"/>
  <c r="W96" i="20"/>
  <c r="D96" i="20"/>
  <c r="E96" i="20" s="1"/>
  <c r="F96" i="20" s="1"/>
  <c r="B96" i="22"/>
  <c r="G80" i="20"/>
  <c r="CB80" i="6" s="1"/>
  <c r="AA80" i="20"/>
  <c r="Z80" i="20" s="1"/>
  <c r="Y80" i="20" s="1"/>
  <c r="W34" i="20"/>
  <c r="D34" i="20"/>
  <c r="E34" i="20" s="1"/>
  <c r="F34" i="20" s="1"/>
  <c r="B34" i="22"/>
  <c r="G371" i="18"/>
  <c r="CA371" i="6" s="1"/>
  <c r="AA371" i="18"/>
  <c r="Z371" i="18" s="1"/>
  <c r="Y371" i="18" s="1"/>
  <c r="W341" i="22"/>
  <c r="D341" i="22"/>
  <c r="E341" i="22" s="1"/>
  <c r="F341" i="22" s="1"/>
  <c r="B341" i="23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B293" i="23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B201" i="22"/>
  <c r="G147" i="20"/>
  <c r="CB147" i="6" s="1"/>
  <c r="AA147" i="20"/>
  <c r="Z147" i="20" s="1"/>
  <c r="Y147" i="20" s="1"/>
  <c r="W145" i="20"/>
  <c r="D145" i="20"/>
  <c r="E145" i="20" s="1"/>
  <c r="F145" i="20" s="1"/>
  <c r="B145" i="22"/>
  <c r="W93" i="22"/>
  <c r="D93" i="22"/>
  <c r="E93" i="22" s="1"/>
  <c r="F93" i="22" s="1"/>
  <c r="B93" i="23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B31" i="22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B140" i="22"/>
  <c r="W110" i="20"/>
  <c r="D110" i="20"/>
  <c r="E110" i="20" s="1"/>
  <c r="F110" i="20" s="1"/>
  <c r="B110" i="22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B185" i="22"/>
  <c r="W63" i="22"/>
  <c r="D63" i="22"/>
  <c r="E63" i="22" s="1"/>
  <c r="F63" i="22" s="1"/>
  <c r="B63" i="23"/>
  <c r="W37" i="20"/>
  <c r="D37" i="20"/>
  <c r="E37" i="20" s="1"/>
  <c r="F37" i="20" s="1"/>
  <c r="B37" i="22"/>
  <c r="G88" i="18"/>
  <c r="CA88" i="6" s="1"/>
  <c r="AA88" i="18"/>
  <c r="Z88" i="18" s="1"/>
  <c r="Y88" i="18" s="1"/>
  <c r="W244" i="20"/>
  <c r="D244" i="20"/>
  <c r="E244" i="20" s="1"/>
  <c r="F244" i="20" s="1"/>
  <c r="B244" i="22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B154" i="23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B346" i="22"/>
  <c r="D248" i="20"/>
  <c r="E248" i="20" s="1"/>
  <c r="F248" i="20" s="1"/>
  <c r="W248" i="20"/>
  <c r="B248" i="22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B16" i="23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B132" i="23"/>
  <c r="D295" i="20"/>
  <c r="E295" i="20" s="1"/>
  <c r="F295" i="20" s="1"/>
  <c r="W295" i="20"/>
  <c r="B295" i="22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B251" i="23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B125" i="22"/>
  <c r="G103" i="20"/>
  <c r="CB103" i="6" s="1"/>
  <c r="AA103" i="20"/>
  <c r="Z103" i="20" s="1"/>
  <c r="Y103" i="20" s="1"/>
  <c r="W157" i="20"/>
  <c r="D157" i="20"/>
  <c r="E157" i="20" s="1"/>
  <c r="F157" i="20" s="1"/>
  <c r="B157" i="22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B305" i="23"/>
  <c r="G310" i="18"/>
  <c r="CA310" i="6" s="1"/>
  <c r="AA310" i="18"/>
  <c r="Z310" i="18" s="1"/>
  <c r="Y310" i="18" s="1"/>
  <c r="W252" i="22"/>
  <c r="D252" i="22"/>
  <c r="E252" i="22" s="1"/>
  <c r="F252" i="22" s="1"/>
  <c r="B252" i="23"/>
  <c r="G378" i="18"/>
  <c r="CA378" i="6" s="1"/>
  <c r="AA378" i="18"/>
  <c r="Z378" i="18" s="1"/>
  <c r="Y378" i="18" s="1"/>
  <c r="W204" i="22"/>
  <c r="D204" i="22"/>
  <c r="E204" i="22" s="1"/>
  <c r="F204" i="22" s="1"/>
  <c r="B204" i="23"/>
  <c r="W90" i="20"/>
  <c r="D90" i="20"/>
  <c r="E90" i="20" s="1"/>
  <c r="F90" i="20" s="1"/>
  <c r="B90" i="22"/>
  <c r="W222" i="22"/>
  <c r="D222" i="22"/>
  <c r="E222" i="22" s="1"/>
  <c r="F222" i="22" s="1"/>
  <c r="B222" i="23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B340" i="22"/>
  <c r="G290" i="18"/>
  <c r="CA290" i="6" s="1"/>
  <c r="AA290" i="18"/>
  <c r="Z290" i="18" s="1"/>
  <c r="Y290" i="18" s="1"/>
  <c r="W286" i="22"/>
  <c r="D286" i="22"/>
  <c r="E286" i="22" s="1"/>
  <c r="F286" i="22" s="1"/>
  <c r="B286" i="23"/>
  <c r="W264" i="20"/>
  <c r="D264" i="20"/>
  <c r="E264" i="20" s="1"/>
  <c r="F264" i="20" s="1"/>
  <c r="B264" i="22"/>
  <c r="G242" i="20"/>
  <c r="CB242" i="6" s="1"/>
  <c r="AA242" i="20"/>
  <c r="Z242" i="20" s="1"/>
  <c r="Y242" i="20" s="1"/>
  <c r="D214" i="20"/>
  <c r="E214" i="20" s="1"/>
  <c r="F214" i="20" s="1"/>
  <c r="W214" i="20"/>
  <c r="B214" i="22"/>
  <c r="D198" i="20"/>
  <c r="E198" i="20" s="1"/>
  <c r="F198" i="20" s="1"/>
  <c r="W198" i="20"/>
  <c r="B198" i="22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B162" i="22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B82" i="23"/>
  <c r="D58" i="20"/>
  <c r="E58" i="20" s="1"/>
  <c r="F58" i="20" s="1"/>
  <c r="W58" i="20"/>
  <c r="B58" i="22"/>
  <c r="AA54" i="20"/>
  <c r="Z54" i="20" s="1"/>
  <c r="Y54" i="20" s="1"/>
  <c r="G54" i="20"/>
  <c r="CB54" i="6" s="1"/>
  <c r="W36" i="20"/>
  <c r="D36" i="20"/>
  <c r="E36" i="20" s="1"/>
  <c r="F36" i="20" s="1"/>
  <c r="B36" i="22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B279" i="22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B165" i="22"/>
  <c r="G121" i="18"/>
  <c r="CA121" i="6" s="1"/>
  <c r="AA121" i="18"/>
  <c r="Z121" i="18" s="1"/>
  <c r="Y121" i="18" s="1"/>
  <c r="W117" i="22"/>
  <c r="D117" i="22"/>
  <c r="E117" i="22" s="1"/>
  <c r="F117" i="22" s="1"/>
  <c r="B117" i="23"/>
  <c r="W109" i="20"/>
  <c r="D109" i="20"/>
  <c r="E109" i="20" s="1"/>
  <c r="F109" i="20" s="1"/>
  <c r="B109" i="22"/>
  <c r="W91" i="22"/>
  <c r="D91" i="22"/>
  <c r="E91" i="22" s="1"/>
  <c r="F91" i="22" s="1"/>
  <c r="B91" i="23"/>
  <c r="W51" i="20"/>
  <c r="D51" i="20"/>
  <c r="E51" i="20" s="1"/>
  <c r="F51" i="20" s="1"/>
  <c r="B51" i="22"/>
  <c r="D41" i="22"/>
  <c r="E41" i="22" s="1"/>
  <c r="F41" i="22" s="1"/>
  <c r="W41" i="22"/>
  <c r="B41" i="23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B364" i="22"/>
  <c r="W330" i="20"/>
  <c r="D330" i="20"/>
  <c r="E330" i="20" s="1"/>
  <c r="F330" i="20" s="1"/>
  <c r="B330" i="22"/>
  <c r="W304" i="22"/>
  <c r="D304" i="22"/>
  <c r="E304" i="22" s="1"/>
  <c r="F304" i="22" s="1"/>
  <c r="B304" i="23"/>
  <c r="G292" i="18"/>
  <c r="CA292" i="6" s="1"/>
  <c r="AA292" i="18"/>
  <c r="Z292" i="18" s="1"/>
  <c r="Y292" i="18" s="1"/>
  <c r="W262" i="22"/>
  <c r="D262" i="22"/>
  <c r="E262" i="22" s="1"/>
  <c r="F262" i="22" s="1"/>
  <c r="B262" i="23"/>
  <c r="W256" i="20"/>
  <c r="D256" i="20"/>
  <c r="E256" i="20" s="1"/>
  <c r="F256" i="20" s="1"/>
  <c r="B256" i="22"/>
  <c r="G202" i="20"/>
  <c r="CB202" i="6" s="1"/>
  <c r="AA202" i="20"/>
  <c r="Z202" i="20" s="1"/>
  <c r="Y202" i="20" s="1"/>
  <c r="W184" i="20"/>
  <c r="D184" i="20"/>
  <c r="E184" i="20" s="1"/>
  <c r="F184" i="20" s="1"/>
  <c r="B184" i="22"/>
  <c r="G138" i="20"/>
  <c r="CB138" i="6" s="1"/>
  <c r="AA138" i="20"/>
  <c r="Z138" i="20" s="1"/>
  <c r="Y138" i="20" s="1"/>
  <c r="W124" i="20"/>
  <c r="D124" i="20"/>
  <c r="E124" i="20" s="1"/>
  <c r="F124" i="20" s="1"/>
  <c r="B124" i="22"/>
  <c r="G28" i="20"/>
  <c r="CB28" i="6" s="1"/>
  <c r="AA28" i="20"/>
  <c r="Z28" i="20" s="1"/>
  <c r="Y28" i="20" s="1"/>
  <c r="W27" i="20"/>
  <c r="D27" i="20"/>
  <c r="E27" i="20" s="1"/>
  <c r="F27" i="20" s="1"/>
  <c r="B27" i="22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B151" i="23"/>
  <c r="D139" i="20"/>
  <c r="E139" i="20" s="1"/>
  <c r="F139" i="20" s="1"/>
  <c r="W139" i="20"/>
  <c r="B139" i="22"/>
  <c r="W107" i="22"/>
  <c r="D107" i="22"/>
  <c r="E107" i="22" s="1"/>
  <c r="F107" i="22" s="1"/>
  <c r="B107" i="23"/>
  <c r="W53" i="20"/>
  <c r="D53" i="20"/>
  <c r="E53" i="20" s="1"/>
  <c r="F53" i="20" s="1"/>
  <c r="B53" i="22"/>
  <c r="W39" i="22"/>
  <c r="D39" i="22"/>
  <c r="E39" i="22" s="1"/>
  <c r="F39" i="22" s="1"/>
  <c r="B39" i="23"/>
  <c r="D334" i="20"/>
  <c r="E334" i="20" s="1"/>
  <c r="F334" i="20" s="1"/>
  <c r="W334" i="20"/>
  <c r="B334" i="22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B146" i="23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B285" i="23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B215" i="22"/>
  <c r="G195" i="20"/>
  <c r="CB195" i="6" s="1"/>
  <c r="AA195" i="20"/>
  <c r="Z195" i="20" s="1"/>
  <c r="Y195" i="20" s="1"/>
  <c r="W181" i="20"/>
  <c r="D181" i="20"/>
  <c r="E181" i="20" s="1"/>
  <c r="F181" i="20" s="1"/>
  <c r="B181" i="22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B71" i="22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B336" i="23"/>
  <c r="W328" i="20"/>
  <c r="D328" i="20"/>
  <c r="E328" i="20" s="1"/>
  <c r="F328" i="20" s="1"/>
  <c r="B328" i="22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B268" i="22"/>
  <c r="W246" i="20"/>
  <c r="D246" i="20"/>
  <c r="E246" i="20" s="1"/>
  <c r="F246" i="20" s="1"/>
  <c r="B246" i="22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B104" i="22"/>
  <c r="W56" i="20"/>
  <c r="D56" i="20"/>
  <c r="E56" i="20" s="1"/>
  <c r="F56" i="20" s="1"/>
  <c r="B56" i="22"/>
  <c r="G50" i="20"/>
  <c r="CB50" i="6" s="1"/>
  <c r="AA50" i="20"/>
  <c r="Z50" i="20" s="1"/>
  <c r="Y50" i="20" s="1"/>
  <c r="W361" i="20"/>
  <c r="D361" i="20"/>
  <c r="E361" i="20" s="1"/>
  <c r="F361" i="20" s="1"/>
  <c r="B361" i="22"/>
  <c r="W273" i="20"/>
  <c r="D273" i="20"/>
  <c r="E273" i="20" s="1"/>
  <c r="F273" i="20" s="1"/>
  <c r="B273" i="22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B83" i="23"/>
  <c r="G61" i="18"/>
  <c r="CA61" i="6" s="1"/>
  <c r="AA61" i="18"/>
  <c r="Z61" i="18" s="1"/>
  <c r="Y61" i="18" s="1"/>
  <c r="W287" i="20"/>
  <c r="D287" i="20"/>
  <c r="E287" i="20" s="1"/>
  <c r="F287" i="20" s="1"/>
  <c r="B287" i="22"/>
  <c r="W130" i="22"/>
  <c r="D130" i="22"/>
  <c r="E130" i="22" s="1"/>
  <c r="F130" i="22" s="1"/>
  <c r="B130" i="23"/>
  <c r="G175" i="20"/>
  <c r="CB175" i="6" s="1"/>
  <c r="AA175" i="20"/>
  <c r="Z175" i="20" s="1"/>
  <c r="Y175" i="20" s="1"/>
  <c r="W253" i="20"/>
  <c r="D253" i="20"/>
  <c r="E253" i="20" s="1"/>
  <c r="F253" i="20" s="1"/>
  <c r="B253" i="22"/>
  <c r="W369" i="20"/>
  <c r="D369" i="20"/>
  <c r="E369" i="20" s="1"/>
  <c r="F369" i="20" s="1"/>
  <c r="B369" i="22"/>
  <c r="G302" i="20"/>
  <c r="CB302" i="6" s="1"/>
  <c r="AA302" i="20"/>
  <c r="Z302" i="20" s="1"/>
  <c r="Y302" i="20" s="1"/>
  <c r="W347" i="20"/>
  <c r="D347" i="20"/>
  <c r="E347" i="20" s="1"/>
  <c r="F347" i="20" s="1"/>
  <c r="B347" i="22"/>
  <c r="W376" i="20"/>
  <c r="D376" i="20"/>
  <c r="E376" i="20" s="1"/>
  <c r="F376" i="20" s="1"/>
  <c r="B376" i="22"/>
  <c r="G335" i="20"/>
  <c r="CB335" i="6" s="1"/>
  <c r="AA335" i="20"/>
  <c r="Z335" i="20" s="1"/>
  <c r="Y335" i="20" s="1"/>
  <c r="W66" i="22"/>
  <c r="D66" i="22"/>
  <c r="E66" i="22" s="1"/>
  <c r="F66" i="22" s="1"/>
  <c r="B66" i="23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B278" i="23"/>
  <c r="W75" i="20"/>
  <c r="D75" i="20"/>
  <c r="E75" i="20" s="1"/>
  <c r="F75" i="20" s="1"/>
  <c r="B75" i="22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B74" i="22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B187" i="22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B333" i="22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B69" i="23"/>
  <c r="W33" i="22"/>
  <c r="D33" i="22"/>
  <c r="E33" i="22" s="1"/>
  <c r="F33" i="22" s="1"/>
  <c r="B33" i="23"/>
  <c r="W352" i="20"/>
  <c r="D352" i="20"/>
  <c r="E352" i="20" s="1"/>
  <c r="F352" i="20" s="1"/>
  <c r="B352" i="22"/>
  <c r="W318" i="20"/>
  <c r="D318" i="20"/>
  <c r="E318" i="20" s="1"/>
  <c r="F318" i="20" s="1"/>
  <c r="B318" i="22"/>
  <c r="W274" i="20"/>
  <c r="D274" i="20"/>
  <c r="E274" i="20" s="1"/>
  <c r="F274" i="20" s="1"/>
  <c r="B274" i="22"/>
  <c r="W178" i="22"/>
  <c r="D178" i="22"/>
  <c r="E178" i="22" s="1"/>
  <c r="F178" i="22" s="1"/>
  <c r="B178" i="23"/>
  <c r="G136" i="20"/>
  <c r="CB136" i="6" s="1"/>
  <c r="AA136" i="20"/>
  <c r="Z136" i="20" s="1"/>
  <c r="Y136" i="20" s="1"/>
  <c r="W106" i="22"/>
  <c r="D106" i="22"/>
  <c r="E106" i="22" s="1"/>
  <c r="F106" i="22" s="1"/>
  <c r="B106" i="23"/>
  <c r="W84" i="20"/>
  <c r="D84" i="20"/>
  <c r="E84" i="20" s="1"/>
  <c r="F84" i="20" s="1"/>
  <c r="B84" i="22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B99" i="22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B114" i="22"/>
  <c r="G43" i="20"/>
  <c r="CB43" i="6" s="1"/>
  <c r="AA43" i="20"/>
  <c r="Z43" i="20" s="1"/>
  <c r="Y43" i="20" s="1"/>
  <c r="W283" i="20"/>
  <c r="D283" i="20"/>
  <c r="E283" i="20" s="1"/>
  <c r="F283" i="20" s="1"/>
  <c r="B283" i="22"/>
  <c r="W354" i="22"/>
  <c r="D354" i="22"/>
  <c r="E354" i="22" s="1"/>
  <c r="F354" i="22" s="1"/>
  <c r="B354" i="23"/>
  <c r="G177" i="20"/>
  <c r="CB177" i="6" s="1"/>
  <c r="AA177" i="20"/>
  <c r="Z177" i="20" s="1"/>
  <c r="Y177" i="20" s="1"/>
  <c r="W226" i="20"/>
  <c r="D226" i="20"/>
  <c r="E226" i="20" s="1"/>
  <c r="F226" i="20" s="1"/>
  <c r="B226" i="22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B29" i="22"/>
  <c r="W379" i="22"/>
  <c r="D379" i="22"/>
  <c r="E379" i="22" s="1"/>
  <c r="F379" i="22" s="1"/>
  <c r="B379" i="23"/>
  <c r="I217" i="18" l="1"/>
  <c r="H217" i="20" s="1"/>
  <c r="J217" i="20" s="1"/>
  <c r="J205" i="18"/>
  <c r="BA217" i="6"/>
  <c r="D217" i="6" s="1"/>
  <c r="BA205" i="6"/>
  <c r="D205" i="6" s="1"/>
  <c r="H49" i="18"/>
  <c r="B49" i="6"/>
  <c r="H21" i="18"/>
  <c r="B21" i="6"/>
  <c r="H188" i="18"/>
  <c r="B188" i="6"/>
  <c r="H207" i="18"/>
  <c r="B207" i="6"/>
  <c r="H371" i="18"/>
  <c r="I371" i="18" s="1"/>
  <c r="B371" i="6"/>
  <c r="H109" i="18"/>
  <c r="J109" i="18" s="1"/>
  <c r="B109" i="6"/>
  <c r="H33" i="18"/>
  <c r="J33" i="18" s="1"/>
  <c r="B33" i="6"/>
  <c r="H314" i="18"/>
  <c r="B314" i="6"/>
  <c r="H290" i="18"/>
  <c r="I290" i="18" s="1"/>
  <c r="B290" i="6"/>
  <c r="H258" i="18"/>
  <c r="B258" i="6"/>
  <c r="H340" i="18"/>
  <c r="B340" i="6"/>
  <c r="H270" i="18"/>
  <c r="I270" i="18" s="1"/>
  <c r="B270" i="6"/>
  <c r="H221" i="18"/>
  <c r="I221" i="18" s="1"/>
  <c r="B221" i="6"/>
  <c r="H328" i="18"/>
  <c r="I328" i="18" s="1"/>
  <c r="B328" i="6"/>
  <c r="H352" i="18"/>
  <c r="B352" i="6"/>
  <c r="H123" i="18"/>
  <c r="J123" i="18" s="1"/>
  <c r="B123" i="6"/>
  <c r="H349" i="18"/>
  <c r="B349" i="6"/>
  <c r="H83" i="18"/>
  <c r="B83" i="6"/>
  <c r="H175" i="18"/>
  <c r="B175" i="6"/>
  <c r="H115" i="18"/>
  <c r="B115" i="6"/>
  <c r="H20" i="18"/>
  <c r="B20" i="6"/>
  <c r="H231" i="18"/>
  <c r="J231" i="18" s="1"/>
  <c r="B231" i="6"/>
  <c r="H116" i="18"/>
  <c r="B116" i="6"/>
  <c r="H334" i="18"/>
  <c r="I334" i="18" s="1"/>
  <c r="B334" i="6"/>
  <c r="H174" i="18"/>
  <c r="B174" i="6"/>
  <c r="H160" i="18"/>
  <c r="I160" i="18" s="1"/>
  <c r="B160" i="6"/>
  <c r="H134" i="18"/>
  <c r="B134" i="6"/>
  <c r="H208" i="18"/>
  <c r="I208" i="18" s="1"/>
  <c r="B208" i="6"/>
  <c r="H358" i="18"/>
  <c r="B358" i="6"/>
  <c r="H183" i="18"/>
  <c r="B183" i="6"/>
  <c r="H359" i="18"/>
  <c r="B359" i="6"/>
  <c r="H137" i="18"/>
  <c r="J137" i="18" s="1"/>
  <c r="B137" i="6"/>
  <c r="H335" i="18"/>
  <c r="I335" i="18" s="1"/>
  <c r="B335" i="6"/>
  <c r="H19" i="18"/>
  <c r="I19" i="18" s="1"/>
  <c r="B19" i="6"/>
  <c r="H127" i="18"/>
  <c r="J127" i="18" s="1"/>
  <c r="B127" i="6"/>
  <c r="H209" i="18"/>
  <c r="B209" i="6"/>
  <c r="H132" i="18"/>
  <c r="I132" i="18" s="1"/>
  <c r="B132" i="6"/>
  <c r="H63" i="18"/>
  <c r="I63" i="18" s="1"/>
  <c r="B63" i="6"/>
  <c r="H211" i="18"/>
  <c r="J211" i="18" s="1"/>
  <c r="B211" i="6"/>
  <c r="H34" i="18"/>
  <c r="B34" i="6"/>
  <c r="H283" i="18"/>
  <c r="B283" i="6"/>
  <c r="H361" i="18"/>
  <c r="B361" i="6"/>
  <c r="H289" i="18"/>
  <c r="I289" i="18" s="1"/>
  <c r="B289" i="6"/>
  <c r="H122" i="18"/>
  <c r="B122" i="6"/>
  <c r="H273" i="18"/>
  <c r="B273" i="6"/>
  <c r="H341" i="18"/>
  <c r="B341" i="6"/>
  <c r="H154" i="18"/>
  <c r="B154" i="6"/>
  <c r="H347" i="18"/>
  <c r="I347" i="18" s="1"/>
  <c r="B347" i="6"/>
  <c r="H138" i="18"/>
  <c r="I138" i="18" s="1"/>
  <c r="B138" i="6"/>
  <c r="H368" i="18"/>
  <c r="I368" i="18" s="1"/>
  <c r="B368" i="6"/>
  <c r="H118" i="18"/>
  <c r="I118" i="18" s="1"/>
  <c r="B118" i="6"/>
  <c r="H125" i="18"/>
  <c r="B125" i="6"/>
  <c r="H79" i="18"/>
  <c r="J79" i="18" s="1"/>
  <c r="B79" i="6"/>
  <c r="H305" i="18"/>
  <c r="B305" i="6"/>
  <c r="H333" i="18"/>
  <c r="B333" i="6"/>
  <c r="H312" i="18"/>
  <c r="I312" i="18" s="1"/>
  <c r="B312" i="6"/>
  <c r="H268" i="18"/>
  <c r="J268" i="18" s="1"/>
  <c r="B268" i="6"/>
  <c r="H153" i="18"/>
  <c r="J153" i="18" s="1"/>
  <c r="B153" i="6"/>
  <c r="H31" i="18"/>
  <c r="J31" i="18" s="1"/>
  <c r="B31" i="6"/>
  <c r="H18" i="18"/>
  <c r="J18" i="18" s="1"/>
  <c r="B18" i="6"/>
  <c r="H90" i="18"/>
  <c r="I90" i="18" s="1"/>
  <c r="B90" i="6"/>
  <c r="H244" i="18"/>
  <c r="J244" i="18" s="1"/>
  <c r="B244" i="6"/>
  <c r="H193" i="18"/>
  <c r="I193" i="18" s="1"/>
  <c r="B193" i="6"/>
  <c r="H263" i="18"/>
  <c r="I263" i="18" s="1"/>
  <c r="B263" i="6"/>
  <c r="H338" i="18"/>
  <c r="B338" i="6"/>
  <c r="H212" i="18"/>
  <c r="J212" i="18" s="1"/>
  <c r="B212" i="6"/>
  <c r="H215" i="18"/>
  <c r="I215" i="18" s="1"/>
  <c r="B215" i="6"/>
  <c r="H241" i="18"/>
  <c r="I241" i="18" s="1"/>
  <c r="B241" i="6"/>
  <c r="H321" i="18"/>
  <c r="I321" i="18" s="1"/>
  <c r="B321" i="6"/>
  <c r="H88" i="18"/>
  <c r="B88" i="6"/>
  <c r="H105" i="18"/>
  <c r="B105" i="6"/>
  <c r="H194" i="18"/>
  <c r="B194" i="6"/>
  <c r="H60" i="18"/>
  <c r="B60" i="6"/>
  <c r="H351" i="18"/>
  <c r="B351" i="6"/>
  <c r="H363" i="18"/>
  <c r="J363" i="18" s="1"/>
  <c r="B363" i="6"/>
  <c r="H306" i="18"/>
  <c r="B306" i="6"/>
  <c r="H95" i="18"/>
  <c r="I95" i="18" s="1"/>
  <c r="B95" i="6"/>
  <c r="H287" i="18"/>
  <c r="I287" i="18" s="1"/>
  <c r="B287" i="6"/>
  <c r="H355" i="18"/>
  <c r="J355" i="18" s="1"/>
  <c r="B355" i="6"/>
  <c r="H379" i="18"/>
  <c r="I379" i="18" s="1"/>
  <c r="B379" i="6"/>
  <c r="H271" i="18"/>
  <c r="J271" i="18" s="1"/>
  <c r="B271" i="6"/>
  <c r="H58" i="18"/>
  <c r="B58" i="6"/>
  <c r="H129" i="18"/>
  <c r="I129" i="18" s="1"/>
  <c r="B129" i="6"/>
  <c r="H73" i="18"/>
  <c r="I73" i="18" s="1"/>
  <c r="B73" i="6"/>
  <c r="H260" i="18"/>
  <c r="B260" i="6"/>
  <c r="H332" i="18"/>
  <c r="I332" i="18" s="1"/>
  <c r="B332" i="6"/>
  <c r="H239" i="18"/>
  <c r="I239" i="18" s="1"/>
  <c r="B239" i="6"/>
  <c r="H51" i="18"/>
  <c r="I51" i="18" s="1"/>
  <c r="B51" i="6"/>
  <c r="H84" i="18"/>
  <c r="I84" i="18" s="1"/>
  <c r="B84" i="6"/>
  <c r="H348" i="18"/>
  <c r="I348" i="18" s="1"/>
  <c r="B348" i="6"/>
  <c r="H214" i="18"/>
  <c r="I214" i="18" s="1"/>
  <c r="B214" i="6"/>
  <c r="H280" i="18"/>
  <c r="J280" i="18" s="1"/>
  <c r="B280" i="6"/>
  <c r="H136" i="18"/>
  <c r="I136" i="18" s="1"/>
  <c r="B136" i="6"/>
  <c r="H38" i="18"/>
  <c r="B38" i="6"/>
  <c r="H219" i="18"/>
  <c r="B219" i="6"/>
  <c r="H161" i="18"/>
  <c r="I161" i="18" s="1"/>
  <c r="B161" i="6"/>
  <c r="H259" i="18"/>
  <c r="I259" i="18" s="1"/>
  <c r="B259" i="6"/>
  <c r="H92" i="18"/>
  <c r="B92" i="6"/>
  <c r="H233" i="18"/>
  <c r="B233" i="6"/>
  <c r="H72" i="18"/>
  <c r="I72" i="18" s="1"/>
  <c r="B72" i="6"/>
  <c r="H32" i="18"/>
  <c r="I32" i="18" s="1"/>
  <c r="B32" i="6"/>
  <c r="H98" i="18"/>
  <c r="B98" i="6"/>
  <c r="H337" i="18"/>
  <c r="B337" i="6"/>
  <c r="H113" i="18"/>
  <c r="B113" i="6"/>
  <c r="H274" i="18"/>
  <c r="J274" i="18" s="1"/>
  <c r="B274" i="6"/>
  <c r="H78" i="18"/>
  <c r="J78" i="18" s="1"/>
  <c r="B78" i="6"/>
  <c r="H82" i="18"/>
  <c r="I82" i="18" s="1"/>
  <c r="B82" i="6"/>
  <c r="H66" i="18"/>
  <c r="B66" i="6"/>
  <c r="H25" i="18"/>
  <c r="B25" i="6"/>
  <c r="H17" i="18"/>
  <c r="J17" i="18" s="1"/>
  <c r="B17" i="6"/>
  <c r="H144" i="18"/>
  <c r="J144" i="18" s="1"/>
  <c r="B144" i="6"/>
  <c r="H374" i="18"/>
  <c r="B374" i="6"/>
  <c r="H325" i="18"/>
  <c r="B325" i="6"/>
  <c r="H331" i="18"/>
  <c r="J331" i="18" s="1"/>
  <c r="B331" i="6"/>
  <c r="H269" i="18"/>
  <c r="J269" i="18" s="1"/>
  <c r="B269" i="6"/>
  <c r="H320" i="18"/>
  <c r="J320" i="18" s="1"/>
  <c r="B320" i="6"/>
  <c r="H52" i="18"/>
  <c r="I52" i="18" s="1"/>
  <c r="B52" i="6"/>
  <c r="H155" i="18"/>
  <c r="I155" i="18" s="1"/>
  <c r="B155" i="6"/>
  <c r="H245" i="18"/>
  <c r="B245" i="6"/>
  <c r="H24" i="18"/>
  <c r="J24" i="18" s="1"/>
  <c r="B24" i="6"/>
  <c r="H85" i="18"/>
  <c r="I85" i="18" s="1"/>
  <c r="B85" i="6"/>
  <c r="H141" i="18"/>
  <c r="I141" i="18" s="1"/>
  <c r="B141" i="6"/>
  <c r="H23" i="18"/>
  <c r="B23" i="6"/>
  <c r="H342" i="18"/>
  <c r="I342" i="18" s="1"/>
  <c r="B342" i="6"/>
  <c r="H344" i="18"/>
  <c r="I344" i="18" s="1"/>
  <c r="B344" i="6"/>
  <c r="H190" i="18"/>
  <c r="I190" i="18" s="1"/>
  <c r="B190" i="6"/>
  <c r="H147" i="18"/>
  <c r="I147" i="18" s="1"/>
  <c r="B147" i="6"/>
  <c r="H336" i="18"/>
  <c r="B336" i="6"/>
  <c r="H327" i="18"/>
  <c r="J327" i="18" s="1"/>
  <c r="B327" i="6"/>
  <c r="H198" i="18"/>
  <c r="J198" i="18" s="1"/>
  <c r="B198" i="6"/>
  <c r="H235" i="18"/>
  <c r="J235" i="18" s="1"/>
  <c r="B235" i="6"/>
  <c r="H158" i="18"/>
  <c r="B158" i="6"/>
  <c r="H191" i="18"/>
  <c r="I191" i="18" s="1"/>
  <c r="B191" i="6"/>
  <c r="H169" i="18"/>
  <c r="I169" i="18" s="1"/>
  <c r="B169" i="6"/>
  <c r="H308" i="18"/>
  <c r="J308" i="18" s="1"/>
  <c r="B308" i="6"/>
  <c r="H37" i="18"/>
  <c r="J37" i="18" s="1"/>
  <c r="B37" i="6"/>
  <c r="H364" i="18"/>
  <c r="I364" i="18" s="1"/>
  <c r="B364" i="6"/>
  <c r="H318" i="18"/>
  <c r="B318" i="6"/>
  <c r="H176" i="18"/>
  <c r="B176" i="6"/>
  <c r="H81" i="18"/>
  <c r="I81" i="18" s="1"/>
  <c r="B81" i="6"/>
  <c r="H135" i="18"/>
  <c r="I135" i="18" s="1"/>
  <c r="B135" i="6"/>
  <c r="H373" i="18"/>
  <c r="J373" i="18" s="1"/>
  <c r="B373" i="6"/>
  <c r="H133" i="18"/>
  <c r="J133" i="18" s="1"/>
  <c r="B133" i="6"/>
  <c r="H164" i="18"/>
  <c r="I164" i="18" s="1"/>
  <c r="B164" i="6"/>
  <c r="H156" i="18"/>
  <c r="B156" i="6"/>
  <c r="H210" i="18"/>
  <c r="J210" i="18" s="1"/>
  <c r="B210" i="6"/>
  <c r="H203" i="18"/>
  <c r="B203" i="6"/>
  <c r="H275" i="18"/>
  <c r="I275" i="18" s="1"/>
  <c r="B275" i="6"/>
  <c r="H300" i="18"/>
  <c r="I300" i="18" s="1"/>
  <c r="B300" i="6"/>
  <c r="H182" i="18"/>
  <c r="J182" i="18" s="1"/>
  <c r="B182" i="6"/>
  <c r="H91" i="18"/>
  <c r="B91" i="6"/>
  <c r="H27" i="18"/>
  <c r="J27" i="18" s="1"/>
  <c r="B27" i="6"/>
  <c r="H77" i="18"/>
  <c r="B77" i="6"/>
  <c r="H42" i="18"/>
  <c r="B42" i="6"/>
  <c r="H297" i="18"/>
  <c r="B297" i="6"/>
  <c r="H101" i="18"/>
  <c r="B101" i="6"/>
  <c r="H145" i="18"/>
  <c r="J145" i="18" s="1"/>
  <c r="B145" i="6"/>
  <c r="H330" i="18"/>
  <c r="J330" i="18" s="1"/>
  <c r="B330" i="6"/>
  <c r="H61" i="18"/>
  <c r="I61" i="18" s="1"/>
  <c r="B61" i="6"/>
  <c r="H162" i="18"/>
  <c r="I162" i="18" s="1"/>
  <c r="B162" i="6"/>
  <c r="H370" i="18"/>
  <c r="I370" i="18" s="1"/>
  <c r="B370" i="6"/>
  <c r="H317" i="18"/>
  <c r="J317" i="18" s="1"/>
  <c r="B317" i="6"/>
  <c r="H291" i="18"/>
  <c r="I291" i="18" s="1"/>
  <c r="B291" i="6"/>
  <c r="H343" i="18"/>
  <c r="I343" i="18" s="1"/>
  <c r="B343" i="6"/>
  <c r="H112" i="18"/>
  <c r="I112" i="18" s="1"/>
  <c r="B112" i="6"/>
  <c r="H99" i="18"/>
  <c r="I99" i="18" s="1"/>
  <c r="B99" i="6"/>
  <c r="H151" i="18"/>
  <c r="I151" i="18" s="1"/>
  <c r="B151" i="6"/>
  <c r="H254" i="18"/>
  <c r="B254" i="6"/>
  <c r="H237" i="18"/>
  <c r="J237" i="18" s="1"/>
  <c r="B237" i="6"/>
  <c r="H266" i="18"/>
  <c r="I266" i="18" s="1"/>
  <c r="B266" i="6"/>
  <c r="H181" i="18"/>
  <c r="I181" i="18" s="1"/>
  <c r="B181" i="6"/>
  <c r="H236" i="18"/>
  <c r="J236" i="18" s="1"/>
  <c r="B236" i="6"/>
  <c r="H140" i="18"/>
  <c r="J140" i="18" s="1"/>
  <c r="B140" i="6"/>
  <c r="H261" i="18"/>
  <c r="B261" i="6"/>
  <c r="H64" i="18"/>
  <c r="I64" i="18" s="1"/>
  <c r="B64" i="6"/>
  <c r="H173" i="18"/>
  <c r="B173" i="6"/>
  <c r="H243" i="18"/>
  <c r="J243" i="18" s="1"/>
  <c r="B243" i="6"/>
  <c r="H267" i="18"/>
  <c r="I267" i="18" s="1"/>
  <c r="B267" i="6"/>
  <c r="H252" i="18"/>
  <c r="J252" i="18" s="1"/>
  <c r="B252" i="6"/>
  <c r="H45" i="18"/>
  <c r="J45" i="18" s="1"/>
  <c r="B45" i="6"/>
  <c r="H345" i="18"/>
  <c r="I345" i="18" s="1"/>
  <c r="B345" i="6"/>
  <c r="H362" i="18"/>
  <c r="J362" i="18" s="1"/>
  <c r="B362" i="6"/>
  <c r="H70" i="18"/>
  <c r="B70" i="6"/>
  <c r="H294" i="18"/>
  <c r="B294" i="6"/>
  <c r="H265" i="18"/>
  <c r="I265" i="18" s="1"/>
  <c r="B265" i="6"/>
  <c r="H311" i="18"/>
  <c r="J311" i="18" s="1"/>
  <c r="B311" i="6"/>
  <c r="H303" i="18"/>
  <c r="J303" i="18" s="1"/>
  <c r="B303" i="6"/>
  <c r="H292" i="18"/>
  <c r="B292" i="6"/>
  <c r="H89" i="18"/>
  <c r="B89" i="6"/>
  <c r="H225" i="18"/>
  <c r="J225" i="18" s="1"/>
  <c r="B225" i="6"/>
  <c r="H369" i="18"/>
  <c r="B369" i="6"/>
  <c r="H247" i="18"/>
  <c r="I247" i="18" s="1"/>
  <c r="B247" i="6"/>
  <c r="H54" i="18"/>
  <c r="B54" i="6"/>
  <c r="H55" i="18"/>
  <c r="I55" i="18" s="1"/>
  <c r="B55" i="6"/>
  <c r="H288" i="18"/>
  <c r="I288" i="18" s="1"/>
  <c r="B288" i="6"/>
  <c r="H69" i="18"/>
  <c r="B69" i="6"/>
  <c r="H124" i="18"/>
  <c r="J124" i="18" s="1"/>
  <c r="B124" i="6"/>
  <c r="H339" i="18"/>
  <c r="J339" i="18" s="1"/>
  <c r="B339" i="6"/>
  <c r="H143" i="18"/>
  <c r="B143" i="6"/>
  <c r="H281" i="18"/>
  <c r="I281" i="18" s="1"/>
  <c r="B281" i="6"/>
  <c r="H189" i="18"/>
  <c r="B189" i="6"/>
  <c r="H44" i="18"/>
  <c r="B44" i="6"/>
  <c r="H80" i="18"/>
  <c r="B80" i="6"/>
  <c r="H35" i="18"/>
  <c r="B35" i="6"/>
  <c r="H262" i="18"/>
  <c r="J262" i="18" s="1"/>
  <c r="B262" i="6"/>
  <c r="H30" i="18"/>
  <c r="B30" i="6"/>
  <c r="H184" i="18"/>
  <c r="B184" i="6"/>
  <c r="H322" i="18"/>
  <c r="J322" i="18" s="1"/>
  <c r="B322" i="6"/>
  <c r="H222" i="18"/>
  <c r="B222" i="6"/>
  <c r="H298" i="18"/>
  <c r="J298" i="18" s="1"/>
  <c r="B298" i="6"/>
  <c r="H354" i="18"/>
  <c r="B354" i="6"/>
  <c r="H216" i="18"/>
  <c r="B216" i="6"/>
  <c r="H299" i="18"/>
  <c r="I299" i="18" s="1"/>
  <c r="B299" i="6"/>
  <c r="H167" i="18"/>
  <c r="B167" i="6"/>
  <c r="H249" i="18"/>
  <c r="B249" i="6"/>
  <c r="H120" i="18"/>
  <c r="B120" i="6"/>
  <c r="H159" i="18"/>
  <c r="B159" i="6"/>
  <c r="H196" i="18"/>
  <c r="J196" i="18" s="1"/>
  <c r="B196" i="6"/>
  <c r="H163" i="18"/>
  <c r="I163" i="18" s="1"/>
  <c r="B163" i="6"/>
  <c r="H108" i="18"/>
  <c r="B108" i="6"/>
  <c r="H121" i="18"/>
  <c r="B121" i="6"/>
  <c r="H166" i="18"/>
  <c r="J166" i="18" s="1"/>
  <c r="B166" i="6"/>
  <c r="H365" i="18"/>
  <c r="B365" i="6"/>
  <c r="H57" i="18"/>
  <c r="B57" i="6"/>
  <c r="H353" i="18"/>
  <c r="J353" i="18" s="1"/>
  <c r="B353" i="6"/>
  <c r="H148" i="18"/>
  <c r="B148" i="6"/>
  <c r="H100" i="18"/>
  <c r="I100" i="18" s="1"/>
  <c r="B100" i="6"/>
  <c r="H94" i="18"/>
  <c r="J94" i="18" s="1"/>
  <c r="B94" i="6"/>
  <c r="H199" i="18"/>
  <c r="J199" i="18" s="1"/>
  <c r="B199" i="6"/>
  <c r="H71" i="18"/>
  <c r="I71" i="18" s="1"/>
  <c r="B71" i="6"/>
  <c r="H319" i="18"/>
  <c r="B319" i="6"/>
  <c r="H285" i="18"/>
  <c r="J285" i="18" s="1"/>
  <c r="B285" i="6"/>
  <c r="H218" i="18"/>
  <c r="I218" i="18" s="1"/>
  <c r="B218" i="6"/>
  <c r="H278" i="18"/>
  <c r="I278" i="18" s="1"/>
  <c r="B278" i="6"/>
  <c r="H65" i="18"/>
  <c r="B65" i="6"/>
  <c r="H74" i="18"/>
  <c r="J74" i="18" s="1"/>
  <c r="B74" i="6"/>
  <c r="H242" i="18"/>
  <c r="J242" i="18" s="1"/>
  <c r="B242" i="6"/>
  <c r="H326" i="18"/>
  <c r="B326" i="6"/>
  <c r="H168" i="18"/>
  <c r="I168" i="18" s="1"/>
  <c r="B168" i="6"/>
  <c r="H128" i="18"/>
  <c r="B128" i="6"/>
  <c r="H301" i="18"/>
  <c r="I301" i="18" s="1"/>
  <c r="B301" i="6"/>
  <c r="H68" i="18"/>
  <c r="I68" i="18" s="1"/>
  <c r="B68" i="6"/>
  <c r="H350" i="18"/>
  <c r="J350" i="18" s="1"/>
  <c r="B350" i="6"/>
  <c r="H223" i="18"/>
  <c r="B223" i="6"/>
  <c r="H378" i="18"/>
  <c r="J378" i="18" s="1"/>
  <c r="B378" i="6"/>
  <c r="H22" i="18"/>
  <c r="J22" i="18" s="1"/>
  <c r="B22" i="6"/>
  <c r="H232" i="18"/>
  <c r="I232" i="18" s="1"/>
  <c r="B232" i="6"/>
  <c r="H220" i="18"/>
  <c r="B220" i="6"/>
  <c r="H16" i="18"/>
  <c r="B16" i="6"/>
  <c r="H185" i="18"/>
  <c r="B185" i="6"/>
  <c r="H356" i="18"/>
  <c r="J356" i="18" s="1"/>
  <c r="B356" i="6"/>
  <c r="H224" i="18"/>
  <c r="J224" i="18" s="1"/>
  <c r="B224" i="6"/>
  <c r="H284" i="18"/>
  <c r="B284" i="6"/>
  <c r="H114" i="18"/>
  <c r="I114" i="18" s="1"/>
  <c r="B114" i="6"/>
  <c r="H272" i="18"/>
  <c r="B272" i="6"/>
  <c r="H227" i="18"/>
  <c r="J227" i="18" s="1"/>
  <c r="B227" i="6"/>
  <c r="H282" i="18"/>
  <c r="B282" i="6"/>
  <c r="H131" i="18"/>
  <c r="B131" i="6"/>
  <c r="H39" i="18"/>
  <c r="I39" i="18" s="1"/>
  <c r="B39" i="6"/>
  <c r="H62" i="18"/>
  <c r="J62" i="18" s="1"/>
  <c r="B62" i="6"/>
  <c r="H41" i="18"/>
  <c r="I41" i="18" s="1"/>
  <c r="B41" i="6"/>
  <c r="H36" i="18"/>
  <c r="J36" i="18" s="1"/>
  <c r="B36" i="6"/>
  <c r="H377" i="18"/>
  <c r="B377" i="6"/>
  <c r="H255" i="18"/>
  <c r="I255" i="18" s="1"/>
  <c r="B255" i="6"/>
  <c r="H150" i="18"/>
  <c r="B150" i="6"/>
  <c r="H172" i="18"/>
  <c r="J172" i="18" s="1"/>
  <c r="B172" i="6"/>
  <c r="H226" i="18"/>
  <c r="J226" i="18" s="1"/>
  <c r="B226" i="6"/>
  <c r="H304" i="18"/>
  <c r="B304" i="6"/>
  <c r="H142" i="18"/>
  <c r="I142" i="18" s="1"/>
  <c r="B142" i="6"/>
  <c r="H367" i="18"/>
  <c r="J367" i="18" s="1"/>
  <c r="B367" i="6"/>
  <c r="H309" i="18"/>
  <c r="J309" i="18" s="1"/>
  <c r="B309" i="6"/>
  <c r="H86" i="18"/>
  <c r="B86" i="6"/>
  <c r="H366" i="18"/>
  <c r="I366" i="18" s="1"/>
  <c r="B366" i="6"/>
  <c r="H201" i="18"/>
  <c r="J201" i="18" s="1"/>
  <c r="B201" i="6"/>
  <c r="H324" i="18"/>
  <c r="I324" i="18" s="1"/>
  <c r="B324" i="6"/>
  <c r="H40" i="18"/>
  <c r="J40" i="18" s="1"/>
  <c r="B40" i="6"/>
  <c r="H171" i="18"/>
  <c r="B171" i="6"/>
  <c r="H146" i="18"/>
  <c r="J146" i="18" s="1"/>
  <c r="B146" i="6"/>
  <c r="H302" i="18"/>
  <c r="I302" i="18" s="1"/>
  <c r="B302" i="6"/>
  <c r="H293" i="18"/>
  <c r="B293" i="6"/>
  <c r="H47" i="18"/>
  <c r="J47" i="18" s="1"/>
  <c r="B47" i="6"/>
  <c r="H357" i="18"/>
  <c r="J357" i="18" s="1"/>
  <c r="B357" i="6"/>
  <c r="H250" i="18"/>
  <c r="I250" i="18" s="1"/>
  <c r="B250" i="6"/>
  <c r="H229" i="18"/>
  <c r="I229" i="18" s="1"/>
  <c r="B229" i="6"/>
  <c r="H165" i="18"/>
  <c r="B165" i="6"/>
  <c r="H202" i="18"/>
  <c r="B202" i="6"/>
  <c r="H346" i="18"/>
  <c r="J346" i="18" s="1"/>
  <c r="B346" i="6"/>
  <c r="H103" i="18"/>
  <c r="J103" i="18" s="1"/>
  <c r="B103" i="6"/>
  <c r="H170" i="18"/>
  <c r="I170" i="18" s="1"/>
  <c r="B170" i="6"/>
  <c r="H213" i="18"/>
  <c r="J213" i="18" s="1"/>
  <c r="B213" i="6"/>
  <c r="H192" i="18"/>
  <c r="J192" i="18" s="1"/>
  <c r="B192" i="6"/>
  <c r="H50" i="18"/>
  <c r="I50" i="18" s="1"/>
  <c r="B50" i="6"/>
  <c r="H256" i="18"/>
  <c r="J256" i="18" s="1"/>
  <c r="B256" i="6"/>
  <c r="H177" i="18"/>
  <c r="J177" i="18" s="1"/>
  <c r="B177" i="6"/>
  <c r="H130" i="18"/>
  <c r="B130" i="6"/>
  <c r="H26" i="18"/>
  <c r="I26" i="18" s="1"/>
  <c r="B26" i="6"/>
  <c r="H329" i="18"/>
  <c r="B329" i="6"/>
  <c r="H102" i="18"/>
  <c r="J102" i="18" s="1"/>
  <c r="B102" i="6"/>
  <c r="H104" i="18"/>
  <c r="J104" i="18" s="1"/>
  <c r="B104" i="6"/>
  <c r="H230" i="18"/>
  <c r="B230" i="6"/>
  <c r="H117" i="18"/>
  <c r="I117" i="18" s="1"/>
  <c r="B117" i="6"/>
  <c r="H180" i="18"/>
  <c r="I180" i="18" s="1"/>
  <c r="B180" i="6"/>
  <c r="H106" i="18"/>
  <c r="B106" i="6"/>
  <c r="H157" i="18"/>
  <c r="I157" i="18" s="1"/>
  <c r="B157" i="6"/>
  <c r="H107" i="18"/>
  <c r="B107" i="6"/>
  <c r="H28" i="18"/>
  <c r="I28" i="18" s="1"/>
  <c r="B28" i="6"/>
  <c r="H315" i="18"/>
  <c r="I315" i="18" s="1"/>
  <c r="B315" i="6"/>
  <c r="H310" i="18"/>
  <c r="J310" i="18" s="1"/>
  <c r="B310" i="6"/>
  <c r="H375" i="18"/>
  <c r="B375" i="6"/>
  <c r="H248" i="18"/>
  <c r="J248" i="18" s="1"/>
  <c r="B248" i="6"/>
  <c r="H96" i="18"/>
  <c r="I96" i="18" s="1"/>
  <c r="B96" i="6"/>
  <c r="H313" i="18"/>
  <c r="I313" i="18" s="1"/>
  <c r="B313" i="6"/>
  <c r="H277" i="18"/>
  <c r="I277" i="18" s="1"/>
  <c r="B277" i="6"/>
  <c r="H149" i="18"/>
  <c r="J149" i="18" s="1"/>
  <c r="B149" i="6"/>
  <c r="H187" i="18"/>
  <c r="I187" i="18" s="1"/>
  <c r="B187" i="6"/>
  <c r="H279" i="18"/>
  <c r="B279" i="6"/>
  <c r="H295" i="18"/>
  <c r="B295" i="6"/>
  <c r="H376" i="18"/>
  <c r="J376" i="18" s="1"/>
  <c r="B376" i="6"/>
  <c r="H323" i="18"/>
  <c r="I323" i="18" s="1"/>
  <c r="B323" i="6"/>
  <c r="H75" i="18"/>
  <c r="J75" i="18" s="1"/>
  <c r="B75" i="6"/>
  <c r="H246" i="18"/>
  <c r="I246" i="18" s="1"/>
  <c r="B246" i="6"/>
  <c r="H29" i="18"/>
  <c r="B29" i="6"/>
  <c r="H179" i="18"/>
  <c r="I179" i="18" s="1"/>
  <c r="B179" i="6"/>
  <c r="H56" i="18"/>
  <c r="I56" i="18" s="1"/>
  <c r="B56" i="6"/>
  <c r="H372" i="18"/>
  <c r="I372" i="18" s="1"/>
  <c r="B372" i="6"/>
  <c r="H53" i="18"/>
  <c r="I53" i="18" s="1"/>
  <c r="B53" i="6"/>
  <c r="H178" i="18"/>
  <c r="J178" i="18" s="1"/>
  <c r="B178" i="6"/>
  <c r="H152" i="18"/>
  <c r="I152" i="18" s="1"/>
  <c r="B152" i="6"/>
  <c r="H59" i="18"/>
  <c r="J59" i="18" s="1"/>
  <c r="B59" i="6"/>
  <c r="H46" i="18"/>
  <c r="B46" i="6"/>
  <c r="H360" i="18"/>
  <c r="I360" i="18" s="1"/>
  <c r="B360" i="6"/>
  <c r="H307" i="18"/>
  <c r="I307" i="18" s="1"/>
  <c r="B307" i="6"/>
  <c r="H276" i="18"/>
  <c r="J276" i="18" s="1"/>
  <c r="B276" i="6"/>
  <c r="H186" i="18"/>
  <c r="I186" i="18" s="1"/>
  <c r="B186" i="6"/>
  <c r="H67" i="18"/>
  <c r="I67" i="18" s="1"/>
  <c r="B67" i="6"/>
  <c r="H228" i="18"/>
  <c r="I228" i="18" s="1"/>
  <c r="B228" i="6"/>
  <c r="H48" i="18"/>
  <c r="J48" i="18" s="1"/>
  <c r="B48" i="6"/>
  <c r="H111" i="18"/>
  <c r="B111" i="6"/>
  <c r="H126" i="18"/>
  <c r="B126" i="6"/>
  <c r="H286" i="18"/>
  <c r="J286" i="18" s="1"/>
  <c r="B286" i="6"/>
  <c r="H119" i="18"/>
  <c r="I119" i="18" s="1"/>
  <c r="B119" i="6"/>
  <c r="H257" i="18"/>
  <c r="I257" i="18" s="1"/>
  <c r="B257" i="6"/>
  <c r="H200" i="18"/>
  <c r="J200" i="18" s="1"/>
  <c r="B200" i="6"/>
  <c r="H139" i="18"/>
  <c r="J139" i="18" s="1"/>
  <c r="B139" i="6"/>
  <c r="H206" i="18"/>
  <c r="B206" i="6"/>
  <c r="H110" i="18"/>
  <c r="I110" i="18" s="1"/>
  <c r="B110" i="6"/>
  <c r="N70" i="19"/>
  <c r="B59" i="19"/>
  <c r="B57" i="19"/>
  <c r="B58" i="19"/>
  <c r="D152" i="22"/>
  <c r="E152" i="22" s="1"/>
  <c r="F152" i="22" s="1"/>
  <c r="B152" i="23"/>
  <c r="W152" i="23" s="1"/>
  <c r="AA262" i="20"/>
  <c r="Z262" i="20" s="1"/>
  <c r="Y262" i="20" s="1"/>
  <c r="B108" i="23"/>
  <c r="W108" i="23" s="1"/>
  <c r="B59" i="23"/>
  <c r="D59" i="23" s="1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B259" i="23"/>
  <c r="B259" i="24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B50" i="23"/>
  <c r="W50" i="23" s="1"/>
  <c r="B28" i="23"/>
  <c r="D28" i="23" s="1"/>
  <c r="E28" i="23" s="1"/>
  <c r="F28" i="23" s="1"/>
  <c r="W54" i="22"/>
  <c r="G97" i="20"/>
  <c r="CB97" i="6" s="1"/>
  <c r="B211" i="23"/>
  <c r="W211" i="23" s="1"/>
  <c r="B205" i="23"/>
  <c r="W205" i="23" s="1"/>
  <c r="B331" i="23"/>
  <c r="W331" i="23" s="1"/>
  <c r="B70" i="23"/>
  <c r="D70" i="23" s="1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B359" i="23"/>
  <c r="D359" i="23" s="1"/>
  <c r="E359" i="23" s="1"/>
  <c r="F359" i="23" s="1"/>
  <c r="B231" i="23"/>
  <c r="B231" i="24" s="1"/>
  <c r="B237" i="23"/>
  <c r="D237" i="23" s="1"/>
  <c r="E237" i="23" s="1"/>
  <c r="F237" i="23" s="1"/>
  <c r="B212" i="23"/>
  <c r="D212" i="23" s="1"/>
  <c r="E212" i="23" s="1"/>
  <c r="F212" i="23" s="1"/>
  <c r="B363" i="23"/>
  <c r="B363" i="24" s="1"/>
  <c r="AA300" i="20"/>
  <c r="Z300" i="20" s="1"/>
  <c r="Y300" i="20" s="1"/>
  <c r="W358" i="22"/>
  <c r="B329" i="23"/>
  <c r="W329" i="23" s="1"/>
  <c r="AA299" i="20"/>
  <c r="Z299" i="20" s="1"/>
  <c r="Y299" i="20" s="1"/>
  <c r="B306" i="23"/>
  <c r="W306" i="23" s="1"/>
  <c r="D95" i="22"/>
  <c r="E95" i="22" s="1"/>
  <c r="F95" i="22" s="1"/>
  <c r="AA95" i="22" s="1"/>
  <c r="Z95" i="22" s="1"/>
  <c r="Y95" i="22" s="1"/>
  <c r="D316" i="22"/>
  <c r="E316" i="22" s="1"/>
  <c r="F316" i="22" s="1"/>
  <c r="W19" i="22"/>
  <c r="AA101" i="20"/>
  <c r="Z101" i="20" s="1"/>
  <c r="Y101" i="20" s="1"/>
  <c r="W94" i="22"/>
  <c r="B300" i="23"/>
  <c r="W300" i="23" s="1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B19" i="23"/>
  <c r="D19" i="23" s="1"/>
  <c r="E19" i="23" s="1"/>
  <c r="F19" i="23" s="1"/>
  <c r="B167" i="23"/>
  <c r="G323" i="20"/>
  <c r="CB323" i="6" s="1"/>
  <c r="B170" i="23"/>
  <c r="B170" i="24" s="1"/>
  <c r="B94" i="23"/>
  <c r="B94" i="24" s="1"/>
  <c r="W300" i="22"/>
  <c r="G193" i="20"/>
  <c r="CB193" i="6" s="1"/>
  <c r="B269" i="23"/>
  <c r="W269" i="23" s="1"/>
  <c r="G26" i="20"/>
  <c r="CB26" i="6" s="1"/>
  <c r="B351" i="23"/>
  <c r="B351" i="24" s="1"/>
  <c r="W208" i="22"/>
  <c r="AA216" i="20"/>
  <c r="Z216" i="20" s="1"/>
  <c r="Y216" i="20" s="1"/>
  <c r="B348" i="23"/>
  <c r="D348" i="23" s="1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B377" i="23"/>
  <c r="D377" i="23" s="1"/>
  <c r="E377" i="23" s="1"/>
  <c r="F377" i="23" s="1"/>
  <c r="B23" i="23"/>
  <c r="D23" i="23" s="1"/>
  <c r="E23" i="23" s="1"/>
  <c r="F23" i="23" s="1"/>
  <c r="B335" i="23"/>
  <c r="D335" i="23" s="1"/>
  <c r="E335" i="23" s="1"/>
  <c r="F335" i="23" s="1"/>
  <c r="G265" i="20"/>
  <c r="CB265" i="6" s="1"/>
  <c r="B270" i="23"/>
  <c r="W270" i="23" s="1"/>
  <c r="B131" i="23"/>
  <c r="B131" i="24" s="1"/>
  <c r="D327" i="22"/>
  <c r="E327" i="22" s="1"/>
  <c r="F327" i="22" s="1"/>
  <c r="AA327" i="22" s="1"/>
  <c r="Z327" i="22" s="1"/>
  <c r="Y327" i="22" s="1"/>
  <c r="B54" i="23"/>
  <c r="W54" i="23" s="1"/>
  <c r="G312" i="20"/>
  <c r="CB312" i="6" s="1"/>
  <c r="W64" i="22"/>
  <c r="B353" i="23"/>
  <c r="D353" i="23" s="1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B358" i="23"/>
  <c r="W358" i="23" s="1"/>
  <c r="W59" i="22"/>
  <c r="B179" i="23"/>
  <c r="D179" i="23" s="1"/>
  <c r="E179" i="23" s="1"/>
  <c r="F179" i="23" s="1"/>
  <c r="G129" i="20"/>
  <c r="CB129" i="6" s="1"/>
  <c r="W329" i="22"/>
  <c r="AA224" i="20"/>
  <c r="Z224" i="20" s="1"/>
  <c r="Y224" i="20" s="1"/>
  <c r="W306" i="22"/>
  <c r="W116" i="22"/>
  <c r="B197" i="23"/>
  <c r="B197" i="24" s="1"/>
  <c r="AA120" i="20"/>
  <c r="Z120" i="20" s="1"/>
  <c r="Y120" i="20" s="1"/>
  <c r="W192" i="22"/>
  <c r="B129" i="23"/>
  <c r="D129" i="23" s="1"/>
  <c r="E129" i="23" s="1"/>
  <c r="F129" i="23" s="1"/>
  <c r="G353" i="20"/>
  <c r="CB353" i="6" s="1"/>
  <c r="B79" i="23"/>
  <c r="B79" i="24" s="1"/>
  <c r="B337" i="23"/>
  <c r="B337" i="24" s="1"/>
  <c r="W294" i="22"/>
  <c r="B301" i="23"/>
  <c r="W301" i="23" s="1"/>
  <c r="B95" i="23"/>
  <c r="D95" i="23" s="1"/>
  <c r="E95" i="23" s="1"/>
  <c r="F95" i="23" s="1"/>
  <c r="B316" i="23"/>
  <c r="D316" i="23" s="1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B297" i="23"/>
  <c r="W297" i="23" s="1"/>
  <c r="B208" i="23"/>
  <c r="B208" i="24" s="1"/>
  <c r="W348" i="22"/>
  <c r="B18" i="23"/>
  <c r="B18" i="24" s="1"/>
  <c r="D224" i="22"/>
  <c r="E224" i="22" s="1"/>
  <c r="F224" i="22" s="1"/>
  <c r="G224" i="22" s="1"/>
  <c r="CC224" i="6" s="1"/>
  <c r="B312" i="23"/>
  <c r="B312" i="24" s="1"/>
  <c r="B43" i="23"/>
  <c r="W43" i="23" s="1"/>
  <c r="B183" i="23"/>
  <c r="B183" i="24" s="1"/>
  <c r="B136" i="23"/>
  <c r="D136" i="23" s="1"/>
  <c r="E136" i="23" s="1"/>
  <c r="F136" i="23" s="1"/>
  <c r="W23" i="22"/>
  <c r="AA316" i="20"/>
  <c r="Z316" i="20" s="1"/>
  <c r="Y316" i="20" s="1"/>
  <c r="G19" i="20"/>
  <c r="CB19" i="6" s="1"/>
  <c r="W131" i="22"/>
  <c r="B327" i="23"/>
  <c r="D327" i="23" s="1"/>
  <c r="E327" i="23" s="1"/>
  <c r="F327" i="23" s="1"/>
  <c r="G351" i="20"/>
  <c r="CB351" i="6" s="1"/>
  <c r="B30" i="23"/>
  <c r="D30" i="23" s="1"/>
  <c r="E30" i="23" s="1"/>
  <c r="F30" i="23" s="1"/>
  <c r="B294" i="23"/>
  <c r="W294" i="23" s="1"/>
  <c r="D326" i="22"/>
  <c r="E326" i="22" s="1"/>
  <c r="F326" i="22" s="1"/>
  <c r="G326" i="22" s="1"/>
  <c r="CC326" i="6" s="1"/>
  <c r="B193" i="23"/>
  <c r="B193" i="24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B116" i="23"/>
  <c r="W116" i="23" s="1"/>
  <c r="G23" i="20"/>
  <c r="CB23" i="6" s="1"/>
  <c r="B35" i="23"/>
  <c r="B35" i="24" s="1"/>
  <c r="B192" i="23"/>
  <c r="W192" i="23" s="1"/>
  <c r="G164" i="20"/>
  <c r="CB164" i="6" s="1"/>
  <c r="G243" i="20"/>
  <c r="CB243" i="6" s="1"/>
  <c r="B168" i="23"/>
  <c r="B168" i="24" s="1"/>
  <c r="D366" i="22"/>
  <c r="E366" i="22" s="1"/>
  <c r="F366" i="22" s="1"/>
  <c r="AA366" i="22" s="1"/>
  <c r="Z366" i="22" s="1"/>
  <c r="Y366" i="22" s="1"/>
  <c r="B155" i="23"/>
  <c r="W155" i="23" s="1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B323" i="23"/>
  <c r="D323" i="23" s="1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B153" i="23"/>
  <c r="D153" i="23" s="1"/>
  <c r="E153" i="23" s="1"/>
  <c r="F153" i="23" s="1"/>
  <c r="G16" i="20"/>
  <c r="CB16" i="6" s="1"/>
  <c r="B216" i="23"/>
  <c r="W216" i="23" s="1"/>
  <c r="D164" i="22"/>
  <c r="E164" i="22" s="1"/>
  <c r="F164" i="22" s="1"/>
  <c r="G164" i="22" s="1"/>
  <c r="CC164" i="6" s="1"/>
  <c r="B180" i="23"/>
  <c r="W180" i="23" s="1"/>
  <c r="D227" i="22"/>
  <c r="E227" i="22" s="1"/>
  <c r="F227" i="22" s="1"/>
  <c r="G227" i="22" s="1"/>
  <c r="CC227" i="6" s="1"/>
  <c r="B55" i="23"/>
  <c r="B55" i="24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B366" i="23"/>
  <c r="B366" i="24" s="1"/>
  <c r="G64" i="20"/>
  <c r="CB64" i="6" s="1"/>
  <c r="D38" i="22"/>
  <c r="E38" i="22" s="1"/>
  <c r="F38" i="22" s="1"/>
  <c r="AA38" i="22" s="1"/>
  <c r="Z38" i="22" s="1"/>
  <c r="Y38" i="22" s="1"/>
  <c r="W323" i="22"/>
  <c r="B92" i="23"/>
  <c r="B92" i="24" s="1"/>
  <c r="G170" i="20"/>
  <c r="CB170" i="6" s="1"/>
  <c r="B344" i="23"/>
  <c r="W344" i="23" s="1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B64" i="23"/>
  <c r="W64" i="23" s="1"/>
  <c r="W353" i="22"/>
  <c r="B243" i="23"/>
  <c r="W243" i="23" s="1"/>
  <c r="B227" i="23"/>
  <c r="B227" i="24" s="1"/>
  <c r="W35" i="22"/>
  <c r="W55" i="22"/>
  <c r="W255" i="22"/>
  <c r="B228" i="23"/>
  <c r="B228" i="24" s="1"/>
  <c r="B97" i="23"/>
  <c r="W97" i="23" s="1"/>
  <c r="B367" i="23"/>
  <c r="W367" i="23" s="1"/>
  <c r="B284" i="23"/>
  <c r="D284" i="23" s="1"/>
  <c r="E284" i="23" s="1"/>
  <c r="F284" i="23" s="1"/>
  <c r="B326" i="23"/>
  <c r="D326" i="23" s="1"/>
  <c r="E326" i="23" s="1"/>
  <c r="F326" i="23" s="1"/>
  <c r="B338" i="23"/>
  <c r="W338" i="23" s="1"/>
  <c r="W216" i="22"/>
  <c r="B164" i="23"/>
  <c r="W164" i="23" s="1"/>
  <c r="W179" i="22"/>
  <c r="W243" i="22"/>
  <c r="H205" i="20"/>
  <c r="I205" i="20" s="1"/>
  <c r="H205" i="22" s="1"/>
  <c r="B265" i="23"/>
  <c r="B265" i="24" s="1"/>
  <c r="B258" i="23"/>
  <c r="B258" i="24" s="1"/>
  <c r="B224" i="23"/>
  <c r="W224" i="23" s="1"/>
  <c r="B324" i="23"/>
  <c r="W324" i="23" s="1"/>
  <c r="D380" i="20"/>
  <c r="E380" i="20" s="1"/>
  <c r="F380" i="20" s="1"/>
  <c r="W380" i="20"/>
  <c r="H251" i="20"/>
  <c r="J251" i="20" s="1"/>
  <c r="B255" i="23"/>
  <c r="B255" i="24" s="1"/>
  <c r="B38" i="23"/>
  <c r="B38" i="24" s="1"/>
  <c r="W379" i="23"/>
  <c r="D379" i="23"/>
  <c r="E379" i="23" s="1"/>
  <c r="F379" i="23" s="1"/>
  <c r="B379" i="24"/>
  <c r="G180" i="22"/>
  <c r="CC180" i="6" s="1"/>
  <c r="AA180" i="22"/>
  <c r="Z180" i="22" s="1"/>
  <c r="Y180" i="22" s="1"/>
  <c r="W29" i="22"/>
  <c r="D29" i="22"/>
  <c r="E29" i="22" s="1"/>
  <c r="F29" i="22" s="1"/>
  <c r="B29" i="23"/>
  <c r="G226" i="20"/>
  <c r="CB226" i="6" s="1"/>
  <c r="AA226" i="20"/>
  <c r="Z226" i="20" s="1"/>
  <c r="Y226" i="20" s="1"/>
  <c r="W354" i="23"/>
  <c r="D354" i="23"/>
  <c r="E354" i="23" s="1"/>
  <c r="F354" i="23" s="1"/>
  <c r="B354" i="24"/>
  <c r="G283" i="20"/>
  <c r="CB283" i="6" s="1"/>
  <c r="AA283" i="20"/>
  <c r="Z283" i="20" s="1"/>
  <c r="Y283" i="20" s="1"/>
  <c r="D114" i="22"/>
  <c r="E114" i="22" s="1"/>
  <c r="F114" i="22" s="1"/>
  <c r="B114" i="23"/>
  <c r="W114" i="22"/>
  <c r="W84" i="22"/>
  <c r="B84" i="23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B274" i="23"/>
  <c r="G318" i="20"/>
  <c r="CB318" i="6" s="1"/>
  <c r="AA318" i="20"/>
  <c r="Z318" i="20" s="1"/>
  <c r="Y318" i="20" s="1"/>
  <c r="W352" i="22"/>
  <c r="B352" i="23"/>
  <c r="D352" i="22"/>
  <c r="E352" i="22" s="1"/>
  <c r="F352" i="22" s="1"/>
  <c r="D33" i="23"/>
  <c r="E33" i="23" s="1"/>
  <c r="F33" i="23" s="1"/>
  <c r="B33" i="24"/>
  <c r="W33" i="23"/>
  <c r="W333" i="22"/>
  <c r="B333" i="23"/>
  <c r="D333" i="22"/>
  <c r="E333" i="22" s="1"/>
  <c r="F333" i="22" s="1"/>
  <c r="W187" i="22"/>
  <c r="D187" i="22"/>
  <c r="E187" i="22" s="1"/>
  <c r="F187" i="22" s="1"/>
  <c r="B187" i="23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B75" i="23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B66" i="24"/>
  <c r="W66" i="23"/>
  <c r="W376" i="22"/>
  <c r="B376" i="23"/>
  <c r="D376" i="22"/>
  <c r="E376" i="22" s="1"/>
  <c r="F376" i="22" s="1"/>
  <c r="W347" i="22"/>
  <c r="B347" i="23"/>
  <c r="D347" i="22"/>
  <c r="E347" i="22" s="1"/>
  <c r="F347" i="22" s="1"/>
  <c r="W369" i="22"/>
  <c r="B369" i="23"/>
  <c r="D369" i="22"/>
  <c r="E369" i="22" s="1"/>
  <c r="F369" i="22" s="1"/>
  <c r="W253" i="22"/>
  <c r="D253" i="22"/>
  <c r="E253" i="22" s="1"/>
  <c r="F253" i="22" s="1"/>
  <c r="B253" i="23"/>
  <c r="D130" i="23"/>
  <c r="E130" i="23" s="1"/>
  <c r="F130" i="23" s="1"/>
  <c r="B130" i="24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B83" i="24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B104" i="23"/>
  <c r="D104" i="22"/>
  <c r="E104" i="22" s="1"/>
  <c r="F104" i="22" s="1"/>
  <c r="AA170" i="22"/>
  <c r="Z170" i="22" s="1"/>
  <c r="Y170" i="22" s="1"/>
  <c r="G170" i="22"/>
  <c r="CC170" i="6" s="1"/>
  <c r="W246" i="22"/>
  <c r="B246" i="23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B336" i="24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B334" i="23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B53" i="23"/>
  <c r="AA107" i="22"/>
  <c r="Z107" i="22" s="1"/>
  <c r="Y107" i="22" s="1"/>
  <c r="G107" i="22"/>
  <c r="CC107" i="6" s="1"/>
  <c r="W139" i="22"/>
  <c r="B139" i="23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B262" i="24"/>
  <c r="D262" i="23"/>
  <c r="E262" i="23" s="1"/>
  <c r="F262" i="23" s="1"/>
  <c r="D304" i="23"/>
  <c r="E304" i="23" s="1"/>
  <c r="F304" i="23" s="1"/>
  <c r="B304" i="24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B51" i="23"/>
  <c r="G91" i="22"/>
  <c r="CC91" i="6" s="1"/>
  <c r="AA91" i="22"/>
  <c r="Z91" i="22" s="1"/>
  <c r="Y91" i="22" s="1"/>
  <c r="W109" i="22"/>
  <c r="B109" i="23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B36" i="23"/>
  <c r="W58" i="22"/>
  <c r="D58" i="22"/>
  <c r="E58" i="22" s="1"/>
  <c r="F58" i="22" s="1"/>
  <c r="B58" i="23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B162" i="23"/>
  <c r="G264" i="20"/>
  <c r="CB264" i="6" s="1"/>
  <c r="AA264" i="20"/>
  <c r="Z264" i="20" s="1"/>
  <c r="Y264" i="20" s="1"/>
  <c r="W286" i="23"/>
  <c r="D286" i="23"/>
  <c r="E286" i="23" s="1"/>
  <c r="F286" i="23" s="1"/>
  <c r="B286" i="24"/>
  <c r="W340" i="22"/>
  <c r="D340" i="22"/>
  <c r="E340" i="22" s="1"/>
  <c r="F340" i="22" s="1"/>
  <c r="B340" i="23"/>
  <c r="G222" i="22"/>
  <c r="CC222" i="6" s="1"/>
  <c r="AA222" i="22"/>
  <c r="Z222" i="22" s="1"/>
  <c r="Y222" i="22" s="1"/>
  <c r="W90" i="22"/>
  <c r="B90" i="23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B251" i="24"/>
  <c r="W251" i="23"/>
  <c r="W132" i="23"/>
  <c r="D132" i="23"/>
  <c r="E132" i="23" s="1"/>
  <c r="F132" i="23" s="1"/>
  <c r="B132" i="24"/>
  <c r="D16" i="23"/>
  <c r="E16" i="23" s="1"/>
  <c r="F16" i="23" s="1"/>
  <c r="B16" i="24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B154" i="24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B63" i="24"/>
  <c r="D63" i="23"/>
  <c r="E63" i="23" s="1"/>
  <c r="F63" i="23" s="1"/>
  <c r="D185" i="22"/>
  <c r="E185" i="22" s="1"/>
  <c r="F185" i="22" s="1"/>
  <c r="B185" i="23"/>
  <c r="W185" i="22"/>
  <c r="G70" i="22"/>
  <c r="CC70" i="6" s="1"/>
  <c r="AA70" i="22"/>
  <c r="Z70" i="22" s="1"/>
  <c r="Y70" i="22" s="1"/>
  <c r="W110" i="22"/>
  <c r="B110" i="23"/>
  <c r="D110" i="22"/>
  <c r="E110" i="22" s="1"/>
  <c r="F110" i="22" s="1"/>
  <c r="AA31" i="20"/>
  <c r="Z31" i="20" s="1"/>
  <c r="Y31" i="20" s="1"/>
  <c r="G31" i="20"/>
  <c r="CB31" i="6" s="1"/>
  <c r="J87" i="18"/>
  <c r="I87" i="18"/>
  <c r="BA87" i="6" s="1"/>
  <c r="D87" i="6" s="1"/>
  <c r="G93" i="22"/>
  <c r="CC93" i="6" s="1"/>
  <c r="AA93" i="22"/>
  <c r="Z93" i="22" s="1"/>
  <c r="Y93" i="22" s="1"/>
  <c r="W145" i="22"/>
  <c r="B145" i="23"/>
  <c r="D145" i="22"/>
  <c r="E145" i="22" s="1"/>
  <c r="F145" i="22" s="1"/>
  <c r="W201" i="22"/>
  <c r="B201" i="23"/>
  <c r="D201" i="22"/>
  <c r="E201" i="22" s="1"/>
  <c r="F201" i="22" s="1"/>
  <c r="J291" i="18"/>
  <c r="B293" i="24"/>
  <c r="W293" i="23"/>
  <c r="D293" i="23"/>
  <c r="E293" i="23" s="1"/>
  <c r="F293" i="23" s="1"/>
  <c r="AA293" i="22"/>
  <c r="Z293" i="22" s="1"/>
  <c r="Y293" i="22" s="1"/>
  <c r="G293" i="22"/>
  <c r="CC293" i="6" s="1"/>
  <c r="I339" i="18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B148" i="23"/>
  <c r="G348" i="22"/>
  <c r="CC348" i="6" s="1"/>
  <c r="AA348" i="22"/>
  <c r="Z348" i="22" s="1"/>
  <c r="Y348" i="22" s="1"/>
  <c r="W372" i="22"/>
  <c r="D372" i="22"/>
  <c r="E372" i="22" s="1"/>
  <c r="F372" i="22" s="1"/>
  <c r="B372" i="23"/>
  <c r="W65" i="22"/>
  <c r="B65" i="23"/>
  <c r="D65" i="22"/>
  <c r="E65" i="22" s="1"/>
  <c r="F65" i="22" s="1"/>
  <c r="G65" i="20"/>
  <c r="CB65" i="6" s="1"/>
  <c r="AA65" i="20"/>
  <c r="Z65" i="20" s="1"/>
  <c r="Y65" i="20" s="1"/>
  <c r="W143" i="22"/>
  <c r="B143" i="23"/>
  <c r="D143" i="22"/>
  <c r="E143" i="22" s="1"/>
  <c r="F143" i="22" s="1"/>
  <c r="W223" i="22"/>
  <c r="B223" i="23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B373" i="23"/>
  <c r="G48" i="20"/>
  <c r="CB48" i="6" s="1"/>
  <c r="AA48" i="20"/>
  <c r="Z48" i="20" s="1"/>
  <c r="Y48" i="20" s="1"/>
  <c r="B122" i="24"/>
  <c r="W122" i="23"/>
  <c r="D122" i="23"/>
  <c r="E122" i="23" s="1"/>
  <c r="F122" i="23" s="1"/>
  <c r="G160" i="20"/>
  <c r="CB160" i="6" s="1"/>
  <c r="AA160" i="20"/>
  <c r="Z160" i="20" s="1"/>
  <c r="Y160" i="20" s="1"/>
  <c r="I234" i="18"/>
  <c r="BA234" i="6" s="1"/>
  <c r="D234" i="6" s="1"/>
  <c r="J234" i="18"/>
  <c r="G238" i="22"/>
  <c r="CC238" i="6" s="1"/>
  <c r="AA238" i="22"/>
  <c r="Z238" i="22" s="1"/>
  <c r="Y238" i="22" s="1"/>
  <c r="B266" i="23"/>
  <c r="W266" i="22"/>
  <c r="D266" i="22"/>
  <c r="E266" i="22" s="1"/>
  <c r="F266" i="22" s="1"/>
  <c r="D322" i="22"/>
  <c r="E322" i="22" s="1"/>
  <c r="F322" i="22" s="1"/>
  <c r="W322" i="22"/>
  <c r="B322" i="23"/>
  <c r="W360" i="23"/>
  <c r="D360" i="23"/>
  <c r="E360" i="23" s="1"/>
  <c r="F360" i="23" s="1"/>
  <c r="B360" i="24"/>
  <c r="W85" i="22"/>
  <c r="D85" i="22"/>
  <c r="E85" i="22" s="1"/>
  <c r="F85" i="22" s="1"/>
  <c r="B85" i="23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I133" i="18"/>
  <c r="D217" i="23"/>
  <c r="E217" i="23" s="1"/>
  <c r="F217" i="23" s="1"/>
  <c r="B217" i="24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J345" i="18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B72" i="23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B190" i="24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B240" i="23"/>
  <c r="W314" i="22"/>
  <c r="B314" i="23"/>
  <c r="D314" i="22"/>
  <c r="E314" i="22" s="1"/>
  <c r="F314" i="22" s="1"/>
  <c r="G342" i="22"/>
  <c r="CC342" i="6" s="1"/>
  <c r="AA342" i="22"/>
  <c r="Z342" i="22" s="1"/>
  <c r="Y342" i="22" s="1"/>
  <c r="W78" i="22"/>
  <c r="B78" i="23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B289" i="23"/>
  <c r="G207" i="22"/>
  <c r="CC207" i="6" s="1"/>
  <c r="AA207" i="22"/>
  <c r="Z207" i="22" s="1"/>
  <c r="Y207" i="22" s="1"/>
  <c r="W182" i="22"/>
  <c r="B182" i="23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B174" i="24"/>
  <c r="W174" i="23"/>
  <c r="D174" i="23"/>
  <c r="E174" i="23" s="1"/>
  <c r="F174" i="23" s="1"/>
  <c r="J93" i="18"/>
  <c r="I93" i="18"/>
  <c r="I195" i="18"/>
  <c r="J195" i="18"/>
  <c r="W150" i="22"/>
  <c r="D150" i="22"/>
  <c r="E150" i="22" s="1"/>
  <c r="F150" i="22" s="1"/>
  <c r="B150" i="23"/>
  <c r="G150" i="20"/>
  <c r="CB150" i="6" s="1"/>
  <c r="AA150" i="20"/>
  <c r="Z150" i="20" s="1"/>
  <c r="Y150" i="20" s="1"/>
  <c r="W177" i="23"/>
  <c r="D177" i="23"/>
  <c r="E177" i="23" s="1"/>
  <c r="F177" i="23" s="1"/>
  <c r="B177" i="24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B77" i="23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B263" i="23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B60" i="23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B365" i="23"/>
  <c r="W298" i="23"/>
  <c r="B298" i="24"/>
  <c r="D298" i="23"/>
  <c r="E298" i="23" s="1"/>
  <c r="F298" i="23" s="1"/>
  <c r="W46" i="22"/>
  <c r="B46" i="23"/>
  <c r="D46" i="22"/>
  <c r="E46" i="22" s="1"/>
  <c r="F46" i="22" s="1"/>
  <c r="W319" i="23"/>
  <c r="D319" i="23"/>
  <c r="E319" i="23" s="1"/>
  <c r="F319" i="23" s="1"/>
  <c r="B319" i="24"/>
  <c r="D261" i="22"/>
  <c r="E261" i="22" s="1"/>
  <c r="F261" i="22" s="1"/>
  <c r="B261" i="23"/>
  <c r="W261" i="22"/>
  <c r="W171" i="22"/>
  <c r="B171" i="23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I253" i="18"/>
  <c r="BA253" i="6" s="1"/>
  <c r="G175" i="22"/>
  <c r="CC175" i="6" s="1"/>
  <c r="AA175" i="22"/>
  <c r="Z175" i="22" s="1"/>
  <c r="Y175" i="22" s="1"/>
  <c r="W101" i="23"/>
  <c r="B101" i="24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B271" i="24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B128" i="23"/>
  <c r="D176" i="22"/>
  <c r="E176" i="22" s="1"/>
  <c r="F176" i="22" s="1"/>
  <c r="B176" i="23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B308" i="24"/>
  <c r="D308" i="23"/>
  <c r="E308" i="23" s="1"/>
  <c r="F308" i="23" s="1"/>
  <c r="G308" i="22"/>
  <c r="CC308" i="6" s="1"/>
  <c r="AA308" i="22"/>
  <c r="Z308" i="22" s="1"/>
  <c r="Y308" i="22" s="1"/>
  <c r="B21" i="23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B47" i="24"/>
  <c r="W47" i="23"/>
  <c r="G123" i="20"/>
  <c r="CB123" i="6" s="1"/>
  <c r="AA123" i="20"/>
  <c r="Z123" i="20" s="1"/>
  <c r="Y123" i="20" s="1"/>
  <c r="D195" i="23"/>
  <c r="E195" i="23" s="1"/>
  <c r="F195" i="23" s="1"/>
  <c r="B195" i="24"/>
  <c r="W195" i="23"/>
  <c r="B221" i="24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B275" i="23"/>
  <c r="G275" i="20"/>
  <c r="CB275" i="6" s="1"/>
  <c r="AA275" i="20"/>
  <c r="Z275" i="20" s="1"/>
  <c r="Y275" i="20" s="1"/>
  <c r="W303" i="22"/>
  <c r="D303" i="22"/>
  <c r="E303" i="22" s="1"/>
  <c r="F303" i="22" s="1"/>
  <c r="B303" i="23"/>
  <c r="G303" i="20"/>
  <c r="CB303" i="6" s="1"/>
  <c r="AA303" i="20"/>
  <c r="Z303" i="20" s="1"/>
  <c r="Y303" i="20" s="1"/>
  <c r="W86" i="22"/>
  <c r="B86" i="23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B112" i="23"/>
  <c r="G120" i="22"/>
  <c r="CC120" i="6" s="1"/>
  <c r="AA120" i="22"/>
  <c r="Z120" i="22" s="1"/>
  <c r="Y120" i="22" s="1"/>
  <c r="W144" i="22"/>
  <c r="D144" i="22"/>
  <c r="E144" i="22" s="1"/>
  <c r="F144" i="22" s="1"/>
  <c r="B144" i="23"/>
  <c r="B188" i="23"/>
  <c r="D188" i="22"/>
  <c r="E188" i="22" s="1"/>
  <c r="F188" i="22" s="1"/>
  <c r="W188" i="22"/>
  <c r="D218" i="22"/>
  <c r="E218" i="22" s="1"/>
  <c r="F218" i="22" s="1"/>
  <c r="B218" i="23"/>
  <c r="W218" i="22"/>
  <c r="J296" i="18"/>
  <c r="I296" i="18"/>
  <c r="BA296" i="6" s="1"/>
  <c r="D296" i="6" s="1"/>
  <c r="G296" i="20"/>
  <c r="CB296" i="6" s="1"/>
  <c r="AA296" i="20"/>
  <c r="Z296" i="20" s="1"/>
  <c r="Y296" i="20" s="1"/>
  <c r="W169" i="22"/>
  <c r="D169" i="22"/>
  <c r="E169" i="22" s="1"/>
  <c r="F169" i="22" s="1"/>
  <c r="B169" i="23"/>
  <c r="G193" i="22"/>
  <c r="CC193" i="6" s="1"/>
  <c r="AA193" i="22"/>
  <c r="Z193" i="22" s="1"/>
  <c r="Y193" i="22" s="1"/>
  <c r="W203" i="22"/>
  <c r="B203" i="23"/>
  <c r="D203" i="22"/>
  <c r="E203" i="22" s="1"/>
  <c r="F203" i="22" s="1"/>
  <c r="W245" i="22"/>
  <c r="B245" i="23"/>
  <c r="D245" i="22"/>
  <c r="E245" i="22" s="1"/>
  <c r="F245" i="22" s="1"/>
  <c r="G277" i="20"/>
  <c r="CB277" i="6" s="1"/>
  <c r="AA277" i="20"/>
  <c r="Z277" i="20" s="1"/>
  <c r="Y277" i="20" s="1"/>
  <c r="W313" i="23"/>
  <c r="B313" i="24"/>
  <c r="D313" i="23"/>
  <c r="E313" i="23" s="1"/>
  <c r="F313" i="23" s="1"/>
  <c r="G359" i="22"/>
  <c r="CC359" i="6" s="1"/>
  <c r="AA359" i="22"/>
  <c r="Z359" i="22" s="1"/>
  <c r="Y359" i="22" s="1"/>
  <c r="AA375" i="22"/>
  <c r="Z375" i="22" s="1"/>
  <c r="Y375" i="22" s="1"/>
  <c r="G375" i="22"/>
  <c r="CC375" i="6" s="1"/>
  <c r="W288" i="22"/>
  <c r="B288" i="23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B138" i="24"/>
  <c r="W138" i="23"/>
  <c r="D202" i="23"/>
  <c r="E202" i="23" s="1"/>
  <c r="F202" i="23" s="1"/>
  <c r="B202" i="24"/>
  <c r="W202" i="23"/>
  <c r="G292" i="20"/>
  <c r="CB292" i="6" s="1"/>
  <c r="AA292" i="20"/>
  <c r="Z292" i="20" s="1"/>
  <c r="Y292" i="20" s="1"/>
  <c r="W370" i="23"/>
  <c r="D370" i="23"/>
  <c r="E370" i="23" s="1"/>
  <c r="F370" i="23" s="1"/>
  <c r="B370" i="24"/>
  <c r="G26" i="22"/>
  <c r="CC26" i="6" s="1"/>
  <c r="AA26" i="22"/>
  <c r="Z26" i="22" s="1"/>
  <c r="Y26" i="22" s="1"/>
  <c r="D25" i="22"/>
  <c r="E25" i="22" s="1"/>
  <c r="F25" i="22" s="1"/>
  <c r="W25" i="22"/>
  <c r="B25" i="23"/>
  <c r="B121" i="23"/>
  <c r="W121" i="22"/>
  <c r="D121" i="22"/>
  <c r="E121" i="22" s="1"/>
  <c r="F121" i="22" s="1"/>
  <c r="W199" i="23"/>
  <c r="D199" i="23"/>
  <c r="E199" i="23" s="1"/>
  <c r="F199" i="23" s="1"/>
  <c r="B199" i="24"/>
  <c r="G225" i="20"/>
  <c r="CB225" i="6" s="1"/>
  <c r="AA225" i="20"/>
  <c r="Z225" i="20" s="1"/>
  <c r="Y225" i="20" s="1"/>
  <c r="W355" i="22"/>
  <c r="D355" i="22"/>
  <c r="E355" i="22" s="1"/>
  <c r="F355" i="22" s="1"/>
  <c r="B355" i="23"/>
  <c r="G54" i="22"/>
  <c r="CC54" i="6" s="1"/>
  <c r="AA54" i="22"/>
  <c r="Z54" i="22" s="1"/>
  <c r="Y54" i="22" s="1"/>
  <c r="W102" i="22"/>
  <c r="B102" i="23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B186" i="23"/>
  <c r="D242" i="23"/>
  <c r="E242" i="23" s="1"/>
  <c r="F242" i="23" s="1"/>
  <c r="B242" i="24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B137" i="23"/>
  <c r="W137" i="22"/>
  <c r="G137" i="20"/>
  <c r="CB137" i="6" s="1"/>
  <c r="AA137" i="20"/>
  <c r="Z137" i="20" s="1"/>
  <c r="Y137" i="20" s="1"/>
  <c r="W378" i="22"/>
  <c r="B378" i="23"/>
  <c r="D378" i="22"/>
  <c r="E378" i="22" s="1"/>
  <c r="F378" i="22" s="1"/>
  <c r="W310" i="22"/>
  <c r="B310" i="23"/>
  <c r="D310" i="22"/>
  <c r="E310" i="22" s="1"/>
  <c r="F310" i="22" s="1"/>
  <c r="W311" i="22"/>
  <c r="D311" i="22"/>
  <c r="E311" i="22" s="1"/>
  <c r="F311" i="22" s="1"/>
  <c r="B311" i="23"/>
  <c r="G374" i="20"/>
  <c r="CB374" i="6" s="1"/>
  <c r="AA374" i="20"/>
  <c r="Z374" i="20" s="1"/>
  <c r="Y374" i="20" s="1"/>
  <c r="B52" i="24"/>
  <c r="W52" i="23"/>
  <c r="D52" i="23"/>
  <c r="E52" i="23" s="1"/>
  <c r="F52" i="23" s="1"/>
  <c r="D103" i="23"/>
  <c r="E103" i="23" s="1"/>
  <c r="F103" i="23" s="1"/>
  <c r="B103" i="24"/>
  <c r="W103" i="23"/>
  <c r="W235" i="23"/>
  <c r="D235" i="23"/>
  <c r="E235" i="23" s="1"/>
  <c r="F235" i="23" s="1"/>
  <c r="B235" i="24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B119" i="23"/>
  <c r="W119" i="22"/>
  <c r="W196" i="22"/>
  <c r="D196" i="22"/>
  <c r="E196" i="22" s="1"/>
  <c r="F196" i="22" s="1"/>
  <c r="B196" i="23"/>
  <c r="G105" i="22"/>
  <c r="CC105" i="6" s="1"/>
  <c r="AA105" i="22"/>
  <c r="Z105" i="22" s="1"/>
  <c r="Y105" i="22" s="1"/>
  <c r="W67" i="22"/>
  <c r="D67" i="22"/>
  <c r="E67" i="22" s="1"/>
  <c r="F67" i="22" s="1"/>
  <c r="B67" i="23"/>
  <c r="G166" i="22"/>
  <c r="CC166" i="6" s="1"/>
  <c r="AA166" i="22"/>
  <c r="Z166" i="22" s="1"/>
  <c r="Y166" i="22" s="1"/>
  <c r="D22" i="22"/>
  <c r="E22" i="22" s="1"/>
  <c r="F22" i="22" s="1"/>
  <c r="B22" i="23"/>
  <c r="W22" i="22"/>
  <c r="G22" i="20"/>
  <c r="CB22" i="6" s="1"/>
  <c r="AA22" i="20"/>
  <c r="Z22" i="20" s="1"/>
  <c r="Y22" i="20" s="1"/>
  <c r="B272" i="23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B241" i="24"/>
  <c r="W241" i="23"/>
  <c r="W88" i="22"/>
  <c r="D88" i="22"/>
  <c r="E88" i="22" s="1"/>
  <c r="F88" i="22" s="1"/>
  <c r="B88" i="23"/>
  <c r="AA249" i="20"/>
  <c r="Z249" i="20" s="1"/>
  <c r="Y249" i="20" s="1"/>
  <c r="G249" i="20"/>
  <c r="CB249" i="6" s="1"/>
  <c r="W317" i="22"/>
  <c r="B317" i="23"/>
  <c r="D317" i="22"/>
  <c r="E317" i="22" s="1"/>
  <c r="F317" i="22" s="1"/>
  <c r="G42" i="20"/>
  <c r="CB42" i="6" s="1"/>
  <c r="AA42" i="20"/>
  <c r="Z42" i="20" s="1"/>
  <c r="Y42" i="20" s="1"/>
  <c r="W220" i="22"/>
  <c r="B220" i="23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B260" i="24"/>
  <c r="AA276" i="22"/>
  <c r="Z276" i="22" s="1"/>
  <c r="Y276" i="22" s="1"/>
  <c r="G276" i="22"/>
  <c r="CC276" i="6" s="1"/>
  <c r="W320" i="23"/>
  <c r="D320" i="23"/>
  <c r="E320" i="23" s="1"/>
  <c r="F320" i="23" s="1"/>
  <c r="B320" i="24"/>
  <c r="G49" i="20"/>
  <c r="CB49" i="6" s="1"/>
  <c r="AA49" i="20"/>
  <c r="Z49" i="20" s="1"/>
  <c r="Y49" i="20" s="1"/>
  <c r="W87" i="22"/>
  <c r="B87" i="23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B371" i="23"/>
  <c r="B80" i="24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B191" i="23"/>
  <c r="AA211" i="22"/>
  <c r="Z211" i="22" s="1"/>
  <c r="Y211" i="22" s="1"/>
  <c r="G211" i="22"/>
  <c r="CC211" i="6" s="1"/>
  <c r="W257" i="23"/>
  <c r="B257" i="24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B234" i="23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B115" i="23"/>
  <c r="W133" i="22"/>
  <c r="D133" i="22"/>
  <c r="E133" i="22" s="1"/>
  <c r="F133" i="22" s="1"/>
  <c r="B133" i="23"/>
  <c r="G213" i="20"/>
  <c r="CB213" i="6" s="1"/>
  <c r="AA213" i="20"/>
  <c r="Z213" i="20" s="1"/>
  <c r="Y213" i="20" s="1"/>
  <c r="W345" i="22"/>
  <c r="B345" i="23"/>
  <c r="D345" i="22"/>
  <c r="E345" i="22" s="1"/>
  <c r="F345" i="22" s="1"/>
  <c r="D24" i="22"/>
  <c r="E24" i="22" s="1"/>
  <c r="F24" i="22" s="1"/>
  <c r="B24" i="23"/>
  <c r="W24" i="22"/>
  <c r="W44" i="22"/>
  <c r="B44" i="23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B156" i="23"/>
  <c r="W156" i="22"/>
  <c r="D156" i="22"/>
  <c r="E156" i="22" s="1"/>
  <c r="F156" i="22" s="1"/>
  <c r="W206" i="22"/>
  <c r="D206" i="22"/>
  <c r="E206" i="22" s="1"/>
  <c r="F206" i="22" s="1"/>
  <c r="B206" i="23"/>
  <c r="W356" i="22"/>
  <c r="B356" i="23"/>
  <c r="D356" i="22"/>
  <c r="E356" i="22" s="1"/>
  <c r="F356" i="22" s="1"/>
  <c r="W299" i="23"/>
  <c r="D299" i="23"/>
  <c r="E299" i="23" s="1"/>
  <c r="F299" i="23" s="1"/>
  <c r="B299" i="24"/>
  <c r="W236" i="22"/>
  <c r="B236" i="23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B73" i="23"/>
  <c r="D73" i="22"/>
  <c r="E73" i="22" s="1"/>
  <c r="F73" i="22" s="1"/>
  <c r="AA100" i="22"/>
  <c r="Z100" i="22" s="1"/>
  <c r="Y100" i="22" s="1"/>
  <c r="G100" i="22"/>
  <c r="CC100" i="6" s="1"/>
  <c r="W76" i="22"/>
  <c r="B76" i="23"/>
  <c r="D76" i="22"/>
  <c r="E76" i="22" s="1"/>
  <c r="F76" i="22" s="1"/>
  <c r="J43" i="18"/>
  <c r="I43" i="18"/>
  <c r="J97" i="18"/>
  <c r="I97" i="18"/>
  <c r="J238" i="18"/>
  <c r="I238" i="18"/>
  <c r="I316" i="18"/>
  <c r="J316" i="18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B226" i="23"/>
  <c r="AA354" i="22"/>
  <c r="Z354" i="22" s="1"/>
  <c r="Y354" i="22" s="1"/>
  <c r="G354" i="22"/>
  <c r="CC354" i="6" s="1"/>
  <c r="W283" i="22"/>
  <c r="D283" i="22"/>
  <c r="E283" i="22" s="1"/>
  <c r="F283" i="22" s="1"/>
  <c r="B283" i="23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B99" i="23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B106" i="24"/>
  <c r="B178" i="24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B318" i="23"/>
  <c r="G352" i="20"/>
  <c r="CB352" i="6" s="1"/>
  <c r="AA352" i="20"/>
  <c r="Z352" i="20" s="1"/>
  <c r="Y352" i="20" s="1"/>
  <c r="G33" i="22"/>
  <c r="CC33" i="6" s="1"/>
  <c r="AA33" i="22"/>
  <c r="Z33" i="22" s="1"/>
  <c r="Y33" i="22" s="1"/>
  <c r="B69" i="24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B74" i="23"/>
  <c r="W74" i="22"/>
  <c r="G75" i="20"/>
  <c r="CB75" i="6" s="1"/>
  <c r="AA75" i="20"/>
  <c r="Z75" i="20" s="1"/>
  <c r="Y75" i="20" s="1"/>
  <c r="W278" i="23"/>
  <c r="D278" i="23"/>
  <c r="E278" i="23" s="1"/>
  <c r="F278" i="23" s="1"/>
  <c r="B278" i="24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B287" i="23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B273" i="23"/>
  <c r="D273" i="22"/>
  <c r="E273" i="22" s="1"/>
  <c r="F273" i="22" s="1"/>
  <c r="W361" i="22"/>
  <c r="B361" i="23"/>
  <c r="D361" i="22"/>
  <c r="E361" i="22" s="1"/>
  <c r="F361" i="22" s="1"/>
  <c r="W56" i="22"/>
  <c r="B56" i="23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B268" i="23"/>
  <c r="W328" i="22"/>
  <c r="D328" i="22"/>
  <c r="E328" i="22" s="1"/>
  <c r="F328" i="22" s="1"/>
  <c r="B328" i="23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B71" i="23"/>
  <c r="W71" i="22"/>
  <c r="G71" i="20"/>
  <c r="CB71" i="6" s="1"/>
  <c r="AA71" i="20"/>
  <c r="Z71" i="20" s="1"/>
  <c r="Y71" i="20" s="1"/>
  <c r="W181" i="22"/>
  <c r="B181" i="23"/>
  <c r="D181" i="22"/>
  <c r="E181" i="22" s="1"/>
  <c r="F181" i="22" s="1"/>
  <c r="W215" i="22"/>
  <c r="D215" i="22"/>
  <c r="E215" i="22" s="1"/>
  <c r="F215" i="22" s="1"/>
  <c r="B215" i="23"/>
  <c r="D285" i="23"/>
  <c r="E285" i="23" s="1"/>
  <c r="F285" i="23" s="1"/>
  <c r="B285" i="24"/>
  <c r="W285" i="23"/>
  <c r="G285" i="22"/>
  <c r="CC285" i="6" s="1"/>
  <c r="AA285" i="22"/>
  <c r="Z285" i="22" s="1"/>
  <c r="Y285" i="22" s="1"/>
  <c r="W146" i="23"/>
  <c r="D146" i="23"/>
  <c r="E146" i="23" s="1"/>
  <c r="F146" i="23" s="1"/>
  <c r="B146" i="24"/>
  <c r="G300" i="22"/>
  <c r="CC300" i="6" s="1"/>
  <c r="AA300" i="22"/>
  <c r="Z300" i="22" s="1"/>
  <c r="Y300" i="22" s="1"/>
  <c r="W39" i="23"/>
  <c r="D39" i="23"/>
  <c r="E39" i="23" s="1"/>
  <c r="F39" i="23" s="1"/>
  <c r="B39" i="24"/>
  <c r="G53" i="20"/>
  <c r="CB53" i="6" s="1"/>
  <c r="AA53" i="20"/>
  <c r="Z53" i="20" s="1"/>
  <c r="Y53" i="20" s="1"/>
  <c r="W107" i="23"/>
  <c r="D107" i="23"/>
  <c r="E107" i="23" s="1"/>
  <c r="F107" i="23" s="1"/>
  <c r="B107" i="24"/>
  <c r="W151" i="23"/>
  <c r="D151" i="23"/>
  <c r="E151" i="23" s="1"/>
  <c r="F151" i="23" s="1"/>
  <c r="B151" i="24"/>
  <c r="G269" i="22"/>
  <c r="CC269" i="6" s="1"/>
  <c r="AA269" i="22"/>
  <c r="Z269" i="22" s="1"/>
  <c r="Y269" i="22" s="1"/>
  <c r="W27" i="22"/>
  <c r="B27" i="23"/>
  <c r="D27" i="22"/>
  <c r="E27" i="22" s="1"/>
  <c r="F27" i="22" s="1"/>
  <c r="W124" i="22"/>
  <c r="B124" i="23"/>
  <c r="D124" i="22"/>
  <c r="E124" i="22" s="1"/>
  <c r="F124" i="22" s="1"/>
  <c r="W184" i="22"/>
  <c r="D184" i="22"/>
  <c r="E184" i="22" s="1"/>
  <c r="F184" i="22" s="1"/>
  <c r="B184" i="23"/>
  <c r="W256" i="22"/>
  <c r="D256" i="22"/>
  <c r="E256" i="22" s="1"/>
  <c r="F256" i="22" s="1"/>
  <c r="B256" i="23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B330" i="23"/>
  <c r="D330" i="22"/>
  <c r="E330" i="22" s="1"/>
  <c r="F330" i="22" s="1"/>
  <c r="W364" i="22"/>
  <c r="D364" i="22"/>
  <c r="E364" i="22" s="1"/>
  <c r="F364" i="22" s="1"/>
  <c r="B364" i="23"/>
  <c r="W41" i="23"/>
  <c r="B41" i="24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B91" i="24"/>
  <c r="G109" i="20"/>
  <c r="CB109" i="6" s="1"/>
  <c r="AA109" i="20"/>
  <c r="Z109" i="20" s="1"/>
  <c r="Y109" i="20" s="1"/>
  <c r="W117" i="23"/>
  <c r="D117" i="23"/>
  <c r="E117" i="23" s="1"/>
  <c r="F117" i="23" s="1"/>
  <c r="B117" i="24"/>
  <c r="W165" i="22"/>
  <c r="B165" i="23"/>
  <c r="D165" i="22"/>
  <c r="E165" i="22" s="1"/>
  <c r="F165" i="22" s="1"/>
  <c r="W279" i="22"/>
  <c r="B279" i="23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B82" i="24"/>
  <c r="W82" i="23"/>
  <c r="G162" i="20"/>
  <c r="CB162" i="6" s="1"/>
  <c r="AA162" i="20"/>
  <c r="Z162" i="20" s="1"/>
  <c r="Y162" i="20" s="1"/>
  <c r="W198" i="22"/>
  <c r="B198" i="23"/>
  <c r="D198" i="22"/>
  <c r="E198" i="22" s="1"/>
  <c r="F198" i="22" s="1"/>
  <c r="G198" i="20"/>
  <c r="CB198" i="6" s="1"/>
  <c r="AA198" i="20"/>
  <c r="Z198" i="20" s="1"/>
  <c r="Y198" i="20" s="1"/>
  <c r="B214" i="23"/>
  <c r="W214" i="22"/>
  <c r="D214" i="22"/>
  <c r="E214" i="22" s="1"/>
  <c r="F214" i="22" s="1"/>
  <c r="G214" i="20"/>
  <c r="CB214" i="6" s="1"/>
  <c r="AA214" i="20"/>
  <c r="Z214" i="20" s="1"/>
  <c r="Y214" i="20" s="1"/>
  <c r="W264" i="22"/>
  <c r="B264" i="23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B222" i="24"/>
  <c r="D222" i="23"/>
  <c r="E222" i="23" s="1"/>
  <c r="F222" i="23" s="1"/>
  <c r="G90" i="20"/>
  <c r="CB90" i="6" s="1"/>
  <c r="AA90" i="20"/>
  <c r="Z90" i="20" s="1"/>
  <c r="Y90" i="20" s="1"/>
  <c r="B204" i="24"/>
  <c r="W204" i="23"/>
  <c r="D204" i="23"/>
  <c r="E204" i="23" s="1"/>
  <c r="F204" i="23" s="1"/>
  <c r="W252" i="23"/>
  <c r="B252" i="24"/>
  <c r="D252" i="23"/>
  <c r="E252" i="23" s="1"/>
  <c r="F252" i="23" s="1"/>
  <c r="D305" i="23"/>
  <c r="E305" i="23" s="1"/>
  <c r="F305" i="23" s="1"/>
  <c r="B305" i="24"/>
  <c r="W305" i="23"/>
  <c r="W157" i="22"/>
  <c r="D157" i="22"/>
  <c r="E157" i="22" s="1"/>
  <c r="F157" i="22" s="1"/>
  <c r="B157" i="23"/>
  <c r="W125" i="22"/>
  <c r="D125" i="22"/>
  <c r="E125" i="22" s="1"/>
  <c r="F125" i="22" s="1"/>
  <c r="B125" i="23"/>
  <c r="G251" i="22"/>
  <c r="CC251" i="6" s="1"/>
  <c r="AA251" i="22"/>
  <c r="Z251" i="22" s="1"/>
  <c r="Y251" i="22" s="1"/>
  <c r="W295" i="22"/>
  <c r="B295" i="23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B248" i="23"/>
  <c r="D248" i="22"/>
  <c r="E248" i="22" s="1"/>
  <c r="F248" i="22" s="1"/>
  <c r="G248" i="20"/>
  <c r="CB248" i="6" s="1"/>
  <c r="AA248" i="20"/>
  <c r="Z248" i="20" s="1"/>
  <c r="Y248" i="20" s="1"/>
  <c r="B346" i="23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B244" i="23"/>
  <c r="W244" i="22"/>
  <c r="W37" i="22"/>
  <c r="B37" i="23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B140" i="23"/>
  <c r="W140" i="22"/>
  <c r="D140" i="22"/>
  <c r="E140" i="22" s="1"/>
  <c r="F140" i="22" s="1"/>
  <c r="G140" i="20"/>
  <c r="CB140" i="6" s="1"/>
  <c r="AA140" i="20"/>
  <c r="Z140" i="20" s="1"/>
  <c r="Y140" i="20" s="1"/>
  <c r="W31" i="22"/>
  <c r="B31" i="23"/>
  <c r="D31" i="22"/>
  <c r="E31" i="22" s="1"/>
  <c r="F31" i="22" s="1"/>
  <c r="D93" i="23"/>
  <c r="E93" i="23" s="1"/>
  <c r="F93" i="23" s="1"/>
  <c r="B93" i="24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B341" i="24"/>
  <c r="W34" i="22"/>
  <c r="B34" i="23"/>
  <c r="D34" i="22"/>
  <c r="E34" i="22" s="1"/>
  <c r="F34" i="22" s="1"/>
  <c r="W96" i="22"/>
  <c r="B96" i="23"/>
  <c r="D96" i="22"/>
  <c r="E96" i="22" s="1"/>
  <c r="F96" i="22" s="1"/>
  <c r="W126" i="22"/>
  <c r="B126" i="23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B250" i="23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B307" i="23"/>
  <c r="B357" i="23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B48" i="23"/>
  <c r="G122" i="22"/>
  <c r="CC122" i="6" s="1"/>
  <c r="AA122" i="22"/>
  <c r="Z122" i="22" s="1"/>
  <c r="Y122" i="22" s="1"/>
  <c r="W160" i="22"/>
  <c r="D160" i="22"/>
  <c r="E160" i="22" s="1"/>
  <c r="F160" i="22" s="1"/>
  <c r="B160" i="23"/>
  <c r="W238" i="23"/>
  <c r="D238" i="23"/>
  <c r="E238" i="23" s="1"/>
  <c r="F238" i="23" s="1"/>
  <c r="B238" i="24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B350" i="23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B113" i="24"/>
  <c r="D113" i="23"/>
  <c r="E113" i="23" s="1"/>
  <c r="F113" i="23" s="1"/>
  <c r="G217" i="22"/>
  <c r="CC217" i="6" s="1"/>
  <c r="AA217" i="22"/>
  <c r="Z217" i="22" s="1"/>
  <c r="Y217" i="22" s="1"/>
  <c r="B239" i="23"/>
  <c r="W239" i="22"/>
  <c r="D239" i="22"/>
  <c r="E239" i="22" s="1"/>
  <c r="F239" i="22" s="1"/>
  <c r="D315" i="22"/>
  <c r="E315" i="22" s="1"/>
  <c r="F315" i="22" s="1"/>
  <c r="B315" i="23"/>
  <c r="W315" i="22"/>
  <c r="G315" i="20"/>
  <c r="CB315" i="6" s="1"/>
  <c r="AA315" i="20"/>
  <c r="Z315" i="20" s="1"/>
  <c r="Y315" i="20" s="1"/>
  <c r="D343" i="23"/>
  <c r="E343" i="23" s="1"/>
  <c r="F343" i="23" s="1"/>
  <c r="B343" i="24"/>
  <c r="W343" i="23"/>
  <c r="W40" i="23"/>
  <c r="D40" i="23"/>
  <c r="E40" i="23" s="1"/>
  <c r="F40" i="23" s="1"/>
  <c r="B40" i="24"/>
  <c r="G72" i="20"/>
  <c r="CB72" i="6" s="1"/>
  <c r="AA72" i="20"/>
  <c r="Z72" i="20" s="1"/>
  <c r="Y72" i="20" s="1"/>
  <c r="W200" i="23"/>
  <c r="D200" i="23"/>
  <c r="E200" i="23" s="1"/>
  <c r="F200" i="23" s="1"/>
  <c r="B200" i="24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B342" i="24"/>
  <c r="G289" i="20"/>
  <c r="CB289" i="6" s="1"/>
  <c r="AA289" i="20"/>
  <c r="Z289" i="20" s="1"/>
  <c r="Y289" i="20" s="1"/>
  <c r="W207" i="23"/>
  <c r="B207" i="24"/>
  <c r="D207" i="23"/>
  <c r="E207" i="23" s="1"/>
  <c r="F207" i="23" s="1"/>
  <c r="W98" i="22"/>
  <c r="B98" i="23"/>
  <c r="D98" i="22"/>
  <c r="E98" i="22" s="1"/>
  <c r="F98" i="22" s="1"/>
  <c r="G98" i="20"/>
  <c r="CB98" i="6" s="1"/>
  <c r="AA98" i="20"/>
  <c r="Z98" i="20" s="1"/>
  <c r="Y98" i="20" s="1"/>
  <c r="W163" i="22"/>
  <c r="B163" i="23"/>
  <c r="D163" i="22"/>
  <c r="E163" i="22" s="1"/>
  <c r="F163" i="22" s="1"/>
  <c r="W321" i="22"/>
  <c r="B321" i="23"/>
  <c r="D321" i="22"/>
  <c r="E321" i="22" s="1"/>
  <c r="F321" i="22" s="1"/>
  <c r="W332" i="22"/>
  <c r="D332" i="22"/>
  <c r="E332" i="22" s="1"/>
  <c r="F332" i="22" s="1"/>
  <c r="B332" i="23"/>
  <c r="W81" i="22"/>
  <c r="B81" i="23"/>
  <c r="D81" i="22"/>
  <c r="E81" i="22" s="1"/>
  <c r="F81" i="22" s="1"/>
  <c r="J76" i="18"/>
  <c r="I76" i="18"/>
  <c r="BA76" i="6" s="1"/>
  <c r="D76" i="6" s="1"/>
  <c r="G174" i="22"/>
  <c r="CC174" i="6" s="1"/>
  <c r="AA174" i="22"/>
  <c r="Z174" i="22" s="1"/>
  <c r="Y174" i="22" s="1"/>
  <c r="J204" i="18"/>
  <c r="I204" i="18"/>
  <c r="I197" i="18"/>
  <c r="J197" i="18"/>
  <c r="G177" i="22"/>
  <c r="CC177" i="6" s="1"/>
  <c r="AA177" i="22"/>
  <c r="Z177" i="22" s="1"/>
  <c r="Y177" i="22" s="1"/>
  <c r="W135" i="22"/>
  <c r="D135" i="22"/>
  <c r="E135" i="22" s="1"/>
  <c r="F135" i="22" s="1"/>
  <c r="B135" i="23"/>
  <c r="W210" i="22"/>
  <c r="D210" i="22"/>
  <c r="E210" i="22" s="1"/>
  <c r="F210" i="22" s="1"/>
  <c r="B210" i="23"/>
  <c r="B161" i="23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B159" i="23"/>
  <c r="G159" i="20"/>
  <c r="CB159" i="6" s="1"/>
  <c r="AA159" i="20"/>
  <c r="Z159" i="20" s="1"/>
  <c r="Y159" i="20" s="1"/>
  <c r="D247" i="23"/>
  <c r="E247" i="23" s="1"/>
  <c r="F247" i="23" s="1"/>
  <c r="B247" i="24"/>
  <c r="W247" i="23"/>
  <c r="AA263" i="20"/>
  <c r="Z263" i="20" s="1"/>
  <c r="Y263" i="20" s="1"/>
  <c r="G263" i="20"/>
  <c r="CB263" i="6" s="1"/>
  <c r="W281" i="23"/>
  <c r="B281" i="24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B149" i="24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B349" i="23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B17" i="24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B111" i="24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B194" i="23"/>
  <c r="D194" i="22"/>
  <c r="E194" i="22" s="1"/>
  <c r="F194" i="22" s="1"/>
  <c r="W302" i="23"/>
  <c r="B302" i="24"/>
  <c r="D302" i="23"/>
  <c r="E302" i="23" s="1"/>
  <c r="F302" i="23" s="1"/>
  <c r="D175" i="23"/>
  <c r="E175" i="23" s="1"/>
  <c r="F175" i="23" s="1"/>
  <c r="B175" i="24"/>
  <c r="W175" i="23"/>
  <c r="W61" i="22"/>
  <c r="B61" i="23"/>
  <c r="D61" i="22"/>
  <c r="E61" i="22" s="1"/>
  <c r="F61" i="22" s="1"/>
  <c r="G61" i="20"/>
  <c r="CB61" i="6" s="1"/>
  <c r="AA61" i="20"/>
  <c r="Z61" i="20" s="1"/>
  <c r="Y61" i="20" s="1"/>
  <c r="W89" i="22"/>
  <c r="B89" i="23"/>
  <c r="D89" i="22"/>
  <c r="E89" i="22" s="1"/>
  <c r="F89" i="22" s="1"/>
  <c r="G89" i="20"/>
  <c r="CB89" i="6" s="1"/>
  <c r="AA89" i="20"/>
  <c r="Z89" i="20" s="1"/>
  <c r="Y89" i="20" s="1"/>
  <c r="B127" i="23"/>
  <c r="W127" i="22"/>
  <c r="D127" i="22"/>
  <c r="E127" i="22" s="1"/>
  <c r="F127" i="22" s="1"/>
  <c r="W173" i="22"/>
  <c r="B173" i="23"/>
  <c r="D173" i="22"/>
  <c r="E173" i="22" s="1"/>
  <c r="F173" i="22" s="1"/>
  <c r="W219" i="22"/>
  <c r="D219" i="22"/>
  <c r="E219" i="22" s="1"/>
  <c r="F219" i="22" s="1"/>
  <c r="B219" i="23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B118" i="24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B230" i="24"/>
  <c r="G270" i="22"/>
  <c r="CC270" i="6" s="1"/>
  <c r="AA270" i="22"/>
  <c r="Z270" i="22" s="1"/>
  <c r="Y270" i="22" s="1"/>
  <c r="W282" i="22"/>
  <c r="B282" i="23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B45" i="23"/>
  <c r="AA47" i="22"/>
  <c r="Z47" i="22" s="1"/>
  <c r="Y47" i="22" s="1"/>
  <c r="G47" i="22"/>
  <c r="CC47" i="6" s="1"/>
  <c r="W123" i="22"/>
  <c r="B123" i="23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B233" i="23"/>
  <c r="G112" i="20"/>
  <c r="CB112" i="6" s="1"/>
  <c r="AA112" i="20"/>
  <c r="Z112" i="20" s="1"/>
  <c r="Y112" i="20" s="1"/>
  <c r="W120" i="23"/>
  <c r="D120" i="23"/>
  <c r="E120" i="23" s="1"/>
  <c r="F120" i="23" s="1"/>
  <c r="B120" i="24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B296" i="23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B277" i="23"/>
  <c r="W277" i="22"/>
  <c r="G313" i="22"/>
  <c r="CC313" i="6" s="1"/>
  <c r="AA313" i="22"/>
  <c r="Z313" i="22" s="1"/>
  <c r="Y313" i="22" s="1"/>
  <c r="D325" i="22"/>
  <c r="E325" i="22" s="1"/>
  <c r="F325" i="22" s="1"/>
  <c r="B325" i="23"/>
  <c r="W325" i="22"/>
  <c r="G325" i="20"/>
  <c r="CB325" i="6" s="1"/>
  <c r="AA325" i="20"/>
  <c r="Z325" i="20" s="1"/>
  <c r="Y325" i="20" s="1"/>
  <c r="B375" i="24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B292" i="23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B26" i="24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B225" i="23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B158" i="24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I264" i="18"/>
  <c r="BA264" i="6" s="1"/>
  <c r="D264" i="6" s="1"/>
  <c r="W290" i="22"/>
  <c r="B290" i="23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B362" i="23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B374" i="23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B309" i="23"/>
  <c r="D309" i="22"/>
  <c r="E309" i="22" s="1"/>
  <c r="F309" i="22" s="1"/>
  <c r="W62" i="22"/>
  <c r="D62" i="22"/>
  <c r="E62" i="22" s="1"/>
  <c r="F62" i="22" s="1"/>
  <c r="B62" i="23"/>
  <c r="G62" i="20"/>
  <c r="CB62" i="6" s="1"/>
  <c r="AA62" i="20"/>
  <c r="Z62" i="20" s="1"/>
  <c r="Y62" i="20" s="1"/>
  <c r="W232" i="22"/>
  <c r="D232" i="22"/>
  <c r="E232" i="22" s="1"/>
  <c r="F232" i="22" s="1"/>
  <c r="B232" i="23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B105" i="24"/>
  <c r="W105" i="23"/>
  <c r="D105" i="23"/>
  <c r="E105" i="23" s="1"/>
  <c r="F105" i="23" s="1"/>
  <c r="G67" i="20"/>
  <c r="CB67" i="6" s="1"/>
  <c r="AA67" i="20"/>
  <c r="Z67" i="20" s="1"/>
  <c r="Y67" i="20" s="1"/>
  <c r="B166" i="24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B368" i="24"/>
  <c r="W189" i="23"/>
  <c r="D189" i="23"/>
  <c r="E189" i="23" s="1"/>
  <c r="F189" i="23" s="1"/>
  <c r="B189" i="24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B249" i="23"/>
  <c r="D249" i="22"/>
  <c r="E249" i="22" s="1"/>
  <c r="F249" i="22" s="1"/>
  <c r="G317" i="20"/>
  <c r="CB317" i="6" s="1"/>
  <c r="AA317" i="20"/>
  <c r="Z317" i="20" s="1"/>
  <c r="Y317" i="20" s="1"/>
  <c r="W42" i="22"/>
  <c r="B42" i="23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B254" i="23"/>
  <c r="W254" i="22"/>
  <c r="G260" i="22"/>
  <c r="CC260" i="6" s="1"/>
  <c r="AA260" i="22"/>
  <c r="Z260" i="22" s="1"/>
  <c r="Y260" i="22" s="1"/>
  <c r="W276" i="23"/>
  <c r="D276" i="23"/>
  <c r="E276" i="23" s="1"/>
  <c r="F276" i="23" s="1"/>
  <c r="B276" i="24"/>
  <c r="G320" i="22"/>
  <c r="CC320" i="6" s="1"/>
  <c r="AA320" i="22"/>
  <c r="Z320" i="22" s="1"/>
  <c r="Y320" i="22" s="1"/>
  <c r="W49" i="22"/>
  <c r="D49" i="22"/>
  <c r="E49" i="22" s="1"/>
  <c r="F49" i="22" s="1"/>
  <c r="B49" i="23"/>
  <c r="AA87" i="20"/>
  <c r="Z87" i="20" s="1"/>
  <c r="Y87" i="20" s="1"/>
  <c r="G87" i="20"/>
  <c r="CB87" i="6" s="1"/>
  <c r="W147" i="23"/>
  <c r="B147" i="24"/>
  <c r="D147" i="23"/>
  <c r="E147" i="23" s="1"/>
  <c r="F147" i="23" s="1"/>
  <c r="W209" i="23"/>
  <c r="D209" i="23"/>
  <c r="E209" i="23" s="1"/>
  <c r="F209" i="23" s="1"/>
  <c r="B209" i="24"/>
  <c r="B291" i="23"/>
  <c r="W291" i="22"/>
  <c r="D291" i="22"/>
  <c r="E291" i="22" s="1"/>
  <c r="F291" i="22" s="1"/>
  <c r="W339" i="22"/>
  <c r="B339" i="23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B142" i="24"/>
  <c r="D142" i="23"/>
  <c r="E142" i="23" s="1"/>
  <c r="F142" i="23" s="1"/>
  <c r="G294" i="22"/>
  <c r="CC294" i="6" s="1"/>
  <c r="AA294" i="22"/>
  <c r="Z294" i="22" s="1"/>
  <c r="Y294" i="22" s="1"/>
  <c r="B141" i="24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B267" i="23"/>
  <c r="G301" i="22"/>
  <c r="CC301" i="6" s="1"/>
  <c r="AA301" i="22"/>
  <c r="Z301" i="22" s="1"/>
  <c r="Y301" i="22" s="1"/>
  <c r="G337" i="22"/>
  <c r="CC337" i="6" s="1"/>
  <c r="AA337" i="22"/>
  <c r="Z337" i="22" s="1"/>
  <c r="Y337" i="22" s="1"/>
  <c r="W20" i="22"/>
  <c r="B20" i="23"/>
  <c r="D20" i="22"/>
  <c r="E20" i="22" s="1"/>
  <c r="F20" i="22" s="1"/>
  <c r="D172" i="23"/>
  <c r="E172" i="23" s="1"/>
  <c r="F172" i="23" s="1"/>
  <c r="B172" i="24"/>
  <c r="W172" i="23"/>
  <c r="G234" i="20"/>
  <c r="CB234" i="6" s="1"/>
  <c r="AA234" i="20"/>
  <c r="Z234" i="20" s="1"/>
  <c r="Y234" i="20" s="1"/>
  <c r="W280" i="23"/>
  <c r="B280" i="24"/>
  <c r="D280" i="23"/>
  <c r="E280" i="23" s="1"/>
  <c r="F280" i="23" s="1"/>
  <c r="B57" i="24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B213" i="23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B68" i="24"/>
  <c r="D68" i="23"/>
  <c r="E68" i="23" s="1"/>
  <c r="F68" i="23" s="1"/>
  <c r="W134" i="23"/>
  <c r="B134" i="24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I240" i="18"/>
  <c r="BA240" i="6" s="1"/>
  <c r="D240" i="6" s="1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B229" i="24"/>
  <c r="W32" i="23"/>
  <c r="B32" i="24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B100" i="24"/>
  <c r="G76" i="20"/>
  <c r="CB76" i="6" s="1"/>
  <c r="AA76" i="20"/>
  <c r="Z76" i="20" s="1"/>
  <c r="Y76" i="20" s="1"/>
  <c r="J323" i="18" l="1"/>
  <c r="I252" i="18"/>
  <c r="H252" i="20" s="1"/>
  <c r="J181" i="18"/>
  <c r="J246" i="18"/>
  <c r="J278" i="18"/>
  <c r="I140" i="18"/>
  <c r="H140" i="20" s="1"/>
  <c r="I18" i="18"/>
  <c r="H18" i="20" s="1"/>
  <c r="J151" i="18"/>
  <c r="I269" i="18"/>
  <c r="H269" i="20" s="1"/>
  <c r="J152" i="18"/>
  <c r="J366" i="18"/>
  <c r="I346" i="18"/>
  <c r="H346" i="20" s="1"/>
  <c r="I79" i="18"/>
  <c r="I235" i="18"/>
  <c r="H235" i="20" s="1"/>
  <c r="I199" i="18"/>
  <c r="H199" i="20" s="1"/>
  <c r="I308" i="18"/>
  <c r="H308" i="20" s="1"/>
  <c r="J299" i="18"/>
  <c r="J232" i="18"/>
  <c r="I362" i="18"/>
  <c r="H362" i="20" s="1"/>
  <c r="I303" i="18"/>
  <c r="H303" i="20" s="1"/>
  <c r="I123" i="18"/>
  <c r="H123" i="20" s="1"/>
  <c r="I45" i="18"/>
  <c r="H45" i="20" s="1"/>
  <c r="I127" i="18"/>
  <c r="H127" i="20" s="1"/>
  <c r="J100" i="18"/>
  <c r="J28" i="18"/>
  <c r="I192" i="18"/>
  <c r="H192" i="20" s="1"/>
  <c r="J81" i="18"/>
  <c r="I78" i="18"/>
  <c r="H78" i="20" s="1"/>
  <c r="J72" i="18"/>
  <c r="J315" i="18"/>
  <c r="J307" i="18"/>
  <c r="I37" i="18"/>
  <c r="H37" i="20" s="1"/>
  <c r="J214" i="18"/>
  <c r="I36" i="18"/>
  <c r="H36" i="20" s="1"/>
  <c r="J51" i="18"/>
  <c r="J364" i="18"/>
  <c r="I27" i="18"/>
  <c r="H27" i="20" s="1"/>
  <c r="J56" i="18"/>
  <c r="J287" i="18"/>
  <c r="I153" i="18"/>
  <c r="H153" i="20" s="1"/>
  <c r="I327" i="18"/>
  <c r="H327" i="20" s="1"/>
  <c r="J313" i="18"/>
  <c r="I103" i="18"/>
  <c r="H103" i="20" s="1"/>
  <c r="J190" i="18"/>
  <c r="I280" i="18"/>
  <c r="H280" i="20" s="1"/>
  <c r="I285" i="18"/>
  <c r="H285" i="20" s="1"/>
  <c r="I271" i="18"/>
  <c r="H271" i="20" s="1"/>
  <c r="I177" i="18"/>
  <c r="H177" i="20" s="1"/>
  <c r="J265" i="18"/>
  <c r="J73" i="18"/>
  <c r="I213" i="18"/>
  <c r="H213" i="20" s="1"/>
  <c r="J267" i="18"/>
  <c r="I355" i="18"/>
  <c r="H355" i="20" s="1"/>
  <c r="J355" i="20" s="1"/>
  <c r="I225" i="18"/>
  <c r="H225" i="20" s="1"/>
  <c r="J64" i="18"/>
  <c r="J193" i="18"/>
  <c r="J90" i="18"/>
  <c r="J135" i="18"/>
  <c r="J141" i="18"/>
  <c r="J112" i="18"/>
  <c r="I212" i="18"/>
  <c r="H212" i="20" s="1"/>
  <c r="J228" i="18"/>
  <c r="J179" i="18"/>
  <c r="J180" i="18"/>
  <c r="J26" i="18"/>
  <c r="J170" i="18"/>
  <c r="J39" i="18"/>
  <c r="J321" i="18"/>
  <c r="I182" i="18"/>
  <c r="H182" i="20" s="1"/>
  <c r="J239" i="18"/>
  <c r="J266" i="18"/>
  <c r="I48" i="18"/>
  <c r="H48" i="20" s="1"/>
  <c r="I357" i="18"/>
  <c r="H357" i="20" s="1"/>
  <c r="J372" i="18"/>
  <c r="J110" i="18"/>
  <c r="I244" i="18"/>
  <c r="H244" i="20" s="1"/>
  <c r="I248" i="18"/>
  <c r="H248" i="20" s="1"/>
  <c r="I330" i="18"/>
  <c r="H330" i="20" s="1"/>
  <c r="I256" i="18"/>
  <c r="H256" i="20" s="1"/>
  <c r="J215" i="18"/>
  <c r="I104" i="18"/>
  <c r="H104" i="20" s="1"/>
  <c r="I376" i="18"/>
  <c r="H376" i="20" s="1"/>
  <c r="J84" i="18"/>
  <c r="J99" i="18"/>
  <c r="I226" i="18"/>
  <c r="H226" i="20" s="1"/>
  <c r="J312" i="18"/>
  <c r="J19" i="18"/>
  <c r="I367" i="18"/>
  <c r="I331" i="18"/>
  <c r="H331" i="20" s="1"/>
  <c r="I211" i="18"/>
  <c r="H211" i="20" s="1"/>
  <c r="J32" i="18"/>
  <c r="J52" i="18"/>
  <c r="J342" i="18"/>
  <c r="I40" i="18"/>
  <c r="H40" i="20" s="1"/>
  <c r="J370" i="18"/>
  <c r="J138" i="18"/>
  <c r="J142" i="18"/>
  <c r="I47" i="18"/>
  <c r="H47" i="20" s="1"/>
  <c r="I178" i="18"/>
  <c r="H178" i="20" s="1"/>
  <c r="J241" i="18"/>
  <c r="I17" i="18"/>
  <c r="H17" i="20" s="1"/>
  <c r="J379" i="18"/>
  <c r="J55" i="18"/>
  <c r="I317" i="18"/>
  <c r="J290" i="18"/>
  <c r="J288" i="18"/>
  <c r="J61" i="18"/>
  <c r="J263" i="18"/>
  <c r="J161" i="18"/>
  <c r="J164" i="18"/>
  <c r="J136" i="18"/>
  <c r="I94" i="18"/>
  <c r="H94" i="20" s="1"/>
  <c r="J343" i="18"/>
  <c r="J63" i="18"/>
  <c r="J162" i="18"/>
  <c r="J160" i="18"/>
  <c r="J186" i="18"/>
  <c r="J277" i="18"/>
  <c r="G95" i="22"/>
  <c r="CC95" i="6" s="1"/>
  <c r="I310" i="18"/>
  <c r="H310" i="20" s="1"/>
  <c r="J310" i="20" s="1"/>
  <c r="I166" i="18"/>
  <c r="H166" i="20" s="1"/>
  <c r="I124" i="18"/>
  <c r="H124" i="20" s="1"/>
  <c r="J124" i="20" s="1"/>
  <c r="I102" i="18"/>
  <c r="H102" i="20" s="1"/>
  <c r="J102" i="20" s="1"/>
  <c r="I201" i="18"/>
  <c r="H201" i="20" s="1"/>
  <c r="I201" i="20" s="1"/>
  <c r="H201" i="22" s="1"/>
  <c r="J53" i="18"/>
  <c r="I75" i="18"/>
  <c r="H75" i="20" s="1"/>
  <c r="J75" i="20" s="1"/>
  <c r="J301" i="18"/>
  <c r="J324" i="18"/>
  <c r="I242" i="18"/>
  <c r="H242" i="20" s="1"/>
  <c r="J360" i="18"/>
  <c r="I320" i="18"/>
  <c r="H320" i="20" s="1"/>
  <c r="I149" i="18"/>
  <c r="H149" i="20" s="1"/>
  <c r="J67" i="18"/>
  <c r="I196" i="18"/>
  <c r="H196" i="20" s="1"/>
  <c r="I196" i="20" s="1"/>
  <c r="H196" i="22" s="1"/>
  <c r="J347" i="18"/>
  <c r="I322" i="18"/>
  <c r="H322" i="20" s="1"/>
  <c r="I322" i="20" s="1"/>
  <c r="H322" i="22" s="1"/>
  <c r="J328" i="18"/>
  <c r="J71" i="18"/>
  <c r="I109" i="18"/>
  <c r="H109" i="20" s="1"/>
  <c r="I109" i="20" s="1"/>
  <c r="H109" i="22" s="1"/>
  <c r="G316" i="22"/>
  <c r="CC316" i="6" s="1"/>
  <c r="AA316" i="22"/>
  <c r="Z316" i="22" s="1"/>
  <c r="Y316" i="22" s="1"/>
  <c r="I206" i="18"/>
  <c r="H206" i="20" s="1"/>
  <c r="I206" i="20" s="1"/>
  <c r="H206" i="22" s="1"/>
  <c r="J206" i="18"/>
  <c r="J126" i="18"/>
  <c r="I126" i="18"/>
  <c r="H126" i="20" s="1"/>
  <c r="J111" i="18"/>
  <c r="I111" i="18"/>
  <c r="H111" i="20" s="1"/>
  <c r="J46" i="18"/>
  <c r="I46" i="18"/>
  <c r="H46" i="20" s="1"/>
  <c r="I46" i="20" s="1"/>
  <c r="H46" i="22" s="1"/>
  <c r="J29" i="18"/>
  <c r="I29" i="18"/>
  <c r="H29" i="20" s="1"/>
  <c r="I295" i="18"/>
  <c r="H295" i="20" s="1"/>
  <c r="I295" i="20" s="1"/>
  <c r="H295" i="22" s="1"/>
  <c r="J295" i="18"/>
  <c r="I279" i="18"/>
  <c r="H279" i="20" s="1"/>
  <c r="J279" i="18"/>
  <c r="J375" i="18"/>
  <c r="I375" i="18"/>
  <c r="H375" i="20" s="1"/>
  <c r="I107" i="18"/>
  <c r="H107" i="20" s="1"/>
  <c r="J107" i="18"/>
  <c r="J106" i="18"/>
  <c r="I106" i="18"/>
  <c r="H106" i="20" s="1"/>
  <c r="J230" i="18"/>
  <c r="I230" i="18"/>
  <c r="H230" i="20" s="1"/>
  <c r="I329" i="18"/>
  <c r="H329" i="20" s="1"/>
  <c r="J329" i="18"/>
  <c r="J130" i="18"/>
  <c r="I130" i="18"/>
  <c r="H130" i="20" s="1"/>
  <c r="I202" i="18"/>
  <c r="H202" i="20" s="1"/>
  <c r="J202" i="18"/>
  <c r="J165" i="18"/>
  <c r="I165" i="18"/>
  <c r="H165" i="20" s="1"/>
  <c r="I293" i="18"/>
  <c r="H293" i="20" s="1"/>
  <c r="J293" i="18"/>
  <c r="J171" i="18"/>
  <c r="I171" i="18"/>
  <c r="H171" i="20" s="1"/>
  <c r="I171" i="20" s="1"/>
  <c r="H171" i="22" s="1"/>
  <c r="I304" i="18"/>
  <c r="H304" i="20" s="1"/>
  <c r="J304" i="18"/>
  <c r="J272" i="18"/>
  <c r="I272" i="18"/>
  <c r="H272" i="20" s="1"/>
  <c r="I284" i="18"/>
  <c r="H284" i="20" s="1"/>
  <c r="J284" i="18"/>
  <c r="I16" i="18"/>
  <c r="H16" i="20" s="1"/>
  <c r="J16" i="18"/>
  <c r="J220" i="18"/>
  <c r="I220" i="18"/>
  <c r="H220" i="20" s="1"/>
  <c r="I220" i="20" s="1"/>
  <c r="H220" i="22" s="1"/>
  <c r="I223" i="18"/>
  <c r="H223" i="20" s="1"/>
  <c r="J223" i="18"/>
  <c r="I128" i="18"/>
  <c r="H128" i="20" s="1"/>
  <c r="J128" i="18"/>
  <c r="I319" i="18"/>
  <c r="H319" i="20" s="1"/>
  <c r="J319" i="18"/>
  <c r="I121" i="18"/>
  <c r="H121" i="20" s="1"/>
  <c r="J121" i="18"/>
  <c r="J159" i="18"/>
  <c r="I159" i="18"/>
  <c r="H159" i="20" s="1"/>
  <c r="J249" i="18"/>
  <c r="I249" i="18"/>
  <c r="H249" i="20" s="1"/>
  <c r="I167" i="18"/>
  <c r="H167" i="20" s="1"/>
  <c r="J167" i="18"/>
  <c r="J216" i="18"/>
  <c r="I216" i="18"/>
  <c r="H216" i="20" s="1"/>
  <c r="J30" i="18"/>
  <c r="I30" i="18"/>
  <c r="H30" i="20" s="1"/>
  <c r="J80" i="18"/>
  <c r="I80" i="18"/>
  <c r="H80" i="20" s="1"/>
  <c r="I44" i="18"/>
  <c r="H44" i="20" s="1"/>
  <c r="J44" i="18"/>
  <c r="J54" i="18"/>
  <c r="I54" i="18"/>
  <c r="H54" i="20" s="1"/>
  <c r="I89" i="18"/>
  <c r="H89" i="20" s="1"/>
  <c r="J89" i="18"/>
  <c r="J292" i="18"/>
  <c r="I292" i="18"/>
  <c r="BA292" i="6" s="1"/>
  <c r="D292" i="6" s="1"/>
  <c r="I294" i="18"/>
  <c r="H294" i="20" s="1"/>
  <c r="J294" i="18"/>
  <c r="J173" i="18"/>
  <c r="I173" i="18"/>
  <c r="H173" i="20" s="1"/>
  <c r="I173" i="20" s="1"/>
  <c r="H173" i="22" s="1"/>
  <c r="J261" i="18"/>
  <c r="I261" i="18"/>
  <c r="H261" i="20" s="1"/>
  <c r="I261" i="20" s="1"/>
  <c r="H261" i="22" s="1"/>
  <c r="J254" i="18"/>
  <c r="I254" i="18"/>
  <c r="H254" i="20" s="1"/>
  <c r="I101" i="18"/>
  <c r="H101" i="20" s="1"/>
  <c r="J101" i="18"/>
  <c r="I297" i="18"/>
  <c r="H297" i="20" s="1"/>
  <c r="J297" i="18"/>
  <c r="I42" i="18"/>
  <c r="H42" i="20" s="1"/>
  <c r="J42" i="18"/>
  <c r="J91" i="18"/>
  <c r="I91" i="18"/>
  <c r="H91" i="20" s="1"/>
  <c r="I203" i="18"/>
  <c r="H203" i="20" s="1"/>
  <c r="J203" i="18"/>
  <c r="J156" i="18"/>
  <c r="I156" i="18"/>
  <c r="H156" i="20" s="1"/>
  <c r="J318" i="18"/>
  <c r="I318" i="18"/>
  <c r="H318" i="20" s="1"/>
  <c r="I158" i="18"/>
  <c r="H158" i="20" s="1"/>
  <c r="J158" i="18"/>
  <c r="J336" i="18"/>
  <c r="I336" i="18"/>
  <c r="H336" i="20" s="1"/>
  <c r="I23" i="18"/>
  <c r="H23" i="20" s="1"/>
  <c r="J23" i="18"/>
  <c r="I245" i="18"/>
  <c r="H245" i="20" s="1"/>
  <c r="I245" i="20" s="1"/>
  <c r="H245" i="22" s="1"/>
  <c r="J245" i="18"/>
  <c r="J325" i="18"/>
  <c r="I325" i="18"/>
  <c r="H325" i="20" s="1"/>
  <c r="I325" i="20" s="1"/>
  <c r="H325" i="22" s="1"/>
  <c r="J374" i="18"/>
  <c r="I374" i="18"/>
  <c r="H374" i="20" s="1"/>
  <c r="I374" i="20" s="1"/>
  <c r="H374" i="22" s="1"/>
  <c r="I25" i="18"/>
  <c r="H25" i="20" s="1"/>
  <c r="J25" i="18"/>
  <c r="J66" i="18"/>
  <c r="I66" i="18"/>
  <c r="H66" i="20" s="1"/>
  <c r="J113" i="18"/>
  <c r="I113" i="18"/>
  <c r="H113" i="20" s="1"/>
  <c r="I337" i="18"/>
  <c r="H337" i="20" s="1"/>
  <c r="J337" i="18"/>
  <c r="J98" i="18"/>
  <c r="I98" i="18"/>
  <c r="H98" i="20" s="1"/>
  <c r="J92" i="18"/>
  <c r="I92" i="18"/>
  <c r="H92" i="20" s="1"/>
  <c r="J219" i="18"/>
  <c r="I219" i="18"/>
  <c r="H219" i="20" s="1"/>
  <c r="I260" i="18"/>
  <c r="H260" i="20" s="1"/>
  <c r="J260" i="18"/>
  <c r="J58" i="18"/>
  <c r="I58" i="18"/>
  <c r="H58" i="20" s="1"/>
  <c r="I306" i="18"/>
  <c r="H306" i="20" s="1"/>
  <c r="J306" i="18"/>
  <c r="I105" i="18"/>
  <c r="H105" i="20" s="1"/>
  <c r="J105" i="18"/>
  <c r="I88" i="18"/>
  <c r="H88" i="20" s="1"/>
  <c r="J88" i="18"/>
  <c r="I338" i="18"/>
  <c r="H338" i="20" s="1"/>
  <c r="J338" i="18"/>
  <c r="J333" i="18"/>
  <c r="I333" i="18"/>
  <c r="H333" i="20" s="1"/>
  <c r="I333" i="20" s="1"/>
  <c r="H333" i="22" s="1"/>
  <c r="I305" i="18"/>
  <c r="H305" i="20" s="1"/>
  <c r="J305" i="18"/>
  <c r="I154" i="18"/>
  <c r="H154" i="20" s="1"/>
  <c r="J154" i="18"/>
  <c r="J341" i="18"/>
  <c r="I341" i="18"/>
  <c r="H341" i="20" s="1"/>
  <c r="J122" i="18"/>
  <c r="I122" i="18"/>
  <c r="H122" i="20" s="1"/>
  <c r="J283" i="18"/>
  <c r="I283" i="18"/>
  <c r="H283" i="20" s="1"/>
  <c r="J209" i="18"/>
  <c r="I209" i="18"/>
  <c r="H209" i="20" s="1"/>
  <c r="I183" i="18"/>
  <c r="H183" i="20" s="1"/>
  <c r="J183" i="18"/>
  <c r="I20" i="18"/>
  <c r="H20" i="20" s="1"/>
  <c r="J20" i="18"/>
  <c r="J115" i="18"/>
  <c r="I115" i="18"/>
  <c r="H115" i="20" s="1"/>
  <c r="I115" i="20" s="1"/>
  <c r="H115" i="22" s="1"/>
  <c r="I175" i="18"/>
  <c r="H175" i="20" s="1"/>
  <c r="J175" i="18"/>
  <c r="I349" i="18"/>
  <c r="H349" i="20" s="1"/>
  <c r="J349" i="18"/>
  <c r="J340" i="18"/>
  <c r="I340" i="18"/>
  <c r="H340" i="20" s="1"/>
  <c r="J188" i="18"/>
  <c r="I188" i="18"/>
  <c r="BA188" i="6" s="1"/>
  <c r="D188" i="6" s="1"/>
  <c r="J21" i="18"/>
  <c r="I21" i="18"/>
  <c r="H21" i="20" s="1"/>
  <c r="I21" i="20" s="1"/>
  <c r="H21" i="22" s="1"/>
  <c r="J49" i="18"/>
  <c r="I49" i="18"/>
  <c r="H49" i="20" s="1"/>
  <c r="BA78" i="6"/>
  <c r="D78" i="6" s="1"/>
  <c r="BA140" i="6"/>
  <c r="D140" i="6" s="1"/>
  <c r="BA37" i="6"/>
  <c r="D37" i="6" s="1"/>
  <c r="BA346" i="6"/>
  <c r="D346" i="6" s="1"/>
  <c r="BA36" i="6"/>
  <c r="D36" i="6" s="1"/>
  <c r="BA27" i="6"/>
  <c r="D27" i="6" s="1"/>
  <c r="BA213" i="6"/>
  <c r="D213" i="6" s="1"/>
  <c r="BA317" i="6"/>
  <c r="D317" i="6" s="1"/>
  <c r="BA362" i="6"/>
  <c r="D362" i="6" s="1"/>
  <c r="BA355" i="6"/>
  <c r="D355" i="6" s="1"/>
  <c r="BA225" i="6"/>
  <c r="D225" i="6" s="1"/>
  <c r="BA303" i="6"/>
  <c r="D303" i="6" s="1"/>
  <c r="BA123" i="6"/>
  <c r="D123" i="6" s="1"/>
  <c r="BA45" i="6"/>
  <c r="D45" i="6" s="1"/>
  <c r="BA127" i="6"/>
  <c r="D127" i="6" s="1"/>
  <c r="BA201" i="6"/>
  <c r="D201" i="6" s="1"/>
  <c r="BA75" i="6"/>
  <c r="D75" i="6" s="1"/>
  <c r="BA133" i="6"/>
  <c r="D133" i="6" s="1"/>
  <c r="BA339" i="6"/>
  <c r="D339" i="6" s="1"/>
  <c r="BA196" i="6"/>
  <c r="D196" i="6" s="1"/>
  <c r="BA310" i="6"/>
  <c r="D310" i="6" s="1"/>
  <c r="BA102" i="6"/>
  <c r="D102" i="6" s="1"/>
  <c r="BA182" i="6"/>
  <c r="D182" i="6" s="1"/>
  <c r="BA48" i="6"/>
  <c r="D48" i="6" s="1"/>
  <c r="BA357" i="6"/>
  <c r="D357" i="6" s="1"/>
  <c r="BA244" i="6"/>
  <c r="D244" i="6" s="1"/>
  <c r="BA248" i="6"/>
  <c r="D248" i="6" s="1"/>
  <c r="BA330" i="6"/>
  <c r="D330" i="6" s="1"/>
  <c r="BA256" i="6"/>
  <c r="D256" i="6" s="1"/>
  <c r="BA104" i="6"/>
  <c r="D104" i="6" s="1"/>
  <c r="BA376" i="6"/>
  <c r="D376" i="6" s="1"/>
  <c r="BA226" i="6"/>
  <c r="D226" i="6" s="1"/>
  <c r="BA115" i="6"/>
  <c r="D115" i="6" s="1"/>
  <c r="BA49" i="6"/>
  <c r="D49" i="6" s="1"/>
  <c r="BA254" i="6"/>
  <c r="D254" i="6" s="1"/>
  <c r="BA249" i="6"/>
  <c r="D249" i="6" s="1"/>
  <c r="BA340" i="6"/>
  <c r="D340" i="6" s="1"/>
  <c r="BA325" i="6"/>
  <c r="D325" i="6" s="1"/>
  <c r="BA21" i="6"/>
  <c r="D21" i="6" s="1"/>
  <c r="BA219" i="6"/>
  <c r="D219" i="6" s="1"/>
  <c r="BA261" i="6"/>
  <c r="D261" i="6" s="1"/>
  <c r="BA46" i="6"/>
  <c r="D46" i="6" s="1"/>
  <c r="BA333" i="6"/>
  <c r="D333" i="6" s="1"/>
  <c r="BA29" i="6"/>
  <c r="D29" i="6" s="1"/>
  <c r="BA98" i="6"/>
  <c r="D98" i="6" s="1"/>
  <c r="BA126" i="6"/>
  <c r="D126" i="6" s="1"/>
  <c r="BA58" i="6"/>
  <c r="D58" i="6" s="1"/>
  <c r="BA165" i="6"/>
  <c r="D165" i="6" s="1"/>
  <c r="BA318" i="6"/>
  <c r="D318" i="6" s="1"/>
  <c r="BA156" i="6"/>
  <c r="D156" i="6" s="1"/>
  <c r="BA220" i="6"/>
  <c r="D220" i="6" s="1"/>
  <c r="BA272" i="6"/>
  <c r="D272" i="6" s="1"/>
  <c r="BA374" i="6"/>
  <c r="D374" i="6" s="1"/>
  <c r="G351" i="22"/>
  <c r="CC351" i="6" s="1"/>
  <c r="BA110" i="6"/>
  <c r="D110" i="6" s="1"/>
  <c r="BA186" i="6"/>
  <c r="D186" i="6" s="1"/>
  <c r="BA307" i="6"/>
  <c r="D307" i="6" s="1"/>
  <c r="BA372" i="6"/>
  <c r="D372" i="6" s="1"/>
  <c r="BA56" i="6"/>
  <c r="D56" i="6" s="1"/>
  <c r="BA246" i="6"/>
  <c r="D246" i="6" s="1"/>
  <c r="BA277" i="6"/>
  <c r="D277" i="6" s="1"/>
  <c r="BA315" i="6"/>
  <c r="D315" i="6" s="1"/>
  <c r="BA114" i="6"/>
  <c r="D114" i="6" s="1"/>
  <c r="BA232" i="6"/>
  <c r="D232" i="6" s="1"/>
  <c r="BA223" i="6"/>
  <c r="D223" i="6" s="1"/>
  <c r="BA128" i="6"/>
  <c r="D128" i="6" s="1"/>
  <c r="BA71" i="6"/>
  <c r="D71" i="6" s="1"/>
  <c r="BA163" i="6"/>
  <c r="D163" i="6" s="1"/>
  <c r="BA288" i="6"/>
  <c r="D288" i="6" s="1"/>
  <c r="BA89" i="6"/>
  <c r="D89" i="6" s="1"/>
  <c r="BA267" i="6"/>
  <c r="D267" i="6" s="1"/>
  <c r="BA181" i="6"/>
  <c r="D181" i="6" s="1"/>
  <c r="BA266" i="6"/>
  <c r="D266" i="6" s="1"/>
  <c r="BA99" i="6"/>
  <c r="D99" i="6" s="1"/>
  <c r="BA112" i="6"/>
  <c r="D112" i="6" s="1"/>
  <c r="BA61" i="6"/>
  <c r="D61" i="6" s="1"/>
  <c r="BA42" i="6"/>
  <c r="D42" i="6" s="1"/>
  <c r="BA275" i="6"/>
  <c r="D275" i="6" s="1"/>
  <c r="BA81" i="6"/>
  <c r="D81" i="6" s="1"/>
  <c r="BA364" i="6"/>
  <c r="D364" i="6" s="1"/>
  <c r="BA245" i="6"/>
  <c r="D245" i="6" s="1"/>
  <c r="BA25" i="6"/>
  <c r="D25" i="6" s="1"/>
  <c r="BA72" i="6"/>
  <c r="D72" i="6" s="1"/>
  <c r="BA161" i="6"/>
  <c r="D161" i="6" s="1"/>
  <c r="BA214" i="6"/>
  <c r="D214" i="6" s="1"/>
  <c r="BA84" i="6"/>
  <c r="D84" i="6" s="1"/>
  <c r="BA51" i="6"/>
  <c r="D51" i="6" s="1"/>
  <c r="BA239" i="6"/>
  <c r="D239" i="6" s="1"/>
  <c r="BA332" i="6"/>
  <c r="D332" i="6" s="1"/>
  <c r="BA73" i="6"/>
  <c r="D73" i="6" s="1"/>
  <c r="BA287" i="6"/>
  <c r="D287" i="6" s="1"/>
  <c r="BA321" i="6"/>
  <c r="D321" i="6" s="1"/>
  <c r="BA215" i="6"/>
  <c r="D215" i="6" s="1"/>
  <c r="BA263" i="6"/>
  <c r="D263" i="6" s="1"/>
  <c r="BA347" i="6"/>
  <c r="D347" i="6" s="1"/>
  <c r="BA289" i="6"/>
  <c r="D289" i="6" s="1"/>
  <c r="BA160" i="6"/>
  <c r="D160" i="6" s="1"/>
  <c r="BA334" i="6"/>
  <c r="D334" i="6" s="1"/>
  <c r="BA20" i="6"/>
  <c r="D20" i="6" s="1"/>
  <c r="BA349" i="6"/>
  <c r="D349" i="6" s="1"/>
  <c r="BA328" i="6"/>
  <c r="D328" i="6" s="1"/>
  <c r="BA290" i="6"/>
  <c r="D290" i="6" s="1"/>
  <c r="B167" i="24"/>
  <c r="D167" i="24" s="1"/>
  <c r="E167" i="24" s="1"/>
  <c r="F167" i="24" s="1"/>
  <c r="W167" i="23"/>
  <c r="AA152" i="22"/>
  <c r="Z152" i="22" s="1"/>
  <c r="Y152" i="22" s="1"/>
  <c r="G152" i="22"/>
  <c r="CC152" i="6" s="1"/>
  <c r="J86" i="18"/>
  <c r="I86" i="18"/>
  <c r="H86" i="20" s="1"/>
  <c r="I86" i="20" s="1"/>
  <c r="H86" i="22" s="1"/>
  <c r="J150" i="18"/>
  <c r="I150" i="18"/>
  <c r="H150" i="20" s="1"/>
  <c r="J377" i="18"/>
  <c r="I377" i="18"/>
  <c r="H377" i="20" s="1"/>
  <c r="I131" i="18"/>
  <c r="H131" i="20" s="1"/>
  <c r="J131" i="18"/>
  <c r="J282" i="18"/>
  <c r="I282" i="18"/>
  <c r="H282" i="20" s="1"/>
  <c r="J185" i="18"/>
  <c r="I185" i="18"/>
  <c r="H185" i="20" s="1"/>
  <c r="I185" i="20" s="1"/>
  <c r="H185" i="22" s="1"/>
  <c r="I326" i="18"/>
  <c r="H326" i="20" s="1"/>
  <c r="J326" i="18"/>
  <c r="I65" i="18"/>
  <c r="BA65" i="6" s="1"/>
  <c r="D65" i="6" s="1"/>
  <c r="J65" i="18"/>
  <c r="I148" i="18"/>
  <c r="BA148" i="6" s="1"/>
  <c r="D148" i="6" s="1"/>
  <c r="J148" i="18"/>
  <c r="J57" i="18"/>
  <c r="I57" i="18"/>
  <c r="H57" i="20" s="1"/>
  <c r="I365" i="18"/>
  <c r="BA365" i="6" s="1"/>
  <c r="D365" i="6" s="1"/>
  <c r="J365" i="18"/>
  <c r="I108" i="18"/>
  <c r="H108" i="20" s="1"/>
  <c r="J108" i="18"/>
  <c r="I120" i="18"/>
  <c r="H120" i="20" s="1"/>
  <c r="J120" i="18"/>
  <c r="I354" i="18"/>
  <c r="H354" i="20" s="1"/>
  <c r="J354" i="18"/>
  <c r="J222" i="18"/>
  <c r="I222" i="18"/>
  <c r="H222" i="20" s="1"/>
  <c r="I184" i="18"/>
  <c r="BA184" i="6" s="1"/>
  <c r="D184" i="6" s="1"/>
  <c r="J184" i="18"/>
  <c r="I35" i="18"/>
  <c r="H35" i="20" s="1"/>
  <c r="J35" i="18"/>
  <c r="J189" i="18"/>
  <c r="I189" i="18"/>
  <c r="H189" i="20" s="1"/>
  <c r="J143" i="18"/>
  <c r="I143" i="18"/>
  <c r="H143" i="20" s="1"/>
  <c r="J69" i="18"/>
  <c r="I69" i="18"/>
  <c r="H69" i="20" s="1"/>
  <c r="J369" i="18"/>
  <c r="I369" i="18"/>
  <c r="H369" i="20" s="1"/>
  <c r="I369" i="20" s="1"/>
  <c r="H369" i="22" s="1"/>
  <c r="I70" i="18"/>
  <c r="H70" i="20" s="1"/>
  <c r="J70" i="18"/>
  <c r="I77" i="18"/>
  <c r="BA77" i="6" s="1"/>
  <c r="D77" i="6" s="1"/>
  <c r="J77" i="18"/>
  <c r="J176" i="18"/>
  <c r="I176" i="18"/>
  <c r="H176" i="20" s="1"/>
  <c r="I233" i="18"/>
  <c r="BA233" i="6" s="1"/>
  <c r="D233" i="6" s="1"/>
  <c r="J233" i="18"/>
  <c r="I38" i="18"/>
  <c r="H38" i="20" s="1"/>
  <c r="J38" i="18"/>
  <c r="I351" i="18"/>
  <c r="H351" i="20" s="1"/>
  <c r="J351" i="18"/>
  <c r="J60" i="18"/>
  <c r="I60" i="18"/>
  <c r="H60" i="20" s="1"/>
  <c r="I60" i="20" s="1"/>
  <c r="H60" i="22" s="1"/>
  <c r="J194" i="18"/>
  <c r="I194" i="18"/>
  <c r="H194" i="20" s="1"/>
  <c r="I194" i="20" s="1"/>
  <c r="H194" i="22" s="1"/>
  <c r="I125" i="18"/>
  <c r="BA125" i="6" s="1"/>
  <c r="D125" i="6" s="1"/>
  <c r="J125" i="18"/>
  <c r="I273" i="18"/>
  <c r="BA273" i="6" s="1"/>
  <c r="D273" i="6" s="1"/>
  <c r="J273" i="18"/>
  <c r="J361" i="18"/>
  <c r="I361" i="18"/>
  <c r="H361" i="20" s="1"/>
  <c r="I361" i="20" s="1"/>
  <c r="H361" i="22" s="1"/>
  <c r="I34" i="18"/>
  <c r="BA34" i="6" s="1"/>
  <c r="D34" i="6" s="1"/>
  <c r="J34" i="18"/>
  <c r="J359" i="18"/>
  <c r="I359" i="18"/>
  <c r="H359" i="20" s="1"/>
  <c r="J358" i="18"/>
  <c r="I358" i="18"/>
  <c r="H358" i="20" s="1"/>
  <c r="I134" i="18"/>
  <c r="H134" i="20" s="1"/>
  <c r="J134" i="18"/>
  <c r="J174" i="18"/>
  <c r="I174" i="18"/>
  <c r="H174" i="20" s="1"/>
  <c r="I116" i="18"/>
  <c r="H116" i="20" s="1"/>
  <c r="J116" i="18"/>
  <c r="J83" i="18"/>
  <c r="I83" i="18"/>
  <c r="H83" i="20" s="1"/>
  <c r="I352" i="18"/>
  <c r="BA352" i="6" s="1"/>
  <c r="D352" i="6" s="1"/>
  <c r="J352" i="18"/>
  <c r="J258" i="18"/>
  <c r="I258" i="18"/>
  <c r="H258" i="20" s="1"/>
  <c r="J314" i="18"/>
  <c r="I314" i="18"/>
  <c r="H314" i="20" s="1"/>
  <c r="J207" i="18"/>
  <c r="I207" i="18"/>
  <c r="H207" i="20" s="1"/>
  <c r="I210" i="18"/>
  <c r="BA210" i="6" s="1"/>
  <c r="D210" i="6" s="1"/>
  <c r="I243" i="18"/>
  <c r="H243" i="20" s="1"/>
  <c r="I237" i="18"/>
  <c r="H237" i="20" s="1"/>
  <c r="J300" i="18"/>
  <c r="J344" i="18"/>
  <c r="J155" i="18"/>
  <c r="I59" i="18"/>
  <c r="H59" i="20" s="1"/>
  <c r="J259" i="18"/>
  <c r="J348" i="18"/>
  <c r="I363" i="18"/>
  <c r="H363" i="20" s="1"/>
  <c r="J332" i="18"/>
  <c r="J85" i="18"/>
  <c r="I373" i="18"/>
  <c r="BA373" i="6" s="1"/>
  <c r="D373" i="6" s="1"/>
  <c r="J96" i="18"/>
  <c r="I145" i="18"/>
  <c r="BA145" i="6" s="1"/>
  <c r="D145" i="6" s="1"/>
  <c r="J157" i="18"/>
  <c r="I198" i="18"/>
  <c r="BA198" i="6" s="1"/>
  <c r="D198" i="6" s="1"/>
  <c r="I139" i="18"/>
  <c r="BA139" i="6" s="1"/>
  <c r="D139" i="6" s="1"/>
  <c r="J187" i="18"/>
  <c r="I274" i="18"/>
  <c r="BA274" i="6" s="1"/>
  <c r="D274" i="6" s="1"/>
  <c r="I227" i="18"/>
  <c r="H227" i="20" s="1"/>
  <c r="I224" i="18"/>
  <c r="H224" i="20" s="1"/>
  <c r="J168" i="18"/>
  <c r="I353" i="18"/>
  <c r="H353" i="20" s="1"/>
  <c r="J50" i="18"/>
  <c r="J68" i="18"/>
  <c r="J255" i="18"/>
  <c r="J95" i="18"/>
  <c r="J229" i="18"/>
  <c r="I286" i="18"/>
  <c r="H286" i="20" s="1"/>
  <c r="I200" i="18"/>
  <c r="H200" i="20" s="1"/>
  <c r="J82" i="18"/>
  <c r="J117" i="18"/>
  <c r="J41" i="18"/>
  <c r="I172" i="18"/>
  <c r="H172" i="20" s="1"/>
  <c r="J257" i="18"/>
  <c r="I146" i="18"/>
  <c r="H146" i="20" s="1"/>
  <c r="J147" i="18"/>
  <c r="I276" i="18"/>
  <c r="H276" i="20" s="1"/>
  <c r="J118" i="18"/>
  <c r="J302" i="18"/>
  <c r="J368" i="18"/>
  <c r="J270" i="18"/>
  <c r="I236" i="18"/>
  <c r="BA236" i="6" s="1"/>
  <c r="D236" i="6" s="1"/>
  <c r="I356" i="18"/>
  <c r="BA356" i="6" s="1"/>
  <c r="D356" i="6" s="1"/>
  <c r="I24" i="18"/>
  <c r="BA24" i="6" s="1"/>
  <c r="D24" i="6" s="1"/>
  <c r="I350" i="18"/>
  <c r="BA350" i="6" s="1"/>
  <c r="D350" i="6" s="1"/>
  <c r="J191" i="18"/>
  <c r="J250" i="18"/>
  <c r="J371" i="18"/>
  <c r="I31" i="18"/>
  <c r="BA31" i="6" s="1"/>
  <c r="D31" i="6" s="1"/>
  <c r="I22" i="18"/>
  <c r="BA22" i="6" s="1"/>
  <c r="D22" i="6" s="1"/>
  <c r="J119" i="18"/>
  <c r="I62" i="18"/>
  <c r="BA62" i="6" s="1"/>
  <c r="D62" i="6" s="1"/>
  <c r="I309" i="18"/>
  <c r="BA309" i="6" s="1"/>
  <c r="D309" i="6" s="1"/>
  <c r="I311" i="18"/>
  <c r="BA311" i="6" s="1"/>
  <c r="D311" i="6" s="1"/>
  <c r="I378" i="18"/>
  <c r="BA378" i="6" s="1"/>
  <c r="D378" i="6" s="1"/>
  <c r="I137" i="18"/>
  <c r="BA137" i="6" s="1"/>
  <c r="D137" i="6" s="1"/>
  <c r="J169" i="18"/>
  <c r="J218" i="18"/>
  <c r="I144" i="18"/>
  <c r="BA144" i="6" s="1"/>
  <c r="D144" i="6" s="1"/>
  <c r="J275" i="18"/>
  <c r="I268" i="18"/>
  <c r="J289" i="18"/>
  <c r="J132" i="18"/>
  <c r="J163" i="18"/>
  <c r="I298" i="18"/>
  <c r="H298" i="20" s="1"/>
  <c r="I262" i="18"/>
  <c r="H262" i="20" s="1"/>
  <c r="J281" i="18"/>
  <c r="J247" i="18"/>
  <c r="I231" i="18"/>
  <c r="H231" i="20" s="1"/>
  <c r="I33" i="18"/>
  <c r="H33" i="20" s="1"/>
  <c r="J129" i="18"/>
  <c r="J114" i="18"/>
  <c r="I74" i="18"/>
  <c r="H74" i="20" s="1"/>
  <c r="I74" i="20" s="1"/>
  <c r="H74" i="22" s="1"/>
  <c r="J335" i="18"/>
  <c r="J208" i="18"/>
  <c r="J334" i="18"/>
  <c r="J221" i="18"/>
  <c r="BA85" i="6"/>
  <c r="D85" i="6" s="1"/>
  <c r="BA96" i="6"/>
  <c r="D96" i="6" s="1"/>
  <c r="BA295" i="6"/>
  <c r="D295" i="6" s="1"/>
  <c r="BA157" i="6"/>
  <c r="D157" i="6" s="1"/>
  <c r="BA90" i="6"/>
  <c r="D90" i="6" s="1"/>
  <c r="BA279" i="6"/>
  <c r="D279" i="6" s="1"/>
  <c r="BA53" i="6"/>
  <c r="D53" i="6" s="1"/>
  <c r="BA187" i="6"/>
  <c r="D187" i="6" s="1"/>
  <c r="BA135" i="6"/>
  <c r="D135" i="6" s="1"/>
  <c r="BA206" i="6"/>
  <c r="D206" i="6" s="1"/>
  <c r="BA44" i="6"/>
  <c r="D44" i="6" s="1"/>
  <c r="BA345" i="6"/>
  <c r="D345" i="6" s="1"/>
  <c r="BA191" i="6"/>
  <c r="D191" i="6" s="1"/>
  <c r="BA250" i="6"/>
  <c r="D250" i="6" s="1"/>
  <c r="BA371" i="6"/>
  <c r="D371" i="6" s="1"/>
  <c r="BA291" i="6"/>
  <c r="D291" i="6" s="1"/>
  <c r="BA88" i="6"/>
  <c r="D88" i="6" s="1"/>
  <c r="BA67" i="6"/>
  <c r="D67" i="6" s="1"/>
  <c r="BA119" i="6"/>
  <c r="D119" i="6" s="1"/>
  <c r="BA162" i="6"/>
  <c r="D162" i="6" s="1"/>
  <c r="BA121" i="6"/>
  <c r="D121" i="6" s="1"/>
  <c r="BA203" i="6"/>
  <c r="D203" i="6" s="1"/>
  <c r="BA169" i="6"/>
  <c r="D169" i="6" s="1"/>
  <c r="BA218" i="6"/>
  <c r="D218" i="6" s="1"/>
  <c r="BA86" i="6"/>
  <c r="D86" i="6" s="1"/>
  <c r="BA282" i="6"/>
  <c r="D282" i="6" s="1"/>
  <c r="BA176" i="6"/>
  <c r="D176" i="6" s="1"/>
  <c r="BA173" i="6"/>
  <c r="D173" i="6" s="1"/>
  <c r="BA194" i="6"/>
  <c r="D194" i="6" s="1"/>
  <c r="BA171" i="6"/>
  <c r="D171" i="6" s="1"/>
  <c r="BA60" i="6"/>
  <c r="D60" i="6" s="1"/>
  <c r="BA159" i="6"/>
  <c r="D159" i="6" s="1"/>
  <c r="BA150" i="6"/>
  <c r="D150" i="6" s="1"/>
  <c r="BA268" i="6"/>
  <c r="D268" i="6" s="1"/>
  <c r="BA361" i="6"/>
  <c r="D361" i="6" s="1"/>
  <c r="BA283" i="6"/>
  <c r="D283" i="6" s="1"/>
  <c r="BA322" i="6"/>
  <c r="D322" i="6" s="1"/>
  <c r="BA143" i="6"/>
  <c r="D143" i="6" s="1"/>
  <c r="BA124" i="6"/>
  <c r="D124" i="6" s="1"/>
  <c r="BA369" i="6"/>
  <c r="D369" i="6" s="1"/>
  <c r="BA185" i="6"/>
  <c r="D185" i="6" s="1"/>
  <c r="BA74" i="6"/>
  <c r="D74" i="6" s="1"/>
  <c r="BA314" i="6"/>
  <c r="D314" i="6" s="1"/>
  <c r="BA109" i="6"/>
  <c r="D109" i="6" s="1"/>
  <c r="N58" i="19"/>
  <c r="N59" i="19"/>
  <c r="N57" i="19"/>
  <c r="B152" i="24"/>
  <c r="W152" i="24" s="1"/>
  <c r="B211" i="24"/>
  <c r="W211" i="24" s="1"/>
  <c r="B108" i="24"/>
  <c r="W108" i="24" s="1"/>
  <c r="B59" i="24"/>
  <c r="B59" i="25" s="1"/>
  <c r="D108" i="23"/>
  <c r="E108" i="23" s="1"/>
  <c r="F108" i="23" s="1"/>
  <c r="G108" i="23" s="1"/>
  <c r="CD108" i="6" s="1"/>
  <c r="G335" i="22"/>
  <c r="CC335" i="6" s="1"/>
  <c r="W59" i="23"/>
  <c r="AA183" i="22"/>
  <c r="Z183" i="22" s="1"/>
  <c r="Y183" i="22" s="1"/>
  <c r="B331" i="24"/>
  <c r="W331" i="24" s="1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G152" i="23" s="1"/>
  <c r="CD152" i="6" s="1"/>
  <c r="B50" i="24"/>
  <c r="D50" i="24" s="1"/>
  <c r="E50" i="24" s="1"/>
  <c r="F50" i="24" s="1"/>
  <c r="B306" i="24"/>
  <c r="W306" i="24" s="1"/>
  <c r="AA28" i="22"/>
  <c r="Z28" i="22" s="1"/>
  <c r="Y28" i="22" s="1"/>
  <c r="D205" i="23"/>
  <c r="E205" i="23" s="1"/>
  <c r="F205" i="23" s="1"/>
  <c r="AA205" i="23" s="1"/>
  <c r="Z205" i="23" s="1"/>
  <c r="Y205" i="23" s="1"/>
  <c r="B323" i="24"/>
  <c r="W323" i="24" s="1"/>
  <c r="D259" i="23"/>
  <c r="E259" i="23" s="1"/>
  <c r="F259" i="23" s="1"/>
  <c r="AA259" i="23" s="1"/>
  <c r="Z259" i="23" s="1"/>
  <c r="Y259" i="23" s="1"/>
  <c r="AA363" i="22"/>
  <c r="Z363" i="22" s="1"/>
  <c r="Y363" i="22" s="1"/>
  <c r="B212" i="24"/>
  <c r="W212" i="24" s="1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AA231" i="23" s="1"/>
  <c r="Z231" i="23" s="1"/>
  <c r="Y231" i="23" s="1"/>
  <c r="AA30" i="22"/>
  <c r="Z30" i="22" s="1"/>
  <c r="Y30" i="22" s="1"/>
  <c r="B28" i="24"/>
  <c r="W28" i="24" s="1"/>
  <c r="B205" i="24"/>
  <c r="W205" i="24" s="1"/>
  <c r="W28" i="23"/>
  <c r="B54" i="24"/>
  <c r="W54" i="24" s="1"/>
  <c r="B23" i="24"/>
  <c r="D23" i="24" s="1"/>
  <c r="E23" i="24" s="1"/>
  <c r="F23" i="24" s="1"/>
  <c r="B70" i="24"/>
  <c r="W70" i="24" s="1"/>
  <c r="W231" i="23"/>
  <c r="D192" i="23"/>
  <c r="E192" i="23" s="1"/>
  <c r="F192" i="23" s="1"/>
  <c r="AA192" i="23" s="1"/>
  <c r="Z192" i="23" s="1"/>
  <c r="Y192" i="23" s="1"/>
  <c r="W170" i="23"/>
  <c r="B329" i="24"/>
  <c r="W329" i="24" s="1"/>
  <c r="W131" i="23"/>
  <c r="D306" i="23"/>
  <c r="E306" i="23" s="1"/>
  <c r="F306" i="23" s="1"/>
  <c r="G306" i="23" s="1"/>
  <c r="CD306" i="6" s="1"/>
  <c r="B30" i="24"/>
  <c r="D30" i="24" s="1"/>
  <c r="E30" i="24" s="1"/>
  <c r="F30" i="24" s="1"/>
  <c r="G79" i="22"/>
  <c r="CC79" i="6" s="1"/>
  <c r="G38" i="22"/>
  <c r="CC38" i="6" s="1"/>
  <c r="W312" i="23"/>
  <c r="B129" i="24"/>
  <c r="W129" i="24" s="1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G170" i="23" s="1"/>
  <c r="CD170" i="6" s="1"/>
  <c r="AA197" i="22"/>
  <c r="Z197" i="22" s="1"/>
  <c r="Y197" i="22" s="1"/>
  <c r="B95" i="24"/>
  <c r="D95" i="24" s="1"/>
  <c r="E95" i="24" s="1"/>
  <c r="F95" i="24" s="1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B269" i="24"/>
  <c r="W269" i="24" s="1"/>
  <c r="D300" i="23"/>
  <c r="E300" i="23" s="1"/>
  <c r="F300" i="23" s="1"/>
  <c r="G300" i="23" s="1"/>
  <c r="CD300" i="6" s="1"/>
  <c r="D167" i="23"/>
  <c r="E167" i="23" s="1"/>
  <c r="F167" i="23" s="1"/>
  <c r="G167" i="23" s="1"/>
  <c r="CD167" i="6" s="1"/>
  <c r="G212" i="22"/>
  <c r="CC212" i="6" s="1"/>
  <c r="B19" i="24"/>
  <c r="W19" i="24" s="1"/>
  <c r="W35" i="23"/>
  <c r="AA331" i="22"/>
  <c r="Z331" i="22" s="1"/>
  <c r="Y331" i="22" s="1"/>
  <c r="W353" i="23"/>
  <c r="W193" i="23"/>
  <c r="B335" i="24"/>
  <c r="W335" i="24" s="1"/>
  <c r="W377" i="23"/>
  <c r="W363" i="23"/>
  <c r="G297" i="22"/>
  <c r="CC297" i="6" s="1"/>
  <c r="W94" i="23"/>
  <c r="D294" i="23"/>
  <c r="E294" i="23" s="1"/>
  <c r="F294" i="23" s="1"/>
  <c r="G294" i="23" s="1"/>
  <c r="CD294" i="6" s="1"/>
  <c r="B359" i="24"/>
  <c r="D359" i="24" s="1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B237" i="24"/>
  <c r="W237" i="24" s="1"/>
  <c r="B353" i="24"/>
  <c r="D353" i="24" s="1"/>
  <c r="E353" i="24" s="1"/>
  <c r="F353" i="24" s="1"/>
  <c r="W335" i="23"/>
  <c r="B377" i="24"/>
  <c r="D377" i="24" s="1"/>
  <c r="E377" i="24" s="1"/>
  <c r="F377" i="24" s="1"/>
  <c r="B348" i="24"/>
  <c r="W348" i="24" s="1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B136" i="24"/>
  <c r="W136" i="24" s="1"/>
  <c r="W197" i="23"/>
  <c r="W237" i="23"/>
  <c r="D54" i="23"/>
  <c r="E54" i="23" s="1"/>
  <c r="F54" i="23" s="1"/>
  <c r="AA54" i="23" s="1"/>
  <c r="Z54" i="23" s="1"/>
  <c r="Y54" i="23" s="1"/>
  <c r="W30" i="23"/>
  <c r="B327" i="24"/>
  <c r="W327" i="24" s="1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B300" i="24"/>
  <c r="D300" i="24" s="1"/>
  <c r="E300" i="24" s="1"/>
  <c r="F300" i="24" s="1"/>
  <c r="B179" i="24"/>
  <c r="W179" i="24" s="1"/>
  <c r="W348" i="23"/>
  <c r="W19" i="23"/>
  <c r="D337" i="23"/>
  <c r="E337" i="23" s="1"/>
  <c r="F337" i="23" s="1"/>
  <c r="AA337" i="23" s="1"/>
  <c r="Z337" i="23" s="1"/>
  <c r="Y337" i="23" s="1"/>
  <c r="B301" i="24"/>
  <c r="D301" i="24" s="1"/>
  <c r="E301" i="24" s="1"/>
  <c r="F301" i="24" s="1"/>
  <c r="D358" i="23"/>
  <c r="E358" i="23" s="1"/>
  <c r="F358" i="23" s="1"/>
  <c r="AA358" i="23" s="1"/>
  <c r="Z358" i="23" s="1"/>
  <c r="Y358" i="23" s="1"/>
  <c r="B270" i="24"/>
  <c r="W270" i="24" s="1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B316" i="24"/>
  <c r="W316" i="24" s="1"/>
  <c r="D301" i="23"/>
  <c r="E301" i="23" s="1"/>
  <c r="F301" i="23" s="1"/>
  <c r="AA301" i="23" s="1"/>
  <c r="Z301" i="23" s="1"/>
  <c r="Y301" i="23" s="1"/>
  <c r="B358" i="24"/>
  <c r="W358" i="24" s="1"/>
  <c r="W136" i="23"/>
  <c r="B43" i="24"/>
  <c r="W43" i="24" s="1"/>
  <c r="AA224" i="22"/>
  <c r="Z224" i="22" s="1"/>
  <c r="Y224" i="22" s="1"/>
  <c r="B164" i="24"/>
  <c r="W164" i="24" s="1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B192" i="24"/>
  <c r="W192" i="24" s="1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B294" i="24"/>
  <c r="W294" i="24" s="1"/>
  <c r="B155" i="24"/>
  <c r="W155" i="24" s="1"/>
  <c r="D43" i="23"/>
  <c r="E43" i="23" s="1"/>
  <c r="F43" i="23" s="1"/>
  <c r="G43" i="23" s="1"/>
  <c r="CD43" i="6" s="1"/>
  <c r="B297" i="24"/>
  <c r="D297" i="24" s="1"/>
  <c r="E297" i="24" s="1"/>
  <c r="F297" i="24" s="1"/>
  <c r="D116" i="23"/>
  <c r="E116" i="23" s="1"/>
  <c r="F116" i="23" s="1"/>
  <c r="G116" i="23" s="1"/>
  <c r="CD116" i="6" s="1"/>
  <c r="W168" i="23"/>
  <c r="AA164" i="22"/>
  <c r="Z164" i="22" s="1"/>
  <c r="Y164" i="22" s="1"/>
  <c r="D155" i="23"/>
  <c r="E155" i="23" s="1"/>
  <c r="F155" i="23" s="1"/>
  <c r="G155" i="23" s="1"/>
  <c r="CD155" i="6" s="1"/>
  <c r="B116" i="24"/>
  <c r="D116" i="24" s="1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B338" i="24"/>
  <c r="D338" i="24" s="1"/>
  <c r="E338" i="24" s="1"/>
  <c r="F338" i="24" s="1"/>
  <c r="B284" i="24"/>
  <c r="D284" i="24" s="1"/>
  <c r="E284" i="24" s="1"/>
  <c r="F284" i="24" s="1"/>
  <c r="B224" i="24"/>
  <c r="W224" i="24" s="1"/>
  <c r="B97" i="24"/>
  <c r="D97" i="24" s="1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B153" i="24"/>
  <c r="W153" i="24" s="1"/>
  <c r="AA284" i="22"/>
  <c r="Z284" i="22" s="1"/>
  <c r="Y284" i="22" s="1"/>
  <c r="D55" i="23"/>
  <c r="E55" i="23" s="1"/>
  <c r="F55" i="23" s="1"/>
  <c r="G55" i="23" s="1"/>
  <c r="CD55" i="6" s="1"/>
  <c r="B180" i="24"/>
  <c r="W180" i="24" s="1"/>
  <c r="B64" i="24"/>
  <c r="W64" i="24" s="1"/>
  <c r="B243" i="24"/>
  <c r="W243" i="24" s="1"/>
  <c r="B216" i="24"/>
  <c r="W216" i="24" s="1"/>
  <c r="I251" i="20"/>
  <c r="H251" i="22" s="1"/>
  <c r="J251" i="22" s="1"/>
  <c r="B344" i="24"/>
  <c r="W344" i="24" s="1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B326" i="24"/>
  <c r="D326" i="24" s="1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B367" i="24"/>
  <c r="D367" i="24" s="1"/>
  <c r="E367" i="24" s="1"/>
  <c r="F367" i="24" s="1"/>
  <c r="H53" i="20"/>
  <c r="I53" i="20" s="1"/>
  <c r="H53" i="22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90" i="20"/>
  <c r="I90" i="20" s="1"/>
  <c r="H90" i="22" s="1"/>
  <c r="H371" i="20"/>
  <c r="H87" i="20"/>
  <c r="J87" i="20" s="1"/>
  <c r="H145" i="20"/>
  <c r="I145" i="20" s="1"/>
  <c r="H145" i="22" s="1"/>
  <c r="H291" i="20"/>
  <c r="I291" i="20" s="1"/>
  <c r="H291" i="22" s="1"/>
  <c r="H268" i="20"/>
  <c r="J268" i="20" s="1"/>
  <c r="H76" i="20"/>
  <c r="J76" i="20" s="1"/>
  <c r="H347" i="20"/>
  <c r="H345" i="20"/>
  <c r="J345" i="20" s="1"/>
  <c r="D324" i="23"/>
  <c r="E324" i="23" s="1"/>
  <c r="F324" i="23" s="1"/>
  <c r="G324" i="23" s="1"/>
  <c r="CD324" i="6" s="1"/>
  <c r="H234" i="20"/>
  <c r="J234" i="20" s="1"/>
  <c r="H67" i="20"/>
  <c r="H112" i="20"/>
  <c r="I112" i="20" s="1"/>
  <c r="H112" i="22" s="1"/>
  <c r="H61" i="20"/>
  <c r="I61" i="20" s="1"/>
  <c r="H61" i="22" s="1"/>
  <c r="H162" i="20"/>
  <c r="J162" i="20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H133" i="20"/>
  <c r="J133" i="20" s="1"/>
  <c r="B324" i="24"/>
  <c r="D324" i="24" s="1"/>
  <c r="E324" i="24" s="1"/>
  <c r="F324" i="24" s="1"/>
  <c r="H119" i="20"/>
  <c r="I119" i="20" s="1"/>
  <c r="H119" i="22" s="1"/>
  <c r="H289" i="20"/>
  <c r="H71" i="20"/>
  <c r="I71" i="20" s="1"/>
  <c r="H71" i="22" s="1"/>
  <c r="H114" i="20"/>
  <c r="H339" i="20"/>
  <c r="I339" i="20" s="1"/>
  <c r="H339" i="22" s="1"/>
  <c r="H163" i="20"/>
  <c r="J163" i="20" s="1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73" i="20"/>
  <c r="H317" i="20"/>
  <c r="I317" i="20" s="1"/>
  <c r="H317" i="22" s="1"/>
  <c r="H186" i="20"/>
  <c r="J186" i="20" s="1"/>
  <c r="H169" i="20"/>
  <c r="H218" i="20"/>
  <c r="I218" i="20" s="1"/>
  <c r="H218" i="22" s="1"/>
  <c r="H263" i="20"/>
  <c r="I263" i="20" s="1"/>
  <c r="H263" i="22" s="1"/>
  <c r="H250" i="20"/>
  <c r="BA192" i="6"/>
  <c r="D192" i="6" s="1"/>
  <c r="W100" i="24"/>
  <c r="D100" i="24"/>
  <c r="E100" i="24" s="1"/>
  <c r="F100" i="24" s="1"/>
  <c r="B100" i="25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B134" i="25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B280" i="25"/>
  <c r="W172" i="24"/>
  <c r="D172" i="24"/>
  <c r="E172" i="24" s="1"/>
  <c r="F172" i="24" s="1"/>
  <c r="B172" i="25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B141" i="25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B339" i="24"/>
  <c r="G291" i="22"/>
  <c r="CC291" i="6" s="1"/>
  <c r="AA291" i="22"/>
  <c r="Z291" i="22" s="1"/>
  <c r="Y291" i="22" s="1"/>
  <c r="W291" i="23"/>
  <c r="D291" i="23"/>
  <c r="E291" i="23" s="1"/>
  <c r="F291" i="23" s="1"/>
  <c r="B291" i="24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B49" i="24"/>
  <c r="D276" i="24"/>
  <c r="E276" i="24" s="1"/>
  <c r="F276" i="24" s="1"/>
  <c r="W276" i="24"/>
  <c r="B276" i="25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B368" i="25"/>
  <c r="W232" i="23"/>
  <c r="D232" i="23"/>
  <c r="E232" i="23" s="1"/>
  <c r="F232" i="23" s="1"/>
  <c r="B232" i="24"/>
  <c r="W62" i="23"/>
  <c r="D62" i="23"/>
  <c r="E62" i="23" s="1"/>
  <c r="F62" i="23" s="1"/>
  <c r="B62" i="24"/>
  <c r="W309" i="23"/>
  <c r="D309" i="23"/>
  <c r="E309" i="23" s="1"/>
  <c r="F309" i="23" s="1"/>
  <c r="B309" i="24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B158" i="25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B26" i="25"/>
  <c r="W325" i="23"/>
  <c r="D325" i="23"/>
  <c r="E325" i="23" s="1"/>
  <c r="F325" i="23" s="1"/>
  <c r="B325" i="24"/>
  <c r="W277" i="23"/>
  <c r="D277" i="23"/>
  <c r="E277" i="23" s="1"/>
  <c r="F277" i="23" s="1"/>
  <c r="B277" i="24"/>
  <c r="D193" i="24"/>
  <c r="E193" i="24" s="1"/>
  <c r="F193" i="24" s="1"/>
  <c r="W193" i="24"/>
  <c r="B193" i="25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B233" i="24"/>
  <c r="W123" i="23"/>
  <c r="D123" i="23"/>
  <c r="E123" i="23" s="1"/>
  <c r="F123" i="23" s="1"/>
  <c r="B123" i="24"/>
  <c r="D45" i="23"/>
  <c r="E45" i="23" s="1"/>
  <c r="F45" i="23" s="1"/>
  <c r="W45" i="23"/>
  <c r="B45" i="24"/>
  <c r="G282" i="22"/>
  <c r="CC282" i="6" s="1"/>
  <c r="AA282" i="22"/>
  <c r="Z282" i="22" s="1"/>
  <c r="Y282" i="22" s="1"/>
  <c r="W230" i="24"/>
  <c r="D230" i="24"/>
  <c r="E230" i="24" s="1"/>
  <c r="F230" i="24" s="1"/>
  <c r="B230" i="25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B89" i="24"/>
  <c r="W61" i="23"/>
  <c r="D61" i="23"/>
  <c r="E61" i="23" s="1"/>
  <c r="F61" i="23" s="1"/>
  <c r="B61" i="24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B194" i="24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B149" i="25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B210" i="24"/>
  <c r="D210" i="23"/>
  <c r="E210" i="23" s="1"/>
  <c r="F210" i="23" s="1"/>
  <c r="G135" i="22"/>
  <c r="CC135" i="6" s="1"/>
  <c r="AA135" i="22"/>
  <c r="Z135" i="22" s="1"/>
  <c r="Y135" i="22" s="1"/>
  <c r="BA153" i="6"/>
  <c r="D153" i="6" s="1"/>
  <c r="BA79" i="6"/>
  <c r="D79" i="6" s="1"/>
  <c r="H79" i="20"/>
  <c r="BA327" i="6"/>
  <c r="D327" i="6" s="1"/>
  <c r="BA367" i="6"/>
  <c r="D367" i="6" s="1"/>
  <c r="H367" i="20"/>
  <c r="BA18" i="6"/>
  <c r="D18" i="6" s="1"/>
  <c r="BA331" i="6"/>
  <c r="D331" i="6" s="1"/>
  <c r="BA211" i="6"/>
  <c r="BA235" i="6"/>
  <c r="D235" i="6" s="1"/>
  <c r="BA103" i="6"/>
  <c r="D103" i="6" s="1"/>
  <c r="BA252" i="6"/>
  <c r="D252" i="6" s="1"/>
  <c r="BA204" i="6"/>
  <c r="D204" i="6" s="1"/>
  <c r="H204" i="20"/>
  <c r="BA40" i="6"/>
  <c r="D40" i="6" s="1"/>
  <c r="BA199" i="6"/>
  <c r="D199" i="6" s="1"/>
  <c r="BA113" i="6"/>
  <c r="BA280" i="6"/>
  <c r="D280" i="6" s="1"/>
  <c r="BA375" i="6"/>
  <c r="D375" i="6" s="1"/>
  <c r="BA341" i="6"/>
  <c r="D341" i="6" s="1"/>
  <c r="BA285" i="6"/>
  <c r="D285" i="6" s="1"/>
  <c r="BA209" i="6"/>
  <c r="D209" i="6" s="1"/>
  <c r="BA47" i="6"/>
  <c r="D47" i="6" s="1"/>
  <c r="BA336" i="6"/>
  <c r="D336" i="6" s="1"/>
  <c r="BA308" i="6"/>
  <c r="D308" i="6" s="1"/>
  <c r="BA178" i="6"/>
  <c r="D178" i="6" s="1"/>
  <c r="BA106" i="6"/>
  <c r="D106" i="6" s="1"/>
  <c r="BA271" i="6"/>
  <c r="D271" i="6" s="1"/>
  <c r="BA130" i="6"/>
  <c r="D130" i="6" s="1"/>
  <c r="BA66" i="6"/>
  <c r="D66" i="6" s="1"/>
  <c r="BA111" i="6"/>
  <c r="D111" i="6" s="1"/>
  <c r="BA17" i="6"/>
  <c r="D17" i="6" s="1"/>
  <c r="BA177" i="6"/>
  <c r="D177" i="6" s="1"/>
  <c r="BA30" i="6"/>
  <c r="D30" i="6" s="1"/>
  <c r="BA54" i="6"/>
  <c r="D54" i="6" s="1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B163" i="24"/>
  <c r="W98" i="23"/>
  <c r="D98" i="23"/>
  <c r="E98" i="23" s="1"/>
  <c r="F98" i="23" s="1"/>
  <c r="B98" i="24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B200" i="25"/>
  <c r="W168" i="24"/>
  <c r="B168" i="25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B343" i="25"/>
  <c r="H315" i="20"/>
  <c r="D315" i="23"/>
  <c r="E315" i="23" s="1"/>
  <c r="F315" i="23" s="1"/>
  <c r="W315" i="23"/>
  <c r="B315" i="24"/>
  <c r="G239" i="22"/>
  <c r="CC239" i="6" s="1"/>
  <c r="AA239" i="22"/>
  <c r="Z239" i="22" s="1"/>
  <c r="Y239" i="22" s="1"/>
  <c r="W239" i="23"/>
  <c r="D239" i="23"/>
  <c r="E239" i="23" s="1"/>
  <c r="F239" i="23" s="1"/>
  <c r="B239" i="24"/>
  <c r="W113" i="24"/>
  <c r="D113" i="24"/>
  <c r="E113" i="24" s="1"/>
  <c r="F113" i="24" s="1"/>
  <c r="B113" i="25"/>
  <c r="G350" i="22"/>
  <c r="CC350" i="6" s="1"/>
  <c r="AA350" i="22"/>
  <c r="Z350" i="22" s="1"/>
  <c r="Y350" i="22" s="1"/>
  <c r="H266" i="20"/>
  <c r="W238" i="24"/>
  <c r="D238" i="24"/>
  <c r="E238" i="24" s="1"/>
  <c r="F238" i="24" s="1"/>
  <c r="B238" i="25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B357" i="24"/>
  <c r="G307" i="22"/>
  <c r="CC307" i="6" s="1"/>
  <c r="AA307" i="22"/>
  <c r="Z307" i="22" s="1"/>
  <c r="Y307" i="22" s="1"/>
  <c r="H372" i="20"/>
  <c r="W250" i="23"/>
  <c r="D250" i="23"/>
  <c r="E250" i="23" s="1"/>
  <c r="F250" i="23" s="1"/>
  <c r="B250" i="24"/>
  <c r="W126" i="23"/>
  <c r="D126" i="23"/>
  <c r="E126" i="23" s="1"/>
  <c r="F126" i="23" s="1"/>
  <c r="B126" i="24"/>
  <c r="G96" i="22"/>
  <c r="CC96" i="6" s="1"/>
  <c r="AA96" i="22"/>
  <c r="Z96" i="22" s="1"/>
  <c r="Y96" i="22" s="1"/>
  <c r="W34" i="23"/>
  <c r="D34" i="23"/>
  <c r="E34" i="23" s="1"/>
  <c r="F34" i="23" s="1"/>
  <c r="B34" i="24"/>
  <c r="W341" i="24"/>
  <c r="B341" i="25"/>
  <c r="D341" i="24"/>
  <c r="E341" i="24" s="1"/>
  <c r="F341" i="24" s="1"/>
  <c r="W93" i="24"/>
  <c r="D93" i="24"/>
  <c r="E93" i="24" s="1"/>
  <c r="F93" i="24" s="1"/>
  <c r="B93" i="25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B140" i="24"/>
  <c r="H110" i="20"/>
  <c r="G37" i="22"/>
  <c r="CC37" i="6" s="1"/>
  <c r="AA37" i="22"/>
  <c r="Z37" i="22" s="1"/>
  <c r="Y37" i="22" s="1"/>
  <c r="D244" i="23"/>
  <c r="E244" i="23" s="1"/>
  <c r="F244" i="23" s="1"/>
  <c r="W244" i="23"/>
  <c r="B244" i="24"/>
  <c r="W248" i="23"/>
  <c r="D248" i="23"/>
  <c r="E248" i="23" s="1"/>
  <c r="F248" i="23" s="1"/>
  <c r="B248" i="24"/>
  <c r="W295" i="23"/>
  <c r="D295" i="23"/>
  <c r="E295" i="23" s="1"/>
  <c r="F295" i="23" s="1"/>
  <c r="B295" i="24"/>
  <c r="G125" i="22"/>
  <c r="CC125" i="6" s="1"/>
  <c r="AA125" i="22"/>
  <c r="Z125" i="22" s="1"/>
  <c r="Y125" i="22" s="1"/>
  <c r="W157" i="23"/>
  <c r="D157" i="23"/>
  <c r="E157" i="23" s="1"/>
  <c r="F157" i="23" s="1"/>
  <c r="B157" i="24"/>
  <c r="G305" i="23"/>
  <c r="CD305" i="6" s="1"/>
  <c r="AA305" i="23"/>
  <c r="Z305" i="23" s="1"/>
  <c r="Y305" i="23" s="1"/>
  <c r="W252" i="24"/>
  <c r="D252" i="24"/>
  <c r="E252" i="24" s="1"/>
  <c r="F252" i="24" s="1"/>
  <c r="B252" i="25"/>
  <c r="G204" i="23"/>
  <c r="CD204" i="6" s="1"/>
  <c r="AA204" i="23"/>
  <c r="Z204" i="23" s="1"/>
  <c r="Y204" i="23" s="1"/>
  <c r="W204" i="24"/>
  <c r="D204" i="24"/>
  <c r="E204" i="24" s="1"/>
  <c r="F204" i="24" s="1"/>
  <c r="B204" i="25"/>
  <c r="G222" i="23"/>
  <c r="CD222" i="6" s="1"/>
  <c r="AA222" i="23"/>
  <c r="Z222" i="23" s="1"/>
  <c r="Y222" i="23" s="1"/>
  <c r="W264" i="23"/>
  <c r="D264" i="23"/>
  <c r="E264" i="23" s="1"/>
  <c r="F264" i="23" s="1"/>
  <c r="B264" i="24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B165" i="24"/>
  <c r="D117" i="24"/>
  <c r="E117" i="24" s="1"/>
  <c r="F117" i="24" s="1"/>
  <c r="W117" i="24"/>
  <c r="B117" i="25"/>
  <c r="W91" i="24"/>
  <c r="D91" i="24"/>
  <c r="E91" i="24" s="1"/>
  <c r="F91" i="24" s="1"/>
  <c r="B91" i="25"/>
  <c r="W41" i="24"/>
  <c r="D41" i="24"/>
  <c r="E41" i="24" s="1"/>
  <c r="F41" i="24" s="1"/>
  <c r="B41" i="25"/>
  <c r="D364" i="23"/>
  <c r="E364" i="23" s="1"/>
  <c r="F364" i="23" s="1"/>
  <c r="W364" i="23"/>
  <c r="B364" i="24"/>
  <c r="W330" i="23"/>
  <c r="D330" i="23"/>
  <c r="E330" i="23" s="1"/>
  <c r="F330" i="23" s="1"/>
  <c r="B330" i="24"/>
  <c r="W256" i="23"/>
  <c r="D256" i="23"/>
  <c r="E256" i="23" s="1"/>
  <c r="F256" i="23" s="1"/>
  <c r="B256" i="24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B27" i="24"/>
  <c r="W231" i="24"/>
  <c r="D231" i="24"/>
  <c r="E231" i="24" s="1"/>
  <c r="F231" i="24" s="1"/>
  <c r="B231" i="25"/>
  <c r="W151" i="24"/>
  <c r="D151" i="24"/>
  <c r="E151" i="24" s="1"/>
  <c r="F151" i="24" s="1"/>
  <c r="B151" i="25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B228" i="25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B328" i="24"/>
  <c r="G268" i="22"/>
  <c r="CC268" i="6" s="1"/>
  <c r="AA268" i="22"/>
  <c r="Z268" i="22" s="1"/>
  <c r="Y268" i="22" s="1"/>
  <c r="W170" i="24"/>
  <c r="D170" i="24"/>
  <c r="E170" i="24" s="1"/>
  <c r="F170" i="24" s="1"/>
  <c r="B170" i="25"/>
  <c r="W56" i="23"/>
  <c r="D56" i="23"/>
  <c r="E56" i="23" s="1"/>
  <c r="F56" i="23" s="1"/>
  <c r="B56" i="24"/>
  <c r="G361" i="22"/>
  <c r="CC361" i="6" s="1"/>
  <c r="AA361" i="22"/>
  <c r="Z361" i="22" s="1"/>
  <c r="Y361" i="22" s="1"/>
  <c r="W273" i="23"/>
  <c r="D273" i="23"/>
  <c r="E273" i="23" s="1"/>
  <c r="F273" i="23" s="1"/>
  <c r="B273" i="24"/>
  <c r="W255" i="24"/>
  <c r="D255" i="24"/>
  <c r="E255" i="24" s="1"/>
  <c r="F255" i="24" s="1"/>
  <c r="B255" i="25"/>
  <c r="G19" i="23"/>
  <c r="CD19" i="6" s="1"/>
  <c r="AA19" i="23"/>
  <c r="Z19" i="23" s="1"/>
  <c r="Y19" i="23" s="1"/>
  <c r="W287" i="23"/>
  <c r="D287" i="23"/>
  <c r="E287" i="23" s="1"/>
  <c r="F287" i="23" s="1"/>
  <c r="B287" i="24"/>
  <c r="AA278" i="23"/>
  <c r="Z278" i="23" s="1"/>
  <c r="Y278" i="23" s="1"/>
  <c r="G278" i="23"/>
  <c r="CD278" i="6" s="1"/>
  <c r="W74" i="23"/>
  <c r="D74" i="23"/>
  <c r="E74" i="23" s="1"/>
  <c r="F74" i="23" s="1"/>
  <c r="B74" i="24"/>
  <c r="W35" i="24"/>
  <c r="D35" i="24"/>
  <c r="E35" i="24" s="1"/>
  <c r="F35" i="24" s="1"/>
  <c r="B35" i="25"/>
  <c r="G316" i="23"/>
  <c r="CD316" i="6" s="1"/>
  <c r="AA316" i="23"/>
  <c r="Z316" i="23" s="1"/>
  <c r="Y316" i="23" s="1"/>
  <c r="W318" i="23"/>
  <c r="D318" i="23"/>
  <c r="E318" i="23" s="1"/>
  <c r="F318" i="23" s="1"/>
  <c r="B318" i="24"/>
  <c r="G178" i="23"/>
  <c r="CD178" i="6" s="1"/>
  <c r="AA178" i="23"/>
  <c r="Z178" i="23" s="1"/>
  <c r="Y178" i="23" s="1"/>
  <c r="D178" i="24"/>
  <c r="E178" i="24" s="1"/>
  <c r="F178" i="24" s="1"/>
  <c r="W178" i="24"/>
  <c r="B178" i="25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B283" i="24"/>
  <c r="G226" i="22"/>
  <c r="CC226" i="6" s="1"/>
  <c r="AA226" i="22"/>
  <c r="Z226" i="22" s="1"/>
  <c r="Y226" i="22" s="1"/>
  <c r="BA243" i="6"/>
  <c r="D243" i="6" s="1"/>
  <c r="BA237" i="6"/>
  <c r="D237" i="6" s="1"/>
  <c r="BA269" i="6"/>
  <c r="D269" i="6" s="1"/>
  <c r="BA59" i="6"/>
  <c r="D59" i="6" s="1"/>
  <c r="BA316" i="6"/>
  <c r="D316" i="6" s="1"/>
  <c r="H316" i="20"/>
  <c r="BA363" i="6"/>
  <c r="D363" i="6" s="1"/>
  <c r="W76" i="23"/>
  <c r="D76" i="23"/>
  <c r="E76" i="23" s="1"/>
  <c r="F76" i="23" s="1"/>
  <c r="B76" i="24"/>
  <c r="D73" i="23"/>
  <c r="E73" i="23" s="1"/>
  <c r="F73" i="23" s="1"/>
  <c r="W73" i="23"/>
  <c r="B73" i="24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B156" i="24"/>
  <c r="W44" i="23"/>
  <c r="B44" i="24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B345" i="24"/>
  <c r="G133" i="22"/>
  <c r="CC133" i="6" s="1"/>
  <c r="AA133" i="22"/>
  <c r="Z133" i="22" s="1"/>
  <c r="Y133" i="22" s="1"/>
  <c r="W115" i="23"/>
  <c r="D115" i="23"/>
  <c r="E115" i="23" s="1"/>
  <c r="F115" i="23" s="1"/>
  <c r="B115" i="24"/>
  <c r="G234" i="22"/>
  <c r="CC234" i="6" s="1"/>
  <c r="AA234" i="22"/>
  <c r="Z234" i="22" s="1"/>
  <c r="Y234" i="22" s="1"/>
  <c r="W337" i="24"/>
  <c r="D337" i="24"/>
  <c r="E337" i="24" s="1"/>
  <c r="F337" i="24" s="1"/>
  <c r="B337" i="25"/>
  <c r="H267" i="20"/>
  <c r="G257" i="23"/>
  <c r="CD257" i="6" s="1"/>
  <c r="AA257" i="23"/>
  <c r="Z257" i="23" s="1"/>
  <c r="Y257" i="23" s="1"/>
  <c r="D191" i="23"/>
  <c r="E191" i="23" s="1"/>
  <c r="F191" i="23" s="1"/>
  <c r="W191" i="23"/>
  <c r="B191" i="24"/>
  <c r="W371" i="23"/>
  <c r="D371" i="23"/>
  <c r="E371" i="23" s="1"/>
  <c r="F371" i="23" s="1"/>
  <c r="B371" i="24"/>
  <c r="W87" i="23"/>
  <c r="D87" i="23"/>
  <c r="E87" i="23" s="1"/>
  <c r="F87" i="23" s="1"/>
  <c r="B87" i="24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B220" i="24"/>
  <c r="W317" i="23"/>
  <c r="D317" i="23"/>
  <c r="E317" i="23" s="1"/>
  <c r="F317" i="23" s="1"/>
  <c r="B317" i="24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B67" i="24"/>
  <c r="W196" i="23"/>
  <c r="D196" i="23"/>
  <c r="E196" i="23" s="1"/>
  <c r="F196" i="23" s="1"/>
  <c r="B196" i="24"/>
  <c r="W119" i="23"/>
  <c r="D119" i="23"/>
  <c r="E119" i="23" s="1"/>
  <c r="F119" i="23" s="1"/>
  <c r="B119" i="24"/>
  <c r="H232" i="20"/>
  <c r="W235" i="24"/>
  <c r="D235" i="24"/>
  <c r="E235" i="24" s="1"/>
  <c r="F235" i="24" s="1"/>
  <c r="B235" i="25"/>
  <c r="W103" i="24"/>
  <c r="D103" i="24"/>
  <c r="E103" i="24" s="1"/>
  <c r="F103" i="24" s="1"/>
  <c r="B103" i="25"/>
  <c r="G52" i="23"/>
  <c r="CD52" i="6" s="1"/>
  <c r="AA52" i="23"/>
  <c r="Z52" i="23" s="1"/>
  <c r="Y52" i="23" s="1"/>
  <c r="W52" i="24"/>
  <c r="D52" i="24"/>
  <c r="E52" i="24" s="1"/>
  <c r="F52" i="24" s="1"/>
  <c r="B52" i="25"/>
  <c r="W311" i="23"/>
  <c r="D311" i="23"/>
  <c r="E311" i="23" s="1"/>
  <c r="F311" i="23" s="1"/>
  <c r="B311" i="24"/>
  <c r="W310" i="23"/>
  <c r="D310" i="23"/>
  <c r="E310" i="23" s="1"/>
  <c r="F310" i="23" s="1"/>
  <c r="B310" i="24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H290" i="20"/>
  <c r="W242" i="24"/>
  <c r="D242" i="24"/>
  <c r="E242" i="24" s="1"/>
  <c r="F242" i="24" s="1"/>
  <c r="B242" i="25"/>
  <c r="D186" i="23"/>
  <c r="E186" i="23" s="1"/>
  <c r="F186" i="23" s="1"/>
  <c r="W186" i="23"/>
  <c r="B186" i="24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B121" i="24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B138" i="25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H277" i="20"/>
  <c r="AA245" i="22"/>
  <c r="Z245" i="22" s="1"/>
  <c r="Y245" i="22" s="1"/>
  <c r="G245" i="22"/>
  <c r="CC245" i="6" s="1"/>
  <c r="D203" i="23"/>
  <c r="E203" i="23" s="1"/>
  <c r="F203" i="23" s="1"/>
  <c r="W203" i="23"/>
  <c r="B203" i="24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B144" i="24"/>
  <c r="W112" i="23"/>
  <c r="D112" i="23"/>
  <c r="E112" i="23" s="1"/>
  <c r="F112" i="23" s="1"/>
  <c r="B112" i="24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B221" i="25"/>
  <c r="W195" i="24"/>
  <c r="D195" i="24"/>
  <c r="E195" i="24" s="1"/>
  <c r="F195" i="24" s="1"/>
  <c r="B195" i="25"/>
  <c r="W47" i="24"/>
  <c r="D47" i="24"/>
  <c r="E47" i="24" s="1"/>
  <c r="F47" i="24" s="1"/>
  <c r="B47" i="25"/>
  <c r="G21" i="22"/>
  <c r="CC21" i="6" s="1"/>
  <c r="AA21" i="22"/>
  <c r="Z21" i="22" s="1"/>
  <c r="Y21" i="22" s="1"/>
  <c r="W308" i="24"/>
  <c r="D308" i="24"/>
  <c r="E308" i="24" s="1"/>
  <c r="F308" i="24" s="1"/>
  <c r="B308" i="25"/>
  <c r="W176" i="23"/>
  <c r="D176" i="23"/>
  <c r="E176" i="23" s="1"/>
  <c r="F176" i="23" s="1"/>
  <c r="B176" i="24"/>
  <c r="W128" i="23"/>
  <c r="D128" i="23"/>
  <c r="E128" i="23" s="1"/>
  <c r="F128" i="23" s="1"/>
  <c r="B128" i="24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B271" i="25"/>
  <c r="W101" i="24"/>
  <c r="D101" i="24"/>
  <c r="E101" i="24" s="1"/>
  <c r="F101" i="24" s="1"/>
  <c r="B101" i="25"/>
  <c r="G171" i="22"/>
  <c r="CC171" i="6" s="1"/>
  <c r="AA171" i="22"/>
  <c r="Z171" i="22" s="1"/>
  <c r="Y171" i="22" s="1"/>
  <c r="D261" i="23"/>
  <c r="E261" i="23" s="1"/>
  <c r="F261" i="23" s="1"/>
  <c r="W261" i="23"/>
  <c r="B261" i="24"/>
  <c r="W319" i="24"/>
  <c r="D319" i="24"/>
  <c r="E319" i="24" s="1"/>
  <c r="F319" i="24" s="1"/>
  <c r="B319" i="25"/>
  <c r="W46" i="23"/>
  <c r="D46" i="23"/>
  <c r="E46" i="23" s="1"/>
  <c r="F46" i="23" s="1"/>
  <c r="B46" i="24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B60" i="24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B183" i="25"/>
  <c r="D77" i="23"/>
  <c r="E77" i="23" s="1"/>
  <c r="F77" i="23" s="1"/>
  <c r="W77" i="23"/>
  <c r="B77" i="24"/>
  <c r="H161" i="20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284" i="6"/>
  <c r="D284" i="6" s="1"/>
  <c r="BA301" i="6"/>
  <c r="D301" i="6" s="1"/>
  <c r="H301" i="20"/>
  <c r="BA168" i="6"/>
  <c r="D168" i="6" s="1"/>
  <c r="H168" i="20"/>
  <c r="BA101" i="6"/>
  <c r="D101" i="6" s="1"/>
  <c r="BA50" i="6"/>
  <c r="D50" i="6" s="1"/>
  <c r="H50" i="20"/>
  <c r="BA338" i="6"/>
  <c r="D338" i="6" s="1"/>
  <c r="BA68" i="6"/>
  <c r="D68" i="6" s="1"/>
  <c r="H68" i="20"/>
  <c r="BA324" i="6"/>
  <c r="D324" i="6" s="1"/>
  <c r="H324" i="20"/>
  <c r="BA255" i="6"/>
  <c r="D255" i="6" s="1"/>
  <c r="H255" i="20"/>
  <c r="BA16" i="6"/>
  <c r="D16" i="6" s="1"/>
  <c r="BA95" i="6"/>
  <c r="D95" i="6" s="1"/>
  <c r="H95" i="20"/>
  <c r="BA100" i="6"/>
  <c r="D100" i="6" s="1"/>
  <c r="H100" i="20"/>
  <c r="BA229" i="6"/>
  <c r="D229" i="6" s="1"/>
  <c r="H229" i="20"/>
  <c r="BA305" i="6"/>
  <c r="D305" i="6" s="1"/>
  <c r="BA158" i="6"/>
  <c r="D158" i="6" s="1"/>
  <c r="BA82" i="6"/>
  <c r="D82" i="6" s="1"/>
  <c r="H82" i="20"/>
  <c r="BA343" i="6"/>
  <c r="D343" i="6" s="1"/>
  <c r="H343" i="20"/>
  <c r="BA117" i="6"/>
  <c r="D117" i="6" s="1"/>
  <c r="H117" i="20"/>
  <c r="BA41" i="6"/>
  <c r="D41" i="6" s="1"/>
  <c r="H41" i="20"/>
  <c r="BA360" i="6"/>
  <c r="D360" i="6" s="1"/>
  <c r="H360" i="20"/>
  <c r="BA257" i="6"/>
  <c r="D257" i="6" s="1"/>
  <c r="H257" i="20"/>
  <c r="BA141" i="6"/>
  <c r="H141" i="20"/>
  <c r="BA293" i="6"/>
  <c r="D293" i="6" s="1"/>
  <c r="BA147" i="6"/>
  <c r="D147" i="6" s="1"/>
  <c r="H147" i="20"/>
  <c r="BA93" i="6"/>
  <c r="D93" i="6" s="1"/>
  <c r="H93" i="20"/>
  <c r="BA118" i="6"/>
  <c r="D118" i="6" s="1"/>
  <c r="H118" i="20"/>
  <c r="BA63" i="6"/>
  <c r="D63" i="6" s="1"/>
  <c r="H63" i="20"/>
  <c r="BA302" i="6"/>
  <c r="D302" i="6" s="1"/>
  <c r="H302" i="20"/>
  <c r="BA154" i="6"/>
  <c r="D154" i="6" s="1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B174" i="25"/>
  <c r="W38" i="24"/>
  <c r="B38" i="25"/>
  <c r="D38" i="24"/>
  <c r="E38" i="24" s="1"/>
  <c r="F38" i="24" s="1"/>
  <c r="H332" i="20"/>
  <c r="H321" i="20"/>
  <c r="W182" i="23"/>
  <c r="D182" i="23"/>
  <c r="E182" i="23" s="1"/>
  <c r="F182" i="23" s="1"/>
  <c r="B182" i="24"/>
  <c r="G289" i="22"/>
  <c r="CC289" i="6" s="1"/>
  <c r="AA289" i="22"/>
  <c r="Z289" i="22" s="1"/>
  <c r="Y289" i="22" s="1"/>
  <c r="W78" i="23"/>
  <c r="D78" i="23"/>
  <c r="E78" i="23" s="1"/>
  <c r="F78" i="23" s="1"/>
  <c r="B78" i="24"/>
  <c r="W314" i="23"/>
  <c r="D314" i="23"/>
  <c r="E314" i="23" s="1"/>
  <c r="F314" i="23" s="1"/>
  <c r="B314" i="24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B72" i="24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B360" i="25"/>
  <c r="G266" i="22"/>
  <c r="CC266" i="6" s="1"/>
  <c r="AA266" i="22"/>
  <c r="Z266" i="22" s="1"/>
  <c r="Y266" i="22" s="1"/>
  <c r="W266" i="23"/>
  <c r="D266" i="23"/>
  <c r="E266" i="23" s="1"/>
  <c r="F266" i="23" s="1"/>
  <c r="B266" i="24"/>
  <c r="D18" i="24"/>
  <c r="E18" i="24" s="1"/>
  <c r="F18" i="24" s="1"/>
  <c r="W18" i="24"/>
  <c r="B18" i="25"/>
  <c r="D373" i="23"/>
  <c r="E373" i="23" s="1"/>
  <c r="F373" i="23" s="1"/>
  <c r="W373" i="23"/>
  <c r="B373" i="24"/>
  <c r="H307" i="20"/>
  <c r="D223" i="23"/>
  <c r="E223" i="23" s="1"/>
  <c r="F223" i="23" s="1"/>
  <c r="W223" i="23"/>
  <c r="B223" i="24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B259" i="25"/>
  <c r="G201" i="22"/>
  <c r="CC201" i="6" s="1"/>
  <c r="AA201" i="22"/>
  <c r="Z201" i="22" s="1"/>
  <c r="Y201" i="22" s="1"/>
  <c r="W145" i="23"/>
  <c r="D145" i="23"/>
  <c r="E145" i="23" s="1"/>
  <c r="F145" i="23" s="1"/>
  <c r="B145" i="24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B154" i="25"/>
  <c r="G16" i="23"/>
  <c r="CD16" i="6" s="1"/>
  <c r="AA16" i="23"/>
  <c r="Z16" i="23" s="1"/>
  <c r="Y16" i="23" s="1"/>
  <c r="W132" i="24"/>
  <c r="D132" i="24"/>
  <c r="E132" i="24" s="1"/>
  <c r="F132" i="24" s="1"/>
  <c r="B132" i="25"/>
  <c r="W251" i="24"/>
  <c r="D251" i="24"/>
  <c r="E251" i="24" s="1"/>
  <c r="F251" i="24" s="1"/>
  <c r="B251" i="25"/>
  <c r="H157" i="20"/>
  <c r="G90" i="22"/>
  <c r="CC90" i="6" s="1"/>
  <c r="AA90" i="22"/>
  <c r="Z90" i="22" s="1"/>
  <c r="Y90" i="22" s="1"/>
  <c r="D340" i="23"/>
  <c r="E340" i="23" s="1"/>
  <c r="F340" i="23" s="1"/>
  <c r="W340" i="23"/>
  <c r="B340" i="24"/>
  <c r="G286" i="23"/>
  <c r="CD286" i="6" s="1"/>
  <c r="AA286" i="23"/>
  <c r="Z286" i="23" s="1"/>
  <c r="Y286" i="23" s="1"/>
  <c r="W162" i="23"/>
  <c r="D162" i="23"/>
  <c r="E162" i="23" s="1"/>
  <c r="F162" i="23" s="1"/>
  <c r="B162" i="24"/>
  <c r="G58" i="22"/>
  <c r="CC58" i="6" s="1"/>
  <c r="AA58" i="22"/>
  <c r="Z58" i="22" s="1"/>
  <c r="Y58" i="22" s="1"/>
  <c r="W36" i="23"/>
  <c r="D36" i="23"/>
  <c r="E36" i="23" s="1"/>
  <c r="F36" i="23" s="1"/>
  <c r="B36" i="24"/>
  <c r="G109" i="22"/>
  <c r="CC109" i="6" s="1"/>
  <c r="AA109" i="22"/>
  <c r="Z109" i="22" s="1"/>
  <c r="Y109" i="22" s="1"/>
  <c r="W51" i="23"/>
  <c r="D51" i="23"/>
  <c r="E51" i="23" s="1"/>
  <c r="F51" i="23" s="1"/>
  <c r="B51" i="24"/>
  <c r="D304" i="24"/>
  <c r="E304" i="24" s="1"/>
  <c r="F304" i="24" s="1"/>
  <c r="W304" i="24"/>
  <c r="B304" i="25"/>
  <c r="G262" i="23"/>
  <c r="CD262" i="6" s="1"/>
  <c r="AA262" i="23"/>
  <c r="Z262" i="23" s="1"/>
  <c r="Y262" i="23" s="1"/>
  <c r="D139" i="23"/>
  <c r="E139" i="23" s="1"/>
  <c r="F139" i="23" s="1"/>
  <c r="W139" i="23"/>
  <c r="B139" i="24"/>
  <c r="G53" i="22"/>
  <c r="CC53" i="6" s="1"/>
  <c r="AA53" i="22"/>
  <c r="Z53" i="22" s="1"/>
  <c r="Y53" i="22" s="1"/>
  <c r="D334" i="23"/>
  <c r="E334" i="23" s="1"/>
  <c r="F334" i="23" s="1"/>
  <c r="W334" i="23"/>
  <c r="B334" i="24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B246" i="24"/>
  <c r="W104" i="23"/>
  <c r="D104" i="23"/>
  <c r="E104" i="23" s="1"/>
  <c r="F104" i="23" s="1"/>
  <c r="B104" i="24"/>
  <c r="D197" i="24"/>
  <c r="E197" i="24" s="1"/>
  <c r="F197" i="24" s="1"/>
  <c r="W197" i="24"/>
  <c r="B197" i="25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B347" i="24"/>
  <c r="G376" i="22"/>
  <c r="CC376" i="6" s="1"/>
  <c r="AA376" i="22"/>
  <c r="Z376" i="22" s="1"/>
  <c r="Y376" i="22" s="1"/>
  <c r="W66" i="24"/>
  <c r="D66" i="24"/>
  <c r="E66" i="24" s="1"/>
  <c r="F66" i="24" s="1"/>
  <c r="B66" i="25"/>
  <c r="W75" i="23"/>
  <c r="D75" i="23"/>
  <c r="E75" i="23" s="1"/>
  <c r="F75" i="23" s="1"/>
  <c r="B75" i="24"/>
  <c r="W187" i="23"/>
  <c r="D187" i="23"/>
  <c r="E187" i="23" s="1"/>
  <c r="F187" i="23" s="1"/>
  <c r="B187" i="24"/>
  <c r="G333" i="22"/>
  <c r="CC333" i="6" s="1"/>
  <c r="AA333" i="22"/>
  <c r="Z333" i="22" s="1"/>
  <c r="Y333" i="22" s="1"/>
  <c r="W33" i="24"/>
  <c r="D33" i="24"/>
  <c r="E33" i="24" s="1"/>
  <c r="F33" i="24" s="1"/>
  <c r="B33" i="25"/>
  <c r="G352" i="22"/>
  <c r="CC352" i="6" s="1"/>
  <c r="AA352" i="22"/>
  <c r="Z352" i="22" s="1"/>
  <c r="Y352" i="22" s="1"/>
  <c r="D274" i="23"/>
  <c r="E274" i="23" s="1"/>
  <c r="F274" i="23" s="1"/>
  <c r="W274" i="23"/>
  <c r="B274" i="24"/>
  <c r="W84" i="23"/>
  <c r="D84" i="23"/>
  <c r="E84" i="23" s="1"/>
  <c r="F84" i="23" s="1"/>
  <c r="B84" i="24"/>
  <c r="W114" i="23"/>
  <c r="D114" i="23"/>
  <c r="E114" i="23" s="1"/>
  <c r="F114" i="23" s="1"/>
  <c r="B114" i="24"/>
  <c r="W354" i="24"/>
  <c r="B354" i="25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329" i="6"/>
  <c r="D329" i="6" s="1"/>
  <c r="BA132" i="6"/>
  <c r="D132" i="6" s="1"/>
  <c r="H132" i="20"/>
  <c r="BA108" i="6"/>
  <c r="D108" i="6" s="1"/>
  <c r="BA120" i="6"/>
  <c r="D120" i="6" s="1"/>
  <c r="BA354" i="6"/>
  <c r="D354" i="6" s="1"/>
  <c r="BA35" i="6"/>
  <c r="D35" i="6" s="1"/>
  <c r="BA281" i="6"/>
  <c r="H281" i="20"/>
  <c r="BA247" i="6"/>
  <c r="D247" i="6" s="1"/>
  <c r="H247" i="20"/>
  <c r="BA294" i="6"/>
  <c r="D294" i="6" s="1"/>
  <c r="BA70" i="6"/>
  <c r="D70" i="6" s="1"/>
  <c r="BA38" i="6"/>
  <c r="D38" i="6" s="1"/>
  <c r="BA129" i="6"/>
  <c r="D129" i="6" s="1"/>
  <c r="H129" i="20"/>
  <c r="BA351" i="6"/>
  <c r="BA131" i="6"/>
  <c r="D131" i="6" s="1"/>
  <c r="BA326" i="6"/>
  <c r="D326" i="6" s="1"/>
  <c r="BA335" i="6"/>
  <c r="D335" i="6" s="1"/>
  <c r="H335" i="20"/>
  <c r="BA183" i="6"/>
  <c r="BA208" i="6"/>
  <c r="D208" i="6" s="1"/>
  <c r="H208" i="20"/>
  <c r="BA134" i="6"/>
  <c r="D134" i="6" s="1"/>
  <c r="BA116" i="6"/>
  <c r="D116" i="6" s="1"/>
  <c r="BA175" i="6"/>
  <c r="D175" i="6" s="1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B32" i="25"/>
  <c r="W229" i="24"/>
  <c r="D229" i="24"/>
  <c r="E229" i="24" s="1"/>
  <c r="F229" i="24" s="1"/>
  <c r="B229" i="25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B68" i="25"/>
  <c r="D213" i="23"/>
  <c r="E213" i="23" s="1"/>
  <c r="F213" i="23" s="1"/>
  <c r="W213" i="23"/>
  <c r="B213" i="24"/>
  <c r="G57" i="23"/>
  <c r="CD57" i="6" s="1"/>
  <c r="AA57" i="23"/>
  <c r="Z57" i="23" s="1"/>
  <c r="Y57" i="23" s="1"/>
  <c r="D57" i="24"/>
  <c r="E57" i="24" s="1"/>
  <c r="F57" i="24" s="1"/>
  <c r="W57" i="24"/>
  <c r="B57" i="25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B20" i="24"/>
  <c r="W267" i="23"/>
  <c r="D267" i="23"/>
  <c r="E267" i="23" s="1"/>
  <c r="F267" i="23" s="1"/>
  <c r="B267" i="24"/>
  <c r="G179" i="23"/>
  <c r="CD179" i="6" s="1"/>
  <c r="AA179" i="23"/>
  <c r="Z179" i="23" s="1"/>
  <c r="Y179" i="23" s="1"/>
  <c r="W142" i="24"/>
  <c r="D142" i="24"/>
  <c r="E142" i="24" s="1"/>
  <c r="F142" i="24" s="1"/>
  <c r="B142" i="25"/>
  <c r="G339" i="22"/>
  <c r="CC339" i="6" s="1"/>
  <c r="AA339" i="22"/>
  <c r="Z339" i="22" s="1"/>
  <c r="Y339" i="22" s="1"/>
  <c r="W209" i="24"/>
  <c r="D209" i="24"/>
  <c r="E209" i="24" s="1"/>
  <c r="F209" i="24" s="1"/>
  <c r="B209" i="25"/>
  <c r="W147" i="24"/>
  <c r="D147" i="24"/>
  <c r="E147" i="24" s="1"/>
  <c r="F147" i="24" s="1"/>
  <c r="B147" i="25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B254" i="24"/>
  <c r="D42" i="23"/>
  <c r="E42" i="23" s="1"/>
  <c r="F42" i="23" s="1"/>
  <c r="W42" i="23"/>
  <c r="B42" i="24"/>
  <c r="D249" i="23"/>
  <c r="E249" i="23" s="1"/>
  <c r="F249" i="23" s="1"/>
  <c r="W249" i="23"/>
  <c r="B249" i="24"/>
  <c r="D189" i="24"/>
  <c r="E189" i="24" s="1"/>
  <c r="F189" i="24" s="1"/>
  <c r="W189" i="24"/>
  <c r="B189" i="25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B166" i="25"/>
  <c r="G105" i="23"/>
  <c r="CD105" i="6" s="1"/>
  <c r="AA105" i="23"/>
  <c r="Z105" i="23" s="1"/>
  <c r="Y105" i="23" s="1"/>
  <c r="W105" i="24"/>
  <c r="D105" i="24"/>
  <c r="E105" i="24" s="1"/>
  <c r="F105" i="24" s="1"/>
  <c r="B105" i="25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B374" i="24"/>
  <c r="W362" i="23"/>
  <c r="D362" i="23"/>
  <c r="E362" i="23" s="1"/>
  <c r="F362" i="23" s="1"/>
  <c r="B362" i="24"/>
  <c r="W290" i="23"/>
  <c r="D290" i="23"/>
  <c r="E290" i="23" s="1"/>
  <c r="F290" i="23" s="1"/>
  <c r="B290" i="24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B225" i="24"/>
  <c r="G292" i="22"/>
  <c r="CC292" i="6" s="1"/>
  <c r="AA292" i="22"/>
  <c r="Z292" i="22" s="1"/>
  <c r="Y292" i="22" s="1"/>
  <c r="W292" i="23"/>
  <c r="D292" i="23"/>
  <c r="E292" i="23" s="1"/>
  <c r="F292" i="23" s="1"/>
  <c r="B292" i="24"/>
  <c r="G375" i="23"/>
  <c r="CD375" i="6" s="1"/>
  <c r="AA375" i="23"/>
  <c r="Z375" i="23" s="1"/>
  <c r="Y375" i="23" s="1"/>
  <c r="W375" i="24"/>
  <c r="D375" i="24"/>
  <c r="E375" i="24" s="1"/>
  <c r="F375" i="24" s="1"/>
  <c r="B375" i="25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B296" i="24"/>
  <c r="W120" i="24"/>
  <c r="D120" i="24"/>
  <c r="E120" i="24" s="1"/>
  <c r="F120" i="24" s="1"/>
  <c r="B120" i="25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B282" i="24"/>
  <c r="G230" i="23"/>
  <c r="CD230" i="6" s="1"/>
  <c r="AA230" i="23"/>
  <c r="Z230" i="23" s="1"/>
  <c r="Y230" i="23" s="1"/>
  <c r="D118" i="24"/>
  <c r="E118" i="24" s="1"/>
  <c r="F118" i="24" s="1"/>
  <c r="W118" i="24"/>
  <c r="B118" i="25"/>
  <c r="W92" i="24"/>
  <c r="D92" i="24"/>
  <c r="E92" i="24" s="1"/>
  <c r="F92" i="24" s="1"/>
  <c r="B92" i="25"/>
  <c r="W219" i="23"/>
  <c r="D219" i="23"/>
  <c r="E219" i="23" s="1"/>
  <c r="F219" i="23" s="1"/>
  <c r="B219" i="24"/>
  <c r="W173" i="23"/>
  <c r="D173" i="23"/>
  <c r="E173" i="23" s="1"/>
  <c r="F173" i="23" s="1"/>
  <c r="B173" i="24"/>
  <c r="G127" i="22"/>
  <c r="CC127" i="6" s="1"/>
  <c r="AA127" i="22"/>
  <c r="Z127" i="22" s="1"/>
  <c r="Y127" i="22" s="1"/>
  <c r="W127" i="23"/>
  <c r="D127" i="23"/>
  <c r="E127" i="23" s="1"/>
  <c r="F127" i="23" s="1"/>
  <c r="B127" i="24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B175" i="25"/>
  <c r="G284" i="23"/>
  <c r="CD284" i="6" s="1"/>
  <c r="AA284" i="23"/>
  <c r="Z284" i="23" s="1"/>
  <c r="Y284" i="23" s="1"/>
  <c r="D302" i="24"/>
  <c r="E302" i="24" s="1"/>
  <c r="F302" i="24" s="1"/>
  <c r="W302" i="24"/>
  <c r="B302" i="25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B111" i="25"/>
  <c r="W17" i="24"/>
  <c r="D17" i="24"/>
  <c r="E17" i="24" s="1"/>
  <c r="F17" i="24" s="1"/>
  <c r="B17" i="25"/>
  <c r="D349" i="23"/>
  <c r="E349" i="23" s="1"/>
  <c r="F349" i="23" s="1"/>
  <c r="W349" i="23"/>
  <c r="B349" i="24"/>
  <c r="G149" i="23"/>
  <c r="CD149" i="6" s="1"/>
  <c r="AA149" i="23"/>
  <c r="Z149" i="23" s="1"/>
  <c r="Y149" i="23" s="1"/>
  <c r="W281" i="24"/>
  <c r="D281" i="24"/>
  <c r="E281" i="24" s="1"/>
  <c r="F281" i="24" s="1"/>
  <c r="B281" i="25"/>
  <c r="W247" i="24"/>
  <c r="D247" i="24"/>
  <c r="E247" i="24" s="1"/>
  <c r="F247" i="24" s="1"/>
  <c r="B247" i="25"/>
  <c r="W159" i="23"/>
  <c r="D159" i="23"/>
  <c r="E159" i="23" s="1"/>
  <c r="F159" i="23" s="1"/>
  <c r="B159" i="24"/>
  <c r="G161" i="22"/>
  <c r="CC161" i="6" s="1"/>
  <c r="AA161" i="22"/>
  <c r="Z161" i="22" s="1"/>
  <c r="Y161" i="22" s="1"/>
  <c r="W161" i="23"/>
  <c r="D161" i="23"/>
  <c r="E161" i="23" s="1"/>
  <c r="F161" i="23" s="1"/>
  <c r="B161" i="24"/>
  <c r="G210" i="22"/>
  <c r="CC210" i="6" s="1"/>
  <c r="AA210" i="22"/>
  <c r="Z210" i="22" s="1"/>
  <c r="Y210" i="22" s="1"/>
  <c r="W135" i="23"/>
  <c r="D135" i="23"/>
  <c r="E135" i="23" s="1"/>
  <c r="F135" i="23" s="1"/>
  <c r="B135" i="24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190" i="6"/>
  <c r="D190" i="6" s="1"/>
  <c r="H190" i="20"/>
  <c r="BA370" i="6"/>
  <c r="D370" i="6" s="1"/>
  <c r="H370" i="20"/>
  <c r="BA304" i="6"/>
  <c r="D304" i="6" s="1"/>
  <c r="BA202" i="6"/>
  <c r="D202" i="6" s="1"/>
  <c r="BA138" i="6"/>
  <c r="D138" i="6" s="1"/>
  <c r="H138" i="20"/>
  <c r="BA151" i="6"/>
  <c r="D151" i="6" s="1"/>
  <c r="H151" i="20"/>
  <c r="BA107" i="6"/>
  <c r="D107" i="6" s="1"/>
  <c r="BA142" i="6"/>
  <c r="D142" i="6" s="1"/>
  <c r="H142" i="20"/>
  <c r="BA260" i="6"/>
  <c r="D260" i="6" s="1"/>
  <c r="BA241" i="6"/>
  <c r="D241" i="6" s="1"/>
  <c r="H241" i="20"/>
  <c r="BA278" i="6"/>
  <c r="D278" i="6" s="1"/>
  <c r="H278" i="20"/>
  <c r="BA319" i="6"/>
  <c r="D319" i="6" s="1"/>
  <c r="BA105" i="6"/>
  <c r="D105" i="6" s="1"/>
  <c r="BA379" i="6"/>
  <c r="D379" i="6" s="1"/>
  <c r="H379" i="20"/>
  <c r="BA167" i="6"/>
  <c r="D167" i="6" s="1"/>
  <c r="BA299" i="6"/>
  <c r="D299" i="6" s="1"/>
  <c r="H299" i="20"/>
  <c r="BA55" i="6"/>
  <c r="D55" i="6" s="1"/>
  <c r="H55" i="20"/>
  <c r="BA265" i="6"/>
  <c r="D265" i="6" s="1"/>
  <c r="H265" i="20"/>
  <c r="W81" i="23"/>
  <c r="D81" i="23"/>
  <c r="E81" i="23" s="1"/>
  <c r="F81" i="23" s="1"/>
  <c r="B81" i="24"/>
  <c r="W332" i="23"/>
  <c r="D332" i="23"/>
  <c r="E332" i="23" s="1"/>
  <c r="F332" i="23" s="1"/>
  <c r="B332" i="24"/>
  <c r="D321" i="23"/>
  <c r="E321" i="23" s="1"/>
  <c r="F321" i="23" s="1"/>
  <c r="W321" i="23"/>
  <c r="B321" i="24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B207" i="25"/>
  <c r="D366" i="24"/>
  <c r="E366" i="24" s="1"/>
  <c r="F366" i="24" s="1"/>
  <c r="W366" i="24"/>
  <c r="B366" i="25"/>
  <c r="D342" i="24"/>
  <c r="E342" i="24" s="1"/>
  <c r="F342" i="24" s="1"/>
  <c r="W342" i="24"/>
  <c r="B342" i="25"/>
  <c r="W312" i="24"/>
  <c r="D312" i="24"/>
  <c r="E312" i="24" s="1"/>
  <c r="F312" i="24" s="1"/>
  <c r="B312" i="25"/>
  <c r="H240" i="20"/>
  <c r="G200" i="23"/>
  <c r="CD200" i="6" s="1"/>
  <c r="AA200" i="23"/>
  <c r="Z200" i="23" s="1"/>
  <c r="Y200" i="23" s="1"/>
  <c r="W40" i="24"/>
  <c r="B40" i="25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B350" i="24"/>
  <c r="G238" i="23"/>
  <c r="CD238" i="6" s="1"/>
  <c r="AA238" i="23"/>
  <c r="Z238" i="23" s="1"/>
  <c r="Y238" i="23" s="1"/>
  <c r="W160" i="23"/>
  <c r="D160" i="23"/>
  <c r="E160" i="23" s="1"/>
  <c r="F160" i="23" s="1"/>
  <c r="B160" i="24"/>
  <c r="D48" i="23"/>
  <c r="E48" i="23" s="1"/>
  <c r="F48" i="23" s="1"/>
  <c r="W48" i="23"/>
  <c r="B48" i="24"/>
  <c r="W307" i="23"/>
  <c r="D307" i="23"/>
  <c r="E307" i="23" s="1"/>
  <c r="F307" i="23" s="1"/>
  <c r="B307" i="24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B96" i="24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B31" i="24"/>
  <c r="G70" i="23"/>
  <c r="CD70" i="6" s="1"/>
  <c r="AA70" i="23"/>
  <c r="Z70" i="23" s="1"/>
  <c r="Y70" i="23" s="1"/>
  <c r="W37" i="23"/>
  <c r="D37" i="23"/>
  <c r="E37" i="23" s="1"/>
  <c r="F37" i="23" s="1"/>
  <c r="B37" i="24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B346" i="24"/>
  <c r="G248" i="22"/>
  <c r="CC248" i="6" s="1"/>
  <c r="AA248" i="22"/>
  <c r="Z248" i="22" s="1"/>
  <c r="Y248" i="22" s="1"/>
  <c r="W208" i="24"/>
  <c r="D208" i="24"/>
  <c r="E208" i="24" s="1"/>
  <c r="F208" i="24" s="1"/>
  <c r="B208" i="25"/>
  <c r="W363" i="24"/>
  <c r="D363" i="24"/>
  <c r="E363" i="24" s="1"/>
  <c r="F363" i="24" s="1"/>
  <c r="B363" i="25"/>
  <c r="G295" i="22"/>
  <c r="CC295" i="6" s="1"/>
  <c r="AA295" i="22"/>
  <c r="Z295" i="22" s="1"/>
  <c r="Y295" i="22" s="1"/>
  <c r="W125" i="23"/>
  <c r="D125" i="23"/>
  <c r="E125" i="23" s="1"/>
  <c r="F125" i="23" s="1"/>
  <c r="B125" i="24"/>
  <c r="G157" i="22"/>
  <c r="CC157" i="6" s="1"/>
  <c r="AA157" i="22"/>
  <c r="Z157" i="22" s="1"/>
  <c r="Y157" i="22" s="1"/>
  <c r="W305" i="24"/>
  <c r="D305" i="24"/>
  <c r="E305" i="24" s="1"/>
  <c r="F305" i="24" s="1"/>
  <c r="B305" i="25"/>
  <c r="G252" i="23"/>
  <c r="CD252" i="6" s="1"/>
  <c r="AA252" i="23"/>
  <c r="Z252" i="23" s="1"/>
  <c r="Y252" i="23" s="1"/>
  <c r="D222" i="24"/>
  <c r="E222" i="24" s="1"/>
  <c r="F222" i="24" s="1"/>
  <c r="W222" i="24"/>
  <c r="B222" i="25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B214" i="24"/>
  <c r="W198" i="23"/>
  <c r="D198" i="23"/>
  <c r="E198" i="23" s="1"/>
  <c r="F198" i="23" s="1"/>
  <c r="B198" i="24"/>
  <c r="W82" i="24"/>
  <c r="D82" i="24"/>
  <c r="E82" i="24" s="1"/>
  <c r="F82" i="24" s="1"/>
  <c r="B82" i="25"/>
  <c r="W351" i="24"/>
  <c r="D351" i="24"/>
  <c r="E351" i="24" s="1"/>
  <c r="F351" i="24" s="1"/>
  <c r="B351" i="25"/>
  <c r="W279" i="23"/>
  <c r="D279" i="23"/>
  <c r="E279" i="23" s="1"/>
  <c r="F279" i="23" s="1"/>
  <c r="B279" i="24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B184" i="24"/>
  <c r="W124" i="23"/>
  <c r="D124" i="23"/>
  <c r="E124" i="23" s="1"/>
  <c r="F124" i="23" s="1"/>
  <c r="B124" i="24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B107" i="25"/>
  <c r="W39" i="24"/>
  <c r="D39" i="24"/>
  <c r="E39" i="24" s="1"/>
  <c r="F39" i="24" s="1"/>
  <c r="B39" i="25"/>
  <c r="W146" i="24"/>
  <c r="D146" i="24"/>
  <c r="E146" i="24" s="1"/>
  <c r="F146" i="24" s="1"/>
  <c r="B146" i="25"/>
  <c r="W94" i="24"/>
  <c r="D94" i="24"/>
  <c r="E94" i="24" s="1"/>
  <c r="F94" i="24" s="1"/>
  <c r="B94" i="25"/>
  <c r="W285" i="24"/>
  <c r="D285" i="24"/>
  <c r="E285" i="24" s="1"/>
  <c r="F285" i="24" s="1"/>
  <c r="B285" i="25"/>
  <c r="W215" i="23"/>
  <c r="D215" i="23"/>
  <c r="E215" i="23" s="1"/>
  <c r="F215" i="23" s="1"/>
  <c r="B215" i="24"/>
  <c r="W181" i="23"/>
  <c r="D181" i="23"/>
  <c r="E181" i="23" s="1"/>
  <c r="F181" i="23" s="1"/>
  <c r="B181" i="24"/>
  <c r="D71" i="23"/>
  <c r="E71" i="23" s="1"/>
  <c r="F71" i="23" s="1"/>
  <c r="W71" i="23"/>
  <c r="B71" i="24"/>
  <c r="D258" i="24"/>
  <c r="E258" i="24" s="1"/>
  <c r="F258" i="24" s="1"/>
  <c r="W258" i="24"/>
  <c r="B258" i="25"/>
  <c r="G328" i="22"/>
  <c r="CC328" i="6" s="1"/>
  <c r="AA328" i="22"/>
  <c r="Z328" i="22" s="1"/>
  <c r="Y328" i="22" s="1"/>
  <c r="W268" i="23"/>
  <c r="D268" i="23"/>
  <c r="E268" i="23" s="1"/>
  <c r="F268" i="23" s="1"/>
  <c r="B268" i="24"/>
  <c r="H246" i="20"/>
  <c r="G56" i="22"/>
  <c r="CC56" i="6" s="1"/>
  <c r="AA56" i="22"/>
  <c r="Z56" i="22" s="1"/>
  <c r="Y56" i="22" s="1"/>
  <c r="W361" i="23"/>
  <c r="D361" i="23"/>
  <c r="E361" i="23" s="1"/>
  <c r="F361" i="23" s="1"/>
  <c r="B361" i="24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B278" i="25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B69" i="25"/>
  <c r="G318" i="22"/>
  <c r="CC318" i="6" s="1"/>
  <c r="AA318" i="22"/>
  <c r="Z318" i="22" s="1"/>
  <c r="Y318" i="22" s="1"/>
  <c r="D106" i="24"/>
  <c r="E106" i="24" s="1"/>
  <c r="F106" i="24" s="1"/>
  <c r="W106" i="24"/>
  <c r="B106" i="25"/>
  <c r="W99" i="23"/>
  <c r="D99" i="23"/>
  <c r="E99" i="23" s="1"/>
  <c r="F99" i="23" s="1"/>
  <c r="B99" i="24"/>
  <c r="G283" i="22"/>
  <c r="CC283" i="6" s="1"/>
  <c r="AA283" i="22"/>
  <c r="Z283" i="22" s="1"/>
  <c r="Y283" i="22" s="1"/>
  <c r="W227" i="24"/>
  <c r="D227" i="24"/>
  <c r="E227" i="24" s="1"/>
  <c r="F227" i="24" s="1"/>
  <c r="B227" i="25"/>
  <c r="W226" i="23"/>
  <c r="D226" i="23"/>
  <c r="E226" i="23" s="1"/>
  <c r="F226" i="23" s="1"/>
  <c r="B226" i="24"/>
  <c r="BA64" i="6"/>
  <c r="D64" i="6" s="1"/>
  <c r="H64" i="20"/>
  <c r="BA297" i="6"/>
  <c r="D297" i="6" s="1"/>
  <c r="BA300" i="6"/>
  <c r="D300" i="6" s="1"/>
  <c r="H300" i="20"/>
  <c r="BA164" i="6"/>
  <c r="D164" i="6" s="1"/>
  <c r="H164" i="20"/>
  <c r="BA344" i="6"/>
  <c r="D344" i="6" s="1"/>
  <c r="H344" i="20"/>
  <c r="BA23" i="6"/>
  <c r="D23" i="6" s="1"/>
  <c r="BA155" i="6"/>
  <c r="H155" i="20"/>
  <c r="BA238" i="6"/>
  <c r="D238" i="6" s="1"/>
  <c r="H238" i="20"/>
  <c r="BA97" i="6"/>
  <c r="D97" i="6" s="1"/>
  <c r="H97" i="20"/>
  <c r="BA43" i="6"/>
  <c r="H43" i="20"/>
  <c r="BA337" i="6"/>
  <c r="BA259" i="6"/>
  <c r="D259" i="6" s="1"/>
  <c r="H259" i="20"/>
  <c r="BA136" i="6"/>
  <c r="D136" i="6" s="1"/>
  <c r="H136" i="20"/>
  <c r="BA348" i="6"/>
  <c r="D348" i="6" s="1"/>
  <c r="H348" i="20"/>
  <c r="BA306" i="6"/>
  <c r="D306" i="6" s="1"/>
  <c r="BA193" i="6"/>
  <c r="D193" i="6" s="1"/>
  <c r="H193" i="20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B236" i="24"/>
  <c r="W299" i="24"/>
  <c r="D299" i="24"/>
  <c r="E299" i="24" s="1"/>
  <c r="F299" i="24" s="1"/>
  <c r="B299" i="25"/>
  <c r="W356" i="23"/>
  <c r="D356" i="23"/>
  <c r="E356" i="23" s="1"/>
  <c r="F356" i="23" s="1"/>
  <c r="B356" i="24"/>
  <c r="W206" i="23"/>
  <c r="D206" i="23"/>
  <c r="E206" i="23" s="1"/>
  <c r="F206" i="23" s="1"/>
  <c r="B206" i="24"/>
  <c r="G44" i="22"/>
  <c r="CC44" i="6" s="1"/>
  <c r="AA44" i="22"/>
  <c r="Z44" i="22" s="1"/>
  <c r="Y44" i="22" s="1"/>
  <c r="W24" i="23"/>
  <c r="D24" i="23"/>
  <c r="E24" i="23" s="1"/>
  <c r="F24" i="23" s="1"/>
  <c r="B24" i="24"/>
  <c r="G345" i="22"/>
  <c r="CC345" i="6" s="1"/>
  <c r="AA345" i="22"/>
  <c r="Z345" i="22" s="1"/>
  <c r="Y345" i="22" s="1"/>
  <c r="W133" i="23"/>
  <c r="D133" i="23"/>
  <c r="E133" i="23" s="1"/>
  <c r="F133" i="23" s="1"/>
  <c r="B133" i="24"/>
  <c r="G115" i="22"/>
  <c r="CC115" i="6" s="1"/>
  <c r="AA115" i="22"/>
  <c r="Z115" i="22" s="1"/>
  <c r="Y115" i="22" s="1"/>
  <c r="W234" i="23"/>
  <c r="D234" i="23"/>
  <c r="E234" i="23" s="1"/>
  <c r="F234" i="23" s="1"/>
  <c r="B234" i="24"/>
  <c r="D257" i="24"/>
  <c r="E257" i="24" s="1"/>
  <c r="F257" i="24" s="1"/>
  <c r="W257" i="24"/>
  <c r="B257" i="25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B80" i="25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B320" i="25"/>
  <c r="W260" i="24"/>
  <c r="D260" i="24"/>
  <c r="E260" i="24" s="1"/>
  <c r="F260" i="24" s="1"/>
  <c r="B260" i="25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B88" i="24"/>
  <c r="W241" i="24"/>
  <c r="D241" i="24"/>
  <c r="E241" i="24" s="1"/>
  <c r="F241" i="24" s="1"/>
  <c r="B241" i="25"/>
  <c r="AA272" i="22"/>
  <c r="Z272" i="22" s="1"/>
  <c r="Y272" i="22" s="1"/>
  <c r="G272" i="22"/>
  <c r="CC272" i="6" s="1"/>
  <c r="W272" i="23"/>
  <c r="D272" i="23"/>
  <c r="E272" i="23" s="1"/>
  <c r="F272" i="23" s="1"/>
  <c r="B272" i="24"/>
  <c r="W22" i="23"/>
  <c r="D22" i="23"/>
  <c r="E22" i="23" s="1"/>
  <c r="F22" i="23" s="1"/>
  <c r="B22" i="24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B378" i="24"/>
  <c r="W137" i="23"/>
  <c r="D137" i="23"/>
  <c r="E137" i="23" s="1"/>
  <c r="F137" i="23" s="1"/>
  <c r="B137" i="24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B102" i="24"/>
  <c r="W355" i="23"/>
  <c r="D355" i="23"/>
  <c r="E355" i="23" s="1"/>
  <c r="F355" i="23" s="1"/>
  <c r="B355" i="24"/>
  <c r="W199" i="24"/>
  <c r="D199" i="24"/>
  <c r="E199" i="24" s="1"/>
  <c r="F199" i="24" s="1"/>
  <c r="B199" i="25"/>
  <c r="W25" i="23"/>
  <c r="D25" i="23"/>
  <c r="E25" i="23" s="1"/>
  <c r="F25" i="23" s="1"/>
  <c r="B25" i="24"/>
  <c r="G25" i="22"/>
  <c r="CC25" i="6" s="1"/>
  <c r="AA25" i="22"/>
  <c r="Z25" i="22" s="1"/>
  <c r="Y25" i="22" s="1"/>
  <c r="W370" i="24"/>
  <c r="D370" i="24"/>
  <c r="E370" i="24" s="1"/>
  <c r="F370" i="24" s="1"/>
  <c r="B370" i="25"/>
  <c r="W202" i="24"/>
  <c r="D202" i="24"/>
  <c r="E202" i="24" s="1"/>
  <c r="F202" i="24" s="1"/>
  <c r="B202" i="25"/>
  <c r="G138" i="23"/>
  <c r="CD138" i="6" s="1"/>
  <c r="AA138" i="23"/>
  <c r="Z138" i="23" s="1"/>
  <c r="Y138" i="23" s="1"/>
  <c r="AA28" i="23"/>
  <c r="Z28" i="23" s="1"/>
  <c r="Y28" i="23" s="1"/>
  <c r="G28" i="23"/>
  <c r="CD28" i="6" s="1"/>
  <c r="H288" i="20"/>
  <c r="W288" i="23"/>
  <c r="D288" i="23"/>
  <c r="E288" i="23" s="1"/>
  <c r="F288" i="23" s="1"/>
  <c r="B288" i="24"/>
  <c r="G359" i="23"/>
  <c r="CD359" i="6" s="1"/>
  <c r="AA359" i="23"/>
  <c r="Z359" i="23" s="1"/>
  <c r="Y359" i="23" s="1"/>
  <c r="W313" i="24"/>
  <c r="D313" i="24"/>
  <c r="E313" i="24" s="1"/>
  <c r="F313" i="24" s="1"/>
  <c r="B313" i="25"/>
  <c r="W245" i="23"/>
  <c r="D245" i="23"/>
  <c r="E245" i="23" s="1"/>
  <c r="F245" i="23" s="1"/>
  <c r="B245" i="24"/>
  <c r="G203" i="22"/>
  <c r="CC203" i="6" s="1"/>
  <c r="AA203" i="22"/>
  <c r="Z203" i="22" s="1"/>
  <c r="Y203" i="22" s="1"/>
  <c r="W169" i="23"/>
  <c r="D169" i="23"/>
  <c r="E169" i="23" s="1"/>
  <c r="F169" i="23" s="1"/>
  <c r="B169" i="24"/>
  <c r="W218" i="23"/>
  <c r="D218" i="23"/>
  <c r="E218" i="23" s="1"/>
  <c r="F218" i="23" s="1"/>
  <c r="B218" i="24"/>
  <c r="W188" i="23"/>
  <c r="D188" i="23"/>
  <c r="E188" i="23" s="1"/>
  <c r="F188" i="23" s="1"/>
  <c r="B188" i="24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B86" i="24"/>
  <c r="W303" i="23"/>
  <c r="D303" i="23"/>
  <c r="E303" i="23" s="1"/>
  <c r="F303" i="23" s="1"/>
  <c r="B303" i="24"/>
  <c r="W275" i="23"/>
  <c r="D275" i="23"/>
  <c r="E275" i="23" s="1"/>
  <c r="F275" i="23" s="1"/>
  <c r="B275" i="24"/>
  <c r="G195" i="23"/>
  <c r="CD195" i="6" s="1"/>
  <c r="AA195" i="23"/>
  <c r="Z195" i="23" s="1"/>
  <c r="Y195" i="23" s="1"/>
  <c r="W131" i="24"/>
  <c r="D131" i="24"/>
  <c r="E131" i="24" s="1"/>
  <c r="F131" i="24" s="1"/>
  <c r="B131" i="25"/>
  <c r="W79" i="24"/>
  <c r="D79" i="24"/>
  <c r="E79" i="24" s="1"/>
  <c r="F79" i="24" s="1"/>
  <c r="B79" i="25"/>
  <c r="AA47" i="23"/>
  <c r="Z47" i="23" s="1"/>
  <c r="Y47" i="23" s="1"/>
  <c r="G47" i="23"/>
  <c r="CD47" i="6" s="1"/>
  <c r="W21" i="23"/>
  <c r="D21" i="23"/>
  <c r="E21" i="23" s="1"/>
  <c r="F21" i="23" s="1"/>
  <c r="B21" i="24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D253" i="6"/>
  <c r="W171" i="23"/>
  <c r="D171" i="23"/>
  <c r="E171" i="23" s="1"/>
  <c r="F171" i="23" s="1"/>
  <c r="B171" i="24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B298" i="25"/>
  <c r="W365" i="23"/>
  <c r="D365" i="23"/>
  <c r="E365" i="23" s="1"/>
  <c r="F365" i="23" s="1"/>
  <c r="B365" i="24"/>
  <c r="G60" i="22"/>
  <c r="CC60" i="6" s="1"/>
  <c r="AA60" i="22"/>
  <c r="Z60" i="22" s="1"/>
  <c r="Y60" i="22" s="1"/>
  <c r="W263" i="23"/>
  <c r="D263" i="23"/>
  <c r="E263" i="23" s="1"/>
  <c r="F263" i="23" s="1"/>
  <c r="B263" i="24"/>
  <c r="G77" i="22"/>
  <c r="CC77" i="6" s="1"/>
  <c r="AA77" i="22"/>
  <c r="Z77" i="22" s="1"/>
  <c r="Y77" i="22" s="1"/>
  <c r="H135" i="20"/>
  <c r="W177" i="24"/>
  <c r="D177" i="24"/>
  <c r="E177" i="24" s="1"/>
  <c r="F177" i="24" s="1"/>
  <c r="B177" i="25"/>
  <c r="W150" i="23"/>
  <c r="D150" i="23"/>
  <c r="E150" i="23" s="1"/>
  <c r="F150" i="23" s="1"/>
  <c r="B150" i="24"/>
  <c r="BA227" i="6"/>
  <c r="D227" i="6" s="1"/>
  <c r="BA224" i="6"/>
  <c r="D224" i="6" s="1"/>
  <c r="BA353" i="6"/>
  <c r="D353" i="6" s="1"/>
  <c r="BA94" i="6"/>
  <c r="D94" i="6" s="1"/>
  <c r="BA286" i="6"/>
  <c r="D286" i="6" s="1"/>
  <c r="BA242" i="6"/>
  <c r="D242" i="6" s="1"/>
  <c r="BA200" i="6"/>
  <c r="D200" i="6" s="1"/>
  <c r="BA91" i="6"/>
  <c r="D91" i="6" s="1"/>
  <c r="BA172" i="6"/>
  <c r="D172" i="6" s="1"/>
  <c r="BA122" i="6"/>
  <c r="D122" i="6" s="1"/>
  <c r="BA146" i="6"/>
  <c r="D146" i="6" s="1"/>
  <c r="BA195" i="6"/>
  <c r="D195" i="6" s="1"/>
  <c r="H195" i="20"/>
  <c r="BA320" i="6"/>
  <c r="D320" i="6" s="1"/>
  <c r="BA276" i="6"/>
  <c r="D276" i="6" s="1"/>
  <c r="BA230" i="6"/>
  <c r="D230" i="6" s="1"/>
  <c r="BA149" i="6"/>
  <c r="D149" i="6" s="1"/>
  <c r="H81" i="20"/>
  <c r="G182" i="22"/>
  <c r="CC182" i="6" s="1"/>
  <c r="AA182" i="22"/>
  <c r="Z182" i="22" s="1"/>
  <c r="Y182" i="22" s="1"/>
  <c r="W289" i="23"/>
  <c r="D289" i="23"/>
  <c r="E289" i="23" s="1"/>
  <c r="F289" i="23" s="1"/>
  <c r="B289" i="24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B240" i="24"/>
  <c r="D190" i="24"/>
  <c r="E190" i="24" s="1"/>
  <c r="F190" i="24" s="1"/>
  <c r="W190" i="24"/>
  <c r="B190" i="25"/>
  <c r="G72" i="22"/>
  <c r="CC72" i="6" s="1"/>
  <c r="AA72" i="22"/>
  <c r="Z72" i="22" s="1"/>
  <c r="Y72" i="22" s="1"/>
  <c r="D217" i="24"/>
  <c r="E217" i="24" s="1"/>
  <c r="F217" i="24" s="1"/>
  <c r="W217" i="24"/>
  <c r="B217" i="25"/>
  <c r="D85" i="23"/>
  <c r="E85" i="23" s="1"/>
  <c r="F85" i="23" s="1"/>
  <c r="W85" i="23"/>
  <c r="B85" i="24"/>
  <c r="AA360" i="23"/>
  <c r="Z360" i="23" s="1"/>
  <c r="Y360" i="23" s="1"/>
  <c r="G360" i="23"/>
  <c r="CD360" i="6" s="1"/>
  <c r="W322" i="23"/>
  <c r="D322" i="23"/>
  <c r="E322" i="23" s="1"/>
  <c r="F322" i="23" s="1"/>
  <c r="B322" i="24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B122" i="25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B143" i="24"/>
  <c r="D65" i="23"/>
  <c r="E65" i="23" s="1"/>
  <c r="F65" i="23" s="1"/>
  <c r="W65" i="23"/>
  <c r="B65" i="24"/>
  <c r="W372" i="23"/>
  <c r="D372" i="23"/>
  <c r="E372" i="23" s="1"/>
  <c r="F372" i="23" s="1"/>
  <c r="B372" i="24"/>
  <c r="W148" i="23"/>
  <c r="D148" i="23"/>
  <c r="E148" i="23" s="1"/>
  <c r="F148" i="23" s="1"/>
  <c r="B148" i="24"/>
  <c r="AA293" i="23"/>
  <c r="Z293" i="23" s="1"/>
  <c r="Y293" i="23" s="1"/>
  <c r="G293" i="23"/>
  <c r="CD293" i="6" s="1"/>
  <c r="W293" i="24"/>
  <c r="D293" i="24"/>
  <c r="E293" i="24" s="1"/>
  <c r="F293" i="24" s="1"/>
  <c r="B293" i="25"/>
  <c r="D201" i="23"/>
  <c r="E201" i="23" s="1"/>
  <c r="F201" i="23" s="1"/>
  <c r="W201" i="23"/>
  <c r="B201" i="24"/>
  <c r="G145" i="22"/>
  <c r="CC145" i="6" s="1"/>
  <c r="AA145" i="22"/>
  <c r="Z145" i="22" s="1"/>
  <c r="Y145" i="22" s="1"/>
  <c r="D110" i="23"/>
  <c r="E110" i="23" s="1"/>
  <c r="F110" i="23" s="1"/>
  <c r="W110" i="23"/>
  <c r="B110" i="24"/>
  <c r="W185" i="23"/>
  <c r="D185" i="23"/>
  <c r="E185" i="23" s="1"/>
  <c r="F185" i="23" s="1"/>
  <c r="B185" i="24"/>
  <c r="D63" i="24"/>
  <c r="E63" i="24" s="1"/>
  <c r="F63" i="24" s="1"/>
  <c r="W63" i="24"/>
  <c r="B63" i="25"/>
  <c r="G154" i="23"/>
  <c r="CD154" i="6" s="1"/>
  <c r="AA154" i="23"/>
  <c r="Z154" i="23" s="1"/>
  <c r="Y154" i="23" s="1"/>
  <c r="W16" i="24"/>
  <c r="D16" i="24"/>
  <c r="E16" i="24" s="1"/>
  <c r="F16" i="24" s="1"/>
  <c r="B16" i="25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B90" i="24"/>
  <c r="G340" i="22"/>
  <c r="CC340" i="6" s="1"/>
  <c r="AA340" i="22"/>
  <c r="Z340" i="22" s="1"/>
  <c r="Y340" i="22" s="1"/>
  <c r="W286" i="24"/>
  <c r="D286" i="24"/>
  <c r="E286" i="24" s="1"/>
  <c r="F286" i="24" s="1"/>
  <c r="B286" i="25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B58" i="24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B109" i="24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B262" i="25"/>
  <c r="G139" i="22"/>
  <c r="CC139" i="6" s="1"/>
  <c r="AA139" i="22"/>
  <c r="Z139" i="22" s="1"/>
  <c r="Y139" i="22" s="1"/>
  <c r="W53" i="23"/>
  <c r="D53" i="23"/>
  <c r="E53" i="23" s="1"/>
  <c r="F53" i="23" s="1"/>
  <c r="B53" i="24"/>
  <c r="G334" i="22"/>
  <c r="CC334" i="6" s="1"/>
  <c r="AA334" i="22"/>
  <c r="Z334" i="22" s="1"/>
  <c r="Y334" i="22" s="1"/>
  <c r="W336" i="24"/>
  <c r="D336" i="24"/>
  <c r="E336" i="24" s="1"/>
  <c r="F336" i="24" s="1"/>
  <c r="B336" i="25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B83" i="25"/>
  <c r="W55" i="24"/>
  <c r="D55" i="24"/>
  <c r="E55" i="24" s="1"/>
  <c r="F55" i="24" s="1"/>
  <c r="B55" i="25"/>
  <c r="W265" i="24"/>
  <c r="D265" i="24"/>
  <c r="E265" i="24" s="1"/>
  <c r="F265" i="24" s="1"/>
  <c r="B265" i="25"/>
  <c r="W130" i="24"/>
  <c r="D130" i="24"/>
  <c r="E130" i="24" s="1"/>
  <c r="F130" i="24" s="1"/>
  <c r="B130" i="25"/>
  <c r="W253" i="23"/>
  <c r="D253" i="23"/>
  <c r="E253" i="23" s="1"/>
  <c r="F253" i="23" s="1"/>
  <c r="B253" i="24"/>
  <c r="W369" i="23"/>
  <c r="D369" i="23"/>
  <c r="E369" i="23" s="1"/>
  <c r="F369" i="23" s="1"/>
  <c r="B369" i="24"/>
  <c r="G347" i="22"/>
  <c r="CC347" i="6" s="1"/>
  <c r="AA347" i="22"/>
  <c r="Z347" i="22" s="1"/>
  <c r="Y347" i="22" s="1"/>
  <c r="W376" i="23"/>
  <c r="D376" i="23"/>
  <c r="E376" i="23" s="1"/>
  <c r="F376" i="23" s="1"/>
  <c r="B376" i="24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B333" i="24"/>
  <c r="G33" i="23"/>
  <c r="CD33" i="6" s="1"/>
  <c r="AA33" i="23"/>
  <c r="Z33" i="23" s="1"/>
  <c r="Y33" i="23" s="1"/>
  <c r="W352" i="23"/>
  <c r="D352" i="23"/>
  <c r="E352" i="23" s="1"/>
  <c r="F352" i="23" s="1"/>
  <c r="B352" i="24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B29" i="24"/>
  <c r="W379" i="24"/>
  <c r="D379" i="24"/>
  <c r="E379" i="24" s="1"/>
  <c r="F379" i="24" s="1"/>
  <c r="B379" i="25"/>
  <c r="BA377" i="6"/>
  <c r="D377" i="6" s="1"/>
  <c r="BA57" i="6"/>
  <c r="BA166" i="6"/>
  <c r="D166" i="6" s="1"/>
  <c r="BA216" i="6"/>
  <c r="D216" i="6" s="1"/>
  <c r="BA298" i="6"/>
  <c r="D298" i="6" s="1"/>
  <c r="BA222" i="6"/>
  <c r="D222" i="6" s="1"/>
  <c r="BA262" i="6"/>
  <c r="D262" i="6" s="1"/>
  <c r="BA80" i="6"/>
  <c r="D80" i="6" s="1"/>
  <c r="BA189" i="6"/>
  <c r="D189" i="6" s="1"/>
  <c r="BA69" i="6"/>
  <c r="D69" i="6" s="1"/>
  <c r="BA231" i="6"/>
  <c r="D231" i="6" s="1"/>
  <c r="BA83" i="6"/>
  <c r="D83" i="6" s="1"/>
  <c r="BA258" i="6"/>
  <c r="D258" i="6" s="1"/>
  <c r="BA33" i="6"/>
  <c r="D33" i="6" s="1"/>
  <c r="BA207" i="6"/>
  <c r="D207" i="6" s="1"/>
  <c r="BA92" i="6"/>
  <c r="D92" i="6" s="1"/>
  <c r="BA212" i="6"/>
  <c r="D212" i="6" s="1"/>
  <c r="BA359" i="6"/>
  <c r="D359" i="6" s="1"/>
  <c r="BA358" i="6"/>
  <c r="D358" i="6" s="1"/>
  <c r="BA174" i="6"/>
  <c r="D174" i="6" s="1"/>
  <c r="J176" i="20" l="1"/>
  <c r="J143" i="20"/>
  <c r="J282" i="20"/>
  <c r="J150" i="20"/>
  <c r="J289" i="20"/>
  <c r="J121" i="20"/>
  <c r="J314" i="20"/>
  <c r="J73" i="20"/>
  <c r="D152" i="24"/>
  <c r="E152" i="24" s="1"/>
  <c r="F152" i="24" s="1"/>
  <c r="G152" i="24" s="1"/>
  <c r="CE152" i="6" s="1"/>
  <c r="B108" i="25"/>
  <c r="D108" i="25" s="1"/>
  <c r="E108" i="25" s="1"/>
  <c r="F108" i="25" s="1"/>
  <c r="J250" i="20"/>
  <c r="J88" i="20"/>
  <c r="B167" i="25"/>
  <c r="W167" i="25" s="1"/>
  <c r="H198" i="20"/>
  <c r="I198" i="20" s="1"/>
  <c r="H198" i="22" s="1"/>
  <c r="I198" i="22" s="1"/>
  <c r="H198" i="23" s="1"/>
  <c r="H350" i="20"/>
  <c r="I350" i="20" s="1"/>
  <c r="H350" i="22" s="1"/>
  <c r="I350" i="22" s="1"/>
  <c r="H350" i="23" s="1"/>
  <c r="H144" i="20"/>
  <c r="J144" i="20" s="1"/>
  <c r="H352" i="20"/>
  <c r="I352" i="20" s="1"/>
  <c r="H352" i="22" s="1"/>
  <c r="I352" i="22" s="1"/>
  <c r="H352" i="23" s="1"/>
  <c r="J203" i="20"/>
  <c r="W167" i="24"/>
  <c r="AA155" i="23"/>
  <c r="Z155" i="23" s="1"/>
  <c r="Y155" i="23" s="1"/>
  <c r="D136" i="24"/>
  <c r="E136" i="24" s="1"/>
  <c r="F136" i="24" s="1"/>
  <c r="AA136" i="24" s="1"/>
  <c r="Z136" i="24" s="1"/>
  <c r="Y136" i="24" s="1"/>
  <c r="B95" i="25"/>
  <c r="W95" i="25" s="1"/>
  <c r="B359" i="25"/>
  <c r="W359" i="25" s="1"/>
  <c r="H34" i="20"/>
  <c r="I34" i="20" s="1"/>
  <c r="H34" i="22" s="1"/>
  <c r="I34" i="22" s="1"/>
  <c r="H34" i="23" s="1"/>
  <c r="H365" i="20"/>
  <c r="J365" i="20" s="1"/>
  <c r="J283" i="20"/>
  <c r="J333" i="20"/>
  <c r="J98" i="20"/>
  <c r="J156" i="20"/>
  <c r="J159" i="20"/>
  <c r="J272" i="20"/>
  <c r="J89" i="20"/>
  <c r="H188" i="20"/>
  <c r="J188" i="20" s="1"/>
  <c r="J67" i="20"/>
  <c r="J44" i="20"/>
  <c r="J128" i="20"/>
  <c r="H139" i="20"/>
  <c r="I139" i="20" s="1"/>
  <c r="H139" i="22" s="1"/>
  <c r="J328" i="20"/>
  <c r="J223" i="20"/>
  <c r="H292" i="20"/>
  <c r="J292" i="20" s="1"/>
  <c r="J25" i="20"/>
  <c r="J347" i="20"/>
  <c r="J349" i="20"/>
  <c r="H274" i="20"/>
  <c r="I274" i="20" s="1"/>
  <c r="H274" i="22" s="1"/>
  <c r="I274" i="22" s="1"/>
  <c r="H274" i="23" s="1"/>
  <c r="H311" i="20"/>
  <c r="J311" i="20" s="1"/>
  <c r="H24" i="20"/>
  <c r="I24" i="20" s="1"/>
  <c r="H24" i="22" s="1"/>
  <c r="I24" i="22" s="1"/>
  <c r="H24" i="23" s="1"/>
  <c r="H137" i="20"/>
  <c r="J137" i="20" s="1"/>
  <c r="H236" i="20"/>
  <c r="J236" i="20" s="1"/>
  <c r="AA211" i="23"/>
  <c r="Z211" i="23" s="1"/>
  <c r="Y211" i="23" s="1"/>
  <c r="H77" i="20"/>
  <c r="I77" i="20" s="1"/>
  <c r="H77" i="22" s="1"/>
  <c r="J169" i="20"/>
  <c r="H378" i="20"/>
  <c r="J378" i="20" s="1"/>
  <c r="H356" i="20"/>
  <c r="J356" i="20" s="1"/>
  <c r="H31" i="20"/>
  <c r="J31" i="20" s="1"/>
  <c r="J187" i="20"/>
  <c r="H184" i="20"/>
  <c r="I184" i="20" s="1"/>
  <c r="H184" i="22" s="1"/>
  <c r="I184" i="22" s="1"/>
  <c r="H184" i="23" s="1"/>
  <c r="D54" i="24"/>
  <c r="E54" i="24" s="1"/>
  <c r="F54" i="24" s="1"/>
  <c r="AA54" i="24" s="1"/>
  <c r="Z54" i="24" s="1"/>
  <c r="Y54" i="24" s="1"/>
  <c r="J85" i="20"/>
  <c r="J114" i="20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H210" i="20"/>
  <c r="I210" i="20" s="1"/>
  <c r="H210" i="22" s="1"/>
  <c r="H125" i="20"/>
  <c r="I125" i="20" s="1"/>
  <c r="H125" i="22" s="1"/>
  <c r="I125" i="22" s="1"/>
  <c r="H125" i="23" s="1"/>
  <c r="H65" i="20"/>
  <c r="I65" i="20" s="1"/>
  <c r="H65" i="22" s="1"/>
  <c r="I65" i="22" s="1"/>
  <c r="H65" i="23" s="1"/>
  <c r="H148" i="20"/>
  <c r="I148" i="20" s="1"/>
  <c r="H148" i="22" s="1"/>
  <c r="I148" i="22" s="1"/>
  <c r="H148" i="23" s="1"/>
  <c r="H233" i="20"/>
  <c r="J233" i="20" s="1"/>
  <c r="H309" i="20"/>
  <c r="I309" i="20" s="1"/>
  <c r="H309" i="22" s="1"/>
  <c r="I309" i="22" s="1"/>
  <c r="H309" i="23" s="1"/>
  <c r="H373" i="20"/>
  <c r="I373" i="20" s="1"/>
  <c r="H373" i="22" s="1"/>
  <c r="I373" i="22" s="1"/>
  <c r="H373" i="23" s="1"/>
  <c r="H273" i="20"/>
  <c r="J273" i="20" s="1"/>
  <c r="H205" i="23"/>
  <c r="J205" i="23" s="1"/>
  <c r="W59" i="24"/>
  <c r="W50" i="24"/>
  <c r="B300" i="25"/>
  <c r="W300" i="25" s="1"/>
  <c r="D59" i="24"/>
  <c r="E59" i="24" s="1"/>
  <c r="F59" i="24" s="1"/>
  <c r="AA59" i="24" s="1"/>
  <c r="Z59" i="24" s="1"/>
  <c r="Y59" i="24" s="1"/>
  <c r="G363" i="23"/>
  <c r="CD363" i="6" s="1"/>
  <c r="AA269" i="23"/>
  <c r="Z269" i="23" s="1"/>
  <c r="Y269" i="23" s="1"/>
  <c r="B297" i="25"/>
  <c r="D297" i="25" s="1"/>
  <c r="E297" i="25" s="1"/>
  <c r="F297" i="25" s="1"/>
  <c r="W353" i="24"/>
  <c r="G259" i="23"/>
  <c r="CD259" i="6" s="1"/>
  <c r="W95" i="24"/>
  <c r="D316" i="24"/>
  <c r="E316" i="24" s="1"/>
  <c r="F316" i="24" s="1"/>
  <c r="G316" i="24" s="1"/>
  <c r="CE316" i="6" s="1"/>
  <c r="AA170" i="23"/>
  <c r="Z170" i="23" s="1"/>
  <c r="Y170" i="23" s="1"/>
  <c r="G231" i="23"/>
  <c r="CD231" i="6" s="1"/>
  <c r="AA152" i="23"/>
  <c r="Z152" i="23" s="1"/>
  <c r="Y152" i="23" s="1"/>
  <c r="W23" i="24"/>
  <c r="AA300" i="23"/>
  <c r="Z300" i="23" s="1"/>
  <c r="Y300" i="23" s="1"/>
  <c r="D212" i="24"/>
  <c r="E212" i="24" s="1"/>
  <c r="F212" i="24" s="1"/>
  <c r="AA212" i="24" s="1"/>
  <c r="Z212" i="24" s="1"/>
  <c r="Y212" i="24" s="1"/>
  <c r="AA108" i="23"/>
  <c r="Z108" i="23" s="1"/>
  <c r="Y108" i="23" s="1"/>
  <c r="G205" i="23"/>
  <c r="CD205" i="6" s="1"/>
  <c r="D306" i="24"/>
  <c r="E306" i="24" s="1"/>
  <c r="F306" i="24" s="1"/>
  <c r="AA306" i="24" s="1"/>
  <c r="Z306" i="24" s="1"/>
  <c r="Y306" i="24" s="1"/>
  <c r="D331" i="24"/>
  <c r="E331" i="24" s="1"/>
  <c r="F331" i="24" s="1"/>
  <c r="G331" i="24" s="1"/>
  <c r="CE331" i="6" s="1"/>
  <c r="AA197" i="23"/>
  <c r="Z197" i="23" s="1"/>
  <c r="Y197" i="23" s="1"/>
  <c r="B155" i="25"/>
  <c r="W155" i="25" s="1"/>
  <c r="D270" i="24"/>
  <c r="E270" i="24" s="1"/>
  <c r="F270" i="24" s="1"/>
  <c r="AA270" i="24" s="1"/>
  <c r="Z270" i="24" s="1"/>
  <c r="Y270" i="24" s="1"/>
  <c r="W301" i="24"/>
  <c r="B23" i="25"/>
  <c r="D23" i="25" s="1"/>
  <c r="E23" i="25" s="1"/>
  <c r="F23" i="25" s="1"/>
  <c r="B212" i="25"/>
  <c r="D212" i="25" s="1"/>
  <c r="E212" i="25" s="1"/>
  <c r="F212" i="25" s="1"/>
  <c r="D28" i="24"/>
  <c r="E28" i="24" s="1"/>
  <c r="F28" i="24" s="1"/>
  <c r="G28" i="24" s="1"/>
  <c r="CE28" i="6" s="1"/>
  <c r="D108" i="24"/>
  <c r="E108" i="24" s="1"/>
  <c r="F108" i="24" s="1"/>
  <c r="AA108" i="24" s="1"/>
  <c r="Z108" i="24" s="1"/>
  <c r="Y108" i="24" s="1"/>
  <c r="B152" i="25"/>
  <c r="D152" i="25" s="1"/>
  <c r="E152" i="25" s="1"/>
  <c r="F152" i="25" s="1"/>
  <c r="AA208" i="23"/>
  <c r="Z208" i="23" s="1"/>
  <c r="Y208" i="23" s="1"/>
  <c r="D129" i="24"/>
  <c r="E129" i="24" s="1"/>
  <c r="F129" i="24" s="1"/>
  <c r="G129" i="24" s="1"/>
  <c r="CE129" i="6" s="1"/>
  <c r="W30" i="24"/>
  <c r="B306" i="25"/>
  <c r="W306" i="25" s="1"/>
  <c r="B331" i="25"/>
  <c r="W331" i="25" s="1"/>
  <c r="AA306" i="23"/>
  <c r="Z306" i="23" s="1"/>
  <c r="Y306" i="23" s="1"/>
  <c r="D211" i="24"/>
  <c r="E211" i="24" s="1"/>
  <c r="F211" i="24" s="1"/>
  <c r="G211" i="24" s="1"/>
  <c r="CE211" i="6" s="1"/>
  <c r="B211" i="25"/>
  <c r="D211" i="25" s="1"/>
  <c r="E211" i="25" s="1"/>
  <c r="F211" i="25" s="1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B50" i="25"/>
  <c r="W50" i="25" s="1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AA19" i="24" s="1"/>
  <c r="Z19" i="24" s="1"/>
  <c r="Y19" i="24" s="1"/>
  <c r="G192" i="23"/>
  <c r="CD192" i="6" s="1"/>
  <c r="AA224" i="23"/>
  <c r="Z224" i="23" s="1"/>
  <c r="Y224" i="23" s="1"/>
  <c r="B327" i="25"/>
  <c r="D327" i="25" s="1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B323" i="25"/>
  <c r="W323" i="25" s="1"/>
  <c r="G358" i="23"/>
  <c r="CD358" i="6" s="1"/>
  <c r="B329" i="25"/>
  <c r="D329" i="25" s="1"/>
  <c r="E329" i="25" s="1"/>
  <c r="F329" i="25" s="1"/>
  <c r="B19" i="25"/>
  <c r="D19" i="25" s="1"/>
  <c r="E19" i="25" s="1"/>
  <c r="F19" i="25" s="1"/>
  <c r="D327" i="24"/>
  <c r="E327" i="24" s="1"/>
  <c r="F327" i="24" s="1"/>
  <c r="G327" i="24" s="1"/>
  <c r="CE327" i="6" s="1"/>
  <c r="B269" i="25"/>
  <c r="W269" i="25" s="1"/>
  <c r="B237" i="25"/>
  <c r="W237" i="25" s="1"/>
  <c r="G301" i="23"/>
  <c r="CD301" i="6" s="1"/>
  <c r="B205" i="25"/>
  <c r="W205" i="25" s="1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G348" i="24" s="1"/>
  <c r="CE348" i="6" s="1"/>
  <c r="B54" i="25"/>
  <c r="W54" i="25" s="1"/>
  <c r="B70" i="25"/>
  <c r="D70" i="25" s="1"/>
  <c r="E70" i="25" s="1"/>
  <c r="F70" i="25" s="1"/>
  <c r="B348" i="25"/>
  <c r="D348" i="25" s="1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B28" i="25"/>
  <c r="W28" i="25" s="1"/>
  <c r="B377" i="25"/>
  <c r="W377" i="25" s="1"/>
  <c r="D335" i="24"/>
  <c r="E335" i="24" s="1"/>
  <c r="F335" i="24" s="1"/>
  <c r="G335" i="24" s="1"/>
  <c r="CE335" i="6" s="1"/>
  <c r="B30" i="25"/>
  <c r="W30" i="25" s="1"/>
  <c r="W359" i="24"/>
  <c r="G94" i="23"/>
  <c r="CD94" i="6" s="1"/>
  <c r="B129" i="25"/>
  <c r="W129" i="25" s="1"/>
  <c r="W377" i="24"/>
  <c r="D224" i="24"/>
  <c r="E224" i="24" s="1"/>
  <c r="F224" i="24" s="1"/>
  <c r="G224" i="24" s="1"/>
  <c r="CE224" i="6" s="1"/>
  <c r="B353" i="25"/>
  <c r="W353" i="25" s="1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B136" i="25"/>
  <c r="D136" i="25" s="1"/>
  <c r="E136" i="25" s="1"/>
  <c r="F136" i="25" s="1"/>
  <c r="B270" i="25"/>
  <c r="D270" i="25" s="1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B335" i="25"/>
  <c r="W335" i="25" s="1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B43" i="25"/>
  <c r="D43" i="25" s="1"/>
  <c r="E43" i="25" s="1"/>
  <c r="F43" i="25" s="1"/>
  <c r="B301" i="25"/>
  <c r="W301" i="25" s="1"/>
  <c r="B316" i="25"/>
  <c r="W316" i="25" s="1"/>
  <c r="I347" i="20"/>
  <c r="H347" i="22" s="1"/>
  <c r="I347" i="22" s="1"/>
  <c r="H347" i="23" s="1"/>
  <c r="AA255" i="23"/>
  <c r="Z255" i="23" s="1"/>
  <c r="Y255" i="23" s="1"/>
  <c r="I272" i="20"/>
  <c r="H272" i="22" s="1"/>
  <c r="I272" i="22" s="1"/>
  <c r="H272" i="23" s="1"/>
  <c r="B164" i="25"/>
  <c r="D164" i="25" s="1"/>
  <c r="E164" i="25" s="1"/>
  <c r="F164" i="25" s="1"/>
  <c r="I296" i="20"/>
  <c r="H296" i="22" s="1"/>
  <c r="I296" i="22" s="1"/>
  <c r="H296" i="23" s="1"/>
  <c r="B358" i="25"/>
  <c r="D358" i="25" s="1"/>
  <c r="E358" i="25" s="1"/>
  <c r="F358" i="25" s="1"/>
  <c r="G35" i="23"/>
  <c r="CD35" i="6" s="1"/>
  <c r="B192" i="25"/>
  <c r="W192" i="25" s="1"/>
  <c r="B179" i="25"/>
  <c r="D179" i="25" s="1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I75" i="20"/>
  <c r="H75" i="22" s="1"/>
  <c r="I75" i="22" s="1"/>
  <c r="H75" i="23" s="1"/>
  <c r="J90" i="20"/>
  <c r="J90" i="22" s="1"/>
  <c r="B97" i="25"/>
  <c r="D97" i="25" s="1"/>
  <c r="E97" i="25" s="1"/>
  <c r="F97" i="25" s="1"/>
  <c r="G312" i="23"/>
  <c r="CD312" i="6" s="1"/>
  <c r="I98" i="20"/>
  <c r="H98" i="22" s="1"/>
  <c r="J60" i="20"/>
  <c r="J60" i="22" s="1"/>
  <c r="B116" i="25"/>
  <c r="W116" i="25" s="1"/>
  <c r="AA243" i="23"/>
  <c r="Z243" i="23" s="1"/>
  <c r="Y243" i="23" s="1"/>
  <c r="I282" i="20"/>
  <c r="H282" i="22" s="1"/>
  <c r="I282" i="22" s="1"/>
  <c r="H282" i="23" s="1"/>
  <c r="G216" i="23"/>
  <c r="CD216" i="6" s="1"/>
  <c r="B180" i="25"/>
  <c r="W180" i="25" s="1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J334" i="20"/>
  <c r="J334" i="22" s="1"/>
  <c r="B294" i="25"/>
  <c r="D294" i="25" s="1"/>
  <c r="E294" i="25" s="1"/>
  <c r="F294" i="25" s="1"/>
  <c r="G180" i="23"/>
  <c r="CD180" i="6" s="1"/>
  <c r="W284" i="24"/>
  <c r="B243" i="25"/>
  <c r="D243" i="25" s="1"/>
  <c r="E243" i="25" s="1"/>
  <c r="F243" i="25" s="1"/>
  <c r="I251" i="22"/>
  <c r="H251" i="23" s="1"/>
  <c r="J251" i="23" s="1"/>
  <c r="B284" i="25"/>
  <c r="D284" i="25" s="1"/>
  <c r="E284" i="25" s="1"/>
  <c r="F284" i="25" s="1"/>
  <c r="G92" i="23"/>
  <c r="CD92" i="6" s="1"/>
  <c r="W367" i="24"/>
  <c r="I176" i="20"/>
  <c r="H176" i="22" s="1"/>
  <c r="I176" i="22" s="1"/>
  <c r="H176" i="23" s="1"/>
  <c r="J21" i="20"/>
  <c r="J21" i="22" s="1"/>
  <c r="I88" i="20"/>
  <c r="H88" i="22" s="1"/>
  <c r="J317" i="20"/>
  <c r="J317" i="22" s="1"/>
  <c r="J191" i="20"/>
  <c r="J191" i="22" s="1"/>
  <c r="J206" i="20"/>
  <c r="J206" i="22" s="1"/>
  <c r="AA55" i="23"/>
  <c r="Z55" i="23" s="1"/>
  <c r="Y55" i="23" s="1"/>
  <c r="G366" i="23"/>
  <c r="CD366" i="6" s="1"/>
  <c r="W338" i="24"/>
  <c r="J291" i="20"/>
  <c r="J291" i="22" s="1"/>
  <c r="J369" i="20"/>
  <c r="J369" i="22" s="1"/>
  <c r="AA258" i="23"/>
  <c r="Z258" i="23" s="1"/>
  <c r="Y258" i="23" s="1"/>
  <c r="I102" i="20"/>
  <c r="H102" i="22" s="1"/>
  <c r="J102" i="22" s="1"/>
  <c r="I67" i="20"/>
  <c r="H67" i="22" s="1"/>
  <c r="I67" i="22" s="1"/>
  <c r="H67" i="23" s="1"/>
  <c r="I87" i="20"/>
  <c r="H87" i="22" s="1"/>
  <c r="J87" i="22" s="1"/>
  <c r="B324" i="25"/>
  <c r="D324" i="25" s="1"/>
  <c r="E324" i="25" s="1"/>
  <c r="F324" i="25" s="1"/>
  <c r="I162" i="20"/>
  <c r="H162" i="22" s="1"/>
  <c r="I162" i="22" s="1"/>
  <c r="H162" i="23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B338" i="25"/>
  <c r="D338" i="25" s="1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J53" i="20"/>
  <c r="J53" i="22" s="1"/>
  <c r="I159" i="20"/>
  <c r="H159" i="22" s="1"/>
  <c r="B367" i="25"/>
  <c r="W367" i="25" s="1"/>
  <c r="I328" i="20"/>
  <c r="H328" i="22" s="1"/>
  <c r="I328" i="22" s="1"/>
  <c r="H328" i="23" s="1"/>
  <c r="G227" i="23"/>
  <c r="CD227" i="6" s="1"/>
  <c r="B224" i="25"/>
  <c r="W224" i="25" s="1"/>
  <c r="I268" i="20"/>
  <c r="H268" i="22" s="1"/>
  <c r="J268" i="22" s="1"/>
  <c r="B64" i="25"/>
  <c r="D64" i="25" s="1"/>
  <c r="E64" i="25" s="1"/>
  <c r="F64" i="25" s="1"/>
  <c r="J109" i="20"/>
  <c r="J109" i="22" s="1"/>
  <c r="J145" i="20"/>
  <c r="J145" i="22" s="1"/>
  <c r="J61" i="20"/>
  <c r="J61" i="22" s="1"/>
  <c r="I128" i="20"/>
  <c r="H128" i="22" s="1"/>
  <c r="I128" i="22" s="1"/>
  <c r="H128" i="23" s="1"/>
  <c r="I133" i="20"/>
  <c r="H133" i="22" s="1"/>
  <c r="I133" i="22" s="1"/>
  <c r="H133" i="23" s="1"/>
  <c r="B344" i="25"/>
  <c r="W344" i="25" s="1"/>
  <c r="B153" i="25"/>
  <c r="D153" i="25" s="1"/>
  <c r="E153" i="25" s="1"/>
  <c r="F153" i="25" s="1"/>
  <c r="B216" i="25"/>
  <c r="D216" i="25" s="1"/>
  <c r="E216" i="25" s="1"/>
  <c r="F216" i="25" s="1"/>
  <c r="I223" i="20"/>
  <c r="H223" i="22" s="1"/>
  <c r="B326" i="25"/>
  <c r="W326" i="25" s="1"/>
  <c r="AA367" i="23"/>
  <c r="Z367" i="23" s="1"/>
  <c r="Y367" i="23" s="1"/>
  <c r="I217" i="22"/>
  <c r="H217" i="23" s="1"/>
  <c r="J217" i="23" s="1"/>
  <c r="J263" i="20"/>
  <c r="J263" i="22" s="1"/>
  <c r="AA324" i="23"/>
  <c r="Z324" i="23" s="1"/>
  <c r="Y324" i="23" s="1"/>
  <c r="J245" i="20"/>
  <c r="J245" i="22" s="1"/>
  <c r="W324" i="24"/>
  <c r="J185" i="20"/>
  <c r="J185" i="22" s="1"/>
  <c r="W326" i="24"/>
  <c r="I25" i="20"/>
  <c r="H25" i="22" s="1"/>
  <c r="J74" i="20"/>
  <c r="J74" i="22" s="1"/>
  <c r="J275" i="20"/>
  <c r="J275" i="22" s="1"/>
  <c r="J86" i="20"/>
  <c r="J86" i="22" s="1"/>
  <c r="J261" i="20"/>
  <c r="J261" i="22" s="1"/>
  <c r="I345" i="20"/>
  <c r="H345" i="22" s="1"/>
  <c r="J345" i="22" s="1"/>
  <c r="J201" i="20"/>
  <c r="J201" i="22" s="1"/>
  <c r="I371" i="20"/>
  <c r="H371" i="22" s="1"/>
  <c r="I355" i="20"/>
  <c r="H355" i="22" s="1"/>
  <c r="I355" i="22" s="1"/>
  <c r="H355" i="23" s="1"/>
  <c r="I234" i="20"/>
  <c r="H234" i="22" s="1"/>
  <c r="J234" i="22" s="1"/>
  <c r="I163" i="20"/>
  <c r="H163" i="22" s="1"/>
  <c r="J163" i="22" s="1"/>
  <c r="J173" i="20"/>
  <c r="J173" i="22" s="1"/>
  <c r="I143" i="20"/>
  <c r="H143" i="22" s="1"/>
  <c r="I143" i="22" s="1"/>
  <c r="H143" i="23" s="1"/>
  <c r="I349" i="20"/>
  <c r="H349" i="22" s="1"/>
  <c r="I349" i="22" s="1"/>
  <c r="H349" i="23" s="1"/>
  <c r="J171" i="20"/>
  <c r="J171" i="22" s="1"/>
  <c r="I236" i="20"/>
  <c r="H236" i="22" s="1"/>
  <c r="J236" i="22" s="1"/>
  <c r="J295" i="20"/>
  <c r="J295" i="22" s="1"/>
  <c r="I289" i="20"/>
  <c r="H289" i="22" s="1"/>
  <c r="I44" i="20"/>
  <c r="H44" i="22" s="1"/>
  <c r="I156" i="20"/>
  <c r="H156" i="22" s="1"/>
  <c r="I156" i="22" s="1"/>
  <c r="H156" i="23" s="1"/>
  <c r="I76" i="20"/>
  <c r="H76" i="22" s="1"/>
  <c r="I76" i="22" s="1"/>
  <c r="H76" i="23" s="1"/>
  <c r="I150" i="20"/>
  <c r="H150" i="22" s="1"/>
  <c r="J150" i="22" s="1"/>
  <c r="J374" i="20"/>
  <c r="J374" i="22" s="1"/>
  <c r="J253" i="20"/>
  <c r="J253" i="22" s="1"/>
  <c r="J322" i="20"/>
  <c r="J322" i="22" s="1"/>
  <c r="I85" i="20"/>
  <c r="H85" i="22" s="1"/>
  <c r="J85" i="22" s="1"/>
  <c r="J112" i="20"/>
  <c r="J112" i="22" s="1"/>
  <c r="J325" i="20"/>
  <c r="J325" i="22" s="1"/>
  <c r="J361" i="20"/>
  <c r="J361" i="22" s="1"/>
  <c r="I114" i="20"/>
  <c r="H114" i="22" s="1"/>
  <c r="J71" i="20"/>
  <c r="J71" i="22" s="1"/>
  <c r="J148" i="20"/>
  <c r="J148" i="22" s="1"/>
  <c r="I314" i="20"/>
  <c r="H314" i="22" s="1"/>
  <c r="J314" i="22" s="1"/>
  <c r="I89" i="20"/>
  <c r="H89" i="22" s="1"/>
  <c r="I89" i="22" s="1"/>
  <c r="H89" i="23" s="1"/>
  <c r="I186" i="20"/>
  <c r="H186" i="22" s="1"/>
  <c r="J186" i="22" s="1"/>
  <c r="J119" i="20"/>
  <c r="J119" i="22" s="1"/>
  <c r="J194" i="20"/>
  <c r="J194" i="22" s="1"/>
  <c r="I250" i="20"/>
  <c r="H250" i="22" s="1"/>
  <c r="I250" i="22" s="1"/>
  <c r="H250" i="23" s="1"/>
  <c r="I169" i="20"/>
  <c r="H169" i="22" s="1"/>
  <c r="I121" i="20"/>
  <c r="H121" i="22" s="1"/>
  <c r="J121" i="22" s="1"/>
  <c r="I124" i="20"/>
  <c r="H124" i="22" s="1"/>
  <c r="I124" i="22" s="1"/>
  <c r="H124" i="23" s="1"/>
  <c r="J339" i="20"/>
  <c r="J339" i="22" s="1"/>
  <c r="I187" i="20"/>
  <c r="H187" i="22" s="1"/>
  <c r="I187" i="22" s="1"/>
  <c r="H187" i="23" s="1"/>
  <c r="J46" i="20"/>
  <c r="J46" i="22" s="1"/>
  <c r="I283" i="20"/>
  <c r="H283" i="22" s="1"/>
  <c r="I283" i="22" s="1"/>
  <c r="H283" i="23" s="1"/>
  <c r="J218" i="20"/>
  <c r="J218" i="22" s="1"/>
  <c r="I203" i="20"/>
  <c r="H203" i="22" s="1"/>
  <c r="J196" i="20"/>
  <c r="J196" i="22" s="1"/>
  <c r="J220" i="20"/>
  <c r="J220" i="22" s="1"/>
  <c r="I73" i="20"/>
  <c r="H73" i="22" s="1"/>
  <c r="I73" i="22" s="1"/>
  <c r="H73" i="23" s="1"/>
  <c r="I310" i="20"/>
  <c r="H310" i="22" s="1"/>
  <c r="I310" i="22" s="1"/>
  <c r="H310" i="23" s="1"/>
  <c r="J115" i="20"/>
  <c r="J115" i="22" s="1"/>
  <c r="AI4" i="6"/>
  <c r="I374" i="22"/>
  <c r="H374" i="23" s="1"/>
  <c r="I53" i="22"/>
  <c r="H53" i="23" s="1"/>
  <c r="I109" i="22"/>
  <c r="H109" i="23" s="1"/>
  <c r="I171" i="22"/>
  <c r="H171" i="23" s="1"/>
  <c r="I160" i="22"/>
  <c r="H160" i="23" s="1"/>
  <c r="I194" i="22"/>
  <c r="H194" i="23" s="1"/>
  <c r="I275" i="22"/>
  <c r="H275" i="23" s="1"/>
  <c r="I86" i="22"/>
  <c r="H86" i="23" s="1"/>
  <c r="I74" i="22"/>
  <c r="H74" i="23" s="1"/>
  <c r="I173" i="22"/>
  <c r="H173" i="23" s="1"/>
  <c r="I253" i="22"/>
  <c r="H253" i="23" s="1"/>
  <c r="I90" i="22"/>
  <c r="H90" i="23" s="1"/>
  <c r="I263" i="22"/>
  <c r="H263" i="23" s="1"/>
  <c r="I21" i="22"/>
  <c r="H21" i="23" s="1"/>
  <c r="I218" i="22"/>
  <c r="H218" i="23" s="1"/>
  <c r="I206" i="22"/>
  <c r="H206" i="23" s="1"/>
  <c r="I361" i="22"/>
  <c r="H361" i="23" s="1"/>
  <c r="I291" i="22"/>
  <c r="H291" i="23" s="1"/>
  <c r="D57" i="6"/>
  <c r="Q4" i="6"/>
  <c r="AA379" i="24"/>
  <c r="Z379" i="24" s="1"/>
  <c r="Y379" i="24" s="1"/>
  <c r="G379" i="24"/>
  <c r="CE379" i="6" s="1"/>
  <c r="W29" i="24"/>
  <c r="B29" i="25"/>
  <c r="D29" i="24"/>
  <c r="E29" i="24" s="1"/>
  <c r="F29" i="24" s="1"/>
  <c r="B352" i="25"/>
  <c r="W352" i="24"/>
  <c r="D352" i="24"/>
  <c r="E352" i="24" s="1"/>
  <c r="F352" i="24" s="1"/>
  <c r="D333" i="24"/>
  <c r="E333" i="24" s="1"/>
  <c r="F333" i="24" s="1"/>
  <c r="B333" i="25"/>
  <c r="W333" i="24"/>
  <c r="B376" i="25"/>
  <c r="W376" i="24"/>
  <c r="D376" i="24"/>
  <c r="E376" i="24" s="1"/>
  <c r="F376" i="24" s="1"/>
  <c r="D369" i="24"/>
  <c r="E369" i="24" s="1"/>
  <c r="F369" i="24" s="1"/>
  <c r="B369" i="25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B53" i="25"/>
  <c r="D53" i="24"/>
  <c r="E53" i="24" s="1"/>
  <c r="F53" i="24" s="1"/>
  <c r="W53" i="24"/>
  <c r="J139" i="20"/>
  <c r="Y4" i="6"/>
  <c r="J27" i="20"/>
  <c r="I27" i="20"/>
  <c r="H27" i="22" s="1"/>
  <c r="J364" i="20"/>
  <c r="I364" i="20"/>
  <c r="H364" i="22" s="1"/>
  <c r="W109" i="24"/>
  <c r="D109" i="24"/>
  <c r="E109" i="24" s="1"/>
  <c r="F109" i="24" s="1"/>
  <c r="B109" i="25"/>
  <c r="G58" i="23"/>
  <c r="CD58" i="6" s="1"/>
  <c r="AA58" i="23"/>
  <c r="Z58" i="23" s="1"/>
  <c r="Y58" i="23" s="1"/>
  <c r="J58" i="20"/>
  <c r="I58" i="20"/>
  <c r="H58" i="22" s="1"/>
  <c r="W286" i="25"/>
  <c r="D286" i="25"/>
  <c r="E286" i="25" s="1"/>
  <c r="F286" i="25" s="1"/>
  <c r="W90" i="24"/>
  <c r="B90" i="25"/>
  <c r="D90" i="24"/>
  <c r="E90" i="24" s="1"/>
  <c r="F90" i="24" s="1"/>
  <c r="G16" i="24"/>
  <c r="CE16" i="6" s="1"/>
  <c r="AA16" i="24"/>
  <c r="Z16" i="24" s="1"/>
  <c r="Y16" i="24" s="1"/>
  <c r="J346" i="20"/>
  <c r="I346" i="20"/>
  <c r="H346" i="22" s="1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B110" i="25"/>
  <c r="D110" i="24"/>
  <c r="E110" i="24" s="1"/>
  <c r="F110" i="24" s="1"/>
  <c r="AA110" i="23"/>
  <c r="Z110" i="23" s="1"/>
  <c r="Y110" i="23" s="1"/>
  <c r="G110" i="23"/>
  <c r="CD110" i="6" s="1"/>
  <c r="W201" i="24"/>
  <c r="B201" i="25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B148" i="25"/>
  <c r="W148" i="24"/>
  <c r="G372" i="23"/>
  <c r="CD372" i="6" s="1"/>
  <c r="AA372" i="23"/>
  <c r="Z372" i="23" s="1"/>
  <c r="Y372" i="23" s="1"/>
  <c r="B65" i="25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I322" i="22"/>
  <c r="H322" i="23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B289" i="25"/>
  <c r="W289" i="24"/>
  <c r="J81" i="20"/>
  <c r="I81" i="20"/>
  <c r="H81" i="22" s="1"/>
  <c r="I149" i="20"/>
  <c r="H149" i="22" s="1"/>
  <c r="J149" i="20"/>
  <c r="I230" i="20"/>
  <c r="H230" i="22" s="1"/>
  <c r="J230" i="20"/>
  <c r="I276" i="20"/>
  <c r="H276" i="22" s="1"/>
  <c r="J276" i="20"/>
  <c r="I320" i="20"/>
  <c r="H320" i="22" s="1"/>
  <c r="J320" i="20"/>
  <c r="J195" i="20"/>
  <c r="I195" i="20"/>
  <c r="H195" i="22" s="1"/>
  <c r="I146" i="20"/>
  <c r="H146" i="22" s="1"/>
  <c r="J146" i="20"/>
  <c r="J122" i="20"/>
  <c r="I122" i="20"/>
  <c r="H122" i="22" s="1"/>
  <c r="J172" i="20"/>
  <c r="I172" i="20"/>
  <c r="H172" i="22" s="1"/>
  <c r="I91" i="20"/>
  <c r="H91" i="22" s="1"/>
  <c r="J91" i="20"/>
  <c r="J200" i="20"/>
  <c r="I200" i="20"/>
  <c r="H200" i="22" s="1"/>
  <c r="I242" i="20"/>
  <c r="H242" i="22" s="1"/>
  <c r="J242" i="20"/>
  <c r="J286" i="20"/>
  <c r="I286" i="20"/>
  <c r="H286" i="22" s="1"/>
  <c r="I94" i="20"/>
  <c r="H94" i="22" s="1"/>
  <c r="J94" i="20"/>
  <c r="I353" i="20"/>
  <c r="H353" i="22" s="1"/>
  <c r="J353" i="20"/>
  <c r="J224" i="20"/>
  <c r="I224" i="20"/>
  <c r="H224" i="22" s="1"/>
  <c r="J227" i="20"/>
  <c r="I227" i="20"/>
  <c r="H227" i="22" s="1"/>
  <c r="D150" i="24"/>
  <c r="E150" i="24" s="1"/>
  <c r="F150" i="24" s="1"/>
  <c r="B150" i="25"/>
  <c r="W150" i="24"/>
  <c r="AA177" i="24"/>
  <c r="Z177" i="24" s="1"/>
  <c r="Y177" i="24" s="1"/>
  <c r="G177" i="24"/>
  <c r="CE177" i="6" s="1"/>
  <c r="I77" i="22"/>
  <c r="H77" i="23" s="1"/>
  <c r="AA263" i="23"/>
  <c r="Z263" i="23" s="1"/>
  <c r="Y263" i="23" s="1"/>
  <c r="G263" i="23"/>
  <c r="CD263" i="6" s="1"/>
  <c r="W365" i="24"/>
  <c r="D365" i="24"/>
  <c r="E365" i="24" s="1"/>
  <c r="F365" i="24" s="1"/>
  <c r="B365" i="25"/>
  <c r="I46" i="22"/>
  <c r="H46" i="23" s="1"/>
  <c r="I261" i="22"/>
  <c r="H261" i="23" s="1"/>
  <c r="G171" i="23"/>
  <c r="CD171" i="6" s="1"/>
  <c r="AA171" i="23"/>
  <c r="Z171" i="23" s="1"/>
  <c r="Y171" i="23" s="1"/>
  <c r="AE4" i="6"/>
  <c r="AA21" i="23"/>
  <c r="Z21" i="23" s="1"/>
  <c r="Y21" i="23" s="1"/>
  <c r="G21" i="23"/>
  <c r="CD21" i="6" s="1"/>
  <c r="I45" i="20"/>
  <c r="H45" i="22" s="1"/>
  <c r="J45" i="20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B303" i="25"/>
  <c r="W86" i="24"/>
  <c r="B86" i="25"/>
  <c r="D86" i="24"/>
  <c r="E86" i="24" s="1"/>
  <c r="F86" i="24" s="1"/>
  <c r="G188" i="23"/>
  <c r="CD188" i="6" s="1"/>
  <c r="AA188" i="23"/>
  <c r="Z188" i="23" s="1"/>
  <c r="Y188" i="23" s="1"/>
  <c r="W218" i="24"/>
  <c r="B218" i="25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B288" i="25"/>
  <c r="W202" i="25"/>
  <c r="D202" i="25"/>
  <c r="E202" i="25" s="1"/>
  <c r="F202" i="25" s="1"/>
  <c r="W370" i="25"/>
  <c r="D370" i="25"/>
  <c r="E370" i="25" s="1"/>
  <c r="F370" i="25" s="1"/>
  <c r="W25" i="24"/>
  <c r="B25" i="25"/>
  <c r="D25" i="24"/>
  <c r="E25" i="24" s="1"/>
  <c r="F25" i="24" s="1"/>
  <c r="G199" i="24"/>
  <c r="CE199" i="6" s="1"/>
  <c r="AA199" i="24"/>
  <c r="Z199" i="24" s="1"/>
  <c r="Y199" i="24" s="1"/>
  <c r="I225" i="20"/>
  <c r="H225" i="22" s="1"/>
  <c r="J225" i="20"/>
  <c r="G355" i="23"/>
  <c r="CD355" i="6" s="1"/>
  <c r="AA355" i="23"/>
  <c r="Z355" i="23" s="1"/>
  <c r="Y355" i="23" s="1"/>
  <c r="W102" i="24"/>
  <c r="D102" i="24"/>
  <c r="E102" i="24" s="1"/>
  <c r="F102" i="24" s="1"/>
  <c r="B102" i="25"/>
  <c r="W137" i="24"/>
  <c r="B137" i="25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B22" i="25"/>
  <c r="D22" i="24"/>
  <c r="E22" i="24" s="1"/>
  <c r="F22" i="24" s="1"/>
  <c r="B272" i="25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I317" i="22"/>
  <c r="H317" i="23" s="1"/>
  <c r="D260" i="25"/>
  <c r="E260" i="25" s="1"/>
  <c r="F260" i="25" s="1"/>
  <c r="W260" i="25"/>
  <c r="AA320" i="24"/>
  <c r="Z320" i="24" s="1"/>
  <c r="Y320" i="24" s="1"/>
  <c r="G320" i="24"/>
  <c r="CE320" i="6" s="1"/>
  <c r="J49" i="20"/>
  <c r="I49" i="20"/>
  <c r="H49" i="22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I20" i="20"/>
  <c r="H20" i="22" s="1"/>
  <c r="J20" i="20"/>
  <c r="AA234" i="23"/>
  <c r="Z234" i="23" s="1"/>
  <c r="Y234" i="23" s="1"/>
  <c r="G234" i="23"/>
  <c r="CD234" i="6" s="1"/>
  <c r="S4" i="6"/>
  <c r="I115" i="22"/>
  <c r="H115" i="23" s="1"/>
  <c r="G133" i="23"/>
  <c r="CD133" i="6" s="1"/>
  <c r="AA133" i="23"/>
  <c r="Z133" i="23" s="1"/>
  <c r="Y133" i="23" s="1"/>
  <c r="I213" i="20"/>
  <c r="H213" i="22" s="1"/>
  <c r="J213" i="20"/>
  <c r="W24" i="24"/>
  <c r="D24" i="24"/>
  <c r="E24" i="24" s="1"/>
  <c r="F24" i="24" s="1"/>
  <c r="B24" i="25"/>
  <c r="W206" i="24"/>
  <c r="B206" i="25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B236" i="25"/>
  <c r="W236" i="24"/>
  <c r="D236" i="24"/>
  <c r="E236" i="24" s="1"/>
  <c r="F236" i="24" s="1"/>
  <c r="AK4" i="6"/>
  <c r="D337" i="6"/>
  <c r="D43" i="6"/>
  <c r="P4" i="6"/>
  <c r="X4" i="6"/>
  <c r="D155" i="6"/>
  <c r="I29" i="20"/>
  <c r="H29" i="22" s="1"/>
  <c r="J29" i="20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B268" i="25"/>
  <c r="D258" i="25"/>
  <c r="E258" i="25" s="1"/>
  <c r="F258" i="25" s="1"/>
  <c r="W258" i="25"/>
  <c r="AA258" i="24"/>
  <c r="Z258" i="24" s="1"/>
  <c r="Y258" i="24" s="1"/>
  <c r="G258" i="24"/>
  <c r="CE258" i="6" s="1"/>
  <c r="W181" i="24"/>
  <c r="B181" i="25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B124" i="25"/>
  <c r="W124" i="24"/>
  <c r="J51" i="20"/>
  <c r="I51" i="20"/>
  <c r="H51" i="22" s="1"/>
  <c r="W279" i="24"/>
  <c r="D279" i="24"/>
  <c r="E279" i="24" s="1"/>
  <c r="F279" i="24" s="1"/>
  <c r="B279" i="25"/>
  <c r="AA351" i="24"/>
  <c r="Z351" i="24" s="1"/>
  <c r="Y351" i="24" s="1"/>
  <c r="G351" i="24"/>
  <c r="CE351" i="6" s="1"/>
  <c r="I36" i="20"/>
  <c r="H36" i="22" s="1"/>
  <c r="J36" i="20"/>
  <c r="G82" i="24"/>
  <c r="CE82" i="6" s="1"/>
  <c r="AA82" i="24"/>
  <c r="Z82" i="24" s="1"/>
  <c r="Y82" i="24" s="1"/>
  <c r="B198" i="25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I295" i="22"/>
  <c r="H295" i="23" s="1"/>
  <c r="G363" i="24"/>
  <c r="CE363" i="6" s="1"/>
  <c r="AA363" i="24"/>
  <c r="Z363" i="24" s="1"/>
  <c r="Y363" i="24" s="1"/>
  <c r="D208" i="25"/>
  <c r="E208" i="25" s="1"/>
  <c r="F208" i="25" s="1"/>
  <c r="W208" i="25"/>
  <c r="I248" i="20"/>
  <c r="H248" i="22" s="1"/>
  <c r="J248" i="20"/>
  <c r="G346" i="23"/>
  <c r="CD346" i="6" s="1"/>
  <c r="AA346" i="23"/>
  <c r="Z346" i="23" s="1"/>
  <c r="Y346" i="23" s="1"/>
  <c r="D37" i="24"/>
  <c r="E37" i="24" s="1"/>
  <c r="F37" i="24" s="1"/>
  <c r="B37" i="25"/>
  <c r="W37" i="24"/>
  <c r="G97" i="24"/>
  <c r="CE97" i="6" s="1"/>
  <c r="AA97" i="24"/>
  <c r="Z97" i="24" s="1"/>
  <c r="Y97" i="24" s="1"/>
  <c r="W31" i="24"/>
  <c r="B31" i="25"/>
  <c r="D31" i="24"/>
  <c r="E31" i="24" s="1"/>
  <c r="F31" i="24" s="1"/>
  <c r="B96" i="25"/>
  <c r="W96" i="24"/>
  <c r="D96" i="24"/>
  <c r="E96" i="24" s="1"/>
  <c r="F96" i="24" s="1"/>
  <c r="W307" i="24"/>
  <c r="D307" i="24"/>
  <c r="E307" i="24" s="1"/>
  <c r="F307" i="24" s="1"/>
  <c r="B307" i="25"/>
  <c r="W160" i="24"/>
  <c r="B160" i="25"/>
  <c r="D160" i="24"/>
  <c r="E160" i="24" s="1"/>
  <c r="F160" i="24" s="1"/>
  <c r="D350" i="24"/>
  <c r="E350" i="24" s="1"/>
  <c r="F350" i="24" s="1"/>
  <c r="B350" i="25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B321" i="25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B81" i="25"/>
  <c r="W81" i="24"/>
  <c r="D81" i="24"/>
  <c r="E81" i="24" s="1"/>
  <c r="F81" i="24" s="1"/>
  <c r="D197" i="6"/>
  <c r="AA4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AA23" i="24"/>
  <c r="Z23" i="24" s="1"/>
  <c r="Y23" i="24" s="1"/>
  <c r="G23" i="24"/>
  <c r="CE23" i="6" s="1"/>
  <c r="W349" i="24"/>
  <c r="D349" i="24"/>
  <c r="E349" i="24" s="1"/>
  <c r="F349" i="24" s="1"/>
  <c r="B349" i="25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I61" i="22"/>
  <c r="H61" i="23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B219" i="25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B282" i="25"/>
  <c r="G120" i="24"/>
  <c r="CE120" i="6" s="1"/>
  <c r="AA120" i="24"/>
  <c r="Z120" i="24" s="1"/>
  <c r="Y120" i="24" s="1"/>
  <c r="D296" i="24"/>
  <c r="E296" i="24" s="1"/>
  <c r="F296" i="24" s="1"/>
  <c r="B296" i="25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B374" i="25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B249" i="25"/>
  <c r="W249" i="24"/>
  <c r="G249" i="23"/>
  <c r="CD249" i="6" s="1"/>
  <c r="AA249" i="23"/>
  <c r="Z249" i="23" s="1"/>
  <c r="Y249" i="23" s="1"/>
  <c r="W254" i="24"/>
  <c r="B254" i="25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W59" i="25"/>
  <c r="D59" i="25"/>
  <c r="E59" i="25" s="1"/>
  <c r="F59" i="25" s="1"/>
  <c r="D267" i="24"/>
  <c r="E267" i="24" s="1"/>
  <c r="F267" i="24" s="1"/>
  <c r="B267" i="25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J175" i="20"/>
  <c r="I175" i="20"/>
  <c r="H175" i="22" s="1"/>
  <c r="J116" i="20"/>
  <c r="I116" i="20"/>
  <c r="H116" i="22" s="1"/>
  <c r="J134" i="20"/>
  <c r="I134" i="20"/>
  <c r="H134" i="22" s="1"/>
  <c r="I208" i="20"/>
  <c r="H208" i="22" s="1"/>
  <c r="J208" i="20"/>
  <c r="I183" i="20"/>
  <c r="H183" i="22" s="1"/>
  <c r="J183" i="20"/>
  <c r="J335" i="20"/>
  <c r="I335" i="20"/>
  <c r="H335" i="22" s="1"/>
  <c r="R4" i="6"/>
  <c r="J326" i="20"/>
  <c r="I326" i="20"/>
  <c r="H326" i="22" s="1"/>
  <c r="J131" i="20"/>
  <c r="I131" i="20"/>
  <c r="H131" i="22" s="1"/>
  <c r="J351" i="20"/>
  <c r="I351" i="20"/>
  <c r="H351" i="22" s="1"/>
  <c r="I129" i="20"/>
  <c r="H129" i="22" s="1"/>
  <c r="J129" i="20"/>
  <c r="J38" i="20"/>
  <c r="I38" i="20"/>
  <c r="H38" i="22" s="1"/>
  <c r="J70" i="20"/>
  <c r="I70" i="20"/>
  <c r="H70" i="22" s="1"/>
  <c r="J294" i="20"/>
  <c r="I294" i="20"/>
  <c r="H294" i="22" s="1"/>
  <c r="I247" i="20"/>
  <c r="H247" i="22" s="1"/>
  <c r="J247" i="20"/>
  <c r="I281" i="20"/>
  <c r="H281" i="22" s="1"/>
  <c r="J281" i="20"/>
  <c r="J35" i="20"/>
  <c r="I35" i="20"/>
  <c r="H35" i="22" s="1"/>
  <c r="I354" i="20"/>
  <c r="H354" i="22" s="1"/>
  <c r="J354" i="20"/>
  <c r="I120" i="20"/>
  <c r="H120" i="22" s="1"/>
  <c r="J120" i="20"/>
  <c r="I108" i="20"/>
  <c r="H108" i="22" s="1"/>
  <c r="J108" i="20"/>
  <c r="J132" i="20"/>
  <c r="I132" i="20"/>
  <c r="H132" i="22" s="1"/>
  <c r="I329" i="20"/>
  <c r="H329" i="22" s="1"/>
  <c r="J329" i="20"/>
  <c r="J226" i="20"/>
  <c r="I226" i="20"/>
  <c r="H226" i="22" s="1"/>
  <c r="D354" i="25"/>
  <c r="E354" i="25" s="1"/>
  <c r="F354" i="25" s="1"/>
  <c r="W354" i="25"/>
  <c r="W114" i="24"/>
  <c r="B114" i="25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B274" i="25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J333" i="22"/>
  <c r="I333" i="22"/>
  <c r="H333" i="23" s="1"/>
  <c r="W187" i="24"/>
  <c r="D187" i="24"/>
  <c r="E187" i="24" s="1"/>
  <c r="F187" i="24" s="1"/>
  <c r="B187" i="25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B347" i="25"/>
  <c r="W347" i="24"/>
  <c r="G347" i="23"/>
  <c r="CD347" i="6" s="1"/>
  <c r="AA347" i="23"/>
  <c r="Z347" i="23" s="1"/>
  <c r="Y347" i="23" s="1"/>
  <c r="I369" i="22"/>
  <c r="H369" i="23" s="1"/>
  <c r="J287" i="20"/>
  <c r="I287" i="20"/>
  <c r="H287" i="22" s="1"/>
  <c r="W104" i="24"/>
  <c r="D104" i="24"/>
  <c r="E104" i="24" s="1"/>
  <c r="F104" i="24" s="1"/>
  <c r="B104" i="25"/>
  <c r="AA246" i="23"/>
  <c r="Z246" i="23" s="1"/>
  <c r="Y246" i="23" s="1"/>
  <c r="G246" i="23"/>
  <c r="CD246" i="6" s="1"/>
  <c r="J215" i="20"/>
  <c r="I215" i="20"/>
  <c r="H215" i="22" s="1"/>
  <c r="W334" i="24"/>
  <c r="B334" i="25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B139" i="25"/>
  <c r="W139" i="24"/>
  <c r="AA139" i="23"/>
  <c r="Z139" i="23" s="1"/>
  <c r="Y139" i="23" s="1"/>
  <c r="G139" i="23"/>
  <c r="CD139" i="6" s="1"/>
  <c r="I256" i="20"/>
  <c r="H256" i="22" s="1"/>
  <c r="J256" i="20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J279" i="20"/>
  <c r="I279" i="20"/>
  <c r="H279" i="22" s="1"/>
  <c r="G297" i="24"/>
  <c r="CE297" i="6" s="1"/>
  <c r="AA297" i="24"/>
  <c r="Z297" i="24" s="1"/>
  <c r="Y297" i="24" s="1"/>
  <c r="W36" i="24"/>
  <c r="B36" i="25"/>
  <c r="D36" i="24"/>
  <c r="E36" i="24" s="1"/>
  <c r="F36" i="24" s="1"/>
  <c r="W162" i="24"/>
  <c r="D162" i="24"/>
  <c r="E162" i="24" s="1"/>
  <c r="F162" i="24" s="1"/>
  <c r="B162" i="25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J244" i="20"/>
  <c r="I244" i="20"/>
  <c r="H244" i="22" s="1"/>
  <c r="I185" i="22"/>
  <c r="H185" i="23" s="1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B223" i="25"/>
  <c r="G223" i="23"/>
  <c r="CD223" i="6" s="1"/>
  <c r="AA223" i="23"/>
  <c r="Z223" i="23" s="1"/>
  <c r="Y223" i="23" s="1"/>
  <c r="I357" i="20"/>
  <c r="H357" i="22" s="1"/>
  <c r="J357" i="20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B314" i="25"/>
  <c r="W314" i="24"/>
  <c r="D314" i="24"/>
  <c r="E314" i="24" s="1"/>
  <c r="F314" i="24" s="1"/>
  <c r="AA78" i="23"/>
  <c r="Z78" i="23" s="1"/>
  <c r="Y78" i="23" s="1"/>
  <c r="G78" i="23"/>
  <c r="CD78" i="6" s="1"/>
  <c r="I78" i="20"/>
  <c r="H78" i="22" s="1"/>
  <c r="J78" i="20"/>
  <c r="W182" i="24"/>
  <c r="B182" i="25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W4" i="6"/>
  <c r="D141" i="6"/>
  <c r="I161" i="20"/>
  <c r="H161" i="22" s="1"/>
  <c r="J161" i="20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B46" i="25"/>
  <c r="AA319" i="24"/>
  <c r="Z319" i="24" s="1"/>
  <c r="Y319" i="24" s="1"/>
  <c r="G319" i="24"/>
  <c r="CE319" i="6" s="1"/>
  <c r="W261" i="24"/>
  <c r="D261" i="24"/>
  <c r="E261" i="24" s="1"/>
  <c r="F261" i="24" s="1"/>
  <c r="B261" i="25"/>
  <c r="G261" i="23"/>
  <c r="CD261" i="6" s="1"/>
  <c r="AA261" i="23"/>
  <c r="Z261" i="23" s="1"/>
  <c r="Y261" i="23" s="1"/>
  <c r="D101" i="25"/>
  <c r="E101" i="25" s="1"/>
  <c r="F101" i="25" s="1"/>
  <c r="W101" i="25"/>
  <c r="J219" i="20"/>
  <c r="I219" i="20"/>
  <c r="H219" i="22" s="1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B176" i="25"/>
  <c r="W176" i="24"/>
  <c r="W308" i="25"/>
  <c r="D308" i="25"/>
  <c r="E308" i="25" s="1"/>
  <c r="F308" i="25" s="1"/>
  <c r="D47" i="25"/>
  <c r="E47" i="25" s="1"/>
  <c r="F47" i="25" s="1"/>
  <c r="W47" i="25"/>
  <c r="I123" i="20"/>
  <c r="H123" i="22" s="1"/>
  <c r="J123" i="20"/>
  <c r="D195" i="25"/>
  <c r="E195" i="25" s="1"/>
  <c r="F195" i="25" s="1"/>
  <c r="W195" i="25"/>
  <c r="G221" i="24"/>
  <c r="CE221" i="6" s="1"/>
  <c r="AA221" i="24"/>
  <c r="Z221" i="24" s="1"/>
  <c r="Y221" i="24" s="1"/>
  <c r="W112" i="24"/>
  <c r="B112" i="25"/>
  <c r="D112" i="24"/>
  <c r="E112" i="24" s="1"/>
  <c r="F112" i="24" s="1"/>
  <c r="G144" i="23"/>
  <c r="CD144" i="6" s="1"/>
  <c r="AA144" i="23"/>
  <c r="Z144" i="23" s="1"/>
  <c r="Y144" i="23" s="1"/>
  <c r="I245" i="22"/>
  <c r="H245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B121" i="25"/>
  <c r="W121" i="24"/>
  <c r="W242" i="25"/>
  <c r="D242" i="25"/>
  <c r="E242" i="25" s="1"/>
  <c r="F242" i="25" s="1"/>
  <c r="W310" i="24"/>
  <c r="B310" i="25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B119" i="25"/>
  <c r="D119" i="24"/>
  <c r="E119" i="24" s="1"/>
  <c r="F119" i="24" s="1"/>
  <c r="W119" i="24"/>
  <c r="G196" i="23"/>
  <c r="CD196" i="6" s="1"/>
  <c r="AA196" i="23"/>
  <c r="Z196" i="23" s="1"/>
  <c r="Y196" i="23" s="1"/>
  <c r="W67" i="24"/>
  <c r="B67" i="25"/>
  <c r="D67" i="24"/>
  <c r="E67" i="24" s="1"/>
  <c r="F67" i="24" s="1"/>
  <c r="D317" i="24"/>
  <c r="E317" i="24" s="1"/>
  <c r="F317" i="24" s="1"/>
  <c r="B317" i="25"/>
  <c r="W317" i="24"/>
  <c r="W220" i="24"/>
  <c r="D220" i="24"/>
  <c r="E220" i="24" s="1"/>
  <c r="F220" i="24" s="1"/>
  <c r="B220" i="25"/>
  <c r="D87" i="24"/>
  <c r="E87" i="24" s="1"/>
  <c r="F87" i="24" s="1"/>
  <c r="B87" i="25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B44" i="25"/>
  <c r="W156" i="24"/>
  <c r="B156" i="25"/>
  <c r="D156" i="24"/>
  <c r="E156" i="24" s="1"/>
  <c r="F156" i="24" s="1"/>
  <c r="W76" i="24"/>
  <c r="D76" i="24"/>
  <c r="E76" i="24" s="1"/>
  <c r="F76" i="24" s="1"/>
  <c r="B76" i="25"/>
  <c r="D283" i="24"/>
  <c r="E283" i="24" s="1"/>
  <c r="F283" i="24" s="1"/>
  <c r="B283" i="25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B318" i="25"/>
  <c r="W318" i="24"/>
  <c r="D35" i="25"/>
  <c r="E35" i="25" s="1"/>
  <c r="F35" i="25" s="1"/>
  <c r="W35" i="25"/>
  <c r="W74" i="24"/>
  <c r="B74" i="25"/>
  <c r="D74" i="24"/>
  <c r="E74" i="24" s="1"/>
  <c r="F74" i="24" s="1"/>
  <c r="I376" i="20"/>
  <c r="H376" i="22" s="1"/>
  <c r="J376" i="20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B273" i="25"/>
  <c r="W56" i="24"/>
  <c r="B56" i="25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B256" i="25"/>
  <c r="G330" i="23"/>
  <c r="CD330" i="6" s="1"/>
  <c r="AA330" i="23"/>
  <c r="Z330" i="23" s="1"/>
  <c r="Y330" i="23" s="1"/>
  <c r="B364" i="25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B165" i="25"/>
  <c r="W165" i="24"/>
  <c r="AC4" i="6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W157" i="24"/>
  <c r="D157" i="24"/>
  <c r="E157" i="24" s="1"/>
  <c r="F157" i="24" s="1"/>
  <c r="B157" i="25"/>
  <c r="B295" i="25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B244" i="25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B34" i="25"/>
  <c r="D34" i="24"/>
  <c r="E34" i="24" s="1"/>
  <c r="F34" i="24" s="1"/>
  <c r="W34" i="24"/>
  <c r="B126" i="25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B239" i="25"/>
  <c r="D239" i="24"/>
  <c r="E239" i="24" s="1"/>
  <c r="F239" i="24" s="1"/>
  <c r="B315" i="25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B98" i="25"/>
  <c r="D98" i="24"/>
  <c r="E98" i="24" s="1"/>
  <c r="F98" i="24" s="1"/>
  <c r="G163" i="23"/>
  <c r="CD163" i="6" s="1"/>
  <c r="AA163" i="23"/>
  <c r="Z163" i="23" s="1"/>
  <c r="Y163" i="23" s="1"/>
  <c r="D113" i="6"/>
  <c r="U4" i="6"/>
  <c r="AB4" i="6"/>
  <c r="D211" i="6"/>
  <c r="G210" i="23"/>
  <c r="CD210" i="6" s="1"/>
  <c r="AA210" i="23"/>
  <c r="Z210" i="23" s="1"/>
  <c r="Y210" i="23" s="1"/>
  <c r="T4" i="6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B89" i="25"/>
  <c r="W89" i="24"/>
  <c r="G230" i="24"/>
  <c r="CE230" i="6" s="1"/>
  <c r="AA230" i="24"/>
  <c r="Z230" i="24" s="1"/>
  <c r="Y230" i="24" s="1"/>
  <c r="W123" i="24"/>
  <c r="B123" i="25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B325" i="25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B62" i="25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B49" i="25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J192" i="20"/>
  <c r="I192" i="20"/>
  <c r="H192" i="22" s="1"/>
  <c r="J174" i="20"/>
  <c r="I174" i="20"/>
  <c r="H174" i="22" s="1"/>
  <c r="J358" i="20"/>
  <c r="I358" i="20"/>
  <c r="H358" i="22" s="1"/>
  <c r="J359" i="20"/>
  <c r="I359" i="20"/>
  <c r="H359" i="22" s="1"/>
  <c r="J212" i="20"/>
  <c r="I212" i="20"/>
  <c r="H212" i="22" s="1"/>
  <c r="I92" i="20"/>
  <c r="H92" i="22" s="1"/>
  <c r="J92" i="20"/>
  <c r="J207" i="20"/>
  <c r="I207" i="20"/>
  <c r="H207" i="22" s="1"/>
  <c r="J33" i="20"/>
  <c r="I33" i="20"/>
  <c r="H33" i="22" s="1"/>
  <c r="J258" i="20"/>
  <c r="I258" i="20"/>
  <c r="H258" i="22" s="1"/>
  <c r="J83" i="20"/>
  <c r="I83" i="20"/>
  <c r="H83" i="22" s="1"/>
  <c r="J231" i="20"/>
  <c r="I231" i="20"/>
  <c r="H231" i="22" s="1"/>
  <c r="J69" i="20"/>
  <c r="I69" i="20"/>
  <c r="H69" i="22" s="1"/>
  <c r="I189" i="20"/>
  <c r="H189" i="22" s="1"/>
  <c r="J189" i="20"/>
  <c r="J80" i="20"/>
  <c r="I80" i="20"/>
  <c r="H80" i="22" s="1"/>
  <c r="I262" i="20"/>
  <c r="H262" i="22" s="1"/>
  <c r="J262" i="20"/>
  <c r="J222" i="20"/>
  <c r="I222" i="20"/>
  <c r="H222" i="22" s="1"/>
  <c r="I298" i="20"/>
  <c r="H298" i="22" s="1"/>
  <c r="J298" i="20"/>
  <c r="J216" i="20"/>
  <c r="I216" i="20"/>
  <c r="H216" i="22" s="1"/>
  <c r="I166" i="20"/>
  <c r="H166" i="22" s="1"/>
  <c r="J166" i="20"/>
  <c r="J57" i="20"/>
  <c r="I57" i="20"/>
  <c r="H57" i="22" s="1"/>
  <c r="J377" i="20"/>
  <c r="I377" i="20"/>
  <c r="H377" i="22" s="1"/>
  <c r="D379" i="25"/>
  <c r="E379" i="25" s="1"/>
  <c r="F379" i="25" s="1"/>
  <c r="W379" i="25"/>
  <c r="G29" i="23"/>
  <c r="CD29" i="6" s="1"/>
  <c r="AA29" i="23"/>
  <c r="Z29" i="23" s="1"/>
  <c r="Y29" i="23" s="1"/>
  <c r="J318" i="20"/>
  <c r="I318" i="20"/>
  <c r="H318" i="22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B253" i="25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G167" i="24"/>
  <c r="CE167" i="6" s="1"/>
  <c r="AA167" i="24"/>
  <c r="Z167" i="24" s="1"/>
  <c r="Y167" i="24" s="1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I330" i="20"/>
  <c r="H330" i="22" s="1"/>
  <c r="J330" i="20"/>
  <c r="G109" i="23"/>
  <c r="CD109" i="6" s="1"/>
  <c r="AA109" i="23"/>
  <c r="Z109" i="23" s="1"/>
  <c r="Y109" i="23" s="1"/>
  <c r="I165" i="20"/>
  <c r="H165" i="22" s="1"/>
  <c r="J165" i="20"/>
  <c r="W58" i="24"/>
  <c r="B58" i="25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B185" i="25"/>
  <c r="I145" i="22"/>
  <c r="H145" i="23" s="1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B372" i="25"/>
  <c r="W372" i="24"/>
  <c r="W143" i="24"/>
  <c r="B143" i="25"/>
  <c r="D143" i="24"/>
  <c r="E143" i="24" s="1"/>
  <c r="F143" i="24" s="1"/>
  <c r="J48" i="20"/>
  <c r="I48" i="20"/>
  <c r="H48" i="22" s="1"/>
  <c r="AA122" i="24"/>
  <c r="Z122" i="24" s="1"/>
  <c r="Y122" i="24" s="1"/>
  <c r="G122" i="24"/>
  <c r="CE122" i="6" s="1"/>
  <c r="D322" i="24"/>
  <c r="E322" i="24" s="1"/>
  <c r="F322" i="24" s="1"/>
  <c r="B322" i="25"/>
  <c r="W322" i="24"/>
  <c r="W85" i="24"/>
  <c r="D85" i="24"/>
  <c r="E85" i="24" s="1"/>
  <c r="F85" i="24" s="1"/>
  <c r="B85" i="25"/>
  <c r="G85" i="23"/>
  <c r="CD85" i="6" s="1"/>
  <c r="AA85" i="23"/>
  <c r="Z85" i="23" s="1"/>
  <c r="Y85" i="23" s="1"/>
  <c r="B240" i="25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J135" i="20"/>
  <c r="I135" i="20"/>
  <c r="H135" i="22" s="1"/>
  <c r="W263" i="24"/>
  <c r="B263" i="25"/>
  <c r="D263" i="24"/>
  <c r="E263" i="24" s="1"/>
  <c r="F263" i="24" s="1"/>
  <c r="I60" i="22"/>
  <c r="H60" i="23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B171" i="25"/>
  <c r="D21" i="24"/>
  <c r="E21" i="24" s="1"/>
  <c r="F21" i="24" s="1"/>
  <c r="B21" i="25"/>
  <c r="W21" i="24"/>
  <c r="G79" i="24"/>
  <c r="CE79" i="6" s="1"/>
  <c r="AA79" i="24"/>
  <c r="Z79" i="24" s="1"/>
  <c r="Y79" i="24" s="1"/>
  <c r="D131" i="25"/>
  <c r="E131" i="25" s="1"/>
  <c r="F131" i="25" s="1"/>
  <c r="W131" i="25"/>
  <c r="B275" i="25"/>
  <c r="D275" i="24"/>
  <c r="E275" i="24" s="1"/>
  <c r="F275" i="24" s="1"/>
  <c r="W275" i="24"/>
  <c r="G303" i="23"/>
  <c r="CD303" i="6" s="1"/>
  <c r="AA303" i="23"/>
  <c r="Z303" i="23" s="1"/>
  <c r="Y303" i="23" s="1"/>
  <c r="J303" i="20"/>
  <c r="I303" i="20"/>
  <c r="H303" i="22" s="1"/>
  <c r="G86" i="23"/>
  <c r="CD86" i="6" s="1"/>
  <c r="AA86" i="23"/>
  <c r="Z86" i="23" s="1"/>
  <c r="Y86" i="23" s="1"/>
  <c r="I112" i="22"/>
  <c r="H112" i="23" s="1"/>
  <c r="W188" i="24"/>
  <c r="B188" i="25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B169" i="25"/>
  <c r="W245" i="24"/>
  <c r="B245" i="25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I288" i="20"/>
  <c r="H288" i="22" s="1"/>
  <c r="J288" i="20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B355" i="25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B378" i="25"/>
  <c r="D378" i="24"/>
  <c r="E378" i="24" s="1"/>
  <c r="F378" i="24" s="1"/>
  <c r="I196" i="22"/>
  <c r="H196" i="23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B88" i="25"/>
  <c r="I220" i="22"/>
  <c r="H220" i="23" s="1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B234" i="25"/>
  <c r="W133" i="24"/>
  <c r="D133" i="24"/>
  <c r="E133" i="24" s="1"/>
  <c r="F133" i="24" s="1"/>
  <c r="B133" i="25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B356" i="25"/>
  <c r="D299" i="25"/>
  <c r="E299" i="25" s="1"/>
  <c r="F299" i="25" s="1"/>
  <c r="W299" i="25"/>
  <c r="G236" i="23"/>
  <c r="CD236" i="6" s="1"/>
  <c r="AA236" i="23"/>
  <c r="Z236" i="23" s="1"/>
  <c r="Y236" i="23" s="1"/>
  <c r="J193" i="20"/>
  <c r="I193" i="20"/>
  <c r="H193" i="22" s="1"/>
  <c r="I306" i="20"/>
  <c r="H306" i="22" s="1"/>
  <c r="J306" i="20"/>
  <c r="I348" i="20"/>
  <c r="H348" i="22" s="1"/>
  <c r="J348" i="20"/>
  <c r="I136" i="20"/>
  <c r="H136" i="22" s="1"/>
  <c r="J136" i="20"/>
  <c r="J259" i="20"/>
  <c r="I259" i="20"/>
  <c r="H259" i="22" s="1"/>
  <c r="J337" i="20"/>
  <c r="I337" i="20"/>
  <c r="H337" i="22" s="1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23" i="20"/>
  <c r="I23" i="20"/>
  <c r="H23" i="22" s="1"/>
  <c r="J344" i="20"/>
  <c r="I344" i="20"/>
  <c r="H344" i="22" s="1"/>
  <c r="J164" i="20"/>
  <c r="I164" i="20"/>
  <c r="H164" i="22" s="1"/>
  <c r="J300" i="20"/>
  <c r="I300" i="20"/>
  <c r="H300" i="22" s="1"/>
  <c r="I297" i="20"/>
  <c r="H297" i="22" s="1"/>
  <c r="J297" i="20"/>
  <c r="I64" i="20"/>
  <c r="H64" i="22" s="1"/>
  <c r="J64" i="20"/>
  <c r="O4" i="6"/>
  <c r="D226" i="24"/>
  <c r="E226" i="24" s="1"/>
  <c r="F226" i="24" s="1"/>
  <c r="B226" i="25"/>
  <c r="W226" i="24"/>
  <c r="G227" i="24"/>
  <c r="CE227" i="6" s="1"/>
  <c r="AA227" i="24"/>
  <c r="Z227" i="24" s="1"/>
  <c r="Y227" i="24" s="1"/>
  <c r="AA95" i="24"/>
  <c r="Z95" i="24" s="1"/>
  <c r="Y95" i="24" s="1"/>
  <c r="G95" i="24"/>
  <c r="CE95" i="6" s="1"/>
  <c r="B99" i="25"/>
  <c r="D99" i="24"/>
  <c r="E99" i="24" s="1"/>
  <c r="F99" i="24" s="1"/>
  <c r="W99" i="24"/>
  <c r="W361" i="24"/>
  <c r="D361" i="24"/>
  <c r="E361" i="24" s="1"/>
  <c r="F361" i="24" s="1"/>
  <c r="B361" i="25"/>
  <c r="I104" i="20"/>
  <c r="H104" i="22" s="1"/>
  <c r="J104" i="20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B71" i="25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B215" i="25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B184" i="25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B214" i="25"/>
  <c r="W214" i="24"/>
  <c r="J214" i="20"/>
  <c r="I214" i="20"/>
  <c r="H214" i="22" s="1"/>
  <c r="J340" i="20"/>
  <c r="I340" i="20"/>
  <c r="H340" i="22" s="1"/>
  <c r="G305" i="24"/>
  <c r="CE305" i="6" s="1"/>
  <c r="AA305" i="24"/>
  <c r="Z305" i="24" s="1"/>
  <c r="Y305" i="24" s="1"/>
  <c r="B125" i="25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B346" i="25"/>
  <c r="D346" i="24"/>
  <c r="E346" i="24" s="1"/>
  <c r="F346" i="24" s="1"/>
  <c r="G37" i="23"/>
  <c r="CD37" i="6" s="1"/>
  <c r="AA37" i="23"/>
  <c r="Z37" i="23" s="1"/>
  <c r="Y37" i="23" s="1"/>
  <c r="J140" i="20"/>
  <c r="I140" i="20"/>
  <c r="H140" i="22" s="1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B48" i="25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B332" i="25"/>
  <c r="W332" i="24"/>
  <c r="D332" i="24"/>
  <c r="E332" i="24" s="1"/>
  <c r="F332" i="24" s="1"/>
  <c r="G81" i="23"/>
  <c r="CD81" i="6" s="1"/>
  <c r="AA81" i="23"/>
  <c r="Z81" i="23" s="1"/>
  <c r="Y81" i="23" s="1"/>
  <c r="J265" i="20"/>
  <c r="I265" i="20"/>
  <c r="H265" i="22" s="1"/>
  <c r="J55" i="20"/>
  <c r="I55" i="20"/>
  <c r="H55" i="22" s="1"/>
  <c r="I299" i="20"/>
  <c r="H299" i="22" s="1"/>
  <c r="J299" i="20"/>
  <c r="J167" i="20"/>
  <c r="I167" i="20"/>
  <c r="H167" i="22" s="1"/>
  <c r="J379" i="20"/>
  <c r="I379" i="20"/>
  <c r="H379" i="22" s="1"/>
  <c r="J105" i="20"/>
  <c r="I105" i="20"/>
  <c r="H105" i="22" s="1"/>
  <c r="J319" i="20"/>
  <c r="I319" i="20"/>
  <c r="H319" i="22" s="1"/>
  <c r="J278" i="20"/>
  <c r="I278" i="20"/>
  <c r="H278" i="22" s="1"/>
  <c r="J241" i="20"/>
  <c r="I241" i="20"/>
  <c r="H241" i="22" s="1"/>
  <c r="I260" i="20"/>
  <c r="H260" i="22" s="1"/>
  <c r="J260" i="20"/>
  <c r="J142" i="20"/>
  <c r="I142" i="20"/>
  <c r="H142" i="22" s="1"/>
  <c r="I107" i="20"/>
  <c r="H107" i="22" s="1"/>
  <c r="J107" i="20"/>
  <c r="I151" i="20"/>
  <c r="H151" i="22" s="1"/>
  <c r="J151" i="20"/>
  <c r="J138" i="20"/>
  <c r="I138" i="20"/>
  <c r="H138" i="22" s="1"/>
  <c r="J202" i="20"/>
  <c r="I202" i="20"/>
  <c r="H202" i="22" s="1"/>
  <c r="I304" i="20"/>
  <c r="H304" i="22" s="1"/>
  <c r="J304" i="20"/>
  <c r="J370" i="20"/>
  <c r="I370" i="20"/>
  <c r="H370" i="22" s="1"/>
  <c r="I190" i="20"/>
  <c r="H190" i="22" s="1"/>
  <c r="J190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B135" i="25"/>
  <c r="D135" i="24"/>
  <c r="E135" i="24" s="1"/>
  <c r="F135" i="24" s="1"/>
  <c r="W161" i="24"/>
  <c r="D161" i="24"/>
  <c r="E161" i="24" s="1"/>
  <c r="F161" i="24" s="1"/>
  <c r="B161" i="25"/>
  <c r="W159" i="24"/>
  <c r="D159" i="24"/>
  <c r="E159" i="24" s="1"/>
  <c r="F159" i="24" s="1"/>
  <c r="B159" i="25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B127" i="25"/>
  <c r="W127" i="24"/>
  <c r="D127" i="24"/>
  <c r="E127" i="24" s="1"/>
  <c r="F127" i="24" s="1"/>
  <c r="D173" i="24"/>
  <c r="E173" i="24" s="1"/>
  <c r="F173" i="24" s="1"/>
  <c r="B173" i="25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I325" i="22"/>
  <c r="H325" i="23" s="1"/>
  <c r="W375" i="25"/>
  <c r="D375" i="25"/>
  <c r="E375" i="25" s="1"/>
  <c r="F375" i="25" s="1"/>
  <c r="W292" i="24"/>
  <c r="D292" i="24"/>
  <c r="E292" i="24" s="1"/>
  <c r="F292" i="24" s="1"/>
  <c r="B292" i="25"/>
  <c r="W225" i="24"/>
  <c r="B225" i="25"/>
  <c r="D225" i="24"/>
  <c r="E225" i="24" s="1"/>
  <c r="F225" i="24" s="1"/>
  <c r="B290" i="25"/>
  <c r="W290" i="24"/>
  <c r="D290" i="24"/>
  <c r="E290" i="24" s="1"/>
  <c r="F290" i="24" s="1"/>
  <c r="W362" i="24"/>
  <c r="B362" i="25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B42" i="25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I339" i="22"/>
  <c r="H339" i="23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B20" i="25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B213" i="25"/>
  <c r="W213" i="24"/>
  <c r="G213" i="23"/>
  <c r="CD213" i="6" s="1"/>
  <c r="AA213" i="23"/>
  <c r="Z213" i="23" s="1"/>
  <c r="Y213" i="23" s="1"/>
  <c r="AD4" i="6"/>
  <c r="G229" i="24"/>
  <c r="CE229" i="6" s="1"/>
  <c r="AA229" i="24"/>
  <c r="Z229" i="24" s="1"/>
  <c r="Y229" i="24" s="1"/>
  <c r="W32" i="25"/>
  <c r="D32" i="25"/>
  <c r="E32" i="25" s="1"/>
  <c r="F32" i="25" s="1"/>
  <c r="D323" i="6"/>
  <c r="AJ4" i="6"/>
  <c r="Z4" i="6"/>
  <c r="D183" i="6"/>
  <c r="D351" i="6"/>
  <c r="AL4" i="6"/>
  <c r="AG4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B84" i="25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B75" i="25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B246" i="25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B51" i="25"/>
  <c r="G36" i="23"/>
  <c r="CD36" i="6" s="1"/>
  <c r="AA36" i="23"/>
  <c r="Z36" i="23" s="1"/>
  <c r="Y36" i="23" s="1"/>
  <c r="G162" i="23"/>
  <c r="CD162" i="6" s="1"/>
  <c r="AA162" i="23"/>
  <c r="Z162" i="23" s="1"/>
  <c r="Y162" i="23" s="1"/>
  <c r="B340" i="25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I37" i="20"/>
  <c r="H37" i="22" s="1"/>
  <c r="J37" i="20"/>
  <c r="D145" i="24"/>
  <c r="E145" i="24" s="1"/>
  <c r="F145" i="24" s="1"/>
  <c r="B145" i="25"/>
  <c r="W145" i="24"/>
  <c r="I201" i="22"/>
  <c r="H201" i="23" s="1"/>
  <c r="D259" i="25"/>
  <c r="E259" i="25" s="1"/>
  <c r="F259" i="25" s="1"/>
  <c r="W259" i="25"/>
  <c r="J126" i="20"/>
  <c r="I126" i="20"/>
  <c r="H126" i="22" s="1"/>
  <c r="I307" i="20"/>
  <c r="H307" i="22" s="1"/>
  <c r="J307" i="20"/>
  <c r="B373" i="25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B266" i="25"/>
  <c r="D360" i="25"/>
  <c r="E360" i="25" s="1"/>
  <c r="F360" i="25" s="1"/>
  <c r="W360" i="25"/>
  <c r="W72" i="24"/>
  <c r="D72" i="24"/>
  <c r="E72" i="24" s="1"/>
  <c r="F72" i="24" s="1"/>
  <c r="B72" i="25"/>
  <c r="G314" i="23"/>
  <c r="CD314" i="6" s="1"/>
  <c r="AA314" i="23"/>
  <c r="Z314" i="23" s="1"/>
  <c r="Y314" i="23" s="1"/>
  <c r="W78" i="24"/>
  <c r="D78" i="24"/>
  <c r="E78" i="24" s="1"/>
  <c r="F78" i="24" s="1"/>
  <c r="B78" i="25"/>
  <c r="G182" i="23"/>
  <c r="CD182" i="6" s="1"/>
  <c r="AA182" i="23"/>
  <c r="Z182" i="23" s="1"/>
  <c r="Y182" i="23" s="1"/>
  <c r="J182" i="20"/>
  <c r="I182" i="20"/>
  <c r="H182" i="22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J154" i="20"/>
  <c r="I154" i="20"/>
  <c r="H154" i="22" s="1"/>
  <c r="I302" i="20"/>
  <c r="H302" i="22" s="1"/>
  <c r="J302" i="20"/>
  <c r="I63" i="20"/>
  <c r="H63" i="22" s="1"/>
  <c r="J63" i="20"/>
  <c r="I118" i="20"/>
  <c r="H118" i="22" s="1"/>
  <c r="J118" i="20"/>
  <c r="I93" i="20"/>
  <c r="H93" i="22" s="1"/>
  <c r="J93" i="20"/>
  <c r="I147" i="20"/>
  <c r="H147" i="22" s="1"/>
  <c r="J147" i="20"/>
  <c r="J293" i="20"/>
  <c r="I293" i="20"/>
  <c r="H293" i="22" s="1"/>
  <c r="I141" i="20"/>
  <c r="H141" i="22" s="1"/>
  <c r="J141" i="20"/>
  <c r="J257" i="20"/>
  <c r="I257" i="20"/>
  <c r="H257" i="22" s="1"/>
  <c r="I360" i="20"/>
  <c r="H360" i="22" s="1"/>
  <c r="J360" i="20"/>
  <c r="J41" i="20"/>
  <c r="I41" i="20"/>
  <c r="H41" i="22" s="1"/>
  <c r="J117" i="20"/>
  <c r="I117" i="20"/>
  <c r="H117" i="22" s="1"/>
  <c r="J343" i="20"/>
  <c r="I343" i="20"/>
  <c r="H343" i="22" s="1"/>
  <c r="J82" i="20"/>
  <c r="I82" i="20"/>
  <c r="H82" i="22" s="1"/>
  <c r="I158" i="20"/>
  <c r="H158" i="22" s="1"/>
  <c r="J158" i="20"/>
  <c r="J305" i="20"/>
  <c r="I305" i="20"/>
  <c r="H305" i="22" s="1"/>
  <c r="I229" i="20"/>
  <c r="H229" i="22" s="1"/>
  <c r="J229" i="20"/>
  <c r="J100" i="20"/>
  <c r="I100" i="20"/>
  <c r="H100" i="22" s="1"/>
  <c r="J95" i="20"/>
  <c r="I95" i="20"/>
  <c r="H95" i="22" s="1"/>
  <c r="J16" i="20"/>
  <c r="I16" i="20"/>
  <c r="H16" i="22" s="1"/>
  <c r="I255" i="20"/>
  <c r="H255" i="22" s="1"/>
  <c r="J255" i="20"/>
  <c r="I324" i="20"/>
  <c r="H324" i="22" s="1"/>
  <c r="J324" i="20"/>
  <c r="I68" i="20"/>
  <c r="H68" i="22" s="1"/>
  <c r="J68" i="20"/>
  <c r="I338" i="20"/>
  <c r="H338" i="22" s="1"/>
  <c r="J338" i="20"/>
  <c r="I50" i="20"/>
  <c r="H50" i="22" s="1"/>
  <c r="J50" i="20"/>
  <c r="I101" i="20"/>
  <c r="H101" i="22" s="1"/>
  <c r="J101" i="20"/>
  <c r="J168" i="20"/>
  <c r="I168" i="20"/>
  <c r="H168" i="22" s="1"/>
  <c r="I301" i="20"/>
  <c r="H301" i="22" s="1"/>
  <c r="J301" i="20"/>
  <c r="J284" i="20"/>
  <c r="I284" i="20"/>
  <c r="H284" i="22" s="1"/>
  <c r="D77" i="24"/>
  <c r="E77" i="24" s="1"/>
  <c r="F77" i="24" s="1"/>
  <c r="B77" i="25"/>
  <c r="W77" i="24"/>
  <c r="G77" i="23"/>
  <c r="CD77" i="6" s="1"/>
  <c r="AA77" i="23"/>
  <c r="Z77" i="23" s="1"/>
  <c r="Y77" i="23" s="1"/>
  <c r="D60" i="24"/>
  <c r="E60" i="24" s="1"/>
  <c r="F60" i="24" s="1"/>
  <c r="B60" i="25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J127" i="20"/>
  <c r="I127" i="20"/>
  <c r="H127" i="22" s="1"/>
  <c r="D271" i="25"/>
  <c r="E271" i="25" s="1"/>
  <c r="F271" i="25" s="1"/>
  <c r="W271" i="25"/>
  <c r="G50" i="24"/>
  <c r="CE50" i="6" s="1"/>
  <c r="AA50" i="24"/>
  <c r="Z50" i="24" s="1"/>
  <c r="Y50" i="24" s="1"/>
  <c r="W128" i="24"/>
  <c r="B128" i="25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B144" i="25"/>
  <c r="D144" i="24"/>
  <c r="E144" i="24" s="1"/>
  <c r="F144" i="24" s="1"/>
  <c r="W144" i="24"/>
  <c r="B203" i="25"/>
  <c r="D203" i="24"/>
  <c r="E203" i="24" s="1"/>
  <c r="F203" i="24" s="1"/>
  <c r="W203" i="24"/>
  <c r="G203" i="23"/>
  <c r="CD203" i="6" s="1"/>
  <c r="AA203" i="23"/>
  <c r="Z203" i="23" s="1"/>
  <c r="Y203" i="23" s="1"/>
  <c r="J277" i="20"/>
  <c r="I277" i="20"/>
  <c r="H277" i="22" s="1"/>
  <c r="AA121" i="23"/>
  <c r="Z121" i="23" s="1"/>
  <c r="Y121" i="23" s="1"/>
  <c r="G121" i="23"/>
  <c r="CD121" i="6" s="1"/>
  <c r="W186" i="24"/>
  <c r="B186" i="25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J290" i="20"/>
  <c r="I290" i="20"/>
  <c r="H290" i="22" s="1"/>
  <c r="J362" i="20"/>
  <c r="I362" i="20"/>
  <c r="H362" i="22" s="1"/>
  <c r="AA310" i="23"/>
  <c r="Z310" i="23" s="1"/>
  <c r="Y310" i="23" s="1"/>
  <c r="G310" i="23"/>
  <c r="CD310" i="6" s="1"/>
  <c r="B311" i="25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AH4" i="6"/>
  <c r="J232" i="20"/>
  <c r="I232" i="20"/>
  <c r="H232" i="22" s="1"/>
  <c r="G119" i="23"/>
  <c r="CD119" i="6" s="1"/>
  <c r="AA119" i="23"/>
  <c r="Z119" i="23" s="1"/>
  <c r="Y119" i="23" s="1"/>
  <c r="W196" i="24"/>
  <c r="B196" i="25"/>
  <c r="D196" i="24"/>
  <c r="E196" i="24" s="1"/>
  <c r="F196" i="24" s="1"/>
  <c r="G67" i="23"/>
  <c r="CD67" i="6" s="1"/>
  <c r="AA67" i="23"/>
  <c r="Z67" i="23" s="1"/>
  <c r="Y67" i="23" s="1"/>
  <c r="J249" i="20"/>
  <c r="I249" i="20"/>
  <c r="H249" i="22" s="1"/>
  <c r="G317" i="23"/>
  <c r="CD317" i="6" s="1"/>
  <c r="AA317" i="23"/>
  <c r="Z317" i="23" s="1"/>
  <c r="Y317" i="23" s="1"/>
  <c r="J42" i="20"/>
  <c r="I42" i="20"/>
  <c r="H42" i="22" s="1"/>
  <c r="G220" i="23"/>
  <c r="CD220" i="6" s="1"/>
  <c r="AA220" i="23"/>
  <c r="Z220" i="23" s="1"/>
  <c r="Y220" i="23" s="1"/>
  <c r="I254" i="20"/>
  <c r="H254" i="22" s="1"/>
  <c r="J254" i="20"/>
  <c r="AA87" i="23"/>
  <c r="Z87" i="23" s="1"/>
  <c r="Y87" i="23" s="1"/>
  <c r="G87" i="23"/>
  <c r="CD87" i="6" s="1"/>
  <c r="D371" i="24"/>
  <c r="E371" i="24" s="1"/>
  <c r="F371" i="24" s="1"/>
  <c r="B371" i="25"/>
  <c r="W371" i="24"/>
  <c r="W191" i="24"/>
  <c r="D191" i="24"/>
  <c r="E191" i="24" s="1"/>
  <c r="F191" i="24" s="1"/>
  <c r="B191" i="25"/>
  <c r="G191" i="23"/>
  <c r="CD191" i="6" s="1"/>
  <c r="AA191" i="23"/>
  <c r="Z191" i="23" s="1"/>
  <c r="Y191" i="23" s="1"/>
  <c r="I267" i="20"/>
  <c r="H267" i="22" s="1"/>
  <c r="J267" i="20"/>
  <c r="D337" i="25"/>
  <c r="E337" i="25" s="1"/>
  <c r="F337" i="25" s="1"/>
  <c r="W337" i="25"/>
  <c r="D115" i="24"/>
  <c r="E115" i="24" s="1"/>
  <c r="F115" i="24" s="1"/>
  <c r="B115" i="25"/>
  <c r="W115" i="24"/>
  <c r="D345" i="24"/>
  <c r="E345" i="24" s="1"/>
  <c r="F345" i="24" s="1"/>
  <c r="B345" i="25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B73" i="25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J363" i="20"/>
  <c r="I363" i="20"/>
  <c r="H363" i="22" s="1"/>
  <c r="I316" i="20"/>
  <c r="H316" i="22" s="1"/>
  <c r="J316" i="20"/>
  <c r="I59" i="20"/>
  <c r="H59" i="22" s="1"/>
  <c r="J59" i="20"/>
  <c r="I269" i="20"/>
  <c r="H269" i="22" s="1"/>
  <c r="J269" i="20"/>
  <c r="I237" i="20"/>
  <c r="H237" i="22" s="1"/>
  <c r="J237" i="20"/>
  <c r="J243" i="20"/>
  <c r="I243" i="20"/>
  <c r="H243" i="22" s="1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B287" i="25"/>
  <c r="W287" i="24"/>
  <c r="D287" i="24"/>
  <c r="E287" i="24" s="1"/>
  <c r="F287" i="24" s="1"/>
  <c r="V4" i="6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B328" i="25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B27" i="25"/>
  <c r="G256" i="23"/>
  <c r="CD256" i="6" s="1"/>
  <c r="AA256" i="23"/>
  <c r="Z256" i="23" s="1"/>
  <c r="Y256" i="23" s="1"/>
  <c r="W330" i="24"/>
  <c r="D330" i="24"/>
  <c r="E330" i="24" s="1"/>
  <c r="F330" i="24" s="1"/>
  <c r="B330" i="25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B264" i="25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B248" i="25"/>
  <c r="W248" i="24"/>
  <c r="D248" i="24"/>
  <c r="E248" i="24" s="1"/>
  <c r="F248" i="24" s="1"/>
  <c r="W140" i="24"/>
  <c r="B140" i="25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B250" i="25"/>
  <c r="D250" i="24"/>
  <c r="E250" i="24" s="1"/>
  <c r="F250" i="24" s="1"/>
  <c r="J372" i="20"/>
  <c r="I372" i="20"/>
  <c r="H372" i="22" s="1"/>
  <c r="AF4" i="6"/>
  <c r="D357" i="24"/>
  <c r="E357" i="24" s="1"/>
  <c r="F357" i="24" s="1"/>
  <c r="B357" i="25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B163" i="25"/>
  <c r="W163" i="24"/>
  <c r="I54" i="20"/>
  <c r="H54" i="22" s="1"/>
  <c r="J54" i="20"/>
  <c r="I30" i="20"/>
  <c r="H30" i="22" s="1"/>
  <c r="J30" i="20"/>
  <c r="J177" i="20"/>
  <c r="I177" i="20"/>
  <c r="H177" i="22" s="1"/>
  <c r="J17" i="20"/>
  <c r="I17" i="20"/>
  <c r="H17" i="22" s="1"/>
  <c r="J111" i="20"/>
  <c r="I111" i="20"/>
  <c r="H111" i="22" s="1"/>
  <c r="I66" i="20"/>
  <c r="H66" i="22" s="1"/>
  <c r="J66" i="20"/>
  <c r="I130" i="20"/>
  <c r="H130" i="22" s="1"/>
  <c r="J130" i="20"/>
  <c r="I271" i="20"/>
  <c r="H271" i="22" s="1"/>
  <c r="J271" i="20"/>
  <c r="I106" i="20"/>
  <c r="H106" i="22" s="1"/>
  <c r="J106" i="20"/>
  <c r="J178" i="20"/>
  <c r="I178" i="20"/>
  <c r="H178" i="22" s="1"/>
  <c r="J308" i="20"/>
  <c r="I308" i="20"/>
  <c r="H308" i="22" s="1"/>
  <c r="J336" i="20"/>
  <c r="I336" i="20"/>
  <c r="H336" i="22" s="1"/>
  <c r="J47" i="20"/>
  <c r="I47" i="20"/>
  <c r="H47" i="22" s="1"/>
  <c r="J209" i="20"/>
  <c r="I209" i="20"/>
  <c r="H209" i="22" s="1"/>
  <c r="I285" i="20"/>
  <c r="H285" i="22" s="1"/>
  <c r="J285" i="20"/>
  <c r="J341" i="20"/>
  <c r="I341" i="20"/>
  <c r="H341" i="22" s="1"/>
  <c r="I375" i="20"/>
  <c r="H375" i="22" s="1"/>
  <c r="J375" i="20"/>
  <c r="J280" i="20"/>
  <c r="I280" i="20"/>
  <c r="H280" i="22" s="1"/>
  <c r="I113" i="20"/>
  <c r="H113" i="22" s="1"/>
  <c r="J113" i="20"/>
  <c r="J199" i="20"/>
  <c r="I199" i="20"/>
  <c r="H199" i="22" s="1"/>
  <c r="I40" i="20"/>
  <c r="H40" i="22" s="1"/>
  <c r="J40" i="20"/>
  <c r="J204" i="20"/>
  <c r="I204" i="20"/>
  <c r="H204" i="22" s="1"/>
  <c r="I252" i="20"/>
  <c r="H252" i="22" s="1"/>
  <c r="J252" i="20"/>
  <c r="I103" i="20"/>
  <c r="H103" i="22" s="1"/>
  <c r="J103" i="20"/>
  <c r="I235" i="20"/>
  <c r="H235" i="22" s="1"/>
  <c r="J235" i="20"/>
  <c r="J211" i="20"/>
  <c r="I211" i="20"/>
  <c r="H211" i="22" s="1"/>
  <c r="I331" i="20"/>
  <c r="H331" i="22" s="1"/>
  <c r="J331" i="20"/>
  <c r="J18" i="20"/>
  <c r="I18" i="20"/>
  <c r="H18" i="22" s="1"/>
  <c r="J367" i="20"/>
  <c r="I367" i="20"/>
  <c r="H367" i="22" s="1"/>
  <c r="J327" i="20"/>
  <c r="I327" i="20"/>
  <c r="H327" i="22" s="1"/>
  <c r="J79" i="20"/>
  <c r="I79" i="20"/>
  <c r="H79" i="22" s="1"/>
  <c r="J153" i="20"/>
  <c r="I153" i="20"/>
  <c r="H153" i="22" s="1"/>
  <c r="B210" i="25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B194" i="25"/>
  <c r="G194" i="23"/>
  <c r="CD194" i="6" s="1"/>
  <c r="AA194" i="23"/>
  <c r="Z194" i="23" s="1"/>
  <c r="Y194" i="23" s="1"/>
  <c r="W61" i="24"/>
  <c r="D61" i="24"/>
  <c r="E61" i="24" s="1"/>
  <c r="F61" i="24" s="1"/>
  <c r="B61" i="25"/>
  <c r="G89" i="23"/>
  <c r="CD89" i="6" s="1"/>
  <c r="AA89" i="23"/>
  <c r="Z89" i="23" s="1"/>
  <c r="Y89" i="23" s="1"/>
  <c r="D230" i="25"/>
  <c r="E230" i="25" s="1"/>
  <c r="F230" i="25" s="1"/>
  <c r="W230" i="25"/>
  <c r="B45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B233" i="25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B277" i="25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B309" i="25"/>
  <c r="D309" i="24"/>
  <c r="E309" i="24" s="1"/>
  <c r="F309" i="24" s="1"/>
  <c r="G62" i="23"/>
  <c r="CD62" i="6" s="1"/>
  <c r="AA62" i="23"/>
  <c r="Z62" i="23" s="1"/>
  <c r="Y62" i="23" s="1"/>
  <c r="B232" i="25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B291" i="25"/>
  <c r="W339" i="24"/>
  <c r="B339" i="25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J289" i="22" l="1"/>
  <c r="J98" i="22"/>
  <c r="W108" i="25"/>
  <c r="AA152" i="24"/>
  <c r="Z152" i="24" s="1"/>
  <c r="Y152" i="24" s="1"/>
  <c r="I378" i="20"/>
  <c r="H378" i="22" s="1"/>
  <c r="J378" i="22" s="1"/>
  <c r="J184" i="20"/>
  <c r="J184" i="22" s="1"/>
  <c r="J184" i="23" s="1"/>
  <c r="J22" i="20"/>
  <c r="I273" i="20"/>
  <c r="H273" i="22" s="1"/>
  <c r="I273" i="22" s="1"/>
  <c r="H273" i="23" s="1"/>
  <c r="I273" i="23" s="1"/>
  <c r="H273" i="24" s="1"/>
  <c r="D359" i="25"/>
  <c r="E359" i="25" s="1"/>
  <c r="F359" i="25" s="1"/>
  <c r="G359" i="25" s="1"/>
  <c r="CF359" i="6" s="1"/>
  <c r="G136" i="24"/>
  <c r="CE136" i="6" s="1"/>
  <c r="D167" i="25"/>
  <c r="E167" i="25" s="1"/>
  <c r="F167" i="25" s="1"/>
  <c r="G167" i="25" s="1"/>
  <c r="CF167" i="6" s="1"/>
  <c r="J350" i="20"/>
  <c r="J350" i="22" s="1"/>
  <c r="J350" i="23" s="1"/>
  <c r="J44" i="22"/>
  <c r="I188" i="20"/>
  <c r="H188" i="22" s="1"/>
  <c r="I188" i="22" s="1"/>
  <c r="H188" i="23" s="1"/>
  <c r="I188" i="23" s="1"/>
  <c r="H188" i="24" s="1"/>
  <c r="J352" i="20"/>
  <c r="J352" i="22" s="1"/>
  <c r="J352" i="23" s="1"/>
  <c r="J223" i="22"/>
  <c r="I365" i="20"/>
  <c r="H365" i="22" s="1"/>
  <c r="J365" i="22" s="1"/>
  <c r="J25" i="22"/>
  <c r="I356" i="20"/>
  <c r="H356" i="22" s="1"/>
  <c r="J356" i="22" s="1"/>
  <c r="D95" i="25"/>
  <c r="E95" i="25" s="1"/>
  <c r="F95" i="25" s="1"/>
  <c r="AA95" i="25" s="1"/>
  <c r="Z95" i="25" s="1"/>
  <c r="Y95" i="25" s="1"/>
  <c r="J198" i="20"/>
  <c r="J198" i="22" s="1"/>
  <c r="J198" i="23" s="1"/>
  <c r="J159" i="22"/>
  <c r="J88" i="22"/>
  <c r="J24" i="20"/>
  <c r="J24" i="22" s="1"/>
  <c r="J24" i="23" s="1"/>
  <c r="G54" i="24"/>
  <c r="CE54" i="6" s="1"/>
  <c r="J203" i="22"/>
  <c r="J34" i="20"/>
  <c r="J34" i="22" s="1"/>
  <c r="J34" i="23" s="1"/>
  <c r="I144" i="20"/>
  <c r="H144" i="22" s="1"/>
  <c r="J144" i="22" s="1"/>
  <c r="I292" i="20"/>
  <c r="H292" i="22" s="1"/>
  <c r="I292" i="22" s="1"/>
  <c r="H292" i="23" s="1"/>
  <c r="I292" i="23" s="1"/>
  <c r="H292" i="24" s="1"/>
  <c r="I98" i="22"/>
  <c r="H98" i="23" s="1"/>
  <c r="J98" i="23" s="1"/>
  <c r="J274" i="20"/>
  <c r="J274" i="22" s="1"/>
  <c r="J274" i="23" s="1"/>
  <c r="I233" i="20"/>
  <c r="H233" i="22" s="1"/>
  <c r="J233" i="22" s="1"/>
  <c r="J77" i="20"/>
  <c r="J77" i="22" s="1"/>
  <c r="J77" i="23" s="1"/>
  <c r="I311" i="20"/>
  <c r="H311" i="22" s="1"/>
  <c r="J311" i="22" s="1"/>
  <c r="I31" i="20"/>
  <c r="H31" i="22" s="1"/>
  <c r="J31" i="22" s="1"/>
  <c r="J371" i="22"/>
  <c r="I137" i="20"/>
  <c r="H137" i="22" s="1"/>
  <c r="J137" i="22" s="1"/>
  <c r="J169" i="22"/>
  <c r="J210" i="20"/>
  <c r="J210" i="22" s="1"/>
  <c r="J114" i="22"/>
  <c r="J62" i="20"/>
  <c r="J62" i="22" s="1"/>
  <c r="J62" i="23" s="1"/>
  <c r="J373" i="20"/>
  <c r="J373" i="22" s="1"/>
  <c r="J373" i="23" s="1"/>
  <c r="J22" i="22"/>
  <c r="J22" i="23" s="1"/>
  <c r="D300" i="25"/>
  <c r="E300" i="25" s="1"/>
  <c r="F300" i="25" s="1"/>
  <c r="G300" i="25" s="1"/>
  <c r="CF300" i="6" s="1"/>
  <c r="J125" i="20"/>
  <c r="J125" i="22" s="1"/>
  <c r="J125" i="23" s="1"/>
  <c r="J309" i="20"/>
  <c r="J309" i="22" s="1"/>
  <c r="J309" i="23" s="1"/>
  <c r="J65" i="20"/>
  <c r="J65" i="22" s="1"/>
  <c r="J65" i="23" s="1"/>
  <c r="W297" i="25"/>
  <c r="AA348" i="24"/>
  <c r="Z348" i="24" s="1"/>
  <c r="Y348" i="24" s="1"/>
  <c r="J296" i="22"/>
  <c r="J296" i="23" s="1"/>
  <c r="D30" i="25"/>
  <c r="E30" i="25" s="1"/>
  <c r="F30" i="25" s="1"/>
  <c r="G30" i="25" s="1"/>
  <c r="CF30" i="6" s="1"/>
  <c r="G108" i="24"/>
  <c r="CE108" i="6" s="1"/>
  <c r="G323" i="24"/>
  <c r="CE323" i="6" s="1"/>
  <c r="G306" i="24"/>
  <c r="CE306" i="6" s="1"/>
  <c r="I205" i="23"/>
  <c r="H205" i="24" s="1"/>
  <c r="G59" i="24"/>
  <c r="CE59" i="6" s="1"/>
  <c r="W43" i="25"/>
  <c r="D353" i="25"/>
  <c r="E353" i="25" s="1"/>
  <c r="F353" i="25" s="1"/>
  <c r="AA353" i="25" s="1"/>
  <c r="Z353" i="25" s="1"/>
  <c r="Y353" i="25" s="1"/>
  <c r="AA316" i="24"/>
  <c r="Z316" i="24" s="1"/>
  <c r="Y316" i="24" s="1"/>
  <c r="D331" i="25"/>
  <c r="E331" i="25" s="1"/>
  <c r="F331" i="25" s="1"/>
  <c r="G331" i="25" s="1"/>
  <c r="CF331" i="6" s="1"/>
  <c r="AA237" i="24"/>
  <c r="Z237" i="24" s="1"/>
  <c r="Y237" i="24" s="1"/>
  <c r="AA331" i="24"/>
  <c r="Z331" i="24" s="1"/>
  <c r="Y331" i="24" s="1"/>
  <c r="D377" i="25"/>
  <c r="E377" i="25" s="1"/>
  <c r="F377" i="25" s="1"/>
  <c r="G377" i="25" s="1"/>
  <c r="CF377" i="6" s="1"/>
  <c r="W70" i="25"/>
  <c r="W212" i="25"/>
  <c r="D269" i="25"/>
  <c r="E269" i="25" s="1"/>
  <c r="F269" i="25" s="1"/>
  <c r="G269" i="25" s="1"/>
  <c r="CF269" i="6" s="1"/>
  <c r="G19" i="24"/>
  <c r="CE19" i="6" s="1"/>
  <c r="AA211" i="24"/>
  <c r="Z211" i="24" s="1"/>
  <c r="Y211" i="24" s="1"/>
  <c r="G212" i="24"/>
  <c r="CE212" i="6" s="1"/>
  <c r="W19" i="25"/>
  <c r="D155" i="25"/>
  <c r="E155" i="25" s="1"/>
  <c r="F155" i="25" s="1"/>
  <c r="G155" i="25" s="1"/>
  <c r="CF155" i="6" s="1"/>
  <c r="G270" i="24"/>
  <c r="CE270" i="6" s="1"/>
  <c r="AA28" i="24"/>
  <c r="Z28" i="24" s="1"/>
  <c r="Y28" i="24" s="1"/>
  <c r="W23" i="25"/>
  <c r="W152" i="25"/>
  <c r="D306" i="25"/>
  <c r="E306" i="25" s="1"/>
  <c r="F306" i="25" s="1"/>
  <c r="AA306" i="25" s="1"/>
  <c r="Z306" i="25" s="1"/>
  <c r="Y306" i="25" s="1"/>
  <c r="AA129" i="24"/>
  <c r="Z129" i="24" s="1"/>
  <c r="Y129" i="24" s="1"/>
  <c r="W329" i="25"/>
  <c r="W211" i="25"/>
  <c r="W327" i="25"/>
  <c r="W136" i="25"/>
  <c r="D54" i="25"/>
  <c r="E54" i="25" s="1"/>
  <c r="F54" i="25" s="1"/>
  <c r="AA54" i="25" s="1"/>
  <c r="Z54" i="25" s="1"/>
  <c r="Y54" i="25" s="1"/>
  <c r="D129" i="25"/>
  <c r="E129" i="25" s="1"/>
  <c r="F129" i="25" s="1"/>
  <c r="G129" i="25" s="1"/>
  <c r="CF129" i="6" s="1"/>
  <c r="D192" i="25"/>
  <c r="E192" i="25" s="1"/>
  <c r="F192" i="25" s="1"/>
  <c r="G192" i="25" s="1"/>
  <c r="CF192" i="6" s="1"/>
  <c r="D50" i="25"/>
  <c r="E50" i="25" s="1"/>
  <c r="F50" i="25" s="1"/>
  <c r="AA50" i="25" s="1"/>
  <c r="Z50" i="25" s="1"/>
  <c r="Y50" i="25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J75" i="22"/>
  <c r="J75" i="23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J272" i="22"/>
  <c r="J272" i="23" s="1"/>
  <c r="G243" i="24"/>
  <c r="CE243" i="6" s="1"/>
  <c r="D116" i="25"/>
  <c r="E116" i="25" s="1"/>
  <c r="F116" i="25" s="1"/>
  <c r="G116" i="25" s="1"/>
  <c r="CF116" i="6" s="1"/>
  <c r="G180" i="24"/>
  <c r="CE180" i="6" s="1"/>
  <c r="W294" i="25"/>
  <c r="J282" i="22"/>
  <c r="J282" i="23" s="1"/>
  <c r="W243" i="25"/>
  <c r="I251" i="23"/>
  <c r="H251" i="24" s="1"/>
  <c r="I251" i="24" s="1"/>
  <c r="H251" i="25" s="1"/>
  <c r="W284" i="25"/>
  <c r="I102" i="22"/>
  <c r="H102" i="23" s="1"/>
  <c r="I102" i="23" s="1"/>
  <c r="H102" i="24" s="1"/>
  <c r="I217" i="23"/>
  <c r="H217" i="24" s="1"/>
  <c r="J217" i="24" s="1"/>
  <c r="J176" i="22"/>
  <c r="J176" i="23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128" i="22"/>
  <c r="J128" i="23" s="1"/>
  <c r="J162" i="22"/>
  <c r="J162" i="23" s="1"/>
  <c r="I159" i="22"/>
  <c r="H159" i="23" s="1"/>
  <c r="I159" i="23" s="1"/>
  <c r="H159" i="24" s="1"/>
  <c r="AA344" i="24"/>
  <c r="Z344" i="24" s="1"/>
  <c r="Y344" i="24" s="1"/>
  <c r="J328" i="22"/>
  <c r="J328" i="23" s="1"/>
  <c r="W324" i="25"/>
  <c r="J67" i="22"/>
  <c r="J67" i="23" s="1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J156" i="22"/>
  <c r="J156" i="23" s="1"/>
  <c r="W216" i="25"/>
  <c r="I268" i="22"/>
  <c r="H268" i="23" s="1"/>
  <c r="I268" i="23" s="1"/>
  <c r="H268" i="24" s="1"/>
  <c r="I223" i="22"/>
  <c r="H223" i="23" s="1"/>
  <c r="J223" i="23" s="1"/>
  <c r="W153" i="25"/>
  <c r="J133" i="22"/>
  <c r="J133" i="23" s="1"/>
  <c r="I234" i="22"/>
  <c r="H234" i="23" s="1"/>
  <c r="I234" i="23" s="1"/>
  <c r="H234" i="24" s="1"/>
  <c r="I44" i="22"/>
  <c r="H44" i="23" s="1"/>
  <c r="J89" i="22"/>
  <c r="J89" i="23" s="1"/>
  <c r="J310" i="22"/>
  <c r="J310" i="23" s="1"/>
  <c r="I371" i="22"/>
  <c r="H371" i="23" s="1"/>
  <c r="J355" i="22"/>
  <c r="J355" i="23" s="1"/>
  <c r="I345" i="22"/>
  <c r="H345" i="23" s="1"/>
  <c r="J345" i="23" s="1"/>
  <c r="I163" i="22"/>
  <c r="H163" i="23" s="1"/>
  <c r="J163" i="23" s="1"/>
  <c r="I169" i="22"/>
  <c r="H169" i="23" s="1"/>
  <c r="I236" i="22"/>
  <c r="H236" i="23" s="1"/>
  <c r="J236" i="23" s="1"/>
  <c r="J143" i="22"/>
  <c r="J143" i="23" s="1"/>
  <c r="J250" i="22"/>
  <c r="J250" i="23" s="1"/>
  <c r="I85" i="22"/>
  <c r="H85" i="23" s="1"/>
  <c r="I85" i="23" s="1"/>
  <c r="H85" i="24" s="1"/>
  <c r="I150" i="22"/>
  <c r="H150" i="23" s="1"/>
  <c r="J150" i="23" s="1"/>
  <c r="I203" i="22"/>
  <c r="H203" i="23" s="1"/>
  <c r="I314" i="22"/>
  <c r="H314" i="23" s="1"/>
  <c r="J314" i="23" s="1"/>
  <c r="J76" i="22"/>
  <c r="J76" i="23" s="1"/>
  <c r="I186" i="22"/>
  <c r="H186" i="23" s="1"/>
  <c r="I186" i="23" s="1"/>
  <c r="H186" i="24" s="1"/>
  <c r="J349" i="22"/>
  <c r="J349" i="23" s="1"/>
  <c r="J187" i="22"/>
  <c r="J187" i="23" s="1"/>
  <c r="I121" i="22"/>
  <c r="H121" i="23" s="1"/>
  <c r="J121" i="23" s="1"/>
  <c r="J124" i="22"/>
  <c r="J124" i="23" s="1"/>
  <c r="J283" i="22"/>
  <c r="J283" i="23" s="1"/>
  <c r="J73" i="22"/>
  <c r="J73" i="23" s="1"/>
  <c r="B380" i="25"/>
  <c r="D380" i="25" s="1"/>
  <c r="E380" i="25" s="1"/>
  <c r="F380" i="25" s="1"/>
  <c r="I148" i="23"/>
  <c r="H148" i="24" s="1"/>
  <c r="J148" i="23"/>
  <c r="I201" i="23"/>
  <c r="H201" i="24" s="1"/>
  <c r="J201" i="23"/>
  <c r="I339" i="23"/>
  <c r="H339" i="24" s="1"/>
  <c r="J339" i="23"/>
  <c r="I328" i="23"/>
  <c r="H328" i="24" s="1"/>
  <c r="J196" i="23"/>
  <c r="I196" i="23"/>
  <c r="H196" i="24" s="1"/>
  <c r="I60" i="23"/>
  <c r="H60" i="24" s="1"/>
  <c r="J60" i="23"/>
  <c r="I355" i="23"/>
  <c r="H355" i="24" s="1"/>
  <c r="J322" i="23"/>
  <c r="I322" i="23"/>
  <c r="H322" i="24" s="1"/>
  <c r="I198" i="23"/>
  <c r="H198" i="24" s="1"/>
  <c r="I296" i="23"/>
  <c r="H296" i="24" s="1"/>
  <c r="I145" i="23"/>
  <c r="H145" i="24" s="1"/>
  <c r="J145" i="23"/>
  <c r="I347" i="23"/>
  <c r="H347" i="24" s="1"/>
  <c r="I75" i="23"/>
  <c r="H75" i="24" s="1"/>
  <c r="I274" i="23"/>
  <c r="H274" i="24" s="1"/>
  <c r="J245" i="23"/>
  <c r="I245" i="23"/>
  <c r="H245" i="24" s="1"/>
  <c r="J185" i="23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J235" i="22"/>
  <c r="I103" i="22"/>
  <c r="H103" i="23" s="1"/>
  <c r="J103" i="22"/>
  <c r="I252" i="22"/>
  <c r="H252" i="23" s="1"/>
  <c r="J252" i="22"/>
  <c r="I40" i="22"/>
  <c r="H40" i="23" s="1"/>
  <c r="J40" i="22"/>
  <c r="I113" i="22"/>
  <c r="H113" i="23" s="1"/>
  <c r="J113" i="22"/>
  <c r="J375" i="22"/>
  <c r="I375" i="22"/>
  <c r="H375" i="23" s="1"/>
  <c r="J285" i="22"/>
  <c r="I285" i="22"/>
  <c r="H285" i="23" s="1"/>
  <c r="J106" i="22"/>
  <c r="I106" i="22"/>
  <c r="H106" i="23" s="1"/>
  <c r="J271" i="22"/>
  <c r="I271" i="22"/>
  <c r="H271" i="23" s="1"/>
  <c r="J130" i="22"/>
  <c r="I130" i="22"/>
  <c r="H130" i="23" s="1"/>
  <c r="I66" i="22"/>
  <c r="H66" i="23" s="1"/>
  <c r="J66" i="22"/>
  <c r="G100" i="25"/>
  <c r="CF100" i="6" s="1"/>
  <c r="AA100" i="25"/>
  <c r="Z100" i="25" s="1"/>
  <c r="Y100" i="25" s="1"/>
  <c r="AA211" i="25"/>
  <c r="Z211" i="25" s="1"/>
  <c r="Y211" i="25" s="1"/>
  <c r="G211" i="25"/>
  <c r="CF211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J325" i="23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I79" i="22"/>
  <c r="H79" i="23" s="1"/>
  <c r="J79" i="22"/>
  <c r="I327" i="22"/>
  <c r="H327" i="23" s="1"/>
  <c r="J327" i="22"/>
  <c r="I367" i="22"/>
  <c r="H367" i="23" s="1"/>
  <c r="J367" i="22"/>
  <c r="J18" i="22"/>
  <c r="I18" i="22"/>
  <c r="H18" i="23" s="1"/>
  <c r="I211" i="22"/>
  <c r="H211" i="23" s="1"/>
  <c r="J211" i="22"/>
  <c r="I204" i="22"/>
  <c r="H204" i="23" s="1"/>
  <c r="J204" i="22"/>
  <c r="J199" i="22"/>
  <c r="I199" i="22"/>
  <c r="H199" i="23" s="1"/>
  <c r="J280" i="22"/>
  <c r="I280" i="22"/>
  <c r="H280" i="23" s="1"/>
  <c r="J341" i="22"/>
  <c r="I341" i="22"/>
  <c r="H341" i="23" s="1"/>
  <c r="J209" i="22"/>
  <c r="I209" i="22"/>
  <c r="H209" i="23" s="1"/>
  <c r="J47" i="22"/>
  <c r="I47" i="22"/>
  <c r="H47" i="23" s="1"/>
  <c r="I336" i="22"/>
  <c r="H336" i="23" s="1"/>
  <c r="J336" i="22"/>
  <c r="J308" i="22"/>
  <c r="I308" i="22"/>
  <c r="H308" i="23" s="1"/>
  <c r="I178" i="22"/>
  <c r="H178" i="23" s="1"/>
  <c r="J178" i="22"/>
  <c r="I111" i="22"/>
  <c r="H111" i="23" s="1"/>
  <c r="J111" i="22"/>
  <c r="J17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70" i="25"/>
  <c r="CF70" i="6" s="1"/>
  <c r="AA70" i="25"/>
  <c r="Z70" i="25" s="1"/>
  <c r="Y70" i="25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I73" i="23"/>
  <c r="H73" i="24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AA108" i="25"/>
  <c r="Z108" i="25" s="1"/>
  <c r="Y108" i="25" s="1"/>
  <c r="G108" i="25"/>
  <c r="CF108" i="6" s="1"/>
  <c r="W371" i="25"/>
  <c r="D371" i="25"/>
  <c r="E371" i="25" s="1"/>
  <c r="F371" i="25" s="1"/>
  <c r="J254" i="22"/>
  <c r="I254" i="22"/>
  <c r="H254" i="23" s="1"/>
  <c r="I220" i="23"/>
  <c r="H220" i="24" s="1"/>
  <c r="J220" i="23"/>
  <c r="I42" i="22"/>
  <c r="H42" i="23" s="1"/>
  <c r="J42" i="22"/>
  <c r="J317" i="23"/>
  <c r="I317" i="23"/>
  <c r="H317" i="24" s="1"/>
  <c r="I67" i="23"/>
  <c r="H6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I176" i="23"/>
  <c r="H176" i="24" s="1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343" i="22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I373" i="23"/>
  <c r="H373" i="24" s="1"/>
  <c r="I126" i="22"/>
  <c r="H126" i="23" s="1"/>
  <c r="J126" i="22"/>
  <c r="G145" i="24"/>
  <c r="CE145" i="6" s="1"/>
  <c r="AA145" i="24"/>
  <c r="Z145" i="24" s="1"/>
  <c r="Y145" i="24" s="1"/>
  <c r="J37" i="22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I162" i="23"/>
  <c r="H162" i="24" s="1"/>
  <c r="W51" i="25"/>
  <c r="D51" i="25"/>
  <c r="E51" i="25" s="1"/>
  <c r="F51" i="25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J370" i="22"/>
  <c r="I370" i="22"/>
  <c r="H370" i="23" s="1"/>
  <c r="I202" i="22"/>
  <c r="H202" i="23" s="1"/>
  <c r="J202" i="22"/>
  <c r="I138" i="22"/>
  <c r="H138" i="23" s="1"/>
  <c r="J138" i="22"/>
  <c r="I142" i="22"/>
  <c r="H142" i="23" s="1"/>
  <c r="J142" i="22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J140" i="22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I124" i="23"/>
  <c r="H124" i="24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I104" i="22"/>
  <c r="H104" i="23" s="1"/>
  <c r="J104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J193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I272" i="23"/>
  <c r="H272" i="24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J288" i="22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J86" i="23"/>
  <c r="I303" i="22"/>
  <c r="H303" i="23" s="1"/>
  <c r="J303" i="22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J135" i="22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65" i="22"/>
  <c r="H165" i="23" s="1"/>
  <c r="J165" i="22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57" i="22"/>
  <c r="H57" i="23" s="1"/>
  <c r="I216" i="22"/>
  <c r="H216" i="23" s="1"/>
  <c r="J216" i="22"/>
  <c r="I222" i="22"/>
  <c r="H222" i="23" s="1"/>
  <c r="J222" i="22"/>
  <c r="J80" i="22"/>
  <c r="I80" i="22"/>
  <c r="H80" i="23" s="1"/>
  <c r="J69" i="22"/>
  <c r="I69" i="22"/>
  <c r="H69" i="23" s="1"/>
  <c r="I231" i="22"/>
  <c r="H231" i="23" s="1"/>
  <c r="J231" i="22"/>
  <c r="J83" i="22"/>
  <c r="I83" i="22"/>
  <c r="H83" i="23" s="1"/>
  <c r="J258" i="22"/>
  <c r="I258" i="22"/>
  <c r="H258" i="23" s="1"/>
  <c r="I33" i="22"/>
  <c r="H33" i="23" s="1"/>
  <c r="J33" i="22"/>
  <c r="I207" i="22"/>
  <c r="H207" i="23" s="1"/>
  <c r="J207" i="22"/>
  <c r="J212" i="22"/>
  <c r="I212" i="22"/>
  <c r="H212" i="23" s="1"/>
  <c r="I359" i="22"/>
  <c r="H359" i="23" s="1"/>
  <c r="J359" i="22"/>
  <c r="I358" i="22"/>
  <c r="H358" i="23" s="1"/>
  <c r="J358" i="22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J291" i="23"/>
  <c r="I291" i="23"/>
  <c r="H291" i="24" s="1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I123" i="22"/>
  <c r="H123" i="23" s="1"/>
  <c r="J123" i="22"/>
  <c r="G47" i="25"/>
  <c r="CF47" i="6" s="1"/>
  <c r="AA47" i="25"/>
  <c r="Z47" i="25" s="1"/>
  <c r="Y47" i="25" s="1"/>
  <c r="W176" i="25"/>
  <c r="D176" i="25"/>
  <c r="E176" i="25" s="1"/>
  <c r="F176" i="25" s="1"/>
  <c r="I128" i="23"/>
  <c r="H128" i="24" s="1"/>
  <c r="J219" i="22"/>
  <c r="I219" i="22"/>
  <c r="H219" i="23" s="1"/>
  <c r="I261" i="23"/>
  <c r="H261" i="24" s="1"/>
  <c r="J261" i="23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J244" i="22"/>
  <c r="I244" i="22"/>
  <c r="H244" i="23" s="1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J256" i="22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J226" i="22"/>
  <c r="I226" i="22"/>
  <c r="H226" i="23" s="1"/>
  <c r="J132" i="22"/>
  <c r="I132" i="22"/>
  <c r="H132" i="23" s="1"/>
  <c r="J35" i="22"/>
  <c r="I35" i="22"/>
  <c r="H35" i="23" s="1"/>
  <c r="J294" i="22"/>
  <c r="I294" i="22"/>
  <c r="H294" i="23" s="1"/>
  <c r="J70" i="22"/>
  <c r="I70" i="22"/>
  <c r="H70" i="23" s="1"/>
  <c r="J38" i="22"/>
  <c r="I38" i="22"/>
  <c r="H38" i="23" s="1"/>
  <c r="I351" i="22"/>
  <c r="H351" i="23" s="1"/>
  <c r="J351" i="22"/>
  <c r="I131" i="22"/>
  <c r="H131" i="23" s="1"/>
  <c r="J131" i="22"/>
  <c r="I326" i="22"/>
  <c r="H326" i="23" s="1"/>
  <c r="J326" i="22"/>
  <c r="I183" i="22"/>
  <c r="H183" i="23" s="1"/>
  <c r="J183" i="22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I349" i="23"/>
  <c r="H349" i="24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I361" i="23"/>
  <c r="H361" i="24" s="1"/>
  <c r="J361" i="23"/>
  <c r="G69" i="25"/>
  <c r="CF69" i="6" s="1"/>
  <c r="AA69" i="25"/>
  <c r="Z69" i="25" s="1"/>
  <c r="Y69" i="25" s="1"/>
  <c r="G227" i="25"/>
  <c r="CF227" i="6" s="1"/>
  <c r="AA227" i="25"/>
  <c r="Z227" i="25" s="1"/>
  <c r="Y227" i="25" s="1"/>
  <c r="J29" i="22"/>
  <c r="I29" i="22"/>
  <c r="H29" i="23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I213" i="22"/>
  <c r="H213" i="23" s="1"/>
  <c r="J213" i="22"/>
  <c r="J49" i="22"/>
  <c r="I49" i="22"/>
  <c r="H49" i="23" s="1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J45" i="22"/>
  <c r="I45" i="22"/>
  <c r="H45" i="23" s="1"/>
  <c r="I171" i="23"/>
  <c r="H171" i="24" s="1"/>
  <c r="J171" i="23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J263" i="23"/>
  <c r="I263" i="23"/>
  <c r="H263" i="24" s="1"/>
  <c r="G43" i="25"/>
  <c r="CF43" i="6" s="1"/>
  <c r="AA43" i="25"/>
  <c r="Z43" i="25" s="1"/>
  <c r="Y43" i="25" s="1"/>
  <c r="W150" i="25"/>
  <c r="D150" i="25"/>
  <c r="E150" i="25" s="1"/>
  <c r="F150" i="25" s="1"/>
  <c r="J227" i="22"/>
  <c r="I227" i="22"/>
  <c r="H227" i="23" s="1"/>
  <c r="I224" i="22"/>
  <c r="H224" i="23" s="1"/>
  <c r="J224" i="22"/>
  <c r="J286" i="22"/>
  <c r="I286" i="22"/>
  <c r="H286" i="23" s="1"/>
  <c r="I200" i="22"/>
  <c r="H200" i="23" s="1"/>
  <c r="J200" i="22"/>
  <c r="J172" i="22"/>
  <c r="I172" i="22"/>
  <c r="H172" i="23" s="1"/>
  <c r="I122" i="22"/>
  <c r="H122" i="23" s="1"/>
  <c r="J122" i="22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143" i="23"/>
  <c r="H143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J346" i="22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J58" i="22"/>
  <c r="G109" i="24"/>
  <c r="CE109" i="6" s="1"/>
  <c r="AA109" i="24"/>
  <c r="Z109" i="24" s="1"/>
  <c r="Y109" i="24" s="1"/>
  <c r="I364" i="22"/>
  <c r="H364" i="23" s="1"/>
  <c r="J364" i="22"/>
  <c r="J27" i="22"/>
  <c r="I27" i="22"/>
  <c r="H27" i="23" s="1"/>
  <c r="AA53" i="24"/>
  <c r="Z53" i="24" s="1"/>
  <c r="Y53" i="24" s="1"/>
  <c r="G53" i="24"/>
  <c r="CE53" i="6" s="1"/>
  <c r="J56" i="22"/>
  <c r="I56" i="22"/>
  <c r="H56" i="23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J74" i="23"/>
  <c r="I74" i="23"/>
  <c r="H74" i="24" s="1"/>
  <c r="I283" i="23"/>
  <c r="H283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I156" i="23"/>
  <c r="H156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J267" i="22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J249" i="22"/>
  <c r="I249" i="22"/>
  <c r="H249" i="23" s="1"/>
  <c r="G196" i="24"/>
  <c r="CE196" i="6" s="1"/>
  <c r="AA196" i="24"/>
  <c r="Z196" i="24" s="1"/>
  <c r="Y196" i="24" s="1"/>
  <c r="J232" i="22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10" i="23"/>
  <c r="H310" i="24" s="1"/>
  <c r="I362" i="22"/>
  <c r="H362" i="23" s="1"/>
  <c r="J362" i="22"/>
  <c r="W186" i="25"/>
  <c r="D186" i="25"/>
  <c r="E186" i="25" s="1"/>
  <c r="F186" i="25" s="1"/>
  <c r="I277" i="22"/>
  <c r="H277" i="23" s="1"/>
  <c r="J277" i="22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J127" i="22"/>
  <c r="I127" i="22"/>
  <c r="H127" i="23" s="1"/>
  <c r="J46" i="23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I301" i="22"/>
  <c r="H301" i="23" s="1"/>
  <c r="J301" i="22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J324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I141" i="22"/>
  <c r="H141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J182" i="22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AA212" i="25"/>
  <c r="Z212" i="25" s="1"/>
  <c r="Y212" i="25" s="1"/>
  <c r="G212" i="25"/>
  <c r="CF212" i="6" s="1"/>
  <c r="AA297" i="25"/>
  <c r="Z297" i="25" s="1"/>
  <c r="Y297" i="25" s="1"/>
  <c r="G297" i="25"/>
  <c r="CF297" i="6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J374" i="23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I282" i="23"/>
  <c r="H282" i="24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I340" i="22"/>
  <c r="H340" i="23" s="1"/>
  <c r="J340" i="22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J136" i="22"/>
  <c r="I348" i="22"/>
  <c r="H348" i="23" s="1"/>
  <c r="J348" i="22"/>
  <c r="I306" i="22"/>
  <c r="H306" i="23" s="1"/>
  <c r="J306" i="22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J48" i="22"/>
  <c r="I48" i="22"/>
  <c r="H48" i="23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J90" i="23"/>
  <c r="I90" i="23"/>
  <c r="H90" i="24" s="1"/>
  <c r="I264" i="22"/>
  <c r="H264" i="23" s="1"/>
  <c r="J264" i="22"/>
  <c r="D58" i="25"/>
  <c r="E58" i="25" s="1"/>
  <c r="F58" i="25" s="1"/>
  <c r="W58" i="25"/>
  <c r="I330" i="22"/>
  <c r="H330" i="23" s="1"/>
  <c r="J330" i="22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J369" i="23"/>
  <c r="I369" i="23"/>
  <c r="H369" i="24" s="1"/>
  <c r="J333" i="23"/>
  <c r="I333" i="23"/>
  <c r="H333" i="24" s="1"/>
  <c r="I318" i="22"/>
  <c r="H318" i="23" s="1"/>
  <c r="J318" i="22"/>
  <c r="G379" i="25"/>
  <c r="CF379" i="6" s="1"/>
  <c r="AA379" i="25"/>
  <c r="Z379" i="25" s="1"/>
  <c r="Y379" i="25" s="1"/>
  <c r="J166" i="22"/>
  <c r="I166" i="22"/>
  <c r="H166" i="23" s="1"/>
  <c r="I298" i="22"/>
  <c r="H298" i="23" s="1"/>
  <c r="J298" i="22"/>
  <c r="J262" i="22"/>
  <c r="I262" i="22"/>
  <c r="H262" i="23" s="1"/>
  <c r="I189" i="22"/>
  <c r="H189" i="23" s="1"/>
  <c r="J189" i="22"/>
  <c r="I92" i="22"/>
  <c r="H92" i="23" s="1"/>
  <c r="J92" i="22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J61" i="23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I376" i="22"/>
  <c r="H376" i="23" s="1"/>
  <c r="J376" i="22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J115" i="23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I161" i="22"/>
  <c r="H161" i="23" s="1"/>
  <c r="J161" i="22"/>
  <c r="G182" i="24"/>
  <c r="CE182" i="6" s="1"/>
  <c r="AA182" i="24"/>
  <c r="Z182" i="24" s="1"/>
  <c r="Y182" i="24" s="1"/>
  <c r="I78" i="22"/>
  <c r="H78" i="23" s="1"/>
  <c r="J78" i="22"/>
  <c r="G314" i="24"/>
  <c r="CE314" i="6" s="1"/>
  <c r="AA314" i="24"/>
  <c r="Z314" i="24" s="1"/>
  <c r="Y314" i="24" s="1"/>
  <c r="W314" i="25"/>
  <c r="D314" i="25"/>
  <c r="E314" i="25" s="1"/>
  <c r="F314" i="25" s="1"/>
  <c r="J357" i="22"/>
  <c r="I357" i="22"/>
  <c r="H357" i="23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I108" i="22"/>
  <c r="H108" i="23" s="1"/>
  <c r="J108" i="22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I116" i="22"/>
  <c r="H116" i="23" s="1"/>
  <c r="J116" i="22"/>
  <c r="J175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AA59" i="25"/>
  <c r="Z59" i="25" s="1"/>
  <c r="Y59" i="25" s="1"/>
  <c r="G59" i="25"/>
  <c r="CF59" i="6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J248" i="22"/>
  <c r="I248" i="22"/>
  <c r="H248" i="23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133" i="23"/>
  <c r="H133" i="24" s="1"/>
  <c r="I20" i="22"/>
  <c r="H20" i="23" s="1"/>
  <c r="J20" i="22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J225" i="22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J21" i="23"/>
  <c r="W365" i="25"/>
  <c r="D365" i="25"/>
  <c r="E365" i="25" s="1"/>
  <c r="F365" i="25" s="1"/>
  <c r="I210" i="22"/>
  <c r="H210" i="23" s="1"/>
  <c r="G150" i="24"/>
  <c r="CE150" i="6" s="1"/>
  <c r="AA150" i="24"/>
  <c r="Z150" i="24" s="1"/>
  <c r="Y150" i="24" s="1"/>
  <c r="I353" i="22"/>
  <c r="H353" i="23" s="1"/>
  <c r="J353" i="22"/>
  <c r="I94" i="22"/>
  <c r="H94" i="23" s="1"/>
  <c r="J94" i="22"/>
  <c r="I242" i="22"/>
  <c r="H242" i="23" s="1"/>
  <c r="J242" i="22"/>
  <c r="J91" i="22"/>
  <c r="I91" i="22"/>
  <c r="H91" i="23" s="1"/>
  <c r="I146" i="22"/>
  <c r="H146" i="23" s="1"/>
  <c r="J146" i="22"/>
  <c r="J320" i="22"/>
  <c r="I320" i="22"/>
  <c r="H320" i="23" s="1"/>
  <c r="J276" i="22"/>
  <c r="I276" i="22"/>
  <c r="H276" i="23" s="1"/>
  <c r="I230" i="22"/>
  <c r="H230" i="23" s="1"/>
  <c r="J230" i="22"/>
  <c r="I149" i="22"/>
  <c r="H149" i="23" s="1"/>
  <c r="J149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J139" i="22"/>
  <c r="I139" i="22"/>
  <c r="H139" i="23" s="1"/>
  <c r="W53" i="25"/>
  <c r="D53" i="25"/>
  <c r="E53" i="25" s="1"/>
  <c r="F53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J371" i="23" l="1"/>
  <c r="I144" i="22"/>
  <c r="H144" i="23" s="1"/>
  <c r="I144" i="23" s="1"/>
  <c r="H144" i="24" s="1"/>
  <c r="I144" i="24" s="1"/>
  <c r="H144" i="25" s="1"/>
  <c r="AA359" i="25"/>
  <c r="Z359" i="25" s="1"/>
  <c r="Y359" i="25" s="1"/>
  <c r="AA167" i="25"/>
  <c r="Z167" i="25" s="1"/>
  <c r="Y167" i="25" s="1"/>
  <c r="I137" i="22"/>
  <c r="H137" i="23" s="1"/>
  <c r="J137" i="23" s="1"/>
  <c r="J44" i="23"/>
  <c r="I378" i="22"/>
  <c r="H378" i="23" s="1"/>
  <c r="J378" i="23" s="1"/>
  <c r="I365" i="22"/>
  <c r="H365" i="23" s="1"/>
  <c r="J365" i="23" s="1"/>
  <c r="J88" i="23"/>
  <c r="I356" i="22"/>
  <c r="H356" i="23" s="1"/>
  <c r="I356" i="23" s="1"/>
  <c r="H356" i="24" s="1"/>
  <c r="I356" i="24" s="1"/>
  <c r="H356" i="25" s="1"/>
  <c r="J273" i="22"/>
  <c r="J273" i="23" s="1"/>
  <c r="J273" i="24" s="1"/>
  <c r="I31" i="22"/>
  <c r="H31" i="23" s="1"/>
  <c r="J31" i="23" s="1"/>
  <c r="J292" i="22"/>
  <c r="J292" i="23" s="1"/>
  <c r="J292" i="24" s="1"/>
  <c r="G95" i="25"/>
  <c r="CF95" i="6" s="1"/>
  <c r="J188" i="22"/>
  <c r="J188" i="23" s="1"/>
  <c r="J188" i="24" s="1"/>
  <c r="I98" i="23"/>
  <c r="H98" i="24" s="1"/>
  <c r="J98" i="24" s="1"/>
  <c r="J203" i="23"/>
  <c r="I311" i="22"/>
  <c r="H311" i="23" s="1"/>
  <c r="I311" i="23" s="1"/>
  <c r="H311" i="24" s="1"/>
  <c r="I311" i="24" s="1"/>
  <c r="H311" i="25" s="1"/>
  <c r="I233" i="22"/>
  <c r="H233" i="23" s="1"/>
  <c r="J233" i="23" s="1"/>
  <c r="J169" i="23"/>
  <c r="G50" i="25"/>
  <c r="CF50" i="6" s="1"/>
  <c r="AA300" i="25"/>
  <c r="Z300" i="25" s="1"/>
  <c r="Y300" i="25" s="1"/>
  <c r="AA30" i="25"/>
  <c r="Z30" i="25" s="1"/>
  <c r="Y30" i="25" s="1"/>
  <c r="AA155" i="25"/>
  <c r="Z155" i="25" s="1"/>
  <c r="Y155" i="25" s="1"/>
  <c r="AA331" i="25"/>
  <c r="Z331" i="25" s="1"/>
  <c r="Y331" i="25" s="1"/>
  <c r="AA377" i="25"/>
  <c r="Z377" i="25" s="1"/>
  <c r="Y377" i="25" s="1"/>
  <c r="G306" i="25"/>
  <c r="CF306" i="6" s="1"/>
  <c r="AA269" i="25"/>
  <c r="Z269" i="25" s="1"/>
  <c r="Y269" i="25" s="1"/>
  <c r="G353" i="25"/>
  <c r="CF353" i="6" s="1"/>
  <c r="I217" i="24"/>
  <c r="H217" i="25" s="1"/>
  <c r="J217" i="25" s="1"/>
  <c r="I205" i="24"/>
  <c r="J205" i="24"/>
  <c r="AA237" i="25"/>
  <c r="Z237" i="25" s="1"/>
  <c r="Y237" i="25" s="1"/>
  <c r="J159" i="23"/>
  <c r="J159" i="24" s="1"/>
  <c r="AA129" i="25"/>
  <c r="Z129" i="25" s="1"/>
  <c r="Y129" i="25" s="1"/>
  <c r="G335" i="25"/>
  <c r="CF335" i="6" s="1"/>
  <c r="AA28" i="25"/>
  <c r="Z28" i="25" s="1"/>
  <c r="Y28" i="25" s="1"/>
  <c r="AA192" i="25"/>
  <c r="Z192" i="25" s="1"/>
  <c r="Y192" i="25" s="1"/>
  <c r="G54" i="25"/>
  <c r="CF54" i="6" s="1"/>
  <c r="G316" i="25"/>
  <c r="CF316" i="6" s="1"/>
  <c r="AA323" i="25"/>
  <c r="Z323" i="25" s="1"/>
  <c r="Y323" i="25" s="1"/>
  <c r="AA205" i="25"/>
  <c r="Z205" i="25" s="1"/>
  <c r="Y205" i="25" s="1"/>
  <c r="I378" i="23"/>
  <c r="H378" i="24" s="1"/>
  <c r="J378" i="24" s="1"/>
  <c r="AA326" i="25"/>
  <c r="Z326" i="25" s="1"/>
  <c r="Y326" i="25" s="1"/>
  <c r="H205" i="25"/>
  <c r="I205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I236" i="23"/>
  <c r="H236" i="24" s="1"/>
  <c r="J236" i="24" s="1"/>
  <c r="AA367" i="25"/>
  <c r="Z367" i="25" s="1"/>
  <c r="Y367" i="25" s="1"/>
  <c r="I223" i="23"/>
  <c r="H223" i="24" s="1"/>
  <c r="I223" i="24" s="1"/>
  <c r="H223" i="25" s="1"/>
  <c r="I88" i="23"/>
  <c r="H88" i="24" s="1"/>
  <c r="J114" i="23"/>
  <c r="J114" i="24" s="1"/>
  <c r="J268" i="23"/>
  <c r="J268" i="24" s="1"/>
  <c r="J25" i="23"/>
  <c r="J25" i="24" s="1"/>
  <c r="J102" i="23"/>
  <c r="J102" i="24" s="1"/>
  <c r="I345" i="23"/>
  <c r="H345" i="24" s="1"/>
  <c r="J345" i="24" s="1"/>
  <c r="I169" i="23"/>
  <c r="H169" i="24" s="1"/>
  <c r="I169" i="24" s="1"/>
  <c r="H169" i="25" s="1"/>
  <c r="I150" i="23"/>
  <c r="H150" i="24" s="1"/>
  <c r="I150" i="24" s="1"/>
  <c r="H150" i="25" s="1"/>
  <c r="I44" i="23"/>
  <c r="H44" i="24" s="1"/>
  <c r="J234" i="23"/>
  <c r="J234" i="24" s="1"/>
  <c r="I121" i="23"/>
  <c r="H121" i="24" s="1"/>
  <c r="I121" i="24" s="1"/>
  <c r="H121" i="25" s="1"/>
  <c r="I203" i="23"/>
  <c r="H203" i="24" s="1"/>
  <c r="J203" i="24" s="1"/>
  <c r="I314" i="23"/>
  <c r="H314" i="24" s="1"/>
  <c r="I314" i="24" s="1"/>
  <c r="H314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I333" i="24"/>
  <c r="H333" i="25" s="1"/>
  <c r="J333" i="24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J156" i="24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J361" i="24"/>
  <c r="I159" i="24"/>
  <c r="H159" i="25" s="1"/>
  <c r="J21" i="24"/>
  <c r="I21" i="24"/>
  <c r="H21" i="25" s="1"/>
  <c r="I188" i="24"/>
  <c r="H188" i="25" s="1"/>
  <c r="I133" i="24"/>
  <c r="H133" i="25" s="1"/>
  <c r="J133" i="24"/>
  <c r="J115" i="24"/>
  <c r="I115" i="24"/>
  <c r="H115" i="25" s="1"/>
  <c r="J250" i="24"/>
  <c r="I250" i="24"/>
  <c r="H250" i="25" s="1"/>
  <c r="I350" i="24"/>
  <c r="H350" i="25" s="1"/>
  <c r="J350" i="24"/>
  <c r="I251" i="25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J272" i="24"/>
  <c r="G24" i="25"/>
  <c r="CF24" i="6" s="1"/>
  <c r="AA24" i="25"/>
  <c r="Z24" i="25" s="1"/>
  <c r="Y24" i="25" s="1"/>
  <c r="G206" i="25"/>
  <c r="CF206" i="6" s="1"/>
  <c r="AA206" i="25"/>
  <c r="Z206" i="25" s="1"/>
  <c r="Y206" i="25" s="1"/>
  <c r="I268" i="24"/>
  <c r="H268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J248" i="23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J161" i="23"/>
  <c r="I161" i="23"/>
  <c r="H161" i="24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J310" i="24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I376" i="23"/>
  <c r="H376" i="24" s="1"/>
  <c r="J376" i="23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I318" i="23"/>
  <c r="H318" i="24" s="1"/>
  <c r="J318" i="23"/>
  <c r="J330" i="23"/>
  <c r="I330" i="23"/>
  <c r="H330" i="24" s="1"/>
  <c r="G58" i="25"/>
  <c r="CF58" i="6" s="1"/>
  <c r="AA58" i="25"/>
  <c r="Z58" i="25" s="1"/>
  <c r="Y58" i="25" s="1"/>
  <c r="J264" i="23"/>
  <c r="I264" i="23"/>
  <c r="H264" i="24" s="1"/>
  <c r="I48" i="23"/>
  <c r="H48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J127" i="23"/>
  <c r="I127" i="23"/>
  <c r="H127" i="24" s="1"/>
  <c r="J128" i="24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J73" i="24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122" i="23"/>
  <c r="H122" i="24" s="1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J24" i="24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J162" i="24"/>
  <c r="J244" i="23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I165" i="23"/>
  <c r="H165" i="24" s="1"/>
  <c r="J165" i="23"/>
  <c r="G21" i="25"/>
  <c r="CF21" i="6" s="1"/>
  <c r="AA21" i="25"/>
  <c r="Z21" i="25" s="1"/>
  <c r="Y21" i="25" s="1"/>
  <c r="J303" i="23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102" i="24"/>
  <c r="H102" i="25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J349" i="24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J357" i="23"/>
  <c r="AA314" i="25"/>
  <c r="Z314" i="25" s="1"/>
  <c r="Y314" i="25" s="1"/>
  <c r="G314" i="25"/>
  <c r="CF314" i="6" s="1"/>
  <c r="J78" i="23"/>
  <c r="I78" i="23"/>
  <c r="H78" i="24" s="1"/>
  <c r="J176" i="24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J283" i="24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J92" i="23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143" i="24"/>
  <c r="J322" i="24"/>
  <c r="I322" i="24"/>
  <c r="H322" i="25" s="1"/>
  <c r="I263" i="24"/>
  <c r="H263" i="25" s="1"/>
  <c r="J263" i="24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J340" i="23"/>
  <c r="I340" i="23"/>
  <c r="H340" i="24" s="1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J75" i="24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J249" i="23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J27" i="23"/>
  <c r="I27" i="23"/>
  <c r="H27" i="24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J49" i="23"/>
  <c r="I49" i="23"/>
  <c r="H49" i="24" s="1"/>
  <c r="J213" i="23"/>
  <c r="I213" i="23"/>
  <c r="H213" i="24" s="1"/>
  <c r="I29" i="23"/>
  <c r="H29" i="24" s="1"/>
  <c r="J29" i="23"/>
  <c r="I124" i="24"/>
  <c r="H124" i="25" s="1"/>
  <c r="J124" i="24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J123" i="23"/>
  <c r="I123" i="23"/>
  <c r="H123" i="24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J67" i="24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J185" i="24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J355" i="24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J104" i="23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J126" i="23"/>
  <c r="I126" i="23"/>
  <c r="H126" i="24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J88" i="24" l="1"/>
  <c r="J144" i="23"/>
  <c r="J144" i="24" s="1"/>
  <c r="I137" i="23"/>
  <c r="H137" i="24" s="1"/>
  <c r="J137" i="24" s="1"/>
  <c r="J44" i="24"/>
  <c r="J311" i="23"/>
  <c r="J311" i="24" s="1"/>
  <c r="J311" i="25" s="1"/>
  <c r="J356" i="23"/>
  <c r="J356" i="24" s="1"/>
  <c r="I365" i="23"/>
  <c r="H365" i="24" s="1"/>
  <c r="J365" i="24" s="1"/>
  <c r="I98" i="24"/>
  <c r="H98" i="25" s="1"/>
  <c r="J98" i="25" s="1"/>
  <c r="I217" i="25"/>
  <c r="I31" i="23"/>
  <c r="H31" i="24" s="1"/>
  <c r="I31" i="24" s="1"/>
  <c r="H31" i="25" s="1"/>
  <c r="I31" i="25" s="1"/>
  <c r="I163" i="24"/>
  <c r="H163" i="25" s="1"/>
  <c r="J163" i="25" s="1"/>
  <c r="I378" i="24"/>
  <c r="H378" i="25" s="1"/>
  <c r="I378" i="25" s="1"/>
  <c r="I88" i="24"/>
  <c r="H88" i="25" s="1"/>
  <c r="I88" i="25" s="1"/>
  <c r="I233" i="23"/>
  <c r="H233" i="24" s="1"/>
  <c r="J233" i="24" s="1"/>
  <c r="J205" i="25"/>
  <c r="J289" i="24"/>
  <c r="J289" i="25" s="1"/>
  <c r="J371" i="24"/>
  <c r="J371" i="25" s="1"/>
  <c r="J223" i="24"/>
  <c r="J223" i="25" s="1"/>
  <c r="I236" i="24"/>
  <c r="H236" i="25" s="1"/>
  <c r="I236" i="25" s="1"/>
  <c r="I345" i="24"/>
  <c r="H345" i="25" s="1"/>
  <c r="J345" i="25" s="1"/>
  <c r="I44" i="24"/>
  <c r="H44" i="25" s="1"/>
  <c r="I44" i="25" s="1"/>
  <c r="J150" i="24"/>
  <c r="J150" i="25" s="1"/>
  <c r="J169" i="24"/>
  <c r="J169" i="25" s="1"/>
  <c r="I203" i="24"/>
  <c r="H203" i="25" s="1"/>
  <c r="J203" i="25" s="1"/>
  <c r="I137" i="24"/>
  <c r="H137" i="25" s="1"/>
  <c r="J137" i="25" s="1"/>
  <c r="J121" i="24"/>
  <c r="J121" i="25" s="1"/>
  <c r="J314" i="24"/>
  <c r="J314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J102" i="25"/>
  <c r="I102" i="25"/>
  <c r="I144" i="25"/>
  <c r="J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J378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23" i="24"/>
  <c r="H123" i="25" s="1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J27" i="24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3" i="25"/>
  <c r="I333" i="25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J127" i="24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J161" i="24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126" i="24"/>
  <c r="H126" i="25" s="1"/>
  <c r="J126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J159" i="25"/>
  <c r="I159" i="25"/>
  <c r="I19" i="24"/>
  <c r="H19" i="25" s="1"/>
  <c r="J19" i="24"/>
  <c r="I304" i="24"/>
  <c r="H304" i="25" s="1"/>
  <c r="J304" i="24"/>
  <c r="I340" i="24"/>
  <c r="H340" i="25" s="1"/>
  <c r="J340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I314" i="25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J165" i="24"/>
  <c r="I165" i="24"/>
  <c r="H165" i="25" s="1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318" i="24"/>
  <c r="J166" i="24"/>
  <c r="I166" i="24"/>
  <c r="H166" i="25" s="1"/>
  <c r="J262" i="24"/>
  <c r="I262" i="24"/>
  <c r="H262" i="25" s="1"/>
  <c r="I34" i="25"/>
  <c r="J34" i="25"/>
  <c r="J376" i="24"/>
  <c r="I376" i="24"/>
  <c r="H376" i="25" s="1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I98" i="25" l="1"/>
  <c r="J31" i="24"/>
  <c r="J31" i="25" s="1"/>
  <c r="I163" i="25"/>
  <c r="J88" i="25"/>
  <c r="I365" i="24"/>
  <c r="H365" i="25" s="1"/>
  <c r="I365" i="25" s="1"/>
  <c r="I233" i="24"/>
  <c r="H233" i="25" s="1"/>
  <c r="J233" i="25" s="1"/>
  <c r="I203" i="25"/>
  <c r="J236" i="25"/>
  <c r="J365" i="25"/>
  <c r="I233" i="25"/>
  <c r="I345" i="25"/>
  <c r="J44" i="25"/>
  <c r="I137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J165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I340" i="25"/>
  <c r="J340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W15" i="17"/>
  <c r="B383" i="17"/>
  <c r="AK6" i="17"/>
  <c r="H9" i="17"/>
  <c r="B14" i="19" s="1"/>
  <c r="D15" i="17"/>
  <c r="B15" i="18"/>
  <c r="AJ5" i="18" l="1"/>
  <c r="AK5" i="18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B15" i="20"/>
  <c r="AJ10" i="17"/>
  <c r="E9" i="17"/>
  <c r="D382" i="17"/>
  <c r="D383" i="17"/>
  <c r="AJ8" i="17"/>
  <c r="D381" i="17"/>
  <c r="D9" i="17"/>
  <c r="D11" i="17" s="1"/>
  <c r="E38" i="19" s="1"/>
  <c r="AJ5" i="20" l="1"/>
  <c r="AK5" i="20"/>
  <c r="E381" i="17"/>
  <c r="E382" i="17"/>
  <c r="F15" i="17"/>
  <c r="AK10" i="17" s="1"/>
  <c r="AK8" i="17"/>
  <c r="E383" i="17"/>
  <c r="AJ11" i="17"/>
  <c r="AJ12" i="17"/>
  <c r="D383" i="18"/>
  <c r="D9" i="18"/>
  <c r="D11" i="18" s="1"/>
  <c r="D382" i="18"/>
  <c r="D381" i="18"/>
  <c r="AJ8" i="18"/>
  <c r="E15" i="18"/>
  <c r="E11" i="17"/>
  <c r="AK6" i="20"/>
  <c r="AJ6" i="20"/>
  <c r="W15" i="20"/>
  <c r="B382" i="20"/>
  <c r="B383" i="20"/>
  <c r="B381" i="20"/>
  <c r="H9" i="20"/>
  <c r="B16" i="19" s="1"/>
  <c r="D15" i="20"/>
  <c r="AJ7" i="20" s="1"/>
  <c r="B15" i="22"/>
  <c r="AJ5" i="22" l="1"/>
  <c r="AK5" i="22"/>
  <c r="AJ9" i="18"/>
  <c r="AJ11" i="18" s="1"/>
  <c r="AK7" i="18"/>
  <c r="E39" i="19"/>
  <c r="F9" i="17"/>
  <c r="F11" i="17" s="1"/>
  <c r="F383" i="17"/>
  <c r="F382" i="17"/>
  <c r="F381" i="17"/>
  <c r="C14" i="19"/>
  <c r="F38" i="19"/>
  <c r="AK12" i="17"/>
  <c r="AK13" i="17" s="1"/>
  <c r="AA15" i="17"/>
  <c r="AL9" i="17" s="1"/>
  <c r="G15" i="17"/>
  <c r="AM10" i="17"/>
  <c r="H15" i="17"/>
  <c r="J15" i="17" s="1"/>
  <c r="C15" i="6" s="1"/>
  <c r="AJ13" i="17"/>
  <c r="AL10" i="17"/>
  <c r="AA381" i="17"/>
  <c r="I15" i="17"/>
  <c r="B15" i="6" s="1"/>
  <c r="AK6" i="22"/>
  <c r="B382" i="22"/>
  <c r="B381" i="22"/>
  <c r="AJ6" i="22"/>
  <c r="W15" i="22"/>
  <c r="B383" i="22"/>
  <c r="H9" i="22"/>
  <c r="B17" i="19" s="1"/>
  <c r="D15" i="22"/>
  <c r="AJ7" i="22" s="1"/>
  <c r="B15" i="23"/>
  <c r="D382" i="20"/>
  <c r="D383" i="20"/>
  <c r="D381" i="20"/>
  <c r="D9" i="20"/>
  <c r="D11" i="20" s="1"/>
  <c r="AJ8" i="20"/>
  <c r="E15" i="20"/>
  <c r="G14" i="19"/>
  <c r="AJ10" i="18"/>
  <c r="AJ12" i="18" s="1"/>
  <c r="AJ13" i="18" s="1"/>
  <c r="E382" i="18"/>
  <c r="AK8" i="18"/>
  <c r="E381" i="18"/>
  <c r="E383" i="18"/>
  <c r="F15" i="18"/>
  <c r="E9" i="18"/>
  <c r="E11" i="18" s="1"/>
  <c r="AJ5" i="23" l="1"/>
  <c r="AK5" i="23"/>
  <c r="AM9" i="18"/>
  <c r="AK9" i="18"/>
  <c r="AK11" i="18"/>
  <c r="E40" i="19"/>
  <c r="C31" i="19"/>
  <c r="J38" i="19"/>
  <c r="G31" i="19"/>
  <c r="G381" i="17"/>
  <c r="BZ15" i="6"/>
  <c r="AB9" i="17"/>
  <c r="Z15" i="17"/>
  <c r="AL7" i="17" s="1"/>
  <c r="C15" i="19"/>
  <c r="F39" i="19"/>
  <c r="D14" i="19"/>
  <c r="G38" i="19"/>
  <c r="AJ9" i="20"/>
  <c r="AJ11" i="20" s="1"/>
  <c r="AK7" i="20"/>
  <c r="G382" i="17"/>
  <c r="G383" i="17"/>
  <c r="G12" i="17" s="1"/>
  <c r="D7" i="6" s="1"/>
  <c r="AA9" i="17"/>
  <c r="AM8" i="17"/>
  <c r="AA382" i="17"/>
  <c r="AA383" i="17"/>
  <c r="D381" i="22"/>
  <c r="D383" i="22"/>
  <c r="D382" i="22"/>
  <c r="AJ8" i="22"/>
  <c r="D9" i="22"/>
  <c r="D11" i="22" s="1"/>
  <c r="E15" i="22"/>
  <c r="E14" i="19"/>
  <c r="E31" i="19" s="1"/>
  <c r="AM10" i="18"/>
  <c r="AK10" i="18"/>
  <c r="AK12" i="18" s="1"/>
  <c r="AK13" i="18" s="1"/>
  <c r="F382" i="18"/>
  <c r="F381" i="18"/>
  <c r="F383" i="18"/>
  <c r="H15" i="18"/>
  <c r="F9" i="18"/>
  <c r="AA15" i="18"/>
  <c r="G15" i="18"/>
  <c r="CA15" i="6" s="1"/>
  <c r="E383" i="20"/>
  <c r="E382" i="20"/>
  <c r="AK8" i="20"/>
  <c r="E381" i="20"/>
  <c r="AJ10" i="20"/>
  <c r="AJ12" i="20" s="1"/>
  <c r="AJ13" i="20" s="1"/>
  <c r="E9" i="20"/>
  <c r="E11" i="20" s="1"/>
  <c r="F15" i="20"/>
  <c r="B382" i="23"/>
  <c r="AJ6" i="23"/>
  <c r="W15" i="23"/>
  <c r="B381" i="23"/>
  <c r="B383" i="23"/>
  <c r="AK6" i="23"/>
  <c r="H9" i="23"/>
  <c r="B18" i="19" s="1"/>
  <c r="D15" i="23"/>
  <c r="AJ7" i="23" s="1"/>
  <c r="B15" i="24"/>
  <c r="AL8" i="17"/>
  <c r="AL9" i="18" l="1"/>
  <c r="AM7" i="18"/>
  <c r="AJ9" i="22"/>
  <c r="AJ11" i="22" s="1"/>
  <c r="AK7" i="22"/>
  <c r="AK5" i="24"/>
  <c r="AJ5" i="24"/>
  <c r="E41" i="19"/>
  <c r="D31" i="19"/>
  <c r="Z381" i="17"/>
  <c r="Y15" i="17"/>
  <c r="AL5" i="17" s="1"/>
  <c r="AL11" i="17" s="1"/>
  <c r="AJ3" i="17" s="1"/>
  <c r="O14" i="19" s="1"/>
  <c r="M14" i="19" s="1"/>
  <c r="Z383" i="17"/>
  <c r="W7" i="7"/>
  <c r="Z9" i="17"/>
  <c r="Z382" i="17"/>
  <c r="C16" i="19"/>
  <c r="F40" i="19"/>
  <c r="AK9" i="20"/>
  <c r="AK11" i="20" s="1"/>
  <c r="AM9" i="20"/>
  <c r="D382" i="23"/>
  <c r="D381" i="23"/>
  <c r="D383" i="23"/>
  <c r="D9" i="23"/>
  <c r="D11" i="23" s="1"/>
  <c r="AJ8" i="23"/>
  <c r="E15" i="23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B15" i="25"/>
  <c r="AJ5" i="25" s="1"/>
  <c r="G382" i="18"/>
  <c r="G381" i="18"/>
  <c r="G383" i="18"/>
  <c r="G12" i="18" s="1"/>
  <c r="F11" i="18"/>
  <c r="G15" i="19"/>
  <c r="J39" i="19" s="1"/>
  <c r="AB9" i="18"/>
  <c r="F14" i="19"/>
  <c r="F31" i="19" s="1"/>
  <c r="E383" i="22"/>
  <c r="AJ10" i="22"/>
  <c r="AJ12" i="22" s="1"/>
  <c r="AJ13" i="22" s="1"/>
  <c r="E382" i="22"/>
  <c r="E381" i="22"/>
  <c r="E9" i="22"/>
  <c r="E11" i="22" s="1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I15" i="18"/>
  <c r="H15" i="20" s="1"/>
  <c r="AJ9" i="23" l="1"/>
  <c r="AJ11" i="23" s="1"/>
  <c r="AK7" i="23"/>
  <c r="AM9" i="22"/>
  <c r="AK9" i="22"/>
  <c r="AK11" i="22" s="1"/>
  <c r="E42" i="19"/>
  <c r="X9" i="17"/>
  <c r="Y11" i="17" s="1"/>
  <c r="AM6" i="17"/>
  <c r="AM12" i="17" s="1"/>
  <c r="AK4" i="17" s="1"/>
  <c r="R14" i="19" s="1"/>
  <c r="Y382" i="17"/>
  <c r="Y383" i="17"/>
  <c r="Y381" i="17"/>
  <c r="C17" i="19"/>
  <c r="F41" i="19"/>
  <c r="D15" i="19"/>
  <c r="G39" i="19"/>
  <c r="AK13" i="20"/>
  <c r="AL9" i="20"/>
  <c r="AM7" i="20"/>
  <c r="J15" i="20"/>
  <c r="I15" i="20"/>
  <c r="H15" i="22" s="1"/>
  <c r="AL13" i="17"/>
  <c r="AJ4" i="17"/>
  <c r="P14" i="19" s="1"/>
  <c r="G16" i="19"/>
  <c r="J40" i="19" s="1"/>
  <c r="F11" i="20"/>
  <c r="AB9" i="20"/>
  <c r="E15" i="19"/>
  <c r="D382" i="24"/>
  <c r="D383" i="24"/>
  <c r="AJ8" i="24"/>
  <c r="D381" i="24"/>
  <c r="D9" i="24"/>
  <c r="D11" i="24" s="1"/>
  <c r="E15" i="24"/>
  <c r="AA11" i="17"/>
  <c r="AA5" i="17" s="1"/>
  <c r="I14" i="19" s="1"/>
  <c r="AM13" i="17"/>
  <c r="E381" i="23"/>
  <c r="AJ10" i="23"/>
  <c r="AJ12" i="23" s="1"/>
  <c r="AJ13" i="23" s="1"/>
  <c r="E383" i="23"/>
  <c r="E382" i="23"/>
  <c r="E9" i="23"/>
  <c r="E11" i="23" s="1"/>
  <c r="AK8" i="23"/>
  <c r="F15" i="23"/>
  <c r="Z382" i="18"/>
  <c r="Z381" i="18"/>
  <c r="Z9" i="18"/>
  <c r="Z383" i="18"/>
  <c r="AL8" i="18"/>
  <c r="Y15" i="18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M10" i="22"/>
  <c r="G15" i="22"/>
  <c r="CC15" i="6" s="1"/>
  <c r="F9" i="22"/>
  <c r="AA15" i="22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AK9" i="23" l="1"/>
  <c r="AM9" i="23"/>
  <c r="AK11" i="23"/>
  <c r="AL9" i="22"/>
  <c r="AM7" i="22"/>
  <c r="AK13" i="22"/>
  <c r="AL5" i="18"/>
  <c r="AL11" i="18" s="1"/>
  <c r="AJ3" i="18" s="1"/>
  <c r="O15" i="19" s="1"/>
  <c r="AM5" i="18"/>
  <c r="AM11" i="18" s="1"/>
  <c r="AK3" i="18" s="1"/>
  <c r="Q15" i="19" s="1"/>
  <c r="N15" i="19" s="1"/>
  <c r="AK7" i="24"/>
  <c r="AJ9" i="24"/>
  <c r="AJ11" i="24" s="1"/>
  <c r="M15" i="19"/>
  <c r="E43" i="19"/>
  <c r="I38" i="19"/>
  <c r="I31" i="19"/>
  <c r="Z11" i="17"/>
  <c r="Z5" i="17" s="1"/>
  <c r="H14" i="19" s="1"/>
  <c r="J14" i="19"/>
  <c r="J31" i="19" s="1"/>
  <c r="C18" i="19"/>
  <c r="F42" i="19"/>
  <c r="D16" i="19"/>
  <c r="G40" i="19"/>
  <c r="D381" i="25"/>
  <c r="D383" i="25"/>
  <c r="D382" i="25"/>
  <c r="D9" i="25"/>
  <c r="D11" i="25" s="1"/>
  <c r="E44" i="19" s="1"/>
  <c r="E33" i="19" s="1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K13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I15" i="22"/>
  <c r="J15" i="22"/>
  <c r="F7" i="6"/>
  <c r="AI7" i="7"/>
  <c r="E381" i="24"/>
  <c r="E383" i="24"/>
  <c r="AJ10" i="24"/>
  <c r="AJ12" i="24" s="1"/>
  <c r="AJ13" i="24" s="1"/>
  <c r="E382" i="24"/>
  <c r="E9" i="24"/>
  <c r="E11" i="24" s="1"/>
  <c r="F15" i="24"/>
  <c r="AK8" i="24"/>
  <c r="F15" i="19"/>
  <c r="AL9" i="23" l="1"/>
  <c r="AM7" i="23"/>
  <c r="E16" i="19"/>
  <c r="F16" i="19" s="1"/>
  <c r="H38" i="19"/>
  <c r="H31" i="19"/>
  <c r="C19" i="19"/>
  <c r="F43" i="19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E11" i="25" s="1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AA11" i="18"/>
  <c r="AA5" i="18" s="1"/>
  <c r="I15" i="19" s="1"/>
  <c r="Z11" i="18"/>
  <c r="Z5" i="18" s="1"/>
  <c r="H15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l="1"/>
  <c r="AL11" i="22" s="1"/>
  <c r="AJ3" i="22" s="1"/>
  <c r="O17" i="19" s="1"/>
  <c r="AM5" i="22"/>
  <c r="AM11" i="22" s="1"/>
  <c r="AK3" i="22" s="1"/>
  <c r="Q17" i="19" s="1"/>
  <c r="AM7" i="24"/>
  <c r="AL9" i="24"/>
  <c r="I39" i="19"/>
  <c r="H39" i="19"/>
  <c r="M16" i="19"/>
  <c r="N16" i="19"/>
  <c r="D18" i="19"/>
  <c r="G42" i="19"/>
  <c r="C20" i="19"/>
  <c r="F44" i="19"/>
  <c r="F33" i="19" s="1"/>
  <c r="AK13" i="24"/>
  <c r="AL13" i="20"/>
  <c r="AJ4" i="20"/>
  <c r="P16" i="19" s="1"/>
  <c r="M17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N17" i="19" s="1"/>
  <c r="G19" i="19"/>
  <c r="J43" i="19" s="1"/>
  <c r="F11" i="24"/>
  <c r="AB9" i="24"/>
  <c r="G381" i="24"/>
  <c r="G382" i="24"/>
  <c r="G383" i="24"/>
  <c r="G12" i="24" s="1"/>
  <c r="C9" i="19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AL5" i="23" l="1"/>
  <c r="AL11" i="23" s="1"/>
  <c r="AJ3" i="23" s="1"/>
  <c r="O18" i="19" s="1"/>
  <c r="AM5" i="23"/>
  <c r="AM11" i="23" s="1"/>
  <c r="AK3" i="23" s="1"/>
  <c r="Q18" i="19" s="1"/>
  <c r="I40" i="19"/>
  <c r="E18" i="19"/>
  <c r="F18" i="19" s="1"/>
  <c r="H40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M18" i="19" s="1"/>
  <c r="BA7" i="7"/>
  <c r="I7" i="6"/>
  <c r="J17" i="19"/>
  <c r="AA11" i="22"/>
  <c r="AA5" i="22" s="1"/>
  <c r="I17" i="19" s="1"/>
  <c r="AM13" i="22"/>
  <c r="AK4" i="22"/>
  <c r="R17" i="19" s="1"/>
  <c r="G20" i="19"/>
  <c r="J44" i="19" s="1"/>
  <c r="J33" i="19" s="1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N18" i="19" l="1"/>
  <c r="AM5" i="24"/>
  <c r="AM11" i="24" s="1"/>
  <c r="AK3" i="24" s="1"/>
  <c r="Q19" i="19" s="1"/>
  <c r="AL5" i="24"/>
  <c r="AL11" i="24" s="1"/>
  <c r="AJ3" i="24" s="1"/>
  <c r="O19" i="19" s="1"/>
  <c r="H41" i="19"/>
  <c r="E19" i="19"/>
  <c r="F19" i="19" s="1"/>
  <c r="I41" i="19"/>
  <c r="D20" i="19"/>
  <c r="D9" i="19" s="1"/>
  <c r="G44" i="19"/>
  <c r="G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M19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N19" i="19" l="1"/>
  <c r="H43" i="19"/>
  <c r="I42" i="19"/>
  <c r="H42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M20" i="19" s="1"/>
  <c r="J19" i="19"/>
  <c r="AA11" i="24"/>
  <c r="AA5" i="24" s="1"/>
  <c r="I19" i="19" s="1"/>
  <c r="AK4" i="24"/>
  <c r="R19" i="19" s="1"/>
  <c r="N20" i="19" s="1"/>
  <c r="AM13" i="24"/>
  <c r="Y11" i="24"/>
  <c r="H15" i="25"/>
  <c r="I43" i="19" l="1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3" i="19" l="1"/>
  <c r="N33" i="19" s="1"/>
  <c r="O35" i="19"/>
  <c r="N35" i="19" s="1"/>
  <c r="O34" i="19"/>
  <c r="O36" i="19"/>
  <c r="N36" i="19" s="1"/>
  <c r="H44" i="19"/>
  <c r="H33" i="19" s="1"/>
  <c r="I33" i="19"/>
  <c r="H9" i="19"/>
  <c r="I9" i="19"/>
  <c r="J380" i="15"/>
  <c r="J381" i="15" s="1"/>
  <c r="I380" i="15"/>
  <c r="I382" i="15" s="1"/>
  <c r="N34" i="19" l="1"/>
  <c r="N32" i="19" s="1"/>
  <c r="O32" i="19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C380" i="6" s="1"/>
  <c r="I380" i="17"/>
  <c r="B380" i="6" s="1"/>
  <c r="J382" i="17" l="1"/>
  <c r="J381" i="17"/>
  <c r="J383" i="17"/>
  <c r="I382" i="17"/>
  <c r="I383" i="17"/>
  <c r="H380" i="18"/>
  <c r="I381" i="17"/>
  <c r="J380" i="18" l="1"/>
  <c r="I380" i="18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de Mise en service ENEDIS et de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excédents du 26 Fév et 17 Sept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<sst xmlns="http://schemas.openxmlformats.org/spreadsheetml/2006/main" count="2168" uniqueCount="376">
  <si>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</si>
  <si>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</si>
  <si>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</si>
  <si>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</si>
  <si>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</si>
  <si>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</si>
  <si>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</si>
  <si>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</si>
  <si>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</si>
  <si>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</si>
  <si>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</si>
  <si>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</si>
  <si>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</si>
  <si>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</si>
  <si>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</si>
  <si>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</si>
  <si>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</si>
  <si>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</si>
  <si>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</si>
  <si>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</si>
  <si>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</si>
  <si>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</si>
  <si>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</si>
  <si>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</si>
  <si>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</si>
  <si>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</si>
  <si>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</si>
  <si>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</si>
  <si>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</si>
  <si>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</si>
  <si>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</si>
  <si>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</si>
  <si>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</si>
  <si>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</si>
  <si>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</si>
  <si>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</si>
  <si>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</si>
  <si>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</si>
  <si>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</si>
  <si>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</si>
  <si>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</si>
  <si>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</si>
  <si>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</si>
  <si>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</si>
  <si>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</si>
  <si>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</si>
  <si>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</si>
  <si>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</si>
  <si>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</si>
  <si>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</si>
  <si>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</si>
  <si>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</si>
  <si>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</si>
  <si>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</si>
  <si>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</si>
  <si>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</si>
  <si>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</si>
  <si>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</si>
  <si>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</si>
  <si>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</si>
  <si>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</si>
  <si>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</si>
  <si>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</si>
  <si>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</si>
  <si>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</si>
  <si>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</si>
  <si>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</si>
  <si>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</si>
  <si>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</si>
  <si>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</si>
  <si>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</si>
  <si>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</si>
  <si>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</si>
  <si>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</si>
  <si>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</si>
  <si>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</si>
  <si>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</si>
  <si>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</si>
  <si>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</si>
  <si>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</si>
  <si>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</si>
  <si>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</si>
  <si>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</si>
  <si>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</si>
  <si>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</si>
  <si>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</si>
  <si>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</si>
  <si>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</si>
  <si>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</si>
  <si>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</si>
  <si>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</si>
  <si>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</si>
  <si>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</si>
  <si>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</si>
  <si>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</si>
  <si>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</si>
  <si>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</si>
  <si>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</si>
  <si>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</si>
  <si>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</si>
  <si>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</si>
  <si>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</si>
  <si>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</si>
  <si>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</si>
  <si>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</si>
  <si>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</si>
  <si>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</si>
  <si>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</si>
  <si>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</si>
  <si>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</si>
  <si>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</si>
  <si>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</si>
  <si>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</si>
  <si>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</si>
  <si>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</si>
  <si>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</si>
  <si>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</si>
  <si>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</si>
  <si>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</si>
  <si>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</si>
  <si>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</si>
  <si>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</si>
  <si>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</si>
  <si>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</si>
  <si>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</si>
  <si>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</si>
  <si>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</si>
  <si>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</si>
  <si>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</si>
  <si>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</si>
  <si>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</si>
  <si>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</si>
  <si>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</si>
  <si>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</si>
  <si>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</si>
  <si>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</si>
  <si>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</si>
  <si>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</si>
  <si>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</si>
  <si>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</si>
  <si>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</si>
  <si>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</si>
  <si>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</si>
  <si>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</si>
  <si>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</si>
  <si>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</si>
  <si>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</si>
  <si>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</si>
  <si>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</si>
  <si>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</si>
  <si>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</si>
  <si>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</si>
  <si>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</si>
  <si>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</si>
  <si>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</si>
  <si>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</si>
  <si>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</si>
  <si>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</si>
  <si>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</si>
  <si>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</si>
  <si>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</si>
  <si>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</si>
  <si>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</si>
  <si>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</si>
  <si>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</si>
  <si>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</si>
  <si>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</si>
  <si>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</si>
  <si>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</si>
  <si>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</si>
  <si>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</si>
  <si>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</si>
  <si>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</si>
  <si>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</si>
  <si>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</si>
  <si>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</si>
  <si>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</si>
  <si>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</si>
  <si>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</si>
  <si>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</si>
  <si>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</si>
  <si>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</si>
  <si>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</si>
  <si>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</si>
  <si>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</si>
  <si>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</si>
  <si>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</si>
  <si>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</si>
  <si>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</si>
  <si>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</si>
  <si>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</si>
  <si>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</si>
  <si>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</si>
  <si>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</si>
  <si>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</si>
  <si>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</si>
  <si>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</si>
  <si>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</si>
  <si>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</si>
  <si>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</si>
  <si>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</si>
  <si>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</si>
  <si>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</si>
  <si>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</si>
  <si>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</si>
  <si>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</si>
  <si>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</si>
  <si>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</si>
  <si>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</si>
  <si>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</si>
  <si>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</si>
  <si>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</si>
  <si>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</si>
  <si>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</si>
  <si>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</si>
  <si>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</si>
  <si>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</si>
  <si>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</si>
  <si>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</si>
  <si>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</si>
  <si>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</si>
  <si>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</si>
  <si>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</si>
  <si>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</si>
  <si>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</si>
  <si>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</si>
  <si>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</si>
  <si>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</si>
  <si>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</si>
  <si>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</si>
  <si>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</si>
  <si>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</si>
  <si>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</si>
  <si>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</si>
  <si>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</si>
  <si>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</si>
  <si>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</si>
  <si>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</si>
  <si>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</si>
  <si>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</si>
  <si>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</si>
  <si>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</si>
  <si>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</si>
  <si>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</si>
  <si>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</si>
  <si>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</si>
  <si>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</si>
  <si>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</si>
  <si>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</si>
  <si>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</si>
  <si>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</si>
  <si>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</si>
  <si>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</si>
  <si>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</si>
  <si>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</si>
  <si>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</si>
  <si>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</si>
  <si>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</si>
  <si>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</si>
  <si>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</si>
  <si>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</si>
  <si>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</si>
  <si>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</si>
  <si>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</si>
  <si>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</si>
  <si>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</si>
  <si>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</si>
  <si>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</si>
  <si>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</si>
  <si>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</si>
  <si>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</si>
  <si>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</si>
  <si>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</si>
  <si>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</si>
  <si>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</si>
  <si>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</si>
  <si>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</si>
  <si>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</si>
  <si>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</si>
  <si>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</si>
  <si>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</si>
  <si>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</si>
  <si>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</si>
  <si>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</si>
  <si>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</si>
  <si>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</si>
  <si>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</si>
  <si>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</si>
  <si>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</si>
  <si>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</si>
  <si>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</si>
  <si>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</si>
  <si>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</si>
  <si>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</si>
  <si>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</si>
  <si>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</si>
  <si>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</si>
  <si>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</si>
  <si>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</si>
  <si>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</si>
  <si>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</si>
  <si>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</si>
  <si>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</si>
  <si>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</si>
  <si>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</si>
  <si>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</si>
  <si>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</si>
  <si>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</si>
  <si>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</si>
  <si>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</si>
  <si>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</si>
  <si>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</si>
  <si>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</si>
  <si>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</si>
  <si>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</si>
  <si>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</si>
  <si>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</si>
  <si>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</si>
  <si>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</si>
  <si>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Formule de division linéaire de la mesure (angles &lt;10°)</t>
  </si>
  <si>
    <t>Date de relevés hauteurs (ref. 0m):</t>
  </si>
  <si>
    <t>Arbre 7</t>
  </si>
  <si>
    <t>Arbre 8</t>
  </si>
  <si>
    <t>MdS Escalquens</t>
  </si>
  <si>
    <t>Arbre 3</t>
  </si>
  <si>
    <t>Arbre 9</t>
  </si>
  <si>
    <t>Arbre 1</t>
  </si>
  <si>
    <t>Arbre 10</t>
  </si>
  <si>
    <t>Arbre 11</t>
  </si>
  <si>
    <t>Arbre 12</t>
  </si>
  <si>
    <t>Arbre 13</t>
  </si>
  <si>
    <t>Arbre 14</t>
  </si>
  <si>
    <t>Arbre 15</t>
  </si>
  <si>
    <t>Arbre 16</t>
  </si>
  <si>
    <t>Centre du champ PV G.E.:</t>
  </si>
  <si>
    <t>Centre du champ PV G.C.:</t>
  </si>
  <si>
    <t>Centre du champ PV D.C.:</t>
  </si>
  <si>
    <t>Centre du champ PV D.E.:</t>
  </si>
  <si>
    <t>Lampadaire parc sud</t>
  </si>
  <si>
    <t>Porte entrée MdS</t>
  </si>
  <si>
    <t>Entrée MdS</t>
  </si>
  <si>
    <t>Coin parking Nord</t>
  </si>
  <si>
    <t>Chemin SE face entrée MdS</t>
  </si>
  <si>
    <t>2022-01 Escalq MdS pano</t>
  </si>
  <si>
    <t>2022-01Escalq MdS arrière</t>
  </si>
  <si>
    <t>Hauteur 0 = Entrée MdS</t>
  </si>
  <si>
    <t>Hauteur fenêtre arrière batiment</t>
  </si>
  <si>
    <t>Vitre H</t>
  </si>
  <si>
    <t>Vitre B</t>
  </si>
  <si>
    <t>Toiture D</t>
  </si>
  <si>
    <t>2022-01-MsS entrée</t>
  </si>
  <si>
    <t>Sélection champ PV</t>
  </si>
  <si>
    <t>Externe ou Centre (E/C):</t>
  </si>
  <si>
    <t>E</t>
  </si>
  <si>
    <t>Gauche / Droite: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</si>
  <si>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</si>
  <si>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</si>
  <si>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</si>
  <si>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</si>
  <si>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</si>
  <si>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</si>
  <si>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</si>
  <si>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</si>
  <si>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</si>
  <si>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</si>
  <si>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</si>
  <si>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</si>
  <si>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</si>
  <si>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</si>
  <si>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</si>
  <si>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</si>
  <si>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</si>
  <si>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</si>
  <si>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Gains depuis le "début" ou depuis dernière "action":</t>
  </si>
  <si>
    <t>action</t>
  </si>
  <si>
    <t>23 hors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</si>
</sst>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92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179" fontId="109" fillId="0" borderId="35" xfId="0" applyNumberFormat="1" applyFont="1" applyBorder="1" applyAlignment="1" applyProtection="1">
      <alignment horizontal="center"/>
      <protection locked="0"/>
    </xf>
    <xf numFmtId="2" fontId="30" fillId="0" borderId="0" xfId="0" applyNumberFormat="1" applyFont="1" applyAlignment="1" applyProtection="1">
      <alignment horizontal="center"/>
      <protection locked="0"/>
    </xf>
    <xf numFmtId="2" fontId="95" fillId="0" borderId="1" xfId="0" applyNumberFormat="1" applyFont="1" applyBorder="1" applyProtection="1">
      <protection locked="0"/>
    </xf>
    <xf numFmtId="0" fontId="36" fillId="0" borderId="0" xfId="0" applyFont="1" applyBorder="1" applyAlignment="1" applyProtection="1">
      <alignment horizontal="left"/>
    </xf>
    <xf numFmtId="2" fontId="38" fillId="0" borderId="0" xfId="0" applyNumberFormat="1" applyFont="1" applyAlignment="1" applyProtection="1">
      <alignment horizontal="center" vertical="center"/>
    </xf>
    <xf numFmtId="0" fontId="33" fillId="0" borderId="0" xfId="0" applyFont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2" fontId="93" fillId="0" borderId="21" xfId="0" applyNumberFormat="1" applyFont="1" applyBorder="1" applyProtection="1"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166" fontId="31" fillId="0" borderId="4" xfId="0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100" fillId="0" borderId="0" xfId="0" applyNumberFormat="1" applyFont="1" applyFill="1" applyBorder="1" applyProtection="1">
      <protection locked="0"/>
    </xf>
    <xf numFmtId="2" fontId="93" fillId="34" borderId="22" xfId="0" applyNumberFormat="1" applyFont="1" applyFill="1" applyBorder="1" applyProtection="1"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174" fontId="66" fillId="37" borderId="15" xfId="33" applyNumberFormat="1" applyFont="1" applyFill="1" applyBorder="1" applyAlignment="1" applyProtection="1">
      <alignment horizontal="center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2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6.9312393969065518</c:v>
                </c:pt>
                <c:pt idx="6">
                  <c:v>6.6749068975496648</c:v>
                </c:pt>
                <c:pt idx="7">
                  <c:v>6.2034049318622841</c:v>
                </c:pt>
                <c:pt idx="8">
                  <c:v>5.4247462361335632</c:v>
                </c:pt>
                <c:pt idx="9">
                  <c:v>4.32011202477889</c:v>
                </c:pt>
                <c:pt idx="10">
                  <c:v>3.2280215515929003</c:v>
                </c:pt>
                <c:pt idx="11">
                  <c:v>2.648736386140448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3.070426909927114</c:v>
                </c:pt>
                <c:pt idx="1">
                  <c:v>4.1464141105098493</c:v>
                </c:pt>
                <c:pt idx="2">
                  <c:v>5.3334430058244333</c:v>
                </c:pt>
                <c:pt idx="3">
                  <c:v>6.3479853871903362</c:v>
                </c:pt>
                <c:pt idx="4">
                  <c:v>6.7529534386004508</c:v>
                </c:pt>
                <c:pt idx="5">
                  <c:v>6.7034214799798253</c:v>
                </c:pt>
                <c:pt idx="6">
                  <c:v>6.4582863180280903</c:v>
                </c:pt>
                <c:pt idx="7">
                  <c:v>6.0058108988083099</c:v>
                </c:pt>
                <c:pt idx="8">
                  <c:v>5.255224625846604</c:v>
                </c:pt>
                <c:pt idx="9">
                  <c:v>4.1873218015246989</c:v>
                </c:pt>
                <c:pt idx="10">
                  <c:v>3.1306340287514041</c:v>
                </c:pt>
                <c:pt idx="11">
                  <c:v>2.5698281531515299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2.9799067222601106</c:v>
                </c:pt>
                <c:pt idx="1">
                  <c:v>4.0421124486868134</c:v>
                </c:pt>
                <c:pt idx="2">
                  <c:v>5.2100825706933103</c:v>
                </c:pt>
                <c:pt idx="3">
                  <c:v>6.1726724922776386</c:v>
                </c:pt>
                <c:pt idx="4">
                  <c:v>6.5380112598129001</c:v>
                </c:pt>
                <c:pt idx="5">
                  <c:v>6.472103286577207</c:v>
                </c:pt>
                <c:pt idx="6">
                  <c:v>6.2236644747693068</c:v>
                </c:pt>
                <c:pt idx="7">
                  <c:v>5.7737114984722719</c:v>
                </c:pt>
                <c:pt idx="8">
                  <c:v>5.0350849772225166</c:v>
                </c:pt>
                <c:pt idx="9">
                  <c:v>3.9959664461716846</c:v>
                </c:pt>
                <c:pt idx="10">
                  <c:v>2.9850745856133689</c:v>
                </c:pt>
                <c:pt idx="11">
                  <c:v>2.4663596141793152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2.8675341085356125</c:v>
                </c:pt>
                <c:pt idx="1">
                  <c:v>3.8758390763918746</c:v>
                </c:pt>
                <c:pt idx="2">
                  <c:v>4.9880585981936472</c:v>
                </c:pt>
                <c:pt idx="3">
                  <c:v>5.935667615320714</c:v>
                </c:pt>
                <c:pt idx="4">
                  <c:v>6.8278826894412559</c:v>
                </c:pt>
                <c:pt idx="5">
                  <c:v>6.7907648824577409</c:v>
                </c:pt>
                <c:pt idx="6">
                  <c:v>6.5367115058508141</c:v>
                </c:pt>
                <c:pt idx="7">
                  <c:v>6.0719113553862982</c:v>
                </c:pt>
                <c:pt idx="8">
                  <c:v>5.3061208808902416</c:v>
                </c:pt>
                <c:pt idx="9">
                  <c:v>4.2189801886897591</c:v>
                </c:pt>
                <c:pt idx="10">
                  <c:v>3.14623853744328</c:v>
                </c:pt>
                <c:pt idx="11">
                  <c:v>2.5777020953999492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2.9922277822116787</c:v>
                </c:pt>
                <c:pt idx="1">
                  <c:v>4.0478613578341625</c:v>
                </c:pt>
                <c:pt idx="2">
                  <c:v>5.2125692652464251</c:v>
                </c:pt>
                <c:pt idx="3">
                  <c:v>6.2122828745724714</c:v>
                </c:pt>
                <c:pt idx="4">
                  <c:v>6.7947117177172061</c:v>
                </c:pt>
                <c:pt idx="5">
                  <c:v>6.7395511700847717</c:v>
                </c:pt>
                <c:pt idx="6">
                  <c:v>6.4856883996110684</c:v>
                </c:pt>
                <c:pt idx="7">
                  <c:v>6.0225105975803892</c:v>
                </c:pt>
                <c:pt idx="8">
                  <c:v>5.2605564433135159</c:v>
                </c:pt>
                <c:pt idx="9">
                  <c:v>4.1791020723331229</c:v>
                </c:pt>
                <c:pt idx="10">
                  <c:v>3.1130669456744129</c:v>
                </c:pt>
                <c:pt idx="11">
                  <c:v>2.5486368643487731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2.9589527327298955</c:v>
                </c:pt>
                <c:pt idx="1">
                  <c:v>4.0048477476971662</c:v>
                </c:pt>
                <c:pt idx="2">
                  <c:v>5.1579989704739226</c:v>
                </c:pt>
                <c:pt idx="3">
                  <c:v>6.139412884445175</c:v>
                </c:pt>
                <c:pt idx="4">
                  <c:v>6.5286212637740766</c:v>
                </c:pt>
                <c:pt idx="5">
                  <c:v>6.4775666660575952</c:v>
                </c:pt>
                <c:pt idx="6">
                  <c:v>6.2374097050619168</c:v>
                </c:pt>
                <c:pt idx="7">
                  <c:v>5.7967226381182675</c:v>
                </c:pt>
                <c:pt idx="8">
                  <c:v>5.0669937801252836</c:v>
                </c:pt>
                <c:pt idx="9">
                  <c:v>4.0267643956403312</c:v>
                </c:pt>
                <c:pt idx="10">
                  <c:v>3.000999201461259</c:v>
                </c:pt>
                <c:pt idx="11">
                  <c:v>2.4599372413007918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2.85854164669272</c:v>
                </c:pt>
                <c:pt idx="1">
                  <c:v>3.8751227409778264</c:v>
                </c:pt>
                <c:pt idx="2">
                  <c:v>4.9977217613230644</c:v>
                </c:pt>
                <c:pt idx="3">
                  <c:v>5.9655079531667576</c:v>
                </c:pt>
                <c:pt idx="4">
                  <c:v>6.6992326528427775</c:v>
                </c:pt>
                <c:pt idx="5">
                  <c:v>6.6449549683591895</c:v>
                </c:pt>
                <c:pt idx="6">
                  <c:v>6.3943211202448005</c:v>
                </c:pt>
                <c:pt idx="7">
                  <c:v>5.9366259108056747</c:v>
                </c:pt>
                <c:pt idx="8">
                  <c:v>5.1828291545619543</c:v>
                </c:pt>
                <c:pt idx="9">
                  <c:v>4.1105016585307101</c:v>
                </c:pt>
                <c:pt idx="10">
                  <c:v>3.0563518744025302</c:v>
                </c:pt>
                <c:pt idx="11">
                  <c:v>2.5027899280147059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2.9064682713959926</c:v>
                </c:pt>
                <c:pt idx="1">
                  <c:v>3.9407989723064367</c:v>
                </c:pt>
                <c:pt idx="2">
                  <c:v>5.0826295724715429</c:v>
                </c:pt>
                <c:pt idx="3">
                  <c:v>6.0561647295542516</c:v>
                </c:pt>
                <c:pt idx="4">
                  <c:v>6.4392437632125841</c:v>
                </c:pt>
                <c:pt idx="5">
                  <c:v>6.3886880364233924</c:v>
                </c:pt>
                <c:pt idx="6">
                  <c:v>6.1524277850722342</c:v>
                </c:pt>
                <c:pt idx="7">
                  <c:v>5.7194522891144528</c:v>
                </c:pt>
                <c:pt idx="8">
                  <c:v>5.0035430368453131</c:v>
                </c:pt>
                <c:pt idx="9">
                  <c:v>3.9873058273562325</c:v>
                </c:pt>
                <c:pt idx="10">
                  <c:v>2.9820801042839102</c:v>
                </c:pt>
                <c:pt idx="11">
                  <c:v>2.4485342447102507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2.8393130194936202</c:v>
                </c:pt>
                <c:pt idx="1">
                  <c:v>3.8352602199359671</c:v>
                </c:pt>
                <c:pt idx="2">
                  <c:v>4.9343736438164036</c:v>
                </c:pt>
                <c:pt idx="3">
                  <c:v>5.8856120137422634</c:v>
                </c:pt>
                <c:pt idx="4">
                  <c:v>6.6080090140946126</c:v>
                </c:pt>
                <c:pt idx="5">
                  <c:v>6.5542116665961689</c:v>
                </c:pt>
                <c:pt idx="6">
                  <c:v>6.307667273842017</c:v>
                </c:pt>
                <c:pt idx="7">
                  <c:v>5.8581851260630255</c:v>
                </c:pt>
                <c:pt idx="8">
                  <c:v>5.1193412378996763</c:v>
                </c:pt>
                <c:pt idx="9">
                  <c:v>4.0732686639346323</c:v>
                </c:pt>
                <c:pt idx="10">
                  <c:v>3.0407137501572152</c:v>
                </c:pt>
                <c:pt idx="11">
                  <c:v>2.4927436948726402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2.8895555914991142</c:v>
                </c:pt>
                <c:pt idx="1">
                  <c:v>3.9022800333767682</c:v>
                </c:pt>
                <c:pt idx="2">
                  <c:v>5.0188854773714677</c:v>
                </c:pt>
                <c:pt idx="3">
                  <c:v>5.9714389701498707</c:v>
                </c:pt>
                <c:pt idx="4">
                  <c:v>6.3493906295843976</c:v>
                </c:pt>
                <c:pt idx="5">
                  <c:v>6.2996216165917165</c:v>
                </c:pt>
                <c:pt idx="6">
                  <c:v>6.0664766500359129</c:v>
                </c:pt>
                <c:pt idx="7">
                  <c:v>5.6390792190540946</c:v>
                </c:pt>
                <c:pt idx="8">
                  <c:v>4.9322016133338913</c:v>
                </c:pt>
                <c:pt idx="9">
                  <c:v>3.9275759644331294</c:v>
                </c:pt>
                <c:pt idx="10">
                  <c:v>2.9346139059089875</c:v>
                </c:pt>
                <c:pt idx="11">
                  <c:v>2.4073483588895233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203712"/>
        <c:axId val="471205280"/>
      </c:lineChart>
      <c:dateAx>
        <c:axId val="471203712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20528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7120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20371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22.537704513700483</c:v>
                </c:pt>
                <c:pt idx="1">
                  <c:v>22.678365436537334</c:v>
                </c:pt>
                <c:pt idx="2">
                  <c:v>22.828093353293426</c:v>
                </c:pt>
                <c:pt idx="3">
                  <c:v>22.986422138497854</c:v>
                </c:pt>
                <c:pt idx="4">
                  <c:v>23.152885684938369</c:v>
                </c:pt>
                <c:pt idx="5">
                  <c:v>23.327017904015925</c:v>
                </c:pt>
                <c:pt idx="6">
                  <c:v>23.508352742765339</c:v>
                </c:pt>
                <c:pt idx="7">
                  <c:v>23.696424194547891</c:v>
                </c:pt>
                <c:pt idx="8">
                  <c:v>23.893666741238373</c:v>
                </c:pt>
                <c:pt idx="9">
                  <c:v>24.102248897831711</c:v>
                </c:pt>
                <c:pt idx="10">
                  <c:v>24.321329928064294</c:v>
                </c:pt>
                <c:pt idx="11">
                  <c:v>24.550140829986919</c:v>
                </c:pt>
                <c:pt idx="12">
                  <c:v>24.787912791048434</c:v>
                </c:pt>
                <c:pt idx="13">
                  <c:v>25.033877210534097</c:v>
                </c:pt>
                <c:pt idx="14">
                  <c:v>25.287265702252061</c:v>
                </c:pt>
                <c:pt idx="15">
                  <c:v>25.54739804353412</c:v>
                </c:pt>
                <c:pt idx="16">
                  <c:v>25.813616283707049</c:v>
                </c:pt>
                <c:pt idx="17">
                  <c:v>26.085152664533219</c:v>
                </c:pt>
                <c:pt idx="18">
                  <c:v>26.36123968103367</c:v>
                </c:pt>
                <c:pt idx="19">
                  <c:v>26.641109726748976</c:v>
                </c:pt>
                <c:pt idx="20">
                  <c:v>26.923995301079763</c:v>
                </c:pt>
                <c:pt idx="21">
                  <c:v>27.209127370165053</c:v>
                </c:pt>
                <c:pt idx="22">
                  <c:v>27.499587136193401</c:v>
                </c:pt>
                <c:pt idx="23">
                  <c:v>27.798366143556052</c:v>
                </c:pt>
                <c:pt idx="24">
                  <c:v>28.104634208412378</c:v>
                </c:pt>
                <c:pt idx="25">
                  <c:v>28.417497891315456</c:v>
                </c:pt>
                <c:pt idx="26">
                  <c:v>28.736064106858443</c:v>
                </c:pt>
                <c:pt idx="27">
                  <c:v>29.059440134852625</c:v>
                </c:pt>
                <c:pt idx="28">
                  <c:v>29.386733617807469</c:v>
                </c:pt>
                <c:pt idx="29">
                  <c:v>29.717021506196595</c:v>
                </c:pt>
                <c:pt idx="30">
                  <c:v>30.04932439618905</c:v>
                </c:pt>
                <c:pt idx="31">
                  <c:v>30.382751039643043</c:v>
                </c:pt>
                <c:pt idx="32">
                  <c:v>30.716410554896768</c:v>
                </c:pt>
                <c:pt idx="33">
                  <c:v>31.049412419800866</c:v>
                </c:pt>
                <c:pt idx="34">
                  <c:v>31.380866475595568</c:v>
                </c:pt>
                <c:pt idx="35">
                  <c:v>31.709882924565754</c:v>
                </c:pt>
                <c:pt idx="36">
                  <c:v>32.038012453735021</c:v>
                </c:pt>
                <c:pt idx="37">
                  <c:v>32.367374248309162</c:v>
                </c:pt>
                <c:pt idx="38">
                  <c:v>32.697872039586045</c:v>
                </c:pt>
                <c:pt idx="39">
                  <c:v>33.029406942043323</c:v>
                </c:pt>
                <c:pt idx="40">
                  <c:v>33.361880132080458</c:v>
                </c:pt>
                <c:pt idx="41">
                  <c:v>33.695192843498234</c:v>
                </c:pt>
                <c:pt idx="42">
                  <c:v>34.029246361815765</c:v>
                </c:pt>
                <c:pt idx="43">
                  <c:v>34.363962851465594</c:v>
                </c:pt>
                <c:pt idx="44">
                  <c:v>34.69927488346849</c:v>
                </c:pt>
                <c:pt idx="45">
                  <c:v>35.035083921015307</c:v>
                </c:pt>
                <c:pt idx="46">
                  <c:v>35.371291460599309</c:v>
                </c:pt>
                <c:pt idx="47">
                  <c:v>35.707799023884597</c:v>
                </c:pt>
                <c:pt idx="48">
                  <c:v>36.044508152029891</c:v>
                </c:pt>
                <c:pt idx="49">
                  <c:v>36.3813203979566</c:v>
                </c:pt>
                <c:pt idx="50">
                  <c:v>36.718384319299361</c:v>
                </c:pt>
                <c:pt idx="51">
                  <c:v>37.055895971640894</c:v>
                </c:pt>
                <c:pt idx="52">
                  <c:v>37.393814163343009</c:v>
                </c:pt>
                <c:pt idx="53">
                  <c:v>37.732139214583221</c:v>
                </c:pt>
                <c:pt idx="54">
                  <c:v>38.070871190254024</c:v>
                </c:pt>
                <c:pt idx="55">
                  <c:v>38.410010090527834</c:v>
                </c:pt>
                <c:pt idx="56">
                  <c:v>38.749555846305917</c:v>
                </c:pt>
                <c:pt idx="57">
                  <c:v>39.089476491199811</c:v>
                </c:pt>
                <c:pt idx="58">
                  <c:v>39.429750837608424</c:v>
                </c:pt>
                <c:pt idx="59">
                  <c:v>39.770378531627294</c:v>
                </c:pt>
                <c:pt idx="60">
                  <c:v>40.111359137467964</c:v>
                </c:pt>
                <c:pt idx="61">
                  <c:v>40.452692134712649</c:v>
                </c:pt>
                <c:pt idx="62">
                  <c:v>40.794376916593059</c:v>
                </c:pt>
                <c:pt idx="63">
                  <c:v>41.136412786865286</c:v>
                </c:pt>
                <c:pt idx="64">
                  <c:v>41.479867947339912</c:v>
                </c:pt>
                <c:pt idx="65">
                  <c:v>41.825461595000903</c:v>
                </c:pt>
                <c:pt idx="66">
                  <c:v>42.172717177163044</c:v>
                </c:pt>
                <c:pt idx="67">
                  <c:v>42.521139954480347</c:v>
                </c:pt>
                <c:pt idx="68">
                  <c:v>42.870235260786515</c:v>
                </c:pt>
                <c:pt idx="69">
                  <c:v>43.219508502527013</c:v>
                </c:pt>
                <c:pt idx="70">
                  <c:v>43.568465157593877</c:v>
                </c:pt>
                <c:pt idx="71">
                  <c:v>43.916608621257495</c:v>
                </c:pt>
                <c:pt idx="72">
                  <c:v>44.263476567359717</c:v>
                </c:pt>
                <c:pt idx="73">
                  <c:v>44.608574754565538</c:v>
                </c:pt>
                <c:pt idx="74">
                  <c:v>44.951409026099689</c:v>
                </c:pt>
                <c:pt idx="75">
                  <c:v>45.29148531661771</c:v>
                </c:pt>
                <c:pt idx="76">
                  <c:v>45.628309652132764</c:v>
                </c:pt>
                <c:pt idx="77">
                  <c:v>45.961388156115156</c:v>
                </c:pt>
                <c:pt idx="78">
                  <c:v>46.293167184884098</c:v>
                </c:pt>
                <c:pt idx="79">
                  <c:v>46.625889590809258</c:v>
                </c:pt>
                <c:pt idx="80">
                  <c:v>46.958784710434095</c:v>
                </c:pt>
                <c:pt idx="81">
                  <c:v>47.291062159256356</c:v>
                </c:pt>
                <c:pt idx="82">
                  <c:v>47.621931788987432</c:v>
                </c:pt>
                <c:pt idx="83">
                  <c:v>47.95060369590945</c:v>
                </c:pt>
                <c:pt idx="84">
                  <c:v>48.2762882301313</c:v>
                </c:pt>
                <c:pt idx="85">
                  <c:v>48.598190317812815</c:v>
                </c:pt>
                <c:pt idx="86">
                  <c:v>48.915523050457189</c:v>
                </c:pt>
                <c:pt idx="87">
                  <c:v>49.227497574636033</c:v>
                </c:pt>
                <c:pt idx="88">
                  <c:v>49.533325332177824</c:v>
                </c:pt>
                <c:pt idx="89">
                  <c:v>49.832218064225515</c:v>
                </c:pt>
                <c:pt idx="90">
                  <c:v>50.123387829100544</c:v>
                </c:pt>
                <c:pt idx="91">
                  <c:v>50.40604701039365</c:v>
                </c:pt>
                <c:pt idx="92">
                  <c:v>50.681589978426821</c:v>
                </c:pt>
                <c:pt idx="93">
                  <c:v>50.951869164262718</c:v>
                </c:pt>
                <c:pt idx="94">
                  <c:v>51.216790953342084</c:v>
                </c:pt>
                <c:pt idx="95">
                  <c:v>51.476256234589677</c:v>
                </c:pt>
                <c:pt idx="96">
                  <c:v>51.730165978906825</c:v>
                </c:pt>
                <c:pt idx="97">
                  <c:v>51.978421245173642</c:v>
                </c:pt>
                <c:pt idx="98">
                  <c:v>52.220923184119762</c:v>
                </c:pt>
                <c:pt idx="99">
                  <c:v>52.457572356036543</c:v>
                </c:pt>
                <c:pt idx="100">
                  <c:v>52.688276147905661</c:v>
                </c:pt>
                <c:pt idx="101">
                  <c:v>52.912936123908196</c:v>
                </c:pt>
                <c:pt idx="102">
                  <c:v>53.13145397356503</c:v>
                </c:pt>
                <c:pt idx="103">
                  <c:v>53.343731526990943</c:v>
                </c:pt>
                <c:pt idx="104">
                  <c:v>53.54967075460106</c:v>
                </c:pt>
                <c:pt idx="105">
                  <c:v>53.749173779976871</c:v>
                </c:pt>
                <c:pt idx="106">
                  <c:v>53.942388560588896</c:v>
                </c:pt>
                <c:pt idx="107">
                  <c:v>54.129525659259066</c:v>
                </c:pt>
                <c:pt idx="108">
                  <c:v>54.310586473687152</c:v>
                </c:pt>
                <c:pt idx="109">
                  <c:v>54.485571771563301</c:v>
                </c:pt>
                <c:pt idx="110">
                  <c:v>54.654482429859655</c:v>
                </c:pt>
                <c:pt idx="111">
                  <c:v>54.817319465236451</c:v>
                </c:pt>
                <c:pt idx="112">
                  <c:v>54.974084065374562</c:v>
                </c:pt>
                <c:pt idx="113">
                  <c:v>55.124774700841783</c:v>
                </c:pt>
                <c:pt idx="114">
                  <c:v>55.269393604989958</c:v>
                </c:pt>
                <c:pt idx="115">
                  <c:v>55.407942384398808</c:v>
                </c:pt>
                <c:pt idx="116">
                  <c:v>55.54042281655925</c:v>
                </c:pt>
                <c:pt idx="117">
                  <c:v>55.666836853850768</c:v>
                </c:pt>
                <c:pt idx="118">
                  <c:v>55.787186633887806</c:v>
                </c:pt>
                <c:pt idx="119">
                  <c:v>55.90147447519491</c:v>
                </c:pt>
                <c:pt idx="120">
                  <c:v>56.008852695926279</c:v>
                </c:pt>
                <c:pt idx="121">
                  <c:v>60.863270820553481</c:v>
                </c:pt>
                <c:pt idx="122">
                  <c:v>60.964620782965135</c:v>
                </c:pt>
                <c:pt idx="123">
                  <c:v>61.058770307201399</c:v>
                </c:pt>
                <c:pt idx="124">
                  <c:v>61.146147272419519</c:v>
                </c:pt>
                <c:pt idx="125">
                  <c:v>61.22717935762887</c:v>
                </c:pt>
                <c:pt idx="126">
                  <c:v>61.302294049479386</c:v>
                </c:pt>
                <c:pt idx="127">
                  <c:v>61.371919591540419</c:v>
                </c:pt>
                <c:pt idx="128">
                  <c:v>61.436486821816963</c:v>
                </c:pt>
                <c:pt idx="129">
                  <c:v>61.496422820378704</c:v>
                </c:pt>
                <c:pt idx="130">
                  <c:v>61.552154482021052</c:v>
                </c:pt>
                <c:pt idx="131">
                  <c:v>61.604108520660631</c:v>
                </c:pt>
                <c:pt idx="132">
                  <c:v>61.652711465176431</c:v>
                </c:pt>
                <c:pt idx="133">
                  <c:v>61.698389661122512</c:v>
                </c:pt>
                <c:pt idx="134">
                  <c:v>61.740046700282981</c:v>
                </c:pt>
                <c:pt idx="135">
                  <c:v>61.776446567019534</c:v>
                </c:pt>
                <c:pt idx="136">
                  <c:v>61.807809037420981</c:v>
                </c:pt>
                <c:pt idx="137">
                  <c:v>61.834348874964697</c:v>
                </c:pt>
                <c:pt idx="138">
                  <c:v>61.856280769587499</c:v>
                </c:pt>
                <c:pt idx="139">
                  <c:v>61.873819341018709</c:v>
                </c:pt>
                <c:pt idx="140">
                  <c:v>61.887179139595617</c:v>
                </c:pt>
                <c:pt idx="141">
                  <c:v>61.896571349558897</c:v>
                </c:pt>
                <c:pt idx="142">
                  <c:v>61.902209163157998</c:v>
                </c:pt>
                <c:pt idx="143">
                  <c:v>61.904306771769456</c:v>
                </c:pt>
                <c:pt idx="144">
                  <c:v>61.90307824151693</c:v>
                </c:pt>
                <c:pt idx="145">
                  <c:v>61.898737558516032</c:v>
                </c:pt>
                <c:pt idx="146">
                  <c:v>61.891498622229918</c:v>
                </c:pt>
                <c:pt idx="147">
                  <c:v>61.881575243983058</c:v>
                </c:pt>
                <c:pt idx="148">
                  <c:v>61.867731941597754</c:v>
                </c:pt>
                <c:pt idx="149">
                  <c:v>61.848874496257174</c:v>
                </c:pt>
                <c:pt idx="150">
                  <c:v>61.825427886742403</c:v>
                </c:pt>
                <c:pt idx="151">
                  <c:v>61.797818451027844</c:v>
                </c:pt>
                <c:pt idx="152">
                  <c:v>61.766472321878098</c:v>
                </c:pt>
                <c:pt idx="153">
                  <c:v>61.731815423540205</c:v>
                </c:pt>
                <c:pt idx="154">
                  <c:v>61.694273466772529</c:v>
                </c:pt>
                <c:pt idx="155">
                  <c:v>61.654267668671352</c:v>
                </c:pt>
                <c:pt idx="156">
                  <c:v>61.612227105573176</c:v>
                </c:pt>
                <c:pt idx="157">
                  <c:v>61.568576833068839</c:v>
                </c:pt>
                <c:pt idx="158">
                  <c:v>61.523741684395915</c:v>
                </c:pt>
                <c:pt idx="159">
                  <c:v>61.478146270921336</c:v>
                </c:pt>
                <c:pt idx="160">
                  <c:v>61.432214978237127</c:v>
                </c:pt>
                <c:pt idx="161">
                  <c:v>61.386371964806962</c:v>
                </c:pt>
                <c:pt idx="162">
                  <c:v>61.339982623047284</c:v>
                </c:pt>
                <c:pt idx="163">
                  <c:v>61.292126940459355</c:v>
                </c:pt>
                <c:pt idx="164">
                  <c:v>61.242806738866484</c:v>
                </c:pt>
                <c:pt idx="165">
                  <c:v>61.192022971932722</c:v>
                </c:pt>
                <c:pt idx="166">
                  <c:v>61.139776567597352</c:v>
                </c:pt>
                <c:pt idx="167">
                  <c:v>61.086068423294115</c:v>
                </c:pt>
                <c:pt idx="168">
                  <c:v>61.030899407364537</c:v>
                </c:pt>
                <c:pt idx="169">
                  <c:v>60.974266714664026</c:v>
                </c:pt>
                <c:pt idx="170">
                  <c:v>60.916175974172873</c:v>
                </c:pt>
                <c:pt idx="171">
                  <c:v>60.856627981148485</c:v>
                </c:pt>
                <c:pt idx="172">
                  <c:v>60.795623492174862</c:v>
                </c:pt>
                <c:pt idx="173">
                  <c:v>60.733163285957261</c:v>
                </c:pt>
                <c:pt idx="174">
                  <c:v>60.669248106593841</c:v>
                </c:pt>
                <c:pt idx="175">
                  <c:v>60.603878601452791</c:v>
                </c:pt>
                <c:pt idx="176">
                  <c:v>60.537055380583197</c:v>
                </c:pt>
                <c:pt idx="177">
                  <c:v>60.468773867212413</c:v>
                </c:pt>
                <c:pt idx="178">
                  <c:v>60.399038370295365</c:v>
                </c:pt>
                <c:pt idx="179">
                  <c:v>60.327849363655261</c:v>
                </c:pt>
                <c:pt idx="180">
                  <c:v>60.255207284224539</c:v>
                </c:pt>
                <c:pt idx="181">
                  <c:v>60.181112534577458</c:v>
                </c:pt>
                <c:pt idx="182">
                  <c:v>60.105565481580683</c:v>
                </c:pt>
                <c:pt idx="183">
                  <c:v>60.028565470936584</c:v>
                </c:pt>
                <c:pt idx="184">
                  <c:v>59.950116772414432</c:v>
                </c:pt>
                <c:pt idx="185">
                  <c:v>59.87021969452902</c:v>
                </c:pt>
                <c:pt idx="186">
                  <c:v>59.788874515115722</c:v>
                </c:pt>
                <c:pt idx="187">
                  <c:v>59.706081480374777</c:v>
                </c:pt>
                <c:pt idx="188">
                  <c:v>59.621840810275046</c:v>
                </c:pt>
                <c:pt idx="189">
                  <c:v>59.536152698030442</c:v>
                </c:pt>
                <c:pt idx="190">
                  <c:v>59.449474466382171</c:v>
                </c:pt>
                <c:pt idx="191">
                  <c:v>59.362117549724836</c:v>
                </c:pt>
                <c:pt idx="192">
                  <c:v>59.273876299190078</c:v>
                </c:pt>
                <c:pt idx="193">
                  <c:v>59.184539720350969</c:v>
                </c:pt>
                <c:pt idx="194">
                  <c:v>59.093896904658344</c:v>
                </c:pt>
                <c:pt idx="195">
                  <c:v>59.001737031166115</c:v>
                </c:pt>
                <c:pt idx="196">
                  <c:v>58.907849368707055</c:v>
                </c:pt>
                <c:pt idx="197">
                  <c:v>58.812025046929527</c:v>
                </c:pt>
                <c:pt idx="198">
                  <c:v>58.714054551843439</c:v>
                </c:pt>
                <c:pt idx="199">
                  <c:v>58.613727436976404</c:v>
                </c:pt>
                <c:pt idx="200">
                  <c:v>58.510833352561633</c:v>
                </c:pt>
                <c:pt idx="201">
                  <c:v>58.405162046206506</c:v>
                </c:pt>
                <c:pt idx="202">
                  <c:v>58.29650336927358</c:v>
                </c:pt>
                <c:pt idx="203">
                  <c:v>58.184647275365876</c:v>
                </c:pt>
                <c:pt idx="204">
                  <c:v>58.069910475146926</c:v>
                </c:pt>
                <c:pt idx="205">
                  <c:v>57.95275150016829</c:v>
                </c:pt>
                <c:pt idx="206">
                  <c:v>57.833176008234929</c:v>
                </c:pt>
                <c:pt idx="207">
                  <c:v>57.711184524287205</c:v>
                </c:pt>
                <c:pt idx="208">
                  <c:v>57.586777586092047</c:v>
                </c:pt>
                <c:pt idx="209">
                  <c:v>57.459955749238837</c:v>
                </c:pt>
                <c:pt idx="210">
                  <c:v>57.330719585824234</c:v>
                </c:pt>
                <c:pt idx="211">
                  <c:v>57.199060826214208</c:v>
                </c:pt>
                <c:pt idx="212">
                  <c:v>57.064978310004427</c:v>
                </c:pt>
                <c:pt idx="213">
                  <c:v>56.928472647699685</c:v>
                </c:pt>
                <c:pt idx="214">
                  <c:v>56.789544470865806</c:v>
                </c:pt>
                <c:pt idx="215">
                  <c:v>56.648194433603912</c:v>
                </c:pt>
                <c:pt idx="216">
                  <c:v>56.504423213864783</c:v>
                </c:pt>
                <c:pt idx="217">
                  <c:v>56.358231509976157</c:v>
                </c:pt>
                <c:pt idx="218">
                  <c:v>56.210075741252595</c:v>
                </c:pt>
                <c:pt idx="219">
                  <c:v>56.060264367697982</c:v>
                </c:pt>
                <c:pt idx="220">
                  <c:v>55.908586069264082</c:v>
                </c:pt>
                <c:pt idx="221">
                  <c:v>55.75483117184735</c:v>
                </c:pt>
                <c:pt idx="222">
                  <c:v>55.598790113441275</c:v>
                </c:pt>
                <c:pt idx="223">
                  <c:v>55.440253446436849</c:v>
                </c:pt>
                <c:pt idx="224">
                  <c:v>55.279011833978338</c:v>
                </c:pt>
                <c:pt idx="225">
                  <c:v>55.11484912684287</c:v>
                </c:pt>
                <c:pt idx="226">
                  <c:v>54.947565151267881</c:v>
                </c:pt>
                <c:pt idx="227">
                  <c:v>54.776950903264741</c:v>
                </c:pt>
                <c:pt idx="228">
                  <c:v>54.602797483094839</c:v>
                </c:pt>
                <c:pt idx="229">
                  <c:v>54.424896093705186</c:v>
                </c:pt>
                <c:pt idx="230">
                  <c:v>54.243038043716481</c:v>
                </c:pt>
                <c:pt idx="231">
                  <c:v>54.057014738934086</c:v>
                </c:pt>
                <c:pt idx="232">
                  <c:v>53.867142690656564</c:v>
                </c:pt>
                <c:pt idx="233">
                  <c:v>53.673875305716855</c:v>
                </c:pt>
                <c:pt idx="234">
                  <c:v>53.47722147837473</c:v>
                </c:pt>
                <c:pt idx="235">
                  <c:v>53.277182472262979</c:v>
                </c:pt>
                <c:pt idx="236">
                  <c:v>53.073759549751095</c:v>
                </c:pt>
                <c:pt idx="237">
                  <c:v>52.866953994214441</c:v>
                </c:pt>
                <c:pt idx="238">
                  <c:v>52.656767093827433</c:v>
                </c:pt>
                <c:pt idx="239">
                  <c:v>52.44319563579699</c:v>
                </c:pt>
                <c:pt idx="240">
                  <c:v>52.226247819300603</c:v>
                </c:pt>
                <c:pt idx="241">
                  <c:v>52.005924939393147</c:v>
                </c:pt>
                <c:pt idx="242">
                  <c:v>51.782228302723105</c:v>
                </c:pt>
                <c:pt idx="243">
                  <c:v>51.555159222875908</c:v>
                </c:pt>
                <c:pt idx="244">
                  <c:v>51.324719023924487</c:v>
                </c:pt>
                <c:pt idx="245">
                  <c:v>51.090909038641563</c:v>
                </c:pt>
                <c:pt idx="246">
                  <c:v>50.853730614269189</c:v>
                </c:pt>
                <c:pt idx="247">
                  <c:v>50.613169321419036</c:v>
                </c:pt>
                <c:pt idx="248">
                  <c:v>50.369229529506612</c:v>
                </c:pt>
                <c:pt idx="249">
                  <c:v>50.121912666452154</c:v>
                </c:pt>
                <c:pt idx="250">
                  <c:v>49.871220182098611</c:v>
                </c:pt>
                <c:pt idx="251">
                  <c:v>49.617153544679681</c:v>
                </c:pt>
                <c:pt idx="252">
                  <c:v>49.359714243405485</c:v>
                </c:pt>
                <c:pt idx="253">
                  <c:v>49.098887674211888</c:v>
                </c:pt>
                <c:pt idx="254">
                  <c:v>48.83467991607111</c:v>
                </c:pt>
                <c:pt idx="255">
                  <c:v>48.567092584783104</c:v>
                </c:pt>
                <c:pt idx="256">
                  <c:v>48.296127324002796</c:v>
                </c:pt>
                <c:pt idx="257">
                  <c:v>48.021785805764068</c:v>
                </c:pt>
                <c:pt idx="258">
                  <c:v>47.744069729376392</c:v>
                </c:pt>
                <c:pt idx="259">
                  <c:v>47.462980825779454</c:v>
                </c:pt>
                <c:pt idx="260">
                  <c:v>47.178294021567481</c:v>
                </c:pt>
                <c:pt idx="261">
                  <c:v>46.889844479986714</c:v>
                </c:pt>
                <c:pt idx="262">
                  <c:v>46.597754275371656</c:v>
                </c:pt>
                <c:pt idx="263">
                  <c:v>46.302129945084459</c:v>
                </c:pt>
                <c:pt idx="264">
                  <c:v>46.003078003324539</c:v>
                </c:pt>
                <c:pt idx="265">
                  <c:v>45.700704706814079</c:v>
                </c:pt>
                <c:pt idx="266">
                  <c:v>45.395116381908913</c:v>
                </c:pt>
                <c:pt idx="267">
                  <c:v>45.086345798274309</c:v>
                </c:pt>
                <c:pt idx="268">
                  <c:v>44.774515638653419</c:v>
                </c:pt>
                <c:pt idx="269">
                  <c:v>44.459732862970966</c:v>
                </c:pt>
                <c:pt idx="270">
                  <c:v>44.142104444750345</c:v>
                </c:pt>
                <c:pt idx="271">
                  <c:v>43.821737375649569</c:v>
                </c:pt>
                <c:pt idx="272">
                  <c:v>43.498738658747058</c:v>
                </c:pt>
                <c:pt idx="273">
                  <c:v>43.173215311318998</c:v>
                </c:pt>
                <c:pt idx="274">
                  <c:v>42.843653887494789</c:v>
                </c:pt>
                <c:pt idx="275">
                  <c:v>42.508812752456265</c:v>
                </c:pt>
                <c:pt idx="276">
                  <c:v>42.169332608511183</c:v>
                </c:pt>
                <c:pt idx="277">
                  <c:v>41.825844664853499</c:v>
                </c:pt>
                <c:pt idx="278">
                  <c:v>41.478979984804077</c:v>
                </c:pt>
                <c:pt idx="279">
                  <c:v>41.129369489183475</c:v>
                </c:pt>
                <c:pt idx="280">
                  <c:v>40.777643950614546</c:v>
                </c:pt>
                <c:pt idx="281">
                  <c:v>40.424414296134358</c:v>
                </c:pt>
                <c:pt idx="282">
                  <c:v>40.07038075706037</c:v>
                </c:pt>
                <c:pt idx="283">
                  <c:v>39.7161728553763</c:v>
                </c:pt>
                <c:pt idx="284">
                  <c:v>39.362419890557319</c:v>
                </c:pt>
                <c:pt idx="285">
                  <c:v>39.009750934527816</c:v>
                </c:pt>
                <c:pt idx="286">
                  <c:v>38.658794822521372</c:v>
                </c:pt>
                <c:pt idx="287">
                  <c:v>38.310180144771252</c:v>
                </c:pt>
                <c:pt idx="288">
                  <c:v>37.961837924768261</c:v>
                </c:pt>
                <c:pt idx="289">
                  <c:v>37.611677609765479</c:v>
                </c:pt>
                <c:pt idx="290">
                  <c:v>37.260294122895665</c:v>
                </c:pt>
                <c:pt idx="291">
                  <c:v>36.908209459857403</c:v>
                </c:pt>
                <c:pt idx="292">
                  <c:v>36.555945231080031</c:v>
                </c:pt>
                <c:pt idx="293">
                  <c:v>36.204022657624556</c:v>
                </c:pt>
                <c:pt idx="294">
                  <c:v>35.852962569636304</c:v>
                </c:pt>
                <c:pt idx="295">
                  <c:v>35.503357786158119</c:v>
                </c:pt>
                <c:pt idx="296">
                  <c:v>35.155743000455104</c:v>
                </c:pt>
                <c:pt idx="297">
                  <c:v>34.810634589210501</c:v>
                </c:pt>
                <c:pt idx="298">
                  <c:v>34.468549354796821</c:v>
                </c:pt>
                <c:pt idx="299">
                  <c:v>34.130003684720172</c:v>
                </c:pt>
                <c:pt idx="300">
                  <c:v>33.795513569271648</c:v>
                </c:pt>
                <c:pt idx="301">
                  <c:v>33.465594617490737</c:v>
                </c:pt>
                <c:pt idx="302">
                  <c:v>33.138780602970783</c:v>
                </c:pt>
                <c:pt idx="303">
                  <c:v>32.813379513555319</c:v>
                </c:pt>
                <c:pt idx="304">
                  <c:v>32.489659058148511</c:v>
                </c:pt>
                <c:pt idx="305">
                  <c:v>32.167929683527831</c:v>
                </c:pt>
                <c:pt idx="306">
                  <c:v>31.84850161784864</c:v>
                </c:pt>
                <c:pt idx="307">
                  <c:v>31.531684880325972</c:v>
                </c:pt>
                <c:pt idx="308">
                  <c:v>31.217789291248401</c:v>
                </c:pt>
                <c:pt idx="309">
                  <c:v>30.907156614824018</c:v>
                </c:pt>
                <c:pt idx="310">
                  <c:v>30.600032326830107</c:v>
                </c:pt>
                <c:pt idx="311">
                  <c:v>30.296726637918344</c:v>
                </c:pt>
                <c:pt idx="312">
                  <c:v>29.997549581045249</c:v>
                </c:pt>
                <c:pt idx="313">
                  <c:v>29.702811019528262</c:v>
                </c:pt>
                <c:pt idx="314">
                  <c:v>29.412820651555588</c:v>
                </c:pt>
                <c:pt idx="315">
                  <c:v>29.127888020145264</c:v>
                </c:pt>
                <c:pt idx="316">
                  <c:v>28.846412753854469</c:v>
                </c:pt>
                <c:pt idx="317">
                  <c:v>28.567088505655196</c:v>
                </c:pt>
                <c:pt idx="318">
                  <c:v>28.290504365807074</c:v>
                </c:pt>
                <c:pt idx="319">
                  <c:v>28.017172049322507</c:v>
                </c:pt>
                <c:pt idx="320">
                  <c:v>27.747603372999993</c:v>
                </c:pt>
                <c:pt idx="321">
                  <c:v>27.482310297421293</c:v>
                </c:pt>
                <c:pt idx="322">
                  <c:v>27.221804949630631</c:v>
                </c:pt>
                <c:pt idx="323">
                  <c:v>26.966479171199826</c:v>
                </c:pt>
                <c:pt idx="324">
                  <c:v>26.716820839965614</c:v>
                </c:pt>
                <c:pt idx="325">
                  <c:v>26.47334647623795</c:v>
                </c:pt>
                <c:pt idx="326">
                  <c:v>26.236573412619823</c:v>
                </c:pt>
                <c:pt idx="327">
                  <c:v>26.007018481464879</c:v>
                </c:pt>
                <c:pt idx="328">
                  <c:v>25.785197897391637</c:v>
                </c:pt>
                <c:pt idx="329">
                  <c:v>25.571627917802232</c:v>
                </c:pt>
                <c:pt idx="330">
                  <c:v>25.364171585499243</c:v>
                </c:pt>
                <c:pt idx="331">
                  <c:v>25.160652030936411</c:v>
                </c:pt>
                <c:pt idx="332">
                  <c:v>24.961557352854005</c:v>
                </c:pt>
                <c:pt idx="333">
                  <c:v>24.767514266076823</c:v>
                </c:pt>
                <c:pt idx="334">
                  <c:v>24.57914903914542</c:v>
                </c:pt>
                <c:pt idx="335">
                  <c:v>24.397087494387975</c:v>
                </c:pt>
                <c:pt idx="336">
                  <c:v>24.221955007362631</c:v>
                </c:pt>
                <c:pt idx="337">
                  <c:v>24.05449055128992</c:v>
                </c:pt>
                <c:pt idx="338">
                  <c:v>23.895424704891585</c:v>
                </c:pt>
                <c:pt idx="339">
                  <c:v>23.74537812253887</c:v>
                </c:pt>
                <c:pt idx="340">
                  <c:v>23.604971431075882</c:v>
                </c:pt>
                <c:pt idx="341">
                  <c:v>23.474825208207054</c:v>
                </c:pt>
                <c:pt idx="342">
                  <c:v>23.355559971762759</c:v>
                </c:pt>
                <c:pt idx="343">
                  <c:v>23.247796184872101</c:v>
                </c:pt>
                <c:pt idx="344">
                  <c:v>23.149525452579837</c:v>
                </c:pt>
                <c:pt idx="345">
                  <c:v>23.058653752923821</c:v>
                </c:pt>
                <c:pt idx="346">
                  <c:v>22.97585160679909</c:v>
                </c:pt>
                <c:pt idx="347">
                  <c:v>22.901609178494017</c:v>
                </c:pt>
                <c:pt idx="348">
                  <c:v>22.83641682692296</c:v>
                </c:pt>
                <c:pt idx="349">
                  <c:v>22.780765076858319</c:v>
                </c:pt>
                <c:pt idx="350">
                  <c:v>22.735144567952393</c:v>
                </c:pt>
                <c:pt idx="351">
                  <c:v>22.700121744411693</c:v>
                </c:pt>
                <c:pt idx="352">
                  <c:v>22.676079085554594</c:v>
                </c:pt>
                <c:pt idx="353">
                  <c:v>22.663507656290395</c:v>
                </c:pt>
                <c:pt idx="354">
                  <c:v>22.662898485280071</c:v>
                </c:pt>
                <c:pt idx="355">
                  <c:v>22.674742546019054</c:v>
                </c:pt>
                <c:pt idx="356">
                  <c:v>22.699531270659982</c:v>
                </c:pt>
                <c:pt idx="357">
                  <c:v>22.737755089008289</c:v>
                </c:pt>
                <c:pt idx="358">
                  <c:v>22.789807199810888</c:v>
                </c:pt>
                <c:pt idx="359">
                  <c:v>22.855427693905291</c:v>
                </c:pt>
                <c:pt idx="360">
                  <c:v>22.93423505702966</c:v>
                </c:pt>
                <c:pt idx="361">
                  <c:v>23.025666359508097</c:v>
                </c:pt>
                <c:pt idx="362">
                  <c:v>23.129233682651627</c:v>
                </c:pt>
                <c:pt idx="363">
                  <c:v>23.244449231640775</c:v>
                </c:pt>
                <c:pt idx="364">
                  <c:v>23.370825336750599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22.93</c:v>
                </c:pt>
                <c:pt idx="1">
                  <c:v>15.814</c:v>
                </c:pt>
                <c:pt idx="2">
                  <c:v>17.074999999999999</c:v>
                </c:pt>
                <c:pt idx="3">
                  <c:v>18.144000000000002</c:v>
                </c:pt>
                <c:pt idx="4">
                  <c:v>14.348000000000001</c:v>
                </c:pt>
                <c:pt idx="5">
                  <c:v>20.589000000000002</c:v>
                </c:pt>
                <c:pt idx="6">
                  <c:v>10.096</c:v>
                </c:pt>
                <c:pt idx="7">
                  <c:v>7.1850000000000005</c:v>
                </c:pt>
                <c:pt idx="8">
                  <c:v>2.145</c:v>
                </c:pt>
                <c:pt idx="9">
                  <c:v>1.7590000000000001</c:v>
                </c:pt>
                <c:pt idx="10">
                  <c:v>24.657</c:v>
                </c:pt>
                <c:pt idx="11">
                  <c:v>21.433</c:v>
                </c:pt>
                <c:pt idx="12">
                  <c:v>5.4939999999999998</c:v>
                </c:pt>
                <c:pt idx="13">
                  <c:v>26.071000000000002</c:v>
                </c:pt>
                <c:pt idx="14">
                  <c:v>26.376000000000001</c:v>
                </c:pt>
                <c:pt idx="15">
                  <c:v>25.804000000000002</c:v>
                </c:pt>
                <c:pt idx="16">
                  <c:v>11.915000000000001</c:v>
                </c:pt>
                <c:pt idx="17">
                  <c:v>3.7850000000000001</c:v>
                </c:pt>
                <c:pt idx="18">
                  <c:v>10.327</c:v>
                </c:pt>
                <c:pt idx="19">
                  <c:v>6.4670000000000005</c:v>
                </c:pt>
                <c:pt idx="20">
                  <c:v>20.618000000000002</c:v>
                </c:pt>
                <c:pt idx="21">
                  <c:v>27.521000000000001</c:v>
                </c:pt>
                <c:pt idx="22">
                  <c:v>27.641999999999999</c:v>
                </c:pt>
                <c:pt idx="23">
                  <c:v>28.177</c:v>
                </c:pt>
                <c:pt idx="24">
                  <c:v>27.245000000000001</c:v>
                </c:pt>
                <c:pt idx="25">
                  <c:v>27.907</c:v>
                </c:pt>
                <c:pt idx="26">
                  <c:v>26.666</c:v>
                </c:pt>
                <c:pt idx="27">
                  <c:v>4.2140000000000004</c:v>
                </c:pt>
                <c:pt idx="28">
                  <c:v>8.8940000000000001</c:v>
                </c:pt>
                <c:pt idx="29">
                  <c:v>4.593</c:v>
                </c:pt>
                <c:pt idx="30">
                  <c:v>7.6160000000000005</c:v>
                </c:pt>
                <c:pt idx="31">
                  <c:v>12.638</c:v>
                </c:pt>
                <c:pt idx="32">
                  <c:v>5.335</c:v>
                </c:pt>
                <c:pt idx="33">
                  <c:v>10.47</c:v>
                </c:pt>
                <c:pt idx="34">
                  <c:v>10.311999999999999</c:v>
                </c:pt>
                <c:pt idx="35">
                  <c:v>9.0609999999999999</c:v>
                </c:pt>
                <c:pt idx="36">
                  <c:v>21.109000000000002</c:v>
                </c:pt>
                <c:pt idx="37">
                  <c:v>8.8960000000000008</c:v>
                </c:pt>
                <c:pt idx="38">
                  <c:v>32.991</c:v>
                </c:pt>
                <c:pt idx="39">
                  <c:v>33.271999999999998</c:v>
                </c:pt>
                <c:pt idx="40">
                  <c:v>31.027000000000001</c:v>
                </c:pt>
                <c:pt idx="41">
                  <c:v>17.187000000000001</c:v>
                </c:pt>
                <c:pt idx="42">
                  <c:v>26.336000000000002</c:v>
                </c:pt>
                <c:pt idx="43">
                  <c:v>32.22</c:v>
                </c:pt>
                <c:pt idx="44">
                  <c:v>15.125999999999999</c:v>
                </c:pt>
                <c:pt idx="45">
                  <c:v>18.243000000000002</c:v>
                </c:pt>
                <c:pt idx="46">
                  <c:v>8.9730000000000008</c:v>
                </c:pt>
                <c:pt idx="47">
                  <c:v>11.179</c:v>
                </c:pt>
                <c:pt idx="48">
                  <c:v>28.859000000000002</c:v>
                </c:pt>
                <c:pt idx="49">
                  <c:v>19.581</c:v>
                </c:pt>
                <c:pt idx="50">
                  <c:v>19.462</c:v>
                </c:pt>
                <c:pt idx="51">
                  <c:v>21.547000000000001</c:v>
                </c:pt>
                <c:pt idx="52">
                  <c:v>32.926000000000002</c:v>
                </c:pt>
                <c:pt idx="53">
                  <c:v>34.597999999999999</c:v>
                </c:pt>
                <c:pt idx="54">
                  <c:v>21.536000000000001</c:v>
                </c:pt>
                <c:pt idx="55">
                  <c:v>30.839000000000002</c:v>
                </c:pt>
                <c:pt idx="56">
                  <c:v>39.083949999999994</c:v>
                </c:pt>
                <c:pt idx="57">
                  <c:v>27.937000000000001</c:v>
                </c:pt>
                <c:pt idx="58">
                  <c:v>33.725999999999999</c:v>
                </c:pt>
                <c:pt idx="59">
                  <c:v>39.128999999999998</c:v>
                </c:pt>
                <c:pt idx="60">
                  <c:v>11.401</c:v>
                </c:pt>
                <c:pt idx="61">
                  <c:v>34.981999999999999</c:v>
                </c:pt>
                <c:pt idx="62">
                  <c:v>3.7589999999999999</c:v>
                </c:pt>
                <c:pt idx="63">
                  <c:v>12.943</c:v>
                </c:pt>
                <c:pt idx="64">
                  <c:v>15.604000000000001</c:v>
                </c:pt>
                <c:pt idx="65">
                  <c:v>38.436999999999998</c:v>
                </c:pt>
                <c:pt idx="66">
                  <c:v>31.324999999999999</c:v>
                </c:pt>
                <c:pt idx="67">
                  <c:v>30.54</c:v>
                </c:pt>
                <c:pt idx="68">
                  <c:v>24.311</c:v>
                </c:pt>
                <c:pt idx="69">
                  <c:v>15.077</c:v>
                </c:pt>
                <c:pt idx="70">
                  <c:v>15.692</c:v>
                </c:pt>
                <c:pt idx="71">
                  <c:v>8.7989999999999995</c:v>
                </c:pt>
                <c:pt idx="72">
                  <c:v>14.177</c:v>
                </c:pt>
                <c:pt idx="73">
                  <c:v>13.494</c:v>
                </c:pt>
                <c:pt idx="74">
                  <c:v>13.467000000000001</c:v>
                </c:pt>
                <c:pt idx="75">
                  <c:v>11.31</c:v>
                </c:pt>
                <c:pt idx="76">
                  <c:v>14.621</c:v>
                </c:pt>
                <c:pt idx="77">
                  <c:v>27.934000000000001</c:v>
                </c:pt>
                <c:pt idx="78">
                  <c:v>31.016999999999999</c:v>
                </c:pt>
                <c:pt idx="79">
                  <c:v>43.905999999999999</c:v>
                </c:pt>
                <c:pt idx="80">
                  <c:v>41.683999999999997</c:v>
                </c:pt>
                <c:pt idx="81">
                  <c:v>47.512</c:v>
                </c:pt>
                <c:pt idx="82">
                  <c:v>46.731000000000002</c:v>
                </c:pt>
                <c:pt idx="83">
                  <c:v>41.585999999999999</c:v>
                </c:pt>
                <c:pt idx="84">
                  <c:v>46.033999999999999</c:v>
                </c:pt>
                <c:pt idx="85">
                  <c:v>44.505000000000003</c:v>
                </c:pt>
                <c:pt idx="86">
                  <c:v>14.331</c:v>
                </c:pt>
                <c:pt idx="87">
                  <c:v>27.504999999999999</c:v>
                </c:pt>
                <c:pt idx="88">
                  <c:v>7.7119999999999997</c:v>
                </c:pt>
                <c:pt idx="89">
                  <c:v>27.469000000000001</c:v>
                </c:pt>
                <c:pt idx="90">
                  <c:v>32.166000000000004</c:v>
                </c:pt>
                <c:pt idx="91">
                  <c:v>20.080000000000002</c:v>
                </c:pt>
                <c:pt idx="92">
                  <c:v>22.339000000000002</c:v>
                </c:pt>
                <c:pt idx="93">
                  <c:v>44.968000000000004</c:v>
                </c:pt>
                <c:pt idx="94">
                  <c:v>51.6</c:v>
                </c:pt>
                <c:pt idx="95">
                  <c:v>11.169</c:v>
                </c:pt>
                <c:pt idx="96">
                  <c:v>37.493000000000002</c:v>
                </c:pt>
                <c:pt idx="97">
                  <c:v>30.46</c:v>
                </c:pt>
                <c:pt idx="98">
                  <c:v>35.734999999999999</c:v>
                </c:pt>
                <c:pt idx="99">
                  <c:v>52.253</c:v>
                </c:pt>
                <c:pt idx="100">
                  <c:v>43.307000000000002</c:v>
                </c:pt>
                <c:pt idx="101">
                  <c:v>36.987000000000002</c:v>
                </c:pt>
                <c:pt idx="102">
                  <c:v>7.9039999999999999</c:v>
                </c:pt>
                <c:pt idx="103">
                  <c:v>40.005000000000003</c:v>
                </c:pt>
                <c:pt idx="104">
                  <c:v>43.652999999999999</c:v>
                </c:pt>
                <c:pt idx="105">
                  <c:v>45.292000000000002</c:v>
                </c:pt>
                <c:pt idx="106">
                  <c:v>53.158999999999999</c:v>
                </c:pt>
                <c:pt idx="107">
                  <c:v>39.323999999999998</c:v>
                </c:pt>
                <c:pt idx="108">
                  <c:v>9.1920000000000002</c:v>
                </c:pt>
                <c:pt idx="109">
                  <c:v>9.59</c:v>
                </c:pt>
                <c:pt idx="110">
                  <c:v>9.2309999999999999</c:v>
                </c:pt>
                <c:pt idx="111">
                  <c:v>26.829000000000001</c:v>
                </c:pt>
                <c:pt idx="112">
                  <c:v>8.9350000000000005</c:v>
                </c:pt>
                <c:pt idx="113">
                  <c:v>30.874000000000002</c:v>
                </c:pt>
                <c:pt idx="114">
                  <c:v>46.725000000000001</c:v>
                </c:pt>
                <c:pt idx="115">
                  <c:v>53.57</c:v>
                </c:pt>
                <c:pt idx="116">
                  <c:v>38.886000000000003</c:v>
                </c:pt>
                <c:pt idx="117">
                  <c:v>23.43</c:v>
                </c:pt>
                <c:pt idx="118">
                  <c:v>42.85</c:v>
                </c:pt>
                <c:pt idx="119">
                  <c:v>45.358000000000004</c:v>
                </c:pt>
                <c:pt idx="120">
                  <c:v>45.893000000000001</c:v>
                </c:pt>
                <c:pt idx="121">
                  <c:v>29.515000000000001</c:v>
                </c:pt>
                <c:pt idx="122">
                  <c:v>41.195999999999998</c:v>
                </c:pt>
                <c:pt idx="123">
                  <c:v>22.308</c:v>
                </c:pt>
                <c:pt idx="124">
                  <c:v>45.761000000000003</c:v>
                </c:pt>
                <c:pt idx="125">
                  <c:v>40.157000000000004</c:v>
                </c:pt>
                <c:pt idx="126">
                  <c:v>54.938000000000002</c:v>
                </c:pt>
                <c:pt idx="127">
                  <c:v>50.658999999999999</c:v>
                </c:pt>
                <c:pt idx="128">
                  <c:v>58.172000000000004</c:v>
                </c:pt>
                <c:pt idx="129">
                  <c:v>54.338999999999999</c:v>
                </c:pt>
                <c:pt idx="130">
                  <c:v>58.594999999999999</c:v>
                </c:pt>
                <c:pt idx="131">
                  <c:v>43.686</c:v>
                </c:pt>
                <c:pt idx="132">
                  <c:v>45.758000000000003</c:v>
                </c:pt>
                <c:pt idx="133">
                  <c:v>52.142000000000003</c:v>
                </c:pt>
                <c:pt idx="134">
                  <c:v>54.871000000000002</c:v>
                </c:pt>
                <c:pt idx="135">
                  <c:v>53.228999999999999</c:v>
                </c:pt>
                <c:pt idx="136">
                  <c:v>56.77</c:v>
                </c:pt>
                <c:pt idx="137">
                  <c:v>54.908000000000001</c:v>
                </c:pt>
                <c:pt idx="138">
                  <c:v>57.721000000000004</c:v>
                </c:pt>
                <c:pt idx="139">
                  <c:v>51.506</c:v>
                </c:pt>
                <c:pt idx="140">
                  <c:v>51.606000000000002</c:v>
                </c:pt>
                <c:pt idx="141">
                  <c:v>39.200000000000003</c:v>
                </c:pt>
                <c:pt idx="142">
                  <c:v>20.696999999999999</c:v>
                </c:pt>
                <c:pt idx="143">
                  <c:v>17.11</c:v>
                </c:pt>
                <c:pt idx="144">
                  <c:v>43.04</c:v>
                </c:pt>
                <c:pt idx="145">
                  <c:v>26.163</c:v>
                </c:pt>
                <c:pt idx="146">
                  <c:v>48.169000000000004</c:v>
                </c:pt>
                <c:pt idx="147">
                  <c:v>57.937000000000005</c:v>
                </c:pt>
                <c:pt idx="148">
                  <c:v>62.643999999999998</c:v>
                </c:pt>
                <c:pt idx="149">
                  <c:v>53.152999999999999</c:v>
                </c:pt>
                <c:pt idx="150">
                  <c:v>57.620000000000005</c:v>
                </c:pt>
                <c:pt idx="151">
                  <c:v>58.713999999999999</c:v>
                </c:pt>
                <c:pt idx="152">
                  <c:v>46.826999999999998</c:v>
                </c:pt>
                <c:pt idx="153">
                  <c:v>57.276000000000003</c:v>
                </c:pt>
                <c:pt idx="154">
                  <c:v>27.305</c:v>
                </c:pt>
                <c:pt idx="155">
                  <c:v>37.625</c:v>
                </c:pt>
                <c:pt idx="156">
                  <c:v>49.078000000000003</c:v>
                </c:pt>
                <c:pt idx="157">
                  <c:v>29.771000000000001</c:v>
                </c:pt>
                <c:pt idx="158">
                  <c:v>22.195</c:v>
                </c:pt>
                <c:pt idx="159">
                  <c:v>48.356000000000002</c:v>
                </c:pt>
                <c:pt idx="160">
                  <c:v>60.325000000000003</c:v>
                </c:pt>
                <c:pt idx="161">
                  <c:v>58.295999999999999</c:v>
                </c:pt>
                <c:pt idx="162">
                  <c:v>45.252000000000002</c:v>
                </c:pt>
                <c:pt idx="163">
                  <c:v>56.908000000000001</c:v>
                </c:pt>
                <c:pt idx="164">
                  <c:v>50.588999999999999</c:v>
                </c:pt>
                <c:pt idx="165">
                  <c:v>57.03</c:v>
                </c:pt>
                <c:pt idx="166">
                  <c:v>54.774999999999999</c:v>
                </c:pt>
                <c:pt idx="167">
                  <c:v>54.922000000000004</c:v>
                </c:pt>
                <c:pt idx="168">
                  <c:v>57.428000000000004</c:v>
                </c:pt>
                <c:pt idx="169">
                  <c:v>58.823999999999998</c:v>
                </c:pt>
                <c:pt idx="170">
                  <c:v>33.183999999999997</c:v>
                </c:pt>
                <c:pt idx="171">
                  <c:v>23.881</c:v>
                </c:pt>
                <c:pt idx="172">
                  <c:v>46.253999999999998</c:v>
                </c:pt>
                <c:pt idx="173">
                  <c:v>43.628999999999998</c:v>
                </c:pt>
                <c:pt idx="174">
                  <c:v>41.152000000000001</c:v>
                </c:pt>
                <c:pt idx="175">
                  <c:v>35.712000000000003</c:v>
                </c:pt>
                <c:pt idx="176">
                  <c:v>12.679</c:v>
                </c:pt>
                <c:pt idx="177">
                  <c:v>15.406000000000001</c:v>
                </c:pt>
                <c:pt idx="178">
                  <c:v>61.117000000000004</c:v>
                </c:pt>
                <c:pt idx="179">
                  <c:v>59.364000000000004</c:v>
                </c:pt>
                <c:pt idx="180">
                  <c:v>14.64</c:v>
                </c:pt>
                <c:pt idx="181">
                  <c:v>52.805</c:v>
                </c:pt>
                <c:pt idx="182">
                  <c:v>58.331000000000003</c:v>
                </c:pt>
                <c:pt idx="183">
                  <c:v>48.051000000000002</c:v>
                </c:pt>
                <c:pt idx="184">
                  <c:v>46.488</c:v>
                </c:pt>
                <c:pt idx="185">
                  <c:v>58.274999999999999</c:v>
                </c:pt>
                <c:pt idx="186">
                  <c:v>49.533999999999999</c:v>
                </c:pt>
                <c:pt idx="187">
                  <c:v>57.695999999999998</c:v>
                </c:pt>
                <c:pt idx="188">
                  <c:v>60.181000000000004</c:v>
                </c:pt>
                <c:pt idx="189">
                  <c:v>59.477000000000004</c:v>
                </c:pt>
                <c:pt idx="190">
                  <c:v>58.911000000000001</c:v>
                </c:pt>
                <c:pt idx="191">
                  <c:v>57.363</c:v>
                </c:pt>
                <c:pt idx="192">
                  <c:v>57.114000000000004</c:v>
                </c:pt>
                <c:pt idx="193">
                  <c:v>56.823</c:v>
                </c:pt>
                <c:pt idx="194">
                  <c:v>56.228000000000002</c:v>
                </c:pt>
                <c:pt idx="195">
                  <c:v>54.372</c:v>
                </c:pt>
                <c:pt idx="196">
                  <c:v>55.953000000000003</c:v>
                </c:pt>
                <c:pt idx="197">
                  <c:v>55.46</c:v>
                </c:pt>
                <c:pt idx="198">
                  <c:v>56.459000000000003</c:v>
                </c:pt>
                <c:pt idx="199">
                  <c:v>46.655000000000001</c:v>
                </c:pt>
                <c:pt idx="200">
                  <c:v>46.198999999999998</c:v>
                </c:pt>
                <c:pt idx="201">
                  <c:v>54.633000000000003</c:v>
                </c:pt>
                <c:pt idx="202">
                  <c:v>44.112000000000002</c:v>
                </c:pt>
                <c:pt idx="203">
                  <c:v>50.689</c:v>
                </c:pt>
                <c:pt idx="204">
                  <c:v>54.873000000000005</c:v>
                </c:pt>
                <c:pt idx="205">
                  <c:v>27.963000000000001</c:v>
                </c:pt>
                <c:pt idx="206">
                  <c:v>59.298000000000002</c:v>
                </c:pt>
                <c:pt idx="207">
                  <c:v>59.338000000000001</c:v>
                </c:pt>
                <c:pt idx="208">
                  <c:v>46.264000000000003</c:v>
                </c:pt>
                <c:pt idx="209">
                  <c:v>33.042999999999999</c:v>
                </c:pt>
                <c:pt idx="210">
                  <c:v>51.105000000000004</c:v>
                </c:pt>
                <c:pt idx="211">
                  <c:v>56.743000000000002</c:v>
                </c:pt>
                <c:pt idx="212">
                  <c:v>56.358000000000004</c:v>
                </c:pt>
                <c:pt idx="213">
                  <c:v>56.346000000000004</c:v>
                </c:pt>
                <c:pt idx="214">
                  <c:v>53.209000000000003</c:v>
                </c:pt>
                <c:pt idx="215">
                  <c:v>52.42</c:v>
                </c:pt>
                <c:pt idx="216">
                  <c:v>47.603999999999999</c:v>
                </c:pt>
                <c:pt idx="217">
                  <c:v>52.271999999999998</c:v>
                </c:pt>
                <c:pt idx="218">
                  <c:v>55.006</c:v>
                </c:pt>
                <c:pt idx="219">
                  <c:v>55.469000000000001</c:v>
                </c:pt>
                <c:pt idx="220">
                  <c:v>53.387</c:v>
                </c:pt>
                <c:pt idx="221">
                  <c:v>50.448999999999998</c:v>
                </c:pt>
                <c:pt idx="222">
                  <c:v>48.783000000000001</c:v>
                </c:pt>
                <c:pt idx="223">
                  <c:v>49.753</c:v>
                </c:pt>
                <c:pt idx="224">
                  <c:v>37.442999999999998</c:v>
                </c:pt>
                <c:pt idx="225">
                  <c:v>35.541000000000004</c:v>
                </c:pt>
                <c:pt idx="226">
                  <c:v>40.261000000000003</c:v>
                </c:pt>
                <c:pt idx="227">
                  <c:v>37.238</c:v>
                </c:pt>
                <c:pt idx="228">
                  <c:v>29.876000000000001</c:v>
                </c:pt>
                <c:pt idx="229">
                  <c:v>37.905000000000001</c:v>
                </c:pt>
                <c:pt idx="230">
                  <c:v>43.177</c:v>
                </c:pt>
                <c:pt idx="231">
                  <c:v>51.850999999999999</c:v>
                </c:pt>
                <c:pt idx="232">
                  <c:v>35.024999999999999</c:v>
                </c:pt>
                <c:pt idx="233">
                  <c:v>27.914000000000001</c:v>
                </c:pt>
                <c:pt idx="234">
                  <c:v>50.622999999999998</c:v>
                </c:pt>
                <c:pt idx="235">
                  <c:v>48.261000000000003</c:v>
                </c:pt>
                <c:pt idx="236">
                  <c:v>33.835999999999999</c:v>
                </c:pt>
                <c:pt idx="237">
                  <c:v>44.933999999999997</c:v>
                </c:pt>
                <c:pt idx="238">
                  <c:v>51.1</c:v>
                </c:pt>
                <c:pt idx="239">
                  <c:v>49.988</c:v>
                </c:pt>
                <c:pt idx="240">
                  <c:v>34.204999999999998</c:v>
                </c:pt>
                <c:pt idx="241">
                  <c:v>49.657000000000004</c:v>
                </c:pt>
                <c:pt idx="242">
                  <c:v>25.649000000000001</c:v>
                </c:pt>
                <c:pt idx="243">
                  <c:v>41.984999999999999</c:v>
                </c:pt>
                <c:pt idx="244">
                  <c:v>40.407000000000004</c:v>
                </c:pt>
                <c:pt idx="245">
                  <c:v>39.450000000000003</c:v>
                </c:pt>
                <c:pt idx="246">
                  <c:v>47.679000000000002</c:v>
                </c:pt>
                <c:pt idx="247">
                  <c:v>41.675000000000004</c:v>
                </c:pt>
                <c:pt idx="248">
                  <c:v>47.161000000000001</c:v>
                </c:pt>
                <c:pt idx="249">
                  <c:v>37.542999999999999</c:v>
                </c:pt>
                <c:pt idx="250">
                  <c:v>36.487000000000002</c:v>
                </c:pt>
                <c:pt idx="251">
                  <c:v>24.437000000000001</c:v>
                </c:pt>
                <c:pt idx="252">
                  <c:v>48.338000000000001</c:v>
                </c:pt>
                <c:pt idx="253">
                  <c:v>47.743000000000002</c:v>
                </c:pt>
                <c:pt idx="254">
                  <c:v>34.654000000000003</c:v>
                </c:pt>
                <c:pt idx="255">
                  <c:v>14.71</c:v>
                </c:pt>
                <c:pt idx="256">
                  <c:v>36.887</c:v>
                </c:pt>
                <c:pt idx="257">
                  <c:v>42.246000000000002</c:v>
                </c:pt>
                <c:pt idx="258">
                  <c:v>33.753999999999998</c:v>
                </c:pt>
                <c:pt idx="259">
                  <c:v>47.167499999999997</c:v>
                </c:pt>
                <c:pt idx="260">
                  <c:v>47.160000000000004</c:v>
                </c:pt>
                <c:pt idx="261">
                  <c:v>46.52</c:v>
                </c:pt>
                <c:pt idx="262">
                  <c:v>48.291000000000004</c:v>
                </c:pt>
                <c:pt idx="263">
                  <c:v>47.048000000000002</c:v>
                </c:pt>
                <c:pt idx="264">
                  <c:v>45.527000000000001</c:v>
                </c:pt>
                <c:pt idx="265">
                  <c:v>28.896000000000001</c:v>
                </c:pt>
                <c:pt idx="266">
                  <c:v>17.504000000000001</c:v>
                </c:pt>
                <c:pt idx="267">
                  <c:v>36.862000000000002</c:v>
                </c:pt>
                <c:pt idx="268">
                  <c:v>33.750999999999998</c:v>
                </c:pt>
                <c:pt idx="269">
                  <c:v>17.897000000000002</c:v>
                </c:pt>
                <c:pt idx="270">
                  <c:v>20.285</c:v>
                </c:pt>
                <c:pt idx="271">
                  <c:v>24.373000000000001</c:v>
                </c:pt>
                <c:pt idx="272">
                  <c:v>28.923000000000002</c:v>
                </c:pt>
                <c:pt idx="273">
                  <c:v>37.792000000000002</c:v>
                </c:pt>
                <c:pt idx="274">
                  <c:v>40.298000000000002</c:v>
                </c:pt>
                <c:pt idx="275">
                  <c:v>38.902000000000001</c:v>
                </c:pt>
                <c:pt idx="276">
                  <c:v>42.853000000000002</c:v>
                </c:pt>
                <c:pt idx="277">
                  <c:v>43.69</c:v>
                </c:pt>
                <c:pt idx="278">
                  <c:v>12.069000000000001</c:v>
                </c:pt>
                <c:pt idx="279">
                  <c:v>30.315999999999999</c:v>
                </c:pt>
                <c:pt idx="280">
                  <c:v>17.495999999999999</c:v>
                </c:pt>
                <c:pt idx="281">
                  <c:v>39.948</c:v>
                </c:pt>
                <c:pt idx="282">
                  <c:v>32.070999999999998</c:v>
                </c:pt>
                <c:pt idx="283">
                  <c:v>23.327000000000002</c:v>
                </c:pt>
                <c:pt idx="284">
                  <c:v>28.952999999999999</c:v>
                </c:pt>
                <c:pt idx="285">
                  <c:v>24.242000000000001</c:v>
                </c:pt>
                <c:pt idx="286">
                  <c:v>18.844000000000001</c:v>
                </c:pt>
                <c:pt idx="287">
                  <c:v>38.721000000000004</c:v>
                </c:pt>
                <c:pt idx="288">
                  <c:v>34.176000000000002</c:v>
                </c:pt>
                <c:pt idx="289">
                  <c:v>20.289000000000001</c:v>
                </c:pt>
                <c:pt idx="290">
                  <c:v>35.789000000000001</c:v>
                </c:pt>
                <c:pt idx="291">
                  <c:v>16.635000000000002</c:v>
                </c:pt>
                <c:pt idx="292">
                  <c:v>7.0049999999999999</c:v>
                </c:pt>
                <c:pt idx="293">
                  <c:v>17.048000000000002</c:v>
                </c:pt>
                <c:pt idx="294">
                  <c:v>34.442999999999998</c:v>
                </c:pt>
                <c:pt idx="295">
                  <c:v>17.702000000000002</c:v>
                </c:pt>
                <c:pt idx="296">
                  <c:v>26.190999999999999</c:v>
                </c:pt>
                <c:pt idx="297">
                  <c:v>23.157</c:v>
                </c:pt>
                <c:pt idx="298">
                  <c:v>12.909000000000001</c:v>
                </c:pt>
                <c:pt idx="299">
                  <c:v>14.934000000000001</c:v>
                </c:pt>
                <c:pt idx="300">
                  <c:v>17.965</c:v>
                </c:pt>
                <c:pt idx="301">
                  <c:v>27.901</c:v>
                </c:pt>
                <c:pt idx="302">
                  <c:v>23.988</c:v>
                </c:pt>
                <c:pt idx="303">
                  <c:v>22.815999999999999</c:v>
                </c:pt>
                <c:pt idx="304">
                  <c:v>20.225999999999999</c:v>
                </c:pt>
                <c:pt idx="305">
                  <c:v>30.006</c:v>
                </c:pt>
                <c:pt idx="306">
                  <c:v>10.532999999999999</c:v>
                </c:pt>
                <c:pt idx="307">
                  <c:v>18.190999999999999</c:v>
                </c:pt>
                <c:pt idx="308">
                  <c:v>30.987000000000002</c:v>
                </c:pt>
                <c:pt idx="309">
                  <c:v>30.943000000000001</c:v>
                </c:pt>
                <c:pt idx="310">
                  <c:v>29.025000000000002</c:v>
                </c:pt>
                <c:pt idx="311">
                  <c:v>20.931000000000001</c:v>
                </c:pt>
                <c:pt idx="312">
                  <c:v>10.31</c:v>
                </c:pt>
                <c:pt idx="313">
                  <c:v>20.817</c:v>
                </c:pt>
                <c:pt idx="314">
                  <c:v>28.475999999999999</c:v>
                </c:pt>
                <c:pt idx="315">
                  <c:v>28.042000000000002</c:v>
                </c:pt>
                <c:pt idx="316">
                  <c:v>26.969000000000001</c:v>
                </c:pt>
                <c:pt idx="317">
                  <c:v>9.9860000000000007</c:v>
                </c:pt>
                <c:pt idx="318">
                  <c:v>12.814</c:v>
                </c:pt>
                <c:pt idx="319">
                  <c:v>27.589000000000002</c:v>
                </c:pt>
                <c:pt idx="320">
                  <c:v>14.124000000000001</c:v>
                </c:pt>
                <c:pt idx="321">
                  <c:v>16.167999999999999</c:v>
                </c:pt>
                <c:pt idx="322">
                  <c:v>7.3890000000000002</c:v>
                </c:pt>
                <c:pt idx="323">
                  <c:v>16.260000000000002</c:v>
                </c:pt>
                <c:pt idx="324">
                  <c:v>3.266</c:v>
                </c:pt>
                <c:pt idx="325">
                  <c:v>8.08</c:v>
                </c:pt>
                <c:pt idx="326">
                  <c:v>13.551</c:v>
                </c:pt>
                <c:pt idx="327">
                  <c:v>14.221</c:v>
                </c:pt>
                <c:pt idx="328">
                  <c:v>4.9279999999999999</c:v>
                </c:pt>
                <c:pt idx="329">
                  <c:v>11.324</c:v>
                </c:pt>
                <c:pt idx="330">
                  <c:v>14.907</c:v>
                </c:pt>
                <c:pt idx="331">
                  <c:v>10.815</c:v>
                </c:pt>
                <c:pt idx="332">
                  <c:v>15.750999999999999</c:v>
                </c:pt>
                <c:pt idx="333">
                  <c:v>4.1159999999999997</c:v>
                </c:pt>
                <c:pt idx="334">
                  <c:v>3.8959999999999999</c:v>
                </c:pt>
                <c:pt idx="335">
                  <c:v>5.8529999999999998</c:v>
                </c:pt>
                <c:pt idx="336">
                  <c:v>9.8090000000000011</c:v>
                </c:pt>
                <c:pt idx="337">
                  <c:v>17.988</c:v>
                </c:pt>
                <c:pt idx="338">
                  <c:v>23.846</c:v>
                </c:pt>
                <c:pt idx="339">
                  <c:v>11.722</c:v>
                </c:pt>
                <c:pt idx="340">
                  <c:v>21.122</c:v>
                </c:pt>
                <c:pt idx="341">
                  <c:v>4.242</c:v>
                </c:pt>
                <c:pt idx="342">
                  <c:v>5.1770000000000005</c:v>
                </c:pt>
                <c:pt idx="343">
                  <c:v>12.532</c:v>
                </c:pt>
                <c:pt idx="344">
                  <c:v>17.931000000000001</c:v>
                </c:pt>
                <c:pt idx="345">
                  <c:v>5.48</c:v>
                </c:pt>
                <c:pt idx="346">
                  <c:v>5.548</c:v>
                </c:pt>
                <c:pt idx="347">
                  <c:v>17.715</c:v>
                </c:pt>
                <c:pt idx="348">
                  <c:v>6.0540000000000003</c:v>
                </c:pt>
                <c:pt idx="349">
                  <c:v>5.3470000000000004</c:v>
                </c:pt>
                <c:pt idx="350">
                  <c:v>3.625</c:v>
                </c:pt>
                <c:pt idx="351">
                  <c:v>21.623000000000001</c:v>
                </c:pt>
                <c:pt idx="352">
                  <c:v>18.400000000000002</c:v>
                </c:pt>
                <c:pt idx="353">
                  <c:v>4.6900000000000004</c:v>
                </c:pt>
                <c:pt idx="354">
                  <c:v>21.472999999999999</c:v>
                </c:pt>
                <c:pt idx="355">
                  <c:v>18.155000000000001</c:v>
                </c:pt>
                <c:pt idx="356">
                  <c:v>18.399000000000001</c:v>
                </c:pt>
                <c:pt idx="357">
                  <c:v>21.867000000000001</c:v>
                </c:pt>
                <c:pt idx="358">
                  <c:v>12.354000000000001</c:v>
                </c:pt>
                <c:pt idx="359">
                  <c:v>21.358000000000001</c:v>
                </c:pt>
                <c:pt idx="360">
                  <c:v>7.2370000000000001</c:v>
                </c:pt>
                <c:pt idx="361">
                  <c:v>22.466999999999999</c:v>
                </c:pt>
                <c:pt idx="362">
                  <c:v>10.670999999999999</c:v>
                </c:pt>
                <c:pt idx="363">
                  <c:v>14.458</c:v>
                </c:pt>
                <c:pt idx="364">
                  <c:v>11.962</c:v>
                </c:pt>
                <c:pt idx="365">
                  <c:v>4.5395500000000002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'2022'!$W$15:$W$379</c:f>
              <c:numCache>
                <c:formatCode>0.00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67552"/>
        <c:axId val="373567944"/>
      </c:lineChart>
      <c:dateAx>
        <c:axId val="37356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567944"/>
        <c:crosses val="autoZero"/>
        <c:auto val="1"/>
        <c:lblOffset val="100"/>
        <c:baseTimeUnit val="days"/>
        <c:majorUnit val="1"/>
        <c:majorTimeUnit val="months"/>
      </c:dateAx>
      <c:valAx>
        <c:axId val="3735679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5675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23.44080698870216</c:v>
                </c:pt>
                <c:pt idx="1">
                  <c:v>23.58563504322457</c:v>
                </c:pt>
                <c:pt idx="2">
                  <c:v>23.73986879944113</c:v>
                </c:pt>
                <c:pt idx="3">
                  <c:v>23.903022976336182</c:v>
                </c:pt>
                <c:pt idx="4">
                  <c:v>24.074612422242737</c:v>
                </c:pt>
                <c:pt idx="5">
                  <c:v>24.2541521121668</c:v>
                </c:pt>
                <c:pt idx="6">
                  <c:v>24.441157162281776</c:v>
                </c:pt>
                <c:pt idx="7">
                  <c:v>24.635142837727134</c:v>
                </c:pt>
                <c:pt idx="8">
                  <c:v>24.838636258240662</c:v>
                </c:pt>
                <c:pt idx="9">
                  <c:v>25.053929327287989</c:v>
                </c:pt>
                <c:pt idx="10">
                  <c:v>25.280194622432631</c:v>
                </c:pt>
                <c:pt idx="11">
                  <c:v>25.516632714932733</c:v>
                </c:pt>
                <c:pt idx="12">
                  <c:v>25.762444491345288</c:v>
                </c:pt>
                <c:pt idx="13">
                  <c:v>26.016831170953047</c:v>
                </c:pt>
                <c:pt idx="14">
                  <c:v>26.278994303078921</c:v>
                </c:pt>
                <c:pt idx="15">
                  <c:v>26.548193093959384</c:v>
                </c:pt>
                <c:pt idx="16">
                  <c:v>26.823704573149307</c:v>
                </c:pt>
                <c:pt idx="17">
                  <c:v>27.10473126493121</c:v>
                </c:pt>
                <c:pt idx="18">
                  <c:v>27.390476049017963</c:v>
                </c:pt>
                <c:pt idx="19">
                  <c:v>27.680141928054745</c:v>
                </c:pt>
                <c:pt idx="20">
                  <c:v>27.972932159728817</c:v>
                </c:pt>
                <c:pt idx="21">
                  <c:v>28.268050556579738</c:v>
                </c:pt>
                <c:pt idx="22">
                  <c:v>28.568693196075753</c:v>
                </c:pt>
                <c:pt idx="23">
                  <c:v>28.87796209165359</c:v>
                </c:pt>
                <c:pt idx="24">
                  <c:v>29.194953990578615</c:v>
                </c:pt>
                <c:pt idx="25">
                  <c:v>29.51874113139851</c:v>
                </c:pt>
                <c:pt idx="26">
                  <c:v>29.848396200984656</c:v>
                </c:pt>
                <c:pt idx="27">
                  <c:v>30.182992343321413</c:v>
                </c:pt>
                <c:pt idx="28">
                  <c:v>30.521603154393933</c:v>
                </c:pt>
                <c:pt idx="29">
                  <c:v>30.863285595445838</c:v>
                </c:pt>
                <c:pt idx="30">
                  <c:v>31.207056950903613</c:v>
                </c:pt>
                <c:pt idx="31">
                  <c:v>31.551992185630041</c:v>
                </c:pt>
                <c:pt idx="32">
                  <c:v>31.897166719878474</c:v>
                </c:pt>
                <c:pt idx="33">
                  <c:v>32.241656421551127</c:v>
                </c:pt>
                <c:pt idx="34">
                  <c:v>32.584537609970205</c:v>
                </c:pt>
                <c:pt idx="35">
                  <c:v>32.924887053456139</c:v>
                </c:pt>
                <c:pt idx="36">
                  <c:v>33.264313897580116</c:v>
                </c:pt>
                <c:pt idx="37">
                  <c:v>33.604995707447742</c:v>
                </c:pt>
                <c:pt idx="38">
                  <c:v>33.946835279147152</c:v>
                </c:pt>
                <c:pt idx="39">
                  <c:v>34.289729850517737</c:v>
                </c:pt>
                <c:pt idx="40">
                  <c:v>34.633576725140266</c:v>
                </c:pt>
                <c:pt idx="41">
                  <c:v>34.978273269704978</c:v>
                </c:pt>
                <c:pt idx="42">
                  <c:v>35.323716910343492</c:v>
                </c:pt>
                <c:pt idx="43">
                  <c:v>35.669818250117409</c:v>
                </c:pt>
                <c:pt idx="44">
                  <c:v>36.016491992662196</c:v>
                </c:pt>
                <c:pt idx="45">
                  <c:v>36.363635755957596</c:v>
                </c:pt>
                <c:pt idx="46">
                  <c:v>36.711147206185558</c:v>
                </c:pt>
                <c:pt idx="47">
                  <c:v>37.058924052053776</c:v>
                </c:pt>
                <c:pt idx="48">
                  <c:v>37.406864041609282</c:v>
                </c:pt>
                <c:pt idx="49">
                  <c:v>37.754864956820164</c:v>
                </c:pt>
                <c:pt idx="50">
                  <c:v>38.103080814455701</c:v>
                </c:pt>
                <c:pt idx="51">
                  <c:v>38.451722523172883</c:v>
                </c:pt>
                <c:pt idx="52">
                  <c:v>38.800768408132981</c:v>
                </c:pt>
                <c:pt idx="53">
                  <c:v>39.150218635679366</c:v>
                </c:pt>
                <c:pt idx="54">
                  <c:v>39.500073210721105</c:v>
                </c:pt>
                <c:pt idx="55">
                  <c:v>39.850332095490479</c:v>
                </c:pt>
                <c:pt idx="56">
                  <c:v>40.200995205988534</c:v>
                </c:pt>
                <c:pt idx="57">
                  <c:v>40.552040318502385</c:v>
                </c:pt>
                <c:pt idx="58">
                  <c:v>40.903454011612816</c:v>
                </c:pt>
                <c:pt idx="59">
                  <c:v>41.255235997728846</c:v>
                </c:pt>
                <c:pt idx="60">
                  <c:v>41.607385932294953</c:v>
                </c:pt>
                <c:pt idx="61">
                  <c:v>41.959903411399893</c:v>
                </c:pt>
                <c:pt idx="62">
                  <c:v>42.312787970335087</c:v>
                </c:pt>
                <c:pt idx="63">
                  <c:v>42.666039080586479</c:v>
                </c:pt>
                <c:pt idx="64">
                  <c:v>43.020764605482341</c:v>
                </c:pt>
                <c:pt idx="65">
                  <c:v>43.377720329740932</c:v>
                </c:pt>
                <c:pt idx="66">
                  <c:v>43.736404813495156</c:v>
                </c:pt>
                <c:pt idx="67">
                  <c:v>44.096305371123698</c:v>
                </c:pt>
                <c:pt idx="68">
                  <c:v>44.456909476686242</c:v>
                </c:pt>
                <c:pt idx="69">
                  <c:v>44.817704763205455</c:v>
                </c:pt>
                <c:pt idx="70">
                  <c:v>45.178179021199789</c:v>
                </c:pt>
                <c:pt idx="71">
                  <c:v>45.53781909676394</c:v>
                </c:pt>
                <c:pt idx="72">
                  <c:v>45.896135383154515</c:v>
                </c:pt>
                <c:pt idx="73">
                  <c:v>46.252616201088273</c:v>
                </c:pt>
                <c:pt idx="74">
                  <c:v>46.606750037118616</c:v>
                </c:pt>
                <c:pt idx="75">
                  <c:v>46.958025549237995</c:v>
                </c:pt>
                <c:pt idx="76">
                  <c:v>47.305931565123906</c:v>
                </c:pt>
                <c:pt idx="77">
                  <c:v>47.649957086634657</c:v>
                </c:pt>
                <c:pt idx="78">
                  <c:v>47.992638978817091</c:v>
                </c:pt>
                <c:pt idx="79">
                  <c:v>48.336305203823422</c:v>
                </c:pt>
                <c:pt idx="80">
                  <c:v>48.680147568721253</c:v>
                </c:pt>
                <c:pt idx="81">
                  <c:v>49.023347576093194</c:v>
                </c:pt>
                <c:pt idx="82">
                  <c:v>49.365087060901388</c:v>
                </c:pt>
                <c:pt idx="83">
                  <c:v>49.704548195753745</c:v>
                </c:pt>
                <c:pt idx="84">
                  <c:v>50.040913496927246</c:v>
                </c:pt>
                <c:pt idx="85">
                  <c:v>50.373362247085886</c:v>
                </c:pt>
                <c:pt idx="86">
                  <c:v>50.701078777833978</c:v>
                </c:pt>
                <c:pt idx="87">
                  <c:v>51.02324664870816</c:v>
                </c:pt>
                <c:pt idx="88">
                  <c:v>51.339049790424333</c:v>
                </c:pt>
                <c:pt idx="89">
                  <c:v>51.64767250480147</c:v>
                </c:pt>
                <c:pt idx="90">
                  <c:v>51.948299478870403</c:v>
                </c:pt>
                <c:pt idx="91">
                  <c:v>52.240115788738215</c:v>
                </c:pt>
                <c:pt idx="92">
                  <c:v>52.524567702905529</c:v>
                </c:pt>
                <c:pt idx="93">
                  <c:v>52.803576551206035</c:v>
                </c:pt>
                <c:pt idx="94">
                  <c:v>53.077044111620225</c:v>
                </c:pt>
                <c:pt idx="95">
                  <c:v>53.344868747097365</c:v>
                </c:pt>
                <c:pt idx="96">
                  <c:v>53.606948893263365</c:v>
                </c:pt>
                <c:pt idx="97">
                  <c:v>53.86318306256674</c:v>
                </c:pt>
                <c:pt idx="98">
                  <c:v>54.113469846232178</c:v>
                </c:pt>
                <c:pt idx="99">
                  <c:v>54.357707382711233</c:v>
                </c:pt>
                <c:pt idx="100">
                  <c:v>54.595798263342353</c:v>
                </c:pt>
                <c:pt idx="101">
                  <c:v>54.827641420060033</c:v>
                </c:pt>
                <c:pt idx="102">
                  <c:v>55.053135887428304</c:v>
                </c:pt>
                <c:pt idx="103">
                  <c:v>55.272180816337524</c:v>
                </c:pt>
                <c:pt idx="104">
                  <c:v>55.484675471587224</c:v>
                </c:pt>
                <c:pt idx="105">
                  <c:v>55.690519243096205</c:v>
                </c:pt>
                <c:pt idx="106">
                  <c:v>55.889866178707535</c:v>
                </c:pt>
                <c:pt idx="107">
                  <c:v>56.08293613999507</c:v>
                </c:pt>
                <c:pt idx="108">
                  <c:v>56.269730619163688</c:v>
                </c:pt>
                <c:pt idx="109">
                  <c:v>56.450251010321765</c:v>
                </c:pt>
                <c:pt idx="110">
                  <c:v>56.624498781260854</c:v>
                </c:pt>
                <c:pt idx="111">
                  <c:v>56.792475493630349</c:v>
                </c:pt>
                <c:pt idx="112">
                  <c:v>56.954182824638757</c:v>
                </c:pt>
                <c:pt idx="113">
                  <c:v>57.109620867931845</c:v>
                </c:pt>
                <c:pt idx="114">
                  <c:v>57.258792061614344</c:v>
                </c:pt>
                <c:pt idx="115">
                  <c:v>57.401698368773985</c:v>
                </c:pt>
                <c:pt idx="116">
                  <c:v>57.538341871112635</c:v>
                </c:pt>
                <c:pt idx="117">
                  <c:v>57.668724771331583</c:v>
                </c:pt>
                <c:pt idx="118">
                  <c:v>57.79284940218119</c:v>
                </c:pt>
                <c:pt idx="119">
                  <c:v>57.910718220397641</c:v>
                </c:pt>
                <c:pt idx="120">
                  <c:v>58.021453115708709</c:v>
                </c:pt>
                <c:pt idx="121">
                  <c:v>58.124445019267647</c:v>
                </c:pt>
                <c:pt idx="122">
                  <c:v>58.220106102392258</c:v>
                </c:pt>
                <c:pt idx="123">
                  <c:v>58.308846154690904</c:v>
                </c:pt>
                <c:pt idx="124">
                  <c:v>58.391074893179237</c:v>
                </c:pt>
                <c:pt idx="125">
                  <c:v>58.467201951249365</c:v>
                </c:pt>
                <c:pt idx="126">
                  <c:v>58.537636884267641</c:v>
                </c:pt>
                <c:pt idx="127">
                  <c:v>58.602789840241378</c:v>
                </c:pt>
                <c:pt idx="128">
                  <c:v>58.663072257977035</c:v>
                </c:pt>
                <c:pt idx="129">
                  <c:v>58.718893545780993</c:v>
                </c:pt>
                <c:pt idx="130">
                  <c:v>58.770663027079181</c:v>
                </c:pt>
                <c:pt idx="131">
                  <c:v>58.818789940972586</c:v>
                </c:pt>
                <c:pt idx="132">
                  <c:v>58.863683434230857</c:v>
                </c:pt>
                <c:pt idx="133">
                  <c:v>58.90575255849555</c:v>
                </c:pt>
                <c:pt idx="134">
                  <c:v>58.943952710900945</c:v>
                </c:pt>
                <c:pt idx="135">
                  <c:v>58.97710596717495</c:v>
                </c:pt>
                <c:pt idx="136">
                  <c:v>59.005422822413557</c:v>
                </c:pt>
                <c:pt idx="137">
                  <c:v>59.029110838907926</c:v>
                </c:pt>
                <c:pt idx="138">
                  <c:v>59.048377588617974</c:v>
                </c:pt>
                <c:pt idx="139">
                  <c:v>59.063430649177782</c:v>
                </c:pt>
                <c:pt idx="140">
                  <c:v>59.074477596971192</c:v>
                </c:pt>
                <c:pt idx="141">
                  <c:v>59.08172386167422</c:v>
                </c:pt>
                <c:pt idx="142">
                  <c:v>59.085376103385357</c:v>
                </c:pt>
                <c:pt idx="143">
                  <c:v>59.085641730838965</c:v>
                </c:pt>
                <c:pt idx="144">
                  <c:v>59.082728077486934</c:v>
                </c:pt>
                <c:pt idx="145">
                  <c:v>59.076842420122986</c:v>
                </c:pt>
                <c:pt idx="146">
                  <c:v>59.068191962240277</c:v>
                </c:pt>
                <c:pt idx="147">
                  <c:v>59.05698382206819</c:v>
                </c:pt>
                <c:pt idx="148">
                  <c:v>59.042042059881773</c:v>
                </c:pt>
                <c:pt idx="149">
                  <c:v>59.022325906069682</c:v>
                </c:pt>
                <c:pt idx="150">
                  <c:v>58.998244356036032</c:v>
                </c:pt>
                <c:pt idx="151">
                  <c:v>58.970207404005642</c:v>
                </c:pt>
                <c:pt idx="152">
                  <c:v>58.938624763814119</c:v>
                </c:pt>
                <c:pt idx="153">
                  <c:v>58.903905854702565</c:v>
                </c:pt>
                <c:pt idx="154">
                  <c:v>58.866459785969177</c:v>
                </c:pt>
                <c:pt idx="155">
                  <c:v>58.826692648393283</c:v>
                </c:pt>
                <c:pt idx="156">
                  <c:v>58.785015349842325</c:v>
                </c:pt>
                <c:pt idx="157">
                  <c:v>58.741835990903041</c:v>
                </c:pt>
                <c:pt idx="158">
                  <c:v>58.697562316595402</c:v>
                </c:pt>
                <c:pt idx="159">
                  <c:v>58.652601709452156</c:v>
                </c:pt>
                <c:pt idx="160">
                  <c:v>58.607361179217676</c:v>
                </c:pt>
                <c:pt idx="161">
                  <c:v>58.562247355825164</c:v>
                </c:pt>
                <c:pt idx="162">
                  <c:v>58.516656704796411</c:v>
                </c:pt>
                <c:pt idx="163">
                  <c:v>58.469714429592571</c:v>
                </c:pt>
                <c:pt idx="164">
                  <c:v>58.42142367971784</c:v>
                </c:pt>
                <c:pt idx="165">
                  <c:v>58.371786881307791</c:v>
                </c:pt>
                <c:pt idx="166">
                  <c:v>58.320806275243363</c:v>
                </c:pt>
                <c:pt idx="167">
                  <c:v>58.268483908476732</c:v>
                </c:pt>
                <c:pt idx="168">
                  <c:v>58.214821632171194</c:v>
                </c:pt>
                <c:pt idx="169">
                  <c:v>58.159818739832637</c:v>
                </c:pt>
                <c:pt idx="170">
                  <c:v>58.103479775322683</c:v>
                </c:pt>
                <c:pt idx="171">
                  <c:v>58.045806002316183</c:v>
                </c:pt>
                <c:pt idx="172">
                  <c:v>57.986798476570421</c:v>
                </c:pt>
                <c:pt idx="173">
                  <c:v>57.926458082249063</c:v>
                </c:pt>
                <c:pt idx="174">
                  <c:v>57.864785501336939</c:v>
                </c:pt>
                <c:pt idx="175">
                  <c:v>57.801781181803243</c:v>
                </c:pt>
                <c:pt idx="176">
                  <c:v>57.737445376328694</c:v>
                </c:pt>
                <c:pt idx="177">
                  <c:v>57.671774808132618</c:v>
                </c:pt>
                <c:pt idx="178">
                  <c:v>57.604771802594279</c:v>
                </c:pt>
                <c:pt idx="179">
                  <c:v>57.536436037872463</c:v>
                </c:pt>
                <c:pt idx="180">
                  <c:v>57.466767022013343</c:v>
                </c:pt>
                <c:pt idx="181">
                  <c:v>57.395764103452905</c:v>
                </c:pt>
                <c:pt idx="182">
                  <c:v>57.323426478408024</c:v>
                </c:pt>
                <c:pt idx="183">
                  <c:v>57.249752561325337</c:v>
                </c:pt>
                <c:pt idx="184">
                  <c:v>57.174743873229936</c:v>
                </c:pt>
                <c:pt idx="185">
                  <c:v>57.098399250268727</c:v>
                </c:pt>
                <c:pt idx="186">
                  <c:v>57.020717421219814</c:v>
                </c:pt>
                <c:pt idx="187">
                  <c:v>56.941697017076066</c:v>
                </c:pt>
                <c:pt idx="188">
                  <c:v>56.861336586826631</c:v>
                </c:pt>
                <c:pt idx="189">
                  <c:v>56.779634607639544</c:v>
                </c:pt>
                <c:pt idx="190">
                  <c:v>56.69702546332541</c:v>
                </c:pt>
                <c:pt idx="191">
                  <c:v>56.613805911686924</c:v>
                </c:pt>
                <c:pt idx="192">
                  <c:v>56.52977644374986</c:v>
                </c:pt>
                <c:pt idx="193">
                  <c:v>56.444734067779819</c:v>
                </c:pt>
                <c:pt idx="194">
                  <c:v>56.358475878645265</c:v>
                </c:pt>
                <c:pt idx="195">
                  <c:v>56.270799067751014</c:v>
                </c:pt>
                <c:pt idx="196">
                  <c:v>56.181500933076968</c:v>
                </c:pt>
                <c:pt idx="197">
                  <c:v>56.090380703129952</c:v>
                </c:pt>
                <c:pt idx="198">
                  <c:v>55.997236602908963</c:v>
                </c:pt>
                <c:pt idx="199">
                  <c:v>55.901866322004452</c:v>
                </c:pt>
                <c:pt idx="200">
                  <c:v>55.804067690036142</c:v>
                </c:pt>
                <c:pt idx="201">
                  <c:v>55.703638682857623</c:v>
                </c:pt>
                <c:pt idx="202">
                  <c:v>55.600377433614391</c:v>
                </c:pt>
                <c:pt idx="203">
                  <c:v>55.494082235650424</c:v>
                </c:pt>
                <c:pt idx="204">
                  <c:v>55.385053809695734</c:v>
                </c:pt>
                <c:pt idx="205">
                  <c:v>55.273727994449075</c:v>
                </c:pt>
                <c:pt idx="206">
                  <c:v>55.160107457618615</c:v>
                </c:pt>
                <c:pt idx="207">
                  <c:v>55.044191617567066</c:v>
                </c:pt>
                <c:pt idx="208">
                  <c:v>54.92597998626497</c:v>
                </c:pt>
                <c:pt idx="209">
                  <c:v>54.805472174532184</c:v>
                </c:pt>
                <c:pt idx="210">
                  <c:v>54.682667890613523</c:v>
                </c:pt>
                <c:pt idx="211">
                  <c:v>54.557561441250819</c:v>
                </c:pt>
                <c:pt idx="212">
                  <c:v>54.430150856433038</c:v>
                </c:pt>
                <c:pt idx="213">
                  <c:v>54.300436114473349</c:v>
                </c:pt>
                <c:pt idx="214">
                  <c:v>54.16841728887379</c:v>
                </c:pt>
                <c:pt idx="215">
                  <c:v>54.034094546960532</c:v>
                </c:pt>
                <c:pt idx="216">
                  <c:v>53.897468147981947</c:v>
                </c:pt>
                <c:pt idx="217">
                  <c:v>53.758538436313174</c:v>
                </c:pt>
                <c:pt idx="218">
                  <c:v>53.617740480869443</c:v>
                </c:pt>
                <c:pt idx="219">
                  <c:v>53.475371244645103</c:v>
                </c:pt>
                <c:pt idx="220">
                  <c:v>53.331229247991125</c:v>
                </c:pt>
                <c:pt idx="221">
                  <c:v>53.185114418148764</c:v>
                </c:pt>
                <c:pt idx="222">
                  <c:v>53.036826827680031</c:v>
                </c:pt>
                <c:pt idx="223">
                  <c:v>52.886166692274912</c:v>
                </c:pt>
                <c:pt idx="224">
                  <c:v>52.732934362942252</c:v>
                </c:pt>
                <c:pt idx="225">
                  <c:v>52.576925472638266</c:v>
                </c:pt>
                <c:pt idx="226">
                  <c:v>52.417946188921015</c:v>
                </c:pt>
                <c:pt idx="227">
                  <c:v>52.255797241465913</c:v>
                </c:pt>
                <c:pt idx="228">
                  <c:v>52.090279473593782</c:v>
                </c:pt>
                <c:pt idx="229">
                  <c:v>51.921193837282125</c:v>
                </c:pt>
                <c:pt idx="230">
                  <c:v>51.748341392774037</c:v>
                </c:pt>
                <c:pt idx="231">
                  <c:v>51.571523297511021</c:v>
                </c:pt>
                <c:pt idx="232">
                  <c:v>51.391041610177183</c:v>
                </c:pt>
                <c:pt idx="233">
                  <c:v>51.207330701840462</c:v>
                </c:pt>
                <c:pt idx="234">
                  <c:v>51.020396273811784</c:v>
                </c:pt>
                <c:pt idx="235">
                  <c:v>50.830239717058404</c:v>
                </c:pt>
                <c:pt idx="236">
                  <c:v>50.6368624274008</c:v>
                </c:pt>
                <c:pt idx="237">
                  <c:v>50.440265818527038</c:v>
                </c:pt>
                <c:pt idx="238">
                  <c:v>50.240451310621147</c:v>
                </c:pt>
                <c:pt idx="239">
                  <c:v>50.03741935511492</c:v>
                </c:pt>
                <c:pt idx="240">
                  <c:v>49.831176232930183</c:v>
                </c:pt>
                <c:pt idx="241">
                  <c:v>49.621723380654814</c:v>
                </c:pt>
                <c:pt idx="242">
                  <c:v>49.409062246436015</c:v>
                </c:pt>
                <c:pt idx="243">
                  <c:v>49.193194285850829</c:v>
                </c:pt>
                <c:pt idx="244">
                  <c:v>48.974120965657242</c:v>
                </c:pt>
                <c:pt idx="245">
                  <c:v>48.751843762460005</c:v>
                </c:pt>
                <c:pt idx="246">
                  <c:v>48.526364168549165</c:v>
                </c:pt>
                <c:pt idx="247">
                  <c:v>48.297673485695775</c:v>
                </c:pt>
                <c:pt idx="248">
                  <c:v>48.06577436073723</c:v>
                </c:pt>
                <c:pt idx="249">
                  <c:v>47.830668352664588</c:v>
                </c:pt>
                <c:pt idx="250">
                  <c:v>47.592357042448242</c:v>
                </c:pt>
                <c:pt idx="251">
                  <c:v>47.350842029091091</c:v>
                </c:pt>
                <c:pt idx="252">
                  <c:v>47.106124931237332</c:v>
                </c:pt>
                <c:pt idx="253">
                  <c:v>46.858197697568713</c:v>
                </c:pt>
                <c:pt idx="254">
                  <c:v>46.607062993243524</c:v>
                </c:pt>
                <c:pt idx="255">
                  <c:v>46.35272253166719</c:v>
                </c:pt>
                <c:pt idx="256">
                  <c:v>46.095178044737018</c:v>
                </c:pt>
                <c:pt idx="257">
                  <c:v>45.834431280654904</c:v>
                </c:pt>
                <c:pt idx="258">
                  <c:v>45.570483999807756</c:v>
                </c:pt>
                <c:pt idx="259">
                  <c:v>45.303337975482144</c:v>
                </c:pt>
                <c:pt idx="260">
                  <c:v>45.032778536697904</c:v>
                </c:pt>
                <c:pt idx="261">
                  <c:v>44.758653897133762</c:v>
                </c:pt>
                <c:pt idx="262">
                  <c:v>44.481075802687485</c:v>
                </c:pt>
                <c:pt idx="263">
                  <c:v>44.200145913494673</c:v>
                </c:pt>
                <c:pt idx="264">
                  <c:v>43.915965834542909</c:v>
                </c:pt>
                <c:pt idx="265">
                  <c:v>43.628636971121701</c:v>
                </c:pt>
                <c:pt idx="266">
                  <c:v>43.338260717673556</c:v>
                </c:pt>
                <c:pt idx="267">
                  <c:v>43.044903930977583</c:v>
                </c:pt>
                <c:pt idx="268">
                  <c:v>42.748677636507352</c:v>
                </c:pt>
                <c:pt idx="269">
                  <c:v>42.449683325629515</c:v>
                </c:pt>
                <c:pt idx="270">
                  <c:v>42.148022412991217</c:v>
                </c:pt>
                <c:pt idx="271">
                  <c:v>41.843796235020029</c:v>
                </c:pt>
                <c:pt idx="272">
                  <c:v>41.537106038036541</c:v>
                </c:pt>
                <c:pt idx="273">
                  <c:v>41.228052975862624</c:v>
                </c:pt>
                <c:pt idx="274">
                  <c:v>40.915191347532577</c:v>
                </c:pt>
                <c:pt idx="275">
                  <c:v>40.597352959494565</c:v>
                </c:pt>
                <c:pt idx="276">
                  <c:v>40.275142383960826</c:v>
                </c:pt>
                <c:pt idx="277">
                  <c:v>39.949160311887766</c:v>
                </c:pt>
                <c:pt idx="278">
                  <c:v>39.620007206551364</c:v>
                </c:pt>
                <c:pt idx="279">
                  <c:v>39.288283309440637</c:v>
                </c:pt>
                <c:pt idx="280">
                  <c:v>38.954588638654442</c:v>
                </c:pt>
                <c:pt idx="281">
                  <c:v>38.619491805608774</c:v>
                </c:pt>
                <c:pt idx="282">
                  <c:v>38.283625453380701</c:v>
                </c:pt>
                <c:pt idx="283">
                  <c:v>37.947588940470808</c:v>
                </c:pt>
                <c:pt idx="284">
                  <c:v>37.611981408657108</c:v>
                </c:pt>
                <c:pt idx="285">
                  <c:v>37.277401787314865</c:v>
                </c:pt>
                <c:pt idx="286">
                  <c:v>36.944448794495443</c:v>
                </c:pt>
                <c:pt idx="287">
                  <c:v>36.613720939387392</c:v>
                </c:pt>
                <c:pt idx="288">
                  <c:v>36.283240816402426</c:v>
                </c:pt>
                <c:pt idx="289">
                  <c:v>35.950998660478426</c:v>
                </c:pt>
                <c:pt idx="290">
                  <c:v>35.617543787865529</c:v>
                </c:pt>
                <c:pt idx="291">
                  <c:v>35.283373141948594</c:v>
                </c:pt>
                <c:pt idx="292">
                  <c:v>34.948983373688826</c:v>
                </c:pt>
                <c:pt idx="293">
                  <c:v>34.614870848896921</c:v>
                </c:pt>
                <c:pt idx="294">
                  <c:v>34.281531657744779</c:v>
                </c:pt>
                <c:pt idx="295">
                  <c:v>33.949526001769158</c:v>
                </c:pt>
                <c:pt idx="296">
                  <c:v>33.619375295659815</c:v>
                </c:pt>
                <c:pt idx="297">
                  <c:v>33.291571945229393</c:v>
                </c:pt>
                <c:pt idx="298">
                  <c:v>32.96660858084001</c:v>
                </c:pt>
                <c:pt idx="299">
                  <c:v>32.644977571941283</c:v>
                </c:pt>
                <c:pt idx="300">
                  <c:v>32.327171052266564</c:v>
                </c:pt>
                <c:pt idx="301">
                  <c:v>32.013680942534023</c:v>
                </c:pt>
                <c:pt idx="302">
                  <c:v>31.70310579404364</c:v>
                </c:pt>
                <c:pt idx="303">
                  <c:v>31.393866527974001</c:v>
                </c:pt>
                <c:pt idx="304">
                  <c:v>31.086227195779387</c:v>
                </c:pt>
                <c:pt idx="305">
                  <c:v>30.780482444433922</c:v>
                </c:pt>
                <c:pt idx="306">
                  <c:v>30.476926856509554</c:v>
                </c:pt>
                <c:pt idx="307">
                  <c:v>30.1758549694663</c:v>
                </c:pt>
                <c:pt idx="308">
                  <c:v>29.877561294304979</c:v>
                </c:pt>
                <c:pt idx="309">
                  <c:v>29.5823365459356</c:v>
                </c:pt>
                <c:pt idx="310">
                  <c:v>29.290419204137287</c:v>
                </c:pt>
                <c:pt idx="311">
                  <c:v>29.002105549738346</c:v>
                </c:pt>
                <c:pt idx="312">
                  <c:v>28.717691867052011</c:v>
                </c:pt>
                <c:pt idx="313">
                  <c:v>28.437474450443403</c:v>
                </c:pt>
                <c:pt idx="314">
                  <c:v>28.161749606336919</c:v>
                </c:pt>
                <c:pt idx="315">
                  <c:v>27.890813659287147</c:v>
                </c:pt>
                <c:pt idx="316">
                  <c:v>27.623137254271263</c:v>
                </c:pt>
                <c:pt idx="317">
                  <c:v>27.357435092993491</c:v>
                </c:pt>
                <c:pt idx="318">
                  <c:v>27.094238855353446</c:v>
                </c:pt>
                <c:pt idx="319">
                  <c:v>26.834040411255966</c:v>
                </c:pt>
                <c:pt idx="320">
                  <c:v>26.57733181915896</c:v>
                </c:pt>
                <c:pt idx="321">
                  <c:v>26.324605349314901</c:v>
                </c:pt>
                <c:pt idx="322">
                  <c:v>26.076353488483072</c:v>
                </c:pt>
                <c:pt idx="323">
                  <c:v>25.832993061250626</c:v>
                </c:pt>
                <c:pt idx="324">
                  <c:v>25.59502229050775</c:v>
                </c:pt>
                <c:pt idx="325">
                  <c:v>25.362936173405956</c:v>
                </c:pt>
                <c:pt idx="326">
                  <c:v>25.137230293491566</c:v>
                </c:pt>
                <c:pt idx="327">
                  <c:v>24.91840004378831</c:v>
                </c:pt>
                <c:pt idx="328">
                  <c:v>24.706940548160535</c:v>
                </c:pt>
                <c:pt idx="329">
                  <c:v>24.503347039041451</c:v>
                </c:pt>
                <c:pt idx="330">
                  <c:v>24.305577264045358</c:v>
                </c:pt>
                <c:pt idx="331">
                  <c:v>24.111533014914073</c:v>
                </c:pt>
                <c:pt idx="332">
                  <c:v>23.921715217580712</c:v>
                </c:pt>
                <c:pt idx="333">
                  <c:v>23.73672426134009</c:v>
                </c:pt>
                <c:pt idx="334">
                  <c:v>23.55716018960657</c:v>
                </c:pt>
                <c:pt idx="335">
                  <c:v>23.383622688418647</c:v>
                </c:pt>
                <c:pt idx="336">
                  <c:v>23.216711074500875</c:v>
                </c:pt>
                <c:pt idx="337">
                  <c:v>23.057101122742477</c:v>
                </c:pt>
                <c:pt idx="338">
                  <c:v>22.905458169953185</c:v>
                </c:pt>
                <c:pt idx="339">
                  <c:v>22.762378165120744</c:v>
                </c:pt>
                <c:pt idx="340">
                  <c:v>22.628456926288489</c:v>
                </c:pt>
                <c:pt idx="341">
                  <c:v>22.504290115374378</c:v>
                </c:pt>
                <c:pt idx="342">
                  <c:v>22.390473224771604</c:v>
                </c:pt>
                <c:pt idx="343">
                  <c:v>22.28760158048399</c:v>
                </c:pt>
                <c:pt idx="344">
                  <c:v>22.193755514510762</c:v>
                </c:pt>
                <c:pt idx="345">
                  <c:v>22.106933215035731</c:v>
                </c:pt>
                <c:pt idx="346">
                  <c:v>22.027803814810486</c:v>
                </c:pt>
                <c:pt idx="347">
                  <c:v>21.956837153806315</c:v>
                </c:pt>
                <c:pt idx="348">
                  <c:v>21.894503203913342</c:v>
                </c:pt>
                <c:pt idx="349">
                  <c:v>21.841272042030823</c:v>
                </c:pt>
                <c:pt idx="350">
                  <c:v>21.797613802387396</c:v>
                </c:pt>
                <c:pt idx="351">
                  <c:v>21.764081101893733</c:v>
                </c:pt>
                <c:pt idx="352">
                  <c:v>21.741070927710897</c:v>
                </c:pt>
                <c:pt idx="353">
                  <c:v>21.729053444883274</c:v>
                </c:pt>
                <c:pt idx="354">
                  <c:v>21.728498782765378</c:v>
                </c:pt>
                <c:pt idx="355">
                  <c:v>21.739877015568272</c:v>
                </c:pt>
                <c:pt idx="356">
                  <c:v>21.763658540549358</c:v>
                </c:pt>
                <c:pt idx="357">
                  <c:v>21.800312948313127</c:v>
                </c:pt>
                <c:pt idx="358">
                  <c:v>21.850216538710473</c:v>
                </c:pt>
                <c:pt idx="359">
                  <c:v>21.913120745586937</c:v>
                </c:pt>
                <c:pt idx="360">
                  <c:v>21.988630481077823</c:v>
                </c:pt>
                <c:pt idx="361">
                  <c:v>22.076197423629559</c:v>
                </c:pt>
                <c:pt idx="362">
                  <c:v>22.175354877796011</c:v>
                </c:pt>
                <c:pt idx="363">
                  <c:v>22.285636230255751</c:v>
                </c:pt>
                <c:pt idx="364">
                  <c:v>22.406574955525265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7.2709999999999999</c:v>
                </c:pt>
                <c:pt idx="1">
                  <c:v>3.9809999999999999</c:v>
                </c:pt>
                <c:pt idx="2">
                  <c:v>24.238</c:v>
                </c:pt>
                <c:pt idx="3">
                  <c:v>20.452999999999999</c:v>
                </c:pt>
                <c:pt idx="4">
                  <c:v>3.1379999999999999</c:v>
                </c:pt>
                <c:pt idx="5">
                  <c:v>7.3220000000000001</c:v>
                </c:pt>
                <c:pt idx="6">
                  <c:v>14.141999999999999</c:v>
                </c:pt>
                <c:pt idx="7">
                  <c:v>19.067</c:v>
                </c:pt>
                <c:pt idx="8">
                  <c:v>5.9809999999999999</c:v>
                </c:pt>
                <c:pt idx="9">
                  <c:v>5.3769999999999998</c:v>
                </c:pt>
                <c:pt idx="10">
                  <c:v>4.9489999999999998</c:v>
                </c:pt>
                <c:pt idx="11">
                  <c:v>11.261000000000001</c:v>
                </c:pt>
                <c:pt idx="12">
                  <c:v>9.327</c:v>
                </c:pt>
                <c:pt idx="13">
                  <c:v>11.311999999999999</c:v>
                </c:pt>
                <c:pt idx="14">
                  <c:v>18.644000000000002</c:v>
                </c:pt>
                <c:pt idx="15">
                  <c:v>18.02</c:v>
                </c:pt>
                <c:pt idx="16">
                  <c:v>7.2480000000000002</c:v>
                </c:pt>
                <c:pt idx="17">
                  <c:v>27.198</c:v>
                </c:pt>
                <c:pt idx="18">
                  <c:v>28.507999999999999</c:v>
                </c:pt>
                <c:pt idx="19">
                  <c:v>6.585</c:v>
                </c:pt>
                <c:pt idx="20">
                  <c:v>12.764000000000001</c:v>
                </c:pt>
                <c:pt idx="21">
                  <c:v>6.1520000000000001</c:v>
                </c:pt>
                <c:pt idx="22">
                  <c:v>8.3109999999999999</c:v>
                </c:pt>
                <c:pt idx="23">
                  <c:v>15.914</c:v>
                </c:pt>
                <c:pt idx="24">
                  <c:v>8.1129999999999995</c:v>
                </c:pt>
                <c:pt idx="25">
                  <c:v>18.086000000000002</c:v>
                </c:pt>
                <c:pt idx="26">
                  <c:v>5.4720000000000004</c:v>
                </c:pt>
                <c:pt idx="27">
                  <c:v>17.283000000000001</c:v>
                </c:pt>
                <c:pt idx="28">
                  <c:v>15.524000000000001</c:v>
                </c:pt>
                <c:pt idx="29">
                  <c:v>8.702</c:v>
                </c:pt>
                <c:pt idx="30">
                  <c:v>8.58</c:v>
                </c:pt>
                <c:pt idx="31">
                  <c:v>7.7250000000000005</c:v>
                </c:pt>
                <c:pt idx="32">
                  <c:v>28.02</c:v>
                </c:pt>
                <c:pt idx="33">
                  <c:v>21.039000000000001</c:v>
                </c:pt>
                <c:pt idx="34">
                  <c:v>16.53</c:v>
                </c:pt>
                <c:pt idx="35">
                  <c:v>14.532999999999999</c:v>
                </c:pt>
                <c:pt idx="36">
                  <c:v>9.7620000000000005</c:v>
                </c:pt>
                <c:pt idx="37">
                  <c:v>19.472999999999999</c:v>
                </c:pt>
                <c:pt idx="38">
                  <c:v>4.4939999999999998</c:v>
                </c:pt>
                <c:pt idx="39">
                  <c:v>12.750999999999999</c:v>
                </c:pt>
                <c:pt idx="40">
                  <c:v>14.488</c:v>
                </c:pt>
                <c:pt idx="41">
                  <c:v>29.477</c:v>
                </c:pt>
                <c:pt idx="42">
                  <c:v>5.1239999999999997</c:v>
                </c:pt>
                <c:pt idx="43">
                  <c:v>7.8440000000000003</c:v>
                </c:pt>
                <c:pt idx="44">
                  <c:v>35.582999999999998</c:v>
                </c:pt>
                <c:pt idx="45">
                  <c:v>33.463999999999999</c:v>
                </c:pt>
                <c:pt idx="46">
                  <c:v>31.19</c:v>
                </c:pt>
                <c:pt idx="47">
                  <c:v>34.372</c:v>
                </c:pt>
                <c:pt idx="48">
                  <c:v>16.321000000000002</c:v>
                </c:pt>
                <c:pt idx="49">
                  <c:v>36.800000000000004</c:v>
                </c:pt>
                <c:pt idx="50">
                  <c:v>30.274000000000001</c:v>
                </c:pt>
                <c:pt idx="51">
                  <c:v>12.268000000000001</c:v>
                </c:pt>
                <c:pt idx="52">
                  <c:v>9.2270000000000003</c:v>
                </c:pt>
                <c:pt idx="53">
                  <c:v>30.52</c:v>
                </c:pt>
                <c:pt idx="54">
                  <c:v>37.811</c:v>
                </c:pt>
                <c:pt idx="55">
                  <c:v>34.061999999999998</c:v>
                </c:pt>
                <c:pt idx="56">
                  <c:v>8.3160000000000007</c:v>
                </c:pt>
                <c:pt idx="57">
                  <c:v>40.076999999999998</c:v>
                </c:pt>
                <c:pt idx="58">
                  <c:v>33.225000000000001</c:v>
                </c:pt>
                <c:pt idx="59">
                  <c:v>36.9</c:v>
                </c:pt>
                <c:pt idx="60">
                  <c:v>16.539000000000001</c:v>
                </c:pt>
                <c:pt idx="61">
                  <c:v>15.385</c:v>
                </c:pt>
                <c:pt idx="62">
                  <c:v>29.865000000000002</c:v>
                </c:pt>
                <c:pt idx="63">
                  <c:v>35.448999999999998</c:v>
                </c:pt>
                <c:pt idx="64">
                  <c:v>11.215</c:v>
                </c:pt>
                <c:pt idx="65">
                  <c:v>10.997</c:v>
                </c:pt>
                <c:pt idx="66">
                  <c:v>22.77</c:v>
                </c:pt>
                <c:pt idx="67">
                  <c:v>42.128999999999998</c:v>
                </c:pt>
                <c:pt idx="68">
                  <c:v>41.863</c:v>
                </c:pt>
                <c:pt idx="69">
                  <c:v>30.663</c:v>
                </c:pt>
                <c:pt idx="70">
                  <c:v>31.882000000000001</c:v>
                </c:pt>
                <c:pt idx="71">
                  <c:v>40.475000000000001</c:v>
                </c:pt>
                <c:pt idx="72">
                  <c:v>27.586000000000002</c:v>
                </c:pt>
                <c:pt idx="73">
                  <c:v>17.936</c:v>
                </c:pt>
                <c:pt idx="74">
                  <c:v>31.25</c:v>
                </c:pt>
                <c:pt idx="75">
                  <c:v>25.422000000000001</c:v>
                </c:pt>
                <c:pt idx="76">
                  <c:v>21.187000000000001</c:v>
                </c:pt>
                <c:pt idx="77">
                  <c:v>9.918000000000001</c:v>
                </c:pt>
                <c:pt idx="78">
                  <c:v>41.128</c:v>
                </c:pt>
                <c:pt idx="79">
                  <c:v>39.965000000000003</c:v>
                </c:pt>
                <c:pt idx="80">
                  <c:v>39.677999999999997</c:v>
                </c:pt>
                <c:pt idx="81">
                  <c:v>49.566000000000003</c:v>
                </c:pt>
                <c:pt idx="82">
                  <c:v>48.767000000000003</c:v>
                </c:pt>
                <c:pt idx="83">
                  <c:v>35.335999999999999</c:v>
                </c:pt>
                <c:pt idx="84">
                  <c:v>39.146999999999998</c:v>
                </c:pt>
                <c:pt idx="85">
                  <c:v>45.521000000000001</c:v>
                </c:pt>
                <c:pt idx="86">
                  <c:v>49.536000000000001</c:v>
                </c:pt>
                <c:pt idx="87">
                  <c:v>51.566000000000003</c:v>
                </c:pt>
                <c:pt idx="88">
                  <c:v>48.140999999999998</c:v>
                </c:pt>
                <c:pt idx="89">
                  <c:v>46.420999999999999</c:v>
                </c:pt>
                <c:pt idx="90">
                  <c:v>47.117000000000004</c:v>
                </c:pt>
                <c:pt idx="91">
                  <c:v>42.689</c:v>
                </c:pt>
                <c:pt idx="92">
                  <c:v>51.619</c:v>
                </c:pt>
                <c:pt idx="93">
                  <c:v>51.276000000000003</c:v>
                </c:pt>
                <c:pt idx="94">
                  <c:v>49.024000000000001</c:v>
                </c:pt>
                <c:pt idx="95">
                  <c:v>33.474000000000004</c:v>
                </c:pt>
                <c:pt idx="96">
                  <c:v>53.72</c:v>
                </c:pt>
                <c:pt idx="97">
                  <c:v>53.012999999999998</c:v>
                </c:pt>
                <c:pt idx="98">
                  <c:v>31.617000000000001</c:v>
                </c:pt>
                <c:pt idx="99">
                  <c:v>33.816000000000003</c:v>
                </c:pt>
                <c:pt idx="100">
                  <c:v>8.36</c:v>
                </c:pt>
                <c:pt idx="101">
                  <c:v>44.102000000000004</c:v>
                </c:pt>
                <c:pt idx="102">
                  <c:v>49.228000000000002</c:v>
                </c:pt>
                <c:pt idx="103">
                  <c:v>54.774000000000001</c:v>
                </c:pt>
                <c:pt idx="104">
                  <c:v>55.491</c:v>
                </c:pt>
                <c:pt idx="105">
                  <c:v>48.127000000000002</c:v>
                </c:pt>
                <c:pt idx="106">
                  <c:v>50.643000000000001</c:v>
                </c:pt>
                <c:pt idx="107">
                  <c:v>39.233000000000004</c:v>
                </c:pt>
                <c:pt idx="108">
                  <c:v>55.2</c:v>
                </c:pt>
                <c:pt idx="109">
                  <c:v>38.148000000000003</c:v>
                </c:pt>
                <c:pt idx="110">
                  <c:v>51.213000000000001</c:v>
                </c:pt>
                <c:pt idx="111">
                  <c:v>56.987000000000002</c:v>
                </c:pt>
                <c:pt idx="112">
                  <c:v>56.911999999999999</c:v>
                </c:pt>
                <c:pt idx="113">
                  <c:v>53.837000000000003</c:v>
                </c:pt>
                <c:pt idx="114">
                  <c:v>25.894000000000002</c:v>
                </c:pt>
                <c:pt idx="115">
                  <c:v>7.2919999999999998</c:v>
                </c:pt>
                <c:pt idx="116">
                  <c:v>20.023</c:v>
                </c:pt>
                <c:pt idx="117">
                  <c:v>16.202000000000002</c:v>
                </c:pt>
                <c:pt idx="118">
                  <c:v>25.239000000000001</c:v>
                </c:pt>
                <c:pt idx="119">
                  <c:v>14.507</c:v>
                </c:pt>
                <c:pt idx="120">
                  <c:v>18.181999999999999</c:v>
                </c:pt>
                <c:pt idx="121">
                  <c:v>45.877000000000002</c:v>
                </c:pt>
                <c:pt idx="122">
                  <c:v>56.826999999999998</c:v>
                </c:pt>
                <c:pt idx="123">
                  <c:v>49.968000000000004</c:v>
                </c:pt>
                <c:pt idx="124">
                  <c:v>32.488999999999997</c:v>
                </c:pt>
                <c:pt idx="125">
                  <c:v>33.599000000000004</c:v>
                </c:pt>
                <c:pt idx="126">
                  <c:v>26.446999999999999</c:v>
                </c:pt>
                <c:pt idx="127">
                  <c:v>54.972999999999999</c:v>
                </c:pt>
                <c:pt idx="128">
                  <c:v>20.51</c:v>
                </c:pt>
                <c:pt idx="129">
                  <c:v>39.768000000000001</c:v>
                </c:pt>
                <c:pt idx="130">
                  <c:v>34.733000000000004</c:v>
                </c:pt>
                <c:pt idx="131">
                  <c:v>39.957000000000001</c:v>
                </c:pt>
                <c:pt idx="132">
                  <c:v>45.34</c:v>
                </c:pt>
                <c:pt idx="133">
                  <c:v>45.313000000000002</c:v>
                </c:pt>
                <c:pt idx="134">
                  <c:v>20.253</c:v>
                </c:pt>
                <c:pt idx="135">
                  <c:v>12.499000000000001</c:v>
                </c:pt>
                <c:pt idx="136">
                  <c:v>53.216000000000001</c:v>
                </c:pt>
                <c:pt idx="137">
                  <c:v>34.317999999999998</c:v>
                </c:pt>
                <c:pt idx="138">
                  <c:v>41.828000000000003</c:v>
                </c:pt>
                <c:pt idx="139">
                  <c:v>58.438000000000002</c:v>
                </c:pt>
                <c:pt idx="140">
                  <c:v>37.959000000000003</c:v>
                </c:pt>
                <c:pt idx="141">
                  <c:v>28.629000000000001</c:v>
                </c:pt>
                <c:pt idx="142">
                  <c:v>37.012</c:v>
                </c:pt>
                <c:pt idx="143">
                  <c:v>25.271000000000001</c:v>
                </c:pt>
                <c:pt idx="144">
                  <c:v>47.018999999999998</c:v>
                </c:pt>
                <c:pt idx="145">
                  <c:v>51.469000000000001</c:v>
                </c:pt>
                <c:pt idx="146">
                  <c:v>57.25</c:v>
                </c:pt>
                <c:pt idx="147">
                  <c:v>48.933999999999997</c:v>
                </c:pt>
                <c:pt idx="148">
                  <c:v>35.186</c:v>
                </c:pt>
                <c:pt idx="149">
                  <c:v>51.204000000000001</c:v>
                </c:pt>
                <c:pt idx="150">
                  <c:v>55.63</c:v>
                </c:pt>
                <c:pt idx="151">
                  <c:v>34.822000000000003</c:v>
                </c:pt>
                <c:pt idx="152">
                  <c:v>46.097999999999999</c:v>
                </c:pt>
                <c:pt idx="153">
                  <c:v>52.896999999999998</c:v>
                </c:pt>
                <c:pt idx="154">
                  <c:v>7.5250000000000004</c:v>
                </c:pt>
                <c:pt idx="155">
                  <c:v>41.901000000000003</c:v>
                </c:pt>
                <c:pt idx="156">
                  <c:v>43.980000000000004</c:v>
                </c:pt>
                <c:pt idx="157">
                  <c:v>48.435000000000002</c:v>
                </c:pt>
                <c:pt idx="158">
                  <c:v>57.265000000000001</c:v>
                </c:pt>
                <c:pt idx="159">
                  <c:v>55.633000000000003</c:v>
                </c:pt>
                <c:pt idx="160">
                  <c:v>55.594000000000001</c:v>
                </c:pt>
                <c:pt idx="161">
                  <c:v>46.082000000000001</c:v>
                </c:pt>
                <c:pt idx="162">
                  <c:v>45.76</c:v>
                </c:pt>
                <c:pt idx="163">
                  <c:v>55.184000000000005</c:v>
                </c:pt>
                <c:pt idx="164">
                  <c:v>51.646999999999998</c:v>
                </c:pt>
                <c:pt idx="165">
                  <c:v>50.009</c:v>
                </c:pt>
                <c:pt idx="166">
                  <c:v>45.835999999999999</c:v>
                </c:pt>
                <c:pt idx="167">
                  <c:v>15.502000000000001</c:v>
                </c:pt>
                <c:pt idx="168">
                  <c:v>42.308</c:v>
                </c:pt>
                <c:pt idx="169">
                  <c:v>31.76</c:v>
                </c:pt>
                <c:pt idx="170">
                  <c:v>34.021000000000001</c:v>
                </c:pt>
                <c:pt idx="171">
                  <c:v>33.613999999999997</c:v>
                </c:pt>
                <c:pt idx="172">
                  <c:v>37.813000000000002</c:v>
                </c:pt>
                <c:pt idx="173">
                  <c:v>20.202999999999999</c:v>
                </c:pt>
                <c:pt idx="174">
                  <c:v>36.917999999999999</c:v>
                </c:pt>
                <c:pt idx="175">
                  <c:v>52.258000000000003</c:v>
                </c:pt>
                <c:pt idx="176">
                  <c:v>55.508000000000003</c:v>
                </c:pt>
                <c:pt idx="177">
                  <c:v>8.5820000000000007</c:v>
                </c:pt>
                <c:pt idx="178">
                  <c:v>30.978000000000002</c:v>
                </c:pt>
                <c:pt idx="179">
                  <c:v>40.298000000000002</c:v>
                </c:pt>
                <c:pt idx="180">
                  <c:v>47.222000000000001</c:v>
                </c:pt>
                <c:pt idx="181">
                  <c:v>51.201000000000001</c:v>
                </c:pt>
                <c:pt idx="182">
                  <c:v>51.377000000000002</c:v>
                </c:pt>
                <c:pt idx="183">
                  <c:v>32.346000000000004</c:v>
                </c:pt>
                <c:pt idx="184">
                  <c:v>35.228999999999999</c:v>
                </c:pt>
                <c:pt idx="185">
                  <c:v>55.673000000000002</c:v>
                </c:pt>
                <c:pt idx="186">
                  <c:v>19.766000000000002</c:v>
                </c:pt>
                <c:pt idx="187">
                  <c:v>41.624000000000002</c:v>
                </c:pt>
                <c:pt idx="188">
                  <c:v>47.053000000000004</c:v>
                </c:pt>
                <c:pt idx="189">
                  <c:v>55.791000000000004</c:v>
                </c:pt>
                <c:pt idx="190">
                  <c:v>49.573</c:v>
                </c:pt>
                <c:pt idx="191">
                  <c:v>49.667999999999999</c:v>
                </c:pt>
                <c:pt idx="192">
                  <c:v>12.731</c:v>
                </c:pt>
                <c:pt idx="193">
                  <c:v>23.241</c:v>
                </c:pt>
                <c:pt idx="194">
                  <c:v>26.437999999999999</c:v>
                </c:pt>
                <c:pt idx="195">
                  <c:v>35.44</c:v>
                </c:pt>
                <c:pt idx="196">
                  <c:v>39.399000000000001</c:v>
                </c:pt>
                <c:pt idx="197">
                  <c:v>56.103999999999999</c:v>
                </c:pt>
                <c:pt idx="198">
                  <c:v>50.545000000000002</c:v>
                </c:pt>
                <c:pt idx="199">
                  <c:v>54.491</c:v>
                </c:pt>
                <c:pt idx="200">
                  <c:v>44.927</c:v>
                </c:pt>
                <c:pt idx="201">
                  <c:v>42.350999999999999</c:v>
                </c:pt>
                <c:pt idx="202">
                  <c:v>50.381</c:v>
                </c:pt>
                <c:pt idx="203">
                  <c:v>42.125</c:v>
                </c:pt>
                <c:pt idx="204">
                  <c:v>26.783999999999999</c:v>
                </c:pt>
                <c:pt idx="205">
                  <c:v>34.274000000000001</c:v>
                </c:pt>
                <c:pt idx="206">
                  <c:v>33.549999999999997</c:v>
                </c:pt>
                <c:pt idx="207">
                  <c:v>45.152999999999999</c:v>
                </c:pt>
                <c:pt idx="208">
                  <c:v>24.161999999999999</c:v>
                </c:pt>
                <c:pt idx="209">
                  <c:v>51.817999999999998</c:v>
                </c:pt>
                <c:pt idx="210">
                  <c:v>17.259</c:v>
                </c:pt>
                <c:pt idx="211">
                  <c:v>12.26</c:v>
                </c:pt>
                <c:pt idx="212">
                  <c:v>44.496000000000002</c:v>
                </c:pt>
                <c:pt idx="213">
                  <c:v>49.411000000000001</c:v>
                </c:pt>
                <c:pt idx="214">
                  <c:v>34.423999999999999</c:v>
                </c:pt>
                <c:pt idx="215">
                  <c:v>33.817</c:v>
                </c:pt>
                <c:pt idx="216">
                  <c:v>47.877000000000002</c:v>
                </c:pt>
                <c:pt idx="217">
                  <c:v>19.463000000000001</c:v>
                </c:pt>
                <c:pt idx="218">
                  <c:v>23.513000000000002</c:v>
                </c:pt>
                <c:pt idx="219">
                  <c:v>39.180999999999997</c:v>
                </c:pt>
                <c:pt idx="220">
                  <c:v>51.285000000000004</c:v>
                </c:pt>
                <c:pt idx="221">
                  <c:v>48.753</c:v>
                </c:pt>
                <c:pt idx="222">
                  <c:v>47.411999999999999</c:v>
                </c:pt>
                <c:pt idx="223">
                  <c:v>45.249000000000002</c:v>
                </c:pt>
                <c:pt idx="224">
                  <c:v>30.186</c:v>
                </c:pt>
                <c:pt idx="225">
                  <c:v>46.428000000000004</c:v>
                </c:pt>
                <c:pt idx="226">
                  <c:v>20.990000000000002</c:v>
                </c:pt>
                <c:pt idx="227">
                  <c:v>30.318999999999999</c:v>
                </c:pt>
                <c:pt idx="228">
                  <c:v>40.445999999999998</c:v>
                </c:pt>
                <c:pt idx="229">
                  <c:v>49.541000000000004</c:v>
                </c:pt>
                <c:pt idx="230">
                  <c:v>42.155999999999999</c:v>
                </c:pt>
                <c:pt idx="231">
                  <c:v>48.978999999999999</c:v>
                </c:pt>
                <c:pt idx="232">
                  <c:v>46.384</c:v>
                </c:pt>
                <c:pt idx="233">
                  <c:v>19.649000000000001</c:v>
                </c:pt>
                <c:pt idx="234">
                  <c:v>47.454999999999998</c:v>
                </c:pt>
                <c:pt idx="235">
                  <c:v>43.334000000000003</c:v>
                </c:pt>
                <c:pt idx="236">
                  <c:v>46.142000000000003</c:v>
                </c:pt>
                <c:pt idx="237">
                  <c:v>48.25</c:v>
                </c:pt>
                <c:pt idx="238">
                  <c:v>42.497999999999998</c:v>
                </c:pt>
                <c:pt idx="239">
                  <c:v>49.896000000000001</c:v>
                </c:pt>
                <c:pt idx="240">
                  <c:v>49.447000000000003</c:v>
                </c:pt>
                <c:pt idx="241">
                  <c:v>48.219000000000001</c:v>
                </c:pt>
                <c:pt idx="242">
                  <c:v>47.78</c:v>
                </c:pt>
                <c:pt idx="243">
                  <c:v>33.936</c:v>
                </c:pt>
                <c:pt idx="244">
                  <c:v>18.423000000000002</c:v>
                </c:pt>
                <c:pt idx="245">
                  <c:v>32.734000000000002</c:v>
                </c:pt>
                <c:pt idx="246">
                  <c:v>40.640999999999998</c:v>
                </c:pt>
                <c:pt idx="247">
                  <c:v>42.536000000000001</c:v>
                </c:pt>
                <c:pt idx="248">
                  <c:v>45.518999999999998</c:v>
                </c:pt>
                <c:pt idx="249">
                  <c:v>35.32</c:v>
                </c:pt>
                <c:pt idx="250">
                  <c:v>29.911000000000001</c:v>
                </c:pt>
                <c:pt idx="251">
                  <c:v>16.917000000000002</c:v>
                </c:pt>
                <c:pt idx="252">
                  <c:v>36.262</c:v>
                </c:pt>
                <c:pt idx="253">
                  <c:v>38.957000000000001</c:v>
                </c:pt>
                <c:pt idx="254">
                  <c:v>43.811</c:v>
                </c:pt>
                <c:pt idx="255">
                  <c:v>31.138000000000002</c:v>
                </c:pt>
                <c:pt idx="256">
                  <c:v>19.379000000000001</c:v>
                </c:pt>
                <c:pt idx="257">
                  <c:v>28.785</c:v>
                </c:pt>
                <c:pt idx="258">
                  <c:v>20.141999999999999</c:v>
                </c:pt>
                <c:pt idx="259">
                  <c:v>42.666000000000004</c:v>
                </c:pt>
                <c:pt idx="260">
                  <c:v>9.5370000000000008</c:v>
                </c:pt>
                <c:pt idx="261">
                  <c:v>33.899000000000001</c:v>
                </c:pt>
                <c:pt idx="262">
                  <c:v>28.03</c:v>
                </c:pt>
                <c:pt idx="263">
                  <c:v>11.123000000000001</c:v>
                </c:pt>
                <c:pt idx="264">
                  <c:v>41.375999999999998</c:v>
                </c:pt>
                <c:pt idx="265">
                  <c:v>35.954000000000001</c:v>
                </c:pt>
                <c:pt idx="266">
                  <c:v>36.764000000000003</c:v>
                </c:pt>
                <c:pt idx="267">
                  <c:v>31.89</c:v>
                </c:pt>
                <c:pt idx="268">
                  <c:v>36.084000000000003</c:v>
                </c:pt>
                <c:pt idx="269">
                  <c:v>21.309000000000001</c:v>
                </c:pt>
                <c:pt idx="270">
                  <c:v>24.843</c:v>
                </c:pt>
                <c:pt idx="271">
                  <c:v>31.571000000000002</c:v>
                </c:pt>
                <c:pt idx="272">
                  <c:v>17.152999999999999</c:v>
                </c:pt>
                <c:pt idx="273">
                  <c:v>30.696999999999999</c:v>
                </c:pt>
                <c:pt idx="274">
                  <c:v>37.774999999999999</c:v>
                </c:pt>
                <c:pt idx="275">
                  <c:v>6.3159999999999998</c:v>
                </c:pt>
                <c:pt idx="276">
                  <c:v>31.363</c:v>
                </c:pt>
                <c:pt idx="277">
                  <c:v>13.167</c:v>
                </c:pt>
                <c:pt idx="278">
                  <c:v>26.557000000000002</c:v>
                </c:pt>
                <c:pt idx="279">
                  <c:v>39.792000000000002</c:v>
                </c:pt>
                <c:pt idx="280">
                  <c:v>36.895000000000003</c:v>
                </c:pt>
                <c:pt idx="281">
                  <c:v>15.231</c:v>
                </c:pt>
                <c:pt idx="282">
                  <c:v>29.440999999999999</c:v>
                </c:pt>
                <c:pt idx="283">
                  <c:v>38.456000000000003</c:v>
                </c:pt>
                <c:pt idx="284">
                  <c:v>36.356000000000002</c:v>
                </c:pt>
                <c:pt idx="285">
                  <c:v>35.045000000000002</c:v>
                </c:pt>
                <c:pt idx="286">
                  <c:v>38.407000000000004</c:v>
                </c:pt>
                <c:pt idx="287">
                  <c:v>32.097000000000001</c:v>
                </c:pt>
                <c:pt idx="288">
                  <c:v>35.198999999999998</c:v>
                </c:pt>
                <c:pt idx="289">
                  <c:v>32.332999999999998</c:v>
                </c:pt>
                <c:pt idx="290">
                  <c:v>33.036000000000001</c:v>
                </c:pt>
                <c:pt idx="291">
                  <c:v>33.463000000000001</c:v>
                </c:pt>
                <c:pt idx="292">
                  <c:v>26.057000000000002</c:v>
                </c:pt>
                <c:pt idx="293">
                  <c:v>14.541</c:v>
                </c:pt>
                <c:pt idx="294">
                  <c:v>12.016</c:v>
                </c:pt>
                <c:pt idx="295">
                  <c:v>33.902000000000001</c:v>
                </c:pt>
                <c:pt idx="296">
                  <c:v>34.819000000000003</c:v>
                </c:pt>
                <c:pt idx="297">
                  <c:v>31.927</c:v>
                </c:pt>
                <c:pt idx="298">
                  <c:v>24.564</c:v>
                </c:pt>
                <c:pt idx="299">
                  <c:v>27.989000000000001</c:v>
                </c:pt>
                <c:pt idx="300">
                  <c:v>32.125999999999998</c:v>
                </c:pt>
                <c:pt idx="301">
                  <c:v>16.802</c:v>
                </c:pt>
                <c:pt idx="302">
                  <c:v>10.028</c:v>
                </c:pt>
                <c:pt idx="303">
                  <c:v>18.115000000000002</c:v>
                </c:pt>
                <c:pt idx="304">
                  <c:v>16.617000000000001</c:v>
                </c:pt>
                <c:pt idx="305">
                  <c:v>25.44</c:v>
                </c:pt>
                <c:pt idx="306">
                  <c:v>16.120999999999999</c:v>
                </c:pt>
                <c:pt idx="307">
                  <c:v>15.282999999999999</c:v>
                </c:pt>
                <c:pt idx="308">
                  <c:v>9.8070000000000004</c:v>
                </c:pt>
                <c:pt idx="309">
                  <c:v>11.889000000000001</c:v>
                </c:pt>
                <c:pt idx="310">
                  <c:v>8.0229999999999997</c:v>
                </c:pt>
                <c:pt idx="311">
                  <c:v>22.016000000000002</c:v>
                </c:pt>
                <c:pt idx="312">
                  <c:v>16.184999999999999</c:v>
                </c:pt>
                <c:pt idx="313">
                  <c:v>6.0280000000000005</c:v>
                </c:pt>
                <c:pt idx="314">
                  <c:v>10.286</c:v>
                </c:pt>
                <c:pt idx="315">
                  <c:v>6.758</c:v>
                </c:pt>
                <c:pt idx="316">
                  <c:v>5.13</c:v>
                </c:pt>
                <c:pt idx="317">
                  <c:v>5.9640000000000004</c:v>
                </c:pt>
                <c:pt idx="318">
                  <c:v>4.6509999999999998</c:v>
                </c:pt>
                <c:pt idx="319">
                  <c:v>8.718</c:v>
                </c:pt>
                <c:pt idx="320">
                  <c:v>2.6320000000000001</c:v>
                </c:pt>
                <c:pt idx="321">
                  <c:v>16.431999999999999</c:v>
                </c:pt>
                <c:pt idx="322">
                  <c:v>25.123000000000001</c:v>
                </c:pt>
                <c:pt idx="323">
                  <c:v>20.024000000000001</c:v>
                </c:pt>
                <c:pt idx="324">
                  <c:v>9.0590000000000011</c:v>
                </c:pt>
                <c:pt idx="325">
                  <c:v>17.899000000000001</c:v>
                </c:pt>
                <c:pt idx="326">
                  <c:v>12.022</c:v>
                </c:pt>
                <c:pt idx="327">
                  <c:v>1.7690000000000001</c:v>
                </c:pt>
                <c:pt idx="328">
                  <c:v>16.123999999999999</c:v>
                </c:pt>
                <c:pt idx="329">
                  <c:v>7.2450000000000001</c:v>
                </c:pt>
                <c:pt idx="330">
                  <c:v>14.719000000000001</c:v>
                </c:pt>
                <c:pt idx="331">
                  <c:v>6.1160000000000005</c:v>
                </c:pt>
                <c:pt idx="332">
                  <c:v>6.9960000000000004</c:v>
                </c:pt>
                <c:pt idx="333">
                  <c:v>19.564</c:v>
                </c:pt>
                <c:pt idx="334">
                  <c:v>3.956</c:v>
                </c:pt>
                <c:pt idx="335">
                  <c:v>9.0139999999999993</c:v>
                </c:pt>
                <c:pt idx="336">
                  <c:v>15.062000000000001</c:v>
                </c:pt>
                <c:pt idx="337">
                  <c:v>6.4930000000000003</c:v>
                </c:pt>
                <c:pt idx="338">
                  <c:v>9.2720000000000002</c:v>
                </c:pt>
                <c:pt idx="339">
                  <c:v>11.448</c:v>
                </c:pt>
                <c:pt idx="340">
                  <c:v>5.3449999999999998</c:v>
                </c:pt>
                <c:pt idx="341">
                  <c:v>9.3930000000000007</c:v>
                </c:pt>
                <c:pt idx="342">
                  <c:v>7.7720000000000002</c:v>
                </c:pt>
                <c:pt idx="343">
                  <c:v>2.032</c:v>
                </c:pt>
                <c:pt idx="344">
                  <c:v>12.394</c:v>
                </c:pt>
                <c:pt idx="345">
                  <c:v>21.565999999999999</c:v>
                </c:pt>
                <c:pt idx="346">
                  <c:v>22.576000000000001</c:v>
                </c:pt>
                <c:pt idx="347">
                  <c:v>22.266000000000002</c:v>
                </c:pt>
                <c:pt idx="348">
                  <c:v>21.088000000000001</c:v>
                </c:pt>
                <c:pt idx="349">
                  <c:v>22.080000000000002</c:v>
                </c:pt>
                <c:pt idx="350">
                  <c:v>22.533999999999999</c:v>
                </c:pt>
                <c:pt idx="351">
                  <c:v>22.681000000000001</c:v>
                </c:pt>
                <c:pt idx="352">
                  <c:v>22.429000000000002</c:v>
                </c:pt>
                <c:pt idx="353">
                  <c:v>21.786999999999999</c:v>
                </c:pt>
                <c:pt idx="354">
                  <c:v>16.37</c:v>
                </c:pt>
                <c:pt idx="355">
                  <c:v>22.11</c:v>
                </c:pt>
                <c:pt idx="356">
                  <c:v>5.9820000000000002</c:v>
                </c:pt>
                <c:pt idx="357">
                  <c:v>12.232000000000001</c:v>
                </c:pt>
                <c:pt idx="358">
                  <c:v>9.011000000000001</c:v>
                </c:pt>
                <c:pt idx="359">
                  <c:v>10.962</c:v>
                </c:pt>
                <c:pt idx="360">
                  <c:v>10.022</c:v>
                </c:pt>
                <c:pt idx="361">
                  <c:v>4.6109999999999998</c:v>
                </c:pt>
                <c:pt idx="362">
                  <c:v>3.9380000000000002</c:v>
                </c:pt>
                <c:pt idx="363">
                  <c:v>16.397000000000002</c:v>
                </c:pt>
                <c:pt idx="364">
                  <c:v>22.772000000000002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68728"/>
        <c:axId val="373569120"/>
      </c:lineChart>
      <c:dateAx>
        <c:axId val="373568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569120"/>
        <c:crosses val="autoZero"/>
        <c:auto val="1"/>
        <c:lblOffset val="100"/>
        <c:baseTimeUnit val="days"/>
        <c:majorUnit val="1"/>
        <c:majorTimeUnit val="months"/>
      </c:dateAx>
      <c:valAx>
        <c:axId val="3735691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5687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25.018618251549075</c:v>
                </c:pt>
                <c:pt idx="1">
                  <c:v>25.174601492515322</c:v>
                </c:pt>
                <c:pt idx="2">
                  <c:v>25.340693976211895</c:v>
                </c:pt>
                <c:pt idx="3">
                  <c:v>25.51638132927096</c:v>
                </c:pt>
                <c:pt idx="4">
                  <c:v>25.701149181333957</c:v>
                </c:pt>
                <c:pt idx="5">
                  <c:v>25.894483154260282</c:v>
                </c:pt>
                <c:pt idx="6">
                  <c:v>26.095868869910046</c:v>
                </c:pt>
                <c:pt idx="7">
                  <c:v>26.304791951069429</c:v>
                </c:pt>
                <c:pt idx="8">
                  <c:v>26.523948318244525</c:v>
                </c:pt>
                <c:pt idx="9">
                  <c:v>26.755811064052672</c:v>
                </c:pt>
                <c:pt idx="10">
                  <c:v>26.99953157808778</c:v>
                </c:pt>
                <c:pt idx="11">
                  <c:v>27.254261245615417</c:v>
                </c:pt>
                <c:pt idx="12">
                  <c:v>27.519151445203097</c:v>
                </c:pt>
                <c:pt idx="13">
                  <c:v>27.79335356028735</c:v>
                </c:pt>
                <c:pt idx="14">
                  <c:v>28.076018969718046</c:v>
                </c:pt>
                <c:pt idx="15">
                  <c:v>28.366299082122644</c:v>
                </c:pt>
                <c:pt idx="16">
                  <c:v>28.660179281325362</c:v>
                </c:pt>
                <c:pt idx="17">
                  <c:v>28.959912708445561</c:v>
                </c:pt>
                <c:pt idx="18">
                  <c:v>29.26464915783362</c:v>
                </c:pt>
                <c:pt idx="19">
                  <c:v>29.573538799464682</c:v>
                </c:pt>
                <c:pt idx="20">
                  <c:v>29.885732173987371</c:v>
                </c:pt>
                <c:pt idx="21">
                  <c:v>30.200380206696568</c:v>
                </c:pt>
                <c:pt idx="22">
                  <c:v>30.520892884718513</c:v>
                </c:pt>
                <c:pt idx="23">
                  <c:v>30.850585898067663</c:v>
                </c:pt>
                <c:pt idx="24">
                  <c:v>31.188469321405812</c:v>
                </c:pt>
                <c:pt idx="25">
                  <c:v>31.533553699747994</c:v>
                </c:pt>
                <c:pt idx="26">
                  <c:v>31.884850013424042</c:v>
                </c:pt>
                <c:pt idx="27">
                  <c:v>32.241369683337041</c:v>
                </c:pt>
                <c:pt idx="28">
                  <c:v>32.602124561914685</c:v>
                </c:pt>
                <c:pt idx="29">
                  <c:v>32.966126932102121</c:v>
                </c:pt>
                <c:pt idx="30">
                  <c:v>33.332389435145735</c:v>
                </c:pt>
                <c:pt idx="31">
                  <c:v>33.699925211157385</c:v>
                </c:pt>
                <c:pt idx="32">
                  <c:v>34.067747837007737</c:v>
                </c:pt>
                <c:pt idx="33">
                  <c:v>34.434871317767637</c:v>
                </c:pt>
                <c:pt idx="34">
                  <c:v>34.800310090860819</c:v>
                </c:pt>
                <c:pt idx="35">
                  <c:v>35.163079024047754</c:v>
                </c:pt>
                <c:pt idx="36">
                  <c:v>35.524894763722145</c:v>
                </c:pt>
                <c:pt idx="37">
                  <c:v>35.888057222709477</c:v>
                </c:pt>
                <c:pt idx="38">
                  <c:v>36.252456571201733</c:v>
                </c:pt>
                <c:pt idx="39">
                  <c:v>36.617982989499041</c:v>
                </c:pt>
                <c:pt idx="40">
                  <c:v>36.984526707665466</c:v>
                </c:pt>
                <c:pt idx="41">
                  <c:v>37.351978005978353</c:v>
                </c:pt>
                <c:pt idx="42">
                  <c:v>37.720227214544551</c:v>
                </c:pt>
                <c:pt idx="43">
                  <c:v>38.089164745538142</c:v>
                </c:pt>
                <c:pt idx="44">
                  <c:v>38.458681048261731</c:v>
                </c:pt>
                <c:pt idx="45">
                  <c:v>38.828666608329492</c:v>
                </c:pt>
                <c:pt idx="46">
                  <c:v>39.199011961912262</c:v>
                </c:pt>
                <c:pt idx="47">
                  <c:v>39.56960769404045</c:v>
                </c:pt>
                <c:pt idx="48">
                  <c:v>39.940344439490133</c:v>
                </c:pt>
                <c:pt idx="49">
                  <c:v>40.311112881148084</c:v>
                </c:pt>
                <c:pt idx="50">
                  <c:v>40.68207712091013</c:v>
                </c:pt>
                <c:pt idx="51">
                  <c:v>41.053474044070121</c:v>
                </c:pt>
                <c:pt idx="52">
                  <c:v>41.425303593332941</c:v>
                </c:pt>
                <c:pt idx="53">
                  <c:v>41.797565714553059</c:v>
                </c:pt>
                <c:pt idx="54">
                  <c:v>42.170260352142314</c:v>
                </c:pt>
                <c:pt idx="55">
                  <c:v>42.543387449721628</c:v>
                </c:pt>
                <c:pt idx="56">
                  <c:v>42.916946948813049</c:v>
                </c:pt>
                <c:pt idx="57">
                  <c:v>43.290938636683784</c:v>
                </c:pt>
                <c:pt idx="58">
                  <c:v>43.665362362891607</c:v>
                </c:pt>
                <c:pt idx="59">
                  <c:v>44.04021802890297</c:v>
                </c:pt>
                <c:pt idx="60">
                  <c:v>44.415505529824017</c:v>
                </c:pt>
                <c:pt idx="61">
                  <c:v>44.791224753388924</c:v>
                </c:pt>
                <c:pt idx="62">
                  <c:v>45.167375579815179</c:v>
                </c:pt>
                <c:pt idx="63">
                  <c:v>45.543957879842857</c:v>
                </c:pt>
                <c:pt idx="64">
                  <c:v>45.922154338235494</c:v>
                </c:pt>
                <c:pt idx="65">
                  <c:v>46.302783203760043</c:v>
                </c:pt>
                <c:pt idx="66">
                  <c:v>46.685297945259755</c:v>
                </c:pt>
                <c:pt idx="67">
                  <c:v>47.069152190858418</c:v>
                </c:pt>
                <c:pt idx="68">
                  <c:v>47.453799790514132</c:v>
                </c:pt>
                <c:pt idx="69">
                  <c:v>47.838694815510451</c:v>
                </c:pt>
                <c:pt idx="70">
                  <c:v>48.223291556887943</c:v>
                </c:pt>
                <c:pt idx="71">
                  <c:v>48.607044524612938</c:v>
                </c:pt>
                <c:pt idx="72">
                  <c:v>48.9894087398716</c:v>
                </c:pt>
                <c:pt idx="73">
                  <c:v>49.369839186002928</c:v>
                </c:pt>
                <c:pt idx="74">
                  <c:v>49.747791064680861</c:v>
                </c:pt>
                <c:pt idx="75">
                  <c:v>50.122719799077672</c:v>
                </c:pt>
                <c:pt idx="76">
                  <c:v>50.494081028830408</c:v>
                </c:pt>
                <c:pt idx="77">
                  <c:v>50.861330611343689</c:v>
                </c:pt>
                <c:pt idx="78">
                  <c:v>51.227177078166605</c:v>
                </c:pt>
                <c:pt idx="79">
                  <c:v>51.594109737008267</c:v>
                </c:pt>
                <c:pt idx="80">
                  <c:v>51.961256122969601</c:v>
                </c:pt>
                <c:pt idx="81">
                  <c:v>52.327744107062266</c:v>
                </c:pt>
                <c:pt idx="82">
                  <c:v>52.692701917523344</c:v>
                </c:pt>
                <c:pt idx="83">
                  <c:v>53.055258139621571</c:v>
                </c:pt>
                <c:pt idx="84">
                  <c:v>53.414541715913842</c:v>
                </c:pt>
                <c:pt idx="85">
                  <c:v>53.769681891399514</c:v>
                </c:pt>
                <c:pt idx="86">
                  <c:v>54.119808316348255</c:v>
                </c:pt>
                <c:pt idx="87">
                  <c:v>54.464050994675226</c:v>
                </c:pt>
                <c:pt idx="88">
                  <c:v>54.80154029158119</c:v>
                </c:pt>
                <c:pt idx="89">
                  <c:v>55.131406925919975</c:v>
                </c:pt>
                <c:pt idx="90">
                  <c:v>55.452781977437112</c:v>
                </c:pt>
                <c:pt idx="91">
                  <c:v>55.764796882820804</c:v>
                </c:pt>
                <c:pt idx="92">
                  <c:v>56.06899648022042</c:v>
                </c:pt>
                <c:pt idx="93">
                  <c:v>56.367432915496785</c:v>
                </c:pt>
                <c:pt idx="94">
                  <c:v>56.65999893537721</c:v>
                </c:pt>
                <c:pt idx="95">
                  <c:v>56.946587259853679</c:v>
                </c:pt>
                <c:pt idx="96">
                  <c:v>57.2270906489235</c:v>
                </c:pt>
                <c:pt idx="97">
                  <c:v>57.501401902997117</c:v>
                </c:pt>
                <c:pt idx="98">
                  <c:v>57.769413860972783</c:v>
                </c:pt>
                <c:pt idx="99">
                  <c:v>58.031019375200643</c:v>
                </c:pt>
                <c:pt idx="100">
                  <c:v>58.286111470013431</c:v>
                </c:pt>
                <c:pt idx="101">
                  <c:v>58.534583126332748</c:v>
                </c:pt>
                <c:pt idx="102">
                  <c:v>58.776327366899267</c:v>
                </c:pt>
                <c:pt idx="103">
                  <c:v>59.01123726654302</c:v>
                </c:pt>
                <c:pt idx="104">
                  <c:v>59.239205945209378</c:v>
                </c:pt>
                <c:pt idx="105">
                  <c:v>59.460126575483002</c:v>
                </c:pt>
                <c:pt idx="106">
                  <c:v>59.674164119513144</c:v>
                </c:pt>
                <c:pt idx="107">
                  <c:v>59.881555830353854</c:v>
                </c:pt>
                <c:pt idx="108">
                  <c:v>60.082303461588495</c:v>
                </c:pt>
                <c:pt idx="109">
                  <c:v>60.276408806192634</c:v>
                </c:pt>
                <c:pt idx="110">
                  <c:v>60.463873662805113</c:v>
                </c:pt>
                <c:pt idx="111">
                  <c:v>60.644699837634825</c:v>
                </c:pt>
                <c:pt idx="112">
                  <c:v>60.818889149016442</c:v>
                </c:pt>
                <c:pt idx="113">
                  <c:v>60.986443383858024</c:v>
                </c:pt>
                <c:pt idx="114">
                  <c:v>61.147364444364911</c:v>
                </c:pt>
                <c:pt idx="115">
                  <c:v>61.301654189226142</c:v>
                </c:pt>
                <c:pt idx="116">
                  <c:v>61.449314495383504</c:v>
                </c:pt>
                <c:pt idx="117">
                  <c:v>61.590347256832651</c:v>
                </c:pt>
                <c:pt idx="118">
                  <c:v>61.724754390647121</c:v>
                </c:pt>
                <c:pt idx="119">
                  <c:v>61.852537827003886</c:v>
                </c:pt>
                <c:pt idx="120">
                  <c:v>61.972758907355029</c:v>
                </c:pt>
                <c:pt idx="121">
                  <c:v>62.08476864077619</c:v>
                </c:pt>
                <c:pt idx="122">
                  <c:v>62.189003770788688</c:v>
                </c:pt>
                <c:pt idx="123">
                  <c:v>62.285900698569549</c:v>
                </c:pt>
                <c:pt idx="124">
                  <c:v>62.375895672613979</c:v>
                </c:pt>
                <c:pt idx="125">
                  <c:v>62.459424778275014</c:v>
                </c:pt>
                <c:pt idx="126">
                  <c:v>62.536923945375719</c:v>
                </c:pt>
                <c:pt idx="127">
                  <c:v>62.60882901864305</c:v>
                </c:pt>
                <c:pt idx="128">
                  <c:v>62.675575709052339</c:v>
                </c:pt>
                <c:pt idx="129">
                  <c:v>62.737599492187506</c:v>
                </c:pt>
                <c:pt idx="130">
                  <c:v>62.795335686877642</c:v>
                </c:pt>
                <c:pt idx="131">
                  <c:v>62.849219459369067</c:v>
                </c:pt>
                <c:pt idx="132">
                  <c:v>62.899685818757114</c:v>
                </c:pt>
                <c:pt idx="133">
                  <c:v>62.947169618392955</c:v>
                </c:pt>
                <c:pt idx="134">
                  <c:v>62.990552310194055</c:v>
                </c:pt>
                <c:pt idx="135">
                  <c:v>63.028571554027785</c:v>
                </c:pt>
                <c:pt idx="136">
                  <c:v>63.061446429586802</c:v>
                </c:pt>
                <c:pt idx="137">
                  <c:v>63.089395718855926</c:v>
                </c:pt>
                <c:pt idx="138">
                  <c:v>63.112638143398023</c:v>
                </c:pt>
                <c:pt idx="139">
                  <c:v>63.131392368058371</c:v>
                </c:pt>
                <c:pt idx="140">
                  <c:v>63.145877002116585</c:v>
                </c:pt>
                <c:pt idx="141">
                  <c:v>63.15631026952947</c:v>
                </c:pt>
                <c:pt idx="142">
                  <c:v>63.162910476281404</c:v>
                </c:pt>
                <c:pt idx="143">
                  <c:v>63.165895996073218</c:v>
                </c:pt>
                <c:pt idx="144">
                  <c:v>63.165485129128342</c:v>
                </c:pt>
                <c:pt idx="145">
                  <c:v>63.161896109783513</c:v>
                </c:pt>
                <c:pt idx="146">
                  <c:v>63.155347099557389</c:v>
                </c:pt>
                <c:pt idx="147">
                  <c:v>63.146056185469618</c:v>
                </c:pt>
                <c:pt idx="148">
                  <c:v>63.132762680923534</c:v>
                </c:pt>
                <c:pt idx="149">
                  <c:v>63.114350646085583</c:v>
                </c:pt>
                <c:pt idx="150">
                  <c:v>63.091254955146553</c:v>
                </c:pt>
                <c:pt idx="151">
                  <c:v>63.063910530844431</c:v>
                </c:pt>
                <c:pt idx="152">
                  <c:v>63.032752111174823</c:v>
                </c:pt>
                <c:pt idx="153">
                  <c:v>62.998214245586752</c:v>
                </c:pt>
                <c:pt idx="154">
                  <c:v>62.960731289492919</c:v>
                </c:pt>
                <c:pt idx="155">
                  <c:v>62.920737036807786</c:v>
                </c:pt>
                <c:pt idx="156">
                  <c:v>62.878665951705798</c:v>
                </c:pt>
                <c:pt idx="157">
                  <c:v>62.834951811135703</c:v>
                </c:pt>
                <c:pt idx="158">
                  <c:v>62.790028187157183</c:v>
                </c:pt>
                <c:pt idx="159">
                  <c:v>62.744328447019853</c:v>
                </c:pt>
                <c:pt idx="160">
                  <c:v>62.698285748786468</c:v>
                </c:pt>
                <c:pt idx="161">
                  <c:v>62.652333039581499</c:v>
                </c:pt>
                <c:pt idx="162">
                  <c:v>62.605822763638187</c:v>
                </c:pt>
                <c:pt idx="163">
                  <c:v>62.557819168919956</c:v>
                </c:pt>
                <c:pt idx="164">
                  <c:v>62.508323439659208</c:v>
                </c:pt>
                <c:pt idx="165">
                  <c:v>62.457336614023731</c:v>
                </c:pt>
                <c:pt idx="166">
                  <c:v>62.404859698084067</c:v>
                </c:pt>
                <c:pt idx="167">
                  <c:v>62.350893660783306</c:v>
                </c:pt>
                <c:pt idx="168">
                  <c:v>62.295439435282553</c:v>
                </c:pt>
                <c:pt idx="169">
                  <c:v>62.238497438022733</c:v>
                </c:pt>
                <c:pt idx="170">
                  <c:v>62.180069030507795</c:v>
                </c:pt>
                <c:pt idx="171">
                  <c:v>62.120155027114365</c:v>
                </c:pt>
                <c:pt idx="172">
                  <c:v>62.058756198094173</c:v>
                </c:pt>
                <c:pt idx="173">
                  <c:v>61.995873275989595</c:v>
                </c:pt>
                <c:pt idx="174">
                  <c:v>61.93150694884531</c:v>
                </c:pt>
                <c:pt idx="175">
                  <c:v>61.86565785477255</c:v>
                </c:pt>
                <c:pt idx="176">
                  <c:v>61.798326589289843</c:v>
                </c:pt>
                <c:pt idx="177">
                  <c:v>61.729513087100486</c:v>
                </c:pt>
                <c:pt idx="178">
                  <c:v>61.659218387596425</c:v>
                </c:pt>
                <c:pt idx="179">
                  <c:v>61.587442951302293</c:v>
                </c:pt>
                <c:pt idx="180">
                  <c:v>61.514187196448702</c:v>
                </c:pt>
                <c:pt idx="181">
                  <c:v>61.439451501971924</c:v>
                </c:pt>
                <c:pt idx="182">
                  <c:v>61.363236206572282</c:v>
                </c:pt>
                <c:pt idx="183">
                  <c:v>61.285541434999303</c:v>
                </c:pt>
                <c:pt idx="184">
                  <c:v>61.206368059408469</c:v>
                </c:pt>
                <c:pt idx="185">
                  <c:v>61.125716328571109</c:v>
                </c:pt>
                <c:pt idx="186">
                  <c:v>61.043586460567852</c:v>
                </c:pt>
                <c:pt idx="187">
                  <c:v>60.959978642153729</c:v>
                </c:pt>
                <c:pt idx="188">
                  <c:v>60.874893034594095</c:v>
                </c:pt>
                <c:pt idx="189">
                  <c:v>60.788329773425609</c:v>
                </c:pt>
                <c:pt idx="190">
                  <c:v>60.700755691631876</c:v>
                </c:pt>
                <c:pt idx="191">
                  <c:v>60.612492784651891</c:v>
                </c:pt>
                <c:pt idx="192">
                  <c:v>60.523326236148314</c:v>
                </c:pt>
                <c:pt idx="193">
                  <c:v>60.433040585783736</c:v>
                </c:pt>
                <c:pt idx="194">
                  <c:v>60.3414204535229</c:v>
                </c:pt>
                <c:pt idx="195">
                  <c:v>60.248250541569455</c:v>
                </c:pt>
                <c:pt idx="196">
                  <c:v>60.153315636726653</c:v>
                </c:pt>
                <c:pt idx="197">
                  <c:v>60.056401248082715</c:v>
                </c:pt>
                <c:pt idx="198">
                  <c:v>59.957292557075604</c:v>
                </c:pt>
                <c:pt idx="199">
                  <c:v>59.855774636808718</c:v>
                </c:pt>
                <c:pt idx="200">
                  <c:v>59.751632652024739</c:v>
                </c:pt>
                <c:pt idx="201">
                  <c:v>59.644651859668095</c:v>
                </c:pt>
                <c:pt idx="202">
                  <c:v>59.534617615264864</c:v>
                </c:pt>
                <c:pt idx="203">
                  <c:v>59.42131537122814</c:v>
                </c:pt>
                <c:pt idx="204">
                  <c:v>59.305068429115536</c:v>
                </c:pt>
                <c:pt idx="205">
                  <c:v>59.186343853736176</c:v>
                </c:pt>
                <c:pt idx="206">
                  <c:v>59.065143246420782</c:v>
                </c:pt>
                <c:pt idx="207">
                  <c:v>58.9414670914827</c:v>
                </c:pt>
                <c:pt idx="208">
                  <c:v>58.815315887677976</c:v>
                </c:pt>
                <c:pt idx="209">
                  <c:v>58.686690152873247</c:v>
                </c:pt>
                <c:pt idx="210">
                  <c:v>58.555590422297314</c:v>
                </c:pt>
                <c:pt idx="211">
                  <c:v>58.422016020300582</c:v>
                </c:pt>
                <c:pt idx="212">
                  <c:v>58.285966814566251</c:v>
                </c:pt>
                <c:pt idx="213">
                  <c:v>58.147443376521586</c:v>
                </c:pt>
                <c:pt idx="214">
                  <c:v>58.006446296895852</c:v>
                </c:pt>
                <c:pt idx="215">
                  <c:v>57.862976187086396</c:v>
                </c:pt>
                <c:pt idx="216">
                  <c:v>57.717033680365596</c:v>
                </c:pt>
                <c:pt idx="217">
                  <c:v>57.568619428205217</c:v>
                </c:pt>
                <c:pt idx="218">
                  <c:v>57.418199492258893</c:v>
                </c:pt>
                <c:pt idx="219">
                  <c:v>57.26609604462702</c:v>
                </c:pt>
                <c:pt idx="220">
                  <c:v>57.112094271139945</c:v>
                </c:pt>
                <c:pt idx="221">
                  <c:v>56.955979983307579</c:v>
                </c:pt>
                <c:pt idx="222">
                  <c:v>56.797539092195812</c:v>
                </c:pt>
                <c:pt idx="223">
                  <c:v>56.636557610814727</c:v>
                </c:pt>
                <c:pt idx="224">
                  <c:v>56.472821650422887</c:v>
                </c:pt>
                <c:pt idx="225">
                  <c:v>56.306115815588797</c:v>
                </c:pt>
                <c:pt idx="226">
                  <c:v>56.136227686448194</c:v>
                </c:pt>
                <c:pt idx="227">
                  <c:v>55.962943661661782</c:v>
                </c:pt>
                <c:pt idx="228">
                  <c:v>55.786050232634544</c:v>
                </c:pt>
                <c:pt idx="229">
                  <c:v>55.605333981871503</c:v>
                </c:pt>
                <c:pt idx="230">
                  <c:v>55.420581585974297</c:v>
                </c:pt>
                <c:pt idx="231">
                  <c:v>55.231579806904051</c:v>
                </c:pt>
                <c:pt idx="232">
                  <c:v>55.038651747168572</c:v>
                </c:pt>
                <c:pt idx="233">
                  <c:v>54.842262618712724</c:v>
                </c:pt>
                <c:pt idx="234">
                  <c:v>54.642414102711292</c:v>
                </c:pt>
                <c:pt idx="235">
                  <c:v>54.439107327773876</c:v>
                </c:pt>
                <c:pt idx="236">
                  <c:v>54.232343424474493</c:v>
                </c:pt>
                <c:pt idx="237">
                  <c:v>54.022123529440613</c:v>
                </c:pt>
                <c:pt idx="238">
                  <c:v>53.808448780148368</c:v>
                </c:pt>
                <c:pt idx="239">
                  <c:v>53.591320859348556</c:v>
                </c:pt>
                <c:pt idx="240">
                  <c:v>53.370742549144424</c:v>
                </c:pt>
                <c:pt idx="241">
                  <c:v>53.146714996715247</c:v>
                </c:pt>
                <c:pt idx="242">
                  <c:v>52.919239354448429</c:v>
                </c:pt>
                <c:pt idx="243">
                  <c:v>52.688316774853199</c:v>
                </c:pt>
                <c:pt idx="244">
                  <c:v>52.453948413821799</c:v>
                </c:pt>
                <c:pt idx="245">
                  <c:v>52.216135428402197</c:v>
                </c:pt>
                <c:pt idx="246">
                  <c:v>51.974878982257998</c:v>
                </c:pt>
                <c:pt idx="247">
                  <c:v>51.730178018876984</c:v>
                </c:pt>
                <c:pt idx="248">
                  <c:v>51.482034464384022</c:v>
                </c:pt>
                <c:pt idx="249">
                  <c:v>51.230449491347507</c:v>
                </c:pt>
                <c:pt idx="250">
                  <c:v>50.975424280069475</c:v>
                </c:pt>
                <c:pt idx="251">
                  <c:v>50.716960014179172</c:v>
                </c:pt>
                <c:pt idx="252">
                  <c:v>50.455057882453815</c:v>
                </c:pt>
                <c:pt idx="253">
                  <c:v>50.189717017282128</c:v>
                </c:pt>
                <c:pt idx="254">
                  <c:v>49.920938079724628</c:v>
                </c:pt>
                <c:pt idx="255">
                  <c:v>49.648722280108046</c:v>
                </c:pt>
                <c:pt idx="256">
                  <c:v>49.373070833410395</c:v>
                </c:pt>
                <c:pt idx="257">
                  <c:v>49.093984958710578</c:v>
                </c:pt>
                <c:pt idx="258">
                  <c:v>48.811465877004935</c:v>
                </c:pt>
                <c:pt idx="259">
                  <c:v>48.525514814645682</c:v>
                </c:pt>
                <c:pt idx="260">
                  <c:v>48.235901243644761</c:v>
                </c:pt>
                <c:pt idx="261">
                  <c:v>47.942466041099891</c:v>
                </c:pt>
                <c:pt idx="262">
                  <c:v>47.645319667745248</c:v>
                </c:pt>
                <c:pt idx="263">
                  <c:v>47.344570339732648</c:v>
                </c:pt>
                <c:pt idx="264">
                  <c:v>47.04032622616122</c:v>
                </c:pt>
                <c:pt idx="265">
                  <c:v>46.732695412087956</c:v>
                </c:pt>
                <c:pt idx="266">
                  <c:v>46.421785945402696</c:v>
                </c:pt>
                <c:pt idx="267">
                  <c:v>46.107704692851208</c:v>
                </c:pt>
                <c:pt idx="268">
                  <c:v>45.790561633899657</c:v>
                </c:pt>
                <c:pt idx="269">
                  <c:v>45.470464667509383</c:v>
                </c:pt>
                <c:pt idx="270">
                  <c:v>45.147521628348322</c:v>
                </c:pt>
                <c:pt idx="271">
                  <c:v>44.82184028984382</c:v>
                </c:pt>
                <c:pt idx="272">
                  <c:v>44.493528356202958</c:v>
                </c:pt>
                <c:pt idx="273">
                  <c:v>44.162693464646232</c:v>
                </c:pt>
                <c:pt idx="274">
                  <c:v>43.827787340588202</c:v>
                </c:pt>
                <c:pt idx="275">
                  <c:v>43.487598467042602</c:v>
                </c:pt>
                <c:pt idx="276">
                  <c:v>43.142769284789729</c:v>
                </c:pt>
                <c:pt idx="277">
                  <c:v>42.79394200505525</c:v>
                </c:pt>
                <c:pt idx="278">
                  <c:v>42.441758586017883</c:v>
                </c:pt>
                <c:pt idx="279">
                  <c:v>42.086860738329484</c:v>
                </c:pt>
                <c:pt idx="280">
                  <c:v>41.7298899225135</c:v>
                </c:pt>
                <c:pt idx="281">
                  <c:v>41.371481202544651</c:v>
                </c:pt>
                <c:pt idx="282">
                  <c:v>41.012276728789246</c:v>
                </c:pt>
                <c:pt idx="283">
                  <c:v>40.652917307861188</c:v>
                </c:pt>
                <c:pt idx="284">
                  <c:v>40.294043506920566</c:v>
                </c:pt>
                <c:pt idx="285">
                  <c:v>39.936295657346115</c:v>
                </c:pt>
                <c:pt idx="286">
                  <c:v>39.58031385498235</c:v>
                </c:pt>
                <c:pt idx="287">
                  <c:v>39.226737961948309</c:v>
                </c:pt>
                <c:pt idx="288">
                  <c:v>38.873451125307604</c:v>
                </c:pt>
                <c:pt idx="289">
                  <c:v>38.518273666619081</c:v>
                </c:pt>
                <c:pt idx="290">
                  <c:v>38.161757535665473</c:v>
                </c:pt>
                <c:pt idx="291">
                  <c:v>37.80443579912118</c:v>
                </c:pt>
                <c:pt idx="292">
                  <c:v>37.446841292230246</c:v>
                </c:pt>
                <c:pt idx="293">
                  <c:v>37.089506621658884</c:v>
                </c:pt>
                <c:pt idx="294">
                  <c:v>36.732964170122266</c:v>
                </c:pt>
                <c:pt idx="295">
                  <c:v>36.377746655555271</c:v>
                </c:pt>
                <c:pt idx="296">
                  <c:v>36.024391410343092</c:v>
                </c:pt>
                <c:pt idx="297">
                  <c:v>35.673429886969828</c:v>
                </c:pt>
                <c:pt idx="298">
                  <c:v>35.32539343764018</c:v>
                </c:pt>
                <c:pt idx="299">
                  <c:v>34.980813208383687</c:v>
                </c:pt>
                <c:pt idx="300">
                  <c:v>34.640220147712974</c:v>
                </c:pt>
                <c:pt idx="301">
                  <c:v>34.304145011806462</c:v>
                </c:pt>
                <c:pt idx="302">
                  <c:v>33.971093234219268</c:v>
                </c:pt>
                <c:pt idx="303">
                  <c:v>33.639425680579045</c:v>
                </c:pt>
                <c:pt idx="304">
                  <c:v>33.309453690371818</c:v>
                </c:pt>
                <c:pt idx="305">
                  <c:v>32.981495445656343</c:v>
                </c:pt>
                <c:pt idx="306">
                  <c:v>32.655869021869592</c:v>
                </c:pt>
                <c:pt idx="307">
                  <c:v>32.332892394884098</c:v>
                </c:pt>
                <c:pt idx="308">
                  <c:v>32.012883447618108</c:v>
                </c:pt>
                <c:pt idx="309">
                  <c:v>31.696148135135861</c:v>
                </c:pt>
                <c:pt idx="310">
                  <c:v>31.383004024726475</c:v>
                </c:pt>
                <c:pt idx="311">
                  <c:v>31.073769096831221</c:v>
                </c:pt>
                <c:pt idx="312">
                  <c:v>30.768761247443315</c:v>
                </c:pt>
                <c:pt idx="313">
                  <c:v>30.468298291721368</c:v>
                </c:pt>
                <c:pt idx="314">
                  <c:v>30.172697963259395</c:v>
                </c:pt>
                <c:pt idx="315">
                  <c:v>29.882277918228336</c:v>
                </c:pt>
                <c:pt idx="316">
                  <c:v>29.595403717100016</c:v>
                </c:pt>
                <c:pt idx="317">
                  <c:v>29.310613674050842</c:v>
                </c:pt>
                <c:pt idx="318">
                  <c:v>29.02844062487744</c:v>
                </c:pt>
                <c:pt idx="319">
                  <c:v>28.749414730542771</c:v>
                </c:pt>
                <c:pt idx="320">
                  <c:v>28.474066055657417</c:v>
                </c:pt>
                <c:pt idx="321">
                  <c:v>28.202924581115408</c:v>
                </c:pt>
                <c:pt idx="322">
                  <c:v>27.936520199227118</c:v>
                </c:pt>
                <c:pt idx="323">
                  <c:v>27.675402512859993</c:v>
                </c:pt>
                <c:pt idx="324">
                  <c:v>27.420110990353631</c:v>
                </c:pt>
                <c:pt idx="325">
                  <c:v>27.171174534044887</c:v>
                </c:pt>
                <c:pt idx="326">
                  <c:v>26.929122134189743</c:v>
                </c:pt>
                <c:pt idx="327">
                  <c:v>26.694482671473619</c:v>
                </c:pt>
                <c:pt idx="328">
                  <c:v>26.467784895709137</c:v>
                </c:pt>
                <c:pt idx="329">
                  <c:v>26.249557528760938</c:v>
                </c:pt>
                <c:pt idx="330">
                  <c:v>26.037617089189489</c:v>
                </c:pt>
                <c:pt idx="331">
                  <c:v>25.829811085195708</c:v>
                </c:pt>
                <c:pt idx="332">
                  <c:v>25.626749969331399</c:v>
                </c:pt>
                <c:pt idx="333">
                  <c:v>25.429071258657732</c:v>
                </c:pt>
                <c:pt idx="334">
                  <c:v>25.237412276795013</c:v>
                </c:pt>
                <c:pt idx="335">
                  <c:v>25.052410152029264</c:v>
                </c:pt>
                <c:pt idx="336">
                  <c:v>24.874701812434925</c:v>
                </c:pt>
                <c:pt idx="337">
                  <c:v>24.704903129487274</c:v>
                </c:pt>
                <c:pt idx="338">
                  <c:v>24.543633216524693</c:v>
                </c:pt>
                <c:pt idx="339">
                  <c:v>24.391528935711722</c:v>
                </c:pt>
                <c:pt idx="340">
                  <c:v>24.249226872004293</c:v>
                </c:pt>
                <c:pt idx="341">
                  <c:v>24.117363316363829</c:v>
                </c:pt>
                <c:pt idx="342">
                  <c:v>23.996574261988357</c:v>
                </c:pt>
                <c:pt idx="343">
                  <c:v>23.887495418542663</c:v>
                </c:pt>
                <c:pt idx="344">
                  <c:v>23.788074849772435</c:v>
                </c:pt>
                <c:pt idx="345">
                  <c:v>23.696172824748647</c:v>
                </c:pt>
                <c:pt idx="346">
                  <c:v>23.612373893492457</c:v>
                </c:pt>
                <c:pt idx="347">
                  <c:v>23.537180666117901</c:v>
                </c:pt>
                <c:pt idx="348">
                  <c:v>23.471095640386839</c:v>
                </c:pt>
                <c:pt idx="349">
                  <c:v>23.414621198229192</c:v>
                </c:pt>
                <c:pt idx="350">
                  <c:v>23.368259580045404</c:v>
                </c:pt>
                <c:pt idx="351">
                  <c:v>23.332555572928705</c:v>
                </c:pt>
                <c:pt idx="352">
                  <c:v>23.308030592913592</c:v>
                </c:pt>
                <c:pt idx="353">
                  <c:v>23.295186128288147</c:v>
                </c:pt>
                <c:pt idx="354">
                  <c:v>23.294523579894339</c:v>
                </c:pt>
                <c:pt idx="355">
                  <c:v>23.306544256468385</c:v>
                </c:pt>
                <c:pt idx="356">
                  <c:v>23.331749639457179</c:v>
                </c:pt>
                <c:pt idx="357">
                  <c:v>23.370640542573831</c:v>
                </c:pt>
                <c:pt idx="358">
                  <c:v>23.423617706300139</c:v>
                </c:pt>
                <c:pt idx="359">
                  <c:v>23.490414183647605</c:v>
                </c:pt>
                <c:pt idx="360">
                  <c:v>23.570510175892696</c:v>
                </c:pt>
                <c:pt idx="361">
                  <c:v>23.663363523991539</c:v>
                </c:pt>
                <c:pt idx="362">
                  <c:v>23.768474413317755</c:v>
                </c:pt>
                <c:pt idx="363">
                  <c:v>23.885343157503179</c:v>
                </c:pt>
                <c:pt idx="364">
                  <c:v>24.013470215333125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10.439</c:v>
                </c:pt>
                <c:pt idx="70">
                  <c:v>40.956000000000003</c:v>
                </c:pt>
                <c:pt idx="71">
                  <c:v>27.803999999999998</c:v>
                </c:pt>
                <c:pt idx="72">
                  <c:v>23.11</c:v>
                </c:pt>
                <c:pt idx="73">
                  <c:v>12.707000000000001</c:v>
                </c:pt>
                <c:pt idx="74">
                  <c:v>47.841999999999999</c:v>
                </c:pt>
                <c:pt idx="75">
                  <c:v>15.763999999999999</c:v>
                </c:pt>
                <c:pt idx="76">
                  <c:v>33.887999999999998</c:v>
                </c:pt>
                <c:pt idx="77">
                  <c:v>12.301</c:v>
                </c:pt>
                <c:pt idx="78">
                  <c:v>50.628</c:v>
                </c:pt>
                <c:pt idx="79">
                  <c:v>50.87</c:v>
                </c:pt>
                <c:pt idx="80">
                  <c:v>49.661999999999999</c:v>
                </c:pt>
                <c:pt idx="81">
                  <c:v>46.54</c:v>
                </c:pt>
                <c:pt idx="82">
                  <c:v>50.965000000000003</c:v>
                </c:pt>
                <c:pt idx="83">
                  <c:v>44.454000000000001</c:v>
                </c:pt>
                <c:pt idx="84">
                  <c:v>54.258000000000003</c:v>
                </c:pt>
                <c:pt idx="85">
                  <c:v>53.420999999999999</c:v>
                </c:pt>
                <c:pt idx="86">
                  <c:v>52.405000000000001</c:v>
                </c:pt>
                <c:pt idx="87">
                  <c:v>52.863999999999997</c:v>
                </c:pt>
                <c:pt idx="88">
                  <c:v>53.802999999999997</c:v>
                </c:pt>
                <c:pt idx="89">
                  <c:v>45.543999999999997</c:v>
                </c:pt>
                <c:pt idx="90">
                  <c:v>39.637999999999998</c:v>
                </c:pt>
                <c:pt idx="91">
                  <c:v>16.885000000000002</c:v>
                </c:pt>
                <c:pt idx="92">
                  <c:v>15.369</c:v>
                </c:pt>
                <c:pt idx="93">
                  <c:v>40.959000000000003</c:v>
                </c:pt>
                <c:pt idx="94">
                  <c:v>51.905000000000001</c:v>
                </c:pt>
                <c:pt idx="95">
                  <c:v>20.521000000000001</c:v>
                </c:pt>
                <c:pt idx="96">
                  <c:v>32.926000000000002</c:v>
                </c:pt>
                <c:pt idx="97">
                  <c:v>34.781999999999996</c:v>
                </c:pt>
                <c:pt idx="98">
                  <c:v>41.207000000000001</c:v>
                </c:pt>
                <c:pt idx="99">
                  <c:v>33.856000000000002</c:v>
                </c:pt>
                <c:pt idx="100">
                  <c:v>9.7829999999999995</c:v>
                </c:pt>
                <c:pt idx="101">
                  <c:v>58.314999999999998</c:v>
                </c:pt>
                <c:pt idx="102">
                  <c:v>58.268000000000001</c:v>
                </c:pt>
                <c:pt idx="103">
                  <c:v>28.927</c:v>
                </c:pt>
                <c:pt idx="104">
                  <c:v>39.384999999999998</c:v>
                </c:pt>
                <c:pt idx="105">
                  <c:v>35.451000000000001</c:v>
                </c:pt>
                <c:pt idx="106">
                  <c:v>38.002000000000002</c:v>
                </c:pt>
                <c:pt idx="107">
                  <c:v>28.565999999999999</c:v>
                </c:pt>
                <c:pt idx="108">
                  <c:v>51.302</c:v>
                </c:pt>
                <c:pt idx="109">
                  <c:v>52.051000000000002</c:v>
                </c:pt>
                <c:pt idx="110">
                  <c:v>19.22</c:v>
                </c:pt>
                <c:pt idx="111">
                  <c:v>33.32</c:v>
                </c:pt>
                <c:pt idx="112">
                  <c:v>37.042999999999999</c:v>
                </c:pt>
                <c:pt idx="113">
                  <c:v>51.851999999999997</c:v>
                </c:pt>
                <c:pt idx="114">
                  <c:v>35.655999999999999</c:v>
                </c:pt>
                <c:pt idx="115">
                  <c:v>28.896000000000001</c:v>
                </c:pt>
                <c:pt idx="116">
                  <c:v>29.513000000000002</c:v>
                </c:pt>
                <c:pt idx="117">
                  <c:v>46.210999999999999</c:v>
                </c:pt>
                <c:pt idx="118">
                  <c:v>51.212000000000003</c:v>
                </c:pt>
                <c:pt idx="119">
                  <c:v>60.962000000000003</c:v>
                </c:pt>
                <c:pt idx="120">
                  <c:v>56.456000000000003</c:v>
                </c:pt>
                <c:pt idx="121">
                  <c:v>31.757999999999999</c:v>
                </c:pt>
                <c:pt idx="122">
                  <c:v>20.169</c:v>
                </c:pt>
                <c:pt idx="123">
                  <c:v>34.542999999999999</c:v>
                </c:pt>
                <c:pt idx="124">
                  <c:v>48.722999999999999</c:v>
                </c:pt>
                <c:pt idx="125">
                  <c:v>63.206000000000003</c:v>
                </c:pt>
                <c:pt idx="126">
                  <c:v>46.204000000000001</c:v>
                </c:pt>
                <c:pt idx="127">
                  <c:v>31.92</c:v>
                </c:pt>
                <c:pt idx="128">
                  <c:v>47.125</c:v>
                </c:pt>
                <c:pt idx="129">
                  <c:v>39.503999999999998</c:v>
                </c:pt>
                <c:pt idx="130">
                  <c:v>37.426000000000002</c:v>
                </c:pt>
                <c:pt idx="131">
                  <c:v>55.429000000000002</c:v>
                </c:pt>
                <c:pt idx="132">
                  <c:v>63.923000000000002</c:v>
                </c:pt>
                <c:pt idx="133">
                  <c:v>62.378</c:v>
                </c:pt>
                <c:pt idx="134">
                  <c:v>62.936</c:v>
                </c:pt>
                <c:pt idx="135">
                  <c:v>54.081000000000003</c:v>
                </c:pt>
                <c:pt idx="136">
                  <c:v>6.5140000000000002</c:v>
                </c:pt>
                <c:pt idx="137">
                  <c:v>36.835000000000001</c:v>
                </c:pt>
                <c:pt idx="138">
                  <c:v>26.331</c:v>
                </c:pt>
                <c:pt idx="139">
                  <c:v>52.524999999999999</c:v>
                </c:pt>
                <c:pt idx="140">
                  <c:v>50.362000000000002</c:v>
                </c:pt>
                <c:pt idx="141">
                  <c:v>59.935000000000002</c:v>
                </c:pt>
                <c:pt idx="142">
                  <c:v>51.996000000000002</c:v>
                </c:pt>
                <c:pt idx="143">
                  <c:v>12.366</c:v>
                </c:pt>
                <c:pt idx="144">
                  <c:v>25.402000000000001</c:v>
                </c:pt>
                <c:pt idx="145">
                  <c:v>26.045000000000002</c:v>
                </c:pt>
                <c:pt idx="146">
                  <c:v>31.324999999999999</c:v>
                </c:pt>
                <c:pt idx="147">
                  <c:v>27.669</c:v>
                </c:pt>
                <c:pt idx="148">
                  <c:v>40.127000000000002</c:v>
                </c:pt>
                <c:pt idx="149">
                  <c:v>56.734999999999999</c:v>
                </c:pt>
                <c:pt idx="150">
                  <c:v>61.771999999999998</c:v>
                </c:pt>
                <c:pt idx="151">
                  <c:v>62.201000000000001</c:v>
                </c:pt>
                <c:pt idx="152">
                  <c:v>61.433999999999997</c:v>
                </c:pt>
                <c:pt idx="153">
                  <c:v>47.531999999999996</c:v>
                </c:pt>
                <c:pt idx="154">
                  <c:v>56.350999999999999</c:v>
                </c:pt>
                <c:pt idx="155">
                  <c:v>10.319000000000001</c:v>
                </c:pt>
                <c:pt idx="156">
                  <c:v>57.976999999999997</c:v>
                </c:pt>
                <c:pt idx="157">
                  <c:v>22.622</c:v>
                </c:pt>
                <c:pt idx="158">
                  <c:v>62.765999999999998</c:v>
                </c:pt>
                <c:pt idx="159">
                  <c:v>51.468000000000004</c:v>
                </c:pt>
                <c:pt idx="160">
                  <c:v>20.850999999999999</c:v>
                </c:pt>
                <c:pt idx="161">
                  <c:v>32.375999999999998</c:v>
                </c:pt>
                <c:pt idx="162">
                  <c:v>55.523000000000003</c:v>
                </c:pt>
                <c:pt idx="163">
                  <c:v>63.253999999999998</c:v>
                </c:pt>
                <c:pt idx="164">
                  <c:v>25.574999999999999</c:v>
                </c:pt>
                <c:pt idx="165">
                  <c:v>25.265999999999998</c:v>
                </c:pt>
                <c:pt idx="166">
                  <c:v>62.722999999999999</c:v>
                </c:pt>
                <c:pt idx="167">
                  <c:v>61.219000000000001</c:v>
                </c:pt>
                <c:pt idx="168">
                  <c:v>58.319000000000003</c:v>
                </c:pt>
                <c:pt idx="169">
                  <c:v>50.813000000000002</c:v>
                </c:pt>
                <c:pt idx="170">
                  <c:v>31.356000000000002</c:v>
                </c:pt>
                <c:pt idx="171">
                  <c:v>11.305</c:v>
                </c:pt>
                <c:pt idx="172">
                  <c:v>54.603000000000002</c:v>
                </c:pt>
                <c:pt idx="173">
                  <c:v>53.482999999999997</c:v>
                </c:pt>
                <c:pt idx="174">
                  <c:v>38.765999999999998</c:v>
                </c:pt>
                <c:pt idx="175">
                  <c:v>55.1</c:v>
                </c:pt>
                <c:pt idx="176">
                  <c:v>58.689</c:v>
                </c:pt>
                <c:pt idx="177">
                  <c:v>58.25</c:v>
                </c:pt>
                <c:pt idx="178">
                  <c:v>57.737000000000002</c:v>
                </c:pt>
                <c:pt idx="179">
                  <c:v>56.094000000000001</c:v>
                </c:pt>
                <c:pt idx="180">
                  <c:v>51.765999999999998</c:v>
                </c:pt>
                <c:pt idx="181">
                  <c:v>17.638000000000002</c:v>
                </c:pt>
                <c:pt idx="182">
                  <c:v>31.012</c:v>
                </c:pt>
                <c:pt idx="183">
                  <c:v>48.728999999999999</c:v>
                </c:pt>
                <c:pt idx="184">
                  <c:v>57.026000000000003</c:v>
                </c:pt>
                <c:pt idx="185">
                  <c:v>55.598999999999997</c:v>
                </c:pt>
                <c:pt idx="186">
                  <c:v>54.688000000000002</c:v>
                </c:pt>
                <c:pt idx="187">
                  <c:v>51.244</c:v>
                </c:pt>
                <c:pt idx="188">
                  <c:v>35.637999999999998</c:v>
                </c:pt>
                <c:pt idx="189">
                  <c:v>20.32</c:v>
                </c:pt>
                <c:pt idx="190">
                  <c:v>59.000999999999998</c:v>
                </c:pt>
                <c:pt idx="191">
                  <c:v>59.831000000000003</c:v>
                </c:pt>
                <c:pt idx="192">
                  <c:v>60.23</c:v>
                </c:pt>
                <c:pt idx="193">
                  <c:v>52.652999999999999</c:v>
                </c:pt>
                <c:pt idx="194">
                  <c:v>59.987000000000002</c:v>
                </c:pt>
                <c:pt idx="195">
                  <c:v>61.298999999999999</c:v>
                </c:pt>
                <c:pt idx="196">
                  <c:v>59.646000000000001</c:v>
                </c:pt>
                <c:pt idx="197">
                  <c:v>52.259</c:v>
                </c:pt>
                <c:pt idx="198">
                  <c:v>40.54</c:v>
                </c:pt>
                <c:pt idx="199">
                  <c:v>58.03</c:v>
                </c:pt>
                <c:pt idx="200">
                  <c:v>27.936</c:v>
                </c:pt>
                <c:pt idx="201">
                  <c:v>46.731000000000002</c:v>
                </c:pt>
                <c:pt idx="202">
                  <c:v>50.674999999999997</c:v>
                </c:pt>
                <c:pt idx="203">
                  <c:v>54.981000000000002</c:v>
                </c:pt>
                <c:pt idx="204">
                  <c:v>55.203000000000003</c:v>
                </c:pt>
                <c:pt idx="205">
                  <c:v>55.747</c:v>
                </c:pt>
                <c:pt idx="206">
                  <c:v>22.702999999999999</c:v>
                </c:pt>
                <c:pt idx="207">
                  <c:v>12.829000000000001</c:v>
                </c:pt>
                <c:pt idx="208">
                  <c:v>53.551000000000002</c:v>
                </c:pt>
                <c:pt idx="209">
                  <c:v>57.978000000000002</c:v>
                </c:pt>
                <c:pt idx="210">
                  <c:v>28.265000000000001</c:v>
                </c:pt>
                <c:pt idx="211">
                  <c:v>55.725000000000001</c:v>
                </c:pt>
                <c:pt idx="212">
                  <c:v>50.238</c:v>
                </c:pt>
                <c:pt idx="213">
                  <c:v>55.216000000000001</c:v>
                </c:pt>
                <c:pt idx="214">
                  <c:v>55.725000000000001</c:v>
                </c:pt>
                <c:pt idx="215">
                  <c:v>53.005000000000003</c:v>
                </c:pt>
                <c:pt idx="216">
                  <c:v>53.173000000000002</c:v>
                </c:pt>
                <c:pt idx="217">
                  <c:v>39.363999999999997</c:v>
                </c:pt>
                <c:pt idx="218">
                  <c:v>43.362000000000002</c:v>
                </c:pt>
                <c:pt idx="219">
                  <c:v>53.883000000000003</c:v>
                </c:pt>
                <c:pt idx="220">
                  <c:v>50.292000000000002</c:v>
                </c:pt>
                <c:pt idx="221">
                  <c:v>40.381</c:v>
                </c:pt>
                <c:pt idx="222">
                  <c:v>24.216000000000001</c:v>
                </c:pt>
                <c:pt idx="223">
                  <c:v>28.332999999999998</c:v>
                </c:pt>
                <c:pt idx="224">
                  <c:v>48.764000000000003</c:v>
                </c:pt>
                <c:pt idx="225">
                  <c:v>55.723999999999997</c:v>
                </c:pt>
                <c:pt idx="226">
                  <c:v>28.463999999999999</c:v>
                </c:pt>
                <c:pt idx="227">
                  <c:v>54.634</c:v>
                </c:pt>
                <c:pt idx="228">
                  <c:v>53.731999999999999</c:v>
                </c:pt>
                <c:pt idx="229">
                  <c:v>37.198</c:v>
                </c:pt>
                <c:pt idx="230">
                  <c:v>34.807000000000002</c:v>
                </c:pt>
                <c:pt idx="231">
                  <c:v>31.306000000000001</c:v>
                </c:pt>
                <c:pt idx="232">
                  <c:v>49.508000000000003</c:v>
                </c:pt>
                <c:pt idx="233">
                  <c:v>55.292000000000002</c:v>
                </c:pt>
                <c:pt idx="234">
                  <c:v>52.670999999999999</c:v>
                </c:pt>
                <c:pt idx="235">
                  <c:v>52.460999999999999</c:v>
                </c:pt>
                <c:pt idx="236">
                  <c:v>46.57</c:v>
                </c:pt>
                <c:pt idx="237">
                  <c:v>43.43</c:v>
                </c:pt>
                <c:pt idx="238">
                  <c:v>31.706</c:v>
                </c:pt>
                <c:pt idx="239">
                  <c:v>38.909999999999997</c:v>
                </c:pt>
                <c:pt idx="240">
                  <c:v>50.046999999999997</c:v>
                </c:pt>
                <c:pt idx="241">
                  <c:v>49.268000000000001</c:v>
                </c:pt>
                <c:pt idx="242">
                  <c:v>46.918999999999997</c:v>
                </c:pt>
                <c:pt idx="243">
                  <c:v>17.100000000000001</c:v>
                </c:pt>
                <c:pt idx="244">
                  <c:v>51.182000000000002</c:v>
                </c:pt>
                <c:pt idx="245">
                  <c:v>52.366999999999997</c:v>
                </c:pt>
                <c:pt idx="246">
                  <c:v>52.093000000000004</c:v>
                </c:pt>
                <c:pt idx="247">
                  <c:v>37.435000000000002</c:v>
                </c:pt>
                <c:pt idx="248">
                  <c:v>53.093000000000004</c:v>
                </c:pt>
                <c:pt idx="249">
                  <c:v>48.137</c:v>
                </c:pt>
                <c:pt idx="250">
                  <c:v>45.777000000000001</c:v>
                </c:pt>
                <c:pt idx="251">
                  <c:v>39.674999999999997</c:v>
                </c:pt>
                <c:pt idx="252">
                  <c:v>13.462999999999999</c:v>
                </c:pt>
                <c:pt idx="253">
                  <c:v>46.381999999999998</c:v>
                </c:pt>
                <c:pt idx="254">
                  <c:v>49.444000000000003</c:v>
                </c:pt>
                <c:pt idx="255">
                  <c:v>38.545999999999999</c:v>
                </c:pt>
                <c:pt idx="256">
                  <c:v>40.863</c:v>
                </c:pt>
                <c:pt idx="257">
                  <c:v>41.381</c:v>
                </c:pt>
                <c:pt idx="258">
                  <c:v>42.749000000000002</c:v>
                </c:pt>
                <c:pt idx="259">
                  <c:v>41.570999999999998</c:v>
                </c:pt>
                <c:pt idx="260">
                  <c:v>26.959</c:v>
                </c:pt>
                <c:pt idx="261">
                  <c:v>41.581000000000003</c:v>
                </c:pt>
                <c:pt idx="262">
                  <c:v>46.054000000000002</c:v>
                </c:pt>
                <c:pt idx="263">
                  <c:v>33.362000000000002</c:v>
                </c:pt>
                <c:pt idx="264">
                  <c:v>8.6349999999999998</c:v>
                </c:pt>
                <c:pt idx="265">
                  <c:v>40.771000000000001</c:v>
                </c:pt>
                <c:pt idx="266">
                  <c:v>28.036999999999999</c:v>
                </c:pt>
                <c:pt idx="267">
                  <c:v>29.97</c:v>
                </c:pt>
                <c:pt idx="268">
                  <c:v>36.959000000000003</c:v>
                </c:pt>
                <c:pt idx="269">
                  <c:v>36.957000000000001</c:v>
                </c:pt>
                <c:pt idx="270">
                  <c:v>37.308999999999997</c:v>
                </c:pt>
                <c:pt idx="271">
                  <c:v>42.851999999999997</c:v>
                </c:pt>
                <c:pt idx="272">
                  <c:v>26.725000000000001</c:v>
                </c:pt>
                <c:pt idx="273">
                  <c:v>33.017000000000003</c:v>
                </c:pt>
                <c:pt idx="274">
                  <c:v>23.542000000000002</c:v>
                </c:pt>
                <c:pt idx="275">
                  <c:v>34.439</c:v>
                </c:pt>
                <c:pt idx="276">
                  <c:v>10.154</c:v>
                </c:pt>
                <c:pt idx="277">
                  <c:v>38.624000000000002</c:v>
                </c:pt>
                <c:pt idx="278">
                  <c:v>18.22</c:v>
                </c:pt>
                <c:pt idx="279">
                  <c:v>29.942</c:v>
                </c:pt>
                <c:pt idx="280">
                  <c:v>38.933999999999997</c:v>
                </c:pt>
                <c:pt idx="281">
                  <c:v>9.4390000000000001</c:v>
                </c:pt>
                <c:pt idx="282">
                  <c:v>29.207999999999998</c:v>
                </c:pt>
                <c:pt idx="283">
                  <c:v>40.503</c:v>
                </c:pt>
                <c:pt idx="284">
                  <c:v>20.334</c:v>
                </c:pt>
                <c:pt idx="285">
                  <c:v>38.298999999999999</c:v>
                </c:pt>
                <c:pt idx="286">
                  <c:v>11.923999999999999</c:v>
                </c:pt>
                <c:pt idx="287">
                  <c:v>31.414000000000001</c:v>
                </c:pt>
                <c:pt idx="288">
                  <c:v>32.549999999999997</c:v>
                </c:pt>
                <c:pt idx="289">
                  <c:v>19.739999999999998</c:v>
                </c:pt>
                <c:pt idx="290">
                  <c:v>14.943</c:v>
                </c:pt>
                <c:pt idx="291">
                  <c:v>29.605</c:v>
                </c:pt>
                <c:pt idx="292">
                  <c:v>12.15</c:v>
                </c:pt>
                <c:pt idx="293">
                  <c:v>23.722999999999999</c:v>
                </c:pt>
                <c:pt idx="294">
                  <c:v>4.7590000000000003</c:v>
                </c:pt>
                <c:pt idx="295">
                  <c:v>17.518000000000001</c:v>
                </c:pt>
                <c:pt idx="296">
                  <c:v>17.276</c:v>
                </c:pt>
                <c:pt idx="297">
                  <c:v>29.623000000000001</c:v>
                </c:pt>
                <c:pt idx="298">
                  <c:v>34.856000000000002</c:v>
                </c:pt>
                <c:pt idx="299">
                  <c:v>23.995000000000001</c:v>
                </c:pt>
                <c:pt idx="300">
                  <c:v>9.3439999999999994</c:v>
                </c:pt>
                <c:pt idx="301">
                  <c:v>28.907</c:v>
                </c:pt>
                <c:pt idx="302">
                  <c:v>22.518000000000001</c:v>
                </c:pt>
                <c:pt idx="303">
                  <c:v>17.483000000000001</c:v>
                </c:pt>
                <c:pt idx="304">
                  <c:v>6.9980000000000002</c:v>
                </c:pt>
                <c:pt idx="305">
                  <c:v>5.452</c:v>
                </c:pt>
                <c:pt idx="306">
                  <c:v>13.724</c:v>
                </c:pt>
                <c:pt idx="307">
                  <c:v>12.086</c:v>
                </c:pt>
                <c:pt idx="308">
                  <c:v>12.923999999999999</c:v>
                </c:pt>
                <c:pt idx="309">
                  <c:v>13.179</c:v>
                </c:pt>
                <c:pt idx="310">
                  <c:v>4.194</c:v>
                </c:pt>
                <c:pt idx="311">
                  <c:v>13.144</c:v>
                </c:pt>
                <c:pt idx="312">
                  <c:v>19.541</c:v>
                </c:pt>
                <c:pt idx="313">
                  <c:v>18.576000000000001</c:v>
                </c:pt>
                <c:pt idx="314">
                  <c:v>23.495999999999999</c:v>
                </c:pt>
                <c:pt idx="315">
                  <c:v>18.504000000000001</c:v>
                </c:pt>
                <c:pt idx="316">
                  <c:v>18.808</c:v>
                </c:pt>
                <c:pt idx="317">
                  <c:v>5.8070000000000004</c:v>
                </c:pt>
                <c:pt idx="318">
                  <c:v>11.558</c:v>
                </c:pt>
                <c:pt idx="319">
                  <c:v>14.265000000000001</c:v>
                </c:pt>
                <c:pt idx="320">
                  <c:v>12.523</c:v>
                </c:pt>
                <c:pt idx="321">
                  <c:v>11.513</c:v>
                </c:pt>
                <c:pt idx="322">
                  <c:v>18.334</c:v>
                </c:pt>
                <c:pt idx="323">
                  <c:v>27.77</c:v>
                </c:pt>
                <c:pt idx="324">
                  <c:v>27.106999999999999</c:v>
                </c:pt>
                <c:pt idx="325">
                  <c:v>13.29</c:v>
                </c:pt>
                <c:pt idx="326">
                  <c:v>6.8159999999999998</c:v>
                </c:pt>
                <c:pt idx="327">
                  <c:v>13.776999999999999</c:v>
                </c:pt>
                <c:pt idx="328">
                  <c:v>11.683999999999999</c:v>
                </c:pt>
                <c:pt idx="329">
                  <c:v>19.134</c:v>
                </c:pt>
                <c:pt idx="330">
                  <c:v>18.959</c:v>
                </c:pt>
                <c:pt idx="331">
                  <c:v>11.706</c:v>
                </c:pt>
                <c:pt idx="332">
                  <c:v>15.666</c:v>
                </c:pt>
                <c:pt idx="333">
                  <c:v>11.48</c:v>
                </c:pt>
                <c:pt idx="334">
                  <c:v>7.9050000000000002</c:v>
                </c:pt>
                <c:pt idx="335">
                  <c:v>4.1319999999999997</c:v>
                </c:pt>
                <c:pt idx="336">
                  <c:v>4.6120000000000001</c:v>
                </c:pt>
                <c:pt idx="337">
                  <c:v>6.0949999999999998</c:v>
                </c:pt>
                <c:pt idx="338">
                  <c:v>8.9540000000000006</c:v>
                </c:pt>
                <c:pt idx="339">
                  <c:v>8.782</c:v>
                </c:pt>
                <c:pt idx="340">
                  <c:v>15.117000000000001</c:v>
                </c:pt>
                <c:pt idx="341">
                  <c:v>16.524999999999999</c:v>
                </c:pt>
                <c:pt idx="342">
                  <c:v>11.446999999999999</c:v>
                </c:pt>
                <c:pt idx="343">
                  <c:v>20.876000000000001</c:v>
                </c:pt>
                <c:pt idx="344">
                  <c:v>1.897</c:v>
                </c:pt>
                <c:pt idx="345">
                  <c:v>4.6219999999999999</c:v>
                </c:pt>
                <c:pt idx="346">
                  <c:v>2.383</c:v>
                </c:pt>
                <c:pt idx="347">
                  <c:v>18.283000000000001</c:v>
                </c:pt>
                <c:pt idx="348">
                  <c:v>24.021999999999998</c:v>
                </c:pt>
                <c:pt idx="349">
                  <c:v>14.061</c:v>
                </c:pt>
                <c:pt idx="350">
                  <c:v>12.568</c:v>
                </c:pt>
                <c:pt idx="351">
                  <c:v>18.443999999999999</c:v>
                </c:pt>
                <c:pt idx="352">
                  <c:v>10.648</c:v>
                </c:pt>
                <c:pt idx="353">
                  <c:v>8.6180000000000003</c:v>
                </c:pt>
                <c:pt idx="354">
                  <c:v>19.038</c:v>
                </c:pt>
                <c:pt idx="355">
                  <c:v>7.1509999999999998</c:v>
                </c:pt>
                <c:pt idx="356">
                  <c:v>6.6550000000000002</c:v>
                </c:pt>
                <c:pt idx="357">
                  <c:v>13.207000000000001</c:v>
                </c:pt>
                <c:pt idx="358">
                  <c:v>11.131</c:v>
                </c:pt>
                <c:pt idx="359">
                  <c:v>8.1690000000000005</c:v>
                </c:pt>
                <c:pt idx="360">
                  <c:v>20.562999999999999</c:v>
                </c:pt>
                <c:pt idx="361">
                  <c:v>4.319</c:v>
                </c:pt>
                <c:pt idx="362">
                  <c:v>24.161000000000001</c:v>
                </c:pt>
                <c:pt idx="363">
                  <c:v>24.164000000000001</c:v>
                </c:pt>
                <c:pt idx="364">
                  <c:v>17.335000000000001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101296"/>
        <c:axId val="470101688"/>
      </c:lineChart>
      <c:dateAx>
        <c:axId val="470101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0101688"/>
        <c:crosses val="autoZero"/>
        <c:auto val="1"/>
        <c:lblOffset val="100"/>
        <c:baseTimeUnit val="days"/>
        <c:majorUnit val="1"/>
        <c:majorTimeUnit val="months"/>
      </c:dateAx>
      <c:valAx>
        <c:axId val="4701016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01012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1.9164771863366958E-5</c:v>
                </c:pt>
                <c:pt idx="17">
                  <c:v>3.8329176438200996E-5</c:v>
                </c:pt>
                <c:pt idx="18">
                  <c:v>5.749321373160754E-5</c:v>
                </c:pt>
                <c:pt idx="19">
                  <c:v>7.6656883750580995E-5</c:v>
                </c:pt>
                <c:pt idx="20">
                  <c:v>9.582018650222679E-5</c:v>
                </c:pt>
                <c:pt idx="21">
                  <c:v>1.1498312199365035E-4</c:v>
                </c:pt>
                <c:pt idx="22">
                  <c:v>1.3414569023162404E-4</c:v>
                </c:pt>
                <c:pt idx="23">
                  <c:v>1.5330789122347532E-4</c:v>
                </c:pt>
                <c:pt idx="24">
                  <c:v>1.7246972497597657E-4</c:v>
                </c:pt>
                <c:pt idx="25">
                  <c:v>1.9163119149645524E-4</c:v>
                </c:pt>
                <c:pt idx="26">
                  <c:v>2.1079229079168371E-4</c:v>
                </c:pt>
                <c:pt idx="27">
                  <c:v>2.2995302286887842E-4</c:v>
                </c:pt>
                <c:pt idx="28">
                  <c:v>2.4911338773492275E-4</c:v>
                </c:pt>
                <c:pt idx="29">
                  <c:v>2.6827338539703316E-4</c:v>
                </c:pt>
                <c:pt idx="30">
                  <c:v>2.8743301586220404E-4</c:v>
                </c:pt>
                <c:pt idx="31">
                  <c:v>3.0659227913731879E-4</c:v>
                </c:pt>
                <c:pt idx="32">
                  <c:v>3.2575117522959385E-4</c:v>
                </c:pt>
                <c:pt idx="33">
                  <c:v>3.4490970414602362E-4</c:v>
                </c:pt>
                <c:pt idx="34">
                  <c:v>3.6406786589349149E-4</c:v>
                </c:pt>
                <c:pt idx="35">
                  <c:v>3.8322566047921391E-4</c:v>
                </c:pt>
                <c:pt idx="36">
                  <c:v>4.0238308791029631E-4</c:v>
                </c:pt>
                <c:pt idx="37">
                  <c:v>4.2154014819351104E-4</c:v>
                </c:pt>
                <c:pt idx="38">
                  <c:v>4.4069684133607456E-4</c:v>
                </c:pt>
                <c:pt idx="39">
                  <c:v>4.5985316734498127E-4</c:v>
                </c:pt>
                <c:pt idx="40">
                  <c:v>4.7900912622722558E-4</c:v>
                </c:pt>
                <c:pt idx="41">
                  <c:v>4.9816471799002393E-4</c:v>
                </c:pt>
                <c:pt idx="42">
                  <c:v>5.1731994264014869E-4</c:v>
                </c:pt>
                <c:pt idx="43">
                  <c:v>5.364748001848163E-4</c:v>
                </c:pt>
                <c:pt idx="44">
                  <c:v>5.5562929063102118E-4</c:v>
                </c:pt>
                <c:pt idx="45">
                  <c:v>5.7478341398575772E-4</c:v>
                </c:pt>
                <c:pt idx="46">
                  <c:v>5.9393717025602033E-4</c:v>
                </c:pt>
                <c:pt idx="47">
                  <c:v>6.1309055944902546E-4</c:v>
                </c:pt>
                <c:pt idx="48">
                  <c:v>6.322435815716565E-4</c:v>
                </c:pt>
                <c:pt idx="49">
                  <c:v>6.5139623663101887E-4</c:v>
                </c:pt>
                <c:pt idx="50">
                  <c:v>6.7054852463410697E-4</c:v>
                </c:pt>
                <c:pt idx="51">
                  <c:v>6.8970044558791521E-4</c:v>
                </c:pt>
                <c:pt idx="52">
                  <c:v>7.0885199949954902E-4</c:v>
                </c:pt>
                <c:pt idx="53">
                  <c:v>7.2800318637600281E-4</c:v>
                </c:pt>
                <c:pt idx="54">
                  <c:v>7.4715400622438199E-4</c:v>
                </c:pt>
                <c:pt idx="55">
                  <c:v>7.6630445905168099E-4</c:v>
                </c:pt>
                <c:pt idx="56">
                  <c:v>7.8545454486489419E-4</c:v>
                </c:pt>
                <c:pt idx="57">
                  <c:v>8.0460426367101601E-4</c:v>
                </c:pt>
                <c:pt idx="58">
                  <c:v>8.2375361547726289E-4</c:v>
                </c:pt>
                <c:pt idx="59">
                  <c:v>8.429026002904072E-4</c:v>
                </c:pt>
                <c:pt idx="60">
                  <c:v>8.6205121811777641E-4</c:v>
                </c:pt>
                <c:pt idx="61">
                  <c:v>8.8119946896614287E-4</c:v>
                </c:pt>
                <c:pt idx="62">
                  <c:v>9.0034735284272305E-4</c:v>
                </c:pt>
                <c:pt idx="63">
                  <c:v>9.1949486975440031E-4</c:v>
                </c:pt>
                <c:pt idx="64">
                  <c:v>9.3864201970839112E-4</c:v>
                </c:pt>
                <c:pt idx="65">
                  <c:v>9.5778880271157885E-4</c:v>
                </c:pt>
                <c:pt idx="66">
                  <c:v>9.769352187709579E-4</c:v>
                </c:pt>
                <c:pt idx="67">
                  <c:v>9.9608126789374474E-4</c:v>
                </c:pt>
                <c:pt idx="68">
                  <c:v>1.0152269500868227E-3</c:v>
                </c:pt>
                <c:pt idx="69">
                  <c:v>1.0343722653572973E-3</c:v>
                </c:pt>
                <c:pt idx="70">
                  <c:v>1.0535172137120519E-3</c:v>
                </c:pt>
                <c:pt idx="71">
                  <c:v>1.0726617951584139E-3</c:v>
                </c:pt>
                <c:pt idx="72">
                  <c:v>1.0918060097031557E-3</c:v>
                </c:pt>
                <c:pt idx="73">
                  <c:v>1.1109498573533827E-3</c:v>
                </c:pt>
                <c:pt idx="74">
                  <c:v>1.1300933381162004E-3</c:v>
                </c:pt>
                <c:pt idx="75">
                  <c:v>1.1492364519984921E-3</c:v>
                </c:pt>
                <c:pt idx="76">
                  <c:v>1.1683791990073633E-3</c:v>
                </c:pt>
                <c:pt idx="77">
                  <c:v>1.1875215791499194E-3</c:v>
                </c:pt>
                <c:pt idx="78">
                  <c:v>1.2066635924331548E-3</c:v>
                </c:pt>
                <c:pt idx="79">
                  <c:v>1.2258052388639529E-3</c:v>
                </c:pt>
                <c:pt idx="80">
                  <c:v>1.2449465184496411E-3</c:v>
                </c:pt>
                <c:pt idx="81">
                  <c:v>1.2640874311968808E-3</c:v>
                </c:pt>
                <c:pt idx="82">
                  <c:v>1.2832279771129995E-3</c:v>
                </c:pt>
                <c:pt idx="83">
                  <c:v>1.3023681562048806E-3</c:v>
                </c:pt>
                <c:pt idx="84">
                  <c:v>1.3215079684796294E-3</c:v>
                </c:pt>
                <c:pt idx="85">
                  <c:v>1.3406474139442404E-3</c:v>
                </c:pt>
                <c:pt idx="86">
                  <c:v>1.359786492605819E-3</c:v>
                </c:pt>
                <c:pt idx="87">
                  <c:v>1.3789252044712486E-3</c:v>
                </c:pt>
                <c:pt idx="88">
                  <c:v>1.3980635495475235E-3</c:v>
                </c:pt>
                <c:pt idx="89">
                  <c:v>1.4172015278419714E-3</c:v>
                </c:pt>
                <c:pt idx="90">
                  <c:v>1.4363391393613645E-3</c:v>
                </c:pt>
                <c:pt idx="91">
                  <c:v>1.4554763841126972E-3</c:v>
                </c:pt>
                <c:pt idx="92">
                  <c:v>1.474613262103186E-3</c:v>
                </c:pt>
                <c:pt idx="93">
                  <c:v>1.4937497733398253E-3</c:v>
                </c:pt>
                <c:pt idx="94">
                  <c:v>1.5128859178294984E-3</c:v>
                </c:pt>
                <c:pt idx="95">
                  <c:v>1.5320216955794219E-3</c:v>
                </c:pt>
                <c:pt idx="96">
                  <c:v>1.5511571065964791E-3</c:v>
                </c:pt>
                <c:pt idx="97">
                  <c:v>1.5702921508876644E-3</c:v>
                </c:pt>
                <c:pt idx="98">
                  <c:v>1.5894268284601942E-3</c:v>
                </c:pt>
                <c:pt idx="99">
                  <c:v>1.608561139320952E-3</c:v>
                </c:pt>
                <c:pt idx="100">
                  <c:v>1.6276950834770432E-3</c:v>
                </c:pt>
                <c:pt idx="101">
                  <c:v>1.6468286609354621E-3</c:v>
                </c:pt>
                <c:pt idx="102">
                  <c:v>1.6659618717032032E-3</c:v>
                </c:pt>
                <c:pt idx="103">
                  <c:v>1.6850947157873719E-3</c:v>
                </c:pt>
                <c:pt idx="104">
                  <c:v>1.7042271931948516E-3</c:v>
                </c:pt>
                <c:pt idx="105">
                  <c:v>1.7233593039328587E-3</c:v>
                </c:pt>
                <c:pt idx="106">
                  <c:v>1.7424910480082767E-3</c:v>
                </c:pt>
                <c:pt idx="107">
                  <c:v>1.7616224254282109E-3</c:v>
                </c:pt>
                <c:pt idx="108">
                  <c:v>1.7807534361996558E-3</c:v>
                </c:pt>
                <c:pt idx="109">
                  <c:v>1.7998840803296057E-3</c:v>
                </c:pt>
                <c:pt idx="110">
                  <c:v>1.8190143578251661E-3</c:v>
                </c:pt>
                <c:pt idx="111">
                  <c:v>1.8381442686933314E-3</c:v>
                </c:pt>
                <c:pt idx="112">
                  <c:v>1.8572738129410959E-3</c:v>
                </c:pt>
                <c:pt idx="113">
                  <c:v>1.8764029905755653E-3</c:v>
                </c:pt>
                <c:pt idx="114">
                  <c:v>1.8955318016036227E-3</c:v>
                </c:pt>
                <c:pt idx="115">
                  <c:v>1.9146602460324846E-3</c:v>
                </c:pt>
                <c:pt idx="116">
                  <c:v>1.9337883238690345E-3</c:v>
                </c:pt>
                <c:pt idx="117">
                  <c:v>1.9529160351202668E-3</c:v>
                </c:pt>
                <c:pt idx="118">
                  <c:v>1.9720433797932868E-3</c:v>
                </c:pt>
                <c:pt idx="119">
                  <c:v>1.9911703578952E-3</c:v>
                </c:pt>
                <c:pt idx="120">
                  <c:v>2.0102969694328898E-3</c:v>
                </c:pt>
                <c:pt idx="121">
                  <c:v>2.0294232144134616E-3</c:v>
                </c:pt>
                <c:pt idx="122">
                  <c:v>2.0485490928437988E-3</c:v>
                </c:pt>
                <c:pt idx="123">
                  <c:v>2.0676746047311179E-3</c:v>
                </c:pt>
                <c:pt idx="124">
                  <c:v>2.0867997500824131E-3</c:v>
                </c:pt>
                <c:pt idx="125">
                  <c:v>2.105924528904568E-3</c:v>
                </c:pt>
                <c:pt idx="126">
                  <c:v>2.125048941204799E-3</c:v>
                </c:pt>
                <c:pt idx="127">
                  <c:v>2.1441729869899895E-3</c:v>
                </c:pt>
                <c:pt idx="128">
                  <c:v>2.1632966662672448E-3</c:v>
                </c:pt>
                <c:pt idx="129">
                  <c:v>2.1824199790434484E-3</c:v>
                </c:pt>
                <c:pt idx="130">
                  <c:v>2.2015429253258167E-3</c:v>
                </c:pt>
                <c:pt idx="131">
                  <c:v>2.2206655051212332E-3</c:v>
                </c:pt>
                <c:pt idx="132">
                  <c:v>2.2397877184368031E-3</c:v>
                </c:pt>
                <c:pt idx="133">
                  <c:v>2.25890956527941E-3</c:v>
                </c:pt>
                <c:pt idx="134">
                  <c:v>2.2780310456562702E-3</c:v>
                </c:pt>
                <c:pt idx="135">
                  <c:v>2.2971521595743782E-3</c:v>
                </c:pt>
                <c:pt idx="136">
                  <c:v>2.3162729070406174E-3</c:v>
                </c:pt>
                <c:pt idx="137">
                  <c:v>2.3353932880620931E-3</c:v>
                </c:pt>
                <c:pt idx="138">
                  <c:v>2.3545133026459109E-3</c:v>
                </c:pt>
                <c:pt idx="139">
                  <c:v>2.373632950798954E-3</c:v>
                </c:pt>
                <c:pt idx="140">
                  <c:v>2.3927522325282169E-3</c:v>
                </c:pt>
                <c:pt idx="141">
                  <c:v>2.4118711478409161E-3</c:v>
                </c:pt>
                <c:pt idx="142">
                  <c:v>2.4309896967439348E-3</c:v>
                </c:pt>
                <c:pt idx="143">
                  <c:v>2.4501078792443787E-3</c:v>
                </c:pt>
                <c:pt idx="144">
                  <c:v>2.4692256953491309E-3</c:v>
                </c:pt>
                <c:pt idx="145">
                  <c:v>2.4883431450654081E-3</c:v>
                </c:pt>
                <c:pt idx="146">
                  <c:v>2.5074602283999825E-3</c:v>
                </c:pt>
                <c:pt idx="147">
                  <c:v>2.5265769453600706E-3</c:v>
                </c:pt>
                <c:pt idx="148">
                  <c:v>2.5456932959526668E-3</c:v>
                </c:pt>
                <c:pt idx="149">
                  <c:v>2.5648092801847655E-3</c:v>
                </c:pt>
                <c:pt idx="150">
                  <c:v>2.5839248980633611E-3</c:v>
                </c:pt>
                <c:pt idx="151">
                  <c:v>2.6030401495955591E-3</c:v>
                </c:pt>
                <c:pt idx="152">
                  <c:v>2.6221550347882427E-3</c:v>
                </c:pt>
                <c:pt idx="153">
                  <c:v>2.6412695536486286E-3</c:v>
                </c:pt>
                <c:pt idx="154">
                  <c:v>2.660383706183489E-3</c:v>
                </c:pt>
                <c:pt idx="155">
                  <c:v>2.6794974924000403E-3</c:v>
                </c:pt>
                <c:pt idx="156">
                  <c:v>2.6986109123052771E-3</c:v>
                </c:pt>
                <c:pt idx="157">
                  <c:v>2.7177239659060826E-3</c:v>
                </c:pt>
                <c:pt idx="158">
                  <c:v>2.7368366532096733E-3</c:v>
                </c:pt>
                <c:pt idx="159">
                  <c:v>2.7559489742228216E-3</c:v>
                </c:pt>
                <c:pt idx="160">
                  <c:v>2.7750609289528549E-3</c:v>
                </c:pt>
                <c:pt idx="161">
                  <c:v>2.7941725174065457E-3</c:v>
                </c:pt>
                <c:pt idx="162">
                  <c:v>2.8132837395911103E-3</c:v>
                </c:pt>
                <c:pt idx="163">
                  <c:v>2.8323945955133212E-3</c:v>
                </c:pt>
                <c:pt idx="164">
                  <c:v>2.8515050851803947E-3</c:v>
                </c:pt>
                <c:pt idx="165">
                  <c:v>2.8706152085993253E-3</c:v>
                </c:pt>
                <c:pt idx="166">
                  <c:v>2.8897249657771074E-3</c:v>
                </c:pt>
                <c:pt idx="167">
                  <c:v>2.9088343567207353E-3</c:v>
                </c:pt>
                <c:pt idx="168">
                  <c:v>2.9279433814372036E-3</c:v>
                </c:pt>
                <c:pt idx="169">
                  <c:v>2.9470520399336175E-3</c:v>
                </c:pt>
                <c:pt idx="170">
                  <c:v>2.9661603322169716E-3</c:v>
                </c:pt>
                <c:pt idx="171">
                  <c:v>2.9852682582942602E-3</c:v>
                </c:pt>
                <c:pt idx="172">
                  <c:v>3.0043758181724778E-3</c:v>
                </c:pt>
                <c:pt idx="173">
                  <c:v>3.0234830118586187E-3</c:v>
                </c:pt>
                <c:pt idx="174">
                  <c:v>3.0425898393597883E-3</c:v>
                </c:pt>
                <c:pt idx="175">
                  <c:v>3.0616963006829812E-3</c:v>
                </c:pt>
                <c:pt idx="176">
                  <c:v>3.0808023958351916E-3</c:v>
                </c:pt>
                <c:pt idx="177">
                  <c:v>3.099908124823525E-3</c:v>
                </c:pt>
                <c:pt idx="178">
                  <c:v>3.1190134876548647E-3</c:v>
                </c:pt>
                <c:pt idx="179">
                  <c:v>3.1381184843362053E-3</c:v>
                </c:pt>
                <c:pt idx="180">
                  <c:v>3.1572231148747631E-3</c:v>
                </c:pt>
                <c:pt idx="181">
                  <c:v>3.1763273792774216E-3</c:v>
                </c:pt>
                <c:pt idx="182">
                  <c:v>3.195431277551064E-3</c:v>
                </c:pt>
                <c:pt idx="183">
                  <c:v>3.214534809703018E-3</c:v>
                </c:pt>
                <c:pt idx="184">
                  <c:v>3.2336379757400557E-3</c:v>
                </c:pt>
                <c:pt idx="185">
                  <c:v>3.2527407756692828E-3</c:v>
                </c:pt>
                <c:pt idx="186">
                  <c:v>3.2718432094978045E-3</c:v>
                </c:pt>
                <c:pt idx="187">
                  <c:v>3.2909452772323933E-3</c:v>
                </c:pt>
                <c:pt idx="188">
                  <c:v>3.3100469788802656E-3</c:v>
                </c:pt>
                <c:pt idx="189">
                  <c:v>3.3291483144484157E-3</c:v>
                </c:pt>
                <c:pt idx="190">
                  <c:v>3.3482492839438383E-3</c:v>
                </c:pt>
                <c:pt idx="191">
                  <c:v>3.3673498873735275E-3</c:v>
                </c:pt>
                <c:pt idx="192">
                  <c:v>3.3864501247444778E-3</c:v>
                </c:pt>
                <c:pt idx="193">
                  <c:v>3.4055499960636837E-3</c:v>
                </c:pt>
                <c:pt idx="194">
                  <c:v>3.4246495013383615E-3</c:v>
                </c:pt>
                <c:pt idx="195">
                  <c:v>3.4437486405752837E-3</c:v>
                </c:pt>
                <c:pt idx="196">
                  <c:v>3.4628474137815557E-3</c:v>
                </c:pt>
                <c:pt idx="197">
                  <c:v>3.4819458209641718E-3</c:v>
                </c:pt>
                <c:pt idx="198">
                  <c:v>3.5010438621302375E-3</c:v>
                </c:pt>
                <c:pt idx="199">
                  <c:v>3.5201415372866363E-3</c:v>
                </c:pt>
                <c:pt idx="200">
                  <c:v>3.5392388464404734E-3</c:v>
                </c:pt>
                <c:pt idx="201">
                  <c:v>3.5583357895988543E-3</c:v>
                </c:pt>
                <c:pt idx="202">
                  <c:v>3.5774323667685515E-3</c:v>
                </c:pt>
                <c:pt idx="203">
                  <c:v>3.5965285779566702E-3</c:v>
                </c:pt>
                <c:pt idx="204">
                  <c:v>3.6156244231703161E-3</c:v>
                </c:pt>
                <c:pt idx="205">
                  <c:v>3.6347199024164834E-3</c:v>
                </c:pt>
                <c:pt idx="206">
                  <c:v>3.6538150157020555E-3</c:v>
                </c:pt>
                <c:pt idx="207">
                  <c:v>3.6729097630342489E-3</c:v>
                </c:pt>
                <c:pt idx="208">
                  <c:v>3.6920041444198359E-3</c:v>
                </c:pt>
                <c:pt idx="209">
                  <c:v>3.7110981598660331E-3</c:v>
                </c:pt>
                <c:pt idx="210">
                  <c:v>3.7301918093798347E-3</c:v>
                </c:pt>
                <c:pt idx="211">
                  <c:v>3.7492850929681243E-3</c:v>
                </c:pt>
                <c:pt idx="212">
                  <c:v>3.7683780106380071E-3</c:v>
                </c:pt>
                <c:pt idx="213">
                  <c:v>3.7874705623964777E-3</c:v>
                </c:pt>
                <c:pt idx="214">
                  <c:v>3.8065627482505304E-3</c:v>
                </c:pt>
                <c:pt idx="215">
                  <c:v>3.8256545682071597E-3</c:v>
                </c:pt>
                <c:pt idx="216">
                  <c:v>3.8447460222734708E-3</c:v>
                </c:pt>
                <c:pt idx="217">
                  <c:v>3.8638371104564584E-3</c:v>
                </c:pt>
                <c:pt idx="218">
                  <c:v>3.8829278327631167E-3</c:v>
                </c:pt>
                <c:pt idx="219">
                  <c:v>3.9020181892003292E-3</c:v>
                </c:pt>
                <c:pt idx="220">
                  <c:v>3.9211081797753122E-3</c:v>
                </c:pt>
                <c:pt idx="221">
                  <c:v>3.9401978044948383E-3</c:v>
                </c:pt>
                <c:pt idx="222">
                  <c:v>3.9592870633662347E-3</c:v>
                </c:pt>
                <c:pt idx="223">
                  <c:v>3.9783759563962739E-3</c:v>
                </c:pt>
                <c:pt idx="224">
                  <c:v>3.9974644835919504E-3</c:v>
                </c:pt>
                <c:pt idx="225">
                  <c:v>4.0165526449604805E-3</c:v>
                </c:pt>
                <c:pt idx="226">
                  <c:v>4.0356404405086366E-3</c:v>
                </c:pt>
                <c:pt idx="227">
                  <c:v>4.0547278702436351E-3</c:v>
                </c:pt>
                <c:pt idx="228">
                  <c:v>4.0738149341723595E-3</c:v>
                </c:pt>
                <c:pt idx="229">
                  <c:v>4.0929016323019152E-3</c:v>
                </c:pt>
                <c:pt idx="230">
                  <c:v>4.1119879646391855E-3</c:v>
                </c:pt>
                <c:pt idx="231">
                  <c:v>4.1310739311912759E-3</c:v>
                </c:pt>
                <c:pt idx="232">
                  <c:v>4.1501595319651807E-3</c:v>
                </c:pt>
                <c:pt idx="233">
                  <c:v>4.1692447669678945E-3</c:v>
                </c:pt>
                <c:pt idx="234">
                  <c:v>4.1883296362064115E-3</c:v>
                </c:pt>
                <c:pt idx="235">
                  <c:v>4.2074141396878373E-3</c:v>
                </c:pt>
                <c:pt idx="236">
                  <c:v>4.2264982774190551E-3</c:v>
                </c:pt>
                <c:pt idx="237">
                  <c:v>4.2455820494070595E-3</c:v>
                </c:pt>
                <c:pt idx="238">
                  <c:v>4.2646654556590669E-3</c:v>
                </c:pt>
                <c:pt idx="239">
                  <c:v>4.2837484961818495E-3</c:v>
                </c:pt>
                <c:pt idx="240">
                  <c:v>4.3028311709825129E-3</c:v>
                </c:pt>
                <c:pt idx="241">
                  <c:v>4.3219134800680514E-3</c:v>
                </c:pt>
                <c:pt idx="242">
                  <c:v>4.3409954234455705E-3</c:v>
                </c:pt>
                <c:pt idx="243">
                  <c:v>4.3600770011219536E-3</c:v>
                </c:pt>
                <c:pt idx="244">
                  <c:v>4.3791582131043061E-3</c:v>
                </c:pt>
                <c:pt idx="245">
                  <c:v>4.3982390593995113E-3</c:v>
                </c:pt>
                <c:pt idx="246">
                  <c:v>4.4173195400146748E-3</c:v>
                </c:pt>
                <c:pt idx="247">
                  <c:v>4.4363996549567908E-3</c:v>
                </c:pt>
                <c:pt idx="248">
                  <c:v>4.4554794042328538E-3</c:v>
                </c:pt>
                <c:pt idx="249">
                  <c:v>4.4745587878498583E-3</c:v>
                </c:pt>
                <c:pt idx="250">
                  <c:v>4.4936378058147985E-3</c:v>
                </c:pt>
                <c:pt idx="251">
                  <c:v>4.5127164581347801E-3</c:v>
                </c:pt>
                <c:pt idx="252">
                  <c:v>4.5317947448166862E-3</c:v>
                </c:pt>
                <c:pt idx="253">
                  <c:v>4.5508726658676224E-3</c:v>
                </c:pt>
                <c:pt idx="254">
                  <c:v>4.5699502212945831E-3</c:v>
                </c:pt>
                <c:pt idx="255">
                  <c:v>4.5890274111044516E-3</c:v>
                </c:pt>
                <c:pt idx="256">
                  <c:v>4.6081042353044444E-3</c:v>
                </c:pt>
                <c:pt idx="257">
                  <c:v>4.6271806939013338E-3</c:v>
                </c:pt>
                <c:pt idx="258">
                  <c:v>4.6462567869023363E-3</c:v>
                </c:pt>
                <c:pt idx="259">
                  <c:v>4.6653325143143354E-3</c:v>
                </c:pt>
                <c:pt idx="260">
                  <c:v>4.6844078761443253E-3</c:v>
                </c:pt>
                <c:pt idx="261">
                  <c:v>4.7034828723994115E-3</c:v>
                </c:pt>
                <c:pt idx="262">
                  <c:v>4.7225575030865885E-3</c:v>
                </c:pt>
                <c:pt idx="263">
                  <c:v>4.7416317682127396E-3</c:v>
                </c:pt>
                <c:pt idx="264">
                  <c:v>4.7607056677849702E-3</c:v>
                </c:pt>
                <c:pt idx="265">
                  <c:v>4.7797792018102747E-3</c:v>
                </c:pt>
                <c:pt idx="266">
                  <c:v>4.7988523702956476E-3</c:v>
                </c:pt>
                <c:pt idx="267">
                  <c:v>4.8179251732480832E-3</c:v>
                </c:pt>
                <c:pt idx="268">
                  <c:v>4.836997610674687E-3</c:v>
                </c:pt>
                <c:pt idx="269">
                  <c:v>4.8560696825822314E-3</c:v>
                </c:pt>
                <c:pt idx="270">
                  <c:v>4.8751413889780437E-3</c:v>
                </c:pt>
                <c:pt idx="271">
                  <c:v>4.8942127298687854E-3</c:v>
                </c:pt>
                <c:pt idx="272">
                  <c:v>4.9132837052617839E-3</c:v>
                </c:pt>
                <c:pt idx="273">
                  <c:v>4.9323543151637006E-3</c:v>
                </c:pt>
                <c:pt idx="274">
                  <c:v>4.9514245595818629E-3</c:v>
                </c:pt>
                <c:pt idx="275">
                  <c:v>4.9704944385231542E-3</c:v>
                </c:pt>
                <c:pt idx="276">
                  <c:v>4.9895639519945689E-3</c:v>
                </c:pt>
                <c:pt idx="277">
                  <c:v>5.0086331000029904E-3</c:v>
                </c:pt>
                <c:pt idx="278">
                  <c:v>5.0277018825556352E-3</c:v>
                </c:pt>
                <c:pt idx="279">
                  <c:v>5.0467702996593866E-3</c:v>
                </c:pt>
                <c:pt idx="280">
                  <c:v>5.0658383513213501E-3</c:v>
                </c:pt>
                <c:pt idx="281">
                  <c:v>5.084906037548409E-3</c:v>
                </c:pt>
                <c:pt idx="282">
                  <c:v>5.1039733583475577E-3</c:v>
                </c:pt>
                <c:pt idx="283">
                  <c:v>5.1230403137259017E-3</c:v>
                </c:pt>
                <c:pt idx="284">
                  <c:v>5.1421069036903244E-3</c:v>
                </c:pt>
                <c:pt idx="285">
                  <c:v>5.1611731282479312E-3</c:v>
                </c:pt>
                <c:pt idx="286">
                  <c:v>5.1802389874057164E-3</c:v>
                </c:pt>
                <c:pt idx="287">
                  <c:v>5.1993044811706746E-3</c:v>
                </c:pt>
                <c:pt idx="288">
                  <c:v>5.2183696095498E-3</c:v>
                </c:pt>
                <c:pt idx="289">
                  <c:v>5.2374343725500871E-3</c:v>
                </c:pt>
                <c:pt idx="290">
                  <c:v>5.2564987701785304E-3</c:v>
                </c:pt>
                <c:pt idx="291">
                  <c:v>5.2755628024421242E-3</c:v>
                </c:pt>
                <c:pt idx="292">
                  <c:v>5.2946264693478629E-3</c:v>
                </c:pt>
                <c:pt idx="293">
                  <c:v>5.3136897709028519E-3</c:v>
                </c:pt>
                <c:pt idx="294">
                  <c:v>5.3327527071139746E-3</c:v>
                </c:pt>
                <c:pt idx="295">
                  <c:v>5.3518152779883366E-3</c:v>
                </c:pt>
                <c:pt idx="296">
                  <c:v>5.370877483532821E-3</c:v>
                </c:pt>
                <c:pt idx="297">
                  <c:v>5.3899393237544224E-3</c:v>
                </c:pt>
                <c:pt idx="298">
                  <c:v>5.4090007986602462E-3</c:v>
                </c:pt>
                <c:pt idx="299">
                  <c:v>5.4280619082572867E-3</c:v>
                </c:pt>
                <c:pt idx="300">
                  <c:v>5.4471226525525385E-3</c:v>
                </c:pt>
                <c:pt idx="301">
                  <c:v>5.4661830315528848E-3</c:v>
                </c:pt>
                <c:pt idx="302">
                  <c:v>5.485243045265431E-3</c:v>
                </c:pt>
                <c:pt idx="303">
                  <c:v>5.5043026936972828E-3</c:v>
                </c:pt>
                <c:pt idx="304">
                  <c:v>5.5233619768552122E-3</c:v>
                </c:pt>
                <c:pt idx="305">
                  <c:v>5.5424208947463249E-3</c:v>
                </c:pt>
                <c:pt idx="306">
                  <c:v>5.5614794473776152E-3</c:v>
                </c:pt>
                <c:pt idx="307">
                  <c:v>5.5805376347561886E-3</c:v>
                </c:pt>
                <c:pt idx="308">
                  <c:v>5.5995954568888173E-3</c:v>
                </c:pt>
                <c:pt idx="309">
                  <c:v>5.6186529137827179E-3</c:v>
                </c:pt>
                <c:pt idx="310">
                  <c:v>5.6377100054447737E-3</c:v>
                </c:pt>
                <c:pt idx="311">
                  <c:v>5.6567667318819792E-3</c:v>
                </c:pt>
                <c:pt idx="312">
                  <c:v>5.6758230931014397E-3</c:v>
                </c:pt>
                <c:pt idx="313">
                  <c:v>5.6948790891100387E-3</c:v>
                </c:pt>
                <c:pt idx="314">
                  <c:v>5.7139347199148816E-3</c:v>
                </c:pt>
                <c:pt idx="315">
                  <c:v>5.7329899855228517E-3</c:v>
                </c:pt>
                <c:pt idx="316">
                  <c:v>5.7520448859410545E-3</c:v>
                </c:pt>
                <c:pt idx="317">
                  <c:v>5.7710994211763733E-3</c:v>
                </c:pt>
                <c:pt idx="318">
                  <c:v>5.7901535912359137E-3</c:v>
                </c:pt>
                <c:pt idx="319">
                  <c:v>5.8092073961266699E-3</c:v>
                </c:pt>
                <c:pt idx="320">
                  <c:v>5.8282608358555255E-3</c:v>
                </c:pt>
                <c:pt idx="321">
                  <c:v>5.8473139104295857E-3</c:v>
                </c:pt>
                <c:pt idx="322">
                  <c:v>5.8663666198558451E-3</c:v>
                </c:pt>
                <c:pt idx="323">
                  <c:v>5.8854189641411869E-3</c:v>
                </c:pt>
                <c:pt idx="324">
                  <c:v>5.9044709432928277E-3</c:v>
                </c:pt>
                <c:pt idx="325">
                  <c:v>5.9235225573175398E-3</c:v>
                </c:pt>
                <c:pt idx="326">
                  <c:v>5.9425738062224287E-3</c:v>
                </c:pt>
                <c:pt idx="327">
                  <c:v>5.9616246900144887E-3</c:v>
                </c:pt>
                <c:pt idx="328">
                  <c:v>5.9806752087007142E-3</c:v>
                </c:pt>
                <c:pt idx="329">
                  <c:v>5.9997253622880997E-3</c:v>
                </c:pt>
                <c:pt idx="330">
                  <c:v>6.0187751507836396E-3</c:v>
                </c:pt>
                <c:pt idx="331">
                  <c:v>6.0378245741943282E-3</c:v>
                </c:pt>
                <c:pt idx="332">
                  <c:v>6.0568736325271599E-3</c:v>
                </c:pt>
                <c:pt idx="333">
                  <c:v>6.0759223257891293E-3</c:v>
                </c:pt>
                <c:pt idx="334">
                  <c:v>6.0949706539872306E-3</c:v>
                </c:pt>
                <c:pt idx="335">
                  <c:v>6.1140186171284583E-3</c:v>
                </c:pt>
                <c:pt idx="336">
                  <c:v>6.1330662152198068E-3</c:v>
                </c:pt>
                <c:pt idx="337">
                  <c:v>6.1521134482682704E-3</c:v>
                </c:pt>
                <c:pt idx="338">
                  <c:v>6.1711603162809547E-3</c:v>
                </c:pt>
                <c:pt idx="339">
                  <c:v>6.190206819264632E-3</c:v>
                </c:pt>
                <c:pt idx="340">
                  <c:v>6.2092529572265187E-3</c:v>
                </c:pt>
                <c:pt idx="341">
                  <c:v>6.2282987301734982E-3</c:v>
                </c:pt>
                <c:pt idx="342">
                  <c:v>6.2473441381125649E-3</c:v>
                </c:pt>
                <c:pt idx="343">
                  <c:v>6.2663891810507133E-3</c:v>
                </c:pt>
                <c:pt idx="344">
                  <c:v>6.2854338589950487E-3</c:v>
                </c:pt>
                <c:pt idx="345">
                  <c:v>6.3044781719523435E-3</c:v>
                </c:pt>
                <c:pt idx="346">
                  <c:v>6.3235221199298142E-3</c:v>
                </c:pt>
                <c:pt idx="347">
                  <c:v>6.3425657029343441E-3</c:v>
                </c:pt>
                <c:pt idx="348">
                  <c:v>6.3616089209730387E-3</c:v>
                </c:pt>
                <c:pt idx="349">
                  <c:v>6.3806517740526703E-3</c:v>
                </c:pt>
                <c:pt idx="350">
                  <c:v>6.3996942621804553E-3</c:v>
                </c:pt>
                <c:pt idx="351">
                  <c:v>6.4187363853632773E-3</c:v>
                </c:pt>
                <c:pt idx="352">
                  <c:v>6.4377781436081305E-3</c:v>
                </c:pt>
                <c:pt idx="353">
                  <c:v>6.4568195369220094E-3</c:v>
                </c:pt>
                <c:pt idx="354">
                  <c:v>6.4758605653119083E-3</c:v>
                </c:pt>
                <c:pt idx="355">
                  <c:v>6.4949012287849328E-3</c:v>
                </c:pt>
                <c:pt idx="356">
                  <c:v>6.5139415273479662E-3</c:v>
                </c:pt>
                <c:pt idx="357">
                  <c:v>6.5329814610080028E-3</c:v>
                </c:pt>
                <c:pt idx="358">
                  <c:v>6.5520210297720372E-3</c:v>
                </c:pt>
                <c:pt idx="359">
                  <c:v>6.5710602336470636E-3</c:v>
                </c:pt>
                <c:pt idx="360">
                  <c:v>6.5900990726401876E-3</c:v>
                </c:pt>
                <c:pt idx="361">
                  <c:v>6.6091375467581814E-3</c:v>
                </c:pt>
                <c:pt idx="362">
                  <c:v>6.6281756560082616E-3</c:v>
                </c:pt>
                <c:pt idx="363">
                  <c:v>6.6472134003973116E-3</c:v>
                </c:pt>
                <c:pt idx="364">
                  <c:v>6.6662507799323256E-3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9.1293501279315307E-5</c:v>
                </c:pt>
                <c:pt idx="17">
                  <c:v>1.8250042900123481E-4</c:v>
                </c:pt>
                <c:pt idx="18">
                  <c:v>2.7362121190877215E-4</c:v>
                </c:pt>
                <c:pt idx="19">
                  <c:v>3.6465629537574127E-4</c:v>
                </c:pt>
                <c:pt idx="20">
                  <c:v>4.556061415582823E-4</c:v>
                </c:pt>
                <c:pt idx="21">
                  <c:v>5.4647122854590289E-4</c:v>
                </c:pt>
                <c:pt idx="22">
                  <c:v>6.3725204859682333E-4</c:v>
                </c:pt>
                <c:pt idx="23">
                  <c:v>7.2794910555262771E-4</c:v>
                </c:pt>
                <c:pt idx="24">
                  <c:v>8.1856291153689458E-4</c:v>
                </c:pt>
                <c:pt idx="25">
                  <c:v>9.0909398304914071E-4</c:v>
                </c:pt>
                <c:pt idx="26">
                  <c:v>9.9954283657203275E-4</c:v>
                </c:pt>
                <c:pt idx="27">
                  <c:v>1.0899099838131809E-3</c:v>
                </c:pt>
                <c:pt idx="28">
                  <c:v>1.1801959267056545E-3</c:v>
                </c:pt>
                <c:pt idx="29">
                  <c:v>1.2704011522918644E-3</c:v>
                </c:pt>
                <c:pt idx="30">
                  <c:v>1.3605261276143068E-3</c:v>
                </c:pt>
                <c:pt idx="31">
                  <c:v>1.4505712947342215E-3</c:v>
                </c:pt>
                <c:pt idx="32">
                  <c:v>1.540537065994793E-3</c:v>
                </c:pt>
                <c:pt idx="33">
                  <c:v>1.630423819640057E-3</c:v>
                </c:pt>
                <c:pt idx="34">
                  <c:v>1.7202318958932413E-3</c:v>
                </c:pt>
                <c:pt idx="35">
                  <c:v>1.8099615935904126E-3</c:v>
                </c:pt>
                <c:pt idx="36">
                  <c:v>1.8996131674554461E-3</c:v>
                </c:pt>
                <c:pt idx="37">
                  <c:v>1.989186826092248E-3</c:v>
                </c:pt>
                <c:pt idx="38">
                  <c:v>2.0786827307586434E-3</c:v>
                </c:pt>
                <c:pt idx="39">
                  <c:v>2.168100994974719E-3</c:v>
                </c:pt>
                <c:pt idx="40">
                  <c:v>2.2574416850058465E-3</c:v>
                </c:pt>
                <c:pt idx="41">
                  <c:v>2.3467048212479943E-3</c:v>
                </c:pt>
                <c:pt idx="42">
                  <c:v>2.4358903805301139E-3</c:v>
                </c:pt>
                <c:pt idx="43">
                  <c:v>2.5249982993354597E-3</c:v>
                </c:pt>
                <c:pt idx="44">
                  <c:v>2.6140284779312406E-3</c:v>
                </c:pt>
                <c:pt idx="45">
                  <c:v>2.7029807853834751E-3</c:v>
                </c:pt>
                <c:pt idx="46">
                  <c:v>2.7918550654223695E-3</c:v>
                </c:pt>
                <c:pt idx="47">
                  <c:v>2.8806511431122834E-3</c:v>
                </c:pt>
                <c:pt idx="48">
                  <c:v>2.9693688322700224E-3</c:v>
                </c:pt>
                <c:pt idx="49">
                  <c:v>3.0580079435656203E-3</c:v>
                </c:pt>
                <c:pt idx="50">
                  <c:v>3.1465682932316158E-3</c:v>
                </c:pt>
                <c:pt idx="51">
                  <c:v>3.2350497122991375E-3</c:v>
                </c:pt>
                <c:pt idx="52">
                  <c:v>3.3234520562730745E-3</c:v>
                </c:pt>
                <c:pt idx="53">
                  <c:v>3.4117752151536949E-3</c:v>
                </c:pt>
                <c:pt idx="54">
                  <c:v>3.5000191237083986E-3</c:v>
                </c:pt>
                <c:pt idx="55">
                  <c:v>3.5881837718946675E-3</c:v>
                </c:pt>
                <c:pt idx="56">
                  <c:v>3.6762692153344072E-3</c:v>
                </c:pt>
                <c:pt idx="57">
                  <c:v>3.7642755857400785E-3</c:v>
                </c:pt>
                <c:pt idx="58">
                  <c:v>3.8522031011941917E-3</c:v>
                </c:pt>
                <c:pt idx="59">
                  <c:v>3.9400520761865565E-3</c:v>
                </c:pt>
                <c:pt idx="60">
                  <c:v>4.0278229313174471E-3</c:v>
                </c:pt>
                <c:pt idx="61">
                  <c:v>4.1155162025795855E-3</c:v>
                </c:pt>
                <c:pt idx="62">
                  <c:v>4.2031325501377193E-3</c:v>
                </c:pt>
                <c:pt idx="63">
                  <c:v>4.2906727665312115E-3</c:v>
                </c:pt>
                <c:pt idx="64">
                  <c:v>4.3781377842324184E-3</c:v>
                </c:pt>
                <c:pt idx="65">
                  <c:v>4.4655286825018492E-3</c:v>
                </c:pt>
                <c:pt idx="66">
                  <c:v>4.55284669348947E-3</c:v>
                </c:pt>
                <c:pt idx="67">
                  <c:v>4.6400932075405434E-3</c:v>
                </c:pt>
                <c:pt idx="68">
                  <c:v>4.7272697776735966E-3</c:v>
                </c:pt>
                <c:pt idx="69">
                  <c:v>4.8143781232071262E-3</c:v>
                </c:pt>
                <c:pt idx="70">
                  <c:v>4.9014201325211842E-3</c:v>
                </c:pt>
                <c:pt idx="71">
                  <c:v>4.9883978649486677E-3</c:v>
                </c:pt>
                <c:pt idx="72">
                  <c:v>5.0753135518001157E-3</c:v>
                </c:pt>
                <c:pt idx="73">
                  <c:v>5.1621695965339215E-3</c:v>
                </c:pt>
                <c:pt idx="74">
                  <c:v>5.2489685740915093E-3</c:v>
                </c:pt>
                <c:pt idx="75">
                  <c:v>5.3357132294245381E-3</c:v>
                </c:pt>
                <c:pt idx="76">
                  <c:v>5.4224064752467016E-3</c:v>
                </c:pt>
                <c:pt idx="77">
                  <c:v>5.5090513890491645E-3</c:v>
                </c:pt>
                <c:pt idx="78">
                  <c:v>5.5956512094222349E-3</c:v>
                </c:pt>
                <c:pt idx="79">
                  <c:v>5.6822093317304102E-3</c:v>
                </c:pt>
                <c:pt idx="80">
                  <c:v>5.7687293031899274E-3</c:v>
                </c:pt>
                <c:pt idx="81">
                  <c:v>5.855214817399871E-3</c:v>
                </c:pt>
                <c:pt idx="82">
                  <c:v>5.9416697083784099E-3</c:v>
                </c:pt>
                <c:pt idx="83">
                  <c:v>6.0280979441554436E-3</c:v>
                </c:pt>
                <c:pt idx="84">
                  <c:v>6.1145036199713653E-3</c:v>
                </c:pt>
                <c:pt idx="85">
                  <c:v>6.2008909511294874E-3</c:v>
                </c:pt>
                <c:pt idx="86">
                  <c:v>6.2872642655465698E-3</c:v>
                </c:pt>
                <c:pt idx="87">
                  <c:v>6.3736279960415467E-3</c:v>
                </c:pt>
                <c:pt idx="88">
                  <c:v>6.4599866723982959E-3</c:v>
                </c:pt>
                <c:pt idx="89">
                  <c:v>6.5463449132325893E-3</c:v>
                </c:pt>
                <c:pt idx="90">
                  <c:v>6.6327074176877419E-3</c:v>
                </c:pt>
                <c:pt idx="91">
                  <c:v>6.7190789569771285E-3</c:v>
                </c:pt>
                <c:pt idx="92">
                  <c:v>6.8054643657853376E-3</c:v>
                </c:pt>
                <c:pt idx="93">
                  <c:v>6.8918685335328756E-3</c:v>
                </c:pt>
                <c:pt idx="94">
                  <c:v>6.9782963955029795E-3</c:v>
                </c:pt>
                <c:pt idx="95">
                  <c:v>7.064752923822375E-3</c:v>
                </c:pt>
                <c:pt idx="96">
                  <c:v>7.1512431182816708E-3</c:v>
                </c:pt>
                <c:pt idx="97">
                  <c:v>7.2377719969750004E-3</c:v>
                </c:pt>
                <c:pt idx="98">
                  <c:v>7.3243445867337935E-3</c:v>
                </c:pt>
                <c:pt idx="99">
                  <c:v>7.4109659133241275E-3</c:v>
                </c:pt>
                <c:pt idx="100">
                  <c:v>7.4976409913737824E-3</c:v>
                </c:pt>
                <c:pt idx="101">
                  <c:v>7.584374813992001E-3</c:v>
                </c:pt>
                <c:pt idx="102">
                  <c:v>7.6711723420426637E-3</c:v>
                </c:pt>
                <c:pt idx="103">
                  <c:v>7.7580384930308966E-3</c:v>
                </c:pt>
                <c:pt idx="104">
                  <c:v>7.8449781295631456E-3</c:v>
                </c:pt>
                <c:pt idx="105">
                  <c:v>7.9319960473416985E-3</c:v>
                </c:pt>
                <c:pt idx="106">
                  <c:v>8.0190969626578665E-3</c:v>
                </c:pt>
                <c:pt idx="107">
                  <c:v>8.1062854993506871E-3</c:v>
                </c:pt>
                <c:pt idx="108">
                  <c:v>8.1935661752038213E-3</c:v>
                </c:pt>
                <c:pt idx="109">
                  <c:v>8.2809433877588136E-3</c:v>
                </c:pt>
                <c:pt idx="110">
                  <c:v>8.3684213995301494E-3</c:v>
                </c:pt>
                <c:pt idx="111">
                  <c:v>8.4560043226160897E-3</c:v>
                </c:pt>
                <c:pt idx="112">
                  <c:v>8.5436961027081856E-3</c:v>
                </c:pt>
                <c:pt idx="113">
                  <c:v>8.6315005025128268E-3</c:v>
                </c:pt>
                <c:pt idx="114">
                  <c:v>8.7194210846089706E-3</c:v>
                </c:pt>
                <c:pt idx="115">
                  <c:v>8.8074611937779858E-3</c:v>
                </c:pt>
                <c:pt idx="116">
                  <c:v>8.8956239388537205E-3</c:v>
                </c:pt>
                <c:pt idx="117">
                  <c:v>8.9839121741532198E-3</c:v>
                </c:pt>
                <c:pt idx="118">
                  <c:v>9.0723284805617095E-3</c:v>
                </c:pt>
                <c:pt idx="119">
                  <c:v>9.1608751463578119E-3</c:v>
                </c:pt>
                <c:pt idx="120">
                  <c:v>9.2495541478779305E-3</c:v>
                </c:pt>
                <c:pt idx="121">
                  <c:v>9.3383671301310745E-3</c:v>
                </c:pt>
                <c:pt idx="122">
                  <c:v>9.4273153874867999E-3</c:v>
                </c:pt>
                <c:pt idx="123">
                  <c:v>9.5163998445708785E-3</c:v>
                </c:pt>
                <c:pt idx="124">
                  <c:v>9.605621037512637E-3</c:v>
                </c:pt>
                <c:pt idx="125">
                  <c:v>9.6949790956978293E-3</c:v>
                </c:pt>
                <c:pt idx="126">
                  <c:v>9.7844737241885166E-3</c:v>
                </c:pt>
                <c:pt idx="127">
                  <c:v>9.8741041869781204E-3</c:v>
                </c:pt>
                <c:pt idx="128">
                  <c:v>9.963869291254774E-3</c:v>
                </c:pt>
                <c:pt idx="129">
                  <c:v>1.0053767372849735E-2</c:v>
                </c:pt>
                <c:pt idx="130">
                  <c:v>1.0143796283048848E-2</c:v>
                </c:pt>
                <c:pt idx="131">
                  <c:v>1.0233953376945156E-2</c:v>
                </c:pt>
                <c:pt idx="132">
                  <c:v>1.0324235503508151E-2</c:v>
                </c:pt>
                <c:pt idx="133">
                  <c:v>1.0414638997541152E-2</c:v>
                </c:pt>
                <c:pt idx="134">
                  <c:v>1.0505159673692E-2</c:v>
                </c:pt>
                <c:pt idx="135">
                  <c:v>1.0595792822673455E-2</c:v>
                </c:pt>
                <c:pt idx="136">
                  <c:v>1.0686533209839894E-2</c:v>
                </c:pt>
                <c:pt idx="137">
                  <c:v>1.0777375076253846E-2</c:v>
                </c:pt>
                <c:pt idx="138">
                  <c:v>1.0868312142361891E-2</c:v>
                </c:pt>
                <c:pt idx="139">
                  <c:v>1.0959337614382973E-2</c:v>
                </c:pt>
                <c:pt idx="140">
                  <c:v>1.1050444193494114E-2</c:v>
                </c:pt>
                <c:pt idx="141">
                  <c:v>1.1141624087879118E-2</c:v>
                </c:pt>
                <c:pt idx="142">
                  <c:v>1.1232869027684398E-2</c:v>
                </c:pt>
                <c:pt idx="143">
                  <c:v>1.1324170282903816E-2</c:v>
                </c:pt>
                <c:pt idx="144">
                  <c:v>1.1415518684191047E-2</c:v>
                </c:pt>
                <c:pt idx="145">
                  <c:v>1.1506904646573403E-2</c:v>
                </c:pt>
                <c:pt idx="146">
                  <c:v>1.1598318196016033E-2</c:v>
                </c:pt>
                <c:pt idx="147">
                  <c:v>1.168974899876031E-2</c:v>
                </c:pt>
                <c:pt idx="148">
                  <c:v>1.1781186393334342E-2</c:v>
                </c:pt>
                <c:pt idx="149">
                  <c:v>1.1872619425108153E-2</c:v>
                </c:pt>
                <c:pt idx="150">
                  <c:v>1.1964036883241328E-2</c:v>
                </c:pt>
                <c:pt idx="151">
                  <c:v>1.2055427339846027E-2</c:v>
                </c:pt>
                <c:pt idx="152">
                  <c:v>1.2146779191165259E-2</c:v>
                </c:pt>
                <c:pt idx="153">
                  <c:v>1.2238080700543875E-2</c:v>
                </c:pt>
                <c:pt idx="154">
                  <c:v>1.2329320042948616E-2</c:v>
                </c:pt>
                <c:pt idx="155">
                  <c:v>1.242048535077501E-2</c:v>
                </c:pt>
                <c:pt idx="156">
                  <c:v>1.251156476066106E-2</c:v>
                </c:pt>
                <c:pt idx="157">
                  <c:v>1.2602546461013017E-2</c:v>
                </c:pt>
                <c:pt idx="158">
                  <c:v>1.2693418739935661E-2</c:v>
                </c:pt>
                <c:pt idx="159">
                  <c:v>1.2784170033249283E-2</c:v>
                </c:pt>
                <c:pt idx="160">
                  <c:v>1.2874788972268118E-2</c:v>
                </c:pt>
                <c:pt idx="161">
                  <c:v>1.2965264431010209E-2</c:v>
                </c:pt>
                <c:pt idx="162">
                  <c:v>1.3055585572506922E-2</c:v>
                </c:pt>
                <c:pt idx="163">
                  <c:v>1.3145741893881435E-2</c:v>
                </c:pt>
                <c:pt idx="164">
                  <c:v>1.3235723269870008E-2</c:v>
                </c:pt>
                <c:pt idx="165">
                  <c:v>1.3325519994466515E-2</c:v>
                </c:pt>
                <c:pt idx="166">
                  <c:v>1.3415122820381873E-2</c:v>
                </c:pt>
                <c:pt idx="167">
                  <c:v>1.3504522996022235E-2</c:v>
                </c:pt>
                <c:pt idx="168">
                  <c:v>1.3593712299706802E-2</c:v>
                </c:pt>
                <c:pt idx="169">
                  <c:v>1.3682683070864539E-2</c:v>
                </c:pt>
                <c:pt idx="170">
                  <c:v>1.3771428237970521E-2</c:v>
                </c:pt>
                <c:pt idx="171">
                  <c:v>1.3859941343007064E-2</c:v>
                </c:pt>
                <c:pt idx="172">
                  <c:v>1.3948216562260335E-2</c:v>
                </c:pt>
                <c:pt idx="173">
                  <c:v>1.4036248723291974E-2</c:v>
                </c:pt>
                <c:pt idx="174">
                  <c:v>1.4124033317954593E-2</c:v>
                </c:pt>
                <c:pt idx="175">
                  <c:v>1.4211566511352088E-2</c:v>
                </c:pt>
                <c:pt idx="176">
                  <c:v>1.4298845146677588E-2</c:v>
                </c:pt>
                <c:pt idx="177">
                  <c:v>1.4385866745896021E-2</c:v>
                </c:pt>
                <c:pt idx="178">
                  <c:v>1.4472629506271846E-2</c:v>
                </c:pt>
                <c:pt idx="179">
                  <c:v>1.4559132292776769E-2</c:v>
                </c:pt>
                <c:pt idx="180">
                  <c:v>1.4645374626446727E-2</c:v>
                </c:pt>
                <c:pt idx="181">
                  <c:v>1.4731356668790479E-2</c:v>
                </c:pt>
                <c:pt idx="182">
                  <c:v>1.4817079202385437E-2</c:v>
                </c:pt>
                <c:pt idx="183">
                  <c:v>1.4902543607827889E-2</c:v>
                </c:pt>
                <c:pt idx="184">
                  <c:v>1.498775183723495E-2</c:v>
                </c:pt>
                <c:pt idx="185">
                  <c:v>1.5072706384523897E-2</c:v>
                </c:pt>
                <c:pt idx="186">
                  <c:v>1.5157410252721252E-2</c:v>
                </c:pt>
                <c:pt idx="187">
                  <c:v>1.5241866918577573E-2</c:v>
                </c:pt>
                <c:pt idx="188">
                  <c:v>1.5326080294785495E-2</c:v>
                </c:pt>
                <c:pt idx="189">
                  <c:v>1.541005469011714E-2</c:v>
                </c:pt>
                <c:pt idx="190">
                  <c:v>1.5493794767812258E-2</c:v>
                </c:pt>
                <c:pt idx="191">
                  <c:v>1.5577305502561218E-2</c:v>
                </c:pt>
                <c:pt idx="192">
                  <c:v>1.566059213643534E-2</c:v>
                </c:pt>
                <c:pt idx="193">
                  <c:v>1.574366013412291E-2</c:v>
                </c:pt>
                <c:pt idx="194">
                  <c:v>1.5826515137831312E-2</c:v>
                </c:pt>
                <c:pt idx="195">
                  <c:v>1.5909162922213498E-2</c:v>
                </c:pt>
                <c:pt idx="196">
                  <c:v>1.5991609349672833E-2</c:v>
                </c:pt>
                <c:pt idx="197">
                  <c:v>1.6073860326390872E-2</c:v>
                </c:pt>
                <c:pt idx="198">
                  <c:v>1.6155921759411152E-2</c:v>
                </c:pt>
                <c:pt idx="199">
                  <c:v>1.623779951509681E-2</c:v>
                </c:pt>
                <c:pt idx="200">
                  <c:v>1.6319499379260971E-2</c:v>
                </c:pt>
                <c:pt idx="201">
                  <c:v>1.6401027019248129E-2</c:v>
                </c:pt>
                <c:pt idx="202">
                  <c:v>1.6482387948220288E-2</c:v>
                </c:pt>
                <c:pt idx="203">
                  <c:v>1.6563587491875253E-2</c:v>
                </c:pt>
                <c:pt idx="204">
                  <c:v>1.6644630757795993E-2</c:v>
                </c:pt>
                <c:pt idx="205">
                  <c:v>1.6725522607599335E-2</c:v>
                </c:pt>
                <c:pt idx="206">
                  <c:v>1.6806267632020314E-2</c:v>
                </c:pt>
                <c:pt idx="207">
                  <c:v>1.6886870129035312E-2</c:v>
                </c:pt>
                <c:pt idx="208">
                  <c:v>1.696733408509345E-2</c:v>
                </c:pt>
                <c:pt idx="209">
                  <c:v>1.7047663159490793E-2</c:v>
                </c:pt>
                <c:pt idx="210">
                  <c:v>1.712786067188805E-2</c:v>
                </c:pt>
                <c:pt idx="211">
                  <c:v>1.720792959293814E-2</c:v>
                </c:pt>
                <c:pt idx="212">
                  <c:v>1.728787253795663E-2</c:v>
                </c:pt>
                <c:pt idx="213">
                  <c:v>1.7367691763536069E-2</c:v>
                </c:pt>
                <c:pt idx="214">
                  <c:v>1.7447389166974223E-2</c:v>
                </c:pt>
                <c:pt idx="215">
                  <c:v>1.7526966288357537E-2</c:v>
                </c:pt>
                <c:pt idx="216">
                  <c:v>1.7606424315114312E-2</c:v>
                </c:pt>
                <c:pt idx="217">
                  <c:v>1.7685764088827841E-2</c:v>
                </c:pt>
                <c:pt idx="218">
                  <c:v>1.7764986114078191E-2</c:v>
                </c:pt>
                <c:pt idx="219">
                  <c:v>1.784409056906297E-2</c:v>
                </c:pt>
                <c:pt idx="220">
                  <c:v>1.7923077317731923E-2</c:v>
                </c:pt>
                <c:pt idx="221">
                  <c:v>1.8001945923158669E-2</c:v>
                </c:pt>
                <c:pt idx="222">
                  <c:v>1.8080695661864373E-2</c:v>
                </c:pt>
                <c:pt idx="223">
                  <c:v>1.8159325538803697E-2</c:v>
                </c:pt>
                <c:pt idx="224">
                  <c:v>1.8237834302722578E-2</c:v>
                </c:pt>
                <c:pt idx="225">
                  <c:v>1.8316220461600159E-2</c:v>
                </c:pt>
                <c:pt idx="226">
                  <c:v>1.8394482297894095E-2</c:v>
                </c:pt>
                <c:pt idx="227">
                  <c:v>1.8472617883318762E-2</c:v>
                </c:pt>
                <c:pt idx="228">
                  <c:v>1.8550625092899703E-2</c:v>
                </c:pt>
                <c:pt idx="229">
                  <c:v>1.8628501618065427E-2</c:v>
                </c:pt>
                <c:pt idx="230">
                  <c:v>1.8706244978557916E-2</c:v>
                </c:pt>
                <c:pt idx="231">
                  <c:v>1.8783852532967115E-2</c:v>
                </c:pt>
                <c:pt idx="232">
                  <c:v>1.8861321487721131E-2</c:v>
                </c:pt>
                <c:pt idx="233">
                  <c:v>1.8938648904392445E-2</c:v>
                </c:pt>
                <c:pt idx="234">
                  <c:v>1.9015831705211809E-2</c:v>
                </c:pt>
                <c:pt idx="235">
                  <c:v>1.9092866676713938E-2</c:v>
                </c:pt>
                <c:pt idx="236">
                  <c:v>1.9169750471473498E-2</c:v>
                </c:pt>
                <c:pt idx="237">
                  <c:v>1.9246479607924503E-2</c:v>
                </c:pt>
                <c:pt idx="238">
                  <c:v>1.9323050468292628E-2</c:v>
                </c:pt>
                <c:pt idx="239">
                  <c:v>1.9399459294704734E-2</c:v>
                </c:pt>
                <c:pt idx="240">
                  <c:v>1.9475702183576228E-2</c:v>
                </c:pt>
                <c:pt idx="241">
                  <c:v>1.9551775078410771E-2</c:v>
                </c:pt>
                <c:pt idx="242">
                  <c:v>1.9627673761180808E-2</c:v>
                </c:pt>
                <c:pt idx="243">
                  <c:v>1.9703393842488901E-2</c:v>
                </c:pt>
                <c:pt idx="244">
                  <c:v>1.9778930750739707E-2</c:v>
                </c:pt>
                <c:pt idx="245">
                  <c:v>1.9854279720579678E-2</c:v>
                </c:pt>
                <c:pt idx="246">
                  <c:v>1.9929435780886181E-2</c:v>
                </c:pt>
                <c:pt idx="247">
                  <c:v>2.0004393742608824E-2</c:v>
                </c:pt>
                <c:pt idx="248">
                  <c:v>2.0079148186783722E-2</c:v>
                </c:pt>
                <c:pt idx="249">
                  <c:v>2.0153693453055396E-2</c:v>
                </c:pt>
                <c:pt idx="250">
                  <c:v>2.022802362905126E-2</c:v>
                </c:pt>
                <c:pt idx="251">
                  <c:v>2.030213254095891E-2</c:v>
                </c:pt>
                <c:pt idx="252">
                  <c:v>2.0376013745658568E-2</c:v>
                </c:pt>
                <c:pt idx="253">
                  <c:v>2.0449660524759342E-2</c:v>
                </c:pt>
                <c:pt idx="254">
                  <c:v>2.0523065880880948E-2</c:v>
                </c:pt>
                <c:pt idx="255">
                  <c:v>2.0596222536509775E-2</c:v>
                </c:pt>
                <c:pt idx="256">
                  <c:v>2.0669122935742284E-2</c:v>
                </c:pt>
                <c:pt idx="257">
                  <c:v>2.0741759249206924E-2</c:v>
                </c:pt>
                <c:pt idx="258">
                  <c:v>2.081412338243099E-2</c:v>
                </c:pt>
                <c:pt idx="259">
                  <c:v>2.0886206987889119E-2</c:v>
                </c:pt>
                <c:pt idx="260">
                  <c:v>2.0958001480937145E-2</c:v>
                </c:pt>
                <c:pt idx="261">
                  <c:v>2.1029498059798007E-2</c:v>
                </c:pt>
                <c:pt idx="262">
                  <c:v>2.110068772972655E-2</c:v>
                </c:pt>
                <c:pt idx="263">
                  <c:v>2.1171561331437383E-2</c:v>
                </c:pt>
                <c:pt idx="264">
                  <c:v>2.1242109573834454E-2</c:v>
                </c:pt>
                <c:pt idx="265">
                  <c:v>2.1312323071034006E-2</c:v>
                </c:pt>
                <c:pt idx="266">
                  <c:v>2.1382192383623849E-2</c:v>
                </c:pt>
                <c:pt idx="267">
                  <c:v>2.1451708064052003E-2</c:v>
                </c:pt>
                <c:pt idx="268">
                  <c:v>2.1520860705987979E-2</c:v>
                </c:pt>
                <c:pt idx="269">
                  <c:v>2.1589640997449363E-2</c:v>
                </c:pt>
                <c:pt idx="270">
                  <c:v>2.1658039777437136E-2</c:v>
                </c:pt>
                <c:pt idx="271">
                  <c:v>2.1726048095774893E-2</c:v>
                </c:pt>
                <c:pt idx="272">
                  <c:v>2.1793657275799933E-2</c:v>
                </c:pt>
                <c:pt idx="273">
                  <c:v>2.1860858979510303E-2</c:v>
                </c:pt>
                <c:pt idx="274">
                  <c:v>2.1927645274729689E-2</c:v>
                </c:pt>
                <c:pt idx="275">
                  <c:v>2.1994008703813885E-2</c:v>
                </c:pt>
                <c:pt idx="276">
                  <c:v>2.2059942353387266E-2</c:v>
                </c:pt>
                <c:pt idx="277">
                  <c:v>2.2125439924567787E-2</c:v>
                </c:pt>
                <c:pt idx="278">
                  <c:v>2.2190495803112109E-2</c:v>
                </c:pt>
                <c:pt idx="279">
                  <c:v>2.2255105128892103E-2</c:v>
                </c:pt>
                <c:pt idx="280">
                  <c:v>2.2319263864097317E-2</c:v>
                </c:pt>
                <c:pt idx="281">
                  <c:v>2.2382968859548189E-2</c:v>
                </c:pt>
                <c:pt idx="282">
                  <c:v>2.2446217918499666E-2</c:v>
                </c:pt>
                <c:pt idx="283">
                  <c:v>2.2509009857316482E-2</c:v>
                </c:pt>
                <c:pt idx="284">
                  <c:v>2.2571344562408439E-2</c:v>
                </c:pt>
                <c:pt idx="285">
                  <c:v>2.2633223042827045E-2</c:v>
                </c:pt>
                <c:pt idx="286">
                  <c:v>2.2694647477944811E-2</c:v>
                </c:pt>
                <c:pt idx="287">
                  <c:v>2.2755621259663166E-2</c:v>
                </c:pt>
                <c:pt idx="288">
                  <c:v>2.2816149028626356E-2</c:v>
                </c:pt>
                <c:pt idx="289">
                  <c:v>2.2876236703955499E-2</c:v>
                </c:pt>
                <c:pt idx="290">
                  <c:v>2.2935891506058698E-2</c:v>
                </c:pt>
                <c:pt idx="291">
                  <c:v>2.299512197212079E-2</c:v>
                </c:pt>
                <c:pt idx="292">
                  <c:v>2.3053937963927434E-2</c:v>
                </c:pt>
                <c:pt idx="293">
                  <c:v>2.3112350667735201E-2</c:v>
                </c:pt>
                <c:pt idx="294">
                  <c:v>2.31703725859582E-2</c:v>
                </c:pt>
                <c:pt idx="295">
                  <c:v>2.3228017520505788E-2</c:v>
                </c:pt>
                <c:pt idx="296">
                  <c:v>2.3285300547671334E-2</c:v>
                </c:pt>
                <c:pt idx="297">
                  <c:v>2.3342237984540031E-2</c:v>
                </c:pt>
                <c:pt idx="298">
                  <c:v>2.33988473469533E-2</c:v>
                </c:pt>
                <c:pt idx="299">
                  <c:v>2.3455147299138047E-2</c:v>
                </c:pt>
                <c:pt idx="300">
                  <c:v>2.3511157595179102E-2</c:v>
                </c:pt>
                <c:pt idx="301">
                  <c:v>2.3566899012583954E-2</c:v>
                </c:pt>
                <c:pt idx="302">
                  <c:v>2.3622393278257672E-2</c:v>
                </c:pt>
                <c:pt idx="303">
                  <c:v>2.3677662987273401E-2</c:v>
                </c:pt>
                <c:pt idx="304">
                  <c:v>2.3732731514888767E-2</c:v>
                </c:pt>
                <c:pt idx="305">
                  <c:v>2.3787622922320444E-2</c:v>
                </c:pt>
                <c:pt idx="306">
                  <c:v>2.3842361856847342E-2</c:v>
                </c:pt>
                <c:pt idx="307">
                  <c:v>2.3896973446867042E-2</c:v>
                </c:pt>
                <c:pt idx="308">
                  <c:v>2.3951483192579105E-2</c:v>
                </c:pt>
                <c:pt idx="309">
                  <c:v>2.4005916853013096E-2</c:v>
                </c:pt>
                <c:pt idx="310">
                  <c:v>2.4060300330156971E-2</c:v>
                </c:pt>
                <c:pt idx="311">
                  <c:v>2.4114659550974138E-2</c:v>
                </c:pt>
                <c:pt idx="312">
                  <c:v>2.4169020348122114E-2</c:v>
                </c:pt>
                <c:pt idx="313">
                  <c:v>2.4223408340205362E-2</c:v>
                </c:pt>
                <c:pt idx="314">
                  <c:v>2.4277848812405873E-2</c:v>
                </c:pt>
                <c:pt idx="315">
                  <c:v>2.433236659833973E-2</c:v>
                </c:pt>
                <c:pt idx="316">
                  <c:v>2.4386985963985312E-2</c:v>
                </c:pt>
                <c:pt idx="317">
                  <c:v>2.4441730494518279E-2</c:v>
                </c:pt>
                <c:pt idx="318">
                  <c:v>2.4496622984871232E-2</c:v>
                </c:pt>
                <c:pt idx="319">
                  <c:v>2.4551685334811457E-2</c:v>
                </c:pt>
                <c:pt idx="320">
                  <c:v>2.4606938449298239E-2</c:v>
                </c:pt>
                <c:pt idx="321">
                  <c:v>2.4662402144843349E-2</c:v>
                </c:pt>
                <c:pt idx="322">
                  <c:v>2.4718095062553215E-2</c:v>
                </c:pt>
                <c:pt idx="323">
                  <c:v>2.477403458848064E-2</c:v>
                </c:pt>
                <c:pt idx="324">
                  <c:v>2.483023678185748E-2</c:v>
                </c:pt>
                <c:pt idx="325">
                  <c:v>2.4886716311718265E-2</c:v>
                </c:pt>
                <c:pt idx="326">
                  <c:v>2.494348640235855E-2</c:v>
                </c:pt>
                <c:pt idx="327">
                  <c:v>2.5000558788001614E-2</c:v>
                </c:pt>
                <c:pt idx="328">
                  <c:v>2.5057943676973962E-2</c:v>
                </c:pt>
                <c:pt idx="329">
                  <c:v>2.5115649725613538E-2</c:v>
                </c:pt>
                <c:pt idx="330">
                  <c:v>2.517368402205666E-2</c:v>
                </c:pt>
                <c:pt idx="331">
                  <c:v>2.5232052079970202E-2</c:v>
                </c:pt>
                <c:pt idx="332">
                  <c:v>2.5290757842215194E-2</c:v>
                </c:pt>
                <c:pt idx="333">
                  <c:v>2.5349803694348628E-2</c:v>
                </c:pt>
                <c:pt idx="334">
                  <c:v>2.5409190487790608E-2</c:v>
                </c:pt>
                <c:pt idx="335">
                  <c:v>2.5468917572407025E-2</c:v>
                </c:pt>
                <c:pt idx="336">
                  <c:v>2.5528982838182744E-2</c:v>
                </c:pt>
                <c:pt idx="337">
                  <c:v>2.5589382765587816E-2</c:v>
                </c:pt>
                <c:pt idx="338">
                  <c:v>2.5650112484171254E-2</c:v>
                </c:pt>
                <c:pt idx="339">
                  <c:v>2.5711165838852502E-2</c:v>
                </c:pt>
                <c:pt idx="340">
                  <c:v>2.5772535463321103E-2</c:v>
                </c:pt>
                <c:pt idx="341">
                  <c:v>2.583421285990194E-2</c:v>
                </c:pt>
                <c:pt idx="342">
                  <c:v>2.5896188485194302E-2</c:v>
                </c:pt>
                <c:pt idx="343">
                  <c:v>2.5958451840752406E-2</c:v>
                </c:pt>
                <c:pt idx="344">
                  <c:v>2.6020991568038977E-2</c:v>
                </c:pt>
                <c:pt idx="345">
                  <c:v>2.6083795546856203E-2</c:v>
                </c:pt>
                <c:pt idx="346">
                  <c:v>2.6146850996436967E-2</c:v>
                </c:pt>
                <c:pt idx="347">
                  <c:v>2.6210144578366051E-2</c:v>
                </c:pt>
                <c:pt idx="348">
                  <c:v>2.6273662500495131E-2</c:v>
                </c:pt>
                <c:pt idx="349">
                  <c:v>2.63373906210164E-2</c:v>
                </c:pt>
                <c:pt idx="350">
                  <c:v>2.6401314551869354E-2</c:v>
                </c:pt>
                <c:pt idx="351">
                  <c:v>2.6465419760670805E-2</c:v>
                </c:pt>
                <c:pt idx="352">
                  <c:v>2.6529691670382258E-2</c:v>
                </c:pt>
                <c:pt idx="353">
                  <c:v>2.6594115755958603E-2</c:v>
                </c:pt>
                <c:pt idx="354">
                  <c:v>2.6658677637259393E-2</c:v>
                </c:pt>
                <c:pt idx="355">
                  <c:v>2.672336316754664E-2</c:v>
                </c:pt>
                <c:pt idx="356">
                  <c:v>2.6788158516942082E-2</c:v>
                </c:pt>
                <c:pt idx="357">
                  <c:v>2.6853050250270766E-2</c:v>
                </c:pt>
                <c:pt idx="358">
                  <c:v>2.6918025398776607E-2</c:v>
                </c:pt>
                <c:pt idx="359">
                  <c:v>2.698307152525806E-2</c:v>
                </c:pt>
                <c:pt idx="360">
                  <c:v>2.7048176782238791E-2</c:v>
                </c:pt>
                <c:pt idx="361">
                  <c:v>2.7113329962856775E-2</c:v>
                </c:pt>
                <c:pt idx="362">
                  <c:v>2.7178520544226713E-2</c:v>
                </c:pt>
                <c:pt idx="363">
                  <c:v>2.7243738723103414E-2</c:v>
                </c:pt>
                <c:pt idx="364">
                  <c:v>2.7308975443746754E-2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1.8516552066306652E-9</c:v>
                </c:pt>
                <c:pt idx="1">
                  <c:v>4.5651007778837731E-8</c:v>
                </c:pt>
                <c:pt idx="2">
                  <c:v>8.8725201488858312E-8</c:v>
                </c:pt>
                <c:pt idx="3">
                  <c:v>1.3141304052316225E-7</c:v>
                </c:pt>
                <c:pt idx="4">
                  <c:v>1.7407842117838315E-7</c:v>
                </c:pt>
                <c:pt idx="5">
                  <c:v>2.1711054441215938E-7</c:v>
                </c:pt>
                <c:pt idx="6">
                  <c:v>2.609242375537569E-7</c:v>
                </c:pt>
                <c:pt idx="7">
                  <c:v>3.0596040409811967E-7</c:v>
                </c:pt>
                <c:pt idx="8">
                  <c:v>3.5264393211867623E-7</c:v>
                </c:pt>
                <c:pt idx="9">
                  <c:v>4.0100659019948482E-7</c:v>
                </c:pt>
                <c:pt idx="10">
                  <c:v>4.5086525775856344E-7</c:v>
                </c:pt>
                <c:pt idx="11">
                  <c:v>5.0240729549172289E-7</c:v>
                </c:pt>
                <c:pt idx="12">
                  <c:v>5.5583456950997384E-7</c:v>
                </c:pt>
                <c:pt idx="13">
                  <c:v>6.1136380558712467E-7</c:v>
                </c:pt>
                <c:pt idx="14">
                  <c:v>6.6922702677487345E-7</c:v>
                </c:pt>
                <c:pt idx="15">
                  <c:v>7.2863003267357001E-7</c:v>
                </c:pt>
                <c:pt idx="16">
                  <c:v>7.8788124965235689E-7</c:v>
                </c:pt>
                <c:pt idx="17">
                  <c:v>8.4661659616561848E-7</c:v>
                </c:pt>
                <c:pt idx="18">
                  <c:v>9.0445983687129819E-7</c:v>
                </c:pt>
                <c:pt idx="19">
                  <c:v>9.6102658774587707E-7</c:v>
                </c:pt>
                <c:pt idx="20">
                  <c:v>1.0159211319353825E-6</c:v>
                </c:pt>
                <c:pt idx="21">
                  <c:v>1.0687278026378978E-6</c:v>
                </c:pt>
                <c:pt idx="22">
                  <c:v>1.1188562578825868E-6</c:v>
                </c:pt>
                <c:pt idx="23">
                  <c:v>1.1663158923168083E-6</c:v>
                </c:pt>
                <c:pt idx="24">
                  <c:v>1.2120042827731872E-6</c:v>
                </c:pt>
                <c:pt idx="25">
                  <c:v>1.2557306511299889E-6</c:v>
                </c:pt>
                <c:pt idx="26">
                  <c:v>1.2972985514803386E-6</c:v>
                </c:pt>
                <c:pt idx="27">
                  <c:v>1.3365043223902658E-6</c:v>
                </c:pt>
                <c:pt idx="28">
                  <c:v>1.3731354380692626E-6</c:v>
                </c:pt>
                <c:pt idx="29">
                  <c:v>1.4071691221389143E-6</c:v>
                </c:pt>
                <c:pt idx="30">
                  <c:v>1.4409125062373904E-6</c:v>
                </c:pt>
                <c:pt idx="31">
                  <c:v>1.474503041462885E-6</c:v>
                </c:pt>
                <c:pt idx="32">
                  <c:v>1.5080842562707391E-6</c:v>
                </c:pt>
                <c:pt idx="33">
                  <c:v>1.5418059833522579E-6</c:v>
                </c:pt>
                <c:pt idx="34">
                  <c:v>1.575824703495928E-6</c:v>
                </c:pt>
                <c:pt idx="35">
                  <c:v>1.6103040080393987E-6</c:v>
                </c:pt>
                <c:pt idx="36">
                  <c:v>1.6452900621698505E-6</c:v>
                </c:pt>
                <c:pt idx="37">
                  <c:v>1.6807531285386279E-6</c:v>
                </c:pt>
                <c:pt idx="38">
                  <c:v>1.7155333965010911E-6</c:v>
                </c:pt>
                <c:pt idx="39">
                  <c:v>1.7496049551329137E-6</c:v>
                </c:pt>
                <c:pt idx="40">
                  <c:v>1.7829394327040369E-6</c:v>
                </c:pt>
                <c:pt idx="41">
                  <c:v>1.8155059310331036E-6</c:v>
                </c:pt>
                <c:pt idx="42">
                  <c:v>1.8472709658356803E-6</c:v>
                </c:pt>
                <c:pt idx="43">
                  <c:v>1.8773377857463105E-6</c:v>
                </c:pt>
                <c:pt idx="44">
                  <c:v>1.9051832130619105E-6</c:v>
                </c:pt>
                <c:pt idx="45">
                  <c:v>1.9306096186591396E-6</c:v>
                </c:pt>
                <c:pt idx="46">
                  <c:v>1.9534066853118773E-6</c:v>
                </c:pt>
                <c:pt idx="47">
                  <c:v>1.9733507369753094E-6</c:v>
                </c:pt>
                <c:pt idx="48">
                  <c:v>1.9902040290810879E-6</c:v>
                </c:pt>
                <c:pt idx="49">
                  <c:v>2.003713994877317E-6</c:v>
                </c:pt>
                <c:pt idx="50">
                  <c:v>2.0135989109572528E-6</c:v>
                </c:pt>
                <c:pt idx="51">
                  <c:v>2.0204561583494849E-6</c:v>
                </c:pt>
                <c:pt idx="52">
                  <c:v>2.024163270389885E-6</c:v>
                </c:pt>
                <c:pt idx="53">
                  <c:v>2.0245025354868566E-6</c:v>
                </c:pt>
                <c:pt idx="54">
                  <c:v>2.0212555274363941E-6</c:v>
                </c:pt>
                <c:pt idx="55">
                  <c:v>2.0141926855285809E-6</c:v>
                </c:pt>
                <c:pt idx="56">
                  <c:v>2.0030728355403047E-6</c:v>
                </c:pt>
                <c:pt idx="57">
                  <c:v>1.9911610075215112E-6</c:v>
                </c:pt>
                <c:pt idx="58">
                  <c:v>1.980096660630013E-6</c:v>
                </c:pt>
                <c:pt idx="59">
                  <c:v>1.9701834080473751E-6</c:v>
                </c:pt>
                <c:pt idx="60">
                  <c:v>1.9617486642114132E-6</c:v>
                </c:pt>
                <c:pt idx="61">
                  <c:v>1.9551451264088579E-6</c:v>
                </c:pt>
                <c:pt idx="62">
                  <c:v>1.9507523423384703E-6</c:v>
                </c:pt>
                <c:pt idx="63">
                  <c:v>1.948978373021591E-6</c:v>
                </c:pt>
                <c:pt idx="64">
                  <c:v>1.9502113278343127E-6</c:v>
                </c:pt>
                <c:pt idx="65">
                  <c:v>1.9551540269797785E-6</c:v>
                </c:pt>
                <c:pt idx="66">
                  <c:v>1.9628158835027325E-6</c:v>
                </c:pt>
                <c:pt idx="67">
                  <c:v>1.9736246855359013E-6</c:v>
                </c:pt>
                <c:pt idx="68">
                  <c:v>1.9880368556215822E-6</c:v>
                </c:pt>
                <c:pt idx="69">
                  <c:v>2.0065396735981421E-6</c:v>
                </c:pt>
                <c:pt idx="70">
                  <c:v>2.0296537215164736E-6</c:v>
                </c:pt>
                <c:pt idx="71">
                  <c:v>2.0579305395794063E-6</c:v>
                </c:pt>
                <c:pt idx="72">
                  <c:v>2.0859776408109212E-6</c:v>
                </c:pt>
                <c:pt idx="73">
                  <c:v>2.1137938231352497E-6</c:v>
                </c:pt>
                <c:pt idx="74">
                  <c:v>2.1413770094219387E-6</c:v>
                </c:pt>
                <c:pt idx="75">
                  <c:v>2.1687240578290636E-6</c:v>
                </c:pt>
                <c:pt idx="76">
                  <c:v>2.1958305584819295E-6</c:v>
                </c:pt>
                <c:pt idx="77">
                  <c:v>2.2226906150894381E-6</c:v>
                </c:pt>
                <c:pt idx="78">
                  <c:v>2.2491538762476821E-6</c:v>
                </c:pt>
                <c:pt idx="79">
                  <c:v>2.2758432462446077E-6</c:v>
                </c:pt>
                <c:pt idx="80">
                  <c:v>2.3023961692424367E-6</c:v>
                </c:pt>
                <c:pt idx="81">
                  <c:v>2.3288497450990537E-6</c:v>
                </c:pt>
                <c:pt idx="82">
                  <c:v>2.3552416675765766E-6</c:v>
                </c:pt>
                <c:pt idx="83">
                  <c:v>2.3816101328273688E-6</c:v>
                </c:pt>
                <c:pt idx="84">
                  <c:v>2.4079937616291797E-6</c:v>
                </c:pt>
                <c:pt idx="85">
                  <c:v>2.4354396767191224E-6</c:v>
                </c:pt>
                <c:pt idx="86">
                  <c:v>2.4641059999089355E-6</c:v>
                </c:pt>
                <c:pt idx="87">
                  <c:v>2.4941527206426928E-6</c:v>
                </c:pt>
                <c:pt idx="88">
                  <c:v>2.5257502597839092E-6</c:v>
                </c:pt>
                <c:pt idx="89">
                  <c:v>2.5590804699395531E-6</c:v>
                </c:pt>
                <c:pt idx="90">
                  <c:v>2.5943377463979261E-6</c:v>
                </c:pt>
                <c:pt idx="91">
                  <c:v>2.6317302593424769E-6</c:v>
                </c:pt>
                <c:pt idx="92">
                  <c:v>2.6713663447560987E-6</c:v>
                </c:pt>
                <c:pt idx="93">
                  <c:v>2.7130113272485718E-6</c:v>
                </c:pt>
                <c:pt idx="94">
                  <c:v>2.755533823408912E-6</c:v>
                </c:pt>
                <c:pt idx="95">
                  <c:v>2.7989710680464524E-6</c:v>
                </c:pt>
                <c:pt idx="96">
                  <c:v>2.8433614720488761E-6</c:v>
                </c:pt>
                <c:pt idx="97">
                  <c:v>2.8887446953881681E-6</c:v>
                </c:pt>
                <c:pt idx="98">
                  <c:v>2.9351617331105643E-6</c:v>
                </c:pt>
                <c:pt idx="99">
                  <c:v>2.9832321311680279E-6</c:v>
                </c:pt>
                <c:pt idx="100">
                  <c:v>3.031305836699197E-6</c:v>
                </c:pt>
                <c:pt idx="101">
                  <c:v>3.0792936823703076E-6</c:v>
                </c:pt>
                <c:pt idx="102">
                  <c:v>3.1270962346428601E-6</c:v>
                </c:pt>
                <c:pt idx="103">
                  <c:v>3.1746030130767017E-6</c:v>
                </c:pt>
                <c:pt idx="104">
                  <c:v>3.2216916749331E-6</c:v>
                </c:pt>
                <c:pt idx="105">
                  <c:v>3.2682271637066947E-6</c:v>
                </c:pt>
                <c:pt idx="106">
                  <c:v>3.314045732542701E-6</c:v>
                </c:pt>
                <c:pt idx="107">
                  <c:v>3.3606750547451592E-6</c:v>
                </c:pt>
                <c:pt idx="108">
                  <c:v>3.4087294830422652E-6</c:v>
                </c:pt>
                <c:pt idx="109">
                  <c:v>3.4583069920194859E-6</c:v>
                </c:pt>
                <c:pt idx="110">
                  <c:v>3.5095243431885927E-6</c:v>
                </c:pt>
                <c:pt idx="111">
                  <c:v>3.5625087820507149E-6</c:v>
                </c:pt>
                <c:pt idx="112">
                  <c:v>3.6173885779656898E-6</c:v>
                </c:pt>
                <c:pt idx="113">
                  <c:v>3.6750472571258574E-6</c:v>
                </c:pt>
                <c:pt idx="114">
                  <c:v>3.7346823978528711E-6</c:v>
                </c:pt>
                <c:pt idx="115">
                  <c:v>3.7964301481103174E-6</c:v>
                </c:pt>
                <c:pt idx="116">
                  <c:v>3.8604387651490018E-6</c:v>
                </c:pt>
                <c:pt idx="117">
                  <c:v>3.9268696588475787E-6</c:v>
                </c:pt>
                <c:pt idx="118">
                  <c:v>3.9958984929898954E-6</c:v>
                </c:pt>
                <c:pt idx="119">
                  <c:v>4.0677163448924246E-6</c:v>
                </c:pt>
                <c:pt idx="120">
                  <c:v>4.1425937935858865E-6</c:v>
                </c:pt>
                <c:pt idx="121">
                  <c:v>4.2232219545246085E-6</c:v>
                </c:pt>
                <c:pt idx="122">
                  <c:v>4.3069772733495303E-6</c:v>
                </c:pt>
                <c:pt idx="123">
                  <c:v>4.3940329894524536E-6</c:v>
                </c:pt>
                <c:pt idx="124">
                  <c:v>4.4845764931044506E-6</c:v>
                </c:pt>
                <c:pt idx="125">
                  <c:v>4.5788102066671834E-6</c:v>
                </c:pt>
                <c:pt idx="126">
                  <c:v>4.6769524653888264E-6</c:v>
                </c:pt>
                <c:pt idx="127">
                  <c:v>4.7779547679292127E-6</c:v>
                </c:pt>
                <c:pt idx="128">
                  <c:v>4.8805361481052781E-6</c:v>
                </c:pt>
                <c:pt idx="129">
                  <c:v>4.9846254425430314E-6</c:v>
                </c:pt>
                <c:pt idx="130">
                  <c:v>5.0901457841767036E-6</c:v>
                </c:pt>
                <c:pt idx="131">
                  <c:v>5.197014762422536E-6</c:v>
                </c:pt>
                <c:pt idx="132">
                  <c:v>5.3051446433970472E-6</c:v>
                </c:pt>
                <c:pt idx="133">
                  <c:v>5.4144426512692388E-6</c:v>
                </c:pt>
                <c:pt idx="134">
                  <c:v>5.5249475450964976E-6</c:v>
                </c:pt>
                <c:pt idx="135">
                  <c:v>5.6343399385841828E-6</c:v>
                </c:pt>
                <c:pt idx="136">
                  <c:v>5.7378401752896972E-6</c:v>
                </c:pt>
                <c:pt idx="137">
                  <c:v>5.8345526045623033E-6</c:v>
                </c:pt>
                <c:pt idx="138">
                  <c:v>5.9235297613494477E-6</c:v>
                </c:pt>
                <c:pt idx="139">
                  <c:v>6.0037729943268921E-6</c:v>
                </c:pt>
                <c:pt idx="140">
                  <c:v>6.0742335009225944E-6</c:v>
                </c:pt>
                <c:pt idx="141">
                  <c:v>6.1389426443595578E-6</c:v>
                </c:pt>
                <c:pt idx="142">
                  <c:v>6.199608220503969E-6</c:v>
                </c:pt>
                <c:pt idx="143">
                  <c:v>6.2558803579513674E-6</c:v>
                </c:pt>
                <c:pt idx="144">
                  <c:v>6.3074474967366996E-6</c:v>
                </c:pt>
                <c:pt idx="145">
                  <c:v>6.354001638132314E-6</c:v>
                </c:pt>
                <c:pt idx="146">
                  <c:v>6.395240242931955E-6</c:v>
                </c:pt>
                <c:pt idx="147">
                  <c:v>6.4308681880451104E-6</c:v>
                </c:pt>
                <c:pt idx="148">
                  <c:v>6.4607510848989409E-6</c:v>
                </c:pt>
                <c:pt idx="149">
                  <c:v>6.4860315025557099E-6</c:v>
                </c:pt>
                <c:pt idx="150">
                  <c:v>6.5106621724566141E-6</c:v>
                </c:pt>
                <c:pt idx="151">
                  <c:v>6.5349217165402091E-6</c:v>
                </c:pt>
                <c:pt idx="152">
                  <c:v>6.5591228998544637E-6</c:v>
                </c:pt>
                <c:pt idx="153">
                  <c:v>6.5836128665978297E-6</c:v>
                </c:pt>
                <c:pt idx="154">
                  <c:v>6.6087731082507171E-6</c:v>
                </c:pt>
                <c:pt idx="155">
                  <c:v>6.6408954762371179E-6</c:v>
                </c:pt>
                <c:pt idx="156">
                  <c:v>6.6724620455823753E-6</c:v>
                </c:pt>
                <c:pt idx="157">
                  <c:v>6.7037392677212114E-6</c:v>
                </c:pt>
                <c:pt idx="158">
                  <c:v>6.735019936866664E-6</c:v>
                </c:pt>
                <c:pt idx="159">
                  <c:v>6.7666225983742757E-6</c:v>
                </c:pt>
                <c:pt idx="160">
                  <c:v>6.7988907236781572E-6</c:v>
                </c:pt>
                <c:pt idx="161">
                  <c:v>6.8321916513093973E-6</c:v>
                </c:pt>
                <c:pt idx="162">
                  <c:v>6.8670337885098781E-6</c:v>
                </c:pt>
                <c:pt idx="163">
                  <c:v>6.9106102165105213E-6</c:v>
                </c:pt>
                <c:pt idx="164">
                  <c:v>6.9619261531254503E-6</c:v>
                </c:pt>
                <c:pt idx="165">
                  <c:v>7.0218468852208054E-6</c:v>
                </c:pt>
                <c:pt idx="166">
                  <c:v>7.0912547882582596E-6</c:v>
                </c:pt>
                <c:pt idx="167">
                  <c:v>7.1710462424377799E-6</c:v>
                </c:pt>
                <c:pt idx="168">
                  <c:v>7.2621285144096025E-6</c:v>
                </c:pt>
                <c:pt idx="169">
                  <c:v>7.3730663259998744E-6</c:v>
                </c:pt>
                <c:pt idx="170">
                  <c:v>7.4966100435076129E-6</c:v>
                </c:pt>
                <c:pt idx="171">
                  <c:v>7.6336232956741285E-6</c:v>
                </c:pt>
                <c:pt idx="172">
                  <c:v>7.7849685199082877E-6</c:v>
                </c:pt>
                <c:pt idx="173">
                  <c:v>7.9514230879877304E-6</c:v>
                </c:pt>
                <c:pt idx="174">
                  <c:v>8.1337463434669547E-6</c:v>
                </c:pt>
                <c:pt idx="175">
                  <c:v>8.3327625931344404E-6</c:v>
                </c:pt>
                <c:pt idx="176">
                  <c:v>8.5492827848512696E-6</c:v>
                </c:pt>
                <c:pt idx="177">
                  <c:v>8.7940500700305658E-6</c:v>
                </c:pt>
                <c:pt idx="178">
                  <c:v>9.0592427089332625E-6</c:v>
                </c:pt>
                <c:pt idx="179">
                  <c:v>9.3456634648343814E-6</c:v>
                </c:pt>
                <c:pt idx="180">
                  <c:v>9.654092768261056E-6</c:v>
                </c:pt>
                <c:pt idx="181">
                  <c:v>9.9852875437820589E-6</c:v>
                </c:pt>
                <c:pt idx="182">
                  <c:v>1.0339980315119907E-5</c:v>
                </c:pt>
                <c:pt idx="183">
                  <c:v>1.0721766044330401E-5</c:v>
                </c:pt>
                <c:pt idx="184">
                  <c:v>1.1121438539000402E-5</c:v>
                </c:pt>
                <c:pt idx="185">
                  <c:v>1.1539355377258414E-5</c:v>
                </c:pt>
                <c:pt idx="186">
                  <c:v>1.1975860008664216E-5</c:v>
                </c:pt>
                <c:pt idx="187">
                  <c:v>1.2431282335968127E-5</c:v>
                </c:pt>
                <c:pt idx="188">
                  <c:v>1.290593939833952E-5</c:v>
                </c:pt>
                <c:pt idx="189">
                  <c:v>1.3400136143181264E-5</c:v>
                </c:pt>
                <c:pt idx="190">
                  <c:v>1.3914059287560371E-5</c:v>
                </c:pt>
                <c:pt idx="191">
                  <c:v>1.4464946893916821E-5</c:v>
                </c:pt>
                <c:pt idx="192">
                  <c:v>1.5041399346390446E-5</c:v>
                </c:pt>
                <c:pt idx="193">
                  <c:v>1.5643865683606802E-5</c:v>
                </c:pt>
                <c:pt idx="194">
                  <c:v>1.6272788347505931E-5</c:v>
                </c:pt>
                <c:pt idx="195">
                  <c:v>1.6928605388400049E-5</c:v>
                </c:pt>
                <c:pt idx="196">
                  <c:v>1.7611752731075521E-5</c:v>
                </c:pt>
                <c:pt idx="197">
                  <c:v>1.8312108501676234E-5</c:v>
                </c:pt>
                <c:pt idx="198">
                  <c:v>1.9026392281605684E-5</c:v>
                </c:pt>
                <c:pt idx="199">
                  <c:v>1.9754679724580198E-5</c:v>
                </c:pt>
                <c:pt idx="200">
                  <c:v>2.0497067888736008E-5</c:v>
                </c:pt>
                <c:pt idx="201">
                  <c:v>2.125367612523722E-5</c:v>
                </c:pt>
                <c:pt idx="202">
                  <c:v>2.2024646884375169E-5</c:v>
                </c:pt>
                <c:pt idx="203">
                  <c:v>2.2810146454354883E-5</c:v>
                </c:pt>
                <c:pt idx="204">
                  <c:v>2.361011343084146E-5</c:v>
                </c:pt>
                <c:pt idx="205">
                  <c:v>2.4416014562550589E-5</c:v>
                </c:pt>
                <c:pt idx="206">
                  <c:v>2.5208235023356099E-5</c:v>
                </c:pt>
                <c:pt idx="207">
                  <c:v>2.5986245607125717E-5</c:v>
                </c:pt>
                <c:pt idx="208">
                  <c:v>2.6749543762772044E-5</c:v>
                </c:pt>
                <c:pt idx="209">
                  <c:v>2.7497651615854287E-5</c:v>
                </c:pt>
                <c:pt idx="210">
                  <c:v>2.8230114005639384E-5</c:v>
                </c:pt>
                <c:pt idx="211">
                  <c:v>2.8967554725519574E-5</c:v>
                </c:pt>
                <c:pt idx="212">
                  <c:v>2.9721795995836582E-5</c:v>
                </c:pt>
                <c:pt idx="213">
                  <c:v>3.0493056831393315E-5</c:v>
                </c:pt>
                <c:pt idx="214">
                  <c:v>3.1281555210937413E-5</c:v>
                </c:pt>
                <c:pt idx="215">
                  <c:v>3.2087507857630027E-5</c:v>
                </c:pt>
                <c:pt idx="216">
                  <c:v>3.2911130029483753E-5</c:v>
                </c:pt>
                <c:pt idx="217">
                  <c:v>3.3752635325659769E-5</c:v>
                </c:pt>
                <c:pt idx="218">
                  <c:v>3.4611954973019226E-5</c:v>
                </c:pt>
                <c:pt idx="219">
                  <c:v>3.5498499884836295E-5</c:v>
                </c:pt>
                <c:pt idx="220">
                  <c:v>3.6421950353283708E-5</c:v>
                </c:pt>
                <c:pt idx="221">
                  <c:v>3.7382922456156283E-5</c:v>
                </c:pt>
                <c:pt idx="222">
                  <c:v>3.8382037880006199E-5</c:v>
                </c:pt>
                <c:pt idx="223">
                  <c:v>3.9419925967484868E-5</c:v>
                </c:pt>
                <c:pt idx="224">
                  <c:v>4.0497225818306039E-5</c:v>
                </c:pt>
                <c:pt idx="225">
                  <c:v>4.1643084539021929E-5</c:v>
                </c:pt>
                <c:pt idx="226">
                  <c:v>4.2835681251954153E-5</c:v>
                </c:pt>
                <c:pt idx="227">
                  <c:v>4.4075781691824382E-5</c:v>
                </c:pt>
                <c:pt idx="228">
                  <c:v>4.5364170444257159E-5</c:v>
                </c:pt>
                <c:pt idx="229">
                  <c:v>4.6701653697410166E-5</c:v>
                </c:pt>
                <c:pt idx="230">
                  <c:v>4.8089062061748427E-5</c:v>
                </c:pt>
                <c:pt idx="231">
                  <c:v>4.9527253475357323E-5</c:v>
                </c:pt>
                <c:pt idx="232">
                  <c:v>5.1016619134173882E-5</c:v>
                </c:pt>
                <c:pt idx="233">
                  <c:v>5.2571065401922324E-5</c:v>
                </c:pt>
                <c:pt idx="234">
                  <c:v>5.4181245825167888E-5</c:v>
                </c:pt>
                <c:pt idx="235">
                  <c:v>5.5847882321157423E-5</c:v>
                </c:pt>
                <c:pt idx="236">
                  <c:v>5.7571722123673963E-5</c:v>
                </c:pt>
                <c:pt idx="237">
                  <c:v>5.9353483513067325E-5</c:v>
                </c:pt>
                <c:pt idx="238">
                  <c:v>6.1193889786717107E-5</c:v>
                </c:pt>
                <c:pt idx="239">
                  <c:v>6.3083547363801181E-5</c:v>
                </c:pt>
                <c:pt idx="240">
                  <c:v>6.4992409255395175E-5</c:v>
                </c:pt>
                <c:pt idx="241">
                  <c:v>6.6920643014236993E-5</c:v>
                </c:pt>
                <c:pt idx="242">
                  <c:v>6.8868418428351164E-5</c:v>
                </c:pt>
                <c:pt idx="243">
                  <c:v>7.0835906400186334E-5</c:v>
                </c:pt>
                <c:pt idx="244">
                  <c:v>7.2823277712907701E-5</c:v>
                </c:pt>
                <c:pt idx="245">
                  <c:v>7.48307017014304E-5</c:v>
                </c:pt>
                <c:pt idx="246">
                  <c:v>7.6858344814128939E-5</c:v>
                </c:pt>
                <c:pt idx="247">
                  <c:v>7.8949288286537904E-5</c:v>
                </c:pt>
                <c:pt idx="248">
                  <c:v>8.1089600762338038E-5</c:v>
                </c:pt>
                <c:pt idx="249">
                  <c:v>8.3279821525376752E-5</c:v>
                </c:pt>
                <c:pt idx="250">
                  <c:v>8.5520482558985725E-5</c:v>
                </c:pt>
                <c:pt idx="251">
                  <c:v>8.7812106766841115E-5</c:v>
                </c:pt>
                <c:pt idx="252">
                  <c:v>9.0155206088515428E-5</c:v>
                </c:pt>
                <c:pt idx="253">
                  <c:v>9.2591355455210318E-5</c:v>
                </c:pt>
                <c:pt idx="254">
                  <c:v>9.5132437175429101E-5</c:v>
                </c:pt>
                <c:pt idx="255">
                  <c:v>9.7779624891010207E-5</c:v>
                </c:pt>
                <c:pt idx="256">
                  <c:v>1.0053407631318645E-4</c:v>
                </c:pt>
                <c:pt idx="257">
                  <c:v>1.0339693074486773E-4</c:v>
                </c:pt>
                <c:pt idx="258">
                  <c:v>1.0636930655375625E-4</c:v>
                </c:pt>
                <c:pt idx="259">
                  <c:v>1.0945229862512508E-4</c:v>
                </c:pt>
                <c:pt idx="260">
                  <c:v>1.1264751703277356E-4</c:v>
                </c:pt>
                <c:pt idx="261">
                  <c:v>1.1595607472768044E-4</c:v>
                </c:pt>
                <c:pt idx="262">
                  <c:v>1.1933289875899441E-4</c:v>
                </c:pt>
                <c:pt idx="263">
                  <c:v>1.227781590281155E-4</c:v>
                </c:pt>
                <c:pt idx="264">
                  <c:v>1.2629196343426959E-4</c:v>
                </c:pt>
                <c:pt idx="265">
                  <c:v>1.2987504518022835E-4</c:v>
                </c:pt>
                <c:pt idx="266">
                  <c:v>1.3352779099699011E-4</c:v>
                </c:pt>
                <c:pt idx="267">
                  <c:v>1.3727500497234829E-4</c:v>
                </c:pt>
                <c:pt idx="268">
                  <c:v>1.4107281660552458E-4</c:v>
                </c:pt>
                <c:pt idx="269">
                  <c:v>1.4492058815488169E-4</c:v>
                </c:pt>
                <c:pt idx="270">
                  <c:v>1.4881758531158171E-4</c:v>
                </c:pt>
                <c:pt idx="271">
                  <c:v>1.5276297737081031E-4</c:v>
                </c:pt>
                <c:pt idx="272">
                  <c:v>1.5675583823347817E-4</c:v>
                </c:pt>
                <c:pt idx="273">
                  <c:v>1.6079514821994942E-4</c:v>
                </c:pt>
                <c:pt idx="274">
                  <c:v>1.648860250385538E-4</c:v>
                </c:pt>
                <c:pt idx="275">
                  <c:v>1.6948838699226541E-4</c:v>
                </c:pt>
                <c:pt idx="276">
                  <c:v>1.746058743628895E-4</c:v>
                </c:pt>
                <c:pt idx="277">
                  <c:v>1.802413952606885E-4</c:v>
                </c:pt>
                <c:pt idx="278">
                  <c:v>1.8639743113781245E-4</c:v>
                </c:pt>
                <c:pt idx="279">
                  <c:v>1.9307594708063797E-4</c:v>
                </c:pt>
                <c:pt idx="280">
                  <c:v>2.0027830019754954E-4</c:v>
                </c:pt>
                <c:pt idx="281">
                  <c:v>2.0815378826432213E-4</c:v>
                </c:pt>
                <c:pt idx="282">
                  <c:v>2.1667731513324976E-4</c:v>
                </c:pt>
                <c:pt idx="283">
                  <c:v>2.2584907155793728E-4</c:v>
                </c:pt>
                <c:pt idx="284">
                  <c:v>2.3566814863354785E-4</c:v>
                </c:pt>
                <c:pt idx="285">
                  <c:v>2.4613241877041649E-4</c:v>
                </c:pt>
                <c:pt idx="286">
                  <c:v>2.5723841703126886E-4</c:v>
                </c:pt>
                <c:pt idx="287">
                  <c:v>2.6898122360666308E-4</c:v>
                </c:pt>
                <c:pt idx="288">
                  <c:v>2.8137429332133871E-4</c:v>
                </c:pt>
                <c:pt idx="289">
                  <c:v>2.9423597427372014E-4</c:v>
                </c:pt>
                <c:pt idx="290">
                  <c:v>3.0708416923685029E-4</c:v>
                </c:pt>
                <c:pt idx="291">
                  <c:v>3.1991157538266906E-4</c:v>
                </c:pt>
                <c:pt idx="292">
                  <c:v>3.3271041605709801E-4</c:v>
                </c:pt>
                <c:pt idx="293">
                  <c:v>3.4547245752814074E-4</c:v>
                </c:pt>
                <c:pt idx="294">
                  <c:v>3.581890262874327E-4</c:v>
                </c:pt>
                <c:pt idx="295">
                  <c:v>3.7083577894549938E-4</c:v>
                </c:pt>
                <c:pt idx="296">
                  <c:v>3.832532759529023E-4</c:v>
                </c:pt>
                <c:pt idx="297">
                  <c:v>3.9543467287596904E-4</c:v>
                </c:pt>
                <c:pt idx="298">
                  <c:v>4.0736995031215865E-4</c:v>
                </c:pt>
                <c:pt idx="299">
                  <c:v>4.1904891040424124E-4</c:v>
                </c:pt>
                <c:pt idx="300">
                  <c:v>4.3046120838270691E-4</c:v>
                </c:pt>
                <c:pt idx="301">
                  <c:v>4.4159638324961866E-4</c:v>
                </c:pt>
                <c:pt idx="302">
                  <c:v>4.5247084704258436E-4</c:v>
                </c:pt>
                <c:pt idx="303">
                  <c:v>4.6319263393358658E-4</c:v>
                </c:pt>
                <c:pt idx="304">
                  <c:v>4.7396262348899554E-4</c:v>
                </c:pt>
                <c:pt idx="305">
                  <c:v>4.8477945139278059E-4</c:v>
                </c:pt>
                <c:pt idx="306">
                  <c:v>4.9564195069540132E-4</c:v>
                </c:pt>
                <c:pt idx="307">
                  <c:v>5.065491474541611E-4</c:v>
                </c:pt>
                <c:pt idx="308">
                  <c:v>5.1750025108197612E-4</c:v>
                </c:pt>
                <c:pt idx="309">
                  <c:v>5.2886782716943693E-4</c:v>
                </c:pt>
                <c:pt idx="310">
                  <c:v>5.4066698613347986E-4</c:v>
                </c:pt>
                <c:pt idx="311">
                  <c:v>5.5289738172626995E-4</c:v>
                </c:pt>
                <c:pt idx="312">
                  <c:v>5.6555863087272718E-4</c:v>
                </c:pt>
                <c:pt idx="313">
                  <c:v>5.7865028226101697E-4</c:v>
                </c:pt>
                <c:pt idx="314">
                  <c:v>5.9217177658685229E-4</c:v>
                </c:pt>
                <c:pt idx="315">
                  <c:v>6.0612239755741609E-4</c:v>
                </c:pt>
                <c:pt idx="316">
                  <c:v>6.205421140250641E-4</c:v>
                </c:pt>
                <c:pt idx="317">
                  <c:v>6.3444026809275525E-4</c:v>
                </c:pt>
                <c:pt idx="318">
                  <c:v>6.477324616902721E-4</c:v>
                </c:pt>
                <c:pt idx="319">
                  <c:v>6.6041955472410528E-4</c:v>
                </c:pt>
                <c:pt idx="320">
                  <c:v>6.7250125202685635E-4</c:v>
                </c:pt>
                <c:pt idx="321">
                  <c:v>6.8397599534522234E-4</c:v>
                </c:pt>
                <c:pt idx="322">
                  <c:v>6.9484085994728922E-4</c:v>
                </c:pt>
                <c:pt idx="323">
                  <c:v>7.0437693123061404E-4</c:v>
                </c:pt>
                <c:pt idx="324">
                  <c:v>7.1220349778812453E-4</c:v>
                </c:pt>
                <c:pt idx="325">
                  <c:v>7.1831130881664024E-4</c:v>
                </c:pt>
                <c:pt idx="326">
                  <c:v>7.2268483101550936E-4</c:v>
                </c:pt>
                <c:pt idx="327">
                  <c:v>7.2530981273127816E-4</c:v>
                </c:pt>
                <c:pt idx="328">
                  <c:v>7.2617429951674832E-4</c:v>
                </c:pt>
                <c:pt idx="329">
                  <c:v>7.2526516145017636E-4</c:v>
                </c:pt>
                <c:pt idx="330">
                  <c:v>7.2264354434562698E-4</c:v>
                </c:pt>
                <c:pt idx="331">
                  <c:v>7.1994477798921898E-4</c:v>
                </c:pt>
                <c:pt idx="332">
                  <c:v>7.1819288104302509E-4</c:v>
                </c:pt>
                <c:pt idx="333">
                  <c:v>7.1737404631098836E-4</c:v>
                </c:pt>
                <c:pt idx="334">
                  <c:v>7.1747370201988617E-4</c:v>
                </c:pt>
                <c:pt idx="335">
                  <c:v>7.1847632461256709E-4</c:v>
                </c:pt>
                <c:pt idx="336">
                  <c:v>7.2036524334421754E-4</c:v>
                </c:pt>
                <c:pt idx="337">
                  <c:v>7.239654193137657E-4</c:v>
                </c:pt>
                <c:pt idx="338">
                  <c:v>7.2998226692570875E-4</c:v>
                </c:pt>
                <c:pt idx="339">
                  <c:v>7.3839889179929492E-4</c:v>
                </c:pt>
                <c:pt idx="340">
                  <c:v>7.4919543272933026E-4</c:v>
                </c:pt>
                <c:pt idx="341">
                  <c:v>7.6234830330727268E-4</c:v>
                </c:pt>
                <c:pt idx="342">
                  <c:v>7.778294175793273E-4</c:v>
                </c:pt>
                <c:pt idx="343">
                  <c:v>7.9560541336027983E-4</c:v>
                </c:pt>
                <c:pt idx="344">
                  <c:v>8.1572895808935931E-4</c:v>
                </c:pt>
                <c:pt idx="345">
                  <c:v>8.3826054220517026E-4</c:v>
                </c:pt>
                <c:pt idx="346">
                  <c:v>8.5974675702671388E-4</c:v>
                </c:pt>
                <c:pt idx="347">
                  <c:v>8.8015371860153944E-4</c:v>
                </c:pt>
                <c:pt idx="348">
                  <c:v>8.9944517648747331E-4</c:v>
                </c:pt>
                <c:pt idx="349">
                  <c:v>9.1758300054252341E-4</c:v>
                </c:pt>
                <c:pt idx="350">
                  <c:v>9.3452771391334998E-4</c:v>
                </c:pt>
                <c:pt idx="351">
                  <c:v>9.4841182285051464E-4</c:v>
                </c:pt>
                <c:pt idx="352">
                  <c:v>9.5835581331634064E-4</c:v>
                </c:pt>
                <c:pt idx="353">
                  <c:v>9.6433240751566502E-4</c:v>
                </c:pt>
                <c:pt idx="354">
                  <c:v>9.6632107428396507E-4</c:v>
                </c:pt>
                <c:pt idx="355">
                  <c:v>9.6430943278788647E-4</c:v>
                </c:pt>
                <c:pt idx="356">
                  <c:v>9.5828246502643346E-4</c:v>
                </c:pt>
                <c:pt idx="357">
                  <c:v>9.4825940772525928E-4</c:v>
                </c:pt>
                <c:pt idx="358">
                  <c:v>9.3425973470482519E-4</c:v>
                </c:pt>
                <c:pt idx="359">
                  <c:v>9.1634172414343574E-4</c:v>
                </c:pt>
                <c:pt idx="360">
                  <c:v>8.9540971749397049E-4</c:v>
                </c:pt>
                <c:pt idx="361">
                  <c:v>8.7331608798014179E-4</c:v>
                </c:pt>
                <c:pt idx="362">
                  <c:v>8.5011509340180054E-4</c:v>
                </c:pt>
                <c:pt idx="363">
                  <c:v>8.258623595479484E-4</c:v>
                </c:pt>
                <c:pt idx="364">
                  <c:v>8.0061439634258381E-4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102472"/>
        <c:axId val="319655600"/>
      </c:lineChart>
      <c:dateAx>
        <c:axId val="4701024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19655600"/>
        <c:crosses val="autoZero"/>
        <c:auto val="1"/>
        <c:lblOffset val="100"/>
        <c:baseTimeUnit val="days"/>
        <c:majorUnit val="1"/>
        <c:majorTimeUnit val="months"/>
      </c:dateAx>
      <c:valAx>
        <c:axId val="3196556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0102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6.6852877946201872E-3</c:v>
                </c:pt>
                <c:pt idx="1">
                  <c:v>6.7043244444681127E-3</c:v>
                </c:pt>
                <c:pt idx="2">
                  <c:v>6.7233607294829856E-3</c:v>
                </c:pt>
                <c:pt idx="3">
                  <c:v>6.7423966496718002E-3</c:v>
                </c:pt>
                <c:pt idx="4">
                  <c:v>6.761432205041551E-3</c:v>
                </c:pt>
                <c:pt idx="5">
                  <c:v>6.7804673955992323E-3</c:v>
                </c:pt>
                <c:pt idx="6">
                  <c:v>6.7995022213517275E-3</c:v>
                </c:pt>
                <c:pt idx="7">
                  <c:v>6.8185366823062532E-3</c:v>
                </c:pt>
                <c:pt idx="8">
                  <c:v>6.8375707784696926E-3</c:v>
                </c:pt>
                <c:pt idx="9">
                  <c:v>6.8566045098489292E-3</c:v>
                </c:pt>
                <c:pt idx="10">
                  <c:v>6.8756378764510684E-3</c:v>
                </c:pt>
                <c:pt idx="11">
                  <c:v>6.8946708782831045E-3</c:v>
                </c:pt>
                <c:pt idx="12">
                  <c:v>6.9137035153519211E-3</c:v>
                </c:pt>
                <c:pt idx="13">
                  <c:v>6.9327357876647344E-3</c:v>
                </c:pt>
                <c:pt idx="14">
                  <c:v>6.9517676952283169E-3</c:v>
                </c:pt>
                <c:pt idx="15">
                  <c:v>6.9707992380496631E-3</c:v>
                </c:pt>
                <c:pt idx="16">
                  <c:v>6.9898304161358782E-3</c:v>
                </c:pt>
                <c:pt idx="17">
                  <c:v>7.0088612294939567E-3</c:v>
                </c:pt>
                <c:pt idx="18">
                  <c:v>7.0278916781307821E-3</c:v>
                </c:pt>
                <c:pt idx="19">
                  <c:v>7.0469217620534597E-3</c:v>
                </c:pt>
                <c:pt idx="20">
                  <c:v>7.0659514812688728E-3</c:v>
                </c:pt>
                <c:pt idx="21">
                  <c:v>7.0849808357841271E-3</c:v>
                </c:pt>
                <c:pt idx="22">
                  <c:v>7.1040098256061057E-3</c:v>
                </c:pt>
                <c:pt idx="23">
                  <c:v>7.1230384507418032E-3</c:v>
                </c:pt>
                <c:pt idx="24">
                  <c:v>7.1420667111982139E-3</c:v>
                </c:pt>
                <c:pt idx="25">
                  <c:v>7.1610946069824433E-3</c:v>
                </c:pt>
                <c:pt idx="26">
                  <c:v>7.1801221381013747E-3</c:v>
                </c:pt>
                <c:pt idx="27">
                  <c:v>7.1991493045618915E-3</c:v>
                </c:pt>
                <c:pt idx="28">
                  <c:v>7.2181761063712102E-3</c:v>
                </c:pt>
                <c:pt idx="29">
                  <c:v>7.2372025435362142E-3</c:v>
                </c:pt>
                <c:pt idx="30">
                  <c:v>7.2562286160638978E-3</c:v>
                </c:pt>
                <c:pt idx="31">
                  <c:v>7.2752543239612555E-3</c:v>
                </c:pt>
                <c:pt idx="32">
                  <c:v>7.2942796672351706E-3</c:v>
                </c:pt>
                <c:pt idx="33">
                  <c:v>7.3133046458927486E-3</c:v>
                </c:pt>
                <c:pt idx="34">
                  <c:v>7.3323292599409839E-3</c:v>
                </c:pt>
                <c:pt idx="35">
                  <c:v>7.3513535093868709E-3</c:v>
                </c:pt>
                <c:pt idx="36">
                  <c:v>7.370377394237293E-3</c:v>
                </c:pt>
                <c:pt idx="37">
                  <c:v>7.3894009144993555E-3</c:v>
                </c:pt>
                <c:pt idx="38">
                  <c:v>7.408424070179942E-3</c:v>
                </c:pt>
                <c:pt idx="39">
                  <c:v>7.4274468612861577E-3</c:v>
                </c:pt>
                <c:pt idx="40">
                  <c:v>7.4464692878248862E-3</c:v>
                </c:pt>
                <c:pt idx="41">
                  <c:v>7.4654913498031217E-3</c:v>
                </c:pt>
                <c:pt idx="42">
                  <c:v>7.4845130472278587E-3</c:v>
                </c:pt>
                <c:pt idx="43">
                  <c:v>7.5035343801060916E-3</c:v>
                </c:pt>
                <c:pt idx="44">
                  <c:v>7.5225553484449259E-3</c:v>
                </c:pt>
                <c:pt idx="45">
                  <c:v>7.5415759522511339E-3</c:v>
                </c:pt>
                <c:pt idx="46">
                  <c:v>7.560596191531932E-3</c:v>
                </c:pt>
                <c:pt idx="47">
                  <c:v>7.5796160662940926E-3</c:v>
                </c:pt>
                <c:pt idx="48">
                  <c:v>7.5986355765447211E-3</c:v>
                </c:pt>
                <c:pt idx="49">
                  <c:v>7.617654722290701E-3</c:v>
                </c:pt>
                <c:pt idx="50">
                  <c:v>7.6366735035391375E-3</c:v>
                </c:pt>
                <c:pt idx="51">
                  <c:v>7.6556919202970253E-3</c:v>
                </c:pt>
                <c:pt idx="52">
                  <c:v>7.6747099725712475E-3</c:v>
                </c:pt>
                <c:pt idx="53">
                  <c:v>7.6937276603687987E-3</c:v>
                </c:pt>
                <c:pt idx="54">
                  <c:v>7.7127449836967843E-3</c:v>
                </c:pt>
                <c:pt idx="55">
                  <c:v>7.7317619425620876E-3</c:v>
                </c:pt>
                <c:pt idx="56">
                  <c:v>7.750778536971703E-3</c:v>
                </c:pt>
                <c:pt idx="57">
                  <c:v>7.7697947669326251E-3</c:v>
                </c:pt>
                <c:pt idx="58">
                  <c:v>7.788810632451848E-3</c:v>
                </c:pt>
                <c:pt idx="59">
                  <c:v>7.8078261335362553E-3</c:v>
                </c:pt>
                <c:pt idx="60">
                  <c:v>7.8268412701930634E-3</c:v>
                </c:pt>
                <c:pt idx="61">
                  <c:v>7.8458560424290447E-3</c:v>
                </c:pt>
                <c:pt idx="62">
                  <c:v>7.8648704502511935E-3</c:v>
                </c:pt>
                <c:pt idx="63">
                  <c:v>7.8838844936666153E-3</c:v>
                </c:pt>
                <c:pt idx="64">
                  <c:v>7.9028981726823044E-3</c:v>
                </c:pt>
                <c:pt idx="65">
                  <c:v>7.9219114873050334E-3</c:v>
                </c:pt>
                <c:pt idx="66">
                  <c:v>7.9409244375420185E-3</c:v>
                </c:pt>
                <c:pt idx="67">
                  <c:v>7.9599370234001432E-3</c:v>
                </c:pt>
                <c:pt idx="68">
                  <c:v>7.9789492448864019E-3</c:v>
                </c:pt>
                <c:pt idx="69">
                  <c:v>7.997961102007678E-3</c:v>
                </c:pt>
                <c:pt idx="70">
                  <c:v>8.0169725947711878E-3</c:v>
                </c:pt>
                <c:pt idx="71">
                  <c:v>8.0359837231837039E-3</c:v>
                </c:pt>
                <c:pt idx="72">
                  <c:v>8.0549944872523316E-3</c:v>
                </c:pt>
                <c:pt idx="73">
                  <c:v>8.0740048869839542E-3</c:v>
                </c:pt>
                <c:pt idx="74">
                  <c:v>8.0930149223855663E-3</c:v>
                </c:pt>
                <c:pt idx="75">
                  <c:v>8.1120245934642732E-3</c:v>
                </c:pt>
                <c:pt idx="76">
                  <c:v>8.1310339002268472E-3</c:v>
                </c:pt>
                <c:pt idx="77">
                  <c:v>8.1500428426805049E-3</c:v>
                </c:pt>
                <c:pt idx="78">
                  <c:v>8.1690514208321297E-3</c:v>
                </c:pt>
                <c:pt idx="79">
                  <c:v>8.1880596346886048E-3</c:v>
                </c:pt>
                <c:pt idx="80">
                  <c:v>8.2070674842570357E-3</c:v>
                </c:pt>
                <c:pt idx="81">
                  <c:v>8.2260749695444169E-3</c:v>
                </c:pt>
                <c:pt idx="82">
                  <c:v>8.2450820905576316E-3</c:v>
                </c:pt>
                <c:pt idx="83">
                  <c:v>8.2640888473036744E-3</c:v>
                </c:pt>
                <c:pt idx="84">
                  <c:v>8.2830952397896507E-3</c:v>
                </c:pt>
                <c:pt idx="85">
                  <c:v>8.3021012680223327E-3</c:v>
                </c:pt>
                <c:pt idx="86">
                  <c:v>8.321106932008937E-3</c:v>
                </c:pt>
                <c:pt idx="87">
                  <c:v>8.3401122317562359E-3</c:v>
                </c:pt>
                <c:pt idx="88">
                  <c:v>8.3591171672713349E-3</c:v>
                </c:pt>
                <c:pt idx="89">
                  <c:v>8.3781217385612283E-3</c:v>
                </c:pt>
                <c:pt idx="90">
                  <c:v>8.3971259456327996E-3</c:v>
                </c:pt>
                <c:pt idx="91">
                  <c:v>8.4161297884930431E-3</c:v>
                </c:pt>
                <c:pt idx="92">
                  <c:v>8.4351332671490642E-3</c:v>
                </c:pt>
                <c:pt idx="93">
                  <c:v>8.4541363816076354E-3</c:v>
                </c:pt>
                <c:pt idx="94">
                  <c:v>8.473139131875973E-3</c:v>
                </c:pt>
                <c:pt idx="95">
                  <c:v>8.4921415179608495E-3</c:v>
                </c:pt>
                <c:pt idx="96">
                  <c:v>8.5111435398693702E-3</c:v>
                </c:pt>
                <c:pt idx="97">
                  <c:v>8.5301451976084186E-3</c:v>
                </c:pt>
                <c:pt idx="98">
                  <c:v>8.5491464911851001E-3</c:v>
                </c:pt>
                <c:pt idx="99">
                  <c:v>8.568147420606298E-3</c:v>
                </c:pt>
                <c:pt idx="100">
                  <c:v>8.5871479858790067E-3</c:v>
                </c:pt>
                <c:pt idx="101">
                  <c:v>8.6061481870103318E-3</c:v>
                </c:pt>
                <c:pt idx="102">
                  <c:v>8.6251480240070455E-3</c:v>
                </c:pt>
                <c:pt idx="103">
                  <c:v>8.6441474968761423E-3</c:v>
                </c:pt>
                <c:pt idx="104">
                  <c:v>8.6631466056247275E-3</c:v>
                </c:pt>
                <c:pt idx="105">
                  <c:v>8.6821453502597956E-3</c:v>
                </c:pt>
                <c:pt idx="106">
                  <c:v>8.70114373078823E-3</c:v>
                </c:pt>
                <c:pt idx="107">
                  <c:v>8.7201417472170251E-3</c:v>
                </c:pt>
                <c:pt idx="108">
                  <c:v>8.7391393995531752E-3</c:v>
                </c:pt>
                <c:pt idx="109">
                  <c:v>8.7581366878035638E-3</c:v>
                </c:pt>
                <c:pt idx="110">
                  <c:v>8.7771336119754073E-3</c:v>
                </c:pt>
                <c:pt idx="111">
                  <c:v>8.7961301720754781E-3</c:v>
                </c:pt>
                <c:pt idx="112">
                  <c:v>8.8151263681107705E-3</c:v>
                </c:pt>
                <c:pt idx="113">
                  <c:v>8.8341222000882791E-3</c:v>
                </c:pt>
                <c:pt idx="114">
                  <c:v>8.8531176680149981E-3</c:v>
                </c:pt>
                <c:pt idx="115">
                  <c:v>8.872112771898033E-3</c:v>
                </c:pt>
                <c:pt idx="116">
                  <c:v>8.8911075117441563E-3</c:v>
                </c:pt>
                <c:pt idx="117">
                  <c:v>8.9101018875603621E-3</c:v>
                </c:pt>
                <c:pt idx="118">
                  <c:v>8.9290958993537561E-3</c:v>
                </c:pt>
                <c:pt idx="119">
                  <c:v>8.9480895471312216E-3</c:v>
                </c:pt>
                <c:pt idx="120">
                  <c:v>8.967082830899753E-3</c:v>
                </c:pt>
                <c:pt idx="121">
                  <c:v>8.9860757506663447E-3</c:v>
                </c:pt>
                <c:pt idx="122">
                  <c:v>9.0050683064379911E-3</c:v>
                </c:pt>
                <c:pt idx="123">
                  <c:v>9.0240604982216865E-3</c:v>
                </c:pt>
                <c:pt idx="124">
                  <c:v>9.0430523260243145E-3</c:v>
                </c:pt>
                <c:pt idx="125">
                  <c:v>9.0620437898528694E-3</c:v>
                </c:pt>
                <c:pt idx="126">
                  <c:v>9.0810348897143456E-3</c:v>
                </c:pt>
                <c:pt idx="127">
                  <c:v>9.1000256256157375E-3</c:v>
                </c:pt>
                <c:pt idx="128">
                  <c:v>9.1190159975640395E-3</c:v>
                </c:pt>
                <c:pt idx="129">
                  <c:v>9.138006005566135E-3</c:v>
                </c:pt>
                <c:pt idx="130">
                  <c:v>9.1569956496290184E-3</c:v>
                </c:pt>
                <c:pt idx="131">
                  <c:v>9.1759849297597951E-3</c:v>
                </c:pt>
                <c:pt idx="132">
                  <c:v>9.1949738459653485E-3</c:v>
                </c:pt>
                <c:pt idx="133">
                  <c:v>9.213962398252673E-3</c:v>
                </c:pt>
                <c:pt idx="134">
                  <c:v>9.2329505866286521E-3</c:v>
                </c:pt>
                <c:pt idx="135">
                  <c:v>9.2519384111003911E-3</c:v>
                </c:pt>
                <c:pt idx="136">
                  <c:v>9.2709258716747733E-3</c:v>
                </c:pt>
                <c:pt idx="137">
                  <c:v>9.2899129683587933E-3</c:v>
                </c:pt>
                <c:pt idx="138">
                  <c:v>9.3088997011595565E-3</c:v>
                </c:pt>
                <c:pt idx="139">
                  <c:v>9.3278860700837241E-3</c:v>
                </c:pt>
                <c:pt idx="140">
                  <c:v>9.3468720751386236E-3</c:v>
                </c:pt>
                <c:pt idx="141">
                  <c:v>9.3658577163310275E-3</c:v>
                </c:pt>
                <c:pt idx="142">
                  <c:v>9.3848429936679301E-3</c:v>
                </c:pt>
                <c:pt idx="143">
                  <c:v>9.4038279071563258E-3</c:v>
                </c:pt>
                <c:pt idx="144">
                  <c:v>9.422812456803098E-3</c:v>
                </c:pt>
                <c:pt idx="145">
                  <c:v>9.4417966426154631E-3</c:v>
                </c:pt>
                <c:pt idx="146">
                  <c:v>9.4607804646000826E-3</c:v>
                </c:pt>
                <c:pt idx="147">
                  <c:v>9.4797639227641728E-3</c:v>
                </c:pt>
                <c:pt idx="148">
                  <c:v>9.4987470171146171E-3</c:v>
                </c:pt>
                <c:pt idx="149">
                  <c:v>9.51772974765841E-3</c:v>
                </c:pt>
                <c:pt idx="150">
                  <c:v>9.5367121144025457E-3</c:v>
                </c:pt>
                <c:pt idx="151">
                  <c:v>9.5556941173537968E-3</c:v>
                </c:pt>
                <c:pt idx="152">
                  <c:v>9.5746757565193796E-3</c:v>
                </c:pt>
                <c:pt idx="153">
                  <c:v>9.5936570319061776E-3</c:v>
                </c:pt>
                <c:pt idx="154">
                  <c:v>9.6126379435211851E-3</c:v>
                </c:pt>
                <c:pt idx="155">
                  <c:v>9.6316184913713965E-3</c:v>
                </c:pt>
                <c:pt idx="156">
                  <c:v>9.6505986754635842E-3</c:v>
                </c:pt>
                <c:pt idx="157">
                  <c:v>9.6695784958049646E-3</c:v>
                </c:pt>
                <c:pt idx="158">
                  <c:v>9.6885579524024212E-3</c:v>
                </c:pt>
                <c:pt idx="159">
                  <c:v>9.7075370452629484E-3</c:v>
                </c:pt>
                <c:pt idx="160">
                  <c:v>9.7265157743934294E-3</c:v>
                </c:pt>
                <c:pt idx="161">
                  <c:v>9.7454941398009698E-3</c:v>
                </c:pt>
                <c:pt idx="162">
                  <c:v>9.7644721414924529E-3</c:v>
                </c:pt>
                <c:pt idx="163">
                  <c:v>9.7834497794747621E-3</c:v>
                </c:pt>
                <c:pt idx="164">
                  <c:v>9.8024270537551139E-3</c:v>
                </c:pt>
                <c:pt idx="165">
                  <c:v>9.8214039643401696E-3</c:v>
                </c:pt>
                <c:pt idx="166">
                  <c:v>9.8403805112371456E-3</c:v>
                </c:pt>
                <c:pt idx="167">
                  <c:v>9.8593566944530364E-3</c:v>
                </c:pt>
                <c:pt idx="168">
                  <c:v>9.8783325139945033E-3</c:v>
                </c:pt>
                <c:pt idx="169">
                  <c:v>9.8973079698688737E-3</c:v>
                </c:pt>
                <c:pt idx="170">
                  <c:v>9.9162830620829201E-3</c:v>
                </c:pt>
                <c:pt idx="171">
                  <c:v>9.9352577906436368E-3</c:v>
                </c:pt>
                <c:pt idx="172">
                  <c:v>9.9542321555580182E-3</c:v>
                </c:pt>
                <c:pt idx="173">
                  <c:v>9.9732061568330588E-3</c:v>
                </c:pt>
                <c:pt idx="174">
                  <c:v>9.9921797944756419E-3</c:v>
                </c:pt>
                <c:pt idx="175">
                  <c:v>1.0011153068492762E-2</c:v>
                </c:pt>
                <c:pt idx="176">
                  <c:v>1.0030125978891413E-2</c:v>
                </c:pt>
                <c:pt idx="177">
                  <c:v>1.0049098525678701E-2</c:v>
                </c:pt>
                <c:pt idx="178">
                  <c:v>1.0068070708861288E-2</c:v>
                </c:pt>
                <c:pt idx="179">
                  <c:v>1.0087042528446388E-2</c:v>
                </c:pt>
                <c:pt idx="180">
                  <c:v>1.0106013984440887E-2</c:v>
                </c:pt>
                <c:pt idx="181">
                  <c:v>1.0124985076851778E-2</c:v>
                </c:pt>
                <c:pt idx="182">
                  <c:v>1.0143955805686056E-2</c:v>
                </c:pt>
                <c:pt idx="183">
                  <c:v>1.0162926170950493E-2</c:v>
                </c:pt>
                <c:pt idx="184">
                  <c:v>1.0181896172652305E-2</c:v>
                </c:pt>
                <c:pt idx="185">
                  <c:v>1.0200865810798376E-2</c:v>
                </c:pt>
                <c:pt idx="186">
                  <c:v>1.0219835085395701E-2</c:v>
                </c:pt>
                <c:pt idx="187">
                  <c:v>1.0238803996451162E-2</c:v>
                </c:pt>
                <c:pt idx="188">
                  <c:v>1.0257772543971755E-2</c:v>
                </c:pt>
                <c:pt idx="189">
                  <c:v>1.0276740727964362E-2</c:v>
                </c:pt>
                <c:pt idx="190">
                  <c:v>1.02957085484362E-2</c:v>
                </c:pt>
                <c:pt idx="191">
                  <c:v>1.0314676005394041E-2</c:v>
                </c:pt>
                <c:pt idx="192">
                  <c:v>1.033364309884488E-2</c:v>
                </c:pt>
                <c:pt idx="193">
                  <c:v>1.0352609828795711E-2</c:v>
                </c:pt>
                <c:pt idx="194">
                  <c:v>1.0371576195253529E-2</c:v>
                </c:pt>
                <c:pt idx="195">
                  <c:v>1.0390542198225217E-2</c:v>
                </c:pt>
                <c:pt idx="196">
                  <c:v>1.0409507837717769E-2</c:v>
                </c:pt>
                <c:pt idx="197">
                  <c:v>1.0428473113738179E-2</c:v>
                </c:pt>
                <c:pt idx="198">
                  <c:v>1.0447438026293443E-2</c:v>
                </c:pt>
                <c:pt idx="199">
                  <c:v>1.0466402575390443E-2</c:v>
                </c:pt>
                <c:pt idx="200">
                  <c:v>1.0485366761036174E-2</c:v>
                </c:pt>
                <c:pt idx="201">
                  <c:v>1.0504330583237631E-2</c:v>
                </c:pt>
                <c:pt idx="202">
                  <c:v>1.0523294042001807E-2</c:v>
                </c:pt>
                <c:pt idx="203">
                  <c:v>1.0542257137335587E-2</c:v>
                </c:pt>
                <c:pt idx="204">
                  <c:v>1.0561219869245964E-2</c:v>
                </c:pt>
                <c:pt idx="205">
                  <c:v>1.0580182237739821E-2</c:v>
                </c:pt>
                <c:pt idx="206">
                  <c:v>1.0599144242824377E-2</c:v>
                </c:pt>
                <c:pt idx="207">
                  <c:v>1.061810588450629E-2</c:v>
                </c:pt>
                <c:pt idx="208">
                  <c:v>1.0637067162792779E-2</c:v>
                </c:pt>
                <c:pt idx="209">
                  <c:v>1.0656028077690616E-2</c:v>
                </c:pt>
                <c:pt idx="210">
                  <c:v>1.0674988629206905E-2</c:v>
                </c:pt>
                <c:pt idx="211">
                  <c:v>1.0693948817348531E-2</c:v>
                </c:pt>
                <c:pt idx="212">
                  <c:v>1.0712908642122487E-2</c:v>
                </c:pt>
                <c:pt idx="213">
                  <c:v>1.0731868103535658E-2</c:v>
                </c:pt>
                <c:pt idx="214">
                  <c:v>1.0750827201595148E-2</c:v>
                </c:pt>
                <c:pt idx="215">
                  <c:v>1.0769785936307841E-2</c:v>
                </c:pt>
                <c:pt idx="216">
                  <c:v>1.078874430768062E-2</c:v>
                </c:pt>
                <c:pt idx="217">
                  <c:v>1.0807702315720591E-2</c:v>
                </c:pt>
                <c:pt idx="218">
                  <c:v>1.0826659960434748E-2</c:v>
                </c:pt>
                <c:pt idx="219">
                  <c:v>1.0845617241829864E-2</c:v>
                </c:pt>
                <c:pt idx="220">
                  <c:v>1.0864574159913043E-2</c:v>
                </c:pt>
                <c:pt idx="221">
                  <c:v>1.0883530714691281E-2</c:v>
                </c:pt>
                <c:pt idx="222">
                  <c:v>1.0902486906171349E-2</c:v>
                </c:pt>
                <c:pt idx="223">
                  <c:v>1.0921442734360354E-2</c:v>
                </c:pt>
                <c:pt idx="224">
                  <c:v>1.0940398199265289E-2</c:v>
                </c:pt>
                <c:pt idx="225">
                  <c:v>1.0959353300893038E-2</c:v>
                </c:pt>
                <c:pt idx="226">
                  <c:v>1.0978308039250595E-2</c:v>
                </c:pt>
                <c:pt idx="227">
                  <c:v>1.0997262414344955E-2</c:v>
                </c:pt>
                <c:pt idx="228">
                  <c:v>1.1016216426183001E-2</c:v>
                </c:pt>
                <c:pt idx="229">
                  <c:v>1.1035170074771727E-2</c:v>
                </c:pt>
                <c:pt idx="230">
                  <c:v>1.1054123360118129E-2</c:v>
                </c:pt>
                <c:pt idx="231">
                  <c:v>1.1073076282229088E-2</c:v>
                </c:pt>
                <c:pt idx="232">
                  <c:v>1.1092028841111712E-2</c:v>
                </c:pt>
                <c:pt idx="233">
                  <c:v>1.1110981036772771E-2</c:v>
                </c:pt>
                <c:pt idx="234">
                  <c:v>1.1129932869219372E-2</c:v>
                </c:pt>
                <c:pt idx="235">
                  <c:v>1.1148884338458398E-2</c:v>
                </c:pt>
                <c:pt idx="236">
                  <c:v>1.1167835444496843E-2</c:v>
                </c:pt>
                <c:pt idx="237">
                  <c:v>1.1186786187341702E-2</c:v>
                </c:pt>
                <c:pt idx="238">
                  <c:v>1.1205736566999858E-2</c:v>
                </c:pt>
                <c:pt idx="239">
                  <c:v>1.1224686583478305E-2</c:v>
                </c:pt>
                <c:pt idx="240">
                  <c:v>1.1243636236784038E-2</c:v>
                </c:pt>
                <c:pt idx="241">
                  <c:v>1.1262585526924052E-2</c:v>
                </c:pt>
                <c:pt idx="242">
                  <c:v>1.1281534453905118E-2</c:v>
                </c:pt>
                <c:pt idx="243">
                  <c:v>1.1300483017734342E-2</c:v>
                </c:pt>
                <c:pt idx="244">
                  <c:v>1.1319431218418718E-2</c:v>
                </c:pt>
                <c:pt idx="245">
                  <c:v>1.1338379055965131E-2</c:v>
                </c:pt>
                <c:pt idx="246">
                  <c:v>1.1357326530380574E-2</c:v>
                </c:pt>
                <c:pt idx="247">
                  <c:v>1.1376273641672041E-2</c:v>
                </c:pt>
                <c:pt idx="248">
                  <c:v>1.1395220389846306E-2</c:v>
                </c:pt>
                <c:pt idx="249">
                  <c:v>1.1414166774910584E-2</c:v>
                </c:pt>
                <c:pt idx="250">
                  <c:v>1.1433112796871647E-2</c:v>
                </c:pt>
                <c:pt idx="251">
                  <c:v>1.1452058455736602E-2</c:v>
                </c:pt>
                <c:pt idx="252">
                  <c:v>1.1471003751512221E-2</c:v>
                </c:pt>
                <c:pt idx="253">
                  <c:v>1.1489948684205609E-2</c:v>
                </c:pt>
                <c:pt idx="254">
                  <c:v>1.150889325382376E-2</c:v>
                </c:pt>
                <c:pt idx="255">
                  <c:v>1.1527837460373447E-2</c:v>
                </c:pt>
                <c:pt idx="256">
                  <c:v>1.1546781303861775E-2</c:v>
                </c:pt>
                <c:pt idx="257">
                  <c:v>1.1565724784295628E-2</c:v>
                </c:pt>
                <c:pt idx="258">
                  <c:v>1.1584667901682111E-2</c:v>
                </c:pt>
                <c:pt idx="259">
                  <c:v>1.1603610656027996E-2</c:v>
                </c:pt>
                <c:pt idx="260">
                  <c:v>1.1622553047340278E-2</c:v>
                </c:pt>
                <c:pt idx="261">
                  <c:v>1.1641495075626063E-2</c:v>
                </c:pt>
                <c:pt idx="262">
                  <c:v>1.1660436740892122E-2</c:v>
                </c:pt>
                <c:pt idx="263">
                  <c:v>1.167937804314545E-2</c:v>
                </c:pt>
                <c:pt idx="264">
                  <c:v>1.1698318982393041E-2</c:v>
                </c:pt>
                <c:pt idx="265">
                  <c:v>1.171725955864189E-2</c:v>
                </c:pt>
                <c:pt idx="266">
                  <c:v>1.1736199771898992E-2</c:v>
                </c:pt>
                <c:pt idx="267">
                  <c:v>1.1755139622171118E-2</c:v>
                </c:pt>
                <c:pt idx="268">
                  <c:v>1.1774079109465374E-2</c:v>
                </c:pt>
                <c:pt idx="269">
                  <c:v>1.1793018233788755E-2</c:v>
                </c:pt>
                <c:pt idx="270">
                  <c:v>1.1811956995148032E-2</c:v>
                </c:pt>
                <c:pt idx="271">
                  <c:v>1.1830895393550311E-2</c:v>
                </c:pt>
                <c:pt idx="272">
                  <c:v>1.1849833429002476E-2</c:v>
                </c:pt>
                <c:pt idx="273">
                  <c:v>1.1868771101511522E-2</c:v>
                </c:pt>
                <c:pt idx="274">
                  <c:v>1.1887708411084441E-2</c:v>
                </c:pt>
                <c:pt idx="275">
                  <c:v>1.1906645357728007E-2</c:v>
                </c:pt>
                <c:pt idx="276">
                  <c:v>1.1925581941449437E-2</c:v>
                </c:pt>
                <c:pt idx="277">
                  <c:v>1.1944518162255502E-2</c:v>
                </c:pt>
                <c:pt idx="278">
                  <c:v>1.1963454020153308E-2</c:v>
                </c:pt>
                <c:pt idx="279">
                  <c:v>1.1982389515149627E-2</c:v>
                </c:pt>
                <c:pt idx="280">
                  <c:v>1.2001324647251566E-2</c:v>
                </c:pt>
                <c:pt idx="281">
                  <c:v>1.2020259416465895E-2</c:v>
                </c:pt>
                <c:pt idx="282">
                  <c:v>1.2039193822799832E-2</c:v>
                </c:pt>
                <c:pt idx="283">
                  <c:v>1.2058127866260149E-2</c:v>
                </c:pt>
                <c:pt idx="284">
                  <c:v>1.207706154685384E-2</c:v>
                </c:pt>
                <c:pt idx="285">
                  <c:v>1.2095994864587789E-2</c:v>
                </c:pt>
                <c:pt idx="286">
                  <c:v>1.2114927819469101E-2</c:v>
                </c:pt>
                <c:pt idx="287">
                  <c:v>1.213386041150466E-2</c:v>
                </c:pt>
                <c:pt idx="288">
                  <c:v>1.2152792640701349E-2</c:v>
                </c:pt>
                <c:pt idx="289">
                  <c:v>1.2171724507066273E-2</c:v>
                </c:pt>
                <c:pt idx="290">
                  <c:v>1.2190656010606205E-2</c:v>
                </c:pt>
                <c:pt idx="291">
                  <c:v>1.2209587151328249E-2</c:v>
                </c:pt>
                <c:pt idx="292">
                  <c:v>1.2228517929239291E-2</c:v>
                </c:pt>
                <c:pt idx="293">
                  <c:v>1.2247448344346323E-2</c:v>
                </c:pt>
                <c:pt idx="294">
                  <c:v>1.226637839665623E-2</c:v>
                </c:pt>
                <c:pt idx="295">
                  <c:v>1.2285308086176006E-2</c:v>
                </c:pt>
                <c:pt idx="296">
                  <c:v>1.2304237412912644E-2</c:v>
                </c:pt>
                <c:pt idx="297">
                  <c:v>1.2323166376872918E-2</c:v>
                </c:pt>
                <c:pt idx="298">
                  <c:v>1.2342094978064044E-2</c:v>
                </c:pt>
                <c:pt idx="299">
                  <c:v>1.2361023216492795E-2</c:v>
                </c:pt>
                <c:pt idx="300">
                  <c:v>1.2379951092166164E-2</c:v>
                </c:pt>
                <c:pt idx="301">
                  <c:v>1.2398878605091146E-2</c:v>
                </c:pt>
                <c:pt idx="302">
                  <c:v>1.2417805755274736E-2</c:v>
                </c:pt>
                <c:pt idx="303">
                  <c:v>1.2436732542723705E-2</c:v>
                </c:pt>
                <c:pt idx="304">
                  <c:v>1.245565896744516E-2</c:v>
                </c:pt>
                <c:pt idx="305">
                  <c:v>1.2474585029445984E-2</c:v>
                </c:pt>
                <c:pt idx="306">
                  <c:v>1.2493510728733059E-2</c:v>
                </c:pt>
                <c:pt idx="307">
                  <c:v>1.2512436065313604E-2</c:v>
                </c:pt>
                <c:pt idx="308">
                  <c:v>1.2531361039194278E-2</c:v>
                </c:pt>
                <c:pt idx="309">
                  <c:v>1.2550285650382187E-2</c:v>
                </c:pt>
                <c:pt idx="310">
                  <c:v>1.2569209898884215E-2</c:v>
                </c:pt>
                <c:pt idx="311">
                  <c:v>1.2588133784707245E-2</c:v>
                </c:pt>
                <c:pt idx="312">
                  <c:v>1.2607057307858494E-2</c:v>
                </c:pt>
                <c:pt idx="313">
                  <c:v>1.2625980468344622E-2</c:v>
                </c:pt>
                <c:pt idx="314">
                  <c:v>1.2644903266172736E-2</c:v>
                </c:pt>
                <c:pt idx="315">
                  <c:v>1.2663825701349718E-2</c:v>
                </c:pt>
                <c:pt idx="316">
                  <c:v>1.2682747773882563E-2</c:v>
                </c:pt>
                <c:pt idx="317">
                  <c:v>1.2701669483778266E-2</c:v>
                </c:pt>
                <c:pt idx="318">
                  <c:v>1.2720590831043599E-2</c:v>
                </c:pt>
                <c:pt idx="319">
                  <c:v>1.2739511815685778E-2</c:v>
                </c:pt>
                <c:pt idx="320">
                  <c:v>1.2758432437711464E-2</c:v>
                </c:pt>
                <c:pt idx="321">
                  <c:v>1.2777352697127764E-2</c:v>
                </c:pt>
                <c:pt idx="322">
                  <c:v>1.2796272593941671E-2</c:v>
                </c:pt>
                <c:pt idx="323">
                  <c:v>1.2815192128160069E-2</c:v>
                </c:pt>
                <c:pt idx="324">
                  <c:v>1.2834111299789841E-2</c:v>
                </c:pt>
                <c:pt idx="325">
                  <c:v>1.2853030108838093E-2</c:v>
                </c:pt>
                <c:pt idx="326">
                  <c:v>1.2871948555311596E-2</c:v>
                </c:pt>
                <c:pt idx="327">
                  <c:v>1.2890866639217458E-2</c:v>
                </c:pt>
                <c:pt idx="328">
                  <c:v>1.290978436056256E-2</c:v>
                </c:pt>
                <c:pt idx="329">
                  <c:v>1.2928701719353786E-2</c:v>
                </c:pt>
                <c:pt idx="330">
                  <c:v>1.2947618715598241E-2</c:v>
                </c:pt>
                <c:pt idx="331">
                  <c:v>1.2966535349302699E-2</c:v>
                </c:pt>
                <c:pt idx="332">
                  <c:v>1.2985451620474264E-2</c:v>
                </c:pt>
                <c:pt idx="333">
                  <c:v>1.3004367529119709E-2</c:v>
                </c:pt>
                <c:pt idx="334">
                  <c:v>1.3023283075246139E-2</c:v>
                </c:pt>
                <c:pt idx="335">
                  <c:v>1.3042198258860438E-2</c:v>
                </c:pt>
                <c:pt idx="336">
                  <c:v>1.3061113079969489E-2</c:v>
                </c:pt>
                <c:pt idx="337">
                  <c:v>1.3080027538580397E-2</c:v>
                </c:pt>
                <c:pt idx="338">
                  <c:v>1.3098941634700045E-2</c:v>
                </c:pt>
                <c:pt idx="339">
                  <c:v>1.3117855368335207E-2</c:v>
                </c:pt>
                <c:pt idx="340">
                  <c:v>1.3136768739493099E-2</c:v>
                </c:pt>
                <c:pt idx="341">
                  <c:v>1.3155681748180492E-2</c:v>
                </c:pt>
                <c:pt idx="342">
                  <c:v>1.3174594394404493E-2</c:v>
                </c:pt>
                <c:pt idx="343">
                  <c:v>1.3193506678171874E-2</c:v>
                </c:pt>
                <c:pt idx="344">
                  <c:v>1.3212418599489628E-2</c:v>
                </c:pt>
                <c:pt idx="345">
                  <c:v>1.3231330158364751E-2</c:v>
                </c:pt>
                <c:pt idx="346">
                  <c:v>1.3250241354804126E-2</c:v>
                </c:pt>
                <c:pt idx="347">
                  <c:v>1.3269152188814748E-2</c:v>
                </c:pt>
                <c:pt idx="348">
                  <c:v>1.328806266040361E-2</c:v>
                </c:pt>
                <c:pt idx="349">
                  <c:v>1.3306972769577596E-2</c:v>
                </c:pt>
                <c:pt idx="350">
                  <c:v>1.332588251634359E-2</c:v>
                </c:pt>
                <c:pt idx="351">
                  <c:v>1.3344791900708586E-2</c:v>
                </c:pt>
                <c:pt idx="352">
                  <c:v>1.3363700922679578E-2</c:v>
                </c:pt>
                <c:pt idx="353">
                  <c:v>1.3382609582263449E-2</c:v>
                </c:pt>
                <c:pt idx="354">
                  <c:v>1.3401517879467306E-2</c:v>
                </c:pt>
                <c:pt idx="355">
                  <c:v>1.3420425814297809E-2</c:v>
                </c:pt>
                <c:pt idx="356">
                  <c:v>1.3439333386762065E-2</c:v>
                </c:pt>
                <c:pt idx="357">
                  <c:v>1.3458240596867066E-2</c:v>
                </c:pt>
                <c:pt idx="358">
                  <c:v>1.3477147444619697E-2</c:v>
                </c:pt>
                <c:pt idx="359">
                  <c:v>1.3496053930026952E-2</c:v>
                </c:pt>
                <c:pt idx="360">
                  <c:v>1.3514960053095604E-2</c:v>
                </c:pt>
                <c:pt idx="361">
                  <c:v>1.3533865813832757E-2</c:v>
                </c:pt>
                <c:pt idx="362">
                  <c:v>1.3552771212245407E-2</c:v>
                </c:pt>
                <c:pt idx="363">
                  <c:v>1.3571676248340325E-2</c:v>
                </c:pt>
                <c:pt idx="364">
                  <c:v>1.3590580922124507E-2</c:v>
                </c:pt>
                <c:pt idx="365">
                  <c:v>1.3609485233605056E-2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2.7374222417962678E-2</c:v>
                </c:pt>
                <c:pt idx="1">
                  <c:v>2.7439472137366947E-2</c:v>
                </c:pt>
                <c:pt idx="2">
                  <c:v>2.7504717877990022E-2</c:v>
                </c:pt>
                <c:pt idx="3">
                  <c:v>2.7569953697410693E-2</c:v>
                </c:pt>
                <c:pt idx="4">
                  <c:v>2.7635174424672174E-2</c:v>
                </c:pt>
                <c:pt idx="5">
                  <c:v>2.7700375643298462E-2</c:v>
                </c:pt>
                <c:pt idx="6">
                  <c:v>2.7765553667787289E-2</c:v>
                </c:pt>
                <c:pt idx="7">
                  <c:v>2.7830705514011386E-2</c:v>
                </c:pt>
                <c:pt idx="8">
                  <c:v>2.789582886400966E-2</c:v>
                </c:pt>
                <c:pt idx="9">
                  <c:v>2.7960922025694369E-2</c:v>
                </c:pt>
                <c:pt idx="10">
                  <c:v>2.8025983888039483E-2</c:v>
                </c:pt>
                <c:pt idx="11">
                  <c:v>2.8091013872347942E-2</c:v>
                </c:pt>
                <c:pt idx="12">
                  <c:v>2.8156011880222345E-2</c:v>
                </c:pt>
                <c:pt idx="13">
                  <c:v>2.82209782388834E-2</c:v>
                </c:pt>
                <c:pt idx="14">
                  <c:v>2.8285913644493815E-2</c:v>
                </c:pt>
                <c:pt idx="15">
                  <c:v>2.8350819104152263E-2</c:v>
                </c:pt>
                <c:pt idx="16">
                  <c:v>2.8415695877221609E-2</c:v>
                </c:pt>
                <c:pt idx="17">
                  <c:v>2.8480545416649603E-2</c:v>
                </c:pt>
                <c:pt idx="18">
                  <c:v>2.8545369310926876E-2</c:v>
                </c:pt>
                <c:pt idx="19">
                  <c:v>2.861016922730782E-2</c:v>
                </c:pt>
                <c:pt idx="20">
                  <c:v>2.8674946856895228E-2</c:v>
                </c:pt>
                <c:pt idx="21">
                  <c:v>2.8739703862158125E-2</c:v>
                </c:pt>
                <c:pt idx="22">
                  <c:v>2.8804441827416687E-2</c:v>
                </c:pt>
                <c:pt idx="23">
                  <c:v>2.8869162212787392E-2</c:v>
                </c:pt>
                <c:pt idx="24">
                  <c:v>2.8933866312035709E-2</c:v>
                </c:pt>
                <c:pt idx="25">
                  <c:v>2.8998555214735652E-2</c:v>
                </c:pt>
                <c:pt idx="26">
                  <c:v>2.9063229773082611E-2</c:v>
                </c:pt>
                <c:pt idx="27">
                  <c:v>2.9127890573651102E-2</c:v>
                </c:pt>
                <c:pt idx="28">
                  <c:v>2.9192537914332666E-2</c:v>
                </c:pt>
                <c:pt idx="29">
                  <c:v>2.9257171786629888E-2</c:v>
                </c:pt>
                <c:pt idx="30">
                  <c:v>2.9321791863424113E-2</c:v>
                </c:pt>
                <c:pt idx="31">
                  <c:v>2.9386397492274313E-2</c:v>
                </c:pt>
                <c:pt idx="32">
                  <c:v>2.9450987694246158E-2</c:v>
                </c:pt>
                <c:pt idx="33">
                  <c:v>2.9515561168211694E-2</c:v>
                </c:pt>
                <c:pt idx="34">
                  <c:v>2.9580116300504059E-2</c:v>
                </c:pt>
                <c:pt idx="35">
                  <c:v>2.9644651179757484E-2</c:v>
                </c:pt>
                <c:pt idx="36">
                  <c:v>2.9709163616710756E-2</c:v>
                </c:pt>
                <c:pt idx="37">
                  <c:v>2.9773651168704653E-2</c:v>
                </c:pt>
                <c:pt idx="38">
                  <c:v>2.9838111168558824E-2</c:v>
                </c:pt>
                <c:pt idx="39">
                  <c:v>2.9902540757472836E-2</c:v>
                </c:pt>
                <c:pt idx="40">
                  <c:v>2.996693692156057E-2</c:v>
                </c:pt>
                <c:pt idx="41">
                  <c:v>3.0031296531594968E-2</c:v>
                </c:pt>
                <c:pt idx="42">
                  <c:v>3.0095616385514206E-2</c:v>
                </c:pt>
                <c:pt idx="43">
                  <c:v>3.0159893253219234E-2</c:v>
                </c:pt>
                <c:pt idx="44">
                  <c:v>3.0224123923176169E-2</c:v>
                </c:pt>
                <c:pt idx="45">
                  <c:v>3.0288305250327382E-2</c:v>
                </c:pt>
                <c:pt idx="46">
                  <c:v>3.0352434204809264E-2</c:v>
                </c:pt>
                <c:pt idx="47">
                  <c:v>3.0416507920975795E-2</c:v>
                </c:pt>
                <c:pt idx="48">
                  <c:v>3.0480523746232013E-2</c:v>
                </c:pt>
                <c:pt idx="49">
                  <c:v>3.0544479289192801E-2</c:v>
                </c:pt>
                <c:pt idx="50">
                  <c:v>3.0608372466697707E-2</c:v>
                </c:pt>
                <c:pt idx="51">
                  <c:v>3.0672201549233113E-2</c:v>
                </c:pt>
                <c:pt idx="52">
                  <c:v>3.0735965204337613E-2</c:v>
                </c:pt>
                <c:pt idx="53">
                  <c:v>3.0799662537595279E-2</c:v>
                </c:pt>
                <c:pt idx="54">
                  <c:v>3.0863293130853429E-2</c:v>
                </c:pt>
                <c:pt idx="55">
                  <c:v>3.0926857077337333E-2</c:v>
                </c:pt>
                <c:pt idx="56">
                  <c:v>3.099035501337187E-2</c:v>
                </c:pt>
                <c:pt idx="57">
                  <c:v>3.1053788146460995E-2</c:v>
                </c:pt>
                <c:pt idx="58">
                  <c:v>3.1117158279517252E-2</c:v>
                </c:pt>
                <c:pt idx="59">
                  <c:v>3.1180467831077148E-2</c:v>
                </c:pt>
                <c:pt idx="60">
                  <c:v>3.1243719851381947E-2</c:v>
                </c:pt>
                <c:pt idx="61">
                  <c:v>3.130691803424715E-2</c:v>
                </c:pt>
                <c:pt idx="62">
                  <c:v>3.1370066724687756E-2</c:v>
                </c:pt>
                <c:pt idx="63">
                  <c:v>3.1433170922309066E-2</c:v>
                </c:pt>
                <c:pt idx="64">
                  <c:v>3.1496236280513908E-2</c:v>
                </c:pt>
                <c:pt idx="65">
                  <c:v>3.1559269101616903E-2</c:v>
                </c:pt>
                <c:pt idx="66">
                  <c:v>3.1622276327993443E-2</c:v>
                </c:pt>
                <c:pt idx="67">
                  <c:v>3.1685265529425737E-2</c:v>
                </c:pt>
                <c:pt idx="68">
                  <c:v>3.1748244886839715E-2</c:v>
                </c:pt>
                <c:pt idx="69">
                  <c:v>3.181122317265489E-2</c:v>
                </c:pt>
                <c:pt idx="70">
                  <c:v>3.1874209727993812E-2</c:v>
                </c:pt>
                <c:pt idx="71">
                  <c:v>3.193721443701851E-2</c:v>
                </c:pt>
                <c:pt idx="72">
                  <c:v>3.2000247698677924E-2</c:v>
                </c:pt>
                <c:pt idx="73">
                  <c:v>3.2063320396163247E-2</c:v>
                </c:pt>
                <c:pt idx="74">
                  <c:v>3.2126443864376047E-2</c:v>
                </c:pt>
                <c:pt idx="75">
                  <c:v>3.21896298557185E-2</c:v>
                </c:pt>
                <c:pt idx="76">
                  <c:v>3.225289050451513E-2</c:v>
                </c:pt>
                <c:pt idx="77">
                  <c:v>3.2316238290370815E-2</c:v>
                </c:pt>
                <c:pt idx="78">
                  <c:v>3.2379686000762589E-2</c:v>
                </c:pt>
                <c:pt idx="79">
                  <c:v>3.2443246693150046E-2</c:v>
                </c:pt>
                <c:pt idx="80">
                  <c:v>3.250693365687473E-2</c:v>
                </c:pt>
                <c:pt idx="81">
                  <c:v>3.2570760375099636E-2</c:v>
                </c:pt>
                <c:pt idx="82">
                  <c:v>3.263474048701881E-2</c:v>
                </c:pt>
                <c:pt idx="83">
                  <c:v>3.2698887750543186E-2</c:v>
                </c:pt>
                <c:pt idx="84">
                  <c:v>3.2763216005642283E-2</c:v>
                </c:pt>
                <c:pt idx="85">
                  <c:v>3.2827739138493801E-2</c:v>
                </c:pt>
                <c:pt idx="86">
                  <c:v>3.2892471046563794E-2</c:v>
                </c:pt>
                <c:pt idx="87">
                  <c:v>3.2957425604710038E-2</c:v>
                </c:pt>
                <c:pt idx="88">
                  <c:v>3.3022616632371049E-2</c:v>
                </c:pt>
                <c:pt idx="89">
                  <c:v>3.3088057861872404E-2</c:v>
                </c:pt>
                <c:pt idx="90">
                  <c:v>3.3153762907852491E-2</c:v>
                </c:pt>
                <c:pt idx="91">
                  <c:v>3.3219745237781026E-2</c:v>
                </c:pt>
                <c:pt idx="92">
                  <c:v>3.3286018143515901E-2</c:v>
                </c:pt>
                <c:pt idx="93">
                  <c:v>3.3352594713818885E-2</c:v>
                </c:pt>
                <c:pt idx="94">
                  <c:v>3.3419487807726841E-2</c:v>
                </c:pt>
                <c:pt idx="95">
                  <c:v>3.3486710028654935E-2</c:v>
                </c:pt>
                <c:pt idx="96">
                  <c:v>3.3554273699090038E-2</c:v>
                </c:pt>
                <c:pt idx="97">
                  <c:v>3.3622190835718407E-2</c:v>
                </c:pt>
                <c:pt idx="98">
                  <c:v>3.369047312482043E-2</c:v>
                </c:pt>
                <c:pt idx="99">
                  <c:v>3.3759131897757796E-2</c:v>
                </c:pt>
                <c:pt idx="100">
                  <c:v>3.3828178106375201E-2</c:v>
                </c:pt>
                <c:pt idx="101">
                  <c:v>3.3897622298138419E-2</c:v>
                </c:pt>
                <c:pt idx="102">
                  <c:v>3.3967474590835836E-2</c:v>
                </c:pt>
                <c:pt idx="103">
                  <c:v>3.40377446466779E-2</c:v>
                </c:pt>
                <c:pt idx="104">
                  <c:v>3.4108441645641745E-2</c:v>
                </c:pt>
                <c:pt idx="105">
                  <c:v>3.4179574257924152E-2</c:v>
                </c:pt>
                <c:pt idx="106">
                  <c:v>3.425115061538523E-2</c:v>
                </c:pt>
                <c:pt idx="107">
                  <c:v>3.4323178281889008E-2</c:v>
                </c:pt>
                <c:pt idx="108">
                  <c:v>3.4395664222472269E-2</c:v>
                </c:pt>
                <c:pt idx="109">
                  <c:v>3.446861477130278E-2</c:v>
                </c:pt>
                <c:pt idx="110">
                  <c:v>3.454203559841898E-2</c:v>
                </c:pt>
                <c:pt idx="111">
                  <c:v>3.4615931675276837E-2</c:v>
                </c:pt>
                <c:pt idx="112">
                  <c:v>3.4690307239164699E-2</c:v>
                </c:pt>
                <c:pt idx="113">
                  <c:v>3.4765165756583137E-2</c:v>
                </c:pt>
                <c:pt idx="114">
                  <c:v>3.4840509885723743E-2</c:v>
                </c:pt>
                <c:pt idx="115">
                  <c:v>3.4916341438218111E-2</c:v>
                </c:pt>
                <c:pt idx="116">
                  <c:v>3.4992661340364752E-2</c:v>
                </c:pt>
                <c:pt idx="117">
                  <c:v>3.5069469594078105E-2</c:v>
                </c:pt>
                <c:pt idx="118">
                  <c:v>3.5146765237837531E-2</c:v>
                </c:pt>
                <c:pt idx="119">
                  <c:v>3.5224546307947996E-2</c:v>
                </c:pt>
                <c:pt idx="120">
                  <c:v>3.5302809800453354E-2</c:v>
                </c:pt>
                <c:pt idx="121">
                  <c:v>3.5381551634071258E-2</c:v>
                </c:pt>
                <c:pt idx="122">
                  <c:v>3.5460766614542429E-2</c:v>
                </c:pt>
                <c:pt idx="123">
                  <c:v>3.5540448400807716E-2</c:v>
                </c:pt>
                <c:pt idx="124">
                  <c:v>3.5620589473442092E-2</c:v>
                </c:pt>
                <c:pt idx="125">
                  <c:v>3.5701181105786794E-2</c:v>
                </c:pt>
                <c:pt idx="126">
                  <c:v>3.5782213338227911E-2</c:v>
                </c:pt>
                <c:pt idx="127">
                  <c:v>3.5863674956070825E-2</c:v>
                </c:pt>
                <c:pt idx="128">
                  <c:v>3.5945553471457538E-2</c:v>
                </c:pt>
                <c:pt idx="129">
                  <c:v>3.6027835109764698E-2</c:v>
                </c:pt>
                <c:pt idx="130">
                  <c:v>3.6110504800905795E-2</c:v>
                </c:pt>
                <c:pt idx="131">
                  <c:v>3.6193546175942046E-2</c:v>
                </c:pt>
                <c:pt idx="132">
                  <c:v>3.6276941569380702E-2</c:v>
                </c:pt>
                <c:pt idx="133">
                  <c:v>3.6360672027510171E-2</c:v>
                </c:pt>
                <c:pt idx="134">
                  <c:v>3.6444717323084588E-2</c:v>
                </c:pt>
                <c:pt idx="135">
                  <c:v>3.6529055976631815E-2</c:v>
                </c:pt>
                <c:pt idx="136">
                  <c:v>3.6613665284612545E-2</c:v>
                </c:pt>
                <c:pt idx="137">
                  <c:v>3.6698521354609943E-2</c:v>
                </c:pt>
                <c:pt idx="138">
                  <c:v>3.6783599147675962E-2</c:v>
                </c:pt>
                <c:pt idx="139">
                  <c:v>3.6868872527904675E-2</c:v>
                </c:pt>
                <c:pt idx="140">
                  <c:v>3.6954314319243224E-2</c:v>
                </c:pt>
                <c:pt idx="141">
                  <c:v>3.7039896369490205E-2</c:v>
                </c:pt>
                <c:pt idx="142">
                  <c:v>3.7125589621368138E-2</c:v>
                </c:pt>
                <c:pt idx="143">
                  <c:v>3.7211364190492348E-2</c:v>
                </c:pt>
                <c:pt idx="144">
                  <c:v>3.7297189449994099E-2</c:v>
                </c:pt>
                <c:pt idx="145">
                  <c:v>3.7383034121491868E-2</c:v>
                </c:pt>
                <c:pt idx="146">
                  <c:v>3.7468866372040555E-2</c:v>
                </c:pt>
                <c:pt idx="147">
                  <c:v>3.7554653916627156E-2</c:v>
                </c:pt>
                <c:pt idx="148">
                  <c:v>3.7640364125721616E-2</c:v>
                </c:pt>
                <c:pt idx="149">
                  <c:v>3.772596413733461E-2</c:v>
                </c:pt>
                <c:pt idx="150">
                  <c:v>3.781142097298134E-2</c:v>
                </c:pt>
                <c:pt idx="151">
                  <c:v>3.7896701656900879E-2</c:v>
                </c:pt>
                <c:pt idx="152">
                  <c:v>3.7981773337836491E-2</c:v>
                </c:pt>
                <c:pt idx="153">
                  <c:v>3.8066603412643521E-2</c:v>
                </c:pt>
                <c:pt idx="154">
                  <c:v>3.8151159650957625E-2</c:v>
                </c:pt>
                <c:pt idx="155">
                  <c:v>3.8235410320129469E-2</c:v>
                </c:pt>
                <c:pt idx="156">
                  <c:v>3.8319324309611331E-2</c:v>
                </c:pt>
                <c:pt idx="157">
                  <c:v>3.8402871253967193E-2</c:v>
                </c:pt>
                <c:pt idx="158">
                  <c:v>3.8486021653671744E-2</c:v>
                </c:pt>
                <c:pt idx="159">
                  <c:v>3.8568746992864444E-2</c:v>
                </c:pt>
                <c:pt idx="160">
                  <c:v>3.8651019853232757E-2</c:v>
                </c:pt>
                <c:pt idx="161">
                  <c:v>3.8732814023215156E-2</c:v>
                </c:pt>
                <c:pt idx="162">
                  <c:v>3.88141046017366E-2</c:v>
                </c:pt>
                <c:pt idx="163">
                  <c:v>3.8894868095721104E-2</c:v>
                </c:pt>
                <c:pt idx="164">
                  <c:v>3.8975082510662208E-2</c:v>
                </c:pt>
                <c:pt idx="165">
                  <c:v>3.9054727433577886E-2</c:v>
                </c:pt>
                <c:pt idx="166">
                  <c:v>3.9133784107726673E-2</c:v>
                </c:pt>
                <c:pt idx="167">
                  <c:v>3.9212235498519335E-2</c:v>
                </c:pt>
                <c:pt idx="168">
                  <c:v>3.9290066350123186E-2</c:v>
                </c:pt>
                <c:pt idx="169">
                  <c:v>3.9367263232323847E-2</c:v>
                </c:pt>
                <c:pt idx="170">
                  <c:v>3.944381457728189E-2</c:v>
                </c:pt>
                <c:pt idx="171">
                  <c:v>3.9519710705897784E-2</c:v>
                </c:pt>
                <c:pt idx="172">
                  <c:v>3.9594943843578354E-2</c:v>
                </c:pt>
                <c:pt idx="173">
                  <c:v>3.966950812527948E-2</c:v>
                </c:pt>
                <c:pt idx="174">
                  <c:v>3.9743399589783547E-2</c:v>
                </c:pt>
                <c:pt idx="175">
                  <c:v>3.9816616163254354E-2</c:v>
                </c:pt>
                <c:pt idx="176">
                  <c:v>3.9889157632196963E-2</c:v>
                </c:pt>
                <c:pt idx="177">
                  <c:v>3.9961025606033582E-2</c:v>
                </c:pt>
                <c:pt idx="178">
                  <c:v>4.0032223469588957E-2</c:v>
                </c:pt>
                <c:pt idx="179">
                  <c:v>4.010275632585867E-2</c:v>
                </c:pt>
                <c:pt idx="180">
                  <c:v>4.0172630929510525E-2</c:v>
                </c:pt>
                <c:pt idx="181">
                  <c:v>4.0241855611642494E-2</c:v>
                </c:pt>
                <c:pt idx="182">
                  <c:v>4.0310440196388853E-2</c:v>
                </c:pt>
                <c:pt idx="183">
                  <c:v>4.0378395910029383E-2</c:v>
                </c:pt>
                <c:pt idx="184">
                  <c:v>4.0445735283314209E-2</c:v>
                </c:pt>
                <c:pt idx="185">
                  <c:v>4.0512472047767117E-2</c:v>
                </c:pt>
                <c:pt idx="186">
                  <c:v>4.0578621026774855E-2</c:v>
                </c:pt>
                <c:pt idx="187">
                  <c:v>4.0644198022305907E-2</c:v>
                </c:pt>
                <c:pt idx="188">
                  <c:v>4.0709219698131335E-2</c:v>
                </c:pt>
                <c:pt idx="189">
                  <c:v>4.0773703460441055E-2</c:v>
                </c:pt>
                <c:pt idx="190">
                  <c:v>4.0837667336761252E-2</c:v>
                </c:pt>
                <c:pt idx="191">
                  <c:v>4.0901129854082938E-2</c:v>
                </c:pt>
                <c:pt idx="192">
                  <c:v>4.0964109917107097E-2</c:v>
                </c:pt>
                <c:pt idx="193">
                  <c:v>4.1026626687499672E-2</c:v>
                </c:pt>
                <c:pt idx="194">
                  <c:v>4.1088699465028078E-2</c:v>
                </c:pt>
                <c:pt idx="195">
                  <c:v>4.1150347571422427E-2</c:v>
                </c:pt>
                <c:pt idx="196">
                  <c:v>4.1211590237767735E-2</c:v>
                </c:pt>
                <c:pt idx="197">
                  <c:v>4.1272446496189559E-2</c:v>
                </c:pt>
                <c:pt idx="198">
                  <c:v>4.1332935076544002E-2</c:v>
                </c:pt>
                <c:pt idx="199">
                  <c:v>4.1393074308766514E-2</c:v>
                </c:pt>
                <c:pt idx="200">
                  <c:v>4.1452882031469906E-2</c:v>
                </c:pt>
                <c:pt idx="201">
                  <c:v>4.1512375507314576E-2</c:v>
                </c:pt>
                <c:pt idx="202">
                  <c:v>4.1571571345600515E-2</c:v>
                </c:pt>
                <c:pt idx="203">
                  <c:v>4.1630485432455205E-2</c:v>
                </c:pt>
                <c:pt idx="204">
                  <c:v>4.168913286891137E-2</c:v>
                </c:pt>
                <c:pt idx="205">
                  <c:v>4.1747527917088377E-2</c:v>
                </c:pt>
                <c:pt idx="206">
                  <c:v>4.180568395460775E-2</c:v>
                </c:pt>
                <c:pt idx="207">
                  <c:v>4.1863613437291343E-2</c:v>
                </c:pt>
                <c:pt idx="208">
                  <c:v>4.1921327870108008E-2</c:v>
                </c:pt>
                <c:pt idx="209">
                  <c:v>4.1978837786254213E-2</c:v>
                </c:pt>
                <c:pt idx="210">
                  <c:v>4.2036152734175325E-2</c:v>
                </c:pt>
                <c:pt idx="211">
                  <c:v>4.2093281272259239E-2</c:v>
                </c:pt>
                <c:pt idx="212">
                  <c:v>4.2150230970862117E-2</c:v>
                </c:pt>
                <c:pt idx="213">
                  <c:v>4.2207008421259358E-2</c:v>
                </c:pt>
                <c:pt idx="214">
                  <c:v>4.2263619251053701E-2</c:v>
                </c:pt>
                <c:pt idx="215">
                  <c:v>4.2320068145515893E-2</c:v>
                </c:pt>
                <c:pt idx="216">
                  <c:v>4.2376358874285598E-2</c:v>
                </c:pt>
                <c:pt idx="217">
                  <c:v>4.2432494322817454E-2</c:v>
                </c:pt>
                <c:pt idx="218">
                  <c:v>4.2488476527923029E-2</c:v>
                </c:pt>
                <c:pt idx="219">
                  <c:v>4.2544306716733343E-2</c:v>
                </c:pt>
                <c:pt idx="220">
                  <c:v>4.2599985348387617E-2</c:v>
                </c:pt>
                <c:pt idx="221">
                  <c:v>4.2655512157744623E-2</c:v>
                </c:pt>
                <c:pt idx="222">
                  <c:v>4.2710886200410782E-2</c:v>
                </c:pt>
                <c:pt idx="223">
                  <c:v>4.2766105898386593E-2</c:v>
                </c:pt>
                <c:pt idx="224">
                  <c:v>4.2821169085647745E-2</c:v>
                </c:pt>
                <c:pt idx="225">
                  <c:v>4.2876073053000785E-2</c:v>
                </c:pt>
                <c:pt idx="226">
                  <c:v>4.2930814591584265E-2</c:v>
                </c:pt>
                <c:pt idx="227">
                  <c:v>4.2985390034425433E-2</c:v>
                </c:pt>
                <c:pt idx="228">
                  <c:v>4.3039795295507548E-2</c:v>
                </c:pt>
                <c:pt idx="229">
                  <c:v>4.309402590585594E-2</c:v>
                </c:pt>
                <c:pt idx="230">
                  <c:v>4.3148077046208731E-2</c:v>
                </c:pt>
                <c:pt idx="231">
                  <c:v>4.3201943575901777E-2</c:v>
                </c:pt>
                <c:pt idx="232">
                  <c:v>4.3255620057665325E-2</c:v>
                </c:pt>
                <c:pt idx="233">
                  <c:v>4.3309100778101704E-2</c:v>
                </c:pt>
                <c:pt idx="234">
                  <c:v>4.3362379763688078E-2</c:v>
                </c:pt>
                <c:pt idx="235">
                  <c:v>4.3415450792224551E-2</c:v>
                </c:pt>
                <c:pt idx="236">
                  <c:v>4.346830739972668E-2</c:v>
                </c:pt>
                <c:pt idx="237">
                  <c:v>4.3520942882838372E-2</c:v>
                </c:pt>
                <c:pt idx="238">
                  <c:v>4.3573350296919493E-2</c:v>
                </c:pt>
                <c:pt idx="239">
                  <c:v>4.36255224500375E-2</c:v>
                </c:pt>
                <c:pt idx="240">
                  <c:v>4.367745189316645E-2</c:v>
                </c:pt>
                <c:pt idx="241">
                  <c:v>4.3729130906965605E-2</c:v>
                </c:pt>
                <c:pt idx="242">
                  <c:v>4.3780551485576392E-2</c:v>
                </c:pt>
                <c:pt idx="243">
                  <c:v>4.3831705317936072E-2</c:v>
                </c:pt>
                <c:pt idx="244">
                  <c:v>4.3882583767161948E-2</c:v>
                </c:pt>
                <c:pt idx="245">
                  <c:v>4.3933177848607174E-2</c:v>
                </c:pt>
                <c:pt idx="246">
                  <c:v>4.3983478207230906E-2</c:v>
                </c:pt>
                <c:pt idx="247">
                  <c:v>4.4033475094958217E-2</c:v>
                </c:pt>
                <c:pt idx="248">
                  <c:v>4.4083158348730285E-2</c:v>
                </c:pt>
                <c:pt idx="249">
                  <c:v>4.4132517369961523E-2</c:v>
                </c:pt>
                <c:pt idx="250">
                  <c:v>4.4181541106128167E-2</c:v>
                </c:pt>
                <c:pt idx="251">
                  <c:v>4.4230218035210468E-2</c:v>
                </c:pt>
                <c:pt idx="252">
                  <c:v>4.4278536153699928E-2</c:v>
                </c:pt>
                <c:pt idx="253">
                  <c:v>4.4326482968863053E-2</c:v>
                </c:pt>
                <c:pt idx="254">
                  <c:v>4.4374045495923109E-2</c:v>
                </c:pt>
                <c:pt idx="255">
                  <c:v>4.4421210260783613E-2</c:v>
                </c:pt>
                <c:pt idx="256">
                  <c:v>4.4467963308869936E-2</c:v>
                </c:pt>
                <c:pt idx="257">
                  <c:v>4.4514290220610368E-2</c:v>
                </c:pt>
                <c:pt idx="258">
                  <c:v>4.4560176134014598E-2</c:v>
                </c:pt>
                <c:pt idx="259">
                  <c:v>4.4605605774738009E-2</c:v>
                </c:pt>
                <c:pt idx="260">
                  <c:v>4.4650563493942676E-2</c:v>
                </c:pt>
                <c:pt idx="261">
                  <c:v>4.4695033314184222E-2</c:v>
                </c:pt>
                <c:pt idx="262">
                  <c:v>4.4738998983465554E-2</c:v>
                </c:pt>
                <c:pt idx="263">
                  <c:v>4.478244403750737E-2</c:v>
                </c:pt>
                <c:pt idx="264">
                  <c:v>4.4825351870190738E-2</c:v>
                </c:pt>
                <c:pt idx="265">
                  <c:v>4.4867705812029673E-2</c:v>
                </c:pt>
                <c:pt idx="266">
                  <c:v>4.4909489216434353E-2</c:v>
                </c:pt>
                <c:pt idx="267">
                  <c:v>4.4950685553426933E-2</c:v>
                </c:pt>
                <c:pt idx="268">
                  <c:v>4.4991278510375113E-2</c:v>
                </c:pt>
                <c:pt idx="269">
                  <c:v>4.5031252099213548E-2</c:v>
                </c:pt>
                <c:pt idx="270">
                  <c:v>4.5070590769530711E-2</c:v>
                </c:pt>
                <c:pt idx="271">
                  <c:v>4.510927952681134E-2</c:v>
                </c:pt>
                <c:pt idx="272">
                  <c:v>4.5147304055041422E-2</c:v>
                </c:pt>
                <c:pt idx="273">
                  <c:v>4.5184650842805832E-2</c:v>
                </c:pt>
                <c:pt idx="274">
                  <c:v>4.5221307311939241E-2</c:v>
                </c:pt>
                <c:pt idx="275">
                  <c:v>4.5257261947728403E-2</c:v>
                </c:pt>
                <c:pt idx="276">
                  <c:v>4.529250442961065E-2</c:v>
                </c:pt>
                <c:pt idx="277">
                  <c:v>4.5327025761269769E-2</c:v>
                </c:pt>
                <c:pt idx="278">
                  <c:v>4.5360818398995167E-2</c:v>
                </c:pt>
                <c:pt idx="279">
                  <c:v>4.5393876377147757E-2</c:v>
                </c:pt>
                <c:pt idx="280">
                  <c:v>4.5426195429561798E-2</c:v>
                </c:pt>
                <c:pt idx="281">
                  <c:v>4.5457773105711211E-2</c:v>
                </c:pt>
                <c:pt idx="282">
                  <c:v>4.5488608880477656E-2</c:v>
                </c:pt>
                <c:pt idx="283">
                  <c:v>4.5518704256379418E-2</c:v>
                </c:pt>
                <c:pt idx="284">
                  <c:v>4.5548062857152245E-2</c:v>
                </c:pt>
                <c:pt idx="285">
                  <c:v>4.5576690511617092E-2</c:v>
                </c:pt>
                <c:pt idx="286">
                  <c:v>4.5604595326825086E-2</c:v>
                </c:pt>
                <c:pt idx="287">
                  <c:v>4.5631787749534844E-2</c:v>
                </c:pt>
                <c:pt idx="288">
                  <c:v>4.5658280615153764E-2</c:v>
                </c:pt>
                <c:pt idx="289">
                  <c:v>4.5684089183359873E-2</c:v>
                </c:pt>
                <c:pt idx="290">
                  <c:v>4.5709231159715251E-2</c:v>
                </c:pt>
                <c:pt idx="291">
                  <c:v>4.5733726702684795E-2</c:v>
                </c:pt>
                <c:pt idx="292">
                  <c:v>4.5757598415583252E-2</c:v>
                </c:pt>
                <c:pt idx="293">
                  <c:v>4.5780871323090576E-2</c:v>
                </c:pt>
                <c:pt idx="294">
                  <c:v>4.5803572832095969E-2</c:v>
                </c:pt>
                <c:pt idx="295">
                  <c:v>4.5825732676757658E-2</c:v>
                </c:pt>
                <c:pt idx="296">
                  <c:v>4.5847382847793466E-2</c:v>
                </c:pt>
                <c:pt idx="297">
                  <c:v>4.5868557506148523E-2</c:v>
                </c:pt>
                <c:pt idx="298">
                  <c:v>4.5889292881317274E-2</c:v>
                </c:pt>
                <c:pt idx="299">
                  <c:v>4.590962715472853E-2</c:v>
                </c:pt>
                <c:pt idx="300">
                  <c:v>4.5929600328730842E-2</c:v>
                </c:pt>
                <c:pt idx="301">
                  <c:v>4.594925408184198E-2</c:v>
                </c:pt>
                <c:pt idx="302">
                  <c:v>4.5968631611048229E-2</c:v>
                </c:pt>
                <c:pt idx="303">
                  <c:v>4.5987777462056047E-2</c:v>
                </c:pt>
                <c:pt idx="304">
                  <c:v>4.6006737348508693E-2</c:v>
                </c:pt>
                <c:pt idx="305">
                  <c:v>4.6025557961282722E-2</c:v>
                </c:pt>
                <c:pt idx="306">
                  <c:v>4.604428676907444E-2</c:v>
                </c:pt>
                <c:pt idx="307">
                  <c:v>4.6062971811569556E-2</c:v>
                </c:pt>
                <c:pt idx="308">
                  <c:v>4.6081661486564542E-2</c:v>
                </c:pt>
                <c:pt idx="309">
                  <c:v>4.6100404332470993E-2</c:v>
                </c:pt>
                <c:pt idx="310">
                  <c:v>4.6119248807685295E-2</c:v>
                </c:pt>
                <c:pt idx="311">
                  <c:v>4.6138243068345464E-2</c:v>
                </c:pt>
                <c:pt idx="312">
                  <c:v>4.6157434746022769E-2</c:v>
                </c:pt>
                <c:pt idx="313">
                  <c:v>4.6176870726908972E-2</c:v>
                </c:pt>
                <c:pt idx="314">
                  <c:v>4.6196596934060183E-2</c:v>
                </c:pt>
                <c:pt idx="315">
                  <c:v>4.6216658114244247E-2</c:v>
                </c:pt>
                <c:pt idx="316">
                  <c:v>4.6237097630912188E-2</c:v>
                </c:pt>
                <c:pt idx="317">
                  <c:v>4.6257957264774198E-2</c:v>
                </c:pt>
                <c:pt idx="318">
                  <c:v>4.6279277023407582E-2</c:v>
                </c:pt>
                <c:pt idx="319">
                  <c:v>4.6301094961259344E-2</c:v>
                </c:pt>
                <c:pt idx="320">
                  <c:v>4.632344701132865E-2</c:v>
                </c:pt>
                <c:pt idx="321">
                  <c:v>4.6346366829726413E-2</c:v>
                </c:pt>
                <c:pt idx="322">
                  <c:v>4.6369885654210415E-2</c:v>
                </c:pt>
                <c:pt idx="323">
                  <c:v>4.6394032177686124E-2</c:v>
                </c:pt>
                <c:pt idx="324">
                  <c:v>4.6418832437546582E-2</c:v>
                </c:pt>
                <c:pt idx="325">
                  <c:v>4.6444309721600283E-2</c:v>
                </c:pt>
                <c:pt idx="326">
                  <c:v>4.647048449120459E-2</c:v>
                </c:pt>
                <c:pt idx="327">
                  <c:v>4.6497374322086803E-2</c:v>
                </c:pt>
                <c:pt idx="328">
                  <c:v>4.6524993863193732E-2</c:v>
                </c:pt>
                <c:pt idx="329">
                  <c:v>4.6553354813768169E-2</c:v>
                </c:pt>
                <c:pt idx="330">
                  <c:v>4.6582465918705601E-2</c:v>
                </c:pt>
                <c:pt idx="331">
                  <c:v>4.6612332982099693E-2</c:v>
                </c:pt>
                <c:pt idx="332">
                  <c:v>4.6642958898741295E-2</c:v>
                </c:pt>
                <c:pt idx="333">
                  <c:v>4.6674343703194086E-2</c:v>
                </c:pt>
                <c:pt idx="334">
                  <c:v>4.6706484635932216E-2</c:v>
                </c:pt>
                <c:pt idx="335">
                  <c:v>4.673937622589254E-2</c:v>
                </c:pt>
                <c:pt idx="336">
                  <c:v>4.6773010388666783E-2</c:v>
                </c:pt>
                <c:pt idx="337">
                  <c:v>4.6807376539439539E-2</c:v>
                </c:pt>
                <c:pt idx="338">
                  <c:v>4.6842461719666703E-2</c:v>
                </c:pt>
                <c:pt idx="339">
                  <c:v>4.6878250736386143E-2</c:v>
                </c:pt>
                <c:pt idx="340">
                  <c:v>4.6914726312961119E-2</c:v>
                </c:pt>
                <c:pt idx="341">
                  <c:v>4.6951869249975423E-2</c:v>
                </c:pt>
                <c:pt idx="342">
                  <c:v>4.6989658594929352E-2</c:v>
                </c:pt>
                <c:pt idx="343">
                  <c:v>4.7028071819329116E-2</c:v>
                </c:pt>
                <c:pt idx="344">
                  <c:v>4.7067085001716698E-2</c:v>
                </c:pt>
                <c:pt idx="345">
                  <c:v>4.7106673015156059E-2</c:v>
                </c:pt>
                <c:pt idx="346">
                  <c:v>4.7146809717672988E-2</c:v>
                </c:pt>
                <c:pt idx="347">
                  <c:v>4.7187468144140307E-2</c:v>
                </c:pt>
                <c:pt idx="348">
                  <c:v>4.7228620698108924E-2</c:v>
                </c:pt>
                <c:pt idx="349">
                  <c:v>4.7270239342105544E-2</c:v>
                </c:pt>
                <c:pt idx="350">
                  <c:v>4.7312295784952607E-2</c:v>
                </c:pt>
                <c:pt idx="351">
                  <c:v>4.7354761664711899E-2</c:v>
                </c:pt>
                <c:pt idx="352">
                  <c:v>4.7397608725911644E-2</c:v>
                </c:pt>
                <c:pt idx="353">
                  <c:v>4.7440808989786781E-2</c:v>
                </c:pt>
                <c:pt idx="354">
                  <c:v>4.7484334916341867E-2</c:v>
                </c:pt>
                <c:pt idx="355">
                  <c:v>4.7528159557135803E-2</c:v>
                </c:pt>
                <c:pt idx="356">
                  <c:v>4.7572256697786572E-2</c:v>
                </c:pt>
                <c:pt idx="357">
                  <c:v>4.7616600989300061E-2</c:v>
                </c:pt>
                <c:pt idx="358">
                  <c:v>4.7661168067440661E-2</c:v>
                </c:pt>
                <c:pt idx="359">
                  <c:v>4.7705934659479393E-2</c:v>
                </c:pt>
                <c:pt idx="360">
                  <c:v>4.7750878677779315E-2</c:v>
                </c:pt>
                <c:pt idx="361">
                  <c:v>4.7795979299803878E-2</c:v>
                </c:pt>
                <c:pt idx="362">
                  <c:v>4.7841217034262216E-2</c:v>
                </c:pt>
                <c:pt idx="363">
                  <c:v>4.7886573773235346E-2</c:v>
                </c:pt>
                <c:pt idx="364">
                  <c:v>4.7932032830255378E-2</c:v>
                </c:pt>
                <c:pt idx="365">
                  <c:v>4.7977578964437655E-2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7.7442998292207726E-4</c:v>
                </c:pt>
                <c:pt idx="1">
                  <c:v>7.5063480312851337E-4</c:v>
                </c:pt>
                <c:pt idx="2">
                  <c:v>7.2917655151397468E-4</c:v>
                </c:pt>
                <c:pt idx="3">
                  <c:v>7.1004044538825579E-4</c:v>
                </c:pt>
                <c:pt idx="4">
                  <c:v>6.9320671904305625E-4</c:v>
                </c:pt>
                <c:pt idx="5">
                  <c:v>6.7865112511665679E-4</c:v>
                </c:pt>
                <c:pt idx="6">
                  <c:v>6.6634544748125338E-4</c:v>
                </c:pt>
                <c:pt idx="7">
                  <c:v>6.5625801874101108E-4</c:v>
                </c:pt>
                <c:pt idx="8">
                  <c:v>6.4827576246166642E-4</c:v>
                </c:pt>
                <c:pt idx="9">
                  <c:v>6.4165092965328557E-4</c:v>
                </c:pt>
                <c:pt idx="10">
                  <c:v>6.3563123014713052E-4</c:v>
                </c:pt>
                <c:pt idx="11">
                  <c:v>6.3022604405921863E-4</c:v>
                </c:pt>
                <c:pt idx="12">
                  <c:v>6.2544248990962386E-4</c:v>
                </c:pt>
                <c:pt idx="13">
                  <c:v>6.2128564464390798E-4</c:v>
                </c:pt>
                <c:pt idx="14">
                  <c:v>6.1775876930340835E-4</c:v>
                </c:pt>
                <c:pt idx="15">
                  <c:v>6.1398544355141429E-4</c:v>
                </c:pt>
                <c:pt idx="16">
                  <c:v>6.0867414432989409E-4</c:v>
                </c:pt>
                <c:pt idx="17">
                  <c:v>6.0189254471695376E-4</c:v>
                </c:pt>
                <c:pt idx="18">
                  <c:v>5.9370671217482329E-4</c:v>
                </c:pt>
                <c:pt idx="19">
                  <c:v>5.841839098974194E-4</c:v>
                </c:pt>
                <c:pt idx="20">
                  <c:v>5.7339015513940275E-4</c:v>
                </c:pt>
                <c:pt idx="21">
                  <c:v>5.6142687066283086E-4</c:v>
                </c:pt>
                <c:pt idx="22">
                  <c:v>5.4823522371524956E-4</c:v>
                </c:pt>
                <c:pt idx="23">
                  <c:v>5.3409697015052086E-4</c:v>
                </c:pt>
                <c:pt idx="24">
                  <c:v>5.196229610532285E-4</c:v>
                </c:pt>
                <c:pt idx="25">
                  <c:v>5.0485158871355117E-4</c:v>
                </c:pt>
                <c:pt idx="26">
                  <c:v>4.8981796095410289E-4</c:v>
                </c:pt>
                <c:pt idx="27">
                  <c:v>4.7455390689452509E-4</c:v>
                </c:pt>
                <c:pt idx="28">
                  <c:v>4.5908801614800537E-4</c:v>
                </c:pt>
                <c:pt idx="29">
                  <c:v>4.4350939674029331E-4</c:v>
                </c:pt>
                <c:pt idx="30">
                  <c:v>4.2858594356508315E-4</c:v>
                </c:pt>
                <c:pt idx="31">
                  <c:v>4.1431125728834216E-4</c:v>
                </c:pt>
                <c:pt idx="32">
                  <c:v>4.0067731334515088E-4</c:v>
                </c:pt>
                <c:pt idx="33">
                  <c:v>3.8767475052589991E-4</c:v>
                </c:pt>
                <c:pt idx="34">
                  <c:v>3.7529313635611684E-4</c:v>
                </c:pt>
                <c:pt idx="35">
                  <c:v>3.6352120981949333E-4</c:v>
                </c:pt>
                <c:pt idx="36">
                  <c:v>3.5232030924293051E-4</c:v>
                </c:pt>
                <c:pt idx="37">
                  <c:v>3.4163771247255746E-4</c:v>
                </c:pt>
                <c:pt idx="38">
                  <c:v>3.3121191733755058E-4</c:v>
                </c:pt>
                <c:pt idx="39">
                  <c:v>3.2103654595661945E-4</c:v>
                </c:pt>
                <c:pt idx="40">
                  <c:v>3.1110529006724832E-4</c:v>
                </c:pt>
                <c:pt idx="41">
                  <c:v>3.0141192635839057E-4</c:v>
                </c:pt>
                <c:pt idx="42">
                  <c:v>2.9195032971047856E-4</c:v>
                </c:pt>
                <c:pt idx="43">
                  <c:v>2.8258497008302455E-4</c:v>
                </c:pt>
                <c:pt idx="44">
                  <c:v>2.7325716487016868E-4</c:v>
                </c:pt>
                <c:pt idx="45">
                  <c:v>2.6396558962764869E-4</c:v>
                </c:pt>
                <c:pt idx="46">
                  <c:v>2.5470882490280831E-4</c:v>
                </c:pt>
                <c:pt idx="47">
                  <c:v>2.4548536204689229E-4</c:v>
                </c:pt>
                <c:pt idx="48">
                  <c:v>2.3629360669291097E-4</c:v>
                </c:pt>
                <c:pt idx="49">
                  <c:v>2.27131879933276E-4</c:v>
                </c:pt>
                <c:pt idx="50">
                  <c:v>2.179969523026115E-4</c:v>
                </c:pt>
                <c:pt idx="51">
                  <c:v>2.0897856755288868E-4</c:v>
                </c:pt>
                <c:pt idx="52">
                  <c:v>2.0008514562419011E-4</c:v>
                </c:pt>
                <c:pt idx="53">
                  <c:v>1.9131193505250932E-4</c:v>
                </c:pt>
                <c:pt idx="54">
                  <c:v>1.8265543856778015E-4</c:v>
                </c:pt>
                <c:pt idx="55">
                  <c:v>1.7411231649585863E-4</c:v>
                </c:pt>
                <c:pt idx="56">
                  <c:v>1.6567937003039943E-4</c:v>
                </c:pt>
                <c:pt idx="57">
                  <c:v>1.5762900460074725E-4</c:v>
                </c:pt>
                <c:pt idx="58">
                  <c:v>1.5006642475921551E-4</c:v>
                </c:pt>
                <c:pt idx="59">
                  <c:v>1.4298001002509137E-4</c:v>
                </c:pt>
                <c:pt idx="60">
                  <c:v>1.3635855558057541E-4</c:v>
                </c:pt>
                <c:pt idx="61">
                  <c:v>1.3019125321939149E-4</c:v>
                </c:pt>
                <c:pt idx="62">
                  <c:v>1.244676749168943E-4</c:v>
                </c:pt>
                <c:pt idx="63">
                  <c:v>1.191777590080276E-4</c:v>
                </c:pt>
                <c:pt idx="64">
                  <c:v>1.1430885457729766E-4</c:v>
                </c:pt>
                <c:pt idx="65">
                  <c:v>1.0986826922958607E-4</c:v>
                </c:pt>
                <c:pt idx="66">
                  <c:v>1.057651532444653E-4</c:v>
                </c:pt>
                <c:pt idx="67">
                  <c:v>1.0199402115478085E-4</c:v>
                </c:pt>
                <c:pt idx="68">
                  <c:v>9.8549405753879939E-5</c:v>
                </c:pt>
                <c:pt idx="69">
                  <c:v>9.5425906477073473E-5</c:v>
                </c:pt>
                <c:pt idx="70">
                  <c:v>9.2618235933517691E-5</c:v>
                </c:pt>
                <c:pt idx="71">
                  <c:v>9.0121578474028065E-5</c:v>
                </c:pt>
                <c:pt idx="72">
                  <c:v>8.7683981985159834E-5</c:v>
                </c:pt>
                <c:pt idx="73">
                  <c:v>8.530544520425688E-5</c:v>
                </c:pt>
                <c:pt idx="74">
                  <c:v>8.2985892409905243E-5</c:v>
                </c:pt>
                <c:pt idx="75">
                  <c:v>8.0725182584291054E-5</c:v>
                </c:pt>
                <c:pt idx="76">
                  <c:v>7.8523118568755E-5</c:v>
                </c:pt>
                <c:pt idx="77">
                  <c:v>7.637945621085251E-5</c:v>
                </c:pt>
                <c:pt idx="78">
                  <c:v>7.4289199034875773E-5</c:v>
                </c:pt>
                <c:pt idx="79">
                  <c:v>7.2272847931150616E-5</c:v>
                </c:pt>
                <c:pt idx="80">
                  <c:v>7.0311714352443922E-5</c:v>
                </c:pt>
                <c:pt idx="81">
                  <c:v>6.8405888506725218E-5</c:v>
                </c:pt>
                <c:pt idx="82">
                  <c:v>6.6555313627146513E-5</c:v>
                </c:pt>
                <c:pt idx="83">
                  <c:v>6.4759800611190524E-5</c:v>
                </c:pt>
                <c:pt idx="84">
                  <c:v>6.3019042253217148E-5</c:v>
                </c:pt>
                <c:pt idx="85">
                  <c:v>6.1358227670150843E-5</c:v>
                </c:pt>
                <c:pt idx="86">
                  <c:v>5.9776001529555526E-5</c:v>
                </c:pt>
                <c:pt idx="87">
                  <c:v>5.8271616089069645E-5</c:v>
                </c:pt>
                <c:pt idx="88">
                  <c:v>5.6844317464555762E-5</c:v>
                </c:pt>
                <c:pt idx="89">
                  <c:v>5.5493361780582941E-5</c:v>
                </c:pt>
                <c:pt idx="90">
                  <c:v>5.4218030738589911E-5</c:v>
                </c:pt>
                <c:pt idx="91">
                  <c:v>5.3017646691671334E-5</c:v>
                </c:pt>
                <c:pt idx="92">
                  <c:v>5.1889354024004066E-5</c:v>
                </c:pt>
                <c:pt idx="93">
                  <c:v>5.0824955659229784E-5</c:v>
                </c:pt>
                <c:pt idx="94">
                  <c:v>4.9799771881638862E-5</c:v>
                </c:pt>
                <c:pt idx="95">
                  <c:v>4.8813006741308055E-5</c:v>
                </c:pt>
                <c:pt idx="96">
                  <c:v>4.7863902688395873E-5</c:v>
                </c:pt>
                <c:pt idx="97">
                  <c:v>4.6951742210284414E-5</c:v>
                </c:pt>
                <c:pt idx="98">
                  <c:v>4.607584957975943E-5</c:v>
                </c:pt>
                <c:pt idx="99">
                  <c:v>4.5243540968048379E-5</c:v>
                </c:pt>
                <c:pt idx="100">
                  <c:v>4.4428026374986405E-5</c:v>
                </c:pt>
                <c:pt idx="101">
                  <c:v>4.3628380094583733E-5</c:v>
                </c:pt>
                <c:pt idx="102">
                  <c:v>4.2843661713953742E-5</c:v>
                </c:pt>
                <c:pt idx="103">
                  <c:v>4.2072915526739272E-5</c:v>
                </c:pt>
                <c:pt idx="104">
                  <c:v>4.1315169929050899E-5</c:v>
                </c:pt>
                <c:pt idx="105">
                  <c:v>4.0569436772733511E-5</c:v>
                </c:pt>
                <c:pt idx="106">
                  <c:v>3.983452930152901E-5</c:v>
                </c:pt>
                <c:pt idx="107">
                  <c:v>3.9128019143232046E-5</c:v>
                </c:pt>
                <c:pt idx="108">
                  <c:v>3.8454000520210633E-5</c:v>
                </c:pt>
                <c:pt idx="109">
                  <c:v>3.7811724234994961E-5</c:v>
                </c:pt>
                <c:pt idx="110">
                  <c:v>3.7200587603890773E-5</c:v>
                </c:pt>
                <c:pt idx="111">
                  <c:v>3.6620024086511836E-5</c:v>
                </c:pt>
                <c:pt idx="112">
                  <c:v>3.6069399569804811E-5</c:v>
                </c:pt>
                <c:pt idx="113">
                  <c:v>3.5556663139007522E-5</c:v>
                </c:pt>
                <c:pt idx="114">
                  <c:v>3.5073327983759497E-5</c:v>
                </c:pt>
                <c:pt idx="115">
                  <c:v>3.4619177946032362E-5</c:v>
                </c:pt>
                <c:pt idx="116">
                  <c:v>3.4194059836140564E-5</c:v>
                </c:pt>
                <c:pt idx="117">
                  <c:v>3.3797884981387321E-5</c:v>
                </c:pt>
                <c:pt idx="118">
                  <c:v>3.3430630852768072E-5</c:v>
                </c:pt>
                <c:pt idx="119">
                  <c:v>3.3092342777205296E-5</c:v>
                </c:pt>
                <c:pt idx="120">
                  <c:v>3.2783633282904531E-5</c:v>
                </c:pt>
                <c:pt idx="121">
                  <c:v>3.2523694193366243E-5</c:v>
                </c:pt>
                <c:pt idx="122">
                  <c:v>3.2291789491432325E-5</c:v>
                </c:pt>
                <c:pt idx="123">
                  <c:v>3.2088110306110866E-5</c:v>
                </c:pt>
                <c:pt idx="124">
                  <c:v>3.1912940398683792E-5</c:v>
                </c:pt>
                <c:pt idx="125">
                  <c:v>3.1766656553286598E-5</c:v>
                </c:pt>
                <c:pt idx="126">
                  <c:v>3.164972894461016E-5</c:v>
                </c:pt>
                <c:pt idx="127">
                  <c:v>3.1555517603024371E-5</c:v>
                </c:pt>
                <c:pt idx="128">
                  <c:v>3.1473047171016945E-5</c:v>
                </c:pt>
                <c:pt idx="129">
                  <c:v>3.1402027434618971E-5</c:v>
                </c:pt>
                <c:pt idx="130">
                  <c:v>3.1342194014699786E-5</c:v>
                </c:pt>
                <c:pt idx="131">
                  <c:v>3.12933085011669E-5</c:v>
                </c:pt>
                <c:pt idx="132">
                  <c:v>3.1255158649705174E-5</c:v>
                </c:pt>
                <c:pt idx="133">
                  <c:v>3.122755861679249E-5</c:v>
                </c:pt>
                <c:pt idx="134">
                  <c:v>3.1211118811315736E-5</c:v>
                </c:pt>
                <c:pt idx="135">
                  <c:v>3.1195516790323997E-5</c:v>
                </c:pt>
                <c:pt idx="136">
                  <c:v>3.1156302091275644E-5</c:v>
                </c:pt>
                <c:pt idx="137">
                  <c:v>3.1091675669091048E-5</c:v>
                </c:pt>
                <c:pt idx="138">
                  <c:v>3.0999780149390794E-5</c:v>
                </c:pt>
                <c:pt idx="139">
                  <c:v>3.0878703517560212E-5</c:v>
                </c:pt>
                <c:pt idx="140">
                  <c:v>3.0726483378933096E-5</c:v>
                </c:pt>
                <c:pt idx="141">
                  <c:v>3.0562184892859903E-5</c:v>
                </c:pt>
                <c:pt idx="142">
                  <c:v>3.0393344891017542E-5</c:v>
                </c:pt>
                <c:pt idx="143">
                  <c:v>3.0219121189922494E-5</c:v>
                </c:pt>
                <c:pt idx="144">
                  <c:v>3.0038869436373478E-5</c:v>
                </c:pt>
                <c:pt idx="145">
                  <c:v>2.9851960639634954E-5</c:v>
                </c:pt>
                <c:pt idx="146">
                  <c:v>2.9657783823931177E-5</c:v>
                </c:pt>
                <c:pt idx="147">
                  <c:v>2.9455748763755739E-5</c:v>
                </c:pt>
                <c:pt idx="148">
                  <c:v>2.9245973760582498E-5</c:v>
                </c:pt>
                <c:pt idx="149">
                  <c:v>2.9033141974745719E-5</c:v>
                </c:pt>
                <c:pt idx="150">
                  <c:v>2.8830554276856946E-5</c:v>
                </c:pt>
                <c:pt idx="151">
                  <c:v>2.863842489859667E-5</c:v>
                </c:pt>
                <c:pt idx="152">
                  <c:v>2.8457017328049151E-5</c:v>
                </c:pt>
                <c:pt idx="153">
                  <c:v>2.8286643479251047E-5</c:v>
                </c:pt>
                <c:pt idx="154">
                  <c:v>2.8127662636210107E-5</c:v>
                </c:pt>
                <c:pt idx="155">
                  <c:v>2.8003730908031096E-5</c:v>
                </c:pt>
                <c:pt idx="156">
                  <c:v>2.7890177416636503E-5</c:v>
                </c:pt>
                <c:pt idx="157">
                  <c:v>2.7787620266977622E-5</c:v>
                </c:pt>
                <c:pt idx="158">
                  <c:v>2.7696723903911757E-5</c:v>
                </c:pt>
                <c:pt idx="159">
                  <c:v>2.7618196317259641E-5</c:v>
                </c:pt>
                <c:pt idx="160">
                  <c:v>2.7552785900345601E-5</c:v>
                </c:pt>
                <c:pt idx="161">
                  <c:v>2.7501277967377827E-5</c:v>
                </c:pt>
                <c:pt idx="162">
                  <c:v>2.7464964853399867E-5</c:v>
                </c:pt>
                <c:pt idx="163">
                  <c:v>2.7466657915483599E-5</c:v>
                </c:pt>
                <c:pt idx="164">
                  <c:v>2.7502585822118455E-5</c:v>
                </c:pt>
                <c:pt idx="165">
                  <c:v>2.7574523756124097E-5</c:v>
                </c:pt>
                <c:pt idx="166">
                  <c:v>2.7684260396824533E-5</c:v>
                </c:pt>
                <c:pt idx="167">
                  <c:v>2.7833592615585889E-5</c:v>
                </c:pt>
                <c:pt idx="168">
                  <c:v>2.8024320285705348E-5</c:v>
                </c:pt>
                <c:pt idx="169">
                  <c:v>2.8281412965262385E-5</c:v>
                </c:pt>
                <c:pt idx="170">
                  <c:v>2.8578129011276644E-5</c:v>
                </c:pt>
                <c:pt idx="171">
                  <c:v>2.8915925941915989E-5</c:v>
                </c:pt>
                <c:pt idx="172">
                  <c:v>2.9296249690392276E-5</c:v>
                </c:pt>
                <c:pt idx="173">
                  <c:v>2.9720227835776382E-5</c:v>
                </c:pt>
                <c:pt idx="174">
                  <c:v>3.0188935470910668E-5</c:v>
                </c:pt>
                <c:pt idx="175">
                  <c:v>3.0703709222431211E-5</c:v>
                </c:pt>
                <c:pt idx="176">
                  <c:v>3.1265856975887097E-5</c:v>
                </c:pt>
                <c:pt idx="177">
                  <c:v>3.190872962111684E-5</c:v>
                </c:pt>
                <c:pt idx="178">
                  <c:v>3.2608967499671771E-5</c:v>
                </c:pt>
                <c:pt idx="179">
                  <c:v>3.3368047901840687E-5</c:v>
                </c:pt>
                <c:pt idx="180">
                  <c:v>3.4187404022127416E-5</c:v>
                </c:pt>
                <c:pt idx="181">
                  <c:v>3.5068424210410889E-5</c:v>
                </c:pt>
                <c:pt idx="182">
                  <c:v>3.6012451721091488E-5</c:v>
                </c:pt>
                <c:pt idx="183">
                  <c:v>3.7027805630334528E-5</c:v>
                </c:pt>
                <c:pt idx="184">
                  <c:v>3.808876406192572E-5</c:v>
                </c:pt>
                <c:pt idx="185">
                  <c:v>3.9196017662177556E-5</c:v>
                </c:pt>
                <c:pt idx="186">
                  <c:v>4.0350238380019166E-5</c:v>
                </c:pt>
                <c:pt idx="187">
                  <c:v>4.1552081083542649E-5</c:v>
                </c:pt>
                <c:pt idx="188">
                  <c:v>4.280218529728539E-5</c:v>
                </c:pt>
                <c:pt idx="189">
                  <c:v>4.4101177037145716E-5</c:v>
                </c:pt>
                <c:pt idx="190">
                  <c:v>4.5449321258203035E-5</c:v>
                </c:pt>
                <c:pt idx="191">
                  <c:v>4.6884374616672644E-5</c:v>
                </c:pt>
                <c:pt idx="192">
                  <c:v>4.8370954622090842E-5</c:v>
                </c:pt>
                <c:pt idx="193">
                  <c:v>4.9909630703718126E-5</c:v>
                </c:pt>
                <c:pt idx="194">
                  <c:v>5.1500994661144652E-5</c:v>
                </c:pt>
                <c:pt idx="195">
                  <c:v>5.3145664706758833E-5</c:v>
                </c:pt>
                <c:pt idx="196">
                  <c:v>5.4844289421408469E-5</c:v>
                </c:pt>
                <c:pt idx="197">
                  <c:v>5.6575914304692523E-5</c:v>
                </c:pt>
                <c:pt idx="198">
                  <c:v>5.8333224104523159E-5</c:v>
                </c:pt>
                <c:pt idx="199">
                  <c:v>6.0116565660131106E-5</c:v>
                </c:pt>
                <c:pt idx="200">
                  <c:v>6.19263437804583E-5</c:v>
                </c:pt>
                <c:pt idx="201">
                  <c:v>6.3763021844935846E-5</c:v>
                </c:pt>
                <c:pt idx="202">
                  <c:v>6.5627122280657388E-5</c:v>
                </c:pt>
                <c:pt idx="203">
                  <c:v>6.7519226961978008E-5</c:v>
                </c:pt>
                <c:pt idx="204">
                  <c:v>6.9439235784802704E-5</c:v>
                </c:pt>
                <c:pt idx="205">
                  <c:v>7.1371195401751439E-5</c:v>
                </c:pt>
                <c:pt idx="206">
                  <c:v>7.3274897845562495E-5</c:v>
                </c:pt>
                <c:pt idx="207">
                  <c:v>7.5149942395488409E-5</c:v>
                </c:pt>
                <c:pt idx="208">
                  <c:v>7.6995955048959409E-5</c:v>
                </c:pt>
                <c:pt idx="209">
                  <c:v>7.8812584576127716E-5</c:v>
                </c:pt>
                <c:pt idx="210">
                  <c:v>8.0599498734911488E-5</c:v>
                </c:pt>
                <c:pt idx="211">
                  <c:v>8.2416357214230328E-5</c:v>
                </c:pt>
                <c:pt idx="212">
                  <c:v>8.4286751623278522E-5</c:v>
                </c:pt>
                <c:pt idx="213">
                  <c:v>8.6211476298780044E-5</c:v>
                </c:pt>
                <c:pt idx="214">
                  <c:v>8.8191316662139784E-5</c:v>
                </c:pt>
                <c:pt idx="215">
                  <c:v>9.0227049050285604E-5</c:v>
                </c:pt>
                <c:pt idx="216">
                  <c:v>9.231944056234482E-5</c:v>
                </c:pt>
                <c:pt idx="217">
                  <c:v>9.4469248934799809E-5</c:v>
                </c:pt>
                <c:pt idx="218">
                  <c:v>9.667643886339275E-5</c:v>
                </c:pt>
                <c:pt idx="219">
                  <c:v>9.8984794585073573E-5</c:v>
                </c:pt>
                <c:pt idx="220">
                  <c:v>1.0141243257504989E-4</c:v>
                </c:pt>
                <c:pt idx="221">
                  <c:v>1.0396116157588532E-4</c:v>
                </c:pt>
                <c:pt idx="222">
                  <c:v>1.0663280922050743E-4</c:v>
                </c:pt>
                <c:pt idx="223">
                  <c:v>1.0942922826807617E-4</c:v>
                </c:pt>
                <c:pt idx="224">
                  <c:v>1.1235230297021005E-4</c:v>
                </c:pt>
                <c:pt idx="225">
                  <c:v>1.1546425829665023E-4</c:v>
                </c:pt>
                <c:pt idx="226">
                  <c:v>1.1870375784803206E-4</c:v>
                </c:pt>
                <c:pt idx="227">
                  <c:v>1.2207272465981724E-4</c:v>
                </c:pt>
                <c:pt idx="228">
                  <c:v>1.2557314457141739E-4</c:v>
                </c:pt>
                <c:pt idx="229">
                  <c:v>1.2920707304240329E-4</c:v>
                </c:pt>
                <c:pt idx="230">
                  <c:v>1.3297664216961022E-4</c:v>
                </c:pt>
                <c:pt idx="231">
                  <c:v>1.3688406795429013E-4</c:v>
                </c:pt>
                <c:pt idx="232">
                  <c:v>1.4093028472042792E-4</c:v>
                </c:pt>
                <c:pt idx="233">
                  <c:v>1.4513374009149236E-4</c:v>
                </c:pt>
                <c:pt idx="234">
                  <c:v>1.4944951058638785E-4</c:v>
                </c:pt>
                <c:pt idx="235">
                  <c:v>1.5387889900354544E-4</c:v>
                </c:pt>
                <c:pt idx="236">
                  <c:v>1.5842328598181539E-4</c:v>
                </c:pt>
                <c:pt idx="237">
                  <c:v>1.6308397913364226E-4</c:v>
                </c:pt>
                <c:pt idx="238">
                  <c:v>1.678623056687563E-4</c:v>
                </c:pt>
                <c:pt idx="239">
                  <c:v>1.7276380689172324E-4</c:v>
                </c:pt>
                <c:pt idx="240">
                  <c:v>1.7772609248573414E-4</c:v>
                </c:pt>
                <c:pt idx="241">
                  <c:v>1.8274989132592228E-4</c:v>
                </c:pt>
                <c:pt idx="242">
                  <c:v>1.8783593128744884E-4</c:v>
                </c:pt>
                <c:pt idx="243">
                  <c:v>1.9298493672988923E-4</c:v>
                </c:pt>
                <c:pt idx="244">
                  <c:v>1.9819762565503703E-4</c:v>
                </c:pt>
                <c:pt idx="245">
                  <c:v>2.0347470658543587E-4</c:v>
                </c:pt>
                <c:pt idx="246">
                  <c:v>2.088168751242675E-4</c:v>
                </c:pt>
                <c:pt idx="247">
                  <c:v>2.1435125434870016E-4</c:v>
                </c:pt>
                <c:pt idx="248">
                  <c:v>2.2006115264774426E-4</c:v>
                </c:pt>
                <c:pt idx="249">
                  <c:v>2.2594859954150329E-4</c:v>
                </c:pt>
                <c:pt idx="250">
                  <c:v>2.3201560912101821E-4</c:v>
                </c:pt>
                <c:pt idx="251">
                  <c:v>2.3826417523395614E-4</c:v>
                </c:pt>
                <c:pt idx="252">
                  <c:v>2.4469626629635934E-4</c:v>
                </c:pt>
                <c:pt idx="253">
                  <c:v>2.5143723322094882E-4</c:v>
                </c:pt>
                <c:pt idx="254">
                  <c:v>2.5848585269228053E-4</c:v>
                </c:pt>
                <c:pt idx="255">
                  <c:v>2.6584547158284158E-4</c:v>
                </c:pt>
                <c:pt idx="256">
                  <c:v>2.7351940340182893E-4</c:v>
                </c:pt>
                <c:pt idx="257">
                  <c:v>2.8151092069500023E-4</c:v>
                </c:pt>
                <c:pt idx="258">
                  <c:v>2.8982324729279467E-4</c:v>
                </c:pt>
                <c:pt idx="259">
                  <c:v>2.9845955048655548E-4</c:v>
                </c:pt>
                <c:pt idx="260">
                  <c:v>3.0742441021966649E-4</c:v>
                </c:pt>
                <c:pt idx="261">
                  <c:v>3.1676376659366237E-4</c:v>
                </c:pt>
                <c:pt idx="262">
                  <c:v>3.2634601123727964E-4</c:v>
                </c:pt>
                <c:pt idx="263">
                  <c:v>3.3617234338833825E-4</c:v>
                </c:pt>
                <c:pt idx="264">
                  <c:v>3.4624378821423632E-4</c:v>
                </c:pt>
                <c:pt idx="265">
                  <c:v>3.5656308133020847E-4</c:v>
                </c:pt>
                <c:pt idx="266">
                  <c:v>3.6713200837716723E-4</c:v>
                </c:pt>
                <c:pt idx="267">
                  <c:v>3.7836199968477427E-4</c:v>
                </c:pt>
                <c:pt idx="268">
                  <c:v>3.9012677865076721E-4</c:v>
                </c:pt>
                <c:pt idx="269">
                  <c:v>4.0242956399646682E-4</c:v>
                </c:pt>
                <c:pt idx="270">
                  <c:v>4.1527323135829978E-4</c:v>
                </c:pt>
                <c:pt idx="271">
                  <c:v>4.2866028962072072E-4</c:v>
                </c:pt>
                <c:pt idx="272">
                  <c:v>4.4259285925928445E-4</c:v>
                </c:pt>
                <c:pt idx="273">
                  <c:v>4.5707265289034746E-4</c:v>
                </c:pt>
                <c:pt idx="274">
                  <c:v>4.7211879192728356E-4</c:v>
                </c:pt>
                <c:pt idx="275">
                  <c:v>4.8865873780111892E-4</c:v>
                </c:pt>
                <c:pt idx="276">
                  <c:v>5.0665696806810254E-4</c:v>
                </c:pt>
                <c:pt idx="277">
                  <c:v>5.2612069433995731E-4</c:v>
                </c:pt>
                <c:pt idx="278">
                  <c:v>5.4705571741582918E-4</c:v>
                </c:pt>
                <c:pt idx="279">
                  <c:v>5.69466169644239E-4</c:v>
                </c:pt>
                <c:pt idx="280">
                  <c:v>5.9335425251105421E-4</c:v>
                </c:pt>
                <c:pt idx="281">
                  <c:v>6.1919691328760627E-4</c:v>
                </c:pt>
                <c:pt idx="282">
                  <c:v>6.4656004309157763E-4</c:v>
                </c:pt>
                <c:pt idx="283">
                  <c:v>6.7543861147763599E-4</c:v>
                </c:pt>
                <c:pt idx="284">
                  <c:v>7.0582451516940591E-4</c:v>
                </c:pt>
                <c:pt idx="285">
                  <c:v>7.3770629916896171E-4</c:v>
                </c:pt>
                <c:pt idx="286">
                  <c:v>7.7106888109889802E-4</c:v>
                </c:pt>
                <c:pt idx="287">
                  <c:v>8.0589328078297566E-4</c:v>
                </c:pt>
                <c:pt idx="288">
                  <c:v>8.4221605720294747E-4</c:v>
                </c:pt>
                <c:pt idx="289">
                  <c:v>8.7951622479569703E-4</c:v>
                </c:pt>
                <c:pt idx="290">
                  <c:v>9.1682654913126968E-4</c:v>
                </c:pt>
                <c:pt idx="291">
                  <c:v>9.5412616611431243E-4</c:v>
                </c:pt>
                <c:pt idx="292">
                  <c:v>9.9139279535067747E-4</c:v>
                </c:pt>
                <c:pt idx="293">
                  <c:v>1.0286027836714062E-3</c:v>
                </c:pt>
                <c:pt idx="294">
                  <c:v>1.0657311502976035E-3</c:v>
                </c:pt>
                <c:pt idx="295">
                  <c:v>1.1018000847465576E-3</c:v>
                </c:pt>
                <c:pt idx="296">
                  <c:v>1.13629596439666E-3</c:v>
                </c:pt>
                <c:pt idx="297">
                  <c:v>1.1691953983424209E-3</c:v>
                </c:pt>
                <c:pt idx="298">
                  <c:v>1.2004664230958297E-3</c:v>
                </c:pt>
                <c:pt idx="299">
                  <c:v>1.2300775027182982E-3</c:v>
                </c:pt>
                <c:pt idx="300">
                  <c:v>1.2579977048596661E-3</c:v>
                </c:pt>
                <c:pt idx="301">
                  <c:v>1.2841968719089726E-3</c:v>
                </c:pt>
                <c:pt idx="302">
                  <c:v>1.3087237645688821E-3</c:v>
                </c:pt>
                <c:pt idx="303">
                  <c:v>1.3323981421839819E-3</c:v>
                </c:pt>
                <c:pt idx="304">
                  <c:v>1.3557952762351941E-3</c:v>
                </c:pt>
                <c:pt idx="305">
                  <c:v>1.3789122911487867E-3</c:v>
                </c:pt>
                <c:pt idx="306">
                  <c:v>1.4017469905042528E-3</c:v>
                </c:pt>
                <c:pt idx="307">
                  <c:v>1.4242978252041833E-3</c:v>
                </c:pt>
                <c:pt idx="308">
                  <c:v>1.4465638471808536E-3</c:v>
                </c:pt>
                <c:pt idx="309">
                  <c:v>1.4687959120281131E-3</c:v>
                </c:pt>
                <c:pt idx="310">
                  <c:v>1.4919560462034671E-3</c:v>
                </c:pt>
                <c:pt idx="311">
                  <c:v>1.5160447708937536E-3</c:v>
                </c:pt>
                <c:pt idx="312">
                  <c:v>1.5410624916058315E-3</c:v>
                </c:pt>
                <c:pt idx="313">
                  <c:v>1.5670094074719523E-3</c:v>
                </c:pt>
                <c:pt idx="314">
                  <c:v>1.5938854024069075E-3</c:v>
                </c:pt>
                <c:pt idx="315">
                  <c:v>1.6216899163075448E-3</c:v>
                </c:pt>
                <c:pt idx="316">
                  <c:v>1.650530584503753E-3</c:v>
                </c:pt>
                <c:pt idx="317">
                  <c:v>1.6779804196185655E-3</c:v>
                </c:pt>
                <c:pt idx="318">
                  <c:v>1.7032851000596391E-3</c:v>
                </c:pt>
                <c:pt idx="319">
                  <c:v>1.7264445565237777E-3</c:v>
                </c:pt>
                <c:pt idx="320">
                  <c:v>1.7474555658225084E-3</c:v>
                </c:pt>
                <c:pt idx="321">
                  <c:v>1.766311545979063E-3</c:v>
                </c:pt>
                <c:pt idx="322">
                  <c:v>1.7830023792953641E-3</c:v>
                </c:pt>
                <c:pt idx="323">
                  <c:v>1.7986183185079829E-3</c:v>
                </c:pt>
                <c:pt idx="324">
                  <c:v>1.8128920759676603E-3</c:v>
                </c:pt>
                <c:pt idx="325">
                  <c:v>1.8258036568828072E-3</c:v>
                </c:pt>
                <c:pt idx="326">
                  <c:v>1.8373178821563714E-3</c:v>
                </c:pt>
                <c:pt idx="327">
                  <c:v>1.8474031902243793E-3</c:v>
                </c:pt>
                <c:pt idx="328">
                  <c:v>1.8560337426036934E-3</c:v>
                </c:pt>
                <c:pt idx="329">
                  <c:v>1.8631801674374891E-3</c:v>
                </c:pt>
                <c:pt idx="330">
                  <c:v>1.8690041971291189E-3</c:v>
                </c:pt>
                <c:pt idx="331">
                  <c:v>1.8769979056669577E-3</c:v>
                </c:pt>
                <c:pt idx="332">
                  <c:v>1.8896854447857929E-3</c:v>
                </c:pt>
                <c:pt idx="333">
                  <c:v>1.9070417197010574E-3</c:v>
                </c:pt>
                <c:pt idx="334">
                  <c:v>1.9290394106900055E-3</c:v>
                </c:pt>
                <c:pt idx="335">
                  <c:v>1.9556477787614681E-3</c:v>
                </c:pt>
                <c:pt idx="336">
                  <c:v>1.9868313837251919E-3</c:v>
                </c:pt>
                <c:pt idx="337">
                  <c:v>2.0213124260835881E-3</c:v>
                </c:pt>
                <c:pt idx="338">
                  <c:v>2.0579214334280373E-3</c:v>
                </c:pt>
                <c:pt idx="339">
                  <c:v>2.0965936761510868E-3</c:v>
                </c:pt>
                <c:pt idx="340">
                  <c:v>2.1372555028072405E-3</c:v>
                </c:pt>
                <c:pt idx="341">
                  <c:v>2.179823704016608E-3</c:v>
                </c:pt>
                <c:pt idx="342">
                  <c:v>2.2242049512568749E-3</c:v>
                </c:pt>
                <c:pt idx="343">
                  <c:v>2.2702953299421191E-3</c:v>
                </c:pt>
                <c:pt idx="344">
                  <c:v>2.3182416410624045E-3</c:v>
                </c:pt>
                <c:pt idx="345">
                  <c:v>2.3682145866651652E-3</c:v>
                </c:pt>
                <c:pt idx="346">
                  <c:v>2.41395901553115E-3</c:v>
                </c:pt>
                <c:pt idx="347">
                  <c:v>2.4553835502134666E-3</c:v>
                </c:pt>
                <c:pt idx="348">
                  <c:v>2.4923930165003253E-3</c:v>
                </c:pt>
                <c:pt idx="349">
                  <c:v>2.524890249090726E-3</c:v>
                </c:pt>
                <c:pt idx="350">
                  <c:v>2.5527780065426773E-3</c:v>
                </c:pt>
                <c:pt idx="351">
                  <c:v>2.5731606582491675E-3</c:v>
                </c:pt>
                <c:pt idx="352">
                  <c:v>2.5871952878949648E-3</c:v>
                </c:pt>
                <c:pt idx="353">
                  <c:v>2.5948057270233291E-3</c:v>
                </c:pt>
                <c:pt idx="354">
                  <c:v>2.595927435648173E-3</c:v>
                </c:pt>
                <c:pt idx="355">
                  <c:v>2.590509972465896E-3</c:v>
                </c:pt>
                <c:pt idx="356">
                  <c:v>2.578499507723697E-3</c:v>
                </c:pt>
                <c:pt idx="357">
                  <c:v>2.5598976792965125E-3</c:v>
                </c:pt>
                <c:pt idx="358">
                  <c:v>2.5347090393495007E-3</c:v>
                </c:pt>
                <c:pt idx="359">
                  <c:v>2.5030315756479956E-3</c:v>
                </c:pt>
                <c:pt idx="360">
                  <c:v>2.463793749090139E-3</c:v>
                </c:pt>
                <c:pt idx="361">
                  <c:v>2.4198921359617088E-3</c:v>
                </c:pt>
                <c:pt idx="362">
                  <c:v>2.3714746982835349E-3</c:v>
                </c:pt>
                <c:pt idx="363">
                  <c:v>2.3186976439272581E-3</c:v>
                </c:pt>
                <c:pt idx="364">
                  <c:v>2.2617238558164409E-3</c:v>
                </c:pt>
                <c:pt idx="365">
                  <c:v>2.2007213350179774E-3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209264"/>
        <c:axId val="386209656"/>
      </c:lineChart>
      <c:dateAx>
        <c:axId val="3862092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6209656"/>
        <c:crosses val="autoZero"/>
        <c:auto val="1"/>
        <c:lblOffset val="100"/>
        <c:baseTimeUnit val="days"/>
        <c:majorUnit val="1"/>
        <c:majorTimeUnit val="months"/>
      </c:dateAx>
      <c:valAx>
        <c:axId val="3862096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6209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24.152356128414507</c:v>
                </c:pt>
                <c:pt idx="1">
                  <c:v>24.301422132470968</c:v>
                </c:pt>
                <c:pt idx="2">
                  <c:v>24.460170191211287</c:v>
                </c:pt>
                <c:pt idx="3">
                  <c:v>24.628101356898373</c:v>
                </c:pt>
                <c:pt idx="4">
                  <c:v>24.804716805840613</c:v>
                </c:pt>
                <c:pt idx="5">
                  <c:v>24.989517833161131</c:v>
                </c:pt>
                <c:pt idx="6">
                  <c:v>25.182005865090904</c:v>
                </c:pt>
                <c:pt idx="7">
                  <c:v>25.381682464248776</c:v>
                </c:pt>
                <c:pt idx="8">
                  <c:v>25.59114873827567</c:v>
                </c:pt>
                <c:pt idx="9">
                  <c:v>25.812806357941572</c:v>
                </c:pt>
                <c:pt idx="10">
                  <c:v>26.045852518249291</c:v>
                </c:pt>
                <c:pt idx="11">
                  <c:v>26.28946527470767</c:v>
                </c:pt>
                <c:pt idx="12">
                  <c:v>26.54282294181769</c:v>
                </c:pt>
                <c:pt idx="13">
                  <c:v>26.80510410609164</c:v>
                </c:pt>
                <c:pt idx="14">
                  <c:v>27.075487618789222</c:v>
                </c:pt>
                <c:pt idx="15">
                  <c:v>27.353176635796654</c:v>
                </c:pt>
                <c:pt idx="16">
                  <c:v>27.6373870270994</c:v>
                </c:pt>
                <c:pt idx="17">
                  <c:v>27.927298446945152</c:v>
                </c:pt>
                <c:pt idx="18">
                  <c:v>28.222090829332487</c:v>
                </c:pt>
                <c:pt idx="19">
                  <c:v>28.520944289550176</c:v>
                </c:pt>
                <c:pt idx="20">
                  <c:v>28.823039175728596</c:v>
                </c:pt>
                <c:pt idx="21">
                  <c:v>29.127555004681078</c:v>
                </c:pt>
                <c:pt idx="22">
                  <c:v>29.437783702908433</c:v>
                </c:pt>
                <c:pt idx="23">
                  <c:v>29.756916719270684</c:v>
                </c:pt>
                <c:pt idx="24">
                  <c:v>30.083982662413778</c:v>
                </c:pt>
                <c:pt idx="25">
                  <c:v>30.418027068486179</c:v>
                </c:pt>
                <c:pt idx="26">
                  <c:v>30.758095812270906</c:v>
                </c:pt>
                <c:pt idx="27">
                  <c:v>31.10323511436361</c:v>
                </c:pt>
                <c:pt idx="28">
                  <c:v>31.452491534320473</c:v>
                </c:pt>
                <c:pt idx="29">
                  <c:v>31.804909951087573</c:v>
                </c:pt>
                <c:pt idx="30">
                  <c:v>32.159513562200615</c:v>
                </c:pt>
                <c:pt idx="31">
                  <c:v>32.515349935920547</c:v>
                </c:pt>
                <c:pt idx="32">
                  <c:v>32.871466985396182</c:v>
                </c:pt>
                <c:pt idx="33">
                  <c:v>33.226912960826091</c:v>
                </c:pt>
                <c:pt idx="34">
                  <c:v>33.580736453672174</c:v>
                </c:pt>
                <c:pt idx="35">
                  <c:v>33.931986394695755</c:v>
                </c:pt>
                <c:pt idx="36">
                  <c:v>34.282319829861066</c:v>
                </c:pt>
                <c:pt idx="37">
                  <c:v>34.633957473851403</c:v>
                </c:pt>
                <c:pt idx="38">
                  <c:v>34.986802080532158</c:v>
                </c:pt>
                <c:pt idx="39">
                  <c:v>35.340747793769552</c:v>
                </c:pt>
                <c:pt idx="40">
                  <c:v>35.695688804042788</c:v>
                </c:pt>
                <c:pt idx="41">
                  <c:v>36.05151934738187</c:v>
                </c:pt>
                <c:pt idx="42">
                  <c:v>36.408133703369963</c:v>
                </c:pt>
                <c:pt idx="43">
                  <c:v>36.765430955871508</c:v>
                </c:pt>
                <c:pt idx="44">
                  <c:v>37.123307565265428</c:v>
                </c:pt>
                <c:pt idx="45">
                  <c:v>37.481657958783615</c:v>
                </c:pt>
                <c:pt idx="46">
                  <c:v>37.840376602351576</c:v>
                </c:pt>
                <c:pt idx="47">
                  <c:v>38.19935799700319</c:v>
                </c:pt>
                <c:pt idx="48">
                  <c:v>38.558496677795247</c:v>
                </c:pt>
                <c:pt idx="49">
                  <c:v>38.917687210318803</c:v>
                </c:pt>
                <c:pt idx="50">
                  <c:v>39.277088175671842</c:v>
                </c:pt>
                <c:pt idx="51">
                  <c:v>39.636924789352349</c:v>
                </c:pt>
                <c:pt idx="52">
                  <c:v>39.99719660499327</c:v>
                </c:pt>
                <c:pt idx="53">
                  <c:v>40.357903679372939</c:v>
                </c:pt>
                <c:pt idx="54">
                  <c:v>40.719046005943525</c:v>
                </c:pt>
                <c:pt idx="55">
                  <c:v>41.080623555973617</c:v>
                </c:pt>
                <c:pt idx="56">
                  <c:v>41.442636275887253</c:v>
                </c:pt>
                <c:pt idx="57">
                  <c:v>41.805072567871669</c:v>
                </c:pt>
                <c:pt idx="58">
                  <c:v>42.167927462706622</c:v>
                </c:pt>
                <c:pt idx="59">
                  <c:v>42.531200777161303</c:v>
                </c:pt>
                <c:pt idx="60">
                  <c:v>42.894892294476811</c:v>
                </c:pt>
                <c:pt idx="61">
                  <c:v>43.259001762478263</c:v>
                </c:pt>
                <c:pt idx="62">
                  <c:v>43.623528892614793</c:v>
                </c:pt>
                <c:pt idx="63">
                  <c:v>43.988473357337149</c:v>
                </c:pt>
                <c:pt idx="64">
                  <c:v>44.35497737534083</c:v>
                </c:pt>
                <c:pt idx="65">
                  <c:v>44.723830389537241</c:v>
                </c:pt>
                <c:pt idx="66">
                  <c:v>45.09450795736349</c:v>
                </c:pt>
                <c:pt idx="67">
                  <c:v>45.466482013600306</c:v>
                </c:pt>
                <c:pt idx="68">
                  <c:v>45.839224626439417</c:v>
                </c:pt>
                <c:pt idx="69">
                  <c:v>46.212207997121773</c:v>
                </c:pt>
                <c:pt idx="70">
                  <c:v>46.584904458716039</c:v>
                </c:pt>
                <c:pt idx="71">
                  <c:v>46.956786460805112</c:v>
                </c:pt>
                <c:pt idx="72">
                  <c:v>47.327338290690186</c:v>
                </c:pt>
                <c:pt idx="73">
                  <c:v>47.696032724577016</c:v>
                </c:pt>
                <c:pt idx="74">
                  <c:v>48.062342675692548</c:v>
                </c:pt>
                <c:pt idx="75">
                  <c:v>48.425741199177622</c:v>
                </c:pt>
                <c:pt idx="76">
                  <c:v>48.785701489248808</c:v>
                </c:pt>
                <c:pt idx="77">
                  <c:v>49.141696882659872</c:v>
                </c:pt>
                <c:pt idx="78">
                  <c:v>49.496343651672255</c:v>
                </c:pt>
                <c:pt idx="79">
                  <c:v>49.852045250618957</c:v>
                </c:pt>
                <c:pt idx="80">
                  <c:v>50.207958891457004</c:v>
                </c:pt>
                <c:pt idx="81">
                  <c:v>50.563241111263274</c:v>
                </c:pt>
                <c:pt idx="82">
                  <c:v>50.917048707140303</c:v>
                </c:pt>
                <c:pt idx="83">
                  <c:v>51.268538739275925</c:v>
                </c:pt>
                <c:pt idx="84">
                  <c:v>51.616868534607931</c:v>
                </c:pt>
                <c:pt idx="85">
                  <c:v>51.961194359462503</c:v>
                </c:pt>
                <c:pt idx="86">
                  <c:v>52.300674104297933</c:v>
                </c:pt>
                <c:pt idx="87">
                  <c:v>52.63446590008968</c:v>
                </c:pt>
                <c:pt idx="88">
                  <c:v>52.961728162343157</c:v>
                </c:pt>
                <c:pt idx="89">
                  <c:v>53.281619587749155</c:v>
                </c:pt>
                <c:pt idx="90">
                  <c:v>53.593299165324403</c:v>
                </c:pt>
                <c:pt idx="91">
                  <c:v>53.895926176843929</c:v>
                </c:pt>
                <c:pt idx="92">
                  <c:v>54.190992536737809</c:v>
                </c:pt>
                <c:pt idx="93">
                  <c:v>54.480480898091706</c:v>
                </c:pt>
                <c:pt idx="94">
                  <c:v>54.764287797347897</c:v>
                </c:pt>
                <c:pt idx="95">
                  <c:v>55.042308532216794</c:v>
                </c:pt>
                <c:pt idx="96">
                  <c:v>55.314438450585286</c:v>
                </c:pt>
                <c:pt idx="97">
                  <c:v>55.58057295289742</c:v>
                </c:pt>
                <c:pt idx="98">
                  <c:v>55.840607492260126</c:v>
                </c:pt>
                <c:pt idx="99">
                  <c:v>56.094437138694381</c:v>
                </c:pt>
                <c:pt idx="100">
                  <c:v>56.341958936822884</c:v>
                </c:pt>
                <c:pt idx="101">
                  <c:v>56.583068561894912</c:v>
                </c:pt>
                <c:pt idx="102">
                  <c:v>56.817661755360881</c:v>
                </c:pt>
                <c:pt idx="103">
                  <c:v>57.045634336875949</c:v>
                </c:pt>
                <c:pt idx="104">
                  <c:v>57.266882199643113</c:v>
                </c:pt>
                <c:pt idx="105">
                  <c:v>57.481301319784158</c:v>
                </c:pt>
                <c:pt idx="106">
                  <c:v>57.689050465402204</c:v>
                </c:pt>
                <c:pt idx="107">
                  <c:v>57.890357354615432</c:v>
                </c:pt>
                <c:pt idx="108">
                  <c:v>58.085222806303712</c:v>
                </c:pt>
                <c:pt idx="109">
                  <c:v>58.273647971531304</c:v>
                </c:pt>
                <c:pt idx="110">
                  <c:v>58.455634046490168</c:v>
                </c:pt>
                <c:pt idx="111">
                  <c:v>58.63118228197434</c:v>
                </c:pt>
                <c:pt idx="112">
                  <c:v>58.80029399507341</c:v>
                </c:pt>
                <c:pt idx="113">
                  <c:v>58.962970063263867</c:v>
                </c:pt>
                <c:pt idx="114">
                  <c:v>59.119212396733467</c:v>
                </c:pt>
                <c:pt idx="115">
                  <c:v>59.269022489278065</c:v>
                </c:pt>
                <c:pt idx="116">
                  <c:v>59.412401906612544</c:v>
                </c:pt>
                <c:pt idx="117">
                  <c:v>59.549352286802439</c:v>
                </c:pt>
                <c:pt idx="118">
                  <c:v>59.679875347614072</c:v>
                </c:pt>
                <c:pt idx="119">
                  <c:v>59.803972878314092</c:v>
                </c:pt>
                <c:pt idx="120">
                  <c:v>59.920737258034293</c:v>
                </c:pt>
                <c:pt idx="121">
                  <c:v>60.029540008406798</c:v>
                </c:pt>
                <c:pt idx="122">
                  <c:v>60.130804574598557</c:v>
                </c:pt>
                <c:pt idx="123">
                  <c:v>60.224953069296276</c:v>
                </c:pt>
                <c:pt idx="124">
                  <c:v>60.312407534805914</c:v>
                </c:pt>
                <c:pt idx="125">
                  <c:v>60.393589931929263</c:v>
                </c:pt>
                <c:pt idx="126">
                  <c:v>60.468922146163379</c:v>
                </c:pt>
                <c:pt idx="127">
                  <c:v>60.538826412901876</c:v>
                </c:pt>
                <c:pt idx="128">
                  <c:v>60.603725165305804</c:v>
                </c:pt>
                <c:pt idx="129">
                  <c:v>60.664040111567054</c:v>
                </c:pt>
                <c:pt idx="130">
                  <c:v>60.720192879469103</c:v>
                </c:pt>
                <c:pt idx="131">
                  <c:v>60.772605018395815</c:v>
                </c:pt>
                <c:pt idx="132">
                  <c:v>60.821697992700003</c:v>
                </c:pt>
                <c:pt idx="133">
                  <c:v>60.867893180661362</c:v>
                </c:pt>
                <c:pt idx="134">
                  <c:v>60.910109887992249</c:v>
                </c:pt>
                <c:pt idx="135">
                  <c:v>60.947128935373442</c:v>
                </c:pt>
                <c:pt idx="136">
                  <c:v>60.979164392958872</c:v>
                </c:pt>
                <c:pt idx="137">
                  <c:v>61.006428954720278</c:v>
                </c:pt>
                <c:pt idx="138">
                  <c:v>61.029135307074007</c:v>
                </c:pt>
                <c:pt idx="139">
                  <c:v>61.047496128421827</c:v>
                </c:pt>
                <c:pt idx="140">
                  <c:v>61.061724085964073</c:v>
                </c:pt>
                <c:pt idx="141">
                  <c:v>61.072030538496406</c:v>
                </c:pt>
                <c:pt idx="142">
                  <c:v>61.07862751957056</c:v>
                </c:pt>
                <c:pt idx="143">
                  <c:v>61.081727543479275</c:v>
                </c:pt>
                <c:pt idx="144">
                  <c:v>61.081543068106491</c:v>
                </c:pt>
                <c:pt idx="145">
                  <c:v>61.078286506189016</c:v>
                </c:pt>
                <c:pt idx="146">
                  <c:v>61.072170213347086</c:v>
                </c:pt>
                <c:pt idx="147">
                  <c:v>61.0634064810978</c:v>
                </c:pt>
                <c:pt idx="148">
                  <c:v>61.050777564103448</c:v>
                </c:pt>
                <c:pt idx="149">
                  <c:v>61.033205466371733</c:v>
                </c:pt>
                <c:pt idx="150">
                  <c:v>61.011111492023552</c:v>
                </c:pt>
                <c:pt idx="151">
                  <c:v>60.984917555198926</c:v>
                </c:pt>
                <c:pt idx="152">
                  <c:v>60.955045373173455</c:v>
                </c:pt>
                <c:pt idx="153">
                  <c:v>60.921916457375659</c:v>
                </c:pt>
                <c:pt idx="154">
                  <c:v>60.88595210301974</c:v>
                </c:pt>
                <c:pt idx="155">
                  <c:v>60.847571971743228</c:v>
                </c:pt>
                <c:pt idx="156">
                  <c:v>60.807198437990479</c:v>
                </c:pt>
                <c:pt idx="157">
                  <c:v>60.765252103874602</c:v>
                </c:pt>
                <c:pt idx="158">
                  <c:v>60.722153327046584</c:v>
                </c:pt>
                <c:pt idx="159">
                  <c:v>60.678322217489445</c:v>
                </c:pt>
                <c:pt idx="160">
                  <c:v>60.634178630421815</c:v>
                </c:pt>
                <c:pt idx="161">
                  <c:v>60.590142162175688</c:v>
                </c:pt>
                <c:pt idx="162">
                  <c:v>60.5455873850429</c:v>
                </c:pt>
                <c:pt idx="163">
                  <c:v>60.499609170765247</c:v>
                </c:pt>
                <c:pt idx="164">
                  <c:v>60.452209520659103</c:v>
                </c:pt>
                <c:pt idx="165">
                  <c:v>60.40338999250703</c:v>
                </c:pt>
                <c:pt idx="166">
                  <c:v>60.3531520321866</c:v>
                </c:pt>
                <c:pt idx="167">
                  <c:v>60.301496967202205</c:v>
                </c:pt>
                <c:pt idx="168">
                  <c:v>60.248426006824786</c:v>
                </c:pt>
                <c:pt idx="169">
                  <c:v>60.193938841874505</c:v>
                </c:pt>
                <c:pt idx="170">
                  <c:v>60.138038154212666</c:v>
                </c:pt>
                <c:pt idx="171">
                  <c:v>60.080724800028406</c:v>
                </c:pt>
                <c:pt idx="172">
                  <c:v>60.02199950876637</c:v>
                </c:pt>
                <c:pt idx="173">
                  <c:v>59.961862903739984</c:v>
                </c:pt>
                <c:pt idx="174">
                  <c:v>59.900315485085969</c:v>
                </c:pt>
                <c:pt idx="175">
                  <c:v>59.837357612614682</c:v>
                </c:pt>
                <c:pt idx="176">
                  <c:v>59.772989528014435</c:v>
                </c:pt>
                <c:pt idx="177">
                  <c:v>59.707209438513644</c:v>
                </c:pt>
                <c:pt idx="178">
                  <c:v>59.6400188289768</c:v>
                </c:pt>
                <c:pt idx="179">
                  <c:v>59.5714175859694</c:v>
                </c:pt>
                <c:pt idx="180">
                  <c:v>59.501405492058375</c:v>
                </c:pt>
                <c:pt idx="181">
                  <c:v>59.429982232857668</c:v>
                </c:pt>
                <c:pt idx="182">
                  <c:v>59.357147400520198</c:v>
                </c:pt>
                <c:pt idx="183">
                  <c:v>59.282900085283821</c:v>
                </c:pt>
                <c:pt idx="184">
                  <c:v>59.207241313029321</c:v>
                </c:pt>
                <c:pt idx="185">
                  <c:v>59.130170463927016</c:v>
                </c:pt>
                <c:pt idx="186">
                  <c:v>59.051686852556628</c:v>
                </c:pt>
                <c:pt idx="187">
                  <c:v>58.971789732487338</c:v>
                </c:pt>
                <c:pt idx="188">
                  <c:v>58.89047830716364</c:v>
                </c:pt>
                <c:pt idx="189">
                  <c:v>58.807751734922192</c:v>
                </c:pt>
                <c:pt idx="190">
                  <c:v>58.724060672977473</c:v>
                </c:pt>
                <c:pt idx="191">
                  <c:v>58.639714478629223</c:v>
                </c:pt>
                <c:pt idx="192">
                  <c:v>58.554505791106926</c:v>
                </c:pt>
                <c:pt idx="193">
                  <c:v>58.468225195067262</c:v>
                </c:pt>
                <c:pt idx="194">
                  <c:v>58.380663341371104</c:v>
                </c:pt>
                <c:pt idx="195">
                  <c:v>58.291610952942371</c:v>
                </c:pt>
                <c:pt idx="196">
                  <c:v>58.200858830875603</c:v>
                </c:pt>
                <c:pt idx="197">
                  <c:v>58.108199118929598</c:v>
                </c:pt>
                <c:pt idx="198">
                  <c:v>58.013423250714425</c:v>
                </c:pt>
                <c:pt idx="199">
                  <c:v>57.916322312472772</c:v>
                </c:pt>
                <c:pt idx="200">
                  <c:v>57.816687488413734</c:v>
                </c:pt>
                <c:pt idx="201">
                  <c:v>57.714310063951395</c:v>
                </c:pt>
                <c:pt idx="202">
                  <c:v>57.608981434277709</c:v>
                </c:pt>
                <c:pt idx="203">
                  <c:v>57.500493104814254</c:v>
                </c:pt>
                <c:pt idx="204">
                  <c:v>57.389157100700764</c:v>
                </c:pt>
                <c:pt idx="205">
                  <c:v>57.275425055048956</c:v>
                </c:pt>
                <c:pt idx="206">
                  <c:v>57.159298982482774</c:v>
                </c:pt>
                <c:pt idx="207">
                  <c:v>57.040778665526425</c:v>
                </c:pt>
                <c:pt idx="208">
                  <c:v>56.919863941596006</c:v>
                </c:pt>
                <c:pt idx="209">
                  <c:v>56.796554707772948</c:v>
                </c:pt>
                <c:pt idx="210">
                  <c:v>56.670850919040873</c:v>
                </c:pt>
                <c:pt idx="211">
                  <c:v>56.54274919837642</c:v>
                </c:pt>
                <c:pt idx="212">
                  <c:v>56.412248292799411</c:v>
                </c:pt>
                <c:pt idx="213">
                  <c:v>56.279348305889044</c:v>
                </c:pt>
                <c:pt idx="214">
                  <c:v>56.144049398730751</c:v>
                </c:pt>
                <c:pt idx="215">
                  <c:v>56.006351789795353</c:v>
                </c:pt>
                <c:pt idx="216">
                  <c:v>55.866255754484499</c:v>
                </c:pt>
                <c:pt idx="217">
                  <c:v>55.72376161979826</c:v>
                </c:pt>
                <c:pt idx="218">
                  <c:v>55.579320277705953</c:v>
                </c:pt>
                <c:pt idx="219">
                  <c:v>55.433241499078335</c:v>
                </c:pt>
                <c:pt idx="220">
                  <c:v>55.285316752062521</c:v>
                </c:pt>
                <c:pt idx="221">
                  <c:v>55.135338523220398</c:v>
                </c:pt>
                <c:pt idx="222">
                  <c:v>54.983099401839681</c:v>
                </c:pt>
                <c:pt idx="223">
                  <c:v>54.828392080057874</c:v>
                </c:pt>
                <c:pt idx="224">
                  <c:v>54.671009347140405</c:v>
                </c:pt>
                <c:pt idx="225">
                  <c:v>54.510740799518452</c:v>
                </c:pt>
                <c:pt idx="226">
                  <c:v>54.347382880524407</c:v>
                </c:pt>
                <c:pt idx="227">
                  <c:v>54.180728657077736</c:v>
                </c:pt>
                <c:pt idx="228">
                  <c:v>54.010571279617587</c:v>
                </c:pt>
                <c:pt idx="229">
                  <c:v>53.836703978867291</c:v>
                </c:pt>
                <c:pt idx="230">
                  <c:v>53.658920067227513</c:v>
                </c:pt>
                <c:pt idx="231">
                  <c:v>53.477012928950593</c:v>
                </c:pt>
                <c:pt idx="232">
                  <c:v>53.291295295876786</c:v>
                </c:pt>
                <c:pt idx="233">
                  <c:v>53.102217319845636</c:v>
                </c:pt>
                <c:pt idx="234">
                  <c:v>52.909782488078285</c:v>
                </c:pt>
                <c:pt idx="235">
                  <c:v>52.713991823235354</c:v>
                </c:pt>
                <c:pt idx="236">
                  <c:v>52.514846351009375</c:v>
                </c:pt>
                <c:pt idx="237">
                  <c:v>52.312347108844186</c:v>
                </c:pt>
                <c:pt idx="238">
                  <c:v>52.106495137579799</c:v>
                </c:pt>
                <c:pt idx="239">
                  <c:v>51.897291265536794</c:v>
                </c:pt>
                <c:pt idx="240">
                  <c:v>51.684739845259486</c:v>
                </c:pt>
                <c:pt idx="241">
                  <c:v>51.468841927304283</c:v>
                </c:pt>
                <c:pt idx="242">
                  <c:v>51.24959857056318</c:v>
                </c:pt>
                <c:pt idx="243">
                  <c:v>51.027010837628282</c:v>
                </c:pt>
                <c:pt idx="244">
                  <c:v>50.801079798280547</c:v>
                </c:pt>
                <c:pt idx="245">
                  <c:v>50.571806527680906</c:v>
                </c:pt>
                <c:pt idx="246">
                  <c:v>50.339192112004014</c:v>
                </c:pt>
                <c:pt idx="247">
                  <c:v>50.103231305945215</c:v>
                </c:pt>
                <c:pt idx="248">
                  <c:v>49.863926166874954</c:v>
                </c:pt>
                <c:pt idx="249">
                  <c:v>49.621277814344865</c:v>
                </c:pt>
                <c:pt idx="250">
                  <c:v>49.375287382936371</c:v>
                </c:pt>
                <c:pt idx="251">
                  <c:v>49.125956018059831</c:v>
                </c:pt>
                <c:pt idx="252">
                  <c:v>48.873284877667516</c:v>
                </c:pt>
                <c:pt idx="253">
                  <c:v>48.617269130771191</c:v>
                </c:pt>
                <c:pt idx="254">
                  <c:v>48.3579102047484</c:v>
                </c:pt>
                <c:pt idx="255">
                  <c:v>48.09520931576342</c:v>
                </c:pt>
                <c:pt idx="256">
                  <c:v>47.829167691957188</c:v>
                </c:pt>
                <c:pt idx="257">
                  <c:v>47.559786572156888</c:v>
                </c:pt>
                <c:pt idx="258">
                  <c:v>47.287067202821248</c:v>
                </c:pt>
                <c:pt idx="259">
                  <c:v>47.011010840247813</c:v>
                </c:pt>
                <c:pt idx="260">
                  <c:v>46.731394174545166</c:v>
                </c:pt>
                <c:pt idx="261">
                  <c:v>46.448061112841302</c:v>
                </c:pt>
                <c:pt idx="262">
                  <c:v>46.16112284873175</c:v>
                </c:pt>
                <c:pt idx="263">
                  <c:v>45.870684285520475</c:v>
                </c:pt>
                <c:pt idx="264">
                  <c:v>45.576850286295517</c:v>
                </c:pt>
                <c:pt idx="265">
                  <c:v>45.279725581471418</c:v>
                </c:pt>
                <c:pt idx="266">
                  <c:v>44.979414889524683</c:v>
                </c:pt>
                <c:pt idx="267">
                  <c:v>44.676004561132643</c:v>
                </c:pt>
                <c:pt idx="268">
                  <c:v>44.369605245642965</c:v>
                </c:pt>
                <c:pt idx="269">
                  <c:v>44.060321666052715</c:v>
                </c:pt>
                <c:pt idx="270">
                  <c:v>43.748258488494827</c:v>
                </c:pt>
                <c:pt idx="271">
                  <c:v>43.433520323273029</c:v>
                </c:pt>
                <c:pt idx="272">
                  <c:v>43.116211715167744</c:v>
                </c:pt>
                <c:pt idx="273">
                  <c:v>42.796437143620381</c:v>
                </c:pt>
                <c:pt idx="274">
                  <c:v>42.472695879008867</c:v>
                </c:pt>
                <c:pt idx="275">
                  <c:v>42.143794289811872</c:v>
                </c:pt>
                <c:pt idx="276">
                  <c:v>41.810357155006059</c:v>
                </c:pt>
                <c:pt idx="277">
                  <c:v>41.473007200988867</c:v>
                </c:pt>
                <c:pt idx="278">
                  <c:v>41.13236697513701</c:v>
                </c:pt>
                <c:pt idx="279">
                  <c:v>40.789058851350944</c:v>
                </c:pt>
                <c:pt idx="280">
                  <c:v>40.443705027723659</c:v>
                </c:pt>
                <c:pt idx="281">
                  <c:v>40.096908395184876</c:v>
                </c:pt>
                <c:pt idx="282">
                  <c:v>39.749308471677786</c:v>
                </c:pt>
                <c:pt idx="283">
                  <c:v>39.401526981902798</c:v>
                </c:pt>
                <c:pt idx="284">
                  <c:v>39.05418548159966</c:v>
                </c:pt>
                <c:pt idx="285">
                  <c:v>38.707905361081842</c:v>
                </c:pt>
                <c:pt idx="286">
                  <c:v>38.363307845373981</c:v>
                </c:pt>
                <c:pt idx="287">
                  <c:v>38.021013995771305</c:v>
                </c:pt>
                <c:pt idx="288">
                  <c:v>37.678971427973217</c:v>
                </c:pt>
                <c:pt idx="289">
                  <c:v>37.335080320229252</c:v>
                </c:pt>
                <c:pt idx="290">
                  <c:v>36.989893421793305</c:v>
                </c:pt>
                <c:pt idx="291">
                  <c:v>36.643927196287137</c:v>
                </c:pt>
                <c:pt idx="292">
                  <c:v>36.297697892185063</c:v>
                </c:pt>
                <c:pt idx="293">
                  <c:v>35.951721547159437</c:v>
                </c:pt>
                <c:pt idx="294">
                  <c:v>35.606513994406399</c:v>
                </c:pt>
                <c:pt idx="295">
                  <c:v>35.262624459992814</c:v>
                </c:pt>
                <c:pt idx="296">
                  <c:v>34.92058440560227</c:v>
                </c:pt>
                <c:pt idx="297">
                  <c:v>34.580907449061513</c:v>
                </c:pt>
                <c:pt idx="298">
                  <c:v>34.24410731827993</c:v>
                </c:pt>
                <c:pt idx="299">
                  <c:v>33.910697547348541</c:v>
                </c:pt>
                <c:pt idx="300">
                  <c:v>33.581191492923196</c:v>
                </c:pt>
                <c:pt idx="301">
                  <c:v>33.256102347633728</c:v>
                </c:pt>
                <c:pt idx="302">
                  <c:v>32.933978161109025</c:v>
                </c:pt>
                <c:pt idx="303">
                  <c:v>32.613204588165836</c:v>
                </c:pt>
                <c:pt idx="304">
                  <c:v>32.294069996959848</c:v>
                </c:pt>
                <c:pt idx="305">
                  <c:v>31.976881962873918</c:v>
                </c:pt>
                <c:pt idx="306">
                  <c:v>31.661947997941123</c:v>
                </c:pt>
                <c:pt idx="307">
                  <c:v>31.34957556344779</c:v>
                </c:pt>
                <c:pt idx="308">
                  <c:v>31.040072082021748</c:v>
                </c:pt>
                <c:pt idx="309">
                  <c:v>30.733737209536905</c:v>
                </c:pt>
                <c:pt idx="310">
                  <c:v>30.430849227621596</c:v>
                </c:pt>
                <c:pt idx="311">
                  <c:v>30.131716577633377</c:v>
                </c:pt>
                <c:pt idx="312">
                  <c:v>29.836647679407498</c:v>
                </c:pt>
                <c:pt idx="313">
                  <c:v>29.545950935843138</c:v>
                </c:pt>
                <c:pt idx="314">
                  <c:v>29.259934733078655</c:v>
                </c:pt>
                <c:pt idx="315">
                  <c:v>28.978907445206193</c:v>
                </c:pt>
                <c:pt idx="316">
                  <c:v>28.701282436855411</c:v>
                </c:pt>
                <c:pt idx="317">
                  <c:v>28.425683443526392</c:v>
                </c:pt>
                <c:pt idx="318">
                  <c:v>28.152645259951804</c:v>
                </c:pt>
                <c:pt idx="319">
                  <c:v>27.882680778800609</c:v>
                </c:pt>
                <c:pt idx="320">
                  <c:v>27.616302973518231</c:v>
                </c:pt>
                <c:pt idx="321">
                  <c:v>27.354024916438597</c:v>
                </c:pt>
                <c:pt idx="322">
                  <c:v>27.09635977887261</c:v>
                </c:pt>
                <c:pt idx="323">
                  <c:v>26.843791154692369</c:v>
                </c:pt>
                <c:pt idx="324">
                  <c:v>26.596839911405151</c:v>
                </c:pt>
                <c:pt idx="325">
                  <c:v>26.356020124719596</c:v>
                </c:pt>
                <c:pt idx="326">
                  <c:v>26.121846248387818</c:v>
                </c:pt>
                <c:pt idx="327">
                  <c:v>25.894832615577791</c:v>
                </c:pt>
                <c:pt idx="328">
                  <c:v>25.675493388111462</c:v>
                </c:pt>
                <c:pt idx="329">
                  <c:v>25.464342802867169</c:v>
                </c:pt>
                <c:pt idx="330">
                  <c:v>25.259261046879828</c:v>
                </c:pt>
                <c:pt idx="331">
                  <c:v>25.05811415123538</c:v>
                </c:pt>
                <c:pt idx="332">
                  <c:v>24.86145881005357</c:v>
                </c:pt>
                <c:pt idx="333">
                  <c:v>24.669916509413646</c:v>
                </c:pt>
                <c:pt idx="334">
                  <c:v>24.484108503531804</c:v>
                </c:pt>
                <c:pt idx="335">
                  <c:v>24.304655808534832</c:v>
                </c:pt>
                <c:pt idx="336">
                  <c:v>24.132179194578534</c:v>
                </c:pt>
                <c:pt idx="337">
                  <c:v>23.967328859599295</c:v>
                </c:pt>
                <c:pt idx="338">
                  <c:v>23.810751218291177</c:v>
                </c:pt>
                <c:pt idx="339">
                  <c:v>23.663065402804019</c:v>
                </c:pt>
                <c:pt idx="340">
                  <c:v>23.524890387907774</c:v>
                </c:pt>
                <c:pt idx="341">
                  <c:v>23.396844970487351</c:v>
                </c:pt>
                <c:pt idx="342">
                  <c:v>23.279547761445482</c:v>
                </c:pt>
                <c:pt idx="343">
                  <c:v>23.173617194896856</c:v>
                </c:pt>
                <c:pt idx="344">
                  <c:v>23.077060558775354</c:v>
                </c:pt>
                <c:pt idx="345">
                  <c:v>22.98779968967893</c:v>
                </c:pt>
                <c:pt idx="346">
                  <c:v>22.906466328142105</c:v>
                </c:pt>
                <c:pt idx="347">
                  <c:v>22.833548978657227</c:v>
                </c:pt>
                <c:pt idx="348">
                  <c:v>22.769536198444026</c:v>
                </c:pt>
                <c:pt idx="349">
                  <c:v>22.714916582248311</c:v>
                </c:pt>
                <c:pt idx="350">
                  <c:v>22.670178725519985</c:v>
                </c:pt>
                <c:pt idx="351">
                  <c:v>22.635874776768492</c:v>
                </c:pt>
                <c:pt idx="352">
                  <c:v>22.612464815225348</c:v>
                </c:pt>
                <c:pt idx="353">
                  <c:v>22.600437207898118</c:v>
                </c:pt>
                <c:pt idx="354">
                  <c:v>22.600280301911681</c:v>
                </c:pt>
                <c:pt idx="355">
                  <c:v>22.61248241232504</c:v>
                </c:pt>
                <c:pt idx="356">
                  <c:v>22.637532247691158</c:v>
                </c:pt>
                <c:pt idx="357">
                  <c:v>22.675917610804923</c:v>
                </c:pt>
                <c:pt idx="358">
                  <c:v>22.728029380550307</c:v>
                </c:pt>
                <c:pt idx="359">
                  <c:v>22.793609544001246</c:v>
                </c:pt>
                <c:pt idx="360">
                  <c:v>22.872201053389478</c:v>
                </c:pt>
                <c:pt idx="361">
                  <c:v>22.963256430127213</c:v>
                </c:pt>
                <c:pt idx="362">
                  <c:v>23.066291136892399</c:v>
                </c:pt>
                <c:pt idx="363">
                  <c:v>23.180820704592687</c:v>
                </c:pt>
                <c:pt idx="364">
                  <c:v>23.306360743555675</c:v>
                </c:pt>
                <c:pt idx="365">
                  <c:v>23.442426924703394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14.833</c:v>
                </c:pt>
                <c:pt idx="1">
                  <c:v>23.25</c:v>
                </c:pt>
                <c:pt idx="2">
                  <c:v>8.0660000000000007</c:v>
                </c:pt>
                <c:pt idx="3">
                  <c:v>6.2590000000000003</c:v>
                </c:pt>
                <c:pt idx="4">
                  <c:v>13.637</c:v>
                </c:pt>
                <c:pt idx="5">
                  <c:v>25.068999999999999</c:v>
                </c:pt>
                <c:pt idx="6">
                  <c:v>7.0620000000000003</c:v>
                </c:pt>
                <c:pt idx="7">
                  <c:v>12.936</c:v>
                </c:pt>
                <c:pt idx="8">
                  <c:v>24.748000000000001</c:v>
                </c:pt>
                <c:pt idx="9">
                  <c:v>8.7219999999999995</c:v>
                </c:pt>
                <c:pt idx="10">
                  <c:v>26.308</c:v>
                </c:pt>
                <c:pt idx="11">
                  <c:v>26.402000000000001</c:v>
                </c:pt>
                <c:pt idx="12">
                  <c:v>15.603</c:v>
                </c:pt>
                <c:pt idx="13">
                  <c:v>26.172999999999998</c:v>
                </c:pt>
                <c:pt idx="14">
                  <c:v>22.597999999999999</c:v>
                </c:pt>
                <c:pt idx="15">
                  <c:v>23.838999999999999</c:v>
                </c:pt>
                <c:pt idx="16">
                  <c:v>4.5709999999999997</c:v>
                </c:pt>
                <c:pt idx="17">
                  <c:v>18.234999999999999</c:v>
                </c:pt>
                <c:pt idx="18">
                  <c:v>27.359000000000002</c:v>
                </c:pt>
                <c:pt idx="19">
                  <c:v>11.826000000000001</c:v>
                </c:pt>
                <c:pt idx="20">
                  <c:v>3.4740000000000002</c:v>
                </c:pt>
                <c:pt idx="21">
                  <c:v>1.153</c:v>
                </c:pt>
                <c:pt idx="22">
                  <c:v>13.63</c:v>
                </c:pt>
                <c:pt idx="23">
                  <c:v>16.231000000000002</c:v>
                </c:pt>
                <c:pt idx="24">
                  <c:v>16.327999999999999</c:v>
                </c:pt>
                <c:pt idx="25">
                  <c:v>6.7439999999999998</c:v>
                </c:pt>
                <c:pt idx="26">
                  <c:v>11.04</c:v>
                </c:pt>
                <c:pt idx="27">
                  <c:v>17.626000000000001</c:v>
                </c:pt>
                <c:pt idx="28">
                  <c:v>19.056000000000001</c:v>
                </c:pt>
                <c:pt idx="29">
                  <c:v>11.372999999999999</c:v>
                </c:pt>
                <c:pt idx="30">
                  <c:v>22.277999999999999</c:v>
                </c:pt>
                <c:pt idx="31">
                  <c:v>11.956</c:v>
                </c:pt>
                <c:pt idx="32">
                  <c:v>28.681999999999999</c:v>
                </c:pt>
                <c:pt idx="33">
                  <c:v>26.571000000000002</c:v>
                </c:pt>
                <c:pt idx="34">
                  <c:v>18.635000000000002</c:v>
                </c:pt>
                <c:pt idx="35">
                  <c:v>34.356999999999999</c:v>
                </c:pt>
                <c:pt idx="36">
                  <c:v>35.697000000000003</c:v>
                </c:pt>
                <c:pt idx="37">
                  <c:v>23.544</c:v>
                </c:pt>
                <c:pt idx="38">
                  <c:v>28.515000000000001</c:v>
                </c:pt>
                <c:pt idx="39">
                  <c:v>29.129000000000001</c:v>
                </c:pt>
                <c:pt idx="40">
                  <c:v>9.157</c:v>
                </c:pt>
                <c:pt idx="41">
                  <c:v>8.4220000000000006</c:v>
                </c:pt>
                <c:pt idx="42">
                  <c:v>20.038</c:v>
                </c:pt>
                <c:pt idx="43">
                  <c:v>16.951000000000001</c:v>
                </c:pt>
                <c:pt idx="44">
                  <c:v>30.757999999999999</c:v>
                </c:pt>
                <c:pt idx="45">
                  <c:v>36.521000000000001</c:v>
                </c:pt>
                <c:pt idx="46">
                  <c:v>21.6</c:v>
                </c:pt>
                <c:pt idx="47">
                  <c:v>5.7690000000000001</c:v>
                </c:pt>
                <c:pt idx="48">
                  <c:v>28.812999999999999</c:v>
                </c:pt>
                <c:pt idx="49">
                  <c:v>26.882000000000001</c:v>
                </c:pt>
                <c:pt idx="50">
                  <c:v>39.883000000000003</c:v>
                </c:pt>
                <c:pt idx="51">
                  <c:v>13.829000000000001</c:v>
                </c:pt>
                <c:pt idx="52">
                  <c:v>38.417000000000002</c:v>
                </c:pt>
                <c:pt idx="53">
                  <c:v>39.973999999999997</c:v>
                </c:pt>
                <c:pt idx="54">
                  <c:v>39.926000000000002</c:v>
                </c:pt>
                <c:pt idx="55">
                  <c:v>16.076000000000001</c:v>
                </c:pt>
                <c:pt idx="56">
                  <c:v>19.751000000000001</c:v>
                </c:pt>
                <c:pt idx="57">
                  <c:v>8.0790000000000006</c:v>
                </c:pt>
                <c:pt idx="58">
                  <c:v>18.189</c:v>
                </c:pt>
                <c:pt idx="59">
                  <c:v>15.598000000000001</c:v>
                </c:pt>
                <c:pt idx="60">
                  <c:v>29.762</c:v>
                </c:pt>
                <c:pt idx="61">
                  <c:v>23.271000000000001</c:v>
                </c:pt>
                <c:pt idx="62">
                  <c:v>5.3719999999999999</c:v>
                </c:pt>
                <c:pt idx="63">
                  <c:v>8.7349999999999994</c:v>
                </c:pt>
                <c:pt idx="64">
                  <c:v>11</c:v>
                </c:pt>
                <c:pt idx="65">
                  <c:v>21.175000000000001</c:v>
                </c:pt>
                <c:pt idx="66">
                  <c:v>27.581</c:v>
                </c:pt>
                <c:pt idx="67">
                  <c:v>32.066000000000003</c:v>
                </c:pt>
                <c:pt idx="68">
                  <c:v>26.501000000000001</c:v>
                </c:pt>
                <c:pt idx="69">
                  <c:v>32.311999999999998</c:v>
                </c:pt>
                <c:pt idx="70">
                  <c:v>41.677999999999997</c:v>
                </c:pt>
                <c:pt idx="71">
                  <c:v>16.687000000000001</c:v>
                </c:pt>
                <c:pt idx="72">
                  <c:v>40.29</c:v>
                </c:pt>
                <c:pt idx="73">
                  <c:v>32.552999999999997</c:v>
                </c:pt>
                <c:pt idx="74">
                  <c:v>48.665999999999997</c:v>
                </c:pt>
                <c:pt idx="75">
                  <c:v>9.4250000000000007</c:v>
                </c:pt>
                <c:pt idx="76">
                  <c:v>13.103</c:v>
                </c:pt>
                <c:pt idx="77">
                  <c:v>44.927</c:v>
                </c:pt>
                <c:pt idx="78">
                  <c:v>46.67</c:v>
                </c:pt>
                <c:pt idx="79">
                  <c:v>50.042000000000002</c:v>
                </c:pt>
                <c:pt idx="80">
                  <c:v>48.831000000000003</c:v>
                </c:pt>
                <c:pt idx="81">
                  <c:v>45.335999999999999</c:v>
                </c:pt>
                <c:pt idx="82">
                  <c:v>35.000999999999998</c:v>
                </c:pt>
                <c:pt idx="83">
                  <c:v>42.533000000000001</c:v>
                </c:pt>
                <c:pt idx="84">
                  <c:v>52.134999999999998</c:v>
                </c:pt>
                <c:pt idx="85">
                  <c:v>26.934000000000001</c:v>
                </c:pt>
                <c:pt idx="86">
                  <c:v>49.070999999999998</c:v>
                </c:pt>
                <c:pt idx="87">
                  <c:v>49.945999999999998</c:v>
                </c:pt>
                <c:pt idx="88">
                  <c:v>29.283999999999999</c:v>
                </c:pt>
                <c:pt idx="89">
                  <c:v>18.707000000000001</c:v>
                </c:pt>
                <c:pt idx="90">
                  <c:v>45.128</c:v>
                </c:pt>
                <c:pt idx="91">
                  <c:v>42.337000000000003</c:v>
                </c:pt>
                <c:pt idx="92">
                  <c:v>27.228000000000002</c:v>
                </c:pt>
                <c:pt idx="93">
                  <c:v>55.165999999999997</c:v>
                </c:pt>
                <c:pt idx="94">
                  <c:v>56.668999999999997</c:v>
                </c:pt>
                <c:pt idx="95">
                  <c:v>57.189</c:v>
                </c:pt>
                <c:pt idx="96">
                  <c:v>32.110999999999997</c:v>
                </c:pt>
                <c:pt idx="97">
                  <c:v>35.213000000000001</c:v>
                </c:pt>
                <c:pt idx="98">
                  <c:v>43.156999999999996</c:v>
                </c:pt>
                <c:pt idx="99">
                  <c:v>55.725999999999999</c:v>
                </c:pt>
                <c:pt idx="100">
                  <c:v>56.899000000000001</c:v>
                </c:pt>
                <c:pt idx="101">
                  <c:v>55.701000000000001</c:v>
                </c:pt>
                <c:pt idx="102">
                  <c:v>44.466999999999999</c:v>
                </c:pt>
                <c:pt idx="103">
                  <c:v>17.306999999999999</c:v>
                </c:pt>
                <c:pt idx="104">
                  <c:v>54.606000000000002</c:v>
                </c:pt>
                <c:pt idx="105">
                  <c:v>49.283999999999999</c:v>
                </c:pt>
                <c:pt idx="106">
                  <c:v>44.558</c:v>
                </c:pt>
                <c:pt idx="107">
                  <c:v>34.134</c:v>
                </c:pt>
                <c:pt idx="108">
                  <c:v>43.994999999999997</c:v>
                </c:pt>
                <c:pt idx="109">
                  <c:v>18.492999999999999</c:v>
                </c:pt>
                <c:pt idx="110">
                  <c:v>14.622999999999999</c:v>
                </c:pt>
                <c:pt idx="111">
                  <c:v>15.308999999999999</c:v>
                </c:pt>
                <c:pt idx="112">
                  <c:v>9.6440000000000001</c:v>
                </c:pt>
                <c:pt idx="113">
                  <c:v>16.388999999999999</c:v>
                </c:pt>
                <c:pt idx="114">
                  <c:v>54.923000000000002</c:v>
                </c:pt>
                <c:pt idx="115">
                  <c:v>46.838999999999999</c:v>
                </c:pt>
                <c:pt idx="116">
                  <c:v>25.306999999999999</c:v>
                </c:pt>
                <c:pt idx="117">
                  <c:v>21.885000000000002</c:v>
                </c:pt>
                <c:pt idx="118">
                  <c:v>29.417999999999999</c:v>
                </c:pt>
                <c:pt idx="119">
                  <c:v>52.289000000000001</c:v>
                </c:pt>
                <c:pt idx="120">
                  <c:v>44.42</c:v>
                </c:pt>
                <c:pt idx="121">
                  <c:v>20.826000000000001</c:v>
                </c:pt>
                <c:pt idx="122">
                  <c:v>35.152999999999999</c:v>
                </c:pt>
                <c:pt idx="123">
                  <c:v>51.606000000000002</c:v>
                </c:pt>
                <c:pt idx="124">
                  <c:v>57.305999999999997</c:v>
                </c:pt>
                <c:pt idx="125">
                  <c:v>51.91</c:v>
                </c:pt>
                <c:pt idx="126">
                  <c:v>57.701000000000001</c:v>
                </c:pt>
                <c:pt idx="127">
                  <c:v>51.043999999999997</c:v>
                </c:pt>
                <c:pt idx="128">
                  <c:v>52.079000000000001</c:v>
                </c:pt>
                <c:pt idx="129">
                  <c:v>49.540999999999997</c:v>
                </c:pt>
                <c:pt idx="130">
                  <c:v>11.788</c:v>
                </c:pt>
                <c:pt idx="131">
                  <c:v>8.2669999999999995</c:v>
                </c:pt>
                <c:pt idx="132">
                  <c:v>20.25</c:v>
                </c:pt>
                <c:pt idx="133">
                  <c:v>30.809000000000001</c:v>
                </c:pt>
                <c:pt idx="134">
                  <c:v>19.992000000000001</c:v>
                </c:pt>
                <c:pt idx="135">
                  <c:v>16.515000000000001</c:v>
                </c:pt>
                <c:pt idx="136">
                  <c:v>36.479999999999997</c:v>
                </c:pt>
                <c:pt idx="137">
                  <c:v>62.137999999999998</c:v>
                </c:pt>
                <c:pt idx="138">
                  <c:v>60.875999999999998</c:v>
                </c:pt>
                <c:pt idx="139">
                  <c:v>59.414999999999999</c:v>
                </c:pt>
                <c:pt idx="140">
                  <c:v>58.817999999999998</c:v>
                </c:pt>
                <c:pt idx="141">
                  <c:v>54.374000000000002</c:v>
                </c:pt>
                <c:pt idx="142">
                  <c:v>55.264000000000003</c:v>
                </c:pt>
                <c:pt idx="143">
                  <c:v>17.702000000000002</c:v>
                </c:pt>
                <c:pt idx="144">
                  <c:v>57.05</c:v>
                </c:pt>
                <c:pt idx="145">
                  <c:v>59.686</c:v>
                </c:pt>
                <c:pt idx="146">
                  <c:v>59.369</c:v>
                </c:pt>
                <c:pt idx="147">
                  <c:v>58.537999999999997</c:v>
                </c:pt>
                <c:pt idx="148">
                  <c:v>58.517000000000003</c:v>
                </c:pt>
                <c:pt idx="149">
                  <c:v>56.478999999999999</c:v>
                </c:pt>
                <c:pt idx="150">
                  <c:v>59.707000000000001</c:v>
                </c:pt>
                <c:pt idx="151">
                  <c:v>59.276000000000003</c:v>
                </c:pt>
                <c:pt idx="152">
                  <c:v>30.527000000000001</c:v>
                </c:pt>
                <c:pt idx="153">
                  <c:v>45.482999999999997</c:v>
                </c:pt>
                <c:pt idx="154">
                  <c:v>27.007000000000001</c:v>
                </c:pt>
                <c:pt idx="155">
                  <c:v>35.353999999999999</c:v>
                </c:pt>
                <c:pt idx="156">
                  <c:v>22.687999999999999</c:v>
                </c:pt>
                <c:pt idx="157">
                  <c:v>26.338999999999999</c:v>
                </c:pt>
                <c:pt idx="158">
                  <c:v>40.082999999999998</c:v>
                </c:pt>
                <c:pt idx="159">
                  <c:v>42.82</c:v>
                </c:pt>
                <c:pt idx="160">
                  <c:v>24.13</c:v>
                </c:pt>
                <c:pt idx="161">
                  <c:v>41.365000000000002</c:v>
                </c:pt>
                <c:pt idx="162">
                  <c:v>27.196999999999999</c:v>
                </c:pt>
                <c:pt idx="163">
                  <c:v>55.634</c:v>
                </c:pt>
                <c:pt idx="164">
                  <c:v>41.292000000000002</c:v>
                </c:pt>
                <c:pt idx="165">
                  <c:v>47.137999999999998</c:v>
                </c:pt>
                <c:pt idx="166">
                  <c:v>43.448999999999998</c:v>
                </c:pt>
                <c:pt idx="167">
                  <c:v>30.068999999999999</c:v>
                </c:pt>
                <c:pt idx="168">
                  <c:v>52.363999999999997</c:v>
                </c:pt>
                <c:pt idx="169">
                  <c:v>44.738999999999997</c:v>
                </c:pt>
                <c:pt idx="170">
                  <c:v>54.198</c:v>
                </c:pt>
                <c:pt idx="171">
                  <c:v>49.634</c:v>
                </c:pt>
                <c:pt idx="172">
                  <c:v>60.545000000000002</c:v>
                </c:pt>
                <c:pt idx="173">
                  <c:v>48.999000000000002</c:v>
                </c:pt>
                <c:pt idx="174">
                  <c:v>59.359000000000002</c:v>
                </c:pt>
                <c:pt idx="175">
                  <c:v>55.472999999999999</c:v>
                </c:pt>
                <c:pt idx="176">
                  <c:v>50.716999999999999</c:v>
                </c:pt>
                <c:pt idx="177">
                  <c:v>47.253</c:v>
                </c:pt>
                <c:pt idx="178">
                  <c:v>42.372</c:v>
                </c:pt>
                <c:pt idx="179">
                  <c:v>47.529000000000003</c:v>
                </c:pt>
                <c:pt idx="180">
                  <c:v>25.844000000000001</c:v>
                </c:pt>
                <c:pt idx="181">
                  <c:v>57.911999999999999</c:v>
                </c:pt>
                <c:pt idx="182">
                  <c:v>42.107999999999997</c:v>
                </c:pt>
                <c:pt idx="183">
                  <c:v>19.082999999999998</c:v>
                </c:pt>
                <c:pt idx="184">
                  <c:v>44.774000000000001</c:v>
                </c:pt>
                <c:pt idx="185">
                  <c:v>58.3</c:v>
                </c:pt>
                <c:pt idx="186">
                  <c:v>57.863999999999997</c:v>
                </c:pt>
                <c:pt idx="187">
                  <c:v>40.103999999999999</c:v>
                </c:pt>
                <c:pt idx="188">
                  <c:v>59.982999999999997</c:v>
                </c:pt>
                <c:pt idx="189">
                  <c:v>58.048000000000002</c:v>
                </c:pt>
                <c:pt idx="190">
                  <c:v>54.444000000000003</c:v>
                </c:pt>
                <c:pt idx="191">
                  <c:v>46.033999999999999</c:v>
                </c:pt>
                <c:pt idx="192">
                  <c:v>47.225999999999999</c:v>
                </c:pt>
                <c:pt idx="193">
                  <c:v>38.625999999999998</c:v>
                </c:pt>
                <c:pt idx="194">
                  <c:v>57.844999999999999</c:v>
                </c:pt>
                <c:pt idx="195">
                  <c:v>47.076999999999998</c:v>
                </c:pt>
                <c:pt idx="196">
                  <c:v>19.605</c:v>
                </c:pt>
                <c:pt idx="197">
                  <c:v>23.753</c:v>
                </c:pt>
                <c:pt idx="198">
                  <c:v>27.015999999999998</c:v>
                </c:pt>
                <c:pt idx="199">
                  <c:v>57.856000000000002</c:v>
                </c:pt>
                <c:pt idx="200">
                  <c:v>56.694000000000003</c:v>
                </c:pt>
                <c:pt idx="201">
                  <c:v>49.101999999999997</c:v>
                </c:pt>
                <c:pt idx="202">
                  <c:v>52.485999999999997</c:v>
                </c:pt>
                <c:pt idx="203">
                  <c:v>51.682000000000002</c:v>
                </c:pt>
                <c:pt idx="204">
                  <c:v>47.62</c:v>
                </c:pt>
                <c:pt idx="205">
                  <c:v>56.234000000000002</c:v>
                </c:pt>
                <c:pt idx="206">
                  <c:v>55.341999999999999</c:v>
                </c:pt>
                <c:pt idx="207">
                  <c:v>45.497999999999998</c:v>
                </c:pt>
                <c:pt idx="208">
                  <c:v>53.284999999999997</c:v>
                </c:pt>
                <c:pt idx="209">
                  <c:v>34.636000000000003</c:v>
                </c:pt>
                <c:pt idx="210">
                  <c:v>49.616999999999997</c:v>
                </c:pt>
                <c:pt idx="211">
                  <c:v>53.23</c:v>
                </c:pt>
                <c:pt idx="212">
                  <c:v>51.5</c:v>
                </c:pt>
                <c:pt idx="213">
                  <c:v>45.91</c:v>
                </c:pt>
                <c:pt idx="214">
                  <c:v>34.630000000000003</c:v>
                </c:pt>
                <c:pt idx="215">
                  <c:v>47.789000000000001</c:v>
                </c:pt>
                <c:pt idx="216">
                  <c:v>54.463000000000001</c:v>
                </c:pt>
                <c:pt idx="217">
                  <c:v>55.325000000000003</c:v>
                </c:pt>
                <c:pt idx="218">
                  <c:v>53.555999999999997</c:v>
                </c:pt>
                <c:pt idx="219">
                  <c:v>51.975999999999999</c:v>
                </c:pt>
                <c:pt idx="220">
                  <c:v>50.381999999999998</c:v>
                </c:pt>
                <c:pt idx="221">
                  <c:v>40.457999999999998</c:v>
                </c:pt>
                <c:pt idx="222">
                  <c:v>36.767000000000003</c:v>
                </c:pt>
                <c:pt idx="223">
                  <c:v>42.232999999999997</c:v>
                </c:pt>
                <c:pt idx="224">
                  <c:v>28.698</c:v>
                </c:pt>
                <c:pt idx="225">
                  <c:v>16.992999999999999</c:v>
                </c:pt>
                <c:pt idx="226">
                  <c:v>47.960999999999999</c:v>
                </c:pt>
                <c:pt idx="227">
                  <c:v>46.070999999999998</c:v>
                </c:pt>
                <c:pt idx="228">
                  <c:v>18.710999999999999</c:v>
                </c:pt>
                <c:pt idx="229">
                  <c:v>42.470999999999997</c:v>
                </c:pt>
                <c:pt idx="230">
                  <c:v>41.753999999999998</c:v>
                </c:pt>
                <c:pt idx="231">
                  <c:v>51.228999999999999</c:v>
                </c:pt>
                <c:pt idx="232">
                  <c:v>51.607999999999997</c:v>
                </c:pt>
                <c:pt idx="233">
                  <c:v>46.465000000000003</c:v>
                </c:pt>
                <c:pt idx="234">
                  <c:v>37.284999999999997</c:v>
                </c:pt>
                <c:pt idx="235">
                  <c:v>42.247999999999998</c:v>
                </c:pt>
                <c:pt idx="236">
                  <c:v>47.832000000000001</c:v>
                </c:pt>
                <c:pt idx="237">
                  <c:v>50.917000000000002</c:v>
                </c:pt>
                <c:pt idx="238">
                  <c:v>27.321999999999999</c:v>
                </c:pt>
                <c:pt idx="239">
                  <c:v>48.662999999999997</c:v>
                </c:pt>
                <c:pt idx="240">
                  <c:v>9.5429999999999993</c:v>
                </c:pt>
                <c:pt idx="241">
                  <c:v>22.712</c:v>
                </c:pt>
                <c:pt idx="242">
                  <c:v>32.860999999999997</c:v>
                </c:pt>
                <c:pt idx="243">
                  <c:v>45.25</c:v>
                </c:pt>
                <c:pt idx="244">
                  <c:v>46.79</c:v>
                </c:pt>
                <c:pt idx="245">
                  <c:v>52.018000000000001</c:v>
                </c:pt>
                <c:pt idx="246">
                  <c:v>50.156999999999996</c:v>
                </c:pt>
                <c:pt idx="247">
                  <c:v>50.482999999999997</c:v>
                </c:pt>
                <c:pt idx="248">
                  <c:v>45.305</c:v>
                </c:pt>
                <c:pt idx="249">
                  <c:v>28.015000000000001</c:v>
                </c:pt>
                <c:pt idx="250">
                  <c:v>45.552999999999997</c:v>
                </c:pt>
                <c:pt idx="251">
                  <c:v>47.585000000000001</c:v>
                </c:pt>
                <c:pt idx="252">
                  <c:v>24.550999999999998</c:v>
                </c:pt>
                <c:pt idx="253">
                  <c:v>43.604999999999997</c:v>
                </c:pt>
                <c:pt idx="254">
                  <c:v>43.33</c:v>
                </c:pt>
                <c:pt idx="255">
                  <c:v>46.220999999999997</c:v>
                </c:pt>
                <c:pt idx="256">
                  <c:v>45.725000000000001</c:v>
                </c:pt>
                <c:pt idx="257">
                  <c:v>46.771999999999998</c:v>
                </c:pt>
                <c:pt idx="258">
                  <c:v>40.478999999999999</c:v>
                </c:pt>
                <c:pt idx="259">
                  <c:v>41.162999999999997</c:v>
                </c:pt>
                <c:pt idx="260">
                  <c:v>41.536000000000001</c:v>
                </c:pt>
                <c:pt idx="261">
                  <c:v>19.276</c:v>
                </c:pt>
                <c:pt idx="262">
                  <c:v>32.499000000000002</c:v>
                </c:pt>
                <c:pt idx="263">
                  <c:v>31.495999999999999</c:v>
                </c:pt>
                <c:pt idx="264">
                  <c:v>27.753</c:v>
                </c:pt>
                <c:pt idx="265">
                  <c:v>25.324999999999999</c:v>
                </c:pt>
                <c:pt idx="266">
                  <c:v>37.786000000000001</c:v>
                </c:pt>
                <c:pt idx="267">
                  <c:v>20.876000000000001</c:v>
                </c:pt>
                <c:pt idx="268">
                  <c:v>20.646000000000001</c:v>
                </c:pt>
                <c:pt idx="269">
                  <c:v>14.234999999999999</c:v>
                </c:pt>
                <c:pt idx="270">
                  <c:v>12.301</c:v>
                </c:pt>
                <c:pt idx="271">
                  <c:v>30.709</c:v>
                </c:pt>
                <c:pt idx="272">
                  <c:v>34.106999999999999</c:v>
                </c:pt>
                <c:pt idx="273">
                  <c:v>41.97</c:v>
                </c:pt>
                <c:pt idx="274">
                  <c:v>7.9740000000000002</c:v>
                </c:pt>
                <c:pt idx="275">
                  <c:v>5.9889999999999999</c:v>
                </c:pt>
                <c:pt idx="276">
                  <c:v>16.891999999999999</c:v>
                </c:pt>
                <c:pt idx="277">
                  <c:v>21.129000000000001</c:v>
                </c:pt>
                <c:pt idx="278">
                  <c:v>28.23</c:v>
                </c:pt>
                <c:pt idx="279">
                  <c:v>6.4269999999999996</c:v>
                </c:pt>
                <c:pt idx="280">
                  <c:v>29.568999999999999</c:v>
                </c:pt>
                <c:pt idx="281">
                  <c:v>35.393999999999998</c:v>
                </c:pt>
                <c:pt idx="282">
                  <c:v>24.646999999999998</c:v>
                </c:pt>
                <c:pt idx="283">
                  <c:v>22.869</c:v>
                </c:pt>
                <c:pt idx="284">
                  <c:v>15.739000000000001</c:v>
                </c:pt>
                <c:pt idx="285">
                  <c:v>24.847000000000001</c:v>
                </c:pt>
                <c:pt idx="286">
                  <c:v>22.4</c:v>
                </c:pt>
                <c:pt idx="287">
                  <c:v>13.771000000000001</c:v>
                </c:pt>
                <c:pt idx="288">
                  <c:v>19.210999999999999</c:v>
                </c:pt>
                <c:pt idx="289">
                  <c:v>9.5749999999999993</c:v>
                </c:pt>
                <c:pt idx="290">
                  <c:v>36.518999999999998</c:v>
                </c:pt>
                <c:pt idx="291">
                  <c:v>36.308999999999997</c:v>
                </c:pt>
                <c:pt idx="292">
                  <c:v>29.86</c:v>
                </c:pt>
                <c:pt idx="293">
                  <c:v>5.6079999999999997</c:v>
                </c:pt>
                <c:pt idx="294">
                  <c:v>24.57</c:v>
                </c:pt>
                <c:pt idx="295">
                  <c:v>4.9950000000000001</c:v>
                </c:pt>
                <c:pt idx="296">
                  <c:v>9.5969999999999995</c:v>
                </c:pt>
                <c:pt idx="297">
                  <c:v>30.431999999999999</c:v>
                </c:pt>
                <c:pt idx="298">
                  <c:v>22.297999999999998</c:v>
                </c:pt>
                <c:pt idx="299">
                  <c:v>23.433</c:v>
                </c:pt>
                <c:pt idx="300">
                  <c:v>24.466000000000001</c:v>
                </c:pt>
                <c:pt idx="301">
                  <c:v>13.099</c:v>
                </c:pt>
                <c:pt idx="302">
                  <c:v>26.818000000000001</c:v>
                </c:pt>
                <c:pt idx="303">
                  <c:v>32.104999999999997</c:v>
                </c:pt>
                <c:pt idx="304">
                  <c:v>30.908000000000001</c:v>
                </c:pt>
                <c:pt idx="305">
                  <c:v>27.364000000000001</c:v>
                </c:pt>
                <c:pt idx="306">
                  <c:v>27.866</c:v>
                </c:pt>
                <c:pt idx="307">
                  <c:v>5.1719999999999997</c:v>
                </c:pt>
                <c:pt idx="308">
                  <c:v>15.654999999999999</c:v>
                </c:pt>
                <c:pt idx="309">
                  <c:v>23.021999999999998</c:v>
                </c:pt>
                <c:pt idx="310">
                  <c:v>16.626000000000001</c:v>
                </c:pt>
                <c:pt idx="311">
                  <c:v>5.3550000000000004</c:v>
                </c:pt>
                <c:pt idx="312">
                  <c:v>22.867999999999999</c:v>
                </c:pt>
                <c:pt idx="313">
                  <c:v>14.817</c:v>
                </c:pt>
                <c:pt idx="314">
                  <c:v>10.241</c:v>
                </c:pt>
                <c:pt idx="315">
                  <c:v>24.347000000000001</c:v>
                </c:pt>
                <c:pt idx="316">
                  <c:v>27.334</c:v>
                </c:pt>
                <c:pt idx="317">
                  <c:v>18.699000000000002</c:v>
                </c:pt>
                <c:pt idx="318">
                  <c:v>25.303000000000001</c:v>
                </c:pt>
                <c:pt idx="319">
                  <c:v>19.539000000000001</c:v>
                </c:pt>
                <c:pt idx="320">
                  <c:v>21.817</c:v>
                </c:pt>
                <c:pt idx="321">
                  <c:v>25.614000000000001</c:v>
                </c:pt>
                <c:pt idx="322">
                  <c:v>26.841999999999999</c:v>
                </c:pt>
                <c:pt idx="323">
                  <c:v>8.8290000000000006</c:v>
                </c:pt>
                <c:pt idx="324">
                  <c:v>19.265999999999998</c:v>
                </c:pt>
                <c:pt idx="325">
                  <c:v>27.439</c:v>
                </c:pt>
                <c:pt idx="326">
                  <c:v>27.347000000000001</c:v>
                </c:pt>
                <c:pt idx="327">
                  <c:v>25.472999999999999</c:v>
                </c:pt>
                <c:pt idx="328">
                  <c:v>24.155999999999999</c:v>
                </c:pt>
                <c:pt idx="329">
                  <c:v>25.283999999999999</c:v>
                </c:pt>
                <c:pt idx="330">
                  <c:v>21.893999999999998</c:v>
                </c:pt>
                <c:pt idx="331">
                  <c:v>15.404999999999999</c:v>
                </c:pt>
                <c:pt idx="332">
                  <c:v>8.6669999999999998</c:v>
                </c:pt>
                <c:pt idx="333">
                  <c:v>23.771999999999998</c:v>
                </c:pt>
                <c:pt idx="334">
                  <c:v>24.553000000000001</c:v>
                </c:pt>
                <c:pt idx="335">
                  <c:v>4.5819999999999999</c:v>
                </c:pt>
                <c:pt idx="336">
                  <c:v>1.2110000000000001</c:v>
                </c:pt>
                <c:pt idx="337">
                  <c:v>12.276999999999999</c:v>
                </c:pt>
                <c:pt idx="338">
                  <c:v>8.5</c:v>
                </c:pt>
                <c:pt idx="339">
                  <c:v>17.736000000000001</c:v>
                </c:pt>
                <c:pt idx="340">
                  <c:v>12.382999999999999</c:v>
                </c:pt>
                <c:pt idx="341">
                  <c:v>2.6560000000000001</c:v>
                </c:pt>
                <c:pt idx="342">
                  <c:v>8.7539999999999996</c:v>
                </c:pt>
                <c:pt idx="343">
                  <c:v>8.3620000000000001</c:v>
                </c:pt>
                <c:pt idx="344">
                  <c:v>4.5670000000000002</c:v>
                </c:pt>
                <c:pt idx="345">
                  <c:v>6.77</c:v>
                </c:pt>
                <c:pt idx="346">
                  <c:v>10.417999999999999</c:v>
                </c:pt>
                <c:pt idx="347">
                  <c:v>10.044</c:v>
                </c:pt>
                <c:pt idx="348">
                  <c:v>3.6589999999999998</c:v>
                </c:pt>
                <c:pt idx="349">
                  <c:v>2.3919999999999999</c:v>
                </c:pt>
                <c:pt idx="350">
                  <c:v>17.013000000000002</c:v>
                </c:pt>
                <c:pt idx="351">
                  <c:v>8.8520000000000003</c:v>
                </c:pt>
                <c:pt idx="352">
                  <c:v>11.278</c:v>
                </c:pt>
                <c:pt idx="353">
                  <c:v>8.7479999999999993</c:v>
                </c:pt>
                <c:pt idx="354">
                  <c:v>6.4050000000000002</c:v>
                </c:pt>
                <c:pt idx="355">
                  <c:v>8.0020000000000007</c:v>
                </c:pt>
                <c:pt idx="356">
                  <c:v>19.337</c:v>
                </c:pt>
                <c:pt idx="357">
                  <c:v>9.5180000000000007</c:v>
                </c:pt>
                <c:pt idx="358">
                  <c:v>10.885999999999999</c:v>
                </c:pt>
                <c:pt idx="359">
                  <c:v>4.008</c:v>
                </c:pt>
                <c:pt idx="360">
                  <c:v>14.475</c:v>
                </c:pt>
                <c:pt idx="361">
                  <c:v>6.1319999999999997</c:v>
                </c:pt>
                <c:pt idx="362">
                  <c:v>0</c:v>
                </c:pt>
                <c:pt idx="363">
                  <c:v>7.5250000000000004</c:v>
                </c:pt>
                <c:pt idx="364">
                  <c:v>12.071</c:v>
                </c:pt>
                <c:pt idx="365">
                  <c:v>13.802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654896"/>
        <c:axId val="334221344"/>
      </c:lineChart>
      <c:dateAx>
        <c:axId val="326654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221344"/>
        <c:crosses val="autoZero"/>
        <c:auto val="1"/>
        <c:lblOffset val="100"/>
        <c:baseTimeUnit val="days"/>
        <c:majorUnit val="1"/>
        <c:majorTimeUnit val="months"/>
      </c:dateAx>
      <c:valAx>
        <c:axId val="3342213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66548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1.3628389182788747E-2</c:v>
                </c:pt>
                <c:pt idx="1">
                  <c:v>1.3647292769682462E-2</c:v>
                </c:pt>
                <c:pt idx="2">
                  <c:v>1.3666195994293306E-2</c:v>
                </c:pt>
                <c:pt idx="3">
                  <c:v>1.3685098856628164E-2</c:v>
                </c:pt>
                <c:pt idx="4">
                  <c:v>1.3704001356694029E-2</c:v>
                </c:pt>
                <c:pt idx="5">
                  <c:v>1.3722903494497785E-2</c:v>
                </c:pt>
                <c:pt idx="6">
                  <c:v>1.3741805270046314E-2</c:v>
                </c:pt>
                <c:pt idx="7">
                  <c:v>1.3760706683346613E-2</c:v>
                </c:pt>
                <c:pt idx="8">
                  <c:v>1.3779607734405785E-2</c:v>
                </c:pt>
                <c:pt idx="9">
                  <c:v>1.3798508423230493E-2</c:v>
                </c:pt>
                <c:pt idx="10">
                  <c:v>1.3817408749827842E-2</c:v>
                </c:pt>
                <c:pt idx="11">
                  <c:v>1.3836308714204715E-2</c:v>
                </c:pt>
                <c:pt idx="12">
                  <c:v>1.3855208316368106E-2</c:v>
                </c:pt>
                <c:pt idx="13">
                  <c:v>1.387410755632501E-2</c:v>
                </c:pt>
                <c:pt idx="14">
                  <c:v>1.38930064340822E-2</c:v>
                </c:pt>
                <c:pt idx="15">
                  <c:v>1.391190494964667E-2</c:v>
                </c:pt>
                <c:pt idx="16">
                  <c:v>1.3930803103025524E-2</c:v>
                </c:pt>
                <c:pt idx="17">
                  <c:v>1.3949700894225536E-2</c:v>
                </c:pt>
                <c:pt idx="18">
                  <c:v>1.3968598323253589E-2</c:v>
                </c:pt>
                <c:pt idx="19">
                  <c:v>1.39874953901169E-2</c:v>
                </c:pt>
                <c:pt idx="20">
                  <c:v>1.4006392094822129E-2</c:v>
                </c:pt>
                <c:pt idx="21">
                  <c:v>1.4025288437376271E-2</c:v>
                </c:pt>
                <c:pt idx="22">
                  <c:v>1.4044184417786432E-2</c:v>
                </c:pt>
                <c:pt idx="23">
                  <c:v>1.4063080036059383E-2</c:v>
                </c:pt>
                <c:pt idx="24">
                  <c:v>1.408197529220212E-2</c:v>
                </c:pt>
                <c:pt idx="25">
                  <c:v>1.4100870186221637E-2</c:v>
                </c:pt>
                <c:pt idx="26">
                  <c:v>1.4119764718124816E-2</c:v>
                </c:pt>
                <c:pt idx="27">
                  <c:v>1.4138658887918543E-2</c:v>
                </c:pt>
                <c:pt idx="28">
                  <c:v>1.415755269560981E-2</c:v>
                </c:pt>
                <c:pt idx="29">
                  <c:v>1.4176446141205612E-2</c:v>
                </c:pt>
                <c:pt idx="30">
                  <c:v>1.4195339224712833E-2</c:v>
                </c:pt>
                <c:pt idx="31">
                  <c:v>1.4214231946138356E-2</c:v>
                </c:pt>
                <c:pt idx="32">
                  <c:v>1.4233124305489286E-2</c:v>
                </c:pt>
                <c:pt idx="33">
                  <c:v>1.4252016302772397E-2</c:v>
                </c:pt>
                <c:pt idx="34">
                  <c:v>1.4270907937994681E-2</c:v>
                </c:pt>
                <c:pt idx="35">
                  <c:v>1.4289799211163134E-2</c:v>
                </c:pt>
                <c:pt idx="36">
                  <c:v>1.430869012228464E-2</c:v>
                </c:pt>
                <c:pt idx="37">
                  <c:v>1.432758067136608E-2</c:v>
                </c:pt>
                <c:pt idx="38">
                  <c:v>1.4346470858414451E-2</c:v>
                </c:pt>
                <c:pt idx="39">
                  <c:v>1.4365360683436745E-2</c:v>
                </c:pt>
                <c:pt idx="40">
                  <c:v>1.4384250146439848E-2</c:v>
                </c:pt>
                <c:pt idx="41">
                  <c:v>1.4403139247430752E-2</c:v>
                </c:pt>
                <c:pt idx="42">
                  <c:v>1.4422027986416341E-2</c:v>
                </c:pt>
                <c:pt idx="43">
                  <c:v>1.44409163634035E-2</c:v>
                </c:pt>
                <c:pt idx="44">
                  <c:v>1.4459804378399221E-2</c:v>
                </c:pt>
                <c:pt idx="45">
                  <c:v>1.447869203141039E-2</c:v>
                </c:pt>
                <c:pt idx="46">
                  <c:v>1.449757932244411E-2</c:v>
                </c:pt>
                <c:pt idx="47">
                  <c:v>1.4516466251507154E-2</c:v>
                </c:pt>
                <c:pt idx="48">
                  <c:v>1.4535352818606517E-2</c:v>
                </c:pt>
                <c:pt idx="49">
                  <c:v>1.4554239023749194E-2</c:v>
                </c:pt>
                <c:pt idx="50">
                  <c:v>1.4573124866941956E-2</c:v>
                </c:pt>
                <c:pt idx="51">
                  <c:v>1.4592010348191908E-2</c:v>
                </c:pt>
                <c:pt idx="52">
                  <c:v>1.4610895467505824E-2</c:v>
                </c:pt>
                <c:pt idx="53">
                  <c:v>1.4629780224890809E-2</c:v>
                </c:pt>
                <c:pt idx="54">
                  <c:v>1.4648664620353746E-2</c:v>
                </c:pt>
                <c:pt idx="55">
                  <c:v>1.4667548653901519E-2</c:v>
                </c:pt>
                <c:pt idx="56">
                  <c:v>1.4686432325541121E-2</c:v>
                </c:pt>
                <c:pt idx="57">
                  <c:v>1.4705315635279437E-2</c:v>
                </c:pt>
                <c:pt idx="58">
                  <c:v>1.472419858312346E-2</c:v>
                </c:pt>
                <c:pt idx="59">
                  <c:v>1.4743081169080074E-2</c:v>
                </c:pt>
                <c:pt idx="60">
                  <c:v>1.4761963393156274E-2</c:v>
                </c:pt>
                <c:pt idx="61">
                  <c:v>1.4780845255358943E-2</c:v>
                </c:pt>
                <c:pt idx="62">
                  <c:v>1.4799726755694964E-2</c:v>
                </c:pt>
                <c:pt idx="63">
                  <c:v>1.4818607894171443E-2</c:v>
                </c:pt>
                <c:pt idx="64">
                  <c:v>1.4837488670795151E-2</c:v>
                </c:pt>
                <c:pt idx="65">
                  <c:v>1.4856369085573085E-2</c:v>
                </c:pt>
                <c:pt idx="66">
                  <c:v>1.4875249138512237E-2</c:v>
                </c:pt>
                <c:pt idx="67">
                  <c:v>1.489412882961938E-2</c:v>
                </c:pt>
                <c:pt idx="68">
                  <c:v>1.4913008158901619E-2</c:v>
                </c:pt>
                <c:pt idx="69">
                  <c:v>1.4931887126365728E-2</c:v>
                </c:pt>
                <c:pt idx="70">
                  <c:v>1.4950765732018811E-2</c:v>
                </c:pt>
                <c:pt idx="71">
                  <c:v>1.4969643975867752E-2</c:v>
                </c:pt>
                <c:pt idx="72">
                  <c:v>1.4988521857919435E-2</c:v>
                </c:pt>
                <c:pt idx="73">
                  <c:v>1.5007399378180741E-2</c:v>
                </c:pt>
                <c:pt idx="74">
                  <c:v>1.5026276536658778E-2</c:v>
                </c:pt>
                <c:pt idx="75">
                  <c:v>1.5045153333360317E-2</c:v>
                </c:pt>
                <c:pt idx="76">
                  <c:v>1.5064029768292353E-2</c:v>
                </c:pt>
                <c:pt idx="77">
                  <c:v>1.508290584146188E-2</c:v>
                </c:pt>
                <c:pt idx="78">
                  <c:v>1.510178155287567E-2</c:v>
                </c:pt>
                <c:pt idx="79">
                  <c:v>1.512065690254083E-2</c:v>
                </c:pt>
                <c:pt idx="80">
                  <c:v>1.5139531890464242E-2</c:v>
                </c:pt>
                <c:pt idx="81">
                  <c:v>1.5158406516652789E-2</c:v>
                </c:pt>
                <c:pt idx="82">
                  <c:v>1.5177280781113356E-2</c:v>
                </c:pt>
                <c:pt idx="83">
                  <c:v>1.5196154683853047E-2</c:v>
                </c:pt>
                <c:pt idx="84">
                  <c:v>1.5215028224878746E-2</c:v>
                </c:pt>
                <c:pt idx="85">
                  <c:v>1.5233901404197225E-2</c:v>
                </c:pt>
                <c:pt idx="86">
                  <c:v>1.525277422181559E-2</c:v>
                </c:pt>
                <c:pt idx="87">
                  <c:v>1.5271646677740613E-2</c:v>
                </c:pt>
                <c:pt idx="88">
                  <c:v>1.52905187719794E-2</c:v>
                </c:pt>
                <c:pt idx="89">
                  <c:v>1.5309390504538833E-2</c:v>
                </c:pt>
                <c:pt idx="90">
                  <c:v>1.5328261875425797E-2</c:v>
                </c:pt>
                <c:pt idx="91">
                  <c:v>1.5347132884647174E-2</c:v>
                </c:pt>
                <c:pt idx="92">
                  <c:v>1.5366003532210071E-2</c:v>
                </c:pt>
                <c:pt idx="93">
                  <c:v>1.5384873818121259E-2</c:v>
                </c:pt>
                <c:pt idx="94">
                  <c:v>1.5403743742387732E-2</c:v>
                </c:pt>
                <c:pt idx="95">
                  <c:v>1.5422613305016375E-2</c:v>
                </c:pt>
                <c:pt idx="96">
                  <c:v>1.5441482506014181E-2</c:v>
                </c:pt>
                <c:pt idx="97">
                  <c:v>1.5460351345388035E-2</c:v>
                </c:pt>
                <c:pt idx="98">
                  <c:v>1.547921982314493E-2</c:v>
                </c:pt>
                <c:pt idx="99">
                  <c:v>1.5498087939291749E-2</c:v>
                </c:pt>
                <c:pt idx="100">
                  <c:v>1.5516955693835377E-2</c:v>
                </c:pt>
                <c:pt idx="101">
                  <c:v>1.5535823086782918E-2</c:v>
                </c:pt>
                <c:pt idx="102">
                  <c:v>1.5554690118141035E-2</c:v>
                </c:pt>
                <c:pt idx="103">
                  <c:v>1.5573556787916831E-2</c:v>
                </c:pt>
                <c:pt idx="104">
                  <c:v>1.5592423096117303E-2</c:v>
                </c:pt>
                <c:pt idx="105">
                  <c:v>1.5611289042749221E-2</c:v>
                </c:pt>
                <c:pt idx="106">
                  <c:v>1.563015462781947E-2</c:v>
                </c:pt>
                <c:pt idx="107">
                  <c:v>1.5649019851335266E-2</c:v>
                </c:pt>
                <c:pt idx="108">
                  <c:v>1.5667884713303271E-2</c:v>
                </c:pt>
                <c:pt idx="109">
                  <c:v>1.5686749213730478E-2</c:v>
                </c:pt>
                <c:pt idx="110">
                  <c:v>1.5705613352623771E-2</c:v>
                </c:pt>
                <c:pt idx="111">
                  <c:v>1.5724477129990255E-2</c:v>
                </c:pt>
                <c:pt idx="112">
                  <c:v>1.5743340545836704E-2</c:v>
                </c:pt>
                <c:pt idx="113">
                  <c:v>1.576220360017011E-2</c:v>
                </c:pt>
                <c:pt idx="114">
                  <c:v>1.578106629299747E-2</c:v>
                </c:pt>
                <c:pt idx="115">
                  <c:v>1.5799928624325554E-2</c:v>
                </c:pt>
                <c:pt idx="116">
                  <c:v>1.5818790594161358E-2</c:v>
                </c:pt>
                <c:pt idx="117">
                  <c:v>1.5837652202511765E-2</c:v>
                </c:pt>
                <c:pt idx="118">
                  <c:v>1.5856513449383769E-2</c:v>
                </c:pt>
                <c:pt idx="119">
                  <c:v>1.5875374334784365E-2</c:v>
                </c:pt>
                <c:pt idx="120">
                  <c:v>1.5894234858720324E-2</c:v>
                </c:pt>
                <c:pt idx="121">
                  <c:v>1.5913095021198642E-2</c:v>
                </c:pt>
                <c:pt idx="122">
                  <c:v>1.5931954822226202E-2</c:v>
                </c:pt>
                <c:pt idx="123">
                  <c:v>1.5950814261810109E-2</c:v>
                </c:pt>
                <c:pt idx="124">
                  <c:v>1.5969673339957025E-2</c:v>
                </c:pt>
                <c:pt idx="125">
                  <c:v>1.5988532056674054E-2</c:v>
                </c:pt>
                <c:pt idx="126">
                  <c:v>1.6007390411968081E-2</c:v>
                </c:pt>
                <c:pt idx="127">
                  <c:v>1.60262484058461E-2</c:v>
                </c:pt>
                <c:pt idx="128">
                  <c:v>1.6045106038314882E-2</c:v>
                </c:pt>
                <c:pt idx="129">
                  <c:v>1.6063963309381535E-2</c:v>
                </c:pt>
                <c:pt idx="130">
                  <c:v>1.6082820219052829E-2</c:v>
                </c:pt>
                <c:pt idx="131">
                  <c:v>1.610167676733576E-2</c:v>
                </c:pt>
                <c:pt idx="132">
                  <c:v>1.612053295423721E-2</c:v>
                </c:pt>
                <c:pt idx="133">
                  <c:v>1.6139388779764174E-2</c:v>
                </c:pt>
                <c:pt idx="134">
                  <c:v>1.6158244243923536E-2</c:v>
                </c:pt>
                <c:pt idx="135">
                  <c:v>1.6177099346722179E-2</c:v>
                </c:pt>
                <c:pt idx="136">
                  <c:v>1.6195954088167097E-2</c:v>
                </c:pt>
                <c:pt idx="137">
                  <c:v>1.6214808468265285E-2</c:v>
                </c:pt>
                <c:pt idx="138">
                  <c:v>1.6233662487023515E-2</c:v>
                </c:pt>
                <c:pt idx="139">
                  <c:v>1.6252516144448781E-2</c:v>
                </c:pt>
                <c:pt idx="140">
                  <c:v>1.6271369440547967E-2</c:v>
                </c:pt>
                <c:pt idx="141">
                  <c:v>1.6290222375328067E-2</c:v>
                </c:pt>
                <c:pt idx="142">
                  <c:v>1.6309074948795965E-2</c:v>
                </c:pt>
                <c:pt idx="143">
                  <c:v>1.6327927160958655E-2</c:v>
                </c:pt>
                <c:pt idx="144">
                  <c:v>1.6346779011822909E-2</c:v>
                </c:pt>
                <c:pt idx="145">
                  <c:v>1.6365630501395834E-2</c:v>
                </c:pt>
                <c:pt idx="146">
                  <c:v>1.63844816296842E-2</c:v>
                </c:pt>
                <c:pt idx="147">
                  <c:v>1.6403332396695003E-2</c:v>
                </c:pt>
                <c:pt idx="148">
                  <c:v>1.6422182802435126E-2</c:v>
                </c:pt>
                <c:pt idx="149">
                  <c:v>1.6441032846911563E-2</c:v>
                </c:pt>
                <c:pt idx="150">
                  <c:v>1.6459882530131198E-2</c:v>
                </c:pt>
                <c:pt idx="151">
                  <c:v>1.6478731852101025E-2</c:v>
                </c:pt>
                <c:pt idx="152">
                  <c:v>1.6497580812827817E-2</c:v>
                </c:pt>
                <c:pt idx="153">
                  <c:v>1.6516429412318567E-2</c:v>
                </c:pt>
                <c:pt idx="154">
                  <c:v>1.653527765058016E-2</c:v>
                </c:pt>
                <c:pt idx="155">
                  <c:v>1.6554125527619701E-2</c:v>
                </c:pt>
                <c:pt idx="156">
                  <c:v>1.657297304344385E-2</c:v>
                </c:pt>
                <c:pt idx="157">
                  <c:v>1.6591820198059715E-2</c:v>
                </c:pt>
                <c:pt idx="158">
                  <c:v>1.6610666991474177E-2</c:v>
                </c:pt>
                <c:pt idx="159">
                  <c:v>1.662951342369412E-2</c:v>
                </c:pt>
                <c:pt idx="160">
                  <c:v>1.6648359494726539E-2</c:v>
                </c:pt>
                <c:pt idx="161">
                  <c:v>1.6667205204578206E-2</c:v>
                </c:pt>
                <c:pt idx="162">
                  <c:v>1.6686050553256226E-2</c:v>
                </c:pt>
                <c:pt idx="163">
                  <c:v>1.6704895540767373E-2</c:v>
                </c:pt>
                <c:pt idx="164">
                  <c:v>1.672374016711875E-2</c:v>
                </c:pt>
                <c:pt idx="165">
                  <c:v>1.674258443231702E-2</c:v>
                </c:pt>
                <c:pt idx="166">
                  <c:v>1.6761428336369288E-2</c:v>
                </c:pt>
                <c:pt idx="167">
                  <c:v>1.6780271879282438E-2</c:v>
                </c:pt>
                <c:pt idx="168">
                  <c:v>1.6799115061063463E-2</c:v>
                </c:pt>
                <c:pt idx="169">
                  <c:v>1.6817957881719137E-2</c:v>
                </c:pt>
                <c:pt idx="170">
                  <c:v>1.6836800341256453E-2</c:v>
                </c:pt>
                <c:pt idx="171">
                  <c:v>1.6855642439682406E-2</c:v>
                </c:pt>
                <c:pt idx="172">
                  <c:v>1.6874484177003768E-2</c:v>
                </c:pt>
                <c:pt idx="173">
                  <c:v>1.6893325553227534E-2</c:v>
                </c:pt>
                <c:pt idx="174">
                  <c:v>1.6912166568360587E-2</c:v>
                </c:pt>
                <c:pt idx="175">
                  <c:v>1.6931007222409922E-2</c:v>
                </c:pt>
                <c:pt idx="176">
                  <c:v>1.6949847515382421E-2</c:v>
                </c:pt>
                <c:pt idx="177">
                  <c:v>1.696868744728508E-2</c:v>
                </c:pt>
                <c:pt idx="178">
                  <c:v>1.6987527018124671E-2</c:v>
                </c:pt>
                <c:pt idx="179">
                  <c:v>1.7006366227908187E-2</c:v>
                </c:pt>
                <c:pt idx="180">
                  <c:v>1.7025205076642513E-2</c:v>
                </c:pt>
                <c:pt idx="181">
                  <c:v>1.7044043564334643E-2</c:v>
                </c:pt>
                <c:pt idx="182">
                  <c:v>1.706288169099146E-2</c:v>
                </c:pt>
                <c:pt idx="183">
                  <c:v>1.7081719456619848E-2</c:v>
                </c:pt>
                <c:pt idx="184">
                  <c:v>1.710055686122669E-2</c:v>
                </c:pt>
                <c:pt idx="185">
                  <c:v>1.7119393904819091E-2</c:v>
                </c:pt>
                <c:pt idx="186">
                  <c:v>1.7138230587403824E-2</c:v>
                </c:pt>
                <c:pt idx="187">
                  <c:v>1.7157066908987773E-2</c:v>
                </c:pt>
                <c:pt idx="188">
                  <c:v>1.717590286957793E-2</c:v>
                </c:pt>
                <c:pt idx="189">
                  <c:v>1.7194738469181292E-2</c:v>
                </c:pt>
                <c:pt idx="190">
                  <c:v>1.721357370780463E-2</c:v>
                </c:pt>
                <c:pt idx="191">
                  <c:v>1.7232408585454828E-2</c:v>
                </c:pt>
                <c:pt idx="192">
                  <c:v>1.7251243102138991E-2</c:v>
                </c:pt>
                <c:pt idx="193">
                  <c:v>1.7270077257863892E-2</c:v>
                </c:pt>
                <c:pt idx="194">
                  <c:v>1.7288911052636524E-2</c:v>
                </c:pt>
                <c:pt idx="195">
                  <c:v>1.7307744486463772E-2</c:v>
                </c:pt>
                <c:pt idx="196">
                  <c:v>1.7326577559352629E-2</c:v>
                </c:pt>
                <c:pt idx="197">
                  <c:v>1.7345410271309869E-2</c:v>
                </c:pt>
                <c:pt idx="198">
                  <c:v>1.7364242622342485E-2</c:v>
                </c:pt>
                <c:pt idx="199">
                  <c:v>1.7383074612457361E-2</c:v>
                </c:pt>
                <c:pt idx="200">
                  <c:v>1.7401906241661491E-2</c:v>
                </c:pt>
                <c:pt idx="201">
                  <c:v>1.7420737509961648E-2</c:v>
                </c:pt>
                <c:pt idx="202">
                  <c:v>1.7439568417364937E-2</c:v>
                </c:pt>
                <c:pt idx="203">
                  <c:v>1.745839896387813E-2</c:v>
                </c:pt>
                <c:pt idx="204">
                  <c:v>1.7477229149508333E-2</c:v>
                </c:pt>
                <c:pt idx="205">
                  <c:v>1.7496058974262207E-2</c:v>
                </c:pt>
                <c:pt idx="206">
                  <c:v>1.7514888438146747E-2</c:v>
                </c:pt>
                <c:pt idx="207">
                  <c:v>1.7533717541168947E-2</c:v>
                </c:pt>
                <c:pt idx="208">
                  <c:v>1.755254628333569E-2</c:v>
                </c:pt>
                <c:pt idx="209">
                  <c:v>1.757137466465386E-2</c:v>
                </c:pt>
                <c:pt idx="210">
                  <c:v>1.7590202685130452E-2</c:v>
                </c:pt>
                <c:pt idx="211">
                  <c:v>1.7609030344772347E-2</c:v>
                </c:pt>
                <c:pt idx="212">
                  <c:v>1.762785764358632E-2</c:v>
                </c:pt>
                <c:pt idx="213">
                  <c:v>1.7646684581579475E-2</c:v>
                </c:pt>
                <c:pt idx="214">
                  <c:v>1.7665511158758695E-2</c:v>
                </c:pt>
                <c:pt idx="215">
                  <c:v>1.7684337375130865E-2</c:v>
                </c:pt>
                <c:pt idx="216">
                  <c:v>1.7703163230702867E-2</c:v>
                </c:pt>
                <c:pt idx="217">
                  <c:v>1.7721988725481586E-2</c:v>
                </c:pt>
                <c:pt idx="218">
                  <c:v>1.7740813859474014E-2</c:v>
                </c:pt>
                <c:pt idx="219">
                  <c:v>1.7759638632687147E-2</c:v>
                </c:pt>
                <c:pt idx="220">
                  <c:v>1.7778463045127646E-2</c:v>
                </c:pt>
                <c:pt idx="221">
                  <c:v>1.7797287096802616E-2</c:v>
                </c:pt>
                <c:pt idx="222">
                  <c:v>1.7816110787719053E-2</c:v>
                </c:pt>
                <c:pt idx="223">
                  <c:v>1.7834934117883616E-2</c:v>
                </c:pt>
                <c:pt idx="224">
                  <c:v>1.7853757087303412E-2</c:v>
                </c:pt>
                <c:pt idx="225">
                  <c:v>1.7872579695985213E-2</c:v>
                </c:pt>
                <c:pt idx="226">
                  <c:v>1.7891401943936125E-2</c:v>
                </c:pt>
                <c:pt idx="227">
                  <c:v>1.7910223831162808E-2</c:v>
                </c:pt>
                <c:pt idx="228">
                  <c:v>1.792904535767248E-2</c:v>
                </c:pt>
                <c:pt idx="229">
                  <c:v>1.79478665234718E-2</c:v>
                </c:pt>
                <c:pt idx="230">
                  <c:v>1.7966687328567765E-2</c:v>
                </c:pt>
                <c:pt idx="231">
                  <c:v>1.7985507772967257E-2</c:v>
                </c:pt>
                <c:pt idx="232">
                  <c:v>1.8004327856677271E-2</c:v>
                </c:pt>
                <c:pt idx="233">
                  <c:v>1.802314757970469E-2</c:v>
                </c:pt>
                <c:pt idx="234">
                  <c:v>1.8041966942056398E-2</c:v>
                </c:pt>
                <c:pt idx="235">
                  <c:v>1.8060785943739388E-2</c:v>
                </c:pt>
                <c:pt idx="236">
                  <c:v>1.8079604584760434E-2</c:v>
                </c:pt>
                <c:pt idx="237">
                  <c:v>1.8098422865126529E-2</c:v>
                </c:pt>
                <c:pt idx="238">
                  <c:v>1.8117240784844557E-2</c:v>
                </c:pt>
                <c:pt idx="239">
                  <c:v>1.8136058343921513E-2</c:v>
                </c:pt>
                <c:pt idx="240">
                  <c:v>1.8154875542364168E-2</c:v>
                </c:pt>
                <c:pt idx="241">
                  <c:v>1.8173692380179518E-2</c:v>
                </c:pt>
                <c:pt idx="242">
                  <c:v>1.8192508857374445E-2</c:v>
                </c:pt>
                <c:pt idx="243">
                  <c:v>1.8211324973955945E-2</c:v>
                </c:pt>
                <c:pt idx="244">
                  <c:v>1.8230140729930788E-2</c:v>
                </c:pt>
                <c:pt idx="245">
                  <c:v>1.8248956125305971E-2</c:v>
                </c:pt>
                <c:pt idx="246">
                  <c:v>1.8267771160088486E-2</c:v>
                </c:pt>
                <c:pt idx="247">
                  <c:v>1.8286585834285107E-2</c:v>
                </c:pt>
                <c:pt idx="248">
                  <c:v>1.8305400147902717E-2</c:v>
                </c:pt>
                <c:pt idx="249">
                  <c:v>1.8324214100948422E-2</c:v>
                </c:pt>
                <c:pt idx="250">
                  <c:v>1.8343027693428882E-2</c:v>
                </c:pt>
                <c:pt idx="251">
                  <c:v>1.8361840925351203E-2</c:v>
                </c:pt>
                <c:pt idx="252">
                  <c:v>1.8380653796722268E-2</c:v>
                </c:pt>
                <c:pt idx="253">
                  <c:v>1.8399466307548851E-2</c:v>
                </c:pt>
                <c:pt idx="254">
                  <c:v>1.8418278457837944E-2</c:v>
                </c:pt>
                <c:pt idx="255">
                  <c:v>1.8437090247596544E-2</c:v>
                </c:pt>
                <c:pt idx="256">
                  <c:v>1.8455901676831532E-2</c:v>
                </c:pt>
                <c:pt idx="257">
                  <c:v>1.8474712745549682E-2</c:v>
                </c:pt>
                <c:pt idx="258">
                  <c:v>1.8493523453757987E-2</c:v>
                </c:pt>
                <c:pt idx="259">
                  <c:v>1.8512333801463332E-2</c:v>
                </c:pt>
                <c:pt idx="260">
                  <c:v>1.853114378867271E-2</c:v>
                </c:pt>
                <c:pt idx="261">
                  <c:v>1.8549953415393006E-2</c:v>
                </c:pt>
                <c:pt idx="262">
                  <c:v>1.8568762681631101E-2</c:v>
                </c:pt>
                <c:pt idx="263">
                  <c:v>1.8587571587393881E-2</c:v>
                </c:pt>
                <c:pt idx="264">
                  <c:v>1.8606380132688227E-2</c:v>
                </c:pt>
                <c:pt idx="265">
                  <c:v>1.8625188317521135E-2</c:v>
                </c:pt>
                <c:pt idx="266">
                  <c:v>1.8643996141899377E-2</c:v>
                </c:pt>
                <c:pt idx="267">
                  <c:v>1.8662803605830058E-2</c:v>
                </c:pt>
                <c:pt idx="268">
                  <c:v>1.8681610709319951E-2</c:v>
                </c:pt>
                <c:pt idx="269">
                  <c:v>1.870041745237605E-2</c:v>
                </c:pt>
                <c:pt idx="270">
                  <c:v>1.8719223835005128E-2</c:v>
                </c:pt>
                <c:pt idx="271">
                  <c:v>1.8738029857214289E-2</c:v>
                </c:pt>
                <c:pt idx="272">
                  <c:v>1.8756835519010195E-2</c:v>
                </c:pt>
                <c:pt idx="273">
                  <c:v>1.8775640820399953E-2</c:v>
                </c:pt>
                <c:pt idx="274">
                  <c:v>1.8794445761390333E-2</c:v>
                </c:pt>
                <c:pt idx="275">
                  <c:v>1.881325034198833E-2</c:v>
                </c:pt>
                <c:pt idx="276">
                  <c:v>1.8832054562200939E-2</c:v>
                </c:pt>
                <c:pt idx="277">
                  <c:v>1.8850858422034822E-2</c:v>
                </c:pt>
                <c:pt idx="278">
                  <c:v>1.8869661921497083E-2</c:v>
                </c:pt>
                <c:pt idx="279">
                  <c:v>1.8888465060594606E-2</c:v>
                </c:pt>
                <c:pt idx="280">
                  <c:v>1.8907267839334163E-2</c:v>
                </c:pt>
                <c:pt idx="281">
                  <c:v>1.892607025772286E-2</c:v>
                </c:pt>
                <c:pt idx="282">
                  <c:v>1.8944872315767358E-2</c:v>
                </c:pt>
                <c:pt idx="283">
                  <c:v>1.8963674013474763E-2</c:v>
                </c:pt>
                <c:pt idx="284">
                  <c:v>1.8982475350851957E-2</c:v>
                </c:pt>
                <c:pt idx="285">
                  <c:v>1.9001276327905825E-2</c:v>
                </c:pt>
                <c:pt idx="286">
                  <c:v>1.9020076944643249E-2</c:v>
                </c:pt>
                <c:pt idx="287">
                  <c:v>1.9038877201071114E-2</c:v>
                </c:pt>
                <c:pt idx="288">
                  <c:v>1.9057677097196302E-2</c:v>
                </c:pt>
                <c:pt idx="289">
                  <c:v>1.9076476633025918E-2</c:v>
                </c:pt>
                <c:pt idx="290">
                  <c:v>1.9095275808566625E-2</c:v>
                </c:pt>
                <c:pt idx="291">
                  <c:v>1.9114074623825417E-2</c:v>
                </c:pt>
                <c:pt idx="292">
                  <c:v>1.9132873078809176E-2</c:v>
                </c:pt>
                <c:pt idx="293">
                  <c:v>1.9151671173524898E-2</c:v>
                </c:pt>
                <c:pt idx="294">
                  <c:v>1.9170468907979354E-2</c:v>
                </c:pt>
                <c:pt idx="295">
                  <c:v>1.918926628217954E-2</c:v>
                </c:pt>
                <c:pt idx="296">
                  <c:v>1.9208063296132338E-2</c:v>
                </c:pt>
                <c:pt idx="297">
                  <c:v>1.9226859949844743E-2</c:v>
                </c:pt>
                <c:pt idx="298">
                  <c:v>1.9245656243323417E-2</c:v>
                </c:pt>
                <c:pt idx="299">
                  <c:v>1.9264452176575575E-2</c:v>
                </c:pt>
                <c:pt idx="300">
                  <c:v>1.9283247749607879E-2</c:v>
                </c:pt>
                <c:pt idx="301">
                  <c:v>1.9302042962427324E-2</c:v>
                </c:pt>
                <c:pt idx="302">
                  <c:v>1.9320837815040792E-2</c:v>
                </c:pt>
                <c:pt idx="303">
                  <c:v>1.9339632307455168E-2</c:v>
                </c:pt>
                <c:pt idx="304">
                  <c:v>1.9358426439677334E-2</c:v>
                </c:pt>
                <c:pt idx="305">
                  <c:v>1.9377220211714397E-2</c:v>
                </c:pt>
                <c:pt idx="306">
                  <c:v>1.9396013623573016E-2</c:v>
                </c:pt>
                <c:pt idx="307">
                  <c:v>1.9414806675260188E-2</c:v>
                </c:pt>
                <c:pt idx="308">
                  <c:v>1.9433599366782794E-2</c:v>
                </c:pt>
                <c:pt idx="309">
                  <c:v>1.9452391698147831E-2</c:v>
                </c:pt>
                <c:pt idx="310">
                  <c:v>1.9471183669362069E-2</c:v>
                </c:pt>
                <c:pt idx="311">
                  <c:v>1.9489975280432503E-2</c:v>
                </c:pt>
                <c:pt idx="312">
                  <c:v>1.9508766531365906E-2</c:v>
                </c:pt>
                <c:pt idx="313">
                  <c:v>1.9527557422169384E-2</c:v>
                </c:pt>
                <c:pt idx="314">
                  <c:v>1.9546347952849707E-2</c:v>
                </c:pt>
                <c:pt idx="315">
                  <c:v>1.9565138123413761E-2</c:v>
                </c:pt>
                <c:pt idx="316">
                  <c:v>1.9583927933868428E-2</c:v>
                </c:pt>
                <c:pt idx="317">
                  <c:v>1.9602717384220703E-2</c:v>
                </c:pt>
                <c:pt idx="318">
                  <c:v>1.9621506474477468E-2</c:v>
                </c:pt>
                <c:pt idx="319">
                  <c:v>1.9640295204645608E-2</c:v>
                </c:pt>
                <c:pt idx="320">
                  <c:v>1.9659083574732117E-2</c:v>
                </c:pt>
                <c:pt idx="321">
                  <c:v>1.9677871584743656E-2</c:v>
                </c:pt>
                <c:pt idx="322">
                  <c:v>1.969665923468733E-2</c:v>
                </c:pt>
                <c:pt idx="323">
                  <c:v>1.9715446524569913E-2</c:v>
                </c:pt>
                <c:pt idx="324">
                  <c:v>1.9734233454398509E-2</c:v>
                </c:pt>
                <c:pt idx="325">
                  <c:v>1.9753020024179779E-2</c:v>
                </c:pt>
                <c:pt idx="326">
                  <c:v>1.9771806233920719E-2</c:v>
                </c:pt>
                <c:pt idx="327">
                  <c:v>1.9790592083628211E-2</c:v>
                </c:pt>
                <c:pt idx="328">
                  <c:v>1.980937757330925E-2</c:v>
                </c:pt>
                <c:pt idx="329">
                  <c:v>1.9828162702970609E-2</c:v>
                </c:pt>
                <c:pt idx="330">
                  <c:v>1.9846947472619281E-2</c:v>
                </c:pt>
                <c:pt idx="331">
                  <c:v>1.986573188226215E-2</c:v>
                </c:pt>
                <c:pt idx="332">
                  <c:v>1.9884515931906099E-2</c:v>
                </c:pt>
                <c:pt idx="333">
                  <c:v>1.9903299621558013E-2</c:v>
                </c:pt>
                <c:pt idx="334">
                  <c:v>1.9922082951224773E-2</c:v>
                </c:pt>
                <c:pt idx="335">
                  <c:v>1.9940865920913264E-2</c:v>
                </c:pt>
                <c:pt idx="336">
                  <c:v>1.9959648530630481E-2</c:v>
                </c:pt>
                <c:pt idx="337">
                  <c:v>1.9978430780383305E-2</c:v>
                </c:pt>
                <c:pt idx="338">
                  <c:v>1.999721267017851E-2</c:v>
                </c:pt>
                <c:pt idx="339">
                  <c:v>2.0015994200023091E-2</c:v>
                </c:pt>
                <c:pt idx="340">
                  <c:v>2.0034775369924041E-2</c:v>
                </c:pt>
                <c:pt idx="341">
                  <c:v>2.0053556179888021E-2</c:v>
                </c:pt>
                <c:pt idx="342">
                  <c:v>2.0072336629922138E-2</c:v>
                </c:pt>
                <c:pt idx="343">
                  <c:v>2.0091116720033164E-2</c:v>
                </c:pt>
                <c:pt idx="344">
                  <c:v>2.0109896450228093E-2</c:v>
                </c:pt>
                <c:pt idx="345">
                  <c:v>2.0128675820513808E-2</c:v>
                </c:pt>
                <c:pt idx="346">
                  <c:v>2.0147454830897082E-2</c:v>
                </c:pt>
                <c:pt idx="347">
                  <c:v>2.0166233481385021E-2</c:v>
                </c:pt>
                <c:pt idx="348">
                  <c:v>2.0185011771984285E-2</c:v>
                </c:pt>
                <c:pt idx="349">
                  <c:v>2.020378970270198E-2</c:v>
                </c:pt>
                <c:pt idx="350">
                  <c:v>2.0222567273544878E-2</c:v>
                </c:pt>
                <c:pt idx="351">
                  <c:v>2.0241344484519974E-2</c:v>
                </c:pt>
                <c:pt idx="352">
                  <c:v>2.026012133563404E-2</c:v>
                </c:pt>
                <c:pt idx="353">
                  <c:v>2.0278897826894071E-2</c:v>
                </c:pt>
                <c:pt idx="354">
                  <c:v>2.0297673958306839E-2</c:v>
                </c:pt>
                <c:pt idx="355">
                  <c:v>2.0316449729879449E-2</c:v>
                </c:pt>
                <c:pt idx="356">
                  <c:v>2.0335225141618674E-2</c:v>
                </c:pt>
                <c:pt idx="357">
                  <c:v>2.0354000193531396E-2</c:v>
                </c:pt>
                <c:pt idx="358">
                  <c:v>2.0372774885624501E-2</c:v>
                </c:pt>
                <c:pt idx="359">
                  <c:v>2.039154921790487E-2</c:v>
                </c:pt>
                <c:pt idx="360">
                  <c:v>2.0410323190379498E-2</c:v>
                </c:pt>
                <c:pt idx="361">
                  <c:v>2.0429096803055269E-2</c:v>
                </c:pt>
                <c:pt idx="362">
                  <c:v>2.0447870055939066E-2</c:v>
                </c:pt>
                <c:pt idx="363">
                  <c:v>2.0466642949037661E-2</c:v>
                </c:pt>
                <c:pt idx="364">
                  <c:v>2.0485415482358049E-2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4.8025118577546266E-2</c:v>
                </c:pt>
                <c:pt idx="1">
                  <c:v>4.8116358260133281E-2</c:v>
                </c:pt>
                <c:pt idx="2">
                  <c:v>4.820761392352016E-2</c:v>
                </c:pt>
                <c:pt idx="3">
                  <c:v>4.8298874980228557E-2</c:v>
                </c:pt>
                <c:pt idx="4">
                  <c:v>4.8390132215424153E-2</c:v>
                </c:pt>
                <c:pt idx="5">
                  <c:v>4.84813777536902E-2</c:v>
                </c:pt>
                <c:pt idx="6">
                  <c:v>4.8572605014532623E-2</c:v>
                </c:pt>
                <c:pt idx="7">
                  <c:v>4.8663808657406042E-2</c:v>
                </c:pt>
                <c:pt idx="8">
                  <c:v>4.8754984517133358E-2</c:v>
                </c:pt>
                <c:pt idx="9">
                  <c:v>4.884612953066636E-2</c:v>
                </c:pt>
                <c:pt idx="10">
                  <c:v>4.8937241656198054E-2</c:v>
                </c:pt>
                <c:pt idx="11">
                  <c:v>4.9028319785690867E-2</c:v>
                </c:pt>
                <c:pt idx="12">
                  <c:v>4.9119363651926776E-2</c:v>
                </c:pt>
                <c:pt idx="13">
                  <c:v>4.9210373731215944E-2</c:v>
                </c:pt>
                <c:pt idx="14">
                  <c:v>4.9301351142919371E-2</c:v>
                </c:pt>
                <c:pt idx="15">
                  <c:v>4.9392297546948565E-2</c:v>
                </c:pt>
                <c:pt idx="16">
                  <c:v>4.9483215040400833E-2</c:v>
                </c:pt>
                <c:pt idx="17">
                  <c:v>4.9574106054473273E-2</c:v>
                </c:pt>
                <c:pt idx="18">
                  <c:v>4.9664973252772235E-2</c:v>
                </c:pt>
                <c:pt idx="19">
                  <c:v>4.9755819432097309E-2</c:v>
                </c:pt>
                <c:pt idx="20">
                  <c:v>4.9846647426731894E-2</c:v>
                </c:pt>
                <c:pt idx="21">
                  <c:v>4.9937460017215336E-2</c:v>
                </c:pt>
                <c:pt idx="22">
                  <c:v>5.0028259844506123E-2</c:v>
                </c:pt>
                <c:pt idx="23">
                  <c:v>5.0119049330371861E-2</c:v>
                </c:pt>
                <c:pt idx="24">
                  <c:v>5.0209830604760669E-2</c:v>
                </c:pt>
                <c:pt idx="25">
                  <c:v>5.0300605440822148E-2</c:v>
                </c:pt>
                <c:pt idx="26">
                  <c:v>5.039137519815301E-2</c:v>
                </c:pt>
                <c:pt idx="27">
                  <c:v>5.0482140774746567E-2</c:v>
                </c:pt>
                <c:pt idx="28">
                  <c:v>5.057290256802479E-2</c:v>
                </c:pt>
                <c:pt idx="29">
                  <c:v>5.0663660445230574E-2</c:v>
                </c:pt>
                <c:pt idx="30">
                  <c:v>5.0754413723354069E-2</c:v>
                </c:pt>
                <c:pt idx="31">
                  <c:v>5.084516115866463E-2</c:v>
                </c:pt>
                <c:pt idx="32">
                  <c:v>5.0935900945817805E-2</c:v>
                </c:pt>
                <c:pt idx="33">
                  <c:v>5.1026630726407368E-2</c:v>
                </c:pt>
                <c:pt idx="34">
                  <c:v>5.1117347606735287E-2</c:v>
                </c:pt>
                <c:pt idx="35">
                  <c:v>5.120804818448095E-2</c:v>
                </c:pt>
                <c:pt idx="36">
                  <c:v>5.1298728583862391E-2</c:v>
                </c:pt>
                <c:pt idx="37">
                  <c:v>5.1389384498801621E-2</c:v>
                </c:pt>
                <c:pt idx="38">
                  <c:v>5.1480011243530133E-2</c:v>
                </c:pt>
                <c:pt idx="39">
                  <c:v>5.1570603810003668E-2</c:v>
                </c:pt>
                <c:pt idx="40">
                  <c:v>5.1661156931434637E-2</c:v>
                </c:pt>
                <c:pt idx="41">
                  <c:v>5.1751665151199194E-2</c:v>
                </c:pt>
                <c:pt idx="42">
                  <c:v>5.1842122896333317E-2</c:v>
                </c:pt>
                <c:pt idx="43">
                  <c:v>5.1932524554797951E-2</c:v>
                </c:pt>
                <c:pt idx="44">
                  <c:v>5.2022864555668902E-2</c:v>
                </c:pt>
                <c:pt idx="45">
                  <c:v>5.2113137451392053E-2</c:v>
                </c:pt>
                <c:pt idx="46">
                  <c:v>5.2203338001238227E-2</c:v>
                </c:pt>
                <c:pt idx="47">
                  <c:v>5.2293461255095694E-2</c:v>
                </c:pt>
                <c:pt idx="48">
                  <c:v>5.2383502636750609E-2</c:v>
                </c:pt>
                <c:pt idx="49">
                  <c:v>5.2473458025826279E-2</c:v>
                </c:pt>
                <c:pt idx="50">
                  <c:v>5.2563323837582533E-2</c:v>
                </c:pt>
                <c:pt idx="51">
                  <c:v>5.2653097099812501E-2</c:v>
                </c:pt>
                <c:pt idx="52">
                  <c:v>5.2742775526119556E-2</c:v>
                </c:pt>
                <c:pt idx="53">
                  <c:v>5.2832357584908028E-2</c:v>
                </c:pt>
                <c:pt idx="54">
                  <c:v>5.2921842563477872E-2</c:v>
                </c:pt>
                <c:pt idx="55">
                  <c:v>5.3011230626676613E-2</c:v>
                </c:pt>
                <c:pt idx="56">
                  <c:v>5.3100522869627617E-2</c:v>
                </c:pt>
                <c:pt idx="57">
                  <c:v>5.3189721364124559E-2</c:v>
                </c:pt>
                <c:pt idx="58">
                  <c:v>5.327882919835418E-2</c:v>
                </c:pt>
                <c:pt idx="59">
                  <c:v>5.3367850509684248E-2</c:v>
                </c:pt>
                <c:pt idx="60">
                  <c:v>5.3456790510329436E-2</c:v>
                </c:pt>
                <c:pt idx="61">
                  <c:v>5.3545655505781949E-2</c:v>
                </c:pt>
                <c:pt idx="62">
                  <c:v>5.3634452905970173E-2</c:v>
                </c:pt>
                <c:pt idx="63">
                  <c:v>5.3723191229179269E-2</c:v>
                </c:pt>
                <c:pt idx="64">
                  <c:v>5.3811880098839665E-2</c:v>
                </c:pt>
                <c:pt idx="65">
                  <c:v>5.390053023335499E-2</c:v>
                </c:pt>
                <c:pt idx="66">
                  <c:v>5.398915342920433E-2</c:v>
                </c:pt>
                <c:pt idx="67">
                  <c:v>5.4077762537611734E-2</c:v>
                </c:pt>
                <c:pt idx="68">
                  <c:v>5.4166371435128507E-2</c:v>
                </c:pt>
                <c:pt idx="69">
                  <c:v>5.4254994988520731E-2</c:v>
                </c:pt>
                <c:pt idx="70">
                  <c:v>5.4343649014395159E-2</c:v>
                </c:pt>
                <c:pt idx="71">
                  <c:v>5.4432350234030563E-2</c:v>
                </c:pt>
                <c:pt idx="72">
                  <c:v>5.4521116223908497E-2</c:v>
                </c:pt>
                <c:pt idx="73">
                  <c:v>5.4609965362457623E-2</c:v>
                </c:pt>
                <c:pt idx="74">
                  <c:v>5.4698916773538289E-2</c:v>
                </c:pt>
                <c:pt idx="75">
                  <c:v>5.4787990267199625E-2</c:v>
                </c:pt>
                <c:pt idx="76">
                  <c:v>5.4877206278240026E-2</c:v>
                </c:pt>
                <c:pt idx="77">
                  <c:v>5.4966585803093181E-2</c:v>
                </c:pt>
                <c:pt idx="78">
                  <c:v>5.5056150335546686E-2</c:v>
                </c:pt>
                <c:pt idx="79">
                  <c:v>5.5145921801779178E-2</c:v>
                </c:pt>
                <c:pt idx="80">
                  <c:v>5.5235922495174089E-2</c:v>
                </c:pt>
                <c:pt idx="81">
                  <c:v>5.5326175011335792E-2</c:v>
                </c:pt>
                <c:pt idx="82">
                  <c:v>5.5416702183696202E-2</c:v>
                </c:pt>
                <c:pt idx="83">
                  <c:v>5.5507527020058428E-2</c:v>
                </c:pt>
                <c:pt idx="84">
                  <c:v>5.5598672640378474E-2</c:v>
                </c:pt>
                <c:pt idx="85">
                  <c:v>5.5690162216038272E-2</c:v>
                </c:pt>
                <c:pt idx="86">
                  <c:v>5.5782018910813129E-2</c:v>
                </c:pt>
                <c:pt idx="87">
                  <c:v>5.5874265823685168E-2</c:v>
                </c:pt>
                <c:pt idx="88">
                  <c:v>5.5966925933602849E-2</c:v>
                </c:pt>
                <c:pt idx="89">
                  <c:v>5.6060022046234503E-2</c:v>
                </c:pt>
                <c:pt idx="90">
                  <c:v>5.6153576742713512E-2</c:v>
                </c:pt>
                <c:pt idx="91">
                  <c:v>5.6247612330324513E-2</c:v>
                </c:pt>
                <c:pt idx="92">
                  <c:v>5.6342150795032769E-2</c:v>
                </c:pt>
                <c:pt idx="93">
                  <c:v>5.6437213755716871E-2</c:v>
                </c:pt>
                <c:pt idx="94">
                  <c:v>5.6532822419925695E-2</c:v>
                </c:pt>
                <c:pt idx="95">
                  <c:v>5.6628997540945532E-2</c:v>
                </c:pt>
                <c:pt idx="96">
                  <c:v>5.6725759375934756E-2</c:v>
                </c:pt>
                <c:pt idx="97">
                  <c:v>5.6823127644858439E-2</c:v>
                </c:pt>
                <c:pt idx="98">
                  <c:v>5.6921121489938359E-2</c:v>
                </c:pt>
                <c:pt idx="99">
                  <c:v>5.7019759435321303E-2</c:v>
                </c:pt>
                <c:pt idx="100">
                  <c:v>5.711905934666351E-2</c:v>
                </c:pt>
                <c:pt idx="101">
                  <c:v>5.7219038390331038E-2</c:v>
                </c:pt>
                <c:pt idx="102">
                  <c:v>5.7319712991922692E-2</c:v>
                </c:pt>
                <c:pt idx="103">
                  <c:v>5.7421098793838152E-2</c:v>
                </c:pt>
                <c:pt idx="104">
                  <c:v>5.7523210611634304E-2</c:v>
                </c:pt>
                <c:pt idx="105">
                  <c:v>5.7626062388940504E-2</c:v>
                </c:pt>
                <c:pt idx="106">
                  <c:v>5.7729667150737636E-2</c:v>
                </c:pt>
                <c:pt idx="107">
                  <c:v>5.7834036954843918E-2</c:v>
                </c:pt>
                <c:pt idx="108">
                  <c:v>5.7939182841496135E-2</c:v>
                </c:pt>
                <c:pt idx="109">
                  <c:v>5.8045114780962692E-2</c:v>
                </c:pt>
                <c:pt idx="110">
                  <c:v>5.8151841619178732E-2</c:v>
                </c:pt>
                <c:pt idx="111">
                  <c:v>5.8259371021449506E-2</c:v>
                </c:pt>
                <c:pt idx="112">
                  <c:v>5.8367709414327174E-2</c:v>
                </c:pt>
                <c:pt idx="113">
                  <c:v>5.8476861925826733E-2</c:v>
                </c:pt>
                <c:pt idx="114">
                  <c:v>5.8586832324208908E-2</c:v>
                </c:pt>
                <c:pt idx="115">
                  <c:v>5.8697622955619165E-2</c:v>
                </c:pt>
                <c:pt idx="116">
                  <c:v>5.8809234680933763E-2</c:v>
                </c:pt>
                <c:pt idx="117">
                  <c:v>5.8921666812222634E-2</c:v>
                </c:pt>
                <c:pt idx="118">
                  <c:v>5.9034917049296538E-2</c:v>
                </c:pt>
                <c:pt idx="119">
                  <c:v>5.9148981416859835E-2</c:v>
                </c:pt>
                <c:pt idx="120">
                  <c:v>5.9263854202839188E-2</c:v>
                </c:pt>
                <c:pt idx="121">
                  <c:v>5.9379527898504196E-2</c:v>
                </c:pt>
                <c:pt idx="122">
                  <c:v>5.9495993141034362E-2</c:v>
                </c:pt>
                <c:pt idx="123">
                  <c:v>5.9613238659220073E-2</c:v>
                </c:pt>
                <c:pt idx="124">
                  <c:v>5.9731251223010436E-2</c:v>
                </c:pt>
                <c:pt idx="125">
                  <c:v>5.9850015597639417E-2</c:v>
                </c:pt>
                <c:pt idx="126">
                  <c:v>5.9969514503071822E-2</c:v>
                </c:pt>
                <c:pt idx="127">
                  <c:v>6.0089728579512149E-2</c:v>
                </c:pt>
                <c:pt idx="128">
                  <c:v>6.0210636359712223E-2</c:v>
                </c:pt>
                <c:pt idx="129">
                  <c:v>6.0332214248798262E-2</c:v>
                </c:pt>
                <c:pt idx="130">
                  <c:v>6.0454436512311784E-2</c:v>
                </c:pt>
                <c:pt idx="131">
                  <c:v>6.0577275273125883E-2</c:v>
                </c:pt>
                <c:pt idx="132">
                  <c:v>6.0700700517854457E-2</c:v>
                </c:pt>
                <c:pt idx="133">
                  <c:v>6.0824680113321081E-2</c:v>
                </c:pt>
                <c:pt idx="134">
                  <c:v>6.0949179833592979E-2</c:v>
                </c:pt>
                <c:pt idx="135">
                  <c:v>6.1074163398018654E-2</c:v>
                </c:pt>
                <c:pt idx="136">
                  <c:v>6.1199592520630841E-2</c:v>
                </c:pt>
                <c:pt idx="137">
                  <c:v>6.1325426971195023E-2</c:v>
                </c:pt>
                <c:pt idx="138">
                  <c:v>6.1451624648094352E-2</c:v>
                </c:pt>
                <c:pt idx="139">
                  <c:v>6.1578141663148019E-2</c:v>
                </c:pt>
                <c:pt idx="140">
                  <c:v>6.1704932438361844E-2</c:v>
                </c:pt>
                <c:pt idx="141">
                  <c:v>6.1831949814507188E-2</c:v>
                </c:pt>
                <c:pt idx="142">
                  <c:v>6.1959145171320007E-2</c:v>
                </c:pt>
                <c:pt idx="143">
                  <c:v>6.2086468559005466E-2</c:v>
                </c:pt>
                <c:pt idx="144">
                  <c:v>6.2213868840626609E-2</c:v>
                </c:pt>
                <c:pt idx="145">
                  <c:v>6.2341293844849752E-2</c:v>
                </c:pt>
                <c:pt idx="146">
                  <c:v>6.2468690528414257E-2</c:v>
                </c:pt>
                <c:pt idx="147">
                  <c:v>6.2596005147593614E-2</c:v>
                </c:pt>
                <c:pt idx="148">
                  <c:v>6.2723183437816021E-2</c:v>
                </c:pt>
                <c:pt idx="149">
                  <c:v>6.2850170800521105E-2</c:v>
                </c:pt>
                <c:pt idx="150">
                  <c:v>6.2976912496241683E-2</c:v>
                </c:pt>
                <c:pt idx="151">
                  <c:v>6.3103353842821105E-2</c:v>
                </c:pt>
                <c:pt idx="152">
                  <c:v>6.3229440417604227E-2</c:v>
                </c:pt>
                <c:pt idx="153">
                  <c:v>6.3355118262377885E-2</c:v>
                </c:pt>
                <c:pt idx="154">
                  <c:v>6.3480334089783957E-2</c:v>
                </c:pt>
                <c:pt idx="155">
                  <c:v>6.3605035489884512E-2</c:v>
                </c:pt>
                <c:pt idx="156">
                  <c:v>6.3729171135528728E-2</c:v>
                </c:pt>
                <c:pt idx="157">
                  <c:v>6.3852690985148813E-2</c:v>
                </c:pt>
                <c:pt idx="158">
                  <c:v>6.3975546481606263E-2</c:v>
                </c:pt>
                <c:pt idx="159">
                  <c:v>6.4097690745711741E-2</c:v>
                </c:pt>
                <c:pt idx="160">
                  <c:v>6.4219078763059698E-2</c:v>
                </c:pt>
                <c:pt idx="161">
                  <c:v>6.4339667562846148E-2</c:v>
                </c:pt>
                <c:pt idx="162">
                  <c:v>6.4459416387379856E-2</c:v>
                </c:pt>
                <c:pt idx="163">
                  <c:v>6.4578286851049438E-2</c:v>
                </c:pt>
                <c:pt idx="164">
                  <c:v>6.4696243087573713E-2</c:v>
                </c:pt>
                <c:pt idx="165">
                  <c:v>6.4813251884438719E-2</c:v>
                </c:pt>
                <c:pt idx="166">
                  <c:v>6.4929282803510444E-2</c:v>
                </c:pt>
                <c:pt idx="167">
                  <c:v>6.5044308286909477E-2</c:v>
                </c:pt>
                <c:pt idx="168">
                  <c:v>6.5158303747339122E-2</c:v>
                </c:pt>
                <c:pt idx="169">
                  <c:v>6.5271247642171917E-2</c:v>
                </c:pt>
                <c:pt idx="170">
                  <c:v>6.5383121530720484E-2</c:v>
                </c:pt>
                <c:pt idx="171">
                  <c:v>6.5493910114246282E-2</c:v>
                </c:pt>
                <c:pt idx="172">
                  <c:v>6.5603601258390959E-2</c:v>
                </c:pt>
                <c:pt idx="173">
                  <c:v>6.5712185997851391E-2</c:v>
                </c:pt>
                <c:pt idx="174">
                  <c:v>6.581965852325794E-2</c:v>
                </c:pt>
                <c:pt idx="175">
                  <c:v>6.5926016150353955E-2</c:v>
                </c:pt>
                <c:pt idx="176">
                  <c:v>6.603125927171534E-2</c:v>
                </c:pt>
                <c:pt idx="177">
                  <c:v>6.6135391291385556E-2</c:v>
                </c:pt>
                <c:pt idx="178">
                  <c:v>6.6238418542937424E-2</c:v>
                </c:pt>
                <c:pt idx="179">
                  <c:v>6.6340350191603767E-2</c:v>
                </c:pt>
                <c:pt idx="180">
                  <c:v>6.6441198121244507E-2</c:v>
                </c:pt>
                <c:pt idx="181">
                  <c:v>6.6540976807037189E-2</c:v>
                </c:pt>
                <c:pt idx="182">
                  <c:v>6.6639703174888959E-2</c:v>
                </c:pt>
                <c:pt idx="183">
                  <c:v>6.6737396448670619E-2</c:v>
                </c:pt>
                <c:pt idx="184">
                  <c:v>6.6834077986465845E-2</c:v>
                </c:pt>
                <c:pt idx="185">
                  <c:v>6.6929771107110667E-2</c:v>
                </c:pt>
                <c:pt idx="186">
                  <c:v>6.7024500908368159E-2</c:v>
                </c:pt>
                <c:pt idx="187">
                  <c:v>6.7118294078141696E-2</c:v>
                </c:pt>
                <c:pt idx="188">
                  <c:v>6.7211178700174415E-2</c:v>
                </c:pt>
                <c:pt idx="189">
                  <c:v>6.7303184055715004E-2</c:v>
                </c:pt>
                <c:pt idx="190">
                  <c:v>6.7394340422647483E-2</c:v>
                </c:pt>
                <c:pt idx="191">
                  <c:v>6.7484678873586793E-2</c:v>
                </c:pt>
                <c:pt idx="192">
                  <c:v>6.7574231074432625E-2</c:v>
                </c:pt>
                <c:pt idx="193">
                  <c:v>6.7663029084850557E-2</c:v>
                </c:pt>
                <c:pt idx="194">
                  <c:v>6.7751105162112135E-2</c:v>
                </c:pt>
                <c:pt idx="195">
                  <c:v>6.7838491569675891E-2</c:v>
                </c:pt>
                <c:pt idx="196">
                  <c:v>6.7925220391828578E-2</c:v>
                </c:pt>
                <c:pt idx="197">
                  <c:v>6.8011323355630829E-2</c:v>
                </c:pt>
                <c:pt idx="198">
                  <c:v>6.8096831661326157E-2</c:v>
                </c:pt>
                <c:pt idx="199">
                  <c:v>6.8181775822275317E-2</c:v>
                </c:pt>
                <c:pt idx="200">
                  <c:v>6.826618551537332E-2</c:v>
                </c:pt>
                <c:pt idx="201">
                  <c:v>6.8350089442791903E-2</c:v>
                </c:pt>
                <c:pt idx="202">
                  <c:v>6.8433515205770235E-2</c:v>
                </c:pt>
                <c:pt idx="203">
                  <c:v>6.8516489191049509E-2</c:v>
                </c:pt>
                <c:pt idx="204">
                  <c:v>6.8599036470416319E-2</c:v>
                </c:pt>
                <c:pt idx="205">
                  <c:v>6.8681180713685744E-2</c:v>
                </c:pt>
                <c:pt idx="206">
                  <c:v>6.8762944115319233E-2</c:v>
                </c:pt>
                <c:pt idx="207">
                  <c:v>6.8844347334735989E-2</c:v>
                </c:pt>
                <c:pt idx="208">
                  <c:v>6.8925409450242295E-2</c:v>
                </c:pt>
                <c:pt idx="209">
                  <c:v>6.9006147926370415E-2</c:v>
                </c:pt>
                <c:pt idx="210">
                  <c:v>6.9086578594290349E-2</c:v>
                </c:pt>
                <c:pt idx="211">
                  <c:v>6.9166715644834842E-2</c:v>
                </c:pt>
                <c:pt idx="212">
                  <c:v>6.9246571633561654E-2</c:v>
                </c:pt>
                <c:pt idx="213">
                  <c:v>6.932615749716782E-2</c:v>
                </c:pt>
                <c:pt idx="214">
                  <c:v>6.9405482580471481E-2</c:v>
                </c:pt>
                <c:pt idx="215">
                  <c:v>6.9484554673087007E-2</c:v>
                </c:pt>
                <c:pt idx="216">
                  <c:v>6.9563380054840016E-2</c:v>
                </c:pt>
                <c:pt idx="217">
                  <c:v>6.9641963548902078E-2</c:v>
                </c:pt>
                <c:pt idx="218">
                  <c:v>6.9720308581570009E-2</c:v>
                </c:pt>
                <c:pt idx="219">
                  <c:v>6.979841724757356E-2</c:v>
                </c:pt>
                <c:pt idx="220">
                  <c:v>6.9876290379765935E-2</c:v>
                </c:pt>
                <c:pt idx="221">
                  <c:v>6.9953927622038642E-2</c:v>
                </c:pt>
                <c:pt idx="222">
                  <c:v>7.0031327504299648E-2</c:v>
                </c:pt>
                <c:pt idx="223">
                  <c:v>7.0108487518368498E-2</c:v>
                </c:pt>
                <c:pt idx="224">
                  <c:v>7.0185404193667478E-2</c:v>
                </c:pt>
                <c:pt idx="225">
                  <c:v>7.0262073171628608E-2</c:v>
                </c:pt>
                <c:pt idx="226">
                  <c:v>7.033848927778856E-2</c:v>
                </c:pt>
                <c:pt idx="227">
                  <c:v>7.0414646590608809E-2</c:v>
                </c:pt>
                <c:pt idx="228">
                  <c:v>7.049053850613432E-2</c:v>
                </c:pt>
                <c:pt idx="229">
                  <c:v>7.0566157797691528E-2</c:v>
                </c:pt>
                <c:pt idx="230">
                  <c:v>7.0641496669922102E-2</c:v>
                </c:pt>
                <c:pt idx="231">
                  <c:v>7.0716546806554481E-2</c:v>
                </c:pt>
                <c:pt idx="232">
                  <c:v>7.0791299411427006E-2</c:v>
                </c:pt>
                <c:pt idx="233">
                  <c:v>7.0865745242394362E-2</c:v>
                </c:pt>
                <c:pt idx="234">
                  <c:v>7.0939874637871644E-2</c:v>
                </c:pt>
                <c:pt idx="235">
                  <c:v>7.1013677535896602E-2</c:v>
                </c:pt>
                <c:pt idx="236">
                  <c:v>7.1087143485716833E-2</c:v>
                </c:pt>
                <c:pt idx="237">
                  <c:v>7.1160261652037413E-2</c:v>
                </c:pt>
                <c:pt idx="238">
                  <c:v>7.123302081218981E-2</c:v>
                </c:pt>
                <c:pt idx="239">
                  <c:v>7.1305409346606605E-2</c:v>
                </c:pt>
                <c:pt idx="240">
                  <c:v>7.1377415223105409E-2</c:v>
                </c:pt>
                <c:pt idx="241">
                  <c:v>7.144902597559874E-2</c:v>
                </c:pt>
                <c:pt idx="242">
                  <c:v>7.1520228677952769E-2</c:v>
                </c:pt>
                <c:pt idx="243">
                  <c:v>7.1591009913815201E-2</c:v>
                </c:pt>
                <c:pt idx="244">
                  <c:v>7.166135574332097E-2</c:v>
                </c:pt>
                <c:pt idx="245">
                  <c:v>7.1731251667661311E-2</c:v>
                </c:pt>
                <c:pt idx="246">
                  <c:v>7.180068259256725E-2</c:v>
                </c:pt>
                <c:pt idx="247">
                  <c:v>7.1869632791810967E-2</c:v>
                </c:pt>
                <c:pt idx="248">
                  <c:v>7.1938085871867952E-2</c:v>
                </c:pt>
                <c:pt idx="249">
                  <c:v>7.2006024738907534E-2</c:v>
                </c:pt>
                <c:pt idx="250">
                  <c:v>7.2073431569290067E-2</c:v>
                </c:pt>
                <c:pt idx="251">
                  <c:v>7.2140287784744281E-2</c:v>
                </c:pt>
                <c:pt idx="252">
                  <c:v>7.2206574033379267E-2</c:v>
                </c:pt>
                <c:pt idx="253">
                  <c:v>7.2272270177650713E-2</c:v>
                </c:pt>
                <c:pt idx="254">
                  <c:v>7.233735529035161E-2</c:v>
                </c:pt>
                <c:pt idx="255">
                  <c:v>7.2401807659633999E-2</c:v>
                </c:pt>
                <c:pt idx="256">
                  <c:v>7.2465604803990599E-2</c:v>
                </c:pt>
                <c:pt idx="257">
                  <c:v>7.2528723498033409E-2</c:v>
                </c:pt>
                <c:pt idx="258">
                  <c:v>7.2591139809803501E-2</c:v>
                </c:pt>
                <c:pt idx="259">
                  <c:v>7.2652829150230289E-2</c:v>
                </c:pt>
                <c:pt idx="260">
                  <c:v>7.2713766335233659E-2</c:v>
                </c:pt>
                <c:pt idx="261">
                  <c:v>7.2773925660826841E-2</c:v>
                </c:pt>
                <c:pt idx="262">
                  <c:v>7.2833280991435642E-2</c:v>
                </c:pt>
                <c:pt idx="263">
                  <c:v>7.2891805861500292E-2</c:v>
                </c:pt>
                <c:pt idx="264">
                  <c:v>7.2949473590272693E-2</c:v>
                </c:pt>
                <c:pt idx="265">
                  <c:v>7.3006257409563777E-2</c:v>
                </c:pt>
                <c:pt idx="266">
                  <c:v>7.3062130604037365E-2</c:v>
                </c:pt>
                <c:pt idx="267">
                  <c:v>7.3117066663487898E-2</c:v>
                </c:pt>
                <c:pt idx="268">
                  <c:v>7.3171039446382272E-2</c:v>
                </c:pt>
                <c:pt idx="269">
                  <c:v>7.3224023353792911E-2</c:v>
                </c:pt>
                <c:pt idx="270">
                  <c:v>7.3275993512699311E-2</c:v>
                </c:pt>
                <c:pt idx="271">
                  <c:v>7.3326925967496237E-2</c:v>
                </c:pt>
                <c:pt idx="272">
                  <c:v>7.3376797878411087E-2</c:v>
                </c:pt>
                <c:pt idx="273">
                  <c:v>7.3425587725411676E-2</c:v>
                </c:pt>
                <c:pt idx="274">
                  <c:v>7.3473275516073355E-2</c:v>
                </c:pt>
                <c:pt idx="275">
                  <c:v>7.3519842995775561E-2</c:v>
                </c:pt>
                <c:pt idx="276">
                  <c:v>7.3565273858513677E-2</c:v>
                </c:pt>
                <c:pt idx="277">
                  <c:v>7.3609553956542298E-2</c:v>
                </c:pt>
                <c:pt idx="278">
                  <c:v>7.3652671507012615E-2</c:v>
                </c:pt>
                <c:pt idx="279">
                  <c:v>7.3694617293730655E-2</c:v>
                </c:pt>
                <c:pt idx="280">
                  <c:v>7.3735384862144232E-2</c:v>
                </c:pt>
                <c:pt idx="281">
                  <c:v>7.3774970705665743E-2</c:v>
                </c:pt>
                <c:pt idx="282">
                  <c:v>7.3813374441456261E-2</c:v>
                </c:pt>
                <c:pt idx="283">
                  <c:v>7.3850598973832268E-2</c:v>
                </c:pt>
                <c:pt idx="284">
                  <c:v>7.3886650643511895E-2</c:v>
                </c:pt>
                <c:pt idx="285">
                  <c:v>7.3921539360989802E-2</c:v>
                </c:pt>
                <c:pt idx="286">
                  <c:v>7.3955278722421997E-2</c:v>
                </c:pt>
                <c:pt idx="287">
                  <c:v>7.3987886106508527E-2</c:v>
                </c:pt>
                <c:pt idx="288">
                  <c:v>7.4019382750987725E-2</c:v>
                </c:pt>
                <c:pt idx="289">
                  <c:v>7.404979380749499E-2</c:v>
                </c:pt>
                <c:pt idx="290">
                  <c:v>7.4079148373693005E-2</c:v>
                </c:pt>
                <c:pt idx="291">
                  <c:v>7.4107479501748355E-2</c:v>
                </c:pt>
                <c:pt idx="292">
                  <c:v>7.4134824182407064E-2</c:v>
                </c:pt>
                <c:pt idx="293">
                  <c:v>7.4161223304111346E-2</c:v>
                </c:pt>
                <c:pt idx="294">
                  <c:v>7.4186721586796345E-2</c:v>
                </c:pt>
                <c:pt idx="295">
                  <c:v>7.4211367490209304E-2</c:v>
                </c:pt>
                <c:pt idx="296">
                  <c:v>7.4235213096802616E-2</c:v>
                </c:pt>
                <c:pt idx="297">
                  <c:v>7.4258313969462419E-2</c:v>
                </c:pt>
                <c:pt idx="298">
                  <c:v>7.4280728984547448E-2</c:v>
                </c:pt>
                <c:pt idx="299">
                  <c:v>7.4302520140923409E-2</c:v>
                </c:pt>
                <c:pt idx="300">
                  <c:v>7.4323752345885841E-2</c:v>
                </c:pt>
                <c:pt idx="301">
                  <c:v>7.4344493179067786E-2</c:v>
                </c:pt>
                <c:pt idx="302">
                  <c:v>7.4364812635624153E-2</c:v>
                </c:pt>
                <c:pt idx="303">
                  <c:v>7.4384782850171263E-2</c:v>
                </c:pt>
                <c:pt idx="304">
                  <c:v>7.4404477803137373E-2</c:v>
                </c:pt>
                <c:pt idx="305">
                  <c:v>7.4423973011342348E-2</c:v>
                </c:pt>
                <c:pt idx="306">
                  <c:v>7.4443345204775774E-2</c:v>
                </c:pt>
                <c:pt idx="307">
                  <c:v>7.4462671991676568E-2</c:v>
                </c:pt>
                <c:pt idx="308">
                  <c:v>7.4482031514134003E-2</c:v>
                </c:pt>
                <c:pt idx="309">
                  <c:v>7.4501502096530475E-2</c:v>
                </c:pt>
                <c:pt idx="310">
                  <c:v>7.4521161889225224E-2</c:v>
                </c:pt>
                <c:pt idx="311">
                  <c:v>7.4541088509939776E-2</c:v>
                </c:pt>
                <c:pt idx="312">
                  <c:v>7.4561358685343804E-2</c:v>
                </c:pt>
                <c:pt idx="313">
                  <c:v>7.4582047895359979E-2</c:v>
                </c:pt>
                <c:pt idx="314">
                  <c:v>7.4603230022701958E-2</c:v>
                </c:pt>
                <c:pt idx="315">
                  <c:v>7.4624977010135998E-2</c:v>
                </c:pt>
                <c:pt idx="316">
                  <c:v>7.4647358527910074E-2</c:v>
                </c:pt>
                <c:pt idx="317">
                  <c:v>7.467044165372734E-2</c:v>
                </c:pt>
                <c:pt idx="318">
                  <c:v>7.4694290567553015E-2</c:v>
                </c:pt>
                <c:pt idx="319">
                  <c:v>7.4718966263436451E-2</c:v>
                </c:pt>
                <c:pt idx="320">
                  <c:v>7.4744526280402873E-2</c:v>
                </c:pt>
                <c:pt idx="321">
                  <c:v>7.4771024454325763E-2</c:v>
                </c:pt>
                <c:pt idx="322">
                  <c:v>7.4798510692528783E-2</c:v>
                </c:pt>
                <c:pt idx="323">
                  <c:v>7.4827030772690609E-2</c:v>
                </c:pt>
                <c:pt idx="324">
                  <c:v>7.4856626167435741E-2</c:v>
                </c:pt>
                <c:pt idx="325">
                  <c:v>7.4887333895792024E-2</c:v>
                </c:pt>
                <c:pt idx="326">
                  <c:v>7.491918640248442E-2</c:v>
                </c:pt>
                <c:pt idx="327">
                  <c:v>7.495221146581324E-2</c:v>
                </c:pt>
                <c:pt idx="328">
                  <c:v>7.4986432134638695E-2</c:v>
                </c:pt>
                <c:pt idx="329">
                  <c:v>7.5021866694762879E-2</c:v>
                </c:pt>
                <c:pt idx="330">
                  <c:v>7.5058528664766921E-2</c:v>
                </c:pt>
                <c:pt idx="331">
                  <c:v>7.5096426821127632E-2</c:v>
                </c:pt>
                <c:pt idx="332">
                  <c:v>7.5135565252207076E-2</c:v>
                </c:pt>
                <c:pt idx="333">
                  <c:v>7.5175943440481646E-2</c:v>
                </c:pt>
                <c:pt idx="334">
                  <c:v>7.5217556372155062E-2</c:v>
                </c:pt>
                <c:pt idx="335">
                  <c:v>7.5260394673088524E-2</c:v>
                </c:pt>
                <c:pt idx="336">
                  <c:v>7.5304444769776893E-2</c:v>
                </c:pt>
                <c:pt idx="337">
                  <c:v>7.5349689073909418E-2</c:v>
                </c:pt>
                <c:pt idx="338">
                  <c:v>7.5396106188876225E-2</c:v>
                </c:pt>
                <c:pt idx="339">
                  <c:v>7.5443671136418436E-2</c:v>
                </c:pt>
                <c:pt idx="340">
                  <c:v>7.5492355601474576E-2</c:v>
                </c:pt>
                <c:pt idx="341">
                  <c:v>7.5542128193147137E-2</c:v>
                </c:pt>
                <c:pt idx="342">
                  <c:v>7.5592954719603825E-2</c:v>
                </c:pt>
                <c:pt idx="343">
                  <c:v>7.5644798474638272E-2</c:v>
                </c:pt>
                <c:pt idx="344">
                  <c:v>7.5697620533545368E-2</c:v>
                </c:pt>
                <c:pt idx="345">
                  <c:v>7.5751380055918277E-2</c:v>
                </c:pt>
                <c:pt idx="346">
                  <c:v>7.5806034592946631E-2</c:v>
                </c:pt>
                <c:pt idx="347">
                  <c:v>7.5861540396790175E-2</c:v>
                </c:pt>
                <c:pt idx="348">
                  <c:v>7.5917852729616819E-2</c:v>
                </c:pt>
                <c:pt idx="349">
                  <c:v>7.5974926169931248E-2</c:v>
                </c:pt>
                <c:pt idx="350">
                  <c:v>7.6032714913877184E-2</c:v>
                </c:pt>
                <c:pt idx="351">
                  <c:v>7.6091173069272641E-2</c:v>
                </c:pt>
                <c:pt idx="352">
                  <c:v>7.6150254940234433E-2</c:v>
                </c:pt>
                <c:pt idx="353">
                  <c:v>7.6209915300361086E-2</c:v>
                </c:pt>
                <c:pt idx="354">
                  <c:v>7.6270109652574331E-2</c:v>
                </c:pt>
                <c:pt idx="355">
                  <c:v>7.6330794473865621E-2</c:v>
                </c:pt>
                <c:pt idx="356">
                  <c:v>7.6391927443353297E-2</c:v>
                </c:pt>
                <c:pt idx="357">
                  <c:v>7.6453467652229115E-2</c:v>
                </c:pt>
                <c:pt idx="358">
                  <c:v>7.6515375794355273E-2</c:v>
                </c:pt>
                <c:pt idx="359">
                  <c:v>7.6577614336464442E-2</c:v>
                </c:pt>
                <c:pt idx="360">
                  <c:v>7.6640147667114786E-2</c:v>
                </c:pt>
                <c:pt idx="361">
                  <c:v>7.6702942223754483E-2</c:v>
                </c:pt>
                <c:pt idx="362">
                  <c:v>7.6765966597457394E-2</c:v>
                </c:pt>
                <c:pt idx="363">
                  <c:v>7.6829191615099393E-2</c:v>
                </c:pt>
                <c:pt idx="364">
                  <c:v>7.6892590398950827E-2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2.2007247483054916E-3</c:v>
                </c:pt>
                <c:pt idx="1">
                  <c:v>2.1417658533829475E-3</c:v>
                </c:pt>
                <c:pt idx="2">
                  <c:v>2.0848230772585719E-3</c:v>
                </c:pt>
                <c:pt idx="3">
                  <c:v>2.0299431612340688E-3</c:v>
                </c:pt>
                <c:pt idx="4">
                  <c:v>1.9771653479888009E-3</c:v>
                </c:pt>
                <c:pt idx="5">
                  <c:v>1.9265216254794428E-3</c:v>
                </c:pt>
                <c:pt idx="6">
                  <c:v>1.8780370244152213E-3</c:v>
                </c:pt>
                <c:pt idx="7">
                  <c:v>1.8317299624115418E-3</c:v>
                </c:pt>
                <c:pt idx="8">
                  <c:v>1.7873962640021254E-3</c:v>
                </c:pt>
                <c:pt idx="9">
                  <c:v>1.7458627300713601E-3</c:v>
                </c:pt>
                <c:pt idx="10">
                  <c:v>1.708254742373174E-3</c:v>
                </c:pt>
                <c:pt idx="11">
                  <c:v>1.6745622763593801E-3</c:v>
                </c:pt>
                <c:pt idx="12">
                  <c:v>1.6447628644422224E-3</c:v>
                </c:pt>
                <c:pt idx="13">
                  <c:v>1.6188232412535902E-3</c:v>
                </c:pt>
                <c:pt idx="14">
                  <c:v>1.5967009608356978E-3</c:v>
                </c:pt>
                <c:pt idx="15">
                  <c:v>1.5761904032887955E-3</c:v>
                </c:pt>
                <c:pt idx="16">
                  <c:v>1.5545176897769858E-3</c:v>
                </c:pt>
                <c:pt idx="17">
                  <c:v>1.5317766549492087E-3</c:v>
                </c:pt>
                <c:pt idx="18">
                  <c:v>1.508056247078149E-3</c:v>
                </c:pt>
                <c:pt idx="19">
                  <c:v>1.4834485482928404E-3</c:v>
                </c:pt>
                <c:pt idx="20">
                  <c:v>1.4580434334285771E-3</c:v>
                </c:pt>
                <c:pt idx="21">
                  <c:v>1.4319183071223422E-3</c:v>
                </c:pt>
                <c:pt idx="22">
                  <c:v>1.4049485995555862E-3</c:v>
                </c:pt>
                <c:pt idx="23">
                  <c:v>1.3772266183017605E-3</c:v>
                </c:pt>
                <c:pt idx="24">
                  <c:v>1.3479928553488223E-3</c:v>
                </c:pt>
                <c:pt idx="25">
                  <c:v>1.3173624943684686E-3</c:v>
                </c:pt>
                <c:pt idx="26">
                  <c:v>1.285443464012097E-3</c:v>
                </c:pt>
                <c:pt idx="27">
                  <c:v>1.2523361518526409E-3</c:v>
                </c:pt>
                <c:pt idx="28">
                  <c:v>1.2181332330750329E-3</c:v>
                </c:pt>
                <c:pt idx="29">
                  <c:v>1.1834728301184519E-3</c:v>
                </c:pt>
                <c:pt idx="30">
                  <c:v>1.150245712609233E-3</c:v>
                </c:pt>
                <c:pt idx="31">
                  <c:v>1.1184441613561792E-3</c:v>
                </c:pt>
                <c:pt idx="32">
                  <c:v>1.0880565006542633E-3</c:v>
                </c:pt>
                <c:pt idx="33">
                  <c:v>1.0590677505089793E-3</c:v>
                </c:pt>
                <c:pt idx="34">
                  <c:v>1.0314602307030382E-3</c:v>
                </c:pt>
                <c:pt idx="35">
                  <c:v>1.0052141174703379E-3</c:v>
                </c:pt>
                <c:pt idx="36">
                  <c:v>9.8023341008628227E-4</c:v>
                </c:pt>
                <c:pt idx="37">
                  <c:v>9.5576879690179668E-4</c:v>
                </c:pt>
                <c:pt idx="38">
                  <c:v>9.3164317555844637E-4</c:v>
                </c:pt>
                <c:pt idx="39">
                  <c:v>9.078499839814965E-4</c:v>
                </c:pt>
                <c:pt idx="40">
                  <c:v>8.8438251947172385E-4</c:v>
                </c:pt>
                <c:pt idx="41">
                  <c:v>8.6123398713567007E-4</c:v>
                </c:pt>
                <c:pt idx="42">
                  <c:v>8.3839754401035613E-4</c:v>
                </c:pt>
                <c:pt idx="43">
                  <c:v>8.1549877792754877E-4</c:v>
                </c:pt>
                <c:pt idx="44">
                  <c:v>7.9206511944588558E-4</c:v>
                </c:pt>
                <c:pt idx="45">
                  <c:v>7.6811260767529988E-4</c:v>
                </c:pt>
                <c:pt idx="46">
                  <c:v>7.4365644272006101E-4</c:v>
                </c:pt>
                <c:pt idx="47">
                  <c:v>7.1871102594169218E-4</c:v>
                </c:pt>
                <c:pt idx="48">
                  <c:v>6.9328999329992889E-4</c:v>
                </c:pt>
                <c:pt idx="49">
                  <c:v>6.6740624151062622E-4</c:v>
                </c:pt>
                <c:pt idx="50">
                  <c:v>6.4106763886163747E-4</c:v>
                </c:pt>
                <c:pt idx="51">
                  <c:v>6.1457561898227051E-4</c:v>
                </c:pt>
                <c:pt idx="52">
                  <c:v>5.8849438704943174E-4</c:v>
                </c:pt>
                <c:pt idx="53">
                  <c:v>5.6280980027772966E-4</c:v>
                </c:pt>
                <c:pt idx="54">
                  <c:v>5.3751146838188358E-4</c:v>
                </c:pt>
                <c:pt idx="55">
                  <c:v>5.1258952917588316E-4</c:v>
                </c:pt>
                <c:pt idx="56">
                  <c:v>4.8803460010382024E-4</c:v>
                </c:pt>
                <c:pt idx="57">
                  <c:v>4.6438224748404861E-4</c:v>
                </c:pt>
                <c:pt idx="58">
                  <c:v>4.4193341340509205E-4</c:v>
                </c:pt>
                <c:pt idx="59">
                  <c:v>4.2065931048416928E-4</c:v>
                </c:pt>
                <c:pt idx="60">
                  <c:v>4.0053214713728873E-4</c:v>
                </c:pt>
                <c:pt idx="61">
                  <c:v>3.8152507123975587E-4</c:v>
                </c:pt>
                <c:pt idx="62">
                  <c:v>3.6361211988678098E-4</c:v>
                </c:pt>
                <c:pt idx="63">
                  <c:v>3.4676817528804505E-4</c:v>
                </c:pt>
                <c:pt idx="64">
                  <c:v>3.3096040191656171E-4</c:v>
                </c:pt>
                <c:pt idx="65">
                  <c:v>3.1640267853163124E-4</c:v>
                </c:pt>
                <c:pt idx="66">
                  <c:v>3.0281123066756182E-4</c:v>
                </c:pt>
                <c:pt idx="67">
                  <c:v>2.9016924988996154E-4</c:v>
                </c:pt>
                <c:pt idx="68">
                  <c:v>2.78459778072383E-4</c:v>
                </c:pt>
                <c:pt idx="69">
                  <c:v>2.6766584102382544E-4</c:v>
                </c:pt>
                <c:pt idx="70">
                  <c:v>2.5777057617237364E-4</c:v>
                </c:pt>
                <c:pt idx="71">
                  <c:v>2.4878152991996983E-4</c:v>
                </c:pt>
                <c:pt idx="72">
                  <c:v>2.4019632861314389E-4</c:v>
                </c:pt>
                <c:pt idx="73">
                  <c:v>2.32008526993194E-4</c:v>
                </c:pt>
                <c:pt idx="74">
                  <c:v>2.2421160989905971E-4</c:v>
                </c:pt>
                <c:pt idx="75">
                  <c:v>2.1679904085093382E-4</c:v>
                </c:pt>
                <c:pt idx="76">
                  <c:v>2.09764308747402E-4</c:v>
                </c:pt>
                <c:pt idx="77">
                  <c:v>2.0310097272523248E-4</c:v>
                </c:pt>
                <c:pt idx="78">
                  <c:v>1.9679021673137703E-4</c:v>
                </c:pt>
                <c:pt idx="79">
                  <c:v>1.9088638031467445E-4</c:v>
                </c:pt>
                <c:pt idx="80">
                  <c:v>1.8516617485770908E-4</c:v>
                </c:pt>
                <c:pt idx="81">
                  <c:v>1.7962892369009244E-4</c:v>
                </c:pt>
                <c:pt idx="82">
                  <c:v>1.7427355273153168E-4</c:v>
                </c:pt>
                <c:pt idx="83">
                  <c:v>1.6909863643159838E-4</c:v>
                </c:pt>
                <c:pt idx="84">
                  <c:v>1.6410244201342625E-4</c:v>
                </c:pt>
                <c:pt idx="85">
                  <c:v>1.5935408522688288E-4</c:v>
                </c:pt>
                <c:pt idx="86">
                  <c:v>1.5482810056275973E-4</c:v>
                </c:pt>
                <c:pt idx="87">
                  <c:v>1.5052164736362378E-4</c:v>
                </c:pt>
                <c:pt idx="88">
                  <c:v>1.4643184617751302E-4</c:v>
                </c:pt>
                <c:pt idx="89">
                  <c:v>1.4255582127007104E-4</c:v>
                </c:pt>
                <c:pt idx="90">
                  <c:v>1.3889074104223649E-4</c:v>
                </c:pt>
                <c:pt idx="91">
                  <c:v>1.3543385657403584E-4</c:v>
                </c:pt>
                <c:pt idx="92">
                  <c:v>1.3217684968889147E-4</c:v>
                </c:pt>
                <c:pt idx="93">
                  <c:v>1.2911407560619844E-4</c:v>
                </c:pt>
                <c:pt idx="94">
                  <c:v>1.2617607868512784E-4</c:v>
                </c:pt>
                <c:pt idx="95">
                  <c:v>1.2336017644393174E-4</c:v>
                </c:pt>
                <c:pt idx="96">
                  <c:v>1.206638099524617E-4</c:v>
                </c:pt>
                <c:pt idx="97">
                  <c:v>1.1808454668340348E-4</c:v>
                </c:pt>
                <c:pt idx="98">
                  <c:v>1.1562008348083887E-4</c:v>
                </c:pt>
                <c:pt idx="99">
                  <c:v>1.1327824208116082E-4</c:v>
                </c:pt>
                <c:pt idx="100">
                  <c:v>1.1098686361434014E-4</c:v>
                </c:pt>
                <c:pt idx="101">
                  <c:v>1.0874363092129188E-4</c:v>
                </c:pt>
                <c:pt idx="102">
                  <c:v>1.0654621941235904E-4</c:v>
                </c:pt>
                <c:pt idx="103">
                  <c:v>1.0439229699925256E-4</c:v>
                </c:pt>
                <c:pt idx="104">
                  <c:v>1.0227952402652951E-4</c:v>
                </c:pt>
                <c:pt idx="105">
                  <c:v>1.0020555313748987E-4</c:v>
                </c:pt>
                <c:pt idx="106">
                  <c:v>9.816758209574568E-5</c:v>
                </c:pt>
                <c:pt idx="107">
                  <c:v>9.6199358362955906E-5</c:v>
                </c:pt>
                <c:pt idx="108">
                  <c:v>9.42954751250563E-5</c:v>
                </c:pt>
                <c:pt idx="109">
                  <c:v>9.2453918172172601E-5</c:v>
                </c:pt>
                <c:pt idx="110">
                  <c:v>9.0673009758666982E-5</c:v>
                </c:pt>
                <c:pt idx="111">
                  <c:v>8.8951136652869924E-5</c:v>
                </c:pt>
                <c:pt idx="112">
                  <c:v>8.728649918365416E-5</c:v>
                </c:pt>
                <c:pt idx="113">
                  <c:v>8.570696868215792E-5</c:v>
                </c:pt>
                <c:pt idx="114">
                  <c:v>8.4201138915928066E-5</c:v>
                </c:pt>
                <c:pt idx="115">
                  <c:v>8.276803740317686E-5</c:v>
                </c:pt>
                <c:pt idx="116">
                  <c:v>8.1406829012789731E-5</c:v>
                </c:pt>
                <c:pt idx="117">
                  <c:v>8.0116817277597381E-5</c:v>
                </c:pt>
                <c:pt idx="118">
                  <c:v>7.8897445751447621E-5</c:v>
                </c:pt>
                <c:pt idx="119">
                  <c:v>7.7748299428094273E-5</c:v>
                </c:pt>
                <c:pt idx="120">
                  <c:v>7.6670269825010272E-5</c:v>
                </c:pt>
                <c:pt idx="121">
                  <c:v>7.5707729053627688E-5</c:v>
                </c:pt>
                <c:pt idx="122">
                  <c:v>7.4820716594801E-5</c:v>
                </c:pt>
                <c:pt idx="123">
                  <c:v>7.4009077684596415E-5</c:v>
                </c:pt>
                <c:pt idx="124">
                  <c:v>7.3272854383421649E-5</c:v>
                </c:pt>
                <c:pt idx="125">
                  <c:v>7.2612281182607338E-5</c:v>
                </c:pt>
                <c:pt idx="126">
                  <c:v>7.202778054515563E-5</c:v>
                </c:pt>
                <c:pt idx="127">
                  <c:v>7.1508324870573728E-5</c:v>
                </c:pt>
                <c:pt idx="128">
                  <c:v>7.1019804687758923E-5</c:v>
                </c:pt>
                <c:pt idx="129">
                  <c:v>7.0561462505994065E-5</c:v>
                </c:pt>
                <c:pt idx="130">
                  <c:v>7.0132609104611881E-5</c:v>
                </c:pt>
                <c:pt idx="131">
                  <c:v>6.9732622072152825E-5</c:v>
                </c:pt>
                <c:pt idx="132">
                  <c:v>6.9360944429642523E-5</c:v>
                </c:pt>
                <c:pt idx="133">
                  <c:v>6.9017083287883772E-5</c:v>
                </c:pt>
                <c:pt idx="134">
                  <c:v>6.8702302550241771E-5</c:v>
                </c:pt>
                <c:pt idx="135">
                  <c:v>6.8399505775228197E-5</c:v>
                </c:pt>
                <c:pt idx="136">
                  <c:v>6.8055684922006316E-5</c:v>
                </c:pt>
                <c:pt idx="137">
                  <c:v>6.7668005634879814E-5</c:v>
                </c:pt>
                <c:pt idx="138">
                  <c:v>6.7233581140007303E-5</c:v>
                </c:pt>
                <c:pt idx="139">
                  <c:v>6.6749479156718799E-5</c:v>
                </c:pt>
                <c:pt idx="140">
                  <c:v>6.6212729513217219E-5</c:v>
                </c:pt>
                <c:pt idx="141">
                  <c:v>6.565640695747859E-5</c:v>
                </c:pt>
                <c:pt idx="142">
                  <c:v>6.5092319976612771E-5</c:v>
                </c:pt>
                <c:pt idx="143">
                  <c:v>6.4519068945863663E-5</c:v>
                </c:pt>
                <c:pt idx="144">
                  <c:v>6.3935694384045194E-5</c:v>
                </c:pt>
                <c:pt idx="145">
                  <c:v>6.3341281676138539E-5</c:v>
                </c:pt>
                <c:pt idx="146">
                  <c:v>6.2734964517547264E-5</c:v>
                </c:pt>
                <c:pt idx="147">
                  <c:v>6.2115928353821602E-5</c:v>
                </c:pt>
                <c:pt idx="148">
                  <c:v>6.1484853843113356E-5</c:v>
                </c:pt>
                <c:pt idx="149">
                  <c:v>6.085033946326488E-5</c:v>
                </c:pt>
                <c:pt idx="150">
                  <c:v>6.0234042872787771E-5</c:v>
                </c:pt>
                <c:pt idx="151">
                  <c:v>5.9636222382430853E-5</c:v>
                </c:pt>
                <c:pt idx="152">
                  <c:v>5.9057220888745419E-5</c:v>
                </c:pt>
                <c:pt idx="153">
                  <c:v>5.8497463314114402E-5</c:v>
                </c:pt>
                <c:pt idx="154">
                  <c:v>5.7957453732727654E-5</c:v>
                </c:pt>
                <c:pt idx="155">
                  <c:v>5.7483684010744426E-5</c:v>
                </c:pt>
                <c:pt idx="156">
                  <c:v>5.7035202655007093E-5</c:v>
                </c:pt>
                <c:pt idx="157">
                  <c:v>5.6612980808700966E-5</c:v>
                </c:pt>
                <c:pt idx="158">
                  <c:v>5.6218054382913967E-5</c:v>
                </c:pt>
                <c:pt idx="159">
                  <c:v>5.5851518264586599E-5</c:v>
                </c:pt>
                <c:pt idx="160">
                  <c:v>5.5514520140302768E-5</c:v>
                </c:pt>
                <c:pt idx="161">
                  <c:v>5.520825395049362E-5</c:v>
                </c:pt>
                <c:pt idx="162">
                  <c:v>5.493490090755762E-5</c:v>
                </c:pt>
                <c:pt idx="163">
                  <c:v>5.4735004191765509E-5</c:v>
                </c:pt>
                <c:pt idx="164">
                  <c:v>5.460185414568816E-5</c:v>
                </c:pt>
                <c:pt idx="165">
                  <c:v>5.4538037366502991E-5</c:v>
                </c:pt>
                <c:pt idx="166">
                  <c:v>5.454613842991618E-5</c:v>
                </c:pt>
                <c:pt idx="167">
                  <c:v>5.4628732998130867E-5</c:v>
                </c:pt>
                <c:pt idx="168">
                  <c:v>5.4788381280079115E-5</c:v>
                </c:pt>
                <c:pt idx="169">
                  <c:v>5.5068113551399622E-5</c:v>
                </c:pt>
                <c:pt idx="170">
                  <c:v>5.5417227961854486E-5</c:v>
                </c:pt>
                <c:pt idx="171">
                  <c:v>5.5837760140546971E-5</c:v>
                </c:pt>
                <c:pt idx="172">
                  <c:v>5.6331719236769412E-5</c:v>
                </c:pt>
                <c:pt idx="173">
                  <c:v>5.690050313378242E-5</c:v>
                </c:pt>
                <c:pt idx="174">
                  <c:v>5.7545420359639138E-5</c:v>
                </c:pt>
                <c:pt idx="175">
                  <c:v>5.826828994899597E-5</c:v>
                </c:pt>
                <c:pt idx="176">
                  <c:v>5.9070883343438078E-5</c:v>
                </c:pt>
                <c:pt idx="177">
                  <c:v>6.0012748806700579E-5</c:v>
                </c:pt>
                <c:pt idx="178">
                  <c:v>6.105321283510757E-5</c:v>
                </c:pt>
                <c:pt idx="179">
                  <c:v>6.2194238067545123E-5</c:v>
                </c:pt>
                <c:pt idx="180">
                  <c:v>6.3437720523390744E-5</c:v>
                </c:pt>
                <c:pt idx="181">
                  <c:v>6.4785490224528788E-5</c:v>
                </c:pt>
                <c:pt idx="182">
                  <c:v>6.6239312486443121E-5</c:v>
                </c:pt>
                <c:pt idx="183">
                  <c:v>6.7812091958629737E-5</c:v>
                </c:pt>
                <c:pt idx="184">
                  <c:v>6.9460131011406858E-5</c:v>
                </c:pt>
                <c:pt idx="185">
                  <c:v>7.1184371016105467E-5</c:v>
                </c:pt>
                <c:pt idx="186">
                  <c:v>7.2985731961370834E-5</c:v>
                </c:pt>
                <c:pt idx="187">
                  <c:v>7.4865115353589767E-5</c:v>
                </c:pt>
                <c:pt idx="188">
                  <c:v>7.682340722221063E-5</c:v>
                </c:pt>
                <c:pt idx="189">
                  <c:v>7.886148119777095E-5</c:v>
                </c:pt>
                <c:pt idx="190">
                  <c:v>8.0979578975839736E-5</c:v>
                </c:pt>
                <c:pt idx="191">
                  <c:v>8.3235486015364657E-5</c:v>
                </c:pt>
                <c:pt idx="192">
                  <c:v>8.5567403731216606E-5</c:v>
                </c:pt>
                <c:pt idx="193">
                  <c:v>8.7976225459093234E-5</c:v>
                </c:pt>
                <c:pt idx="194">
                  <c:v>9.0462888290166415E-5</c:v>
                </c:pt>
                <c:pt idx="195">
                  <c:v>9.3028378512933769E-5</c:v>
                </c:pt>
                <c:pt idx="196">
                  <c:v>9.5673736905111615E-5</c:v>
                </c:pt>
                <c:pt idx="197">
                  <c:v>9.8367742344393152E-5</c:v>
                </c:pt>
                <c:pt idx="198">
                  <c:v>1.0109913873229379E-4</c:v>
                </c:pt>
                <c:pt idx="199">
                  <c:v>1.0386866481754703E-4</c:v>
                </c:pt>
                <c:pt idx="200">
                  <c:v>1.0667714651018567E-4</c:v>
                </c:pt>
                <c:pt idx="201">
                  <c:v>1.0952549721289649E-4</c:v>
                </c:pt>
                <c:pt idx="202">
                  <c:v>1.1241471803268725E-4</c:v>
                </c:pt>
                <c:pt idx="203">
                  <c:v>1.1534589794616924E-4</c:v>
                </c:pt>
                <c:pt idx="204">
                  <c:v>1.1831895003260714E-4</c:v>
                </c:pt>
                <c:pt idx="205">
                  <c:v>1.2131093566506297E-4</c:v>
                </c:pt>
                <c:pt idx="206">
                  <c:v>1.2426132612384282E-4</c:v>
                </c:pt>
                <c:pt idx="207">
                  <c:v>1.2716984430828171E-4</c:v>
                </c:pt>
                <c:pt idx="208">
                  <c:v>1.3003623822261404E-4</c:v>
                </c:pt>
                <c:pt idx="209">
                  <c:v>1.3286027518688955E-4</c:v>
                </c:pt>
                <c:pt idx="210">
                  <c:v>1.3564173635417212E-4</c:v>
                </c:pt>
                <c:pt idx="211">
                  <c:v>1.3848121616616451E-4</c:v>
                </c:pt>
                <c:pt idx="212">
                  <c:v>1.4141363053411037E-4</c:v>
                </c:pt>
                <c:pt idx="213">
                  <c:v>1.4444017944530919E-4</c:v>
                </c:pt>
                <c:pt idx="214">
                  <c:v>1.4756205503786002E-4</c:v>
                </c:pt>
                <c:pt idx="215">
                  <c:v>1.5078044122953776E-4</c:v>
                </c:pt>
                <c:pt idx="216">
                  <c:v>1.5409651335393778E-4</c:v>
                </c:pt>
                <c:pt idx="217">
                  <c:v>1.5751143782666681E-4</c:v>
                </c:pt>
                <c:pt idx="218">
                  <c:v>1.6102506670301255E-4</c:v>
                </c:pt>
                <c:pt idx="219">
                  <c:v>1.6471759347323953E-4</c:v>
                </c:pt>
                <c:pt idx="220">
                  <c:v>1.6861500740813912E-4</c:v>
                </c:pt>
                <c:pt idx="221">
                  <c:v>1.7272002891344704E-4</c:v>
                </c:pt>
                <c:pt idx="222">
                  <c:v>1.770354291003094E-4</c:v>
                </c:pt>
                <c:pt idx="223">
                  <c:v>1.8156403945292874E-4</c:v>
                </c:pt>
                <c:pt idx="224">
                  <c:v>1.8630876169629623E-4</c:v>
                </c:pt>
                <c:pt idx="225">
                  <c:v>1.9136478277806664E-4</c:v>
                </c:pt>
                <c:pt idx="226">
                  <c:v>1.9662991184854077E-4</c:v>
                </c:pt>
                <c:pt idx="227">
                  <c:v>2.0210715636856123E-4</c:v>
                </c:pt>
                <c:pt idx="228">
                  <c:v>2.0779963708863932E-4</c:v>
                </c:pt>
                <c:pt idx="229">
                  <c:v>2.1371059855059685E-4</c:v>
                </c:pt>
                <c:pt idx="230">
                  <c:v>2.1984341993384576E-4</c:v>
                </c:pt>
                <c:pt idx="231">
                  <c:v>2.2620162632847475E-4</c:v>
                </c:pt>
                <c:pt idx="232">
                  <c:v>2.3278663237050369E-4</c:v>
                </c:pt>
                <c:pt idx="233">
                  <c:v>2.3962084575945212E-4</c:v>
                </c:pt>
                <c:pt idx="234">
                  <c:v>2.4662249836031222E-4</c:v>
                </c:pt>
                <c:pt idx="235">
                  <c:v>2.5379362051365574E-4</c:v>
                </c:pt>
                <c:pt idx="236">
                  <c:v>2.6113636454161546E-4</c:v>
                </c:pt>
                <c:pt idx="237">
                  <c:v>2.6865275588327511E-4</c:v>
                </c:pt>
                <c:pt idx="238">
                  <c:v>2.7634484602131619E-4</c:v>
                </c:pt>
                <c:pt idx="239">
                  <c:v>2.8423423033025581E-4</c:v>
                </c:pt>
                <c:pt idx="240">
                  <c:v>2.9222612031174839E-4</c:v>
                </c:pt>
                <c:pt idx="241">
                  <c:v>3.0032181391355107E-4</c:v>
                </c:pt>
                <c:pt idx="242">
                  <c:v>3.0852260474848359E-4</c:v>
                </c:pt>
                <c:pt idx="243">
                  <c:v>3.1682977814748706E-4</c:v>
                </c:pt>
                <c:pt idx="244">
                  <c:v>3.2524460667538043E-4</c:v>
                </c:pt>
                <c:pt idx="245">
                  <c:v>3.337683451868224E-4</c:v>
                </c:pt>
                <c:pt idx="246">
                  <c:v>3.4240222535741253E-4</c:v>
                </c:pt>
                <c:pt idx="247">
                  <c:v>3.5135858485808787E-4</c:v>
                </c:pt>
                <c:pt idx="248">
                  <c:v>3.6061816699907499E-4</c:v>
                </c:pt>
                <c:pt idx="249">
                  <c:v>3.7018435638202282E-4</c:v>
                </c:pt>
                <c:pt idx="250">
                  <c:v>3.8006052400771221E-4</c:v>
                </c:pt>
                <c:pt idx="251">
                  <c:v>3.9025001880855072E-4</c:v>
                </c:pt>
                <c:pt idx="252">
                  <c:v>4.0075615857064923E-4</c:v>
                </c:pt>
                <c:pt idx="253">
                  <c:v>4.1178891744502886E-4</c:v>
                </c:pt>
                <c:pt idx="254">
                  <c:v>4.2333318066662198E-4</c:v>
                </c:pt>
                <c:pt idx="255">
                  <c:v>4.3539435621094282E-4</c:v>
                </c:pt>
                <c:pt idx="256">
                  <c:v>4.4797781007560323E-4</c:v>
                </c:pt>
                <c:pt idx="257">
                  <c:v>4.6108885298999717E-4</c:v>
                </c:pt>
                <c:pt idx="258">
                  <c:v>4.7473272690395078E-4</c:v>
                </c:pt>
                <c:pt idx="259">
                  <c:v>4.8891459138472723E-4</c:v>
                </c:pt>
                <c:pt idx="260">
                  <c:v>5.036419297774706E-4</c:v>
                </c:pt>
                <c:pt idx="261">
                  <c:v>5.1900618013781723E-4</c:v>
                </c:pt>
                <c:pt idx="262">
                  <c:v>5.3478836109527024E-4</c:v>
                </c:pt>
                <c:pt idx="263">
                  <c:v>5.5099064422316907E-4</c:v>
                </c:pt>
                <c:pt idx="264">
                  <c:v>5.6761492006712538E-4</c:v>
                </c:pt>
                <c:pt idx="265">
                  <c:v>5.8466588704242232E-4</c:v>
                </c:pt>
                <c:pt idx="266">
                  <c:v>6.0214669066120912E-4</c:v>
                </c:pt>
                <c:pt idx="267">
                  <c:v>6.2086033314093258E-4</c:v>
                </c:pt>
                <c:pt idx="268">
                  <c:v>6.4059704327205317E-4</c:v>
                </c:pt>
                <c:pt idx="269">
                  <c:v>6.6136347466093934E-4</c:v>
                </c:pt>
                <c:pt idx="270">
                  <c:v>6.831657225893768E-4</c:v>
                </c:pt>
                <c:pt idx="271">
                  <c:v>7.0600927448548725E-4</c:v>
                </c:pt>
                <c:pt idx="272">
                  <c:v>7.298989637229828E-4</c:v>
                </c:pt>
                <c:pt idx="273">
                  <c:v>7.5483892715124106E-4</c:v>
                </c:pt>
                <c:pt idx="274">
                  <c:v>7.8086206286209206E-4</c:v>
                </c:pt>
                <c:pt idx="275">
                  <c:v>8.0936311247189812E-4</c:v>
                </c:pt>
                <c:pt idx="276">
                  <c:v>8.4026669166895767E-4</c:v>
                </c:pt>
                <c:pt idx="277">
                  <c:v>8.7358412796135283E-4</c:v>
                </c:pt>
                <c:pt idx="278">
                  <c:v>9.0932436766972581E-4</c:v>
                </c:pt>
                <c:pt idx="279">
                  <c:v>9.4749354919655671E-4</c:v>
                </c:pt>
                <c:pt idx="280">
                  <c:v>9.8809456875643335E-4</c:v>
                </c:pt>
                <c:pt idx="281">
                  <c:v>1.0319333855083493E-3</c:v>
                </c:pt>
                <c:pt idx="282">
                  <c:v>1.0781634998348858E-3</c:v>
                </c:pt>
                <c:pt idx="283">
                  <c:v>1.1267746920977696E-3</c:v>
                </c:pt>
                <c:pt idx="284">
                  <c:v>1.1777516948008309E-3</c:v>
                </c:pt>
                <c:pt idx="285">
                  <c:v>1.2310737539402504E-3</c:v>
                </c:pt>
                <c:pt idx="286">
                  <c:v>1.286714196456992E-3</c:v>
                </c:pt>
                <c:pt idx="287">
                  <c:v>1.3446400070285694E-3</c:v>
                </c:pt>
                <c:pt idx="288">
                  <c:v>1.4049110039441697E-3</c:v>
                </c:pt>
                <c:pt idx="289">
                  <c:v>1.4666659380215422E-3</c:v>
                </c:pt>
                <c:pt idx="290">
                  <c:v>1.5284526058995747E-3</c:v>
                </c:pt>
                <c:pt idx="291">
                  <c:v>1.5902367071290698E-3</c:v>
                </c:pt>
                <c:pt idx="292">
                  <c:v>1.6519815751362818E-3</c:v>
                </c:pt>
                <c:pt idx="293">
                  <c:v>1.7136482479851167E-3</c:v>
                </c:pt>
                <c:pt idx="294">
                  <c:v>1.7751955418277817E-3</c:v>
                </c:pt>
                <c:pt idx="295">
                  <c:v>1.83468734128552E-3</c:v>
                </c:pt>
                <c:pt idx="296">
                  <c:v>1.8912554022349627E-3</c:v>
                </c:pt>
                <c:pt idx="297">
                  <c:v>1.9448603544309844E-3</c:v>
                </c:pt>
                <c:pt idx="298">
                  <c:v>1.9954488044822941E-3</c:v>
                </c:pt>
                <c:pt idx="299">
                  <c:v>2.0429683579600236E-3</c:v>
                </c:pt>
                <c:pt idx="300">
                  <c:v>2.0873679422105124E-3</c:v>
                </c:pt>
                <c:pt idx="301">
                  <c:v>2.1285981200921938E-3</c:v>
                </c:pt>
                <c:pt idx="302">
                  <c:v>2.1667404949291813E-3</c:v>
                </c:pt>
                <c:pt idx="303">
                  <c:v>2.2033295068494821E-3</c:v>
                </c:pt>
                <c:pt idx="304">
                  <c:v>2.2393156828868234E-3</c:v>
                </c:pt>
                <c:pt idx="305">
                  <c:v>2.2746947112081456E-3</c:v>
                </c:pt>
                <c:pt idx="306">
                  <c:v>2.3094634337507683E-3</c:v>
                </c:pt>
                <c:pt idx="307">
                  <c:v>2.3436197872991585E-3</c:v>
                </c:pt>
                <c:pt idx="308">
                  <c:v>2.3771627209046957E-3</c:v>
                </c:pt>
                <c:pt idx="309">
                  <c:v>2.4102196203581632E-3</c:v>
                </c:pt>
                <c:pt idx="310">
                  <c:v>2.4447029152646614E-3</c:v>
                </c:pt>
                <c:pt idx="311">
                  <c:v>2.4806139157298717E-3</c:v>
                </c:pt>
                <c:pt idx="312">
                  <c:v>2.5179537408164827E-3</c:v>
                </c:pt>
                <c:pt idx="313">
                  <c:v>2.5567231683321836E-3</c:v>
                </c:pt>
                <c:pt idx="314">
                  <c:v>2.5969224566793764E-3</c:v>
                </c:pt>
                <c:pt idx="315">
                  <c:v>2.6385511360408629E-3</c:v>
                </c:pt>
                <c:pt idx="316">
                  <c:v>2.6817845283586164E-3</c:v>
                </c:pt>
                <c:pt idx="317">
                  <c:v>2.7227579022182885E-3</c:v>
                </c:pt>
                <c:pt idx="318">
                  <c:v>2.7600452960499368E-3</c:v>
                </c:pt>
                <c:pt idx="319">
                  <c:v>2.7936458304533237E-3</c:v>
                </c:pt>
                <c:pt idx="320">
                  <c:v>2.8235534595385612E-3</c:v>
                </c:pt>
                <c:pt idx="321">
                  <c:v>2.8497566701959523E-3</c:v>
                </c:pt>
                <c:pt idx="322">
                  <c:v>2.8722382326573136E-3</c:v>
                </c:pt>
                <c:pt idx="323">
                  <c:v>2.893904438064851E-3</c:v>
                </c:pt>
                <c:pt idx="324">
                  <c:v>2.9146024213134382E-3</c:v>
                </c:pt>
                <c:pt idx="325">
                  <c:v>2.9343010871642414E-3</c:v>
                </c:pt>
                <c:pt idx="326">
                  <c:v>2.9529452744465156E-3</c:v>
                </c:pt>
                <c:pt idx="327">
                  <c:v>2.9704858035595836E-3</c:v>
                </c:pt>
                <c:pt idx="328">
                  <c:v>2.9868826702677187E-3</c:v>
                </c:pt>
                <c:pt idx="329">
                  <c:v>3.0020899980924927E-3</c:v>
                </c:pt>
                <c:pt idx="330">
                  <c:v>3.0163699648796385E-3</c:v>
                </c:pt>
                <c:pt idx="331">
                  <c:v>3.0350716837978754E-3</c:v>
                </c:pt>
                <c:pt idx="332">
                  <c:v>3.0622203082195892E-3</c:v>
                </c:pt>
                <c:pt idx="333">
                  <c:v>3.0977792052091849E-3</c:v>
                </c:pt>
                <c:pt idx="334">
                  <c:v>3.141708075791505E-3</c:v>
                </c:pt>
                <c:pt idx="335">
                  <c:v>3.1939607503952828E-3</c:v>
                </c:pt>
                <c:pt idx="336">
                  <c:v>3.2544828173596326E-3</c:v>
                </c:pt>
                <c:pt idx="337">
                  <c:v>3.319887263513469E-3</c:v>
                </c:pt>
                <c:pt idx="338">
                  <c:v>3.3871243557764448E-3</c:v>
                </c:pt>
                <c:pt idx="339">
                  <c:v>3.456081750390408E-3</c:v>
                </c:pt>
                <c:pt idx="340">
                  <c:v>3.5266322021991255E-3</c:v>
                </c:pt>
                <c:pt idx="341">
                  <c:v>3.598633054072535E-3</c:v>
                </c:pt>
                <c:pt idx="342">
                  <c:v>3.6719258920584843E-3</c:v>
                </c:pt>
                <c:pt idx="343">
                  <c:v>3.746336391432333E-3</c:v>
                </c:pt>
                <c:pt idx="344">
                  <c:v>3.822105769827755E-3</c:v>
                </c:pt>
                <c:pt idx="345">
                  <c:v>3.8995152203264746E-3</c:v>
                </c:pt>
                <c:pt idx="346">
                  <c:v>3.969509270586479E-3</c:v>
                </c:pt>
                <c:pt idx="347">
                  <c:v>4.0319391172947572E-3</c:v>
                </c:pt>
                <c:pt idx="348">
                  <c:v>4.0866507239315482E-3</c:v>
                </c:pt>
                <c:pt idx="349">
                  <c:v>4.1334879472925117E-3</c:v>
                </c:pt>
                <c:pt idx="350">
                  <c:v>4.1722958362871813E-3</c:v>
                </c:pt>
                <c:pt idx="351">
                  <c:v>4.1991522477379823E-3</c:v>
                </c:pt>
                <c:pt idx="352">
                  <c:v>4.2172562100301859E-3</c:v>
                </c:pt>
                <c:pt idx="353">
                  <c:v>4.2264825228138037E-3</c:v>
                </c:pt>
                <c:pt idx="354">
                  <c:v>4.2267225010894508E-3</c:v>
                </c:pt>
                <c:pt idx="355">
                  <c:v>4.2178875108892892E-3</c:v>
                </c:pt>
                <c:pt idx="356">
                  <c:v>4.1998936264676613E-3</c:v>
                </c:pt>
                <c:pt idx="357">
                  <c:v>4.1727155951964663E-3</c:v>
                </c:pt>
                <c:pt idx="358">
                  <c:v>4.1363429864222801E-3</c:v>
                </c:pt>
                <c:pt idx="359">
                  <c:v>4.0909134644781216E-3</c:v>
                </c:pt>
                <c:pt idx="360">
                  <c:v>4.0333744879922796E-3</c:v>
                </c:pt>
                <c:pt idx="361">
                  <c:v>3.967665399195134E-3</c:v>
                </c:pt>
                <c:pt idx="362">
                  <c:v>3.8940279344735523E-3</c:v>
                </c:pt>
                <c:pt idx="363">
                  <c:v>3.8127189637247195E-3</c:v>
                </c:pt>
                <c:pt idx="364">
                  <c:v>3.7240078315400943E-3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611416"/>
        <c:axId val="372611024"/>
      </c:lineChart>
      <c:dateAx>
        <c:axId val="3726114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611024"/>
        <c:crosses val="autoZero"/>
        <c:auto val="1"/>
        <c:lblOffset val="100"/>
        <c:baseTimeUnit val="days"/>
        <c:majorUnit val="1"/>
        <c:majorTimeUnit val="months"/>
      </c:dateAx>
      <c:valAx>
        <c:axId val="3726110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6114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2.0504187655907113E-2</c:v>
                </c:pt>
                <c:pt idx="1">
                  <c:v>2.0522959469691848E-2</c:v>
                </c:pt>
                <c:pt idx="2">
                  <c:v>2.0541730923718915E-2</c:v>
                </c:pt>
                <c:pt idx="3">
                  <c:v>2.0560502017995419E-2</c:v>
                </c:pt>
                <c:pt idx="4">
                  <c:v>2.0579272752528244E-2</c:v>
                </c:pt>
                <c:pt idx="5">
                  <c:v>2.0598043127324162E-2</c:v>
                </c:pt>
                <c:pt idx="6">
                  <c:v>2.0616813142390167E-2</c:v>
                </c:pt>
                <c:pt idx="7">
                  <c:v>2.0635582797733032E-2</c:v>
                </c:pt>
                <c:pt idx="8">
                  <c:v>2.0654352093359751E-2</c:v>
                </c:pt>
                <c:pt idx="9">
                  <c:v>2.0673121029277319E-2</c:v>
                </c:pt>
                <c:pt idx="10">
                  <c:v>2.0691889605492397E-2</c:v>
                </c:pt>
                <c:pt idx="11">
                  <c:v>2.071065782201198E-2</c:v>
                </c:pt>
                <c:pt idx="12">
                  <c:v>2.0729425678843061E-2</c:v>
                </c:pt>
                <c:pt idx="13">
                  <c:v>2.0748193175992413E-2</c:v>
                </c:pt>
                <c:pt idx="14">
                  <c:v>2.076696031346692E-2</c:v>
                </c:pt>
                <c:pt idx="15">
                  <c:v>2.0785727091273576E-2</c:v>
                </c:pt>
                <c:pt idx="16">
                  <c:v>2.0804493509419153E-2</c:v>
                </c:pt>
                <c:pt idx="17">
                  <c:v>2.0823259567910646E-2</c:v>
                </c:pt>
                <c:pt idx="18">
                  <c:v>2.0842025266754938E-2</c:v>
                </c:pt>
                <c:pt idx="19">
                  <c:v>2.0860790605958912E-2</c:v>
                </c:pt>
                <c:pt idx="20">
                  <c:v>2.0879555585529341E-2</c:v>
                </c:pt>
                <c:pt idx="21">
                  <c:v>2.0898320205473331E-2</c:v>
                </c:pt>
                <c:pt idx="22">
                  <c:v>2.0917084465797542E-2</c:v>
                </c:pt>
                <c:pt idx="23">
                  <c:v>2.093584836650908E-2</c:v>
                </c:pt>
                <c:pt idx="24">
                  <c:v>2.0954611907614717E-2</c:v>
                </c:pt>
                <c:pt idx="25">
                  <c:v>2.0973375089121338E-2</c:v>
                </c:pt>
                <c:pt idx="26">
                  <c:v>2.0992137911035935E-2</c:v>
                </c:pt>
                <c:pt idx="27">
                  <c:v>2.1010900373365282E-2</c:v>
                </c:pt>
                <c:pt idx="28">
                  <c:v>2.1029662476116262E-2</c:v>
                </c:pt>
                <c:pt idx="29">
                  <c:v>2.104842421929598E-2</c:v>
                </c:pt>
                <c:pt idx="30">
                  <c:v>2.1067185602910987E-2</c:v>
                </c:pt>
                <c:pt idx="31">
                  <c:v>2.1085946626968499E-2</c:v>
                </c:pt>
                <c:pt idx="32">
                  <c:v>2.1104707291475178E-2</c:v>
                </c:pt>
                <c:pt idx="33">
                  <c:v>2.1123467596438017E-2</c:v>
                </c:pt>
                <c:pt idx="34">
                  <c:v>2.1142227541863901E-2</c:v>
                </c:pt>
                <c:pt idx="35">
                  <c:v>2.1160987127759712E-2</c:v>
                </c:pt>
                <c:pt idx="36">
                  <c:v>2.1179746354132334E-2</c:v>
                </c:pt>
                <c:pt idx="37">
                  <c:v>2.1198505220988761E-2</c:v>
                </c:pt>
                <c:pt idx="38">
                  <c:v>2.1217263728335656E-2</c:v>
                </c:pt>
                <c:pt idx="39">
                  <c:v>2.1236021876180122E-2</c:v>
                </c:pt>
                <c:pt idx="40">
                  <c:v>2.1254779664528822E-2</c:v>
                </c:pt>
                <c:pt idx="41">
                  <c:v>2.1273537093388972E-2</c:v>
                </c:pt>
                <c:pt idx="42">
                  <c:v>2.1292294162767123E-2</c:v>
                </c:pt>
                <c:pt idx="43">
                  <c:v>2.1311050872670378E-2</c:v>
                </c:pt>
                <c:pt idx="44">
                  <c:v>2.1329807223105623E-2</c:v>
                </c:pt>
                <c:pt idx="45">
                  <c:v>2.134856321407963E-2</c:v>
                </c:pt>
                <c:pt idx="46">
                  <c:v>2.1367318845599392E-2</c:v>
                </c:pt>
                <c:pt idx="47">
                  <c:v>2.1386074117671683E-2</c:v>
                </c:pt>
                <c:pt idx="48">
                  <c:v>2.1404829030303496E-2</c:v>
                </c:pt>
                <c:pt idx="49">
                  <c:v>2.1423583583501715E-2</c:v>
                </c:pt>
                <c:pt idx="50">
                  <c:v>2.1442337777273113E-2</c:v>
                </c:pt>
                <c:pt idx="51">
                  <c:v>2.1461091611624794E-2</c:v>
                </c:pt>
                <c:pt idx="52">
                  <c:v>2.1479845086563421E-2</c:v>
                </c:pt>
                <c:pt idx="53">
                  <c:v>2.1498598202096098E-2</c:v>
                </c:pt>
                <c:pt idx="54">
                  <c:v>2.1517350958229486E-2</c:v>
                </c:pt>
                <c:pt idx="55">
                  <c:v>2.1536103354970582E-2</c:v>
                </c:pt>
                <c:pt idx="56">
                  <c:v>2.1554855392326266E-2</c:v>
                </c:pt>
                <c:pt idx="57">
                  <c:v>2.1573607070303535E-2</c:v>
                </c:pt>
                <c:pt idx="58">
                  <c:v>2.159235838890905E-2</c:v>
                </c:pt>
                <c:pt idx="59">
                  <c:v>2.1611109348149915E-2</c:v>
                </c:pt>
                <c:pt idx="60">
                  <c:v>2.1629859948032792E-2</c:v>
                </c:pt>
                <c:pt idx="61">
                  <c:v>2.1648610188564898E-2</c:v>
                </c:pt>
                <c:pt idx="62">
                  <c:v>2.1667360069752784E-2</c:v>
                </c:pt>
                <c:pt idx="63">
                  <c:v>2.1686109591603442E-2</c:v>
                </c:pt>
                <c:pt idx="64">
                  <c:v>2.1704858754123868E-2</c:v>
                </c:pt>
                <c:pt idx="65">
                  <c:v>2.1723607557320834E-2</c:v>
                </c:pt>
                <c:pt idx="66">
                  <c:v>2.1742356001201335E-2</c:v>
                </c:pt>
                <c:pt idx="67">
                  <c:v>2.1761104085772143E-2</c:v>
                </c:pt>
                <c:pt idx="68">
                  <c:v>2.1779851811040141E-2</c:v>
                </c:pt>
                <c:pt idx="69">
                  <c:v>2.1798599177012323E-2</c:v>
                </c:pt>
                <c:pt idx="70">
                  <c:v>2.1817346183695463E-2</c:v>
                </c:pt>
                <c:pt idx="71">
                  <c:v>2.1836092831096554E-2</c:v>
                </c:pt>
                <c:pt idx="72">
                  <c:v>2.1854839119222369E-2</c:v>
                </c:pt>
                <c:pt idx="73">
                  <c:v>2.1873585048079902E-2</c:v>
                </c:pt>
                <c:pt idx="74">
                  <c:v>2.1892330617676037E-2</c:v>
                </c:pt>
                <c:pt idx="75">
                  <c:v>2.1911075828017434E-2</c:v>
                </c:pt>
                <c:pt idx="76">
                  <c:v>2.1929820679111311E-2</c:v>
                </c:pt>
                <c:pt idx="77">
                  <c:v>2.1948565170964329E-2</c:v>
                </c:pt>
                <c:pt idx="78">
                  <c:v>2.1967309303583371E-2</c:v>
                </c:pt>
                <c:pt idx="79">
                  <c:v>2.1986053076975542E-2</c:v>
                </c:pt>
                <c:pt idx="80">
                  <c:v>2.2004796491147394E-2</c:v>
                </c:pt>
                <c:pt idx="81">
                  <c:v>2.2023539546106141E-2</c:v>
                </c:pt>
                <c:pt idx="82">
                  <c:v>2.2042282241858446E-2</c:v>
                </c:pt>
                <c:pt idx="83">
                  <c:v>2.2061024578411303E-2</c:v>
                </c:pt>
                <c:pt idx="84">
                  <c:v>2.2079766555771485E-2</c:v>
                </c:pt>
                <c:pt idx="85">
                  <c:v>2.2098508173945985E-2</c:v>
                </c:pt>
                <c:pt idx="86">
                  <c:v>2.2117249432941688E-2</c:v>
                </c:pt>
                <c:pt idx="87">
                  <c:v>2.2135990332765365E-2</c:v>
                </c:pt>
                <c:pt idx="88">
                  <c:v>2.2154730873424011E-2</c:v>
                </c:pt>
                <c:pt idx="89">
                  <c:v>2.217347105492451E-2</c:v>
                </c:pt>
                <c:pt idx="90">
                  <c:v>2.2192210877273633E-2</c:v>
                </c:pt>
                <c:pt idx="91">
                  <c:v>2.2210950340478375E-2</c:v>
                </c:pt>
                <c:pt idx="92">
                  <c:v>2.2229689444545508E-2</c:v>
                </c:pt>
                <c:pt idx="93">
                  <c:v>2.2248428189482139E-2</c:v>
                </c:pt>
                <c:pt idx="94">
                  <c:v>2.2267166575294817E-2</c:v>
                </c:pt>
                <c:pt idx="95">
                  <c:v>2.2285904601990758E-2</c:v>
                </c:pt>
                <c:pt idx="96">
                  <c:v>2.2304642269576624E-2</c:v>
                </c:pt>
                <c:pt idx="97">
                  <c:v>2.2323379578059299E-2</c:v>
                </c:pt>
                <c:pt idx="98">
                  <c:v>2.2342116527445888E-2</c:v>
                </c:pt>
                <c:pt idx="99">
                  <c:v>2.2360853117743051E-2</c:v>
                </c:pt>
                <c:pt idx="100">
                  <c:v>2.2379589348957674E-2</c:v>
                </c:pt>
                <c:pt idx="101">
                  <c:v>2.2398325221096749E-2</c:v>
                </c:pt>
                <c:pt idx="102">
                  <c:v>2.2417060734167049E-2</c:v>
                </c:pt>
                <c:pt idx="103">
                  <c:v>2.2435795888175569E-2</c:v>
                </c:pt>
                <c:pt idx="104">
                  <c:v>2.2454530683129192E-2</c:v>
                </c:pt>
                <c:pt idx="105">
                  <c:v>2.2473265119034691E-2</c:v>
                </c:pt>
                <c:pt idx="106">
                  <c:v>2.2491999195898948E-2</c:v>
                </c:pt>
                <c:pt idx="107">
                  <c:v>2.2510732913728959E-2</c:v>
                </c:pt>
                <c:pt idx="108">
                  <c:v>2.2529466272531606E-2</c:v>
                </c:pt>
                <c:pt idx="109">
                  <c:v>2.2548199272313552E-2</c:v>
                </c:pt>
                <c:pt idx="110">
                  <c:v>2.25669319130819E-2</c:v>
                </c:pt>
                <c:pt idx="111">
                  <c:v>2.2585664194843535E-2</c:v>
                </c:pt>
                <c:pt idx="112">
                  <c:v>2.2604396117605119E-2</c:v>
                </c:pt>
                <c:pt idx="113">
                  <c:v>2.2623127681373756E-2</c:v>
                </c:pt>
                <c:pt idx="114">
                  <c:v>2.264185888615633E-2</c:v>
                </c:pt>
                <c:pt idx="115">
                  <c:v>2.2660589731959502E-2</c:v>
                </c:pt>
                <c:pt idx="116">
                  <c:v>2.2679320218790378E-2</c:v>
                </c:pt>
                <c:pt idx="117">
                  <c:v>2.2698050346655729E-2</c:v>
                </c:pt>
                <c:pt idx="118">
                  <c:v>2.2716780115562329E-2</c:v>
                </c:pt>
                <c:pt idx="119">
                  <c:v>2.2735509525517283E-2</c:v>
                </c:pt>
                <c:pt idx="120">
                  <c:v>2.2754238576527475E-2</c:v>
                </c:pt>
                <c:pt idx="121">
                  <c:v>2.2772967268599564E-2</c:v>
                </c:pt>
                <c:pt idx="122">
                  <c:v>2.2791695601740547E-2</c:v>
                </c:pt>
                <c:pt idx="123">
                  <c:v>2.2810423575957306E-2</c:v>
                </c:pt>
                <c:pt idx="124">
                  <c:v>2.2829151191256614E-2</c:v>
                </c:pt>
                <c:pt idx="125">
                  <c:v>2.2847878447645575E-2</c:v>
                </c:pt>
                <c:pt idx="126">
                  <c:v>2.2866605345130853E-2</c:v>
                </c:pt>
                <c:pt idx="127">
                  <c:v>2.2885331883719551E-2</c:v>
                </c:pt>
                <c:pt idx="128">
                  <c:v>2.2904058063418331E-2</c:v>
                </c:pt>
                <c:pt idx="129">
                  <c:v>2.2922783884234077E-2</c:v>
                </c:pt>
                <c:pt idx="130">
                  <c:v>2.2941509346173783E-2</c:v>
                </c:pt>
                <c:pt idx="131">
                  <c:v>2.2960234449244332E-2</c:v>
                </c:pt>
                <c:pt idx="132">
                  <c:v>2.2978959193452497E-2</c:v>
                </c:pt>
                <c:pt idx="133">
                  <c:v>2.2997683578805272E-2</c:v>
                </c:pt>
                <c:pt idx="134">
                  <c:v>2.301640760530943E-2</c:v>
                </c:pt>
                <c:pt idx="135">
                  <c:v>2.3035131272971854E-2</c:v>
                </c:pt>
                <c:pt idx="136">
                  <c:v>2.3053854581799538E-2</c:v>
                </c:pt>
                <c:pt idx="137">
                  <c:v>2.3072577531799254E-2</c:v>
                </c:pt>
                <c:pt idx="138">
                  <c:v>2.3091300122977887E-2</c:v>
                </c:pt>
                <c:pt idx="139">
                  <c:v>2.3110022355342319E-2</c:v>
                </c:pt>
                <c:pt idx="140">
                  <c:v>2.3128744228899434E-2</c:v>
                </c:pt>
                <c:pt idx="141">
                  <c:v>2.3147465743656226E-2</c:v>
                </c:pt>
                <c:pt idx="142">
                  <c:v>2.3166186899619357E-2</c:v>
                </c:pt>
                <c:pt idx="143">
                  <c:v>2.318490769679582E-2</c:v>
                </c:pt>
                <c:pt idx="144">
                  <c:v>2.32036281351925E-2</c:v>
                </c:pt>
                <c:pt idx="145">
                  <c:v>2.3222348214816169E-2</c:v>
                </c:pt>
                <c:pt idx="146">
                  <c:v>2.324106793567382E-2</c:v>
                </c:pt>
                <c:pt idx="147">
                  <c:v>2.3259787297772339E-2</c:v>
                </c:pt>
                <c:pt idx="148">
                  <c:v>2.3278506301118496E-2</c:v>
                </c:pt>
                <c:pt idx="149">
                  <c:v>2.3297224945719286E-2</c:v>
                </c:pt>
                <c:pt idx="150">
                  <c:v>2.3315943231581482E-2</c:v>
                </c:pt>
                <c:pt idx="151">
                  <c:v>2.3334661158711967E-2</c:v>
                </c:pt>
                <c:pt idx="152">
                  <c:v>2.3353378727117735E-2</c:v>
                </c:pt>
                <c:pt idx="153">
                  <c:v>2.3372095936805559E-2</c:v>
                </c:pt>
                <c:pt idx="154">
                  <c:v>2.3390812787782322E-2</c:v>
                </c:pt>
                <c:pt idx="155">
                  <c:v>2.3409529280054797E-2</c:v>
                </c:pt>
                <c:pt idx="156">
                  <c:v>2.3428245413630089E-2</c:v>
                </c:pt>
                <c:pt idx="157">
                  <c:v>2.344696118851497E-2</c:v>
                </c:pt>
                <c:pt idx="158">
                  <c:v>2.3465676604716212E-2</c:v>
                </c:pt>
                <c:pt idx="159">
                  <c:v>2.3484391662240811E-2</c:v>
                </c:pt>
                <c:pt idx="160">
                  <c:v>2.3503106361095538E-2</c:v>
                </c:pt>
                <c:pt idx="161">
                  <c:v>2.3521820701287388E-2</c:v>
                </c:pt>
                <c:pt idx="162">
                  <c:v>2.3540534682823244E-2</c:v>
                </c:pt>
                <c:pt idx="163">
                  <c:v>2.3559248305709768E-2</c:v>
                </c:pt>
                <c:pt idx="164">
                  <c:v>2.3577961569954065E-2</c:v>
                </c:pt>
                <c:pt idx="165">
                  <c:v>2.3596674475562907E-2</c:v>
                </c:pt>
                <c:pt idx="166">
                  <c:v>2.3615387022543177E-2</c:v>
                </c:pt>
                <c:pt idx="167">
                  <c:v>2.363409921090176E-2</c:v>
                </c:pt>
                <c:pt idx="168">
                  <c:v>2.3652811040645538E-2</c:v>
                </c:pt>
                <c:pt idx="169">
                  <c:v>2.3671522511781395E-2</c:v>
                </c:pt>
                <c:pt idx="170">
                  <c:v>2.3690233624316104E-2</c:v>
                </c:pt>
                <c:pt idx="171">
                  <c:v>2.3708944378256658E-2</c:v>
                </c:pt>
                <c:pt idx="172">
                  <c:v>2.372765477360983E-2</c:v>
                </c:pt>
                <c:pt idx="173">
                  <c:v>2.3746364810382614E-2</c:v>
                </c:pt>
                <c:pt idx="174">
                  <c:v>2.3765074488581783E-2</c:v>
                </c:pt>
                <c:pt idx="175">
                  <c:v>2.3783783808214221E-2</c:v>
                </c:pt>
                <c:pt idx="176">
                  <c:v>2.3802492769286809E-2</c:v>
                </c:pt>
                <c:pt idx="177">
                  <c:v>2.3821201371806433E-2</c:v>
                </c:pt>
                <c:pt idx="178">
                  <c:v>2.3839909615779975E-2</c:v>
                </c:pt>
                <c:pt idx="179">
                  <c:v>2.3858617501214319E-2</c:v>
                </c:pt>
                <c:pt idx="180">
                  <c:v>2.3877325028116236E-2</c:v>
                </c:pt>
                <c:pt idx="181">
                  <c:v>2.3896032196492722E-2</c:v>
                </c:pt>
                <c:pt idx="182">
                  <c:v>2.3914739006350549E-2</c:v>
                </c:pt>
                <c:pt idx="183">
                  <c:v>2.3933445457696712E-2</c:v>
                </c:pt>
                <c:pt idx="184">
                  <c:v>2.3952151550537981E-2</c:v>
                </c:pt>
                <c:pt idx="185">
                  <c:v>2.3970857284881242E-2</c:v>
                </c:pt>
                <c:pt idx="186">
                  <c:v>2.3989562660733266E-2</c:v>
                </c:pt>
                <c:pt idx="187">
                  <c:v>2.4008267678101158E-2</c:v>
                </c:pt>
                <c:pt idx="188">
                  <c:v>2.4026972336991581E-2</c:v>
                </c:pt>
                <c:pt idx="189">
                  <c:v>2.4045676637411528E-2</c:v>
                </c:pt>
                <c:pt idx="190">
                  <c:v>2.4064380579367772E-2</c:v>
                </c:pt>
                <c:pt idx="191">
                  <c:v>2.4083084162867308E-2</c:v>
                </c:pt>
                <c:pt idx="192">
                  <c:v>2.4101787387916906E-2</c:v>
                </c:pt>
                <c:pt idx="193">
                  <c:v>2.4120490254523452E-2</c:v>
                </c:pt>
                <c:pt idx="194">
                  <c:v>2.4139192762693829E-2</c:v>
                </c:pt>
                <c:pt idx="195">
                  <c:v>2.4157894912434918E-2</c:v>
                </c:pt>
                <c:pt idx="196">
                  <c:v>2.4176596703753495E-2</c:v>
                </c:pt>
                <c:pt idx="197">
                  <c:v>2.4195298136656662E-2</c:v>
                </c:pt>
                <c:pt idx="198">
                  <c:v>2.4213999211150972E-2</c:v>
                </c:pt>
                <c:pt idx="199">
                  <c:v>2.4232699927243528E-2</c:v>
                </c:pt>
                <c:pt idx="200">
                  <c:v>2.4251400284941216E-2</c:v>
                </c:pt>
                <c:pt idx="201">
                  <c:v>2.4270100284250695E-2</c:v>
                </c:pt>
                <c:pt idx="202">
                  <c:v>2.4288799925178961E-2</c:v>
                </c:pt>
                <c:pt idx="203">
                  <c:v>2.4307499207732897E-2</c:v>
                </c:pt>
                <c:pt idx="204">
                  <c:v>2.4326198131919385E-2</c:v>
                </c:pt>
                <c:pt idx="205">
                  <c:v>2.43448966977452E-2</c:v>
                </c:pt>
                <c:pt idx="206">
                  <c:v>2.4363594905217334E-2</c:v>
                </c:pt>
                <c:pt idx="207">
                  <c:v>2.4382292754342449E-2</c:v>
                </c:pt>
                <c:pt idx="208">
                  <c:v>2.4400990245127652E-2</c:v>
                </c:pt>
                <c:pt idx="209">
                  <c:v>2.4419687377579713E-2</c:v>
                </c:pt>
                <c:pt idx="210">
                  <c:v>2.4438384151705517E-2</c:v>
                </c:pt>
                <c:pt idx="211">
                  <c:v>2.4457080567511835E-2</c:v>
                </c:pt>
                <c:pt idx="212">
                  <c:v>2.4475776625005663E-2</c:v>
                </c:pt>
                <c:pt idx="213">
                  <c:v>2.4494472324193883E-2</c:v>
                </c:pt>
                <c:pt idx="214">
                  <c:v>2.4513167665083158E-2</c:v>
                </c:pt>
                <c:pt idx="215">
                  <c:v>2.4531862647680591E-2</c:v>
                </c:pt>
                <c:pt idx="216">
                  <c:v>2.4550557271992846E-2</c:v>
                </c:pt>
                <c:pt idx="217">
                  <c:v>2.4569251538026915E-2</c:v>
                </c:pt>
                <c:pt idx="218">
                  <c:v>2.4587945445789683E-2</c:v>
                </c:pt>
                <c:pt idx="219">
                  <c:v>2.4606638995288033E-2</c:v>
                </c:pt>
                <c:pt idx="220">
                  <c:v>2.4625332186528626E-2</c:v>
                </c:pt>
                <c:pt idx="221">
                  <c:v>2.4644025019518567E-2</c:v>
                </c:pt>
                <c:pt idx="222">
                  <c:v>2.466271749426463E-2</c:v>
                </c:pt>
                <c:pt idx="223">
                  <c:v>2.4681409610773697E-2</c:v>
                </c:pt>
                <c:pt idx="224">
                  <c:v>2.4700101369052541E-2</c:v>
                </c:pt>
                <c:pt idx="225">
                  <c:v>2.4718792769108155E-2</c:v>
                </c:pt>
                <c:pt idx="226">
                  <c:v>2.4737483810947314E-2</c:v>
                </c:pt>
                <c:pt idx="227">
                  <c:v>2.475617449457701E-2</c:v>
                </c:pt>
                <c:pt idx="228">
                  <c:v>2.4774864820003906E-2</c:v>
                </c:pt>
                <c:pt idx="229">
                  <c:v>2.4793554787234995E-2</c:v>
                </c:pt>
                <c:pt idx="230">
                  <c:v>2.4812244396277161E-2</c:v>
                </c:pt>
                <c:pt idx="231">
                  <c:v>2.4830933647137288E-2</c:v>
                </c:pt>
                <c:pt idx="232">
                  <c:v>2.4849622539822036E-2</c:v>
                </c:pt>
                <c:pt idx="233">
                  <c:v>2.4868311074338512E-2</c:v>
                </c:pt>
                <c:pt idx="234">
                  <c:v>2.4886999250693487E-2</c:v>
                </c:pt>
                <c:pt idx="235">
                  <c:v>2.4905687068893845E-2</c:v>
                </c:pt>
                <c:pt idx="236">
                  <c:v>2.4924374528946469E-2</c:v>
                </c:pt>
                <c:pt idx="237">
                  <c:v>2.4943061630858132E-2</c:v>
                </c:pt>
                <c:pt idx="238">
                  <c:v>2.4961748374635717E-2</c:v>
                </c:pt>
                <c:pt idx="239">
                  <c:v>2.4980434760286108E-2</c:v>
                </c:pt>
                <c:pt idx="240">
                  <c:v>2.4999120787816187E-2</c:v>
                </c:pt>
                <c:pt idx="241">
                  <c:v>2.5017806457232838E-2</c:v>
                </c:pt>
                <c:pt idx="242">
                  <c:v>2.5036491768542946E-2</c:v>
                </c:pt>
                <c:pt idx="243">
                  <c:v>2.5055176721753281E-2</c:v>
                </c:pt>
                <c:pt idx="244">
                  <c:v>2.5073861316870727E-2</c:v>
                </c:pt>
                <c:pt idx="245">
                  <c:v>2.5092545553902279E-2</c:v>
                </c:pt>
                <c:pt idx="246">
                  <c:v>2.5111229432854598E-2</c:v>
                </c:pt>
                <c:pt idx="247">
                  <c:v>2.5129912953734568E-2</c:v>
                </c:pt>
                <c:pt idx="248">
                  <c:v>2.5148596116549182E-2</c:v>
                </c:pt>
                <c:pt idx="249">
                  <c:v>2.5167278921305325E-2</c:v>
                </c:pt>
                <c:pt idx="250">
                  <c:v>2.5185961368009657E-2</c:v>
                </c:pt>
                <c:pt idx="251">
                  <c:v>2.5204643456669285E-2</c:v>
                </c:pt>
                <c:pt idx="252">
                  <c:v>2.5223325187290868E-2</c:v>
                </c:pt>
                <c:pt idx="253">
                  <c:v>2.5242006559881403E-2</c:v>
                </c:pt>
                <c:pt idx="254">
                  <c:v>2.5260687574447549E-2</c:v>
                </c:pt>
                <c:pt idx="255">
                  <c:v>2.5279368230996413E-2</c:v>
                </c:pt>
                <c:pt idx="256">
                  <c:v>2.5298048529534767E-2</c:v>
                </c:pt>
                <c:pt idx="257">
                  <c:v>2.5316728470069494E-2</c:v>
                </c:pt>
                <c:pt idx="258">
                  <c:v>2.5335408052607367E-2</c:v>
                </c:pt>
                <c:pt idx="259">
                  <c:v>2.5354087277155268E-2</c:v>
                </c:pt>
                <c:pt idx="260">
                  <c:v>2.5372766143720193E-2</c:v>
                </c:pt>
                <c:pt idx="261">
                  <c:v>2.5391444652308803E-2</c:v>
                </c:pt>
                <c:pt idx="262">
                  <c:v>2.5410122802928092E-2</c:v>
                </c:pt>
                <c:pt idx="263">
                  <c:v>2.5428800595584944E-2</c:v>
                </c:pt>
                <c:pt idx="264">
                  <c:v>2.544747803028613E-2</c:v>
                </c:pt>
                <c:pt idx="265">
                  <c:v>2.5466155107038535E-2</c:v>
                </c:pt>
                <c:pt idx="266">
                  <c:v>2.548483182584893E-2</c:v>
                </c:pt>
                <c:pt idx="267">
                  <c:v>2.5503508186724422E-2</c:v>
                </c:pt>
                <c:pt idx="268">
                  <c:v>2.552218418967156E-2</c:v>
                </c:pt>
                <c:pt idx="269">
                  <c:v>2.5540859834697449E-2</c:v>
                </c:pt>
                <c:pt idx="270">
                  <c:v>2.5559535121808863E-2</c:v>
                </c:pt>
                <c:pt idx="271">
                  <c:v>2.5578210051012684E-2</c:v>
                </c:pt>
                <c:pt idx="272">
                  <c:v>2.5596884622315685E-2</c:v>
                </c:pt>
                <c:pt idx="273">
                  <c:v>2.5615558835724861E-2</c:v>
                </c:pt>
                <c:pt idx="274">
                  <c:v>2.5634232691246983E-2</c:v>
                </c:pt>
                <c:pt idx="275">
                  <c:v>2.5652906188888935E-2</c:v>
                </c:pt>
                <c:pt idx="276">
                  <c:v>2.567157932865749E-2</c:v>
                </c:pt>
                <c:pt idx="277">
                  <c:v>2.5690252110559642E-2</c:v>
                </c:pt>
                <c:pt idx="278">
                  <c:v>2.5708924534602162E-2</c:v>
                </c:pt>
                <c:pt idx="279">
                  <c:v>2.5727596600791935E-2</c:v>
                </c:pt>
                <c:pt idx="280">
                  <c:v>2.5746268309135845E-2</c:v>
                </c:pt>
                <c:pt idx="281">
                  <c:v>2.5764939659640662E-2</c:v>
                </c:pt>
                <c:pt idx="282">
                  <c:v>2.5783610652313382E-2</c:v>
                </c:pt>
                <c:pt idx="283">
                  <c:v>2.5802281287160778E-2</c:v>
                </c:pt>
                <c:pt idx="284">
                  <c:v>2.582095156418962E-2</c:v>
                </c:pt>
                <c:pt idx="285">
                  <c:v>2.5839621483407016E-2</c:v>
                </c:pt>
                <c:pt idx="286">
                  <c:v>2.5858291044819515E-2</c:v>
                </c:pt>
                <c:pt idx="287">
                  <c:v>2.5876960248434222E-2</c:v>
                </c:pt>
                <c:pt idx="288">
                  <c:v>2.589562909425791E-2</c:v>
                </c:pt>
                <c:pt idx="289">
                  <c:v>2.5914297582297352E-2</c:v>
                </c:pt>
                <c:pt idx="290">
                  <c:v>2.5932965712559541E-2</c:v>
                </c:pt>
                <c:pt idx="291">
                  <c:v>2.5951633485051251E-2</c:v>
                </c:pt>
                <c:pt idx="292">
                  <c:v>2.5970300899779364E-2</c:v>
                </c:pt>
                <c:pt idx="293">
                  <c:v>2.5988967956750764E-2</c:v>
                </c:pt>
                <c:pt idx="294">
                  <c:v>2.6007634655972223E-2</c:v>
                </c:pt>
                <c:pt idx="295">
                  <c:v>2.6026300997450735E-2</c:v>
                </c:pt>
                <c:pt idx="296">
                  <c:v>2.6044966981192963E-2</c:v>
                </c:pt>
                <c:pt idx="297">
                  <c:v>2.60636326072059E-2</c:v>
                </c:pt>
                <c:pt idx="298">
                  <c:v>2.608229787549643E-2</c:v>
                </c:pt>
                <c:pt idx="299">
                  <c:v>2.6100962786071324E-2</c:v>
                </c:pt>
                <c:pt idx="300">
                  <c:v>2.6119627338937468E-2</c:v>
                </c:pt>
                <c:pt idx="301">
                  <c:v>2.6138291534101632E-2</c:v>
                </c:pt>
                <c:pt idx="302">
                  <c:v>2.6156955371570811E-2</c:v>
                </c:pt>
                <c:pt idx="303">
                  <c:v>2.6175618851351889E-2</c:v>
                </c:pt>
                <c:pt idx="304">
                  <c:v>2.6194281973451528E-2</c:v>
                </c:pt>
                <c:pt idx="305">
                  <c:v>2.621294473787672E-2</c:v>
                </c:pt>
                <c:pt idx="306">
                  <c:v>2.623160714463435E-2</c:v>
                </c:pt>
                <c:pt idx="307">
                  <c:v>2.6250269193731079E-2</c:v>
                </c:pt>
                <c:pt idx="308">
                  <c:v>2.6268930885174013E-2</c:v>
                </c:pt>
                <c:pt idx="309">
                  <c:v>2.6287592218969813E-2</c:v>
                </c:pt>
                <c:pt idx="310">
                  <c:v>2.6306253195125473E-2</c:v>
                </c:pt>
                <c:pt idx="311">
                  <c:v>2.6324913813647766E-2</c:v>
                </c:pt>
                <c:pt idx="312">
                  <c:v>2.6343574074543463E-2</c:v>
                </c:pt>
                <c:pt idx="313">
                  <c:v>2.6362233977819671E-2</c:v>
                </c:pt>
                <c:pt idx="314">
                  <c:v>2.638089352348294E-2</c:v>
                </c:pt>
                <c:pt idx="315">
                  <c:v>2.6399552711540375E-2</c:v>
                </c:pt>
                <c:pt idx="316">
                  <c:v>2.6418211541998748E-2</c:v>
                </c:pt>
                <c:pt idx="317">
                  <c:v>2.6436870014864833E-2</c:v>
                </c:pt>
                <c:pt idx="318">
                  <c:v>2.6455528130145511E-2</c:v>
                </c:pt>
                <c:pt idx="319">
                  <c:v>2.6474185887847779E-2</c:v>
                </c:pt>
                <c:pt idx="320">
                  <c:v>2.6492843287978296E-2</c:v>
                </c:pt>
                <c:pt idx="321">
                  <c:v>2.6511500330543947E-2</c:v>
                </c:pt>
                <c:pt idx="322">
                  <c:v>2.6530157015551725E-2</c:v>
                </c:pt>
                <c:pt idx="323">
                  <c:v>2.6548813343008404E-2</c:v>
                </c:pt>
                <c:pt idx="324">
                  <c:v>2.6567469312920755E-2</c:v>
                </c:pt>
                <c:pt idx="325">
                  <c:v>2.6586124925295662E-2</c:v>
                </c:pt>
                <c:pt idx="326">
                  <c:v>2.660478018014012E-2</c:v>
                </c:pt>
                <c:pt idx="327">
                  <c:v>2.6623435077460789E-2</c:v>
                </c:pt>
                <c:pt idx="328">
                  <c:v>2.6642089617264664E-2</c:v>
                </c:pt>
                <c:pt idx="329">
                  <c:v>2.6660743799558517E-2</c:v>
                </c:pt>
                <c:pt idx="330">
                  <c:v>2.6679397624349233E-2</c:v>
                </c:pt>
                <c:pt idx="331">
                  <c:v>2.6698051091643693E-2</c:v>
                </c:pt>
                <c:pt idx="332">
                  <c:v>2.6716704201448671E-2</c:v>
                </c:pt>
                <c:pt idx="333">
                  <c:v>2.673535695377105E-2</c:v>
                </c:pt>
                <c:pt idx="334">
                  <c:v>2.6754009348617713E-2</c:v>
                </c:pt>
                <c:pt idx="335">
                  <c:v>2.6772661385995433E-2</c:v>
                </c:pt>
                <c:pt idx="336">
                  <c:v>2.6791313065911093E-2</c:v>
                </c:pt>
                <c:pt idx="337">
                  <c:v>2.6809964388371577E-2</c:v>
                </c:pt>
                <c:pt idx="338">
                  <c:v>2.6828615353383767E-2</c:v>
                </c:pt>
                <c:pt idx="339">
                  <c:v>2.6847265960954436E-2</c:v>
                </c:pt>
                <c:pt idx="340">
                  <c:v>2.6865916211090468E-2</c:v>
                </c:pt>
                <c:pt idx="341">
                  <c:v>2.6884566103798746E-2</c:v>
                </c:pt>
                <c:pt idx="342">
                  <c:v>2.6903215639086042E-2</c:v>
                </c:pt>
                <c:pt idx="343">
                  <c:v>2.6921864816959351E-2</c:v>
                </c:pt>
                <c:pt idx="344">
                  <c:v>2.6940513637425334E-2</c:v>
                </c:pt>
                <c:pt idx="345">
                  <c:v>2.6959162100490874E-2</c:v>
                </c:pt>
                <c:pt idx="346">
                  <c:v>2.6977810206162967E-2</c:v>
                </c:pt>
                <c:pt idx="347">
                  <c:v>2.6996457954448272E-2</c:v>
                </c:pt>
                <c:pt idx="348">
                  <c:v>2.7015105345353785E-2</c:v>
                </c:pt>
                <c:pt idx="349">
                  <c:v>2.7033752378886389E-2</c:v>
                </c:pt>
                <c:pt idx="350">
                  <c:v>2.7052399055052745E-2</c:v>
                </c:pt>
                <c:pt idx="351">
                  <c:v>2.7071045373859848E-2</c:v>
                </c:pt>
                <c:pt idx="352">
                  <c:v>2.708969133531447E-2</c:v>
                </c:pt>
                <c:pt idx="353">
                  <c:v>2.7108336939423494E-2</c:v>
                </c:pt>
                <c:pt idx="354">
                  <c:v>2.7126982186193804E-2</c:v>
                </c:pt>
                <c:pt idx="355">
                  <c:v>2.7145627075632284E-2</c:v>
                </c:pt>
                <c:pt idx="356">
                  <c:v>2.7164271607745594E-2</c:v>
                </c:pt>
                <c:pt idx="357">
                  <c:v>2.7182915782540729E-2</c:v>
                </c:pt>
                <c:pt idx="358">
                  <c:v>2.7201559600024461E-2</c:v>
                </c:pt>
                <c:pt idx="359">
                  <c:v>2.7220203060203785E-2</c:v>
                </c:pt>
                <c:pt idx="360">
                  <c:v>2.7238846163085362E-2</c:v>
                </c:pt>
                <c:pt idx="361">
                  <c:v>2.7257488908676186E-2</c:v>
                </c:pt>
                <c:pt idx="362">
                  <c:v>2.7276131296983031E-2</c:v>
                </c:pt>
                <c:pt idx="363">
                  <c:v>2.7294773328012778E-2</c:v>
                </c:pt>
                <c:pt idx="364">
                  <c:v>2.7313415001772201E-2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7.6956138403865532E-2</c:v>
                </c:pt>
                <c:pt idx="1">
                  <c:v>7.7019813432444809E-2</c:v>
                </c:pt>
                <c:pt idx="2">
                  <c:v>7.7083595628748558E-2</c:v>
                </c:pt>
                <c:pt idx="3">
                  <c:v>7.7147467451309223E-2</c:v>
                </c:pt>
                <c:pt idx="4">
                  <c:v>7.7211413626378192E-2</c:v>
                </c:pt>
                <c:pt idx="5">
                  <c:v>7.7275421082498727E-2</c:v>
                </c:pt>
                <c:pt idx="6">
                  <c:v>7.7339478867646763E-2</c:v>
                </c:pt>
                <c:pt idx="7">
                  <c:v>7.7403578050319083E-2</c:v>
                </c:pt>
                <c:pt idx="8">
                  <c:v>7.7467711606066969E-2</c:v>
                </c:pt>
                <c:pt idx="9">
                  <c:v>7.7531874291077912E-2</c:v>
                </c:pt>
                <c:pt idx="10">
                  <c:v>7.7596062504495703E-2</c:v>
                </c:pt>
                <c:pt idx="11">
                  <c:v>7.7660274141236912E-2</c:v>
                </c:pt>
                <c:pt idx="12">
                  <c:v>7.7724508437114606E-2</c:v>
                </c:pt>
                <c:pt idx="13">
                  <c:v>7.778876580811199E-2</c:v>
                </c:pt>
                <c:pt idx="14">
                  <c:v>7.7853047685662993E-2</c:v>
                </c:pt>
                <c:pt idx="15">
                  <c:v>7.7917356349793992E-2</c:v>
                </c:pt>
                <c:pt idx="16">
                  <c:v>7.798169476195764E-2</c:v>
                </c:pt>
                <c:pt idx="17">
                  <c:v>7.8046066399351355E-2</c:v>
                </c:pt>
                <c:pt idx="18">
                  <c:v>7.8110475092456721E-2</c:v>
                </c:pt>
                <c:pt idx="19">
                  <c:v>7.8174924867463386E-2</c:v>
                </c:pt>
                <c:pt idx="20">
                  <c:v>7.8239419795154322E-2</c:v>
                </c:pt>
                <c:pt idx="21">
                  <c:v>7.8303963847727392E-2</c:v>
                </c:pt>
                <c:pt idx="22">
                  <c:v>7.8368560764914719E-2</c:v>
                </c:pt>
                <c:pt idx="23">
                  <c:v>7.8433213930635862E-2</c:v>
                </c:pt>
                <c:pt idx="24">
                  <c:v>7.8497926261284726E-2</c:v>
                </c:pt>
                <c:pt idx="25">
                  <c:v>7.8562700106607417E-2</c:v>
                </c:pt>
                <c:pt idx="26">
                  <c:v>7.8627537163976621E-2</c:v>
                </c:pt>
                <c:pt idx="27">
                  <c:v>7.8692438406712667E-2</c:v>
                </c:pt>
                <c:pt idx="28">
                  <c:v>7.875740402694198E-2</c:v>
                </c:pt>
                <c:pt idx="29">
                  <c:v>7.8822433393322136E-2</c:v>
                </c:pt>
                <c:pt idx="30">
                  <c:v>7.8887525023801336E-2</c:v>
                </c:pt>
                <c:pt idx="31">
                  <c:v>7.8952676573420033E-2</c:v>
                </c:pt>
                <c:pt idx="32">
                  <c:v>7.901788483700567E-2</c:v>
                </c:pt>
                <c:pt idx="33">
                  <c:v>7.9083145766458862E-2</c:v>
                </c:pt>
                <c:pt idx="34">
                  <c:v>7.9148454502183246E-2</c:v>
                </c:pt>
                <c:pt idx="35">
                  <c:v>7.9213805418072755E-2</c:v>
                </c:pt>
                <c:pt idx="36">
                  <c:v>7.9279192179340027E-2</c:v>
                </c:pt>
                <c:pt idx="37">
                  <c:v>7.9344607812349685E-2</c:v>
                </c:pt>
                <c:pt idx="38">
                  <c:v>7.9410044785511905E-2</c:v>
                </c:pt>
                <c:pt idx="39">
                  <c:v>7.9475495100194471E-2</c:v>
                </c:pt>
                <c:pt idx="40">
                  <c:v>7.9540950390528206E-2</c:v>
                </c:pt>
                <c:pt idx="41">
                  <c:v>7.9606402030909115E-2</c:v>
                </c:pt>
                <c:pt idx="42">
                  <c:v>7.967184124994546E-2</c:v>
                </c:pt>
                <c:pt idx="43">
                  <c:v>7.9737259249554576E-2</c:v>
                </c:pt>
                <c:pt idx="44">
                  <c:v>7.9802647327886514E-2</c:v>
                </c:pt>
                <c:pt idx="45">
                  <c:v>7.9867997004739136E-2</c:v>
                </c:pt>
                <c:pt idx="46">
                  <c:v>7.9933300148128869E-2</c:v>
                </c:pt>
                <c:pt idx="47">
                  <c:v>7.9998549100696884E-2</c:v>
                </c:pt>
                <c:pt idx="48">
                  <c:v>8.0063736804659377E-2</c:v>
                </c:pt>
                <c:pt idx="49">
                  <c:v>8.0128856924051042E-2</c:v>
                </c:pt>
                <c:pt idx="50">
                  <c:v>8.0193903963065305E-2</c:v>
                </c:pt>
                <c:pt idx="51">
                  <c:v>8.0258873379359705E-2</c:v>
                </c:pt>
                <c:pt idx="52">
                  <c:v>8.0323761691270298E-2</c:v>
                </c:pt>
                <c:pt idx="53">
                  <c:v>8.0388566577964268E-2</c:v>
                </c:pt>
                <c:pt idx="54">
                  <c:v>8.0453286971652535E-2</c:v>
                </c:pt>
                <c:pt idx="55">
                  <c:v>8.0517923141085052E-2</c:v>
                </c:pt>
                <c:pt idx="56">
                  <c:v>8.0582476765657107E-2</c:v>
                </c:pt>
                <c:pt idx="57">
                  <c:v>8.0646950999565453E-2</c:v>
                </c:pt>
                <c:pt idx="58">
                  <c:v>8.0711350525567008E-2</c:v>
                </c:pt>
                <c:pt idx="59">
                  <c:v>8.0775681598007437E-2</c:v>
                </c:pt>
                <c:pt idx="60">
                  <c:v>8.0839952074903701E-2</c:v>
                </c:pt>
                <c:pt idx="61">
                  <c:v>8.0904171438978281E-2</c:v>
                </c:pt>
                <c:pt idx="62">
                  <c:v>8.0968350807656311E-2</c:v>
                </c:pt>
                <c:pt idx="63">
                  <c:v>8.1032502932144909E-2</c:v>
                </c:pt>
                <c:pt idx="64">
                  <c:v>8.1096642185819037E-2</c:v>
                </c:pt>
                <c:pt idx="65">
                  <c:v>8.1160784542236492E-2</c:v>
                </c:pt>
                <c:pt idx="66">
                  <c:v>8.1224947543195994E-2</c:v>
                </c:pt>
                <c:pt idx="67">
                  <c:v>8.1289150257336351E-2</c:v>
                </c:pt>
                <c:pt idx="68">
                  <c:v>8.1353413229850374E-2</c:v>
                </c:pt>
                <c:pt idx="69">
                  <c:v>8.141775842395238E-2</c:v>
                </c:pt>
                <c:pt idx="70">
                  <c:v>8.1482209154795052E-2</c:v>
                </c:pt>
                <c:pt idx="71">
                  <c:v>8.1546790016576456E-2</c:v>
                </c:pt>
                <c:pt idx="72">
                  <c:v>8.1611526803613554E-2</c:v>
                </c:pt>
                <c:pt idx="73">
                  <c:v>8.167644642618295E-2</c:v>
                </c:pt>
                <c:pt idx="74">
                  <c:v>8.1741576821942441E-2</c:v>
                </c:pt>
                <c:pt idx="75">
                  <c:v>8.1806946863750091E-2</c:v>
                </c:pt>
                <c:pt idx="76">
                  <c:v>8.1872586264689698E-2</c:v>
                </c:pt>
                <c:pt idx="77">
                  <c:v>8.1938525481092594E-2</c:v>
                </c:pt>
                <c:pt idx="78">
                  <c:v>8.2004795614319004E-2</c:v>
                </c:pt>
                <c:pt idx="79">
                  <c:v>8.2071428312024464E-2</c:v>
                </c:pt>
                <c:pt idx="80">
                  <c:v>8.2138455669591284E-2</c:v>
                </c:pt>
                <c:pt idx="81">
                  <c:v>8.2205910132352816E-2</c:v>
                </c:pt>
                <c:pt idx="82">
                  <c:v>8.227382439917795E-2</c:v>
                </c:pt>
                <c:pt idx="83">
                  <c:v>8.2342231327917945E-2</c:v>
                </c:pt>
                <c:pt idx="84">
                  <c:v>8.2411163843147478E-2</c:v>
                </c:pt>
                <c:pt idx="85">
                  <c:v>8.2480654846558601E-2</c:v>
                </c:pt>
                <c:pt idx="86">
                  <c:v>8.2550737130288765E-2</c:v>
                </c:pt>
                <c:pt idx="87">
                  <c:v>8.2621443293388275E-2</c:v>
                </c:pt>
                <c:pt idx="88">
                  <c:v>8.269280566155307E-2</c:v>
                </c:pt>
                <c:pt idx="89">
                  <c:v>8.2764856210172613E-2</c:v>
                </c:pt>
                <c:pt idx="90">
                  <c:v>8.283762649066867E-2</c:v>
                </c:pt>
                <c:pt idx="91">
                  <c:v>8.2911147560028001E-2</c:v>
                </c:pt>
                <c:pt idx="92">
                  <c:v>8.2985449913365664E-2</c:v>
                </c:pt>
                <c:pt idx="93">
                  <c:v>8.3060563419293354E-2</c:v>
                </c:pt>
                <c:pt idx="94">
                  <c:v>8.3136517257811779E-2</c:v>
                </c:pt>
                <c:pt idx="95">
                  <c:v>8.3213339860396307E-2</c:v>
                </c:pt>
                <c:pt idx="96">
                  <c:v>8.3291058851905769E-2</c:v>
                </c:pt>
                <c:pt idx="97">
                  <c:v>8.3369700993909585E-2</c:v>
                </c:pt>
                <c:pt idx="98">
                  <c:v>8.3449292129006439E-2</c:v>
                </c:pt>
                <c:pt idx="99">
                  <c:v>8.3529857125691928E-2</c:v>
                </c:pt>
                <c:pt idx="100">
                  <c:v>8.3611419823328412E-2</c:v>
                </c:pt>
                <c:pt idx="101">
                  <c:v>8.3694002976774678E-2</c:v>
                </c:pt>
                <c:pt idx="102">
                  <c:v>8.3777628200247714E-2</c:v>
                </c:pt>
                <c:pt idx="103">
                  <c:v>8.3862315910012711E-2</c:v>
                </c:pt>
                <c:pt idx="104">
                  <c:v>8.3948085265531172E-2</c:v>
                </c:pt>
                <c:pt idx="105">
                  <c:v>8.4034954108738902E-2</c:v>
                </c:pt>
                <c:pt idx="106">
                  <c:v>8.4122938901177197E-2</c:v>
                </c:pt>
                <c:pt idx="107">
                  <c:v>8.4212054658758209E-2</c:v>
                </c:pt>
                <c:pt idx="108">
                  <c:v>8.4302314884012228E-2</c:v>
                </c:pt>
                <c:pt idx="109">
                  <c:v>8.4393731495736132E-2</c:v>
                </c:pt>
                <c:pt idx="110">
                  <c:v>8.4486314756039405E-2</c:v>
                </c:pt>
                <c:pt idx="111">
                  <c:v>8.4580073194866504E-2</c:v>
                </c:pt>
                <c:pt idx="112">
                  <c:v>8.4675013532158491E-2</c:v>
                </c:pt>
                <c:pt idx="113">
                  <c:v>8.4771140597904096E-2</c:v>
                </c:pt>
                <c:pt idx="114">
                  <c:v>8.4868457250418472E-2</c:v>
                </c:pt>
                <c:pt idx="115">
                  <c:v>8.4966964293274785E-2</c:v>
                </c:pt>
                <c:pt idx="116">
                  <c:v>8.5066660391400498E-2</c:v>
                </c:pt>
                <c:pt idx="117">
                  <c:v>8.5167541986932438E-2</c:v>
                </c:pt>
                <c:pt idx="118">
                  <c:v>8.5269603215504489E-2</c:v>
                </c:pt>
                <c:pt idx="119">
                  <c:v>8.5372835823715354E-2</c:v>
                </c:pt>
                <c:pt idx="120">
                  <c:v>8.5477229088591067E-2</c:v>
                </c:pt>
                <c:pt idx="121">
                  <c:v>8.0969278839997105E-3</c:v>
                </c:pt>
                <c:pt idx="122">
                  <c:v>8.2011074605629567E-3</c:v>
                </c:pt>
                <c:pt idx="123">
                  <c:v>8.3053647488083322E-3</c:v>
                </c:pt>
                <c:pt idx="124">
                  <c:v>8.4097012428203111E-3</c:v>
                </c:pt>
                <c:pt idx="125">
                  <c:v>8.5141180456791647E-3</c:v>
                </c:pt>
                <c:pt idx="126">
                  <c:v>8.6186158500935525E-3</c:v>
                </c:pt>
                <c:pt idx="127">
                  <c:v>8.72319491973347E-3</c:v>
                </c:pt>
                <c:pt idx="128">
                  <c:v>8.8278550714357799E-3</c:v>
                </c:pt>
                <c:pt idx="129">
                  <c:v>8.9325956584598281E-3</c:v>
                </c:pt>
                <c:pt idx="130">
                  <c:v>9.0374155549735342E-3</c:v>
                </c:pt>
                <c:pt idx="131">
                  <c:v>9.1423131419524004E-3</c:v>
                </c:pt>
                <c:pt idx="132">
                  <c:v>9.2472862946729462E-3</c:v>
                </c:pt>
                <c:pt idx="133">
                  <c:v>9.3523323719800835E-3</c:v>
                </c:pt>
                <c:pt idx="134">
                  <c:v>9.4574482075031364E-3</c:v>
                </c:pt>
                <c:pt idx="135">
                  <c:v>9.5626301029887433E-3</c:v>
                </c:pt>
                <c:pt idx="136">
                  <c:v>9.6678738239101471E-3</c:v>
                </c:pt>
                <c:pt idx="137">
                  <c:v>9.7731745975015542E-3</c:v>
                </c:pt>
                <c:pt idx="138">
                  <c:v>9.8785271133532832E-3</c:v>
                </c:pt>
                <c:pt idx="139">
                  <c:v>9.983925526688503E-3</c:v>
                </c:pt>
                <c:pt idx="140">
                  <c:v>1.0089363464425757E-2</c:v>
                </c:pt>
                <c:pt idx="141">
                  <c:v>1.0194834034112581E-2</c:v>
                </c:pt>
                <c:pt idx="142">
                  <c:v>1.0300329835795341E-2</c:v>
                </c:pt>
                <c:pt idx="143">
                  <c:v>1.0405842976868846E-2</c:v>
                </c:pt>
                <c:pt idx="144">
                  <c:v>1.051136508992591E-2</c:v>
                </c:pt>
                <c:pt idx="145">
                  <c:v>1.0616887353603123E-2</c:v>
                </c:pt>
                <c:pt idx="146">
                  <c:v>1.0722400516393961E-2</c:v>
                </c:pt>
                <c:pt idx="147">
                  <c:v>1.0827894923374529E-2</c:v>
                </c:pt>
                <c:pt idx="148">
                  <c:v>1.0933360545761578E-2</c:v>
                </c:pt>
                <c:pt idx="149">
                  <c:v>1.1038787013195649E-2</c:v>
                </c:pt>
                <c:pt idx="150">
                  <c:v>1.1144163648616846E-2</c:v>
                </c:pt>
                <c:pt idx="151">
                  <c:v>1.1249479505574488E-2</c:v>
                </c:pt>
                <c:pt idx="152">
                  <c:v>1.135472340778752E-2</c:v>
                </c:pt>
                <c:pt idx="153">
                  <c:v>1.1459883990748302E-2</c:v>
                </c:pt>
                <c:pt idx="154">
                  <c:v>1.1564949745139967E-2</c:v>
                </c:pt>
                <c:pt idx="155">
                  <c:v>1.1669909061816293E-2</c:v>
                </c:pt>
                <c:pt idx="156">
                  <c:v>1.1774750278073749E-2</c:v>
                </c:pt>
                <c:pt idx="157">
                  <c:v>1.1879461724928082E-2</c:v>
                </c:pt>
                <c:pt idx="158">
                  <c:v>1.1984031775092649E-2</c:v>
                </c:pt>
                <c:pt idx="159">
                  <c:v>1.2088448891343135E-2</c:v>
                </c:pt>
                <c:pt idx="160">
                  <c:v>1.2192701674943355E-2</c:v>
                </c:pt>
                <c:pt idx="161">
                  <c:v>1.2296778913799475E-2</c:v>
                </c:pt>
                <c:pt idx="162">
                  <c:v>1.2400669630005827E-2</c:v>
                </c:pt>
                <c:pt idx="163">
                  <c:v>1.2504363126444219E-2</c:v>
                </c:pt>
                <c:pt idx="164">
                  <c:v>1.2607849032100233E-2</c:v>
                </c:pt>
                <c:pt idx="165">
                  <c:v>1.2711117345765284E-2</c:v>
                </c:pt>
                <c:pt idx="166">
                  <c:v>1.2814158477800899E-2</c:v>
                </c:pt>
                <c:pt idx="167">
                  <c:v>1.2916963289653116E-2</c:v>
                </c:pt>
                <c:pt idx="168">
                  <c:v>1.3019523130818861E-2</c:v>
                </c:pt>
                <c:pt idx="169">
                  <c:v>1.3121829872983545E-2</c:v>
                </c:pt>
                <c:pt idx="170">
                  <c:v>1.3223875941068738E-2</c:v>
                </c:pt>
                <c:pt idx="171">
                  <c:v>1.3325654340951695E-2</c:v>
                </c:pt>
                <c:pt idx="172">
                  <c:v>1.3427158683643326E-2</c:v>
                </c:pt>
                <c:pt idx="173">
                  <c:v>1.3528383205738702E-2</c:v>
                </c:pt>
                <c:pt idx="174">
                  <c:v>1.3629322785983281E-2</c:v>
                </c:pt>
                <c:pt idx="175">
                  <c:v>1.3729972957829189E-2</c:v>
                </c:pt>
                <c:pt idx="176">
                  <c:v>1.3830329917888396E-2</c:v>
                </c:pt>
                <c:pt idx="177">
                  <c:v>1.3930390530223071E-2</c:v>
                </c:pt>
                <c:pt idx="178">
                  <c:v>1.4030152326447868E-2</c:v>
                </c:pt>
                <c:pt idx="179">
                  <c:v>1.4129613501653723E-2</c:v>
                </c:pt>
                <c:pt idx="180">
                  <c:v>1.4228772906197722E-2</c:v>
                </c:pt>
                <c:pt idx="181">
                  <c:v>1.4327630033438253E-2</c:v>
                </c:pt>
                <c:pt idx="182">
                  <c:v>1.4426185003528783E-2</c:v>
                </c:pt>
                <c:pt idx="183">
                  <c:v>1.4524438543416797E-2</c:v>
                </c:pt>
                <c:pt idx="184">
                  <c:v>1.4622391963226454E-2</c:v>
                </c:pt>
                <c:pt idx="185">
                  <c:v>1.4720047129233358E-2</c:v>
                </c:pt>
                <c:pt idx="186">
                  <c:v>1.4817406433668809E-2</c:v>
                </c:pt>
                <c:pt idx="187">
                  <c:v>1.4914472761616383E-2</c:v>
                </c:pt>
                <c:pt idx="188">
                  <c:v>1.5011249455287595E-2</c:v>
                </c:pt>
                <c:pt idx="189">
                  <c:v>1.5107740275984265E-2</c:v>
                </c:pt>
                <c:pt idx="190">
                  <c:v>1.5203949364072591E-2</c:v>
                </c:pt>
                <c:pt idx="191">
                  <c:v>1.5299881197309125E-2</c:v>
                </c:pt>
                <c:pt idx="192">
                  <c:v>1.5395540547869528E-2</c:v>
                </c:pt>
                <c:pt idx="193">
                  <c:v>1.5490932438439211E-2</c:v>
                </c:pt>
                <c:pt idx="194">
                  <c:v>1.5586062097728861E-2</c:v>
                </c:pt>
                <c:pt idx="195">
                  <c:v>1.5680934915778533E-2</c:v>
                </c:pt>
                <c:pt idx="196">
                  <c:v>1.5775556399410921E-2</c:v>
                </c:pt>
                <c:pt idx="197">
                  <c:v>1.5869932128187682E-2</c:v>
                </c:pt>
                <c:pt idx="198">
                  <c:v>1.5964067711212507E-2</c:v>
                </c:pt>
                <c:pt idx="199">
                  <c:v>1.6057968745110958E-2</c:v>
                </c:pt>
                <c:pt idx="200">
                  <c:v>1.615164077349994E-2</c:v>
                </c:pt>
                <c:pt idx="201">
                  <c:v>1.6245089248239995E-2</c:v>
                </c:pt>
                <c:pt idx="202">
                  <c:v>1.6338319492740019E-2</c:v>
                </c:pt>
                <c:pt idx="203">
                  <c:v>1.643133666755895E-2</c:v>
                </c:pt>
                <c:pt idx="204">
                  <c:v>1.6524145738520547E-2</c:v>
                </c:pt>
                <c:pt idx="205">
                  <c:v>1.6616751447527462E-2</c:v>
                </c:pt>
                <c:pt idx="206">
                  <c:v>1.670915828622899E-2</c:v>
                </c:pt>
                <c:pt idx="207">
                  <c:v>1.6801370472663675E-2</c:v>
                </c:pt>
                <c:pt idx="208">
                  <c:v>1.6893391930963727E-2</c:v>
                </c:pt>
                <c:pt idx="209">
                  <c:v>1.698522627417344E-2</c:v>
                </c:pt>
                <c:pt idx="210">
                  <c:v>1.707687679019881E-2</c:v>
                </c:pt>
                <c:pt idx="211">
                  <c:v>1.7168346430870399E-2</c:v>
                </c:pt>
                <c:pt idx="212">
                  <c:v>1.7259637804067716E-2</c:v>
                </c:pt>
                <c:pt idx="213">
                  <c:v>1.7350753168819389E-2</c:v>
                </c:pt>
                <c:pt idx="214">
                  <c:v>1.7441694433262021E-2</c:v>
                </c:pt>
                <c:pt idx="215">
                  <c:v>1.7532463155309937E-2</c:v>
                </c:pt>
                <c:pt idx="216">
                  <c:v>1.7623060545859999E-2</c:v>
                </c:pt>
                <c:pt idx="217">
                  <c:v>1.7713487474329864E-2</c:v>
                </c:pt>
                <c:pt idx="218">
                  <c:v>1.7803744476304933E-2</c:v>
                </c:pt>
                <c:pt idx="219">
                  <c:v>1.7893831763049265E-2</c:v>
                </c:pt>
                <c:pt idx="220">
                  <c:v>1.7983749232618633E-2</c:v>
                </c:pt>
                <c:pt idx="221">
                  <c:v>1.8073496482300902E-2</c:v>
                </c:pt>
                <c:pt idx="222">
                  <c:v>1.8163072822098586E-2</c:v>
                </c:pt>
                <c:pt idx="223">
                  <c:v>1.8252477288962943E-2</c:v>
                </c:pt>
                <c:pt idx="224">
                  <c:v>1.8341708661486333E-2</c:v>
                </c:pt>
                <c:pt idx="225">
                  <c:v>1.8430765474761419E-2</c:v>
                </c:pt>
                <c:pt idx="226">
                  <c:v>1.8519646035121306E-2</c:v>
                </c:pt>
                <c:pt idx="227">
                  <c:v>1.860834843448405E-2</c:v>
                </c:pt>
                <c:pt idx="228">
                  <c:v>1.869687056403805E-2</c:v>
                </c:pt>
                <c:pt idx="229">
                  <c:v>1.8785210127021449E-2</c:v>
                </c:pt>
                <c:pt idx="230">
                  <c:v>1.8873364650369068E-2</c:v>
                </c:pt>
                <c:pt idx="231">
                  <c:v>1.8961331495023107E-2</c:v>
                </c:pt>
                <c:pt idx="232">
                  <c:v>1.90491078647308E-2</c:v>
                </c:pt>
                <c:pt idx="233">
                  <c:v>1.913669081318034E-2</c:v>
                </c:pt>
                <c:pt idx="234">
                  <c:v>1.922407724935811E-2</c:v>
                </c:pt>
                <c:pt idx="235">
                  <c:v>1.9311263941042864E-2</c:v>
                </c:pt>
                <c:pt idx="236">
                  <c:v>1.9398247516387492E-2</c:v>
                </c:pt>
                <c:pt idx="237">
                  <c:v>1.9485024463574481E-2</c:v>
                </c:pt>
                <c:pt idx="238">
                  <c:v>1.9571591128567614E-2</c:v>
                </c:pt>
                <c:pt idx="239">
                  <c:v>1.9657943711019459E-2</c:v>
                </c:pt>
                <c:pt idx="240">
                  <c:v>1.9744078258430081E-2</c:v>
                </c:pt>
                <c:pt idx="241">
                  <c:v>1.9829990658688807E-2</c:v>
                </c:pt>
                <c:pt idx="242">
                  <c:v>1.9915676631165211E-2</c:v>
                </c:pt>
                <c:pt idx="243">
                  <c:v>2.0001131716548642E-2</c:v>
                </c:pt>
                <c:pt idx="244">
                  <c:v>2.0086351265666876E-2</c:v>
                </c:pt>
                <c:pt idx="245">
                  <c:v>2.0171330427542968E-2</c:v>
                </c:pt>
                <c:pt idx="246">
                  <c:v>2.0256064136975477E-2</c:v>
                </c:pt>
                <c:pt idx="247">
                  <c:v>2.0340547101949602E-2</c:v>
                </c:pt>
                <c:pt idx="248">
                  <c:v>2.0424773791206188E-2</c:v>
                </c:pt>
                <c:pt idx="249">
                  <c:v>2.0508738422310775E-2</c:v>
                </c:pt>
                <c:pt idx="250">
                  <c:v>2.0592434950575982E-2</c:v>
                </c:pt>
                <c:pt idx="251">
                  <c:v>2.0675857059197451E-2</c:v>
                </c:pt>
                <c:pt idx="252">
                  <c:v>2.0758998150966174E-2</c:v>
                </c:pt>
                <c:pt idx="253">
                  <c:v>2.0841851341917291E-2</c:v>
                </c:pt>
                <c:pt idx="254">
                  <c:v>2.0924409457269182E-2</c:v>
                </c:pt>
                <c:pt idx="255">
                  <c:v>2.1006665029994442E-2</c:v>
                </c:pt>
                <c:pt idx="256">
                  <c:v>2.1088610302348366E-2</c:v>
                </c:pt>
                <c:pt idx="257">
                  <c:v>2.1170237230659531E-2</c:v>
                </c:pt>
                <c:pt idx="258">
                  <c:v>2.1251537493661484E-2</c:v>
                </c:pt>
                <c:pt idx="259">
                  <c:v>2.1332502504615249E-2</c:v>
                </c:pt>
                <c:pt idx="260">
                  <c:v>2.1413123427438202E-2</c:v>
                </c:pt>
                <c:pt idx="261">
                  <c:v>2.1493391197017774E-2</c:v>
                </c:pt>
                <c:pt idx="262">
                  <c:v>2.157329654384732E-2</c:v>
                </c:pt>
                <c:pt idx="263">
                  <c:v>2.1652830023077663E-2</c:v>
                </c:pt>
                <c:pt idx="264">
                  <c:v>2.1731982048031406E-2</c:v>
                </c:pt>
                <c:pt idx="265">
                  <c:v>2.1810742928178358E-2</c:v>
                </c:pt>
                <c:pt idx="266">
                  <c:v>2.1889102911520048E-2</c:v>
                </c:pt>
                <c:pt idx="267">
                  <c:v>2.1967052231280041E-2</c:v>
                </c:pt>
                <c:pt idx="268">
                  <c:v>2.2044581156744392E-2</c:v>
                </c:pt>
                <c:pt idx="269">
                  <c:v>2.2121680048044955E-2</c:v>
                </c:pt>
                <c:pt idx="270">
                  <c:v>2.2198339414626012E-2</c:v>
                </c:pt>
                <c:pt idx="271">
                  <c:v>2.2274549977084737E-2</c:v>
                </c:pt>
                <c:pt idx="272">
                  <c:v>2.2350302732026806E-2</c:v>
                </c:pt>
                <c:pt idx="273">
                  <c:v>2.2425589019531959E-2</c:v>
                </c:pt>
                <c:pt idx="274">
                  <c:v>2.2500400592780266E-2</c:v>
                </c:pt>
                <c:pt idx="275">
                  <c:v>2.2574729689349329E-2</c:v>
                </c:pt>
                <c:pt idx="276">
                  <c:v>2.2648569103655723E-2</c:v>
                </c:pt>
                <c:pt idx="277">
                  <c:v>2.2721912259981446E-2</c:v>
                </c:pt>
                <c:pt idx="278">
                  <c:v>2.2794753285497991E-2</c:v>
                </c:pt>
                <c:pt idx="279">
                  <c:v>2.2867087082678261E-2</c:v>
                </c:pt>
                <c:pt idx="280">
                  <c:v>2.2938909400468343E-2</c:v>
                </c:pt>
                <c:pt idx="281">
                  <c:v>2.301021690358037E-2</c:v>
                </c:pt>
                <c:pt idx="282">
                  <c:v>2.308100723926081E-2</c:v>
                </c:pt>
                <c:pt idx="283">
                  <c:v>2.315127910088997E-2</c:v>
                </c:pt>
                <c:pt idx="284">
                  <c:v>2.3221032287774081E-2</c:v>
                </c:pt>
                <c:pt idx="285">
                  <c:v>2.3290267760504926E-2</c:v>
                </c:pt>
                <c:pt idx="286">
                  <c:v>2.3358987691280725E-2</c:v>
                </c:pt>
                <c:pt idx="287">
                  <c:v>2.342719550860764E-2</c:v>
                </c:pt>
                <c:pt idx="288">
                  <c:v>2.3494895935832743E-2</c:v>
                </c:pt>
                <c:pt idx="289">
                  <c:v>2.3562095022996554E-2</c:v>
                </c:pt>
                <c:pt idx="290">
                  <c:v>2.3628800171536582E-2</c:v>
                </c:pt>
                <c:pt idx="291">
                  <c:v>2.3695020151421581E-2</c:v>
                </c:pt>
                <c:pt idx="292">
                  <c:v>2.3760765110349413E-2</c:v>
                </c:pt>
                <c:pt idx="293">
                  <c:v>2.3826046574699666E-2</c:v>
                </c:pt>
                <c:pt idx="294">
                  <c:v>2.3890877441993693E-2</c:v>
                </c:pt>
                <c:pt idx="295">
                  <c:v>2.3955271964680312E-2</c:v>
                </c:pt>
                <c:pt idx="296">
                  <c:v>2.4019245725133771E-2</c:v>
                </c:pt>
                <c:pt idx="297">
                  <c:v>2.4082815601821118E-2</c:v>
                </c:pt>
                <c:pt idx="298">
                  <c:v>2.4145999726668595E-2</c:v>
                </c:pt>
                <c:pt idx="299">
                  <c:v>2.4208817433729903E-2</c:v>
                </c:pt>
                <c:pt idx="300">
                  <c:v>2.4271289199333031E-2</c:v>
                </c:pt>
                <c:pt idx="301">
                  <c:v>2.4333436573955584E-2</c:v>
                </c:pt>
                <c:pt idx="302">
                  <c:v>2.4395282106150887E-2</c:v>
                </c:pt>
                <c:pt idx="303">
                  <c:v>2.4456849258917786E-2</c:v>
                </c:pt>
                <c:pt idx="304">
                  <c:v>2.4518162318975127E-2</c:v>
                </c:pt>
                <c:pt idx="305">
                  <c:v>2.4579246299466954E-2</c:v>
                </c:pt>
                <c:pt idx="306">
                  <c:v>2.464012683668583E-2</c:v>
                </c:pt>
                <c:pt idx="307">
                  <c:v>2.470083008145869E-2</c:v>
                </c:pt>
                <c:pt idx="308">
                  <c:v>2.4761382585891435E-2</c:v>
                </c:pt>
                <c:pt idx="309">
                  <c:v>2.4821811186215507E-2</c:v>
                </c:pt>
                <c:pt idx="310">
                  <c:v>2.4882142882519706E-2</c:v>
                </c:pt>
                <c:pt idx="311">
                  <c:v>2.4942404716185348E-2</c:v>
                </c:pt>
                <c:pt idx="312">
                  <c:v>2.5002623645869821E-2</c:v>
                </c:pt>
                <c:pt idx="313">
                  <c:v>2.506282642290434E-2</c:v>
                </c:pt>
                <c:pt idx="314">
                  <c:v>2.5123039466984624E-2</c:v>
                </c:pt>
                <c:pt idx="315">
                  <c:v>2.5183288743038653E-2</c:v>
                </c:pt>
                <c:pt idx="316">
                  <c:v>2.5243599640153901E-2</c:v>
                </c:pt>
                <c:pt idx="317">
                  <c:v>2.5303996853436456E-2</c:v>
                </c:pt>
                <c:pt idx="318">
                  <c:v>2.5364504269657084E-2</c:v>
                </c:pt>
                <c:pt idx="319">
                  <c:v>2.5425144857514875E-2</c:v>
                </c:pt>
                <c:pt idx="320">
                  <c:v>2.5485940563316191E-2</c:v>
                </c:pt>
                <c:pt idx="321">
                  <c:v>2.5546912212828149E-2</c:v>
                </c:pt>
                <c:pt idx="322">
                  <c:v>2.5608079420019372E-2</c:v>
                </c:pt>
                <c:pt idx="323">
                  <c:v>2.5669460503348455E-2</c:v>
                </c:pt>
                <c:pt idx="324">
                  <c:v>2.5731072410202557E-2</c:v>
                </c:pt>
                <c:pt idx="325">
                  <c:v>2.5792930650024394E-2</c:v>
                </c:pt>
                <c:pt idx="326">
                  <c:v>2.585504923659776E-2</c:v>
                </c:pt>
                <c:pt idx="327">
                  <c:v>2.5917440639888711E-2</c:v>
                </c:pt>
                <c:pt idx="328">
                  <c:v>2.5980115747763131E-2</c:v>
                </c:pt>
                <c:pt idx="329">
                  <c:v>2.604308383782231E-2</c:v>
                </c:pt>
                <c:pt idx="330">
                  <c:v>2.6106352559516606E-2</c:v>
                </c:pt>
                <c:pt idx="331">
                  <c:v>2.6169927926614208E-2</c:v>
                </c:pt>
                <c:pt idx="332">
                  <c:v>2.6233814320018964E-2</c:v>
                </c:pt>
                <c:pt idx="333">
                  <c:v>2.6298014500847101E-2</c:v>
                </c:pt>
                <c:pt idx="334">
                  <c:v>2.6362529633590523E-2</c:v>
                </c:pt>
                <c:pt idx="335">
                  <c:v>2.6427359319113126E-2</c:v>
                </c:pt>
                <c:pt idx="336">
                  <c:v>2.649250163714801E-2</c:v>
                </c:pt>
                <c:pt idx="337">
                  <c:v>2.655795319788757E-2</c:v>
                </c:pt>
                <c:pt idx="338">
                  <c:v>2.6623709202187134E-2</c:v>
                </c:pt>
                <c:pt idx="339">
                  <c:v>2.6689763509834832E-2</c:v>
                </c:pt>
                <c:pt idx="340">
                  <c:v>2.6756108715278282E-2</c:v>
                </c:pt>
                <c:pt idx="341">
                  <c:v>2.6822736230141937E-2</c:v>
                </c:pt>
                <c:pt idx="342">
                  <c:v>2.6889636371817974E-2</c:v>
                </c:pt>
                <c:pt idx="343">
                  <c:v>2.6956798457369816E-2</c:v>
                </c:pt>
                <c:pt idx="344">
                  <c:v>2.702421090194998E-2</c:v>
                </c:pt>
                <c:pt idx="345">
                  <c:v>2.7091861320904187E-2</c:v>
                </c:pt>
                <c:pt idx="346">
                  <c:v>2.7159736634711207E-2</c:v>
                </c:pt>
                <c:pt idx="347">
                  <c:v>2.7227823175893364E-2</c:v>
                </c:pt>
                <c:pt idx="348">
                  <c:v>2.729610679702581E-2</c:v>
                </c:pt>
                <c:pt idx="349">
                  <c:v>2.7364572978973527E-2</c:v>
                </c:pt>
                <c:pt idx="350">
                  <c:v>2.743320693849401E-2</c:v>
                </c:pt>
                <c:pt idx="351">
                  <c:v>2.750199373435995E-2</c:v>
                </c:pt>
                <c:pt idx="352">
                  <c:v>2.7570918371180284E-2</c:v>
                </c:pt>
                <c:pt idx="353">
                  <c:v>2.7639965900129095E-2</c:v>
                </c:pt>
                <c:pt idx="354">
                  <c:v>2.7709121515829927E-2</c:v>
                </c:pt>
                <c:pt idx="355">
                  <c:v>2.7778370648687694E-2</c:v>
                </c:pt>
                <c:pt idx="356">
                  <c:v>2.7847699052010774E-2</c:v>
                </c:pt>
                <c:pt idx="357">
                  <c:v>2.7917092883322153E-2</c:v>
                </c:pt>
                <c:pt idx="358">
                  <c:v>2.7986538779319246E-2</c:v>
                </c:pt>
                <c:pt idx="359">
                  <c:v>2.8056023924007526E-2</c:v>
                </c:pt>
                <c:pt idx="360">
                  <c:v>2.8125536109602021E-2</c:v>
                </c:pt>
                <c:pt idx="361">
                  <c:v>2.8195063789862654E-2</c:v>
                </c:pt>
                <c:pt idx="362">
                  <c:v>2.8264596125603596E-2</c:v>
                </c:pt>
                <c:pt idx="363">
                  <c:v>2.8334123022192848E-2</c:v>
                </c:pt>
                <c:pt idx="364">
                  <c:v>2.8403635158934293E-2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3.6281771223982385E-3</c:v>
                </c:pt>
                <c:pt idx="1">
                  <c:v>3.5339968442442871E-3</c:v>
                </c:pt>
                <c:pt idx="2">
                  <c:v>3.4415072622136973E-3</c:v>
                </c:pt>
                <c:pt idx="3">
                  <c:v>3.3508172915523524E-3</c:v>
                </c:pt>
                <c:pt idx="4">
                  <c:v>3.2620258611420986E-3</c:v>
                </c:pt>
                <c:pt idx="5">
                  <c:v>3.1752218989081014E-3</c:v>
                </c:pt>
                <c:pt idx="6">
                  <c:v>3.0904844131280991E-3</c:v>
                </c:pt>
                <c:pt idx="7">
                  <c:v>3.0078826627892821E-3</c:v>
                </c:pt>
                <c:pt idx="8">
                  <c:v>2.9271220819823804E-3</c:v>
                </c:pt>
                <c:pt idx="9">
                  <c:v>2.8506074235134225E-3</c:v>
                </c:pt>
                <c:pt idx="10">
                  <c:v>2.7813447410361992E-3</c:v>
                </c:pt>
                <c:pt idx="11">
                  <c:v>2.7193040884240811E-3</c:v>
                </c:pt>
                <c:pt idx="12">
                  <c:v>2.6644328524201553E-3</c:v>
                </c:pt>
                <c:pt idx="13">
                  <c:v>2.6166588255786311E-3</c:v>
                </c:pt>
                <c:pt idx="14">
                  <c:v>2.5758932170198835E-3</c:v>
                </c:pt>
                <c:pt idx="15">
                  <c:v>2.538600297636548E-3</c:v>
                </c:pt>
                <c:pt idx="16">
                  <c:v>2.5005231875550702E-3</c:v>
                </c:pt>
                <c:pt idx="17">
                  <c:v>2.4617813310294518E-3</c:v>
                </c:pt>
                <c:pt idx="18">
                  <c:v>2.4224859777184048E-3</c:v>
                </c:pt>
                <c:pt idx="19">
                  <c:v>2.3827534218932487E-3</c:v>
                </c:pt>
                <c:pt idx="20">
                  <c:v>2.3426967601447145E-3</c:v>
                </c:pt>
                <c:pt idx="21">
                  <c:v>2.3024865497690479E-3</c:v>
                </c:pt>
                <c:pt idx="22">
                  <c:v>2.2618155431746783E-3</c:v>
                </c:pt>
                <c:pt idx="23">
                  <c:v>2.2205858486526405E-3</c:v>
                </c:pt>
                <c:pt idx="24">
                  <c:v>2.1766673032903496E-3</c:v>
                </c:pt>
                <c:pt idx="25">
                  <c:v>2.1302515532528855E-3</c:v>
                </c:pt>
                <c:pt idx="26">
                  <c:v>2.0815190169712699E-3</c:v>
                </c:pt>
                <c:pt idx="27">
                  <c:v>2.0306383055719197E-3</c:v>
                </c:pt>
                <c:pt idx="28">
                  <c:v>1.977765839153359E-3</c:v>
                </c:pt>
                <c:pt idx="29">
                  <c:v>1.9240889670482076E-3</c:v>
                </c:pt>
                <c:pt idx="30">
                  <c:v>1.872620996148865E-3</c:v>
                </c:pt>
                <c:pt idx="31">
                  <c:v>1.8233526699457166E-3</c:v>
                </c:pt>
                <c:pt idx="32">
                  <c:v>1.7762684361707984E-3</c:v>
                </c:pt>
                <c:pt idx="33">
                  <c:v>1.7313474605761174E-3</c:v>
                </c:pt>
                <c:pt idx="34">
                  <c:v>1.6885645675154442E-3</c:v>
                </c:pt>
                <c:pt idx="35">
                  <c:v>1.6478911083036747E-3</c:v>
                </c:pt>
                <c:pt idx="36">
                  <c:v>1.6091733860525081E-3</c:v>
                </c:pt>
                <c:pt idx="37">
                  <c:v>1.5709668245191715E-3</c:v>
                </c:pt>
                <c:pt idx="38">
                  <c:v>1.5331811160453955E-3</c:v>
                </c:pt>
                <c:pt idx="39">
                  <c:v>1.4958100246664874E-3</c:v>
                </c:pt>
                <c:pt idx="40">
                  <c:v>1.4588469891797487E-3</c:v>
                </c:pt>
                <c:pt idx="41">
                  <c:v>1.42228520662766E-3</c:v>
                </c:pt>
                <c:pt idx="42">
                  <c:v>1.3861177093796976E-3</c:v>
                </c:pt>
                <c:pt idx="43">
                  <c:v>1.3497319972197365E-3</c:v>
                </c:pt>
                <c:pt idx="44">
                  <c:v>1.312240502061313E-3</c:v>
                </c:pt>
                <c:pt idx="45">
                  <c:v>1.2736770483463881E-3</c:v>
                </c:pt>
                <c:pt idx="46">
                  <c:v>1.2340739008219455E-3</c:v>
                </c:pt>
                <c:pt idx="47">
                  <c:v>1.1934618409396047E-3</c:v>
                </c:pt>
                <c:pt idx="48">
                  <c:v>1.1518702318466573E-3</c:v>
                </c:pt>
                <c:pt idx="49">
                  <c:v>1.1093270714196714E-3</c:v>
                </c:pt>
                <c:pt idx="50">
                  <c:v>1.0658518704109669E-3</c:v>
                </c:pt>
                <c:pt idx="51">
                  <c:v>1.0219550974813602E-3</c:v>
                </c:pt>
                <c:pt idx="52">
                  <c:v>9.7875286111589479E-4</c:v>
                </c:pt>
                <c:pt idx="53">
                  <c:v>9.3622119430248707E-4</c:v>
                </c:pt>
                <c:pt idx="54">
                  <c:v>8.9434236202707987E-4</c:v>
                </c:pt>
                <c:pt idx="55">
                  <c:v>8.5309949908991616E-4</c:v>
                </c:pt>
                <c:pt idx="56">
                  <c:v>8.124765283262802E-4</c:v>
                </c:pt>
                <c:pt idx="57">
                  <c:v>7.7327161251392388E-4</c:v>
                </c:pt>
                <c:pt idx="58">
                  <c:v>7.3598050029479096E-4</c:v>
                </c:pt>
                <c:pt idx="59">
                  <c:v>7.0055657601365948E-4</c:v>
                </c:pt>
                <c:pt idx="60">
                  <c:v>6.669547592140099E-4</c:v>
                </c:pt>
                <c:pt idx="61">
                  <c:v>6.351314086752675E-4</c:v>
                </c:pt>
                <c:pt idx="62">
                  <c:v>6.0504423585946792E-4</c:v>
                </c:pt>
                <c:pt idx="63">
                  <c:v>5.7665222783232243E-4</c:v>
                </c:pt>
                <c:pt idx="64">
                  <c:v>5.4990141530615177E-4</c:v>
                </c:pt>
                <c:pt idx="65">
                  <c:v>5.2521549533087288E-4</c:v>
                </c:pt>
                <c:pt idx="66">
                  <c:v>5.0212346800295989E-4</c:v>
                </c:pt>
                <c:pt idx="67">
                  <c:v>4.8059746124638465E-4</c:v>
                </c:pt>
                <c:pt idx="68">
                  <c:v>4.6060930267334402E-4</c:v>
                </c:pt>
                <c:pt idx="69">
                  <c:v>4.4213073962576043E-4</c:v>
                </c:pt>
                <c:pt idx="70">
                  <c:v>4.2513364933041708E-4</c:v>
                </c:pt>
                <c:pt idx="71">
                  <c:v>4.0963926061414111E-4</c:v>
                </c:pt>
                <c:pt idx="72">
                  <c:v>3.9489529209709606E-4</c:v>
                </c:pt>
                <c:pt idx="73">
                  <c:v>3.8088936633589752E-4</c:v>
                </c:pt>
                <c:pt idx="74">
                  <c:v>3.6760907650604452E-4</c:v>
                </c:pt>
                <c:pt idx="75">
                  <c:v>3.5504207750031473E-4</c:v>
                </c:pt>
                <c:pt idx="76">
                  <c:v>3.431761735871394E-4</c:v>
                </c:pt>
                <c:pt idx="77">
                  <c:v>3.3199940275622754E-4</c:v>
                </c:pt>
                <c:pt idx="78">
                  <c:v>3.2147971646478854E-4</c:v>
                </c:pt>
                <c:pt idx="79">
                  <c:v>3.117066189368817E-4</c:v>
                </c:pt>
                <c:pt idx="80">
                  <c:v>3.0224564158249398E-4</c:v>
                </c:pt>
                <c:pt idx="81">
                  <c:v>2.9309547467814352E-4</c:v>
                </c:pt>
                <c:pt idx="82">
                  <c:v>2.842541685792209E-4</c:v>
                </c:pt>
                <c:pt idx="83">
                  <c:v>2.7571921158204405E-4</c:v>
                </c:pt>
                <c:pt idx="84">
                  <c:v>2.6748760489718232E-4</c:v>
                </c:pt>
                <c:pt idx="85">
                  <c:v>2.5967291865147191E-4</c:v>
                </c:pt>
                <c:pt idx="86">
                  <c:v>2.5222406723349915E-4</c:v>
                </c:pt>
                <c:pt idx="87">
                  <c:v>2.4513615498754273E-4</c:v>
                </c:pt>
                <c:pt idx="88">
                  <c:v>2.3840421512849694E-4</c:v>
                </c:pt>
                <c:pt idx="89">
                  <c:v>2.3202327865131034E-4</c:v>
                </c:pt>
                <c:pt idx="90">
                  <c:v>2.2598843966206689E-4</c:v>
                </c:pt>
                <c:pt idx="91">
                  <c:v>2.2029491748582955E-4</c:v>
                </c:pt>
                <c:pt idx="92">
                  <c:v>2.1492886547348167E-4</c:v>
                </c:pt>
                <c:pt idx="93">
                  <c:v>2.0988872242678786E-4</c:v>
                </c:pt>
                <c:pt idx="94">
                  <c:v>2.0505927922876042E-4</c:v>
                </c:pt>
                <c:pt idx="95">
                  <c:v>2.0043604260061169E-4</c:v>
                </c:pt>
                <c:pt idx="96">
                  <c:v>1.9601473467515765E-4</c:v>
                </c:pt>
                <c:pt idx="97">
                  <c:v>1.9179129775203553E-4</c:v>
                </c:pt>
                <c:pt idx="98">
                  <c:v>1.8776189924245534E-4</c:v>
                </c:pt>
                <c:pt idx="99">
                  <c:v>1.8393619331785648E-4</c:v>
                </c:pt>
                <c:pt idx="100">
                  <c:v>1.801962784681308E-4</c:v>
                </c:pt>
                <c:pt idx="101">
                  <c:v>1.765386569057893E-4</c:v>
                </c:pt>
                <c:pt idx="102">
                  <c:v>1.7295984981936362E-4</c:v>
                </c:pt>
                <c:pt idx="103">
                  <c:v>1.6945639952636841E-4</c:v>
                </c:pt>
                <c:pt idx="104">
                  <c:v>1.6602487176759273E-4</c:v>
                </c:pt>
                <c:pt idx="105">
                  <c:v>1.6266185804094402E-4</c:v>
                </c:pt>
                <c:pt idx="106">
                  <c:v>1.5936325236198999E-4</c:v>
                </c:pt>
                <c:pt idx="107">
                  <c:v>1.5617940081120768E-4</c:v>
                </c:pt>
                <c:pt idx="108">
                  <c:v>1.5309284814584136E-4</c:v>
                </c:pt>
                <c:pt idx="109">
                  <c:v>1.5010037217937661E-4</c:v>
                </c:pt>
                <c:pt idx="110">
                  <c:v>1.4719929014583193E-4</c:v>
                </c:pt>
                <c:pt idx="111">
                  <c:v>1.4438701773215326E-4</c:v>
                </c:pt>
                <c:pt idx="112">
                  <c:v>1.4166066234151163E-4</c:v>
                </c:pt>
                <c:pt idx="113">
                  <c:v>1.3906955162678046E-4</c:v>
                </c:pt>
                <c:pt idx="114">
                  <c:v>1.365973909646143E-4</c:v>
                </c:pt>
                <c:pt idx="115">
                  <c:v>1.3424246058055505E-4</c:v>
                </c:pt>
                <c:pt idx="116">
                  <c:v>1.3200325269794162E-4</c:v>
                </c:pt>
                <c:pt idx="117">
                  <c:v>1.2987847284721293E-4</c:v>
                </c:pt>
                <c:pt idx="118">
                  <c:v>1.2786704121820776E-4</c:v>
                </c:pt>
                <c:pt idx="119">
                  <c:v>1.2596809408756105E-4</c:v>
                </c:pt>
                <c:pt idx="120">
                  <c:v>1.2418287001308184E-4</c:v>
                </c:pt>
                <c:pt idx="121">
                  <c:v>1.2258248474613029E-4</c:v>
                </c:pt>
                <c:pt idx="122">
                  <c:v>1.2110777986388455E-4</c:v>
                </c:pt>
                <c:pt idx="123">
                  <c:v>1.1975843818986954E-4</c:v>
                </c:pt>
                <c:pt idx="124">
                  <c:v>1.1853446020631877E-4</c:v>
                </c:pt>
                <c:pt idx="125">
                  <c:v>1.1743615595467324E-4</c:v>
                </c:pt>
                <c:pt idx="126">
                  <c:v>1.1646413682725654E-4</c:v>
                </c:pt>
                <c:pt idx="127">
                  <c:v>1.1560368870074979E-4</c:v>
                </c:pt>
                <c:pt idx="128">
                  <c:v>1.1479519656923065E-4</c:v>
                </c:pt>
                <c:pt idx="129">
                  <c:v>1.1403745707622764E-4</c:v>
                </c:pt>
                <c:pt idx="130">
                  <c:v>1.1332937981774041E-4</c:v>
                </c:pt>
                <c:pt idx="131">
                  <c:v>1.1266998467793491E-4</c:v>
                </c:pt>
                <c:pt idx="132">
                  <c:v>1.1205839929042771E-4</c:v>
                </c:pt>
                <c:pt idx="133">
                  <c:v>1.1149385654416739E-4</c:v>
                </c:pt>
                <c:pt idx="134">
                  <c:v>1.1097842855960867E-4</c:v>
                </c:pt>
                <c:pt idx="135">
                  <c:v>1.1049132836108513E-4</c:v>
                </c:pt>
                <c:pt idx="136">
                  <c:v>1.0994864536953793E-4</c:v>
                </c:pt>
                <c:pt idx="137">
                  <c:v>1.093466364271489E-4</c:v>
                </c:pt>
                <c:pt idx="138">
                  <c:v>1.0868152165390703E-4</c:v>
                </c:pt>
                <c:pt idx="139">
                  <c:v>1.0794949504719133E-4</c:v>
                </c:pt>
                <c:pt idx="140">
                  <c:v>1.0714673587813183E-4</c:v>
                </c:pt>
                <c:pt idx="141">
                  <c:v>1.0632257902034989E-4</c:v>
                </c:pt>
                <c:pt idx="142">
                  <c:v>1.05492687630852E-4</c:v>
                </c:pt>
                <c:pt idx="143">
                  <c:v>1.0465542633538511E-4</c:v>
                </c:pt>
                <c:pt idx="144">
                  <c:v>1.038098948474411E-4</c:v>
                </c:pt>
                <c:pt idx="145">
                  <c:v>1.0295528693222045E-4</c:v>
                </c:pt>
                <c:pt idx="146">
                  <c:v>1.0209089433753382E-4</c:v>
                </c:pt>
                <c:pt idx="147">
                  <c:v>1.0121611046470345E-4</c:v>
                </c:pt>
                <c:pt idx="148">
                  <c:v>1.0033278366122462E-4</c:v>
                </c:pt>
                <c:pt idx="149">
                  <c:v>9.9454527196029331E-5</c:v>
                </c:pt>
                <c:pt idx="150">
                  <c:v>9.8606866359277623E-5</c:v>
                </c:pt>
                <c:pt idx="151">
                  <c:v>9.7790150087842678E-5</c:v>
                </c:pt>
                <c:pt idx="152">
                  <c:v>9.7004845219062852E-5</c:v>
                </c:pt>
                <c:pt idx="153">
                  <c:v>9.6251532002347026E-5</c:v>
                </c:pt>
                <c:pt idx="154">
                  <c:v>9.5530899191025582E-5</c:v>
                </c:pt>
                <c:pt idx="155">
                  <c:v>9.4913196980545906E-5</c:v>
                </c:pt>
                <c:pt idx="156">
                  <c:v>9.4337849284098168E-5</c:v>
                </c:pt>
                <c:pt idx="157">
                  <c:v>9.3805982167946108E-5</c:v>
                </c:pt>
                <c:pt idx="158">
                  <c:v>9.3318797064209709E-5</c:v>
                </c:pt>
                <c:pt idx="159">
                  <c:v>9.287756269631764E-5</c:v>
                </c:pt>
                <c:pt idx="160">
                  <c:v>9.2483606636586141E-5</c:v>
                </c:pt>
                <c:pt idx="161">
                  <c:v>9.2138306512904716E-5</c:v>
                </c:pt>
                <c:pt idx="162">
                  <c:v>9.1844665686355103E-5</c:v>
                </c:pt>
                <c:pt idx="163">
                  <c:v>9.1662573096335502E-5</c:v>
                </c:pt>
                <c:pt idx="164">
                  <c:v>9.1581623588596128E-5</c:v>
                </c:pt>
                <c:pt idx="165">
                  <c:v>9.160514790676236E-5</c:v>
                </c:pt>
                <c:pt idx="166">
                  <c:v>9.173646443589048E-5</c:v>
                </c:pt>
                <c:pt idx="167">
                  <c:v>9.1978871343613791E-5</c:v>
                </c:pt>
                <c:pt idx="168">
                  <c:v>9.2335639284383815E-5</c:v>
                </c:pt>
                <c:pt idx="169">
                  <c:v>9.2869691660707422E-5</c:v>
                </c:pt>
                <c:pt idx="170">
                  <c:v>9.3505146944299021E-5</c:v>
                </c:pt>
                <c:pt idx="171">
                  <c:v>9.4244630063449264E-5</c:v>
                </c:pt>
                <c:pt idx="172">
                  <c:v>9.5090732371272811E-5</c:v>
                </c:pt>
                <c:pt idx="173">
                  <c:v>9.60450267917221E-5</c:v>
                </c:pt>
                <c:pt idx="174">
                  <c:v>9.7108951830866653E-5</c:v>
                </c:pt>
                <c:pt idx="175">
                  <c:v>9.8284827324718793E-5</c:v>
                </c:pt>
                <c:pt idx="176">
                  <c:v>9.9574914346712485E-5</c:v>
                </c:pt>
                <c:pt idx="177">
                  <c:v>1.0106649313280951E-4</c:v>
                </c:pt>
                <c:pt idx="178">
                  <c:v>1.0269945996528526E-4</c:v>
                </c:pt>
                <c:pt idx="179">
                  <c:v>1.044762753225266E-4</c:v>
                </c:pt>
                <c:pt idx="180">
                  <c:v>1.0639931949478747E-4</c:v>
                </c:pt>
                <c:pt idx="181">
                  <c:v>1.0847089463189859E-4</c:v>
                </c:pt>
                <c:pt idx="182">
                  <c:v>1.1069322758212187E-4</c:v>
                </c:pt>
                <c:pt idx="183">
                  <c:v>1.1308493365220742E-4</c:v>
                </c:pt>
                <c:pt idx="184">
                  <c:v>1.1558198729738525E-4</c:v>
                </c:pt>
                <c:pt idx="185">
                  <c:v>1.1818558856761846E-4</c:v>
                </c:pt>
                <c:pt idx="186">
                  <c:v>1.208969241514765E-4</c:v>
                </c:pt>
                <c:pt idx="187">
                  <c:v>1.2371717137716278E-4</c:v>
                </c:pt>
                <c:pt idx="188">
                  <c:v>1.2664750224007079E-4</c:v>
                </c:pt>
                <c:pt idx="189">
                  <c:v>1.2968908742187348E-4</c:v>
                </c:pt>
                <c:pt idx="190">
                  <c:v>1.3284207883959475E-4</c:v>
                </c:pt>
                <c:pt idx="191">
                  <c:v>1.3619120743664758E-4</c:v>
                </c:pt>
                <c:pt idx="192">
                  <c:v>1.3964676309463866E-4</c:v>
                </c:pt>
                <c:pt idx="193">
                  <c:v>1.4321026176312052E-4</c:v>
                </c:pt>
                <c:pt idx="194">
                  <c:v>1.4688328913980533E-4</c:v>
                </c:pt>
                <c:pt idx="195">
                  <c:v>1.5066750744315927E-4</c:v>
                </c:pt>
                <c:pt idx="196">
                  <c:v>1.5456466201462998E-4</c:v>
                </c:pt>
                <c:pt idx="197">
                  <c:v>1.5854653720751097E-4</c:v>
                </c:pt>
                <c:pt idx="198">
                  <c:v>1.6259733264713651E-4</c:v>
                </c:pt>
                <c:pt idx="199">
                  <c:v>1.6671881146288443E-4</c:v>
                </c:pt>
                <c:pt idx="200">
                  <c:v>1.7091284626698691E-4</c:v>
                </c:pt>
                <c:pt idx="201">
                  <c:v>1.7518142065052434E-4</c:v>
                </c:pt>
                <c:pt idx="202">
                  <c:v>1.7952663066537328E-4</c:v>
                </c:pt>
                <c:pt idx="203">
                  <c:v>1.8395068638710148E-4</c:v>
                </c:pt>
                <c:pt idx="204">
                  <c:v>1.8845390046805474E-4</c:v>
                </c:pt>
                <c:pt idx="205">
                  <c:v>1.9300957216216141E-4</c:v>
                </c:pt>
                <c:pt idx="206">
                  <c:v>1.9752944860921469E-4</c:v>
                </c:pt>
                <c:pt idx="207">
                  <c:v>2.0201373191686039E-4</c:v>
                </c:pt>
                <c:pt idx="208">
                  <c:v>2.0646264199020788E-4</c:v>
                </c:pt>
                <c:pt idx="209">
                  <c:v>2.1087640909699207E-4</c:v>
                </c:pt>
                <c:pt idx="210">
                  <c:v>2.152552668738718E-4</c:v>
                </c:pt>
                <c:pt idx="211">
                  <c:v>2.1975432019820962E-4</c:v>
                </c:pt>
                <c:pt idx="212">
                  <c:v>2.2440587228779303E-4</c:v>
                </c:pt>
                <c:pt idx="213">
                  <c:v>2.2921182676787592E-4</c:v>
                </c:pt>
                <c:pt idx="214">
                  <c:v>2.3417407662597054E-4</c:v>
                </c:pt>
                <c:pt idx="215">
                  <c:v>2.3929450369601185E-4</c:v>
                </c:pt>
                <c:pt idx="216">
                  <c:v>2.4457497813468274E-4</c:v>
                </c:pt>
                <c:pt idx="217">
                  <c:v>2.5001735792730385E-4</c:v>
                </c:pt>
                <c:pt idx="218">
                  <c:v>2.5562141656479572E-4</c:v>
                </c:pt>
                <c:pt idx="219">
                  <c:v>2.6152251072736164E-4</c:v>
                </c:pt>
                <c:pt idx="220">
                  <c:v>2.6775194950401365E-4</c:v>
                </c:pt>
                <c:pt idx="221">
                  <c:v>2.743139766065647E-4</c:v>
                </c:pt>
                <c:pt idx="222">
                  <c:v>2.8121292275580718E-4</c:v>
                </c:pt>
                <c:pt idx="223">
                  <c:v>2.8845322088666994E-4</c:v>
                </c:pt>
                <c:pt idx="224">
                  <c:v>2.9603942166845119E-4</c:v>
                </c:pt>
                <c:pt idx="225">
                  <c:v>3.0410177698661104E-4</c:v>
                </c:pt>
                <c:pt idx="226">
                  <c:v>3.1248350576878981E-4</c:v>
                </c:pt>
                <c:pt idx="227">
                  <c:v>3.211891756649169E-4</c:v>
                </c:pt>
                <c:pt idx="228">
                  <c:v>3.3022353731242365E-4</c:v>
                </c:pt>
                <c:pt idx="229">
                  <c:v>3.3959154014879254E-4</c:v>
                </c:pt>
                <c:pt idx="230">
                  <c:v>3.4929834877400816E-4</c:v>
                </c:pt>
                <c:pt idx="231">
                  <c:v>3.593493599907776E-4</c:v>
                </c:pt>
                <c:pt idx="232">
                  <c:v>3.6974661803951855E-4</c:v>
                </c:pt>
                <c:pt idx="233">
                  <c:v>3.8054607381012842E-4</c:v>
                </c:pt>
                <c:pt idx="234">
                  <c:v>3.9160974854518331E-4</c:v>
                </c:pt>
                <c:pt idx="235">
                  <c:v>4.0294093537423994E-4</c:v>
                </c:pt>
                <c:pt idx="236">
                  <c:v>4.1454311562181097E-4</c:v>
                </c:pt>
                <c:pt idx="237">
                  <c:v>4.264195639817988E-4</c:v>
                </c:pt>
                <c:pt idx="238">
                  <c:v>4.3857359165299249E-4</c:v>
                </c:pt>
                <c:pt idx="239">
                  <c:v>4.5109446326478892E-4</c:v>
                </c:pt>
                <c:pt idx="240">
                  <c:v>4.6385468072561236E-4</c:v>
                </c:pt>
                <c:pt idx="241">
                  <c:v>4.7685735308903324E-4</c:v>
                </c:pt>
                <c:pt idx="242">
                  <c:v>4.9010558679370088E-4</c:v>
                </c:pt>
                <c:pt idx="243">
                  <c:v>5.0360248023287833E-4</c:v>
                </c:pt>
                <c:pt idx="244">
                  <c:v>5.1735111734656279E-4</c:v>
                </c:pt>
                <c:pt idx="245">
                  <c:v>5.3135456034887868E-4</c:v>
                </c:pt>
                <c:pt idx="246">
                  <c:v>5.4561584147599614E-4</c:v>
                </c:pt>
                <c:pt idx="247">
                  <c:v>5.6044966024940785E-4</c:v>
                </c:pt>
                <c:pt idx="248">
                  <c:v>5.7580395551947198E-4</c:v>
                </c:pt>
                <c:pt idx="249">
                  <c:v>5.9168451943346031E-4</c:v>
                </c:pt>
                <c:pt idx="250">
                  <c:v>6.0809712921451467E-4</c:v>
                </c:pt>
                <c:pt idx="251">
                  <c:v>6.2504753303469136E-4</c:v>
                </c:pt>
                <c:pt idx="252">
                  <c:v>6.4254143483191272E-4</c:v>
                </c:pt>
                <c:pt idx="253">
                  <c:v>6.6091248275709335E-4</c:v>
                </c:pt>
                <c:pt idx="254">
                  <c:v>6.800784940651811E-4</c:v>
                </c:pt>
                <c:pt idx="255">
                  <c:v>7.0004771523360973E-4</c:v>
                </c:pt>
                <c:pt idx="256">
                  <c:v>7.2082832326379319E-4</c:v>
                </c:pt>
                <c:pt idx="257">
                  <c:v>7.4242840396851798E-4</c:v>
                </c:pt>
                <c:pt idx="258">
                  <c:v>7.6485592999541883E-4</c:v>
                </c:pt>
                <c:pt idx="259">
                  <c:v>7.8811873879940238E-4</c:v>
                </c:pt>
                <c:pt idx="260">
                  <c:v>8.1222841309133991E-4</c:v>
                </c:pt>
                <c:pt idx="261">
                  <c:v>8.3740174298281426E-4</c:v>
                </c:pt>
                <c:pt idx="262">
                  <c:v>8.6331686856394314E-4</c:v>
                </c:pt>
                <c:pt idx="263">
                  <c:v>8.8997812411719442E-4</c:v>
                </c:pt>
                <c:pt idx="264">
                  <c:v>9.1738938673383442E-4</c:v>
                </c:pt>
                <c:pt idx="265">
                  <c:v>9.4555906890445853E-4</c:v>
                </c:pt>
                <c:pt idx="266">
                  <c:v>9.744930752433479E-4</c:v>
                </c:pt>
                <c:pt idx="267">
                  <c:v>1.0058260386533856E-3</c:v>
                </c:pt>
                <c:pt idx="268">
                  <c:v>1.0392304094203289E-3</c:v>
                </c:pt>
                <c:pt idx="269">
                  <c:v>1.0747219347118583E-3</c:v>
                </c:pt>
                <c:pt idx="270">
                  <c:v>1.1123153898621092E-3</c:v>
                </c:pt>
                <c:pt idx="271">
                  <c:v>1.1520244720774338E-3</c:v>
                </c:pt>
                <c:pt idx="272">
                  <c:v>1.1938616993156497E-3</c:v>
                </c:pt>
                <c:pt idx="273">
                  <c:v>1.2378383152458672E-3</c:v>
                </c:pt>
                <c:pt idx="274">
                  <c:v>1.2840127032079866E-3</c:v>
                </c:pt>
                <c:pt idx="275">
                  <c:v>1.3342550637942066E-3</c:v>
                </c:pt>
                <c:pt idx="276">
                  <c:v>1.3883697053110624E-3</c:v>
                </c:pt>
                <c:pt idx="277">
                  <c:v>1.4463738862503712E-3</c:v>
                </c:pt>
                <c:pt idx="278">
                  <c:v>1.5082807405081495E-3</c:v>
                </c:pt>
                <c:pt idx="279">
                  <c:v>1.5740985870827801E-3</c:v>
                </c:pt>
                <c:pt idx="280">
                  <c:v>1.6438302281872753E-3</c:v>
                </c:pt>
                <c:pt idx="281">
                  <c:v>1.7179586648117867E-3</c:v>
                </c:pt>
                <c:pt idx="282">
                  <c:v>1.794748415669938E-3</c:v>
                </c:pt>
                <c:pt idx="283">
                  <c:v>1.8741684029175084E-3</c:v>
                </c:pt>
                <c:pt idx="284">
                  <c:v>1.9561801485258922E-3</c:v>
                </c:pt>
                <c:pt idx="285">
                  <c:v>2.0407372918064934E-3</c:v>
                </c:pt>
                <c:pt idx="286">
                  <c:v>2.1277851219222012E-3</c:v>
                </c:pt>
                <c:pt idx="287">
                  <c:v>2.217260129676899E-3</c:v>
                </c:pt>
                <c:pt idx="288">
                  <c:v>2.3092532731172032E-3</c:v>
                </c:pt>
                <c:pt idx="289">
                  <c:v>2.4026276013880458E-3</c:v>
                </c:pt>
                <c:pt idx="290">
                  <c:v>2.4954390954492786E-3</c:v>
                </c:pt>
                <c:pt idx="291">
                  <c:v>2.5876299137986081E-3</c:v>
                </c:pt>
                <c:pt idx="292">
                  <c:v>2.6791390862699479E-3</c:v>
                </c:pt>
                <c:pt idx="293">
                  <c:v>2.769902687902232E-3</c:v>
                </c:pt>
                <c:pt idx="294">
                  <c:v>2.8598540153953887E-3</c:v>
                </c:pt>
                <c:pt idx="295">
                  <c:v>2.9468910700903711E-3</c:v>
                </c:pt>
                <c:pt idx="296">
                  <c:v>3.0304669039612872E-3</c:v>
                </c:pt>
                <c:pt idx="297">
                  <c:v>3.1105278187102199E-3</c:v>
                </c:pt>
                <c:pt idx="298">
                  <c:v>3.1869966624051291E-3</c:v>
                </c:pt>
                <c:pt idx="299">
                  <c:v>3.2597969004938255E-3</c:v>
                </c:pt>
                <c:pt idx="300">
                  <c:v>3.3288530091622652E-3</c:v>
                </c:pt>
                <c:pt idx="301">
                  <c:v>3.3940908572221255E-3</c:v>
                </c:pt>
                <c:pt idx="302">
                  <c:v>3.4556439732710493E-3</c:v>
                </c:pt>
                <c:pt idx="303">
                  <c:v>3.5163284662409816E-3</c:v>
                </c:pt>
                <c:pt idx="304">
                  <c:v>3.5774167377927058E-3</c:v>
                </c:pt>
                <c:pt idx="305">
                  <c:v>3.6389032434953569E-3</c:v>
                </c:pt>
                <c:pt idx="306">
                  <c:v>3.7007837251671178E-3</c:v>
                </c:pt>
                <c:pt idx="307">
                  <c:v>3.7630551519916692E-3</c:v>
                </c:pt>
                <c:pt idx="308">
                  <c:v>3.8257156276371362E-3</c:v>
                </c:pt>
                <c:pt idx="309">
                  <c:v>3.8877284624737689E-3</c:v>
                </c:pt>
                <c:pt idx="310">
                  <c:v>3.9511448583867577E-3</c:v>
                </c:pt>
                <c:pt idx="311">
                  <c:v>4.0159652420899434E-3</c:v>
                </c:pt>
                <c:pt idx="312">
                  <c:v>4.0821901202013145E-3</c:v>
                </c:pt>
                <c:pt idx="313">
                  <c:v>4.1498198086467007E-3</c:v>
                </c:pt>
                <c:pt idx="314">
                  <c:v>4.218854115460015E-3</c:v>
                </c:pt>
                <c:pt idx="315">
                  <c:v>4.2892919738957659E-3</c:v>
                </c:pt>
                <c:pt idx="316">
                  <c:v>4.3614184933353523E-3</c:v>
                </c:pt>
                <c:pt idx="317">
                  <c:v>4.4301359467696809E-3</c:v>
                </c:pt>
                <c:pt idx="318">
                  <c:v>4.4928038338547501E-3</c:v>
                </c:pt>
                <c:pt idx="319">
                  <c:v>4.5494212122189999E-3</c:v>
                </c:pt>
                <c:pt idx="320">
                  <c:v>4.5999786726791123E-3</c:v>
                </c:pt>
                <c:pt idx="321">
                  <c:v>4.6444578421391521E-3</c:v>
                </c:pt>
                <c:pt idx="322">
                  <c:v>4.6828309695136766E-3</c:v>
                </c:pt>
                <c:pt idx="323">
                  <c:v>4.7195075581906113E-3</c:v>
                </c:pt>
                <c:pt idx="324">
                  <c:v>4.755483497869889E-3</c:v>
                </c:pt>
                <c:pt idx="325">
                  <c:v>4.7907093062127962E-3</c:v>
                </c:pt>
                <c:pt idx="326">
                  <c:v>4.8250962604122387E-3</c:v>
                </c:pt>
                <c:pt idx="327">
                  <c:v>4.8585652587697812E-3</c:v>
                </c:pt>
                <c:pt idx="328">
                  <c:v>4.8910519536287797E-3</c:v>
                </c:pt>
                <c:pt idx="329">
                  <c:v>4.9224820440673511E-3</c:v>
                </c:pt>
                <c:pt idx="330">
                  <c:v>4.9532866072301476E-3</c:v>
                </c:pt>
                <c:pt idx="331">
                  <c:v>4.9882602490832111E-3</c:v>
                </c:pt>
                <c:pt idx="332">
                  <c:v>5.032749546592735E-3</c:v>
                </c:pt>
                <c:pt idx="333">
                  <c:v>5.0866839523744743E-3</c:v>
                </c:pt>
                <c:pt idx="334">
                  <c:v>5.1499843185524845E-3</c:v>
                </c:pt>
                <c:pt idx="335">
                  <c:v>5.2225603218685459E-3</c:v>
                </c:pt>
                <c:pt idx="336">
                  <c:v>5.3043077490166441E-3</c:v>
                </c:pt>
                <c:pt idx="337">
                  <c:v>5.3903897721232072E-3</c:v>
                </c:pt>
                <c:pt idx="338">
                  <c:v>5.4761574031614579E-3</c:v>
                </c:pt>
                <c:pt idx="339">
                  <c:v>5.5614218819522755E-3</c:v>
                </c:pt>
                <c:pt idx="340">
                  <c:v>5.6459748135504169E-3</c:v>
                </c:pt>
                <c:pt idx="341">
                  <c:v>5.7295886515338129E-3</c:v>
                </c:pt>
                <c:pt idx="342">
                  <c:v>5.812017486139083E-3</c:v>
                </c:pt>
                <c:pt idx="343">
                  <c:v>5.892998155708656E-3</c:v>
                </c:pt>
                <c:pt idx="344">
                  <c:v>5.9729258451409282E-3</c:v>
                </c:pt>
                <c:pt idx="345">
                  <c:v>6.0522494805465088E-3</c:v>
                </c:pt>
                <c:pt idx="346">
                  <c:v>6.1230388286249429E-3</c:v>
                </c:pt>
                <c:pt idx="347">
                  <c:v>6.1850756933524847E-3</c:v>
                </c:pt>
                <c:pt idx="348">
                  <c:v>6.2381364097027778E-3</c:v>
                </c:pt>
                <c:pt idx="349">
                  <c:v>6.2819957645058704E-3</c:v>
                </c:pt>
                <c:pt idx="350">
                  <c:v>6.3164311288039952E-3</c:v>
                </c:pt>
                <c:pt idx="351">
                  <c:v>6.337912982257895E-3</c:v>
                </c:pt>
                <c:pt idx="352">
                  <c:v>6.3509732341732548E-3</c:v>
                </c:pt>
                <c:pt idx="353">
                  <c:v>6.3554202808493469E-3</c:v>
                </c:pt>
                <c:pt idx="354">
                  <c:v>6.3510801022363785E-3</c:v>
                </c:pt>
                <c:pt idx="355">
                  <c:v>6.3378001220551674E-3</c:v>
                </c:pt>
                <c:pt idx="356">
                  <c:v>6.3154290610035997E-3</c:v>
                </c:pt>
                <c:pt idx="357">
                  <c:v>6.2838835677975508E-3</c:v>
                </c:pt>
                <c:pt idx="358">
                  <c:v>6.2430946516479034E-3</c:v>
                </c:pt>
                <c:pt idx="359">
                  <c:v>6.1932037842208562E-3</c:v>
                </c:pt>
                <c:pt idx="360">
                  <c:v>6.1298185694968208E-3</c:v>
                </c:pt>
                <c:pt idx="361">
                  <c:v>6.0564791465405974E-3</c:v>
                </c:pt>
                <c:pt idx="362">
                  <c:v>5.9734842665061048E-3</c:v>
                </c:pt>
                <c:pt idx="363">
                  <c:v>5.8811521371243524E-3</c:v>
                </c:pt>
                <c:pt idx="364">
                  <c:v>5.7798171275246042E-3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242256"/>
        <c:axId val="214242648"/>
      </c:lineChart>
      <c:dateAx>
        <c:axId val="2142422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2648"/>
        <c:crosses val="autoZero"/>
        <c:auto val="1"/>
        <c:lblOffset val="100"/>
        <c:baseTimeUnit val="days"/>
        <c:majorUnit val="1"/>
        <c:majorTimeUnit val="months"/>
      </c:dateAx>
      <c:valAx>
        <c:axId val="2142426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2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23.507874307536497</c:v>
                </c:pt>
                <c:pt idx="1">
                  <c:v>23.654932855369832</c:v>
                </c:pt>
                <c:pt idx="2">
                  <c:v>23.811516364503188</c:v>
                </c:pt>
                <c:pt idx="3">
                  <c:v>23.97713766166078</c:v>
                </c:pt>
                <c:pt idx="4">
                  <c:v>24.151309615743759</c:v>
                </c:pt>
                <c:pt idx="5">
                  <c:v>24.333545134976326</c:v>
                </c:pt>
                <c:pt idx="6">
                  <c:v>24.523357182018902</c:v>
                </c:pt>
                <c:pt idx="7">
                  <c:v>24.720258782945724</c:v>
                </c:pt>
                <c:pt idx="8">
                  <c:v>24.926794483861144</c:v>
                </c:pt>
                <c:pt idx="9">
                  <c:v>25.145196403255255</c:v>
                </c:pt>
                <c:pt idx="10">
                  <c:v>25.374554610300184</c:v>
                </c:pt>
                <c:pt idx="11">
                  <c:v>25.614065514233086</c:v>
                </c:pt>
                <c:pt idx="12">
                  <c:v>25.862925735265737</c:v>
                </c:pt>
                <c:pt idx="13">
                  <c:v>26.120332128454439</c:v>
                </c:pt>
                <c:pt idx="14">
                  <c:v>26.385481786688441</c:v>
                </c:pt>
                <c:pt idx="15">
                  <c:v>26.657694510684763</c:v>
                </c:pt>
                <c:pt idx="16">
                  <c:v>26.936266298470887</c:v>
                </c:pt>
                <c:pt idx="17">
                  <c:v>27.220394909432429</c:v>
                </c:pt>
                <c:pt idx="18">
                  <c:v>27.509278376842961</c:v>
                </c:pt>
                <c:pt idx="19">
                  <c:v>27.802114400964705</c:v>
                </c:pt>
                <c:pt idx="20">
                  <c:v>28.098100701187253</c:v>
                </c:pt>
                <c:pt idx="21">
                  <c:v>28.396435777334165</c:v>
                </c:pt>
                <c:pt idx="22">
                  <c:v>28.700337906640392</c:v>
                </c:pt>
                <c:pt idx="23">
                  <c:v>29.0129602338395</c:v>
                </c:pt>
                <c:pt idx="24">
                  <c:v>29.333469496864165</c:v>
                </c:pt>
                <c:pt idx="25">
                  <c:v>29.660931971522103</c:v>
                </c:pt>
                <c:pt idx="26">
                  <c:v>29.994414310187469</c:v>
                </c:pt>
                <c:pt idx="27">
                  <c:v>30.332983551447256</c:v>
                </c:pt>
                <c:pt idx="28">
                  <c:v>30.675707115236108</c:v>
                </c:pt>
                <c:pt idx="29">
                  <c:v>31.021592732597448</c:v>
                </c:pt>
                <c:pt idx="30">
                  <c:v>31.369586376993269</c:v>
                </c:pt>
                <c:pt idx="31">
                  <c:v>31.718756629319486</c:v>
                </c:pt>
                <c:pt idx="32">
                  <c:v>32.068172439260231</c:v>
                </c:pt>
                <c:pt idx="33">
                  <c:v>32.41690311546467</c:v>
                </c:pt>
                <c:pt idx="34">
                  <c:v>32.764018327357931</c:v>
                </c:pt>
                <c:pt idx="35">
                  <c:v>33.108588100797867</c:v>
                </c:pt>
                <c:pt idx="36">
                  <c:v>33.452233152162023</c:v>
                </c:pt>
                <c:pt idx="37">
                  <c:v>33.797171463810479</c:v>
                </c:pt>
                <c:pt idx="38">
                  <c:v>34.143275977791532</c:v>
                </c:pt>
                <c:pt idx="39">
                  <c:v>34.490443291554968</c:v>
                </c:pt>
                <c:pt idx="40">
                  <c:v>34.838570049357735</c:v>
                </c:pt>
                <c:pt idx="41">
                  <c:v>35.187552938749747</c:v>
                </c:pt>
                <c:pt idx="42">
                  <c:v>35.537288686231278</c:v>
                </c:pt>
                <c:pt idx="43">
                  <c:v>35.887703158541797</c:v>
                </c:pt>
                <c:pt idx="44">
                  <c:v>36.238753386664129</c:v>
                </c:pt>
                <c:pt idx="45">
                  <c:v>36.59033626674205</c:v>
                </c:pt>
                <c:pt idx="46">
                  <c:v>36.942348726276826</c:v>
                </c:pt>
                <c:pt idx="47">
                  <c:v>37.294687718519818</c:v>
                </c:pt>
                <c:pt idx="48">
                  <c:v>37.647250219708411</c:v>
                </c:pt>
                <c:pt idx="49">
                  <c:v>37.999933224406178</c:v>
                </c:pt>
                <c:pt idx="50">
                  <c:v>38.352891904389949</c:v>
                </c:pt>
                <c:pt idx="51">
                  <c:v>38.706338803222984</c:v>
                </c:pt>
                <c:pt idx="52">
                  <c:v>39.060227832044411</c:v>
                </c:pt>
                <c:pt idx="53">
                  <c:v>39.414559427513083</c:v>
                </c:pt>
                <c:pt idx="54">
                  <c:v>39.769333657977867</c:v>
                </c:pt>
                <c:pt idx="55">
                  <c:v>40.124550550172025</c:v>
                </c:pt>
                <c:pt idx="56">
                  <c:v>40.480210088629377</c:v>
                </c:pt>
                <c:pt idx="57">
                  <c:v>40.836268031433775</c:v>
                </c:pt>
                <c:pt idx="58">
                  <c:v>41.192695006108302</c:v>
                </c:pt>
                <c:pt idx="59">
                  <c:v>41.549490805379826</c:v>
                </c:pt>
                <c:pt idx="60">
                  <c:v>41.906655183129878</c:v>
                </c:pt>
                <c:pt idx="61">
                  <c:v>42.264187855096857</c:v>
                </c:pt>
                <c:pt idx="62">
                  <c:v>42.622088500402178</c:v>
                </c:pt>
                <c:pt idx="63">
                  <c:v>42.980356761335486</c:v>
                </c:pt>
                <c:pt idx="64">
                  <c:v>43.340109578106933</c:v>
                </c:pt>
                <c:pt idx="65">
                  <c:v>43.702078274436666</c:v>
                </c:pt>
                <c:pt idx="66">
                  <c:v>44.065757565641</c:v>
                </c:pt>
                <c:pt idx="67">
                  <c:v>44.430630944311886</c:v>
                </c:pt>
                <c:pt idx="68">
                  <c:v>44.796182037254141</c:v>
                </c:pt>
                <c:pt idx="69">
                  <c:v>45.161894604086065</c:v>
                </c:pt>
                <c:pt idx="70">
                  <c:v>45.527252534580832</c:v>
                </c:pt>
                <c:pt idx="71">
                  <c:v>45.891734447245149</c:v>
                </c:pt>
                <c:pt idx="72">
                  <c:v>46.254868946173325</c:v>
                </c:pt>
                <c:pt idx="73">
                  <c:v>46.616140377115329</c:v>
                </c:pt>
                <c:pt idx="74">
                  <c:v>46.975033220352117</c:v>
                </c:pt>
                <c:pt idx="75">
                  <c:v>47.331032093847689</c:v>
                </c:pt>
                <c:pt idx="76">
                  <c:v>47.683621748599023</c:v>
                </c:pt>
                <c:pt idx="77">
                  <c:v>48.032287069918205</c:v>
                </c:pt>
                <c:pt idx="78">
                  <c:v>48.379586317760818</c:v>
                </c:pt>
                <c:pt idx="79">
                  <c:v>48.727861839864445</c:v>
                </c:pt>
                <c:pt idx="80">
                  <c:v>49.076330397492761</c:v>
                </c:pt>
                <c:pt idx="81">
                  <c:v>49.424167177822525</c:v>
                </c:pt>
                <c:pt idx="82">
                  <c:v>49.770547632609549</c:v>
                </c:pt>
                <c:pt idx="83">
                  <c:v>50.114647480622047</c:v>
                </c:pt>
                <c:pt idx="84">
                  <c:v>50.455642710588464</c:v>
                </c:pt>
                <c:pt idx="85">
                  <c:v>50.792700879837824</c:v>
                </c:pt>
                <c:pt idx="86">
                  <c:v>51.125004010822728</c:v>
                </c:pt>
                <c:pt idx="87">
                  <c:v>51.451728895586029</c:v>
                </c:pt>
                <c:pt idx="88">
                  <c:v>51.77205260903704</c:v>
                </c:pt>
                <c:pt idx="89">
                  <c:v>52.085152504695266</c:v>
                </c:pt>
                <c:pt idx="90">
                  <c:v>52.390206224571486</c:v>
                </c:pt>
                <c:pt idx="91">
                  <c:v>52.686391698558353</c:v>
                </c:pt>
                <c:pt idx="92">
                  <c:v>52.975167813110687</c:v>
                </c:pt>
                <c:pt idx="93">
                  <c:v>53.258470387144193</c:v>
                </c:pt>
                <c:pt idx="94">
                  <c:v>53.536206161413901</c:v>
                </c:pt>
                <c:pt idx="95">
                  <c:v>53.808272786760917</c:v>
                </c:pt>
                <c:pt idx="96">
                  <c:v>54.074567961279513</c:v>
                </c:pt>
                <c:pt idx="97">
                  <c:v>54.334989431949495</c:v>
                </c:pt>
                <c:pt idx="98">
                  <c:v>54.589434994046748</c:v>
                </c:pt>
                <c:pt idx="99">
                  <c:v>54.837800736058455</c:v>
                </c:pt>
                <c:pt idx="100">
                  <c:v>55.07999373722749</c:v>
                </c:pt>
                <c:pt idx="101">
                  <c:v>55.315912078892701</c:v>
                </c:pt>
                <c:pt idx="102">
                  <c:v>55.545453909626445</c:v>
                </c:pt>
                <c:pt idx="103">
                  <c:v>55.768517456544402</c:v>
                </c:pt>
                <c:pt idx="104">
                  <c:v>55.985001020318073</c:v>
                </c:pt>
                <c:pt idx="105">
                  <c:v>56.194802983900075</c:v>
                </c:pt>
                <c:pt idx="106">
                  <c:v>56.398078695642347</c:v>
                </c:pt>
                <c:pt idx="107">
                  <c:v>56.595047842440714</c:v>
                </c:pt>
                <c:pt idx="108">
                  <c:v>56.785714466847061</c:v>
                </c:pt>
                <c:pt idx="109">
                  <c:v>56.970079809978735</c:v>
                </c:pt>
                <c:pt idx="110">
                  <c:v>57.148145126235576</c:v>
                </c:pt>
                <c:pt idx="111">
                  <c:v>57.319911724806211</c:v>
                </c:pt>
                <c:pt idx="112">
                  <c:v>57.485381011152967</c:v>
                </c:pt>
                <c:pt idx="113">
                  <c:v>57.644549556504359</c:v>
                </c:pt>
                <c:pt idx="114">
                  <c:v>57.797420745173135</c:v>
                </c:pt>
                <c:pt idx="115">
                  <c:v>57.943996088980626</c:v>
                </c:pt>
                <c:pt idx="116">
                  <c:v>58.084277164877086</c:v>
                </c:pt>
                <c:pt idx="117">
                  <c:v>58.218265615163517</c:v>
                </c:pt>
                <c:pt idx="118">
                  <c:v>58.345963154500893</c:v>
                </c:pt>
                <c:pt idx="119">
                  <c:v>60.198355750861268</c:v>
                </c:pt>
                <c:pt idx="120">
                  <c:v>60.314247837448214</c:v>
                </c:pt>
                <c:pt idx="121">
                  <c:v>60.422129126105098</c:v>
                </c:pt>
                <c:pt idx="122">
                  <c:v>60.522429619336172</c:v>
                </c:pt>
                <c:pt idx="123">
                  <c:v>60.61557439203974</c:v>
                </c:pt>
                <c:pt idx="124">
                  <c:v>60.701988317448688</c:v>
                </c:pt>
                <c:pt idx="125">
                  <c:v>60.782096057182066</c:v>
                </c:pt>
                <c:pt idx="126">
                  <c:v>60.856322068952721</c:v>
                </c:pt>
                <c:pt idx="127">
                  <c:v>60.925091684825155</c:v>
                </c:pt>
                <c:pt idx="128">
                  <c:v>60.98883486988116</c:v>
                </c:pt>
                <c:pt idx="129">
                  <c:v>61.047975703088376</c:v>
                </c:pt>
                <c:pt idx="130">
                  <c:v>61.102938068620219</c:v>
                </c:pt>
                <c:pt idx="131">
                  <c:v>61.154145660112832</c:v>
                </c:pt>
                <c:pt idx="132">
                  <c:v>61.202021976435056</c:v>
                </c:pt>
                <c:pt idx="133">
                  <c:v>61.246990323293069</c:v>
                </c:pt>
                <c:pt idx="134">
                  <c:v>61.287962306273528</c:v>
                </c:pt>
                <c:pt idx="135">
                  <c:v>61.323710746686309</c:v>
                </c:pt>
                <c:pt idx="136">
                  <c:v>61.35445627417549</c:v>
                </c:pt>
                <c:pt idx="137">
                  <c:v>61.380412237208638</c:v>
                </c:pt>
                <c:pt idx="138">
                  <c:v>61.401791906938364</c:v>
                </c:pt>
                <c:pt idx="139">
                  <c:v>61.418808480283829</c:v>
                </c:pt>
                <c:pt idx="140">
                  <c:v>61.431675080505791</c:v>
                </c:pt>
                <c:pt idx="141">
                  <c:v>61.440600151779321</c:v>
                </c:pt>
                <c:pt idx="142">
                  <c:v>61.445795285195985</c:v>
                </c:pt>
                <c:pt idx="143">
                  <c:v>61.44747320582114</c:v>
                </c:pt>
                <c:pt idx="144">
                  <c:v>61.445846489241895</c:v>
                </c:pt>
                <c:pt idx="145">
                  <c:v>61.441127626181888</c:v>
                </c:pt>
                <c:pt idx="146">
                  <c:v>61.433529015821286</c:v>
                </c:pt>
                <c:pt idx="147">
                  <c:v>61.42326296423812</c:v>
                </c:pt>
                <c:pt idx="148">
                  <c:v>61.409103150372083</c:v>
                </c:pt>
                <c:pt idx="149">
                  <c:v>61.389963225063546</c:v>
                </c:pt>
                <c:pt idx="150">
                  <c:v>61.366265392544371</c:v>
                </c:pt>
                <c:pt idx="151">
                  <c:v>61.338432948088204</c:v>
                </c:pt>
                <c:pt idx="152">
                  <c:v>61.30688897156373</c:v>
                </c:pt>
                <c:pt idx="153">
                  <c:v>61.272056323991897</c:v>
                </c:pt>
                <c:pt idx="154">
                  <c:v>61.234357642453155</c:v>
                </c:pt>
                <c:pt idx="155">
                  <c:v>61.194209583189775</c:v>
                </c:pt>
                <c:pt idx="156">
                  <c:v>61.152039571303909</c:v>
                </c:pt>
                <c:pt idx="157">
                  <c:v>61.108269556846111</c:v>
                </c:pt>
                <c:pt idx="158">
                  <c:v>61.063321256565132</c:v>
                </c:pt>
                <c:pt idx="159">
                  <c:v>61.017616154233536</c:v>
                </c:pt>
                <c:pt idx="160">
                  <c:v>60.971575496620247</c:v>
                </c:pt>
                <c:pt idx="161">
                  <c:v>60.925620291995905</c:v>
                </c:pt>
                <c:pt idx="162">
                  <c:v>60.879120676118113</c:v>
                </c:pt>
                <c:pt idx="163">
                  <c:v>60.831162327808173</c:v>
                </c:pt>
                <c:pt idx="164">
                  <c:v>60.781747391898769</c:v>
                </c:pt>
                <c:pt idx="165">
                  <c:v>60.73087684073208</c:v>
                </c:pt>
                <c:pt idx="166">
                  <c:v>60.678551621813369</c:v>
                </c:pt>
                <c:pt idx="167">
                  <c:v>60.624772653026533</c:v>
                </c:pt>
                <c:pt idx="168">
                  <c:v>60.569540823986877</c:v>
                </c:pt>
                <c:pt idx="169">
                  <c:v>60.512852138172654</c:v>
                </c:pt>
                <c:pt idx="170">
                  <c:v>60.454713835961179</c:v>
                </c:pt>
                <c:pt idx="171">
                  <c:v>60.395126741268172</c:v>
                </c:pt>
                <c:pt idx="172">
                  <c:v>60.334091639524821</c:v>
                </c:pt>
                <c:pt idx="173">
                  <c:v>60.271609366413564</c:v>
                </c:pt>
                <c:pt idx="174">
                  <c:v>60.207680725049649</c:v>
                </c:pt>
                <c:pt idx="175">
                  <c:v>60.142306394936512</c:v>
                </c:pt>
                <c:pt idx="176">
                  <c:v>60.075487018384187</c:v>
                </c:pt>
                <c:pt idx="177">
                  <c:v>60.007216409181552</c:v>
                </c:pt>
                <c:pt idx="178">
                  <c:v>59.937500146536792</c:v>
                </c:pt>
                <c:pt idx="179">
                  <c:v>59.866338734550169</c:v>
                </c:pt>
                <c:pt idx="180">
                  <c:v>59.793732640673717</c:v>
                </c:pt>
                <c:pt idx="181">
                  <c:v>59.71968229814577</c:v>
                </c:pt>
                <c:pt idx="182">
                  <c:v>59.644188104577097</c:v>
                </c:pt>
                <c:pt idx="183">
                  <c:v>59.567249105522876</c:v>
                </c:pt>
                <c:pt idx="184">
                  <c:v>59.488870865436169</c:v>
                </c:pt>
                <c:pt idx="185">
                  <c:v>59.409053727472028</c:v>
                </c:pt>
                <c:pt idx="186">
                  <c:v>59.327798003088169</c:v>
                </c:pt>
                <c:pt idx="187">
                  <c:v>59.245103971113203</c:v>
                </c:pt>
                <c:pt idx="188">
                  <c:v>59.160971883138522</c:v>
                </c:pt>
                <c:pt idx="189">
                  <c:v>59.075401963041195</c:v>
                </c:pt>
                <c:pt idx="190">
                  <c:v>58.988848046895313</c:v>
                </c:pt>
                <c:pt idx="191">
                  <c:v>58.901617487274493</c:v>
                </c:pt>
                <c:pt idx="192">
                  <c:v>58.813507947942306</c:v>
                </c:pt>
                <c:pt idx="193">
                  <c:v>58.724310077242556</c:v>
                </c:pt>
                <c:pt idx="194">
                  <c:v>58.63381461490463</c:v>
                </c:pt>
                <c:pt idx="195">
                  <c:v>58.541812393904607</c:v>
                </c:pt>
                <c:pt idx="196">
                  <c:v>58.448094342782753</c:v>
                </c:pt>
                <c:pt idx="197">
                  <c:v>58.35245294331537</c:v>
                </c:pt>
                <c:pt idx="198">
                  <c:v>58.254680687601351</c:v>
                </c:pt>
                <c:pt idx="199">
                  <c:v>58.154568807134112</c:v>
                </c:pt>
                <c:pt idx="200">
                  <c:v>58.051908636526505</c:v>
                </c:pt>
                <c:pt idx="201">
                  <c:v>57.946491614363779</c:v>
                </c:pt>
                <c:pt idx="202">
                  <c:v>57.838109289726006</c:v>
                </c:pt>
                <c:pt idx="203">
                  <c:v>57.726553320875901</c:v>
                </c:pt>
                <c:pt idx="204">
                  <c:v>57.612138023939096</c:v>
                </c:pt>
                <c:pt idx="205">
                  <c:v>57.495318617796883</c:v>
                </c:pt>
                <c:pt idx="206">
                  <c:v>57.376102480225761</c:v>
                </c:pt>
                <c:pt idx="207">
                  <c:v>57.254490190770539</c:v>
                </c:pt>
                <c:pt idx="208">
                  <c:v>57.130482342943267</c:v>
                </c:pt>
                <c:pt idx="209">
                  <c:v>57.004079549361904</c:v>
                </c:pt>
                <c:pt idx="210">
                  <c:v>56.875282440609446</c:v>
                </c:pt>
                <c:pt idx="211">
                  <c:v>56.744079713816767</c:v>
                </c:pt>
                <c:pt idx="212">
                  <c:v>56.610470587166745</c:v>
                </c:pt>
                <c:pt idx="213">
                  <c:v>56.474455738753434</c:v>
                </c:pt>
                <c:pt idx="214">
                  <c:v>56.336035869889486</c:v>
                </c:pt>
                <c:pt idx="215">
                  <c:v>56.195211706615225</c:v>
                </c:pt>
                <c:pt idx="216">
                  <c:v>56.051984001040282</c:v>
                </c:pt>
                <c:pt idx="217">
                  <c:v>55.906353527927713</c:v>
                </c:pt>
                <c:pt idx="218">
                  <c:v>55.758773170634853</c:v>
                </c:pt>
                <c:pt idx="219">
                  <c:v>55.609545856382752</c:v>
                </c:pt>
                <c:pt idx="220">
                  <c:v>55.458461822372037</c:v>
                </c:pt>
                <c:pt idx="221">
                  <c:v>55.305313145602113</c:v>
                </c:pt>
                <c:pt idx="222">
                  <c:v>55.149892024511992</c:v>
                </c:pt>
                <c:pt idx="223">
                  <c:v>54.99199078131506</c:v>
                </c:pt>
                <c:pt idx="224">
                  <c:v>54.831401858439371</c:v>
                </c:pt>
                <c:pt idx="225">
                  <c:v>54.667909120511816</c:v>
                </c:pt>
                <c:pt idx="226">
                  <c:v>54.501317264153428</c:v>
                </c:pt>
                <c:pt idx="227">
                  <c:v>54.331419091042449</c:v>
                </c:pt>
                <c:pt idx="228">
                  <c:v>54.158007516729683</c:v>
                </c:pt>
                <c:pt idx="229">
                  <c:v>53.980875569148644</c:v>
                </c:pt>
                <c:pt idx="230">
                  <c:v>53.799816391646779</c:v>
                </c:pt>
                <c:pt idx="231">
                  <c:v>53.614623234638678</c:v>
                </c:pt>
                <c:pt idx="232">
                  <c:v>53.425610233275698</c:v>
                </c:pt>
                <c:pt idx="233">
                  <c:v>53.233225447809509</c:v>
                </c:pt>
                <c:pt idx="234">
                  <c:v>53.037480993298317</c:v>
                </c:pt>
                <c:pt idx="235">
                  <c:v>52.838378276434376</c:v>
                </c:pt>
                <c:pt idx="236">
                  <c:v>52.635918702461126</c:v>
                </c:pt>
                <c:pt idx="237">
                  <c:v>52.43010370515367</c:v>
                </c:pt>
                <c:pt idx="238">
                  <c:v>52.220934725918134</c:v>
                </c:pt>
                <c:pt idx="239">
                  <c:v>52.00840518148668</c:v>
                </c:pt>
                <c:pt idx="240">
                  <c:v>51.792525194109956</c:v>
                </c:pt>
                <c:pt idx="241">
                  <c:v>51.573296227143913</c:v>
                </c:pt>
                <c:pt idx="242">
                  <c:v>51.350719759314885</c:v>
                </c:pt>
                <c:pt idx="243">
                  <c:v>51.124797280314013</c:v>
                </c:pt>
                <c:pt idx="244">
                  <c:v>50.895530294550362</c:v>
                </c:pt>
                <c:pt idx="245">
                  <c:v>50.662920319626096</c:v>
                </c:pt>
                <c:pt idx="246">
                  <c:v>50.42696889232235</c:v>
                </c:pt>
                <c:pt idx="247">
                  <c:v>50.187656832294721</c:v>
                </c:pt>
                <c:pt idx="248">
                  <c:v>49.9449905339754</c:v>
                </c:pt>
                <c:pt idx="249">
                  <c:v>49.698971645303168</c:v>
                </c:pt>
                <c:pt idx="250">
                  <c:v>49.449601843090946</c:v>
                </c:pt>
                <c:pt idx="251">
                  <c:v>49.196882829906187</c:v>
                </c:pt>
                <c:pt idx="252">
                  <c:v>48.940816337021651</c:v>
                </c:pt>
                <c:pt idx="253">
                  <c:v>48.681382189336126</c:v>
                </c:pt>
                <c:pt idx="254">
                  <c:v>48.418590211241224</c:v>
                </c:pt>
                <c:pt idx="255">
                  <c:v>48.152442300437137</c:v>
                </c:pt>
                <c:pt idx="256">
                  <c:v>47.882940392778309</c:v>
                </c:pt>
                <c:pt idx="257">
                  <c:v>47.610086463198904</c:v>
                </c:pt>
                <c:pt idx="258">
                  <c:v>47.333882524998209</c:v>
                </c:pt>
                <c:pt idx="259">
                  <c:v>47.054330634505611</c:v>
                </c:pt>
                <c:pt idx="260">
                  <c:v>46.771207942778226</c:v>
                </c:pt>
                <c:pt idx="261">
                  <c:v>46.484345635539654</c:v>
                </c:pt>
                <c:pt idx="262">
                  <c:v>46.193870134867289</c:v>
                </c:pt>
                <c:pt idx="263">
                  <c:v>45.899887493032075</c:v>
                </c:pt>
                <c:pt idx="264">
                  <c:v>45.602503747777895</c:v>
                </c:pt>
                <c:pt idx="265">
                  <c:v>45.301824602476216</c:v>
                </c:pt>
                <c:pt idx="266">
                  <c:v>44.997955874300921</c:v>
                </c:pt>
                <c:pt idx="267">
                  <c:v>44.690893074676971</c:v>
                </c:pt>
                <c:pt idx="268">
                  <c:v>44.380764421461002</c:v>
                </c:pt>
                <c:pt idx="269">
                  <c:v>44.067676775779965</c:v>
                </c:pt>
                <c:pt idx="270">
                  <c:v>43.751737046146069</c:v>
                </c:pt>
                <c:pt idx="271">
                  <c:v>43.433052193863261</c:v>
                </c:pt>
                <c:pt idx="272">
                  <c:v>43.111729227049373</c:v>
                </c:pt>
                <c:pt idx="273">
                  <c:v>42.787875203815716</c:v>
                </c:pt>
                <c:pt idx="274">
                  <c:v>42.459990453541955</c:v>
                </c:pt>
                <c:pt idx="275">
                  <c:v>42.12682587542124</c:v>
                </c:pt>
                <c:pt idx="276">
                  <c:v>41.789023573526237</c:v>
                </c:pt>
                <c:pt idx="277">
                  <c:v>41.44721075229873</c:v>
                </c:pt>
                <c:pt idx="278">
                  <c:v>41.10201449801589</c:v>
                </c:pt>
                <c:pt idx="279">
                  <c:v>40.754061780884911</c:v>
                </c:pt>
                <c:pt idx="280">
                  <c:v>40.403979447663367</c:v>
                </c:pt>
                <c:pt idx="281">
                  <c:v>40.052387769668265</c:v>
                </c:pt>
                <c:pt idx="282">
                  <c:v>39.7000174549189</c:v>
                </c:pt>
                <c:pt idx="283">
                  <c:v>39.347493348149797</c:v>
                </c:pt>
                <c:pt idx="284">
                  <c:v>38.995440035898255</c:v>
                </c:pt>
                <c:pt idx="285">
                  <c:v>38.644481837598512</c:v>
                </c:pt>
                <c:pt idx="286">
                  <c:v>38.29524279253868</c:v>
                </c:pt>
                <c:pt idx="287">
                  <c:v>37.948346647596011</c:v>
                </c:pt>
                <c:pt idx="288">
                  <c:v>37.601742687421662</c:v>
                </c:pt>
                <c:pt idx="289">
                  <c:v>37.253370704018657</c:v>
                </c:pt>
                <c:pt idx="290">
                  <c:v>36.90383828751434</c:v>
                </c:pt>
                <c:pt idx="291">
                  <c:v>36.553662778372818</c:v>
                </c:pt>
                <c:pt idx="292">
                  <c:v>36.203361042699356</c:v>
                </c:pt>
                <c:pt idx="293">
                  <c:v>35.85344946644215</c:v>
                </c:pt>
                <c:pt idx="294">
                  <c:v>35.504443952613968</c:v>
                </c:pt>
                <c:pt idx="295">
                  <c:v>35.156936461573963</c:v>
                </c:pt>
                <c:pt idx="296">
                  <c:v>34.811444042279334</c:v>
                </c:pt>
                <c:pt idx="297">
                  <c:v>34.468477710002894</c:v>
                </c:pt>
                <c:pt idx="298">
                  <c:v>34.128549136524718</c:v>
                </c:pt>
                <c:pt idx="299">
                  <c:v>33.792169496959332</c:v>
                </c:pt>
                <c:pt idx="300">
                  <c:v>33.459849488413887</c:v>
                </c:pt>
                <c:pt idx="301">
                  <c:v>33.132099347454812</c:v>
                </c:pt>
                <c:pt idx="302">
                  <c:v>32.807464664128908</c:v>
                </c:pt>
                <c:pt idx="303">
                  <c:v>32.484227442983773</c:v>
                </c:pt>
                <c:pt idx="304">
                  <c:v>32.162642735902246</c:v>
                </c:pt>
                <c:pt idx="305">
                  <c:v>31.843018652924073</c:v>
                </c:pt>
                <c:pt idx="306">
                  <c:v>31.525663025556486</c:v>
                </c:pt>
                <c:pt idx="307">
                  <c:v>31.210883413908196</c:v>
                </c:pt>
                <c:pt idx="308">
                  <c:v>30.898987114458755</c:v>
                </c:pt>
                <c:pt idx="309">
                  <c:v>30.590348914257472</c:v>
                </c:pt>
                <c:pt idx="310">
                  <c:v>30.285206960343903</c:v>
                </c:pt>
                <c:pt idx="311">
                  <c:v>29.983867806361211</c:v>
                </c:pt>
                <c:pt idx="312">
                  <c:v>29.686637776729196</c:v>
                </c:pt>
                <c:pt idx="313">
                  <c:v>29.393822978840607</c:v>
                </c:pt>
                <c:pt idx="314">
                  <c:v>29.105729312049895</c:v>
                </c:pt>
                <c:pt idx="315">
                  <c:v>28.822662482338774</c:v>
                </c:pt>
                <c:pt idx="316">
                  <c:v>28.543035135918338</c:v>
                </c:pt>
                <c:pt idx="317">
                  <c:v>28.265589646992989</c:v>
                </c:pt>
                <c:pt idx="318">
                  <c:v>27.990942030162262</c:v>
                </c:pt>
                <c:pt idx="319">
                  <c:v>27.719596310590536</c:v>
                </c:pt>
                <c:pt idx="320">
                  <c:v>27.452056683628971</c:v>
                </c:pt>
                <c:pt idx="321">
                  <c:v>27.188827569522847</c:v>
                </c:pt>
                <c:pt idx="322">
                  <c:v>26.930413648020995</c:v>
                </c:pt>
                <c:pt idx="323">
                  <c:v>26.677159762874464</c:v>
                </c:pt>
                <c:pt idx="324">
                  <c:v>26.429516793111315</c:v>
                </c:pt>
                <c:pt idx="325">
                  <c:v>26.187995948851434</c:v>
                </c:pt>
                <c:pt idx="326">
                  <c:v>25.953109566445551</c:v>
                </c:pt>
                <c:pt idx="327">
                  <c:v>25.725369302181527</c:v>
                </c:pt>
                <c:pt idx="328">
                  <c:v>25.505285971063657</c:v>
                </c:pt>
                <c:pt idx="329">
                  <c:v>25.293370454653093</c:v>
                </c:pt>
                <c:pt idx="330">
                  <c:v>25.0875042629186</c:v>
                </c:pt>
                <c:pt idx="331">
                  <c:v>24.885547845459481</c:v>
                </c:pt>
                <c:pt idx="332">
                  <c:v>24.687950388090542</c:v>
                </c:pt>
                <c:pt idx="333">
                  <c:v>24.495332837934043</c:v>
                </c:pt>
                <c:pt idx="334">
                  <c:v>24.308315696146259</c:v>
                </c:pt>
                <c:pt idx="335">
                  <c:v>24.127519017672221</c:v>
                </c:pt>
                <c:pt idx="336">
                  <c:v>23.953562410285194</c:v>
                </c:pt>
                <c:pt idx="337">
                  <c:v>23.787211421346981</c:v>
                </c:pt>
                <c:pt idx="338">
                  <c:v>23.629225827721406</c:v>
                </c:pt>
                <c:pt idx="339">
                  <c:v>23.480219465889824</c:v>
                </c:pt>
                <c:pt idx="340">
                  <c:v>23.340806261813412</c:v>
                </c:pt>
                <c:pt idx="341">
                  <c:v>23.211600203816381</c:v>
                </c:pt>
                <c:pt idx="342">
                  <c:v>23.093215325399012</c:v>
                </c:pt>
                <c:pt idx="343">
                  <c:v>22.986265703074892</c:v>
                </c:pt>
                <c:pt idx="344">
                  <c:v>22.888760617365556</c:v>
                </c:pt>
                <c:pt idx="345">
                  <c:v>22.798624694703346</c:v>
                </c:pt>
                <c:pt idx="346">
                  <c:v>22.716494488149777</c:v>
                </c:pt>
                <c:pt idx="347">
                  <c:v>22.642855706044514</c:v>
                </c:pt>
                <c:pt idx="348">
                  <c:v>22.578194270524296</c:v>
                </c:pt>
                <c:pt idx="349">
                  <c:v>22.522996282535267</c:v>
                </c:pt>
                <c:pt idx="350">
                  <c:v>22.477747964933531</c:v>
                </c:pt>
                <c:pt idx="351">
                  <c:v>22.44300022267802</c:v>
                </c:pt>
                <c:pt idx="352">
                  <c:v>22.419100625936682</c:v>
                </c:pt>
                <c:pt idx="353">
                  <c:v>22.40653604679822</c:v>
                </c:pt>
                <c:pt idx="354">
                  <c:v>22.405793260708148</c:v>
                </c:pt>
                <c:pt idx="355">
                  <c:v>22.417358926658167</c:v>
                </c:pt>
                <c:pt idx="356">
                  <c:v>22.44172006226017</c:v>
                </c:pt>
                <c:pt idx="357">
                  <c:v>22.479362768443803</c:v>
                </c:pt>
                <c:pt idx="358">
                  <c:v>22.530676867466578</c:v>
                </c:pt>
                <c:pt idx="359">
                  <c:v>22.59540507498097</c:v>
                </c:pt>
                <c:pt idx="360">
                  <c:v>22.673200802685702</c:v>
                </c:pt>
                <c:pt idx="361">
                  <c:v>22.763516716713081</c:v>
                </c:pt>
                <c:pt idx="362">
                  <c:v>22.865869495031227</c:v>
                </c:pt>
                <c:pt idx="363">
                  <c:v>22.979775941427739</c:v>
                </c:pt>
                <c:pt idx="364">
                  <c:v>23.104752984097363</c:v>
                </c:pt>
                <c:pt idx="365">
                  <c:v>23.306313645816928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23.917056750128953</c:v>
                </c:pt>
                <c:pt idx="1">
                  <c:v>16.494976642899317</c:v>
                </c:pt>
                <c:pt idx="2">
                  <c:v>17.810582584867259</c:v>
                </c:pt>
                <c:pt idx="3">
                  <c:v>18.926006975420616</c:v>
                </c:pt>
                <c:pt idx="4">
                  <c:v>14.966730069077949</c:v>
                </c:pt>
                <c:pt idx="5">
                  <c:v>21.477385701229135</c:v>
                </c:pt>
                <c:pt idx="6">
                  <c:v>10.531908246351188</c:v>
                </c:pt>
                <c:pt idx="7">
                  <c:v>7.4954371974962779</c:v>
                </c:pt>
                <c:pt idx="8">
                  <c:v>2.2377467111651441</c:v>
                </c:pt>
                <c:pt idx="9">
                  <c:v>1.8351150824479727</c:v>
                </c:pt>
                <c:pt idx="10">
                  <c:v>25.724760729643503</c:v>
                </c:pt>
                <c:pt idx="11">
                  <c:v>22.36183775760647</c:v>
                </c:pt>
                <c:pt idx="12">
                  <c:v>5.7322661729253266</c:v>
                </c:pt>
                <c:pt idx="13">
                  <c:v>27.202465410926532</c:v>
                </c:pt>
                <c:pt idx="14">
                  <c:v>27.521499390252945</c:v>
                </c:pt>
                <c:pt idx="15">
                  <c:v>26.92544845394956</c:v>
                </c:pt>
                <c:pt idx="16">
                  <c:v>12.433190662590503</c:v>
                </c:pt>
                <c:pt idx="17">
                  <c:v>3.9497255798040927</c:v>
                </c:pt>
                <c:pt idx="18">
                  <c:v>10.776743477737602</c:v>
                </c:pt>
                <c:pt idx="19">
                  <c:v>6.7488282460889577</c:v>
                </c:pt>
                <c:pt idx="20">
                  <c:v>21.517112663953164</c:v>
                </c:pt>
                <c:pt idx="21">
                  <c:v>28.721917406470393</c:v>
                </c:pt>
                <c:pt idx="22">
                  <c:v>28.848969131293298</c:v>
                </c:pt>
                <c:pt idx="23">
                  <c:v>29.408137740440548</c:v>
                </c:pt>
                <c:pt idx="24">
                  <c:v>28.436249001342553</c:v>
                </c:pt>
                <c:pt idx="25">
                  <c:v>29.128096769639651</c:v>
                </c:pt>
                <c:pt idx="26">
                  <c:v>27.833702243327163</c:v>
                </c:pt>
                <c:pt idx="27">
                  <c:v>4.3986805008157459</c:v>
                </c:pt>
                <c:pt idx="28">
                  <c:v>9.2841124376471491</c:v>
                </c:pt>
                <c:pt idx="29">
                  <c:v>4.7946317699137406</c:v>
                </c:pt>
                <c:pt idx="30">
                  <c:v>7.9506203433139468</c:v>
                </c:pt>
                <c:pt idx="31">
                  <c:v>13.193724483944862</c:v>
                </c:pt>
                <c:pt idx="32">
                  <c:v>5.5697816532856379</c:v>
                </c:pt>
                <c:pt idx="33">
                  <c:v>10.931123946244773</c:v>
                </c:pt>
                <c:pt idx="34">
                  <c:v>10.766514597500539</c:v>
                </c:pt>
                <c:pt idx="35">
                  <c:v>9.4606756352582071</c:v>
                </c:pt>
                <c:pt idx="36">
                  <c:v>22.040792656183182</c:v>
                </c:pt>
                <c:pt idx="37">
                  <c:v>9.288972130872315</c:v>
                </c:pt>
                <c:pt idx="38">
                  <c:v>34.449361610431609</c:v>
                </c:pt>
                <c:pt idx="39">
                  <c:v>34.74376731045308</c:v>
                </c:pt>
                <c:pt idx="40">
                  <c:v>32.40034160670713</c:v>
                </c:pt>
                <c:pt idx="41">
                  <c:v>17.948212232148926</c:v>
                </c:pt>
                <c:pt idx="42">
                  <c:v>27.503107911633688</c:v>
                </c:pt>
                <c:pt idx="43">
                  <c:v>33.648674361749329</c:v>
                </c:pt>
                <c:pt idx="44">
                  <c:v>15.797084681669565</c:v>
                </c:pt>
                <c:pt idx="45">
                  <c:v>19.052830186422764</c:v>
                </c:pt>
                <c:pt idx="46">
                  <c:v>9.3715462860644312</c:v>
                </c:pt>
                <c:pt idx="47">
                  <c:v>11.67580543753092</c:v>
                </c:pt>
                <c:pt idx="48">
                  <c:v>30.142233860094432</c:v>
                </c:pt>
                <c:pt idx="49">
                  <c:v>20.452162932186742</c:v>
                </c:pt>
                <c:pt idx="50">
                  <c:v>20.328344944385616</c:v>
                </c:pt>
                <c:pt idx="51">
                  <c:v>22.506687811065621</c:v>
                </c:pt>
                <c:pt idx="52">
                  <c:v>34.393310507989035</c:v>
                </c:pt>
                <c:pt idx="53">
                  <c:v>36.140673586459421</c:v>
                </c:pt>
                <c:pt idx="54">
                  <c:v>22.496789353154192</c:v>
                </c:pt>
                <c:pt idx="55">
                  <c:v>32.215586809280914</c:v>
                </c:pt>
                <c:pt idx="56">
                  <c:v>40.829539140235426</c:v>
                </c:pt>
                <c:pt idx="57">
                  <c:v>29.185420793522336</c:v>
                </c:pt>
                <c:pt idx="58">
                  <c:v>35.233923681072724</c:v>
                </c:pt>
                <c:pt idx="59">
                  <c:v>40.879420456881036</c:v>
                </c:pt>
                <c:pt idx="60">
                  <c:v>11.91128363677341</c:v>
                </c:pt>
                <c:pt idx="61">
                  <c:v>36.548514858379534</c:v>
                </c:pt>
                <c:pt idx="62">
                  <c:v>3.9274145797246862</c:v>
                </c:pt>
                <c:pt idx="63">
                  <c:v>13.523171318904797</c:v>
                </c:pt>
                <c:pt idx="64">
                  <c:v>16.303790328246457</c:v>
                </c:pt>
                <c:pt idx="65">
                  <c:v>40.161583843351863</c:v>
                </c:pt>
                <c:pt idx="66">
                  <c:v>32.731110256542429</c:v>
                </c:pt>
                <c:pt idx="67">
                  <c:v>31.911455584019699</c:v>
                </c:pt>
                <c:pt idx="68">
                  <c:v>25.403172501454225</c:v>
                </c:pt>
                <c:pt idx="69">
                  <c:v>15.754595749417037</c:v>
                </c:pt>
                <c:pt idx="70">
                  <c:v>16.397494017484842</c:v>
                </c:pt>
                <c:pt idx="71">
                  <c:v>9.1947302872074026</c:v>
                </c:pt>
                <c:pt idx="72">
                  <c:v>14.814816365632224</c:v>
                </c:pt>
                <c:pt idx="73">
                  <c:v>14.101284376596549</c:v>
                </c:pt>
                <c:pt idx="74">
                  <c:v>14.073257904133202</c:v>
                </c:pt>
                <c:pt idx="75">
                  <c:v>11.819307078123304</c:v>
                </c:pt>
                <c:pt idx="76">
                  <c:v>15.279598102615195</c:v>
                </c:pt>
                <c:pt idx="77">
                  <c:v>29.192632355961113</c:v>
                </c:pt>
                <c:pt idx="78">
                  <c:v>32.414926868688475</c:v>
                </c:pt>
                <c:pt idx="79">
                  <c:v>45.885355126024422</c:v>
                </c:pt>
                <c:pt idx="80">
                  <c:v>43.563686089911535</c:v>
                </c:pt>
                <c:pt idx="81">
                  <c:v>49.655070614502556</c:v>
                </c:pt>
                <c:pt idx="82">
                  <c:v>48.83941860496563</c:v>
                </c:pt>
                <c:pt idx="83">
                  <c:v>43.462804834445393</c:v>
                </c:pt>
                <c:pt idx="84">
                  <c:v>48.112130026797466</c:v>
                </c:pt>
                <c:pt idx="85">
                  <c:v>46.514677560506307</c:v>
                </c:pt>
                <c:pt idx="86">
                  <c:v>14.978321538611302</c:v>
                </c:pt>
                <c:pt idx="87">
                  <c:v>28.747750200535293</c:v>
                </c:pt>
                <c:pt idx="88">
                  <c:v>8.0605545265405905</c:v>
                </c:pt>
                <c:pt idx="89">
                  <c:v>28.710884438406953</c:v>
                </c:pt>
                <c:pt idx="90">
                  <c:v>33.620699765253818</c:v>
                </c:pt>
                <c:pt idx="91">
                  <c:v>20.988409289244714</c:v>
                </c:pt>
                <c:pt idx="92">
                  <c:v>23.349943722776104</c:v>
                </c:pt>
                <c:pt idx="93">
                  <c:v>47.003710278972164</c:v>
                </c:pt>
                <c:pt idx="94">
                  <c:v>53.936769299848059</c:v>
                </c:pt>
                <c:pt idx="95">
                  <c:v>11.674986541688295</c:v>
                </c:pt>
                <c:pt idx="96">
                  <c:v>39.192176135660191</c:v>
                </c:pt>
                <c:pt idx="97">
                  <c:v>31.840978206910389</c:v>
                </c:pt>
                <c:pt idx="98">
                  <c:v>37.355782712502467</c:v>
                </c:pt>
                <c:pt idx="99">
                  <c:v>54.623946041824837</c:v>
                </c:pt>
                <c:pt idx="100">
                  <c:v>45.272866435827162</c:v>
                </c:pt>
                <c:pt idx="101">
                  <c:v>38.666719141626942</c:v>
                </c:pt>
                <c:pt idx="102">
                  <c:v>8.2631141229472576</c:v>
                </c:pt>
                <c:pt idx="103">
                  <c:v>41.823462232300045</c:v>
                </c:pt>
                <c:pt idx="104">
                  <c:v>45.638249780087776</c:v>
                </c:pt>
                <c:pt idx="105">
                  <c:v>47.352821220387838</c:v>
                </c:pt>
                <c:pt idx="106">
                  <c:v>55.579026909684941</c:v>
                </c:pt>
                <c:pt idx="107">
                  <c:v>41.115151744830605</c:v>
                </c:pt>
                <c:pt idx="108">
                  <c:v>9.6109123703193422</c:v>
                </c:pt>
                <c:pt idx="109">
                  <c:v>10.027298009614341</c:v>
                </c:pt>
                <c:pt idx="110">
                  <c:v>9.6521731467732277</c:v>
                </c:pt>
                <c:pt idx="111">
                  <c:v>28.053832742406833</c:v>
                </c:pt>
                <c:pt idx="112">
                  <c:v>9.3431639301865683</c:v>
                </c:pt>
                <c:pt idx="113">
                  <c:v>32.2852625278909</c:v>
                </c:pt>
                <c:pt idx="114">
                  <c:v>48.86220579185791</c:v>
                </c:pt>
                <c:pt idx="115">
                  <c:v>56.02193001414723</c:v>
                </c:pt>
                <c:pt idx="116">
                  <c:v>40.667050902608445</c:v>
                </c:pt>
                <c:pt idx="117">
                  <c:v>24.503888499080801</c:v>
                </c:pt>
                <c:pt idx="118">
                  <c:v>44.815389913419082</c:v>
                </c:pt>
                <c:pt idx="119">
                  <c:v>48.844454386603999</c:v>
                </c:pt>
                <c:pt idx="120">
                  <c:v>49.420790513806359</c:v>
                </c:pt>
                <c:pt idx="121">
                  <c:v>29.301072997127733</c:v>
                </c:pt>
                <c:pt idx="122">
                  <c:v>40.897195431991449</c:v>
                </c:pt>
                <c:pt idx="123">
                  <c:v>22.14607707843307</c:v>
                </c:pt>
                <c:pt idx="124">
                  <c:v>45.42859707937334</c:v>
                </c:pt>
                <c:pt idx="125">
                  <c:v>39.865083725502949</c:v>
                </c:pt>
                <c:pt idx="126">
                  <c:v>54.538328029381766</c:v>
                </c:pt>
                <c:pt idx="127">
                  <c:v>50.290169188173657</c:v>
                </c:pt>
                <c:pt idx="128">
                  <c:v>57.748134465117857</c:v>
                </c:pt>
                <c:pt idx="129">
                  <c:v>53.94274657925039</c:v>
                </c:pt>
                <c:pt idx="130">
                  <c:v>58.167365322307106</c:v>
                </c:pt>
                <c:pt idx="131">
                  <c:v>43.366912880683941</c:v>
                </c:pt>
                <c:pt idx="132">
                  <c:v>45.423502957846779</c:v>
                </c:pt>
                <c:pt idx="133">
                  <c:v>51.760517364839203</c:v>
                </c:pt>
                <c:pt idx="134">
                  <c:v>54.469213410752424</c:v>
                </c:pt>
                <c:pt idx="135">
                  <c:v>52.838905128577224</c:v>
                </c:pt>
                <c:pt idx="136">
                  <c:v>56.353598953428943</c:v>
                </c:pt>
                <c:pt idx="137">
                  <c:v>54.504910885949329</c:v>
                </c:pt>
                <c:pt idx="138">
                  <c:v>57.296895102088506</c:v>
                </c:pt>
                <c:pt idx="139">
                  <c:v>51.127232539988455</c:v>
                </c:pt>
                <c:pt idx="140">
                  <c:v>51.226167815043461</c:v>
                </c:pt>
                <c:pt idx="141">
                  <c:v>38.911226800398751</c:v>
                </c:pt>
                <c:pt idx="142">
                  <c:v>20.544398046695203</c:v>
                </c:pt>
                <c:pt idx="143">
                  <c:v>16.983733788148321</c:v>
                </c:pt>
                <c:pt idx="144">
                  <c:v>42.722095702234085</c:v>
                </c:pt>
                <c:pt idx="145">
                  <c:v>25.969580083344347</c:v>
                </c:pt>
                <c:pt idx="146">
                  <c:v>47.812570789814842</c:v>
                </c:pt>
                <c:pt idx="147">
                  <c:v>57.507902349416774</c:v>
                </c:pt>
                <c:pt idx="148">
                  <c:v>62.179616692322547</c:v>
                </c:pt>
                <c:pt idx="149">
                  <c:v>52.758611080291672</c:v>
                </c:pt>
                <c:pt idx="150">
                  <c:v>57.192070201209823</c:v>
                </c:pt>
                <c:pt idx="151">
                  <c:v>58.277538631368152</c:v>
                </c:pt>
                <c:pt idx="152">
                  <c:v>46.478576191157217</c:v>
                </c:pt>
                <c:pt idx="153">
                  <c:v>56.849426408974729</c:v>
                </c:pt>
                <c:pt idx="154">
                  <c:v>27.101447856869502</c:v>
                </c:pt>
                <c:pt idx="155">
                  <c:v>37.344245948078303</c:v>
                </c:pt>
                <c:pt idx="156">
                  <c:v>48.711431789956777</c:v>
                </c:pt>
                <c:pt idx="157">
                  <c:v>29.548422045054217</c:v>
                </c:pt>
                <c:pt idx="158">
                  <c:v>22.028901009335129</c:v>
                </c:pt>
                <c:pt idx="159">
                  <c:v>47.99376730963197</c:v>
                </c:pt>
                <c:pt idx="160">
                  <c:v>59.872662789981085</c:v>
                </c:pt>
                <c:pt idx="161">
                  <c:v>57.858443932448189</c:v>
                </c:pt>
                <c:pt idx="162">
                  <c:v>44.912010910818175</c:v>
                </c:pt>
                <c:pt idx="163">
                  <c:v>56.480007442289669</c:v>
                </c:pt>
                <c:pt idx="164">
                  <c:v>50.208146597849385</c:v>
                </c:pt>
                <c:pt idx="165">
                  <c:v>56.60021908109762</c:v>
                </c:pt>
                <c:pt idx="166">
                  <c:v>54.3617895202825</c:v>
                </c:pt>
                <c:pt idx="167">
                  <c:v>54.507252628814221</c:v>
                </c:pt>
                <c:pt idx="168">
                  <c:v>56.993877268998354</c:v>
                </c:pt>
                <c:pt idx="169">
                  <c:v>58.378857278160574</c:v>
                </c:pt>
                <c:pt idx="170">
                  <c:v>32.932619158219822</c:v>
                </c:pt>
                <c:pt idx="171">
                  <c:v>23.699900397948504</c:v>
                </c:pt>
                <c:pt idx="172">
                  <c:v>45.902861331026195</c:v>
                </c:pt>
                <c:pt idx="173">
                  <c:v>43.297432617926418</c:v>
                </c:pt>
                <c:pt idx="174">
                  <c:v>40.838918472239278</c:v>
                </c:pt>
                <c:pt idx="175">
                  <c:v>35.440009707967533</c:v>
                </c:pt>
                <c:pt idx="176">
                  <c:v>12.582328213975233</c:v>
                </c:pt>
                <c:pt idx="177">
                  <c:v>15.288406178533759</c:v>
                </c:pt>
                <c:pt idx="178">
                  <c:v>60.64997548466723</c:v>
                </c:pt>
                <c:pt idx="179">
                  <c:v>58.909862859770698</c:v>
                </c:pt>
                <c:pt idx="180">
                  <c:v>14.527877096667913</c:v>
                </c:pt>
                <c:pt idx="181">
                  <c:v>52.400125071495218</c:v>
                </c:pt>
                <c:pt idx="182">
                  <c:v>57.883244395966237</c:v>
                </c:pt>
                <c:pt idx="183">
                  <c:v>47.681730594666199</c:v>
                </c:pt>
                <c:pt idx="184">
                  <c:v>46.130329308464795</c:v>
                </c:pt>
                <c:pt idx="185">
                  <c:v>57.826121628292569</c:v>
                </c:pt>
                <c:pt idx="186">
                  <c:v>49.152006458024246</c:v>
                </c:pt>
                <c:pt idx="187">
                  <c:v>57.250541887276619</c:v>
                </c:pt>
                <c:pt idx="188">
                  <c:v>59.715808846438314</c:v>
                </c:pt>
                <c:pt idx="189">
                  <c:v>59.016707048187179</c:v>
                </c:pt>
                <c:pt idx="190">
                  <c:v>58.454545788386483</c:v>
                </c:pt>
                <c:pt idx="191">
                  <c:v>56.918008039256485</c:v>
                </c:pt>
                <c:pt idx="192">
                  <c:v>56.6704069763137</c:v>
                </c:pt>
                <c:pt idx="193">
                  <c:v>56.381134115194328</c:v>
                </c:pt>
                <c:pt idx="194">
                  <c:v>55.790230478216564</c:v>
                </c:pt>
                <c:pt idx="195">
                  <c:v>53.948164641322791</c:v>
                </c:pt>
                <c:pt idx="196">
                  <c:v>55.516306533149255</c:v>
                </c:pt>
                <c:pt idx="197">
                  <c:v>55.026621471610561</c:v>
                </c:pt>
                <c:pt idx="198">
                  <c:v>56.01726949443011</c:v>
                </c:pt>
                <c:pt idx="199">
                  <c:v>46.289521692920381</c:v>
                </c:pt>
                <c:pt idx="200">
                  <c:v>45.836642095638027</c:v>
                </c:pt>
                <c:pt idx="201">
                  <c:v>54.203953305753373</c:v>
                </c:pt>
                <c:pt idx="202">
                  <c:v>43.7651407808644</c:v>
                </c:pt>
                <c:pt idx="203">
                  <c:v>50.289920078637763</c:v>
                </c:pt>
                <c:pt idx="204">
                  <c:v>54.440429198536862</c:v>
                </c:pt>
                <c:pt idx="205">
                  <c:v>27.742282340205808</c:v>
                </c:pt>
                <c:pt idx="206">
                  <c:v>58.829349513641986</c:v>
                </c:pt>
                <c:pt idx="207">
                  <c:v>58.868431950312726</c:v>
                </c:pt>
                <c:pt idx="208">
                  <c:v>45.897422045581983</c:v>
                </c:pt>
                <c:pt idx="209">
                  <c:v>32.780843214876938</c:v>
                </c:pt>
                <c:pt idx="210">
                  <c:v>50.699020178460195</c:v>
                </c:pt>
                <c:pt idx="211">
                  <c:v>56.29164655314522</c:v>
                </c:pt>
                <c:pt idx="212">
                  <c:v>55.90912317567998</c:v>
                </c:pt>
                <c:pt idx="213">
                  <c:v>55.896628436673531</c:v>
                </c:pt>
                <c:pt idx="214">
                  <c:v>52.78408482636749</c:v>
                </c:pt>
                <c:pt idx="215">
                  <c:v>52.00082768945834</c:v>
                </c:pt>
                <c:pt idx="216">
                  <c:v>47.222827782636095</c:v>
                </c:pt>
                <c:pt idx="217">
                  <c:v>51.852885254118462</c:v>
                </c:pt>
                <c:pt idx="218">
                  <c:v>54.564364779409452</c:v>
                </c:pt>
                <c:pt idx="219">
                  <c:v>55.023035190769633</c:v>
                </c:pt>
                <c:pt idx="220">
                  <c:v>52.95717723290204</c:v>
                </c:pt>
                <c:pt idx="221">
                  <c:v>50.042259733203231</c:v>
                </c:pt>
                <c:pt idx="222">
                  <c:v>48.389131798415825</c:v>
                </c:pt>
                <c:pt idx="223">
                  <c:v>49.350721673488529</c:v>
                </c:pt>
                <c:pt idx="224">
                  <c:v>37.139813315613509</c:v>
                </c:pt>
                <c:pt idx="225">
                  <c:v>35.252789199885967</c:v>
                </c:pt>
                <c:pt idx="226">
                  <c:v>39.934026709488329</c:v>
                </c:pt>
                <c:pt idx="227">
                  <c:v>36.935122359862042</c:v>
                </c:pt>
                <c:pt idx="228">
                  <c:v>29.632632523466594</c:v>
                </c:pt>
                <c:pt idx="229">
                  <c:v>37.595755533013097</c:v>
                </c:pt>
                <c:pt idx="230">
                  <c:v>42.824199309596366</c:v>
                </c:pt>
                <c:pt idx="231">
                  <c:v>51.426662067171094</c:v>
                </c:pt>
                <c:pt idx="232">
                  <c:v>34.737910810796592</c:v>
                </c:pt>
                <c:pt idx="233">
                  <c:v>27.684832643188795</c:v>
                </c:pt>
                <c:pt idx="234">
                  <c:v>50.206729633652984</c:v>
                </c:pt>
                <c:pt idx="235">
                  <c:v>47.863510337217832</c:v>
                </c:pt>
                <c:pt idx="236">
                  <c:v>33.556864264476758</c:v>
                </c:pt>
                <c:pt idx="237">
                  <c:v>44.562701307610709</c:v>
                </c:pt>
                <c:pt idx="238">
                  <c:v>50.677052765877534</c:v>
                </c:pt>
                <c:pt idx="239">
                  <c:v>49.573564819867151</c:v>
                </c:pt>
                <c:pt idx="240">
                  <c:v>33.920938191731175</c:v>
                </c:pt>
                <c:pt idx="241">
                  <c:v>49.243911606914097</c:v>
                </c:pt>
                <c:pt idx="242">
                  <c:v>25.435263299347135</c:v>
                </c:pt>
                <c:pt idx="243">
                  <c:v>41.634525936282166</c:v>
                </c:pt>
                <c:pt idx="244">
                  <c:v>40.069107668241962</c:v>
                </c:pt>
                <c:pt idx="245">
                  <c:v>39.119527215646329</c:v>
                </c:pt>
                <c:pt idx="246">
                  <c:v>47.278880443481292</c:v>
                </c:pt>
                <c:pt idx="247">
                  <c:v>41.32463203802471</c:v>
                </c:pt>
                <c:pt idx="248">
                  <c:v>46.763782582637546</c:v>
                </c:pt>
                <c:pt idx="249">
                  <c:v>37.226202936355136</c:v>
                </c:pt>
                <c:pt idx="250">
                  <c:v>36.178533748739227</c:v>
                </c:pt>
                <c:pt idx="251">
                  <c:v>24.230011998407534</c:v>
                </c:pt>
                <c:pt idx="252">
                  <c:v>47.927773010051673</c:v>
                </c:pt>
                <c:pt idx="253">
                  <c:v>47.337024115236879</c:v>
                </c:pt>
                <c:pt idx="254">
                  <c:v>34.358734982271692</c:v>
                </c:pt>
                <c:pt idx="255">
                  <c:v>14.584410730432726</c:v>
                </c:pt>
                <c:pt idx="256">
                  <c:v>36.571421356813367</c:v>
                </c:pt>
                <c:pt idx="257">
                  <c:v>41.883817500241314</c:v>
                </c:pt>
                <c:pt idx="258">
                  <c:v>33.464006730153919</c:v>
                </c:pt>
                <c:pt idx="259">
                  <c:v>46.76139386082469</c:v>
                </c:pt>
                <c:pt idx="260">
                  <c:v>46.753071774343411</c:v>
                </c:pt>
                <c:pt idx="261">
                  <c:v>46.117699534880558</c:v>
                </c:pt>
                <c:pt idx="262">
                  <c:v>47.872439721025252</c:v>
                </c:pt>
                <c:pt idx="263">
                  <c:v>46.639277919469244</c:v>
                </c:pt>
                <c:pt idx="264">
                  <c:v>45.130571219061601</c:v>
                </c:pt>
                <c:pt idx="265">
                  <c:v>28.643792959235739</c:v>
                </c:pt>
                <c:pt idx="266">
                  <c:v>17.350858030571306</c:v>
                </c:pt>
                <c:pt idx="267">
                  <c:v>36.538683083555576</c:v>
                </c:pt>
                <c:pt idx="268">
                  <c:v>33.454190595321847</c:v>
                </c:pt>
                <c:pt idx="269">
                  <c:v>17.739180163023399</c:v>
                </c:pt>
                <c:pt idx="270">
                  <c:v>20.105611119920688</c:v>
                </c:pt>
                <c:pt idx="271">
                  <c:v>24.156819070100543</c:v>
                </c:pt>
                <c:pt idx="272">
                  <c:v>28.665671301786332</c:v>
                </c:pt>
                <c:pt idx="273">
                  <c:v>37.454689627405493</c:v>
                </c:pt>
                <c:pt idx="274">
                  <c:v>39.937132808279365</c:v>
                </c:pt>
                <c:pt idx="275">
                  <c:v>38.552424170231433</c:v>
                </c:pt>
                <c:pt idx="276">
                  <c:v>42.466525231060437</c:v>
                </c:pt>
                <c:pt idx="277">
                  <c:v>43.294490578204183</c:v>
                </c:pt>
                <c:pt idx="278">
                  <c:v>11.959315613794907</c:v>
                </c:pt>
                <c:pt idx="279">
                  <c:v>30.039364869773372</c:v>
                </c:pt>
                <c:pt idx="280">
                  <c:v>17.335676020724701</c:v>
                </c:pt>
                <c:pt idx="281">
                  <c:v>39.58035792186385</c:v>
                </c:pt>
                <c:pt idx="282">
                  <c:v>31.774573531407327</c:v>
                </c:pt>
                <c:pt idx="283">
                  <c:v>23.110458821765391</c:v>
                </c:pt>
                <c:pt idx="284">
                  <c:v>28.683068228490882</c:v>
                </c:pt>
                <c:pt idx="285">
                  <c:v>24.015009228830458</c:v>
                </c:pt>
                <c:pt idx="286">
                  <c:v>18.666788721571766</c:v>
                </c:pt>
                <c:pt idx="287">
                  <c:v>38.355286375287783</c:v>
                </c:pt>
                <c:pt idx="288">
                  <c:v>33.851816148418678</c:v>
                </c:pt>
                <c:pt idx="289">
                  <c:v>20.095717241221656</c:v>
                </c:pt>
                <c:pt idx="290">
                  <c:v>35.446619506427268</c:v>
                </c:pt>
                <c:pt idx="291">
                  <c:v>16.475201295787304</c:v>
                </c:pt>
                <c:pt idx="292">
                  <c:v>6.9374363732357613</c:v>
                </c:pt>
                <c:pt idx="293">
                  <c:v>16.882919676749818</c:v>
                </c:pt>
                <c:pt idx="294">
                  <c:v>34.108187313244052</c:v>
                </c:pt>
                <c:pt idx="295">
                  <c:v>17.529274075744478</c:v>
                </c:pt>
                <c:pt idx="296">
                  <c:v>25.934497555620858</c:v>
                </c:pt>
                <c:pt idx="297">
                  <c:v>22.929387750315062</c:v>
                </c:pt>
                <c:pt idx="298">
                  <c:v>12.781664707397564</c:v>
                </c:pt>
                <c:pt idx="299">
                  <c:v>14.786176524602045</c:v>
                </c:pt>
                <c:pt idx="300">
                  <c:v>17.78656787763413</c:v>
                </c:pt>
                <c:pt idx="301">
                  <c:v>27.62295768114608</c:v>
                </c:pt>
                <c:pt idx="302">
                  <c:v>23.748172022134501</c:v>
                </c:pt>
                <c:pt idx="303">
                  <c:v>22.587131966487693</c:v>
                </c:pt>
                <c:pt idx="304">
                  <c:v>20.022420389579491</c:v>
                </c:pt>
                <c:pt idx="305">
                  <c:v>29.702925463335347</c:v>
                </c:pt>
                <c:pt idx="306">
                  <c:v>10.426230176621321</c:v>
                </c:pt>
                <c:pt idx="307">
                  <c:v>18.005925859567785</c:v>
                </c:pt>
                <c:pt idx="308">
                  <c:v>30.670554688641896</c:v>
                </c:pt>
                <c:pt idx="309">
                  <c:v>30.625824893897594</c:v>
                </c:pt>
                <c:pt idx="310">
                  <c:v>28.726379195790916</c:v>
                </c:pt>
                <c:pt idx="311">
                  <c:v>20.714856246861782</c:v>
                </c:pt>
                <c:pt idx="312">
                  <c:v>10.203141248293029</c:v>
                </c:pt>
                <c:pt idx="313">
                  <c:v>20.600447969326339</c:v>
                </c:pt>
                <c:pt idx="314">
                  <c:v>28.178689752629975</c:v>
                </c:pt>
                <c:pt idx="315">
                  <c:v>27.748153273960341</c:v>
                </c:pt>
                <c:pt idx="316">
                  <c:v>26.685367125162685</c:v>
                </c:pt>
                <c:pt idx="317">
                  <c:v>9.8806071244885612</c:v>
                </c:pt>
                <c:pt idx="318">
                  <c:v>12.678315187904813</c:v>
                </c:pt>
                <c:pt idx="319">
                  <c:v>27.295971958432371</c:v>
                </c:pt>
                <c:pt idx="320">
                  <c:v>13.973561730266832</c:v>
                </c:pt>
                <c:pt idx="321">
                  <c:v>15.995342436159477</c:v>
                </c:pt>
                <c:pt idx="322">
                  <c:v>7.3099056735371688</c:v>
                </c:pt>
                <c:pt idx="323">
                  <c:v>16.085548839746401</c:v>
                </c:pt>
                <c:pt idx="324">
                  <c:v>3.2308784927425762</c:v>
                </c:pt>
                <c:pt idx="325">
                  <c:v>7.9929074118622463</c:v>
                </c:pt>
                <c:pt idx="326">
                  <c:v>13.404592978050253</c:v>
                </c:pt>
                <c:pt idx="327">
                  <c:v>14.066990305215372</c:v>
                </c:pt>
                <c:pt idx="328">
                  <c:v>4.874503960200987</c:v>
                </c:pt>
                <c:pt idx="329">
                  <c:v>11.200777985240931</c:v>
                </c:pt>
                <c:pt idx="330">
                  <c:v>14.74439741848823</c:v>
                </c:pt>
                <c:pt idx="331">
                  <c:v>10.696749814660018</c:v>
                </c:pt>
                <c:pt idx="332">
                  <c:v>15.578351184821145</c:v>
                </c:pt>
                <c:pt idx="333">
                  <c:v>4.0707674124177204</c:v>
                </c:pt>
                <c:pt idx="334">
                  <c:v>3.8530706576275588</c:v>
                </c:pt>
                <c:pt idx="335">
                  <c:v>5.7883289897992842</c:v>
                </c:pt>
                <c:pt idx="336">
                  <c:v>9.7003108795746549</c:v>
                </c:pt>
                <c:pt idx="337">
                  <c:v>17.78812808921635</c:v>
                </c:pt>
                <c:pt idx="338">
                  <c:v>23.580351721997197</c:v>
                </c:pt>
                <c:pt idx="339">
                  <c:v>11.591103378468004</c:v>
                </c:pt>
                <c:pt idx="340">
                  <c:v>20.885621967454863</c:v>
                </c:pt>
                <c:pt idx="341">
                  <c:v>4.1944341306603272</c:v>
                </c:pt>
                <c:pt idx="342">
                  <c:v>5.1188486118137551</c:v>
                </c:pt>
                <c:pt idx="343">
                  <c:v>12.3910188948742</c:v>
                </c:pt>
                <c:pt idx="344">
                  <c:v>17.72901856976268</c:v>
                </c:pt>
                <c:pt idx="345">
                  <c:v>5.4182028433092055</c:v>
                </c:pt>
                <c:pt idx="346">
                  <c:v>5.4853727982365372</c:v>
                </c:pt>
                <c:pt idx="347">
                  <c:v>17.514847350082832</c:v>
                </c:pt>
                <c:pt idx="348">
                  <c:v>5.9855444551443604</c:v>
                </c:pt>
                <c:pt idx="349">
                  <c:v>5.286497653454779</c:v>
                </c:pt>
                <c:pt idx="350">
                  <c:v>3.5839594566617086</c:v>
                </c:pt>
                <c:pt idx="351">
                  <c:v>21.378078905432925</c:v>
                </c:pt>
                <c:pt idx="352">
                  <c:v>18.191480544800989</c:v>
                </c:pt>
                <c:pt idx="353">
                  <c:v>4.6368221395030265</c:v>
                </c:pt>
                <c:pt idx="354">
                  <c:v>21.229393892386767</c:v>
                </c:pt>
                <c:pt idx="355">
                  <c:v>17.948920499868375</c:v>
                </c:pt>
                <c:pt idx="356">
                  <c:v>18.190032318386272</c:v>
                </c:pt>
                <c:pt idx="357">
                  <c:v>21.618502958332286</c:v>
                </c:pt>
                <c:pt idx="358">
                  <c:v>12.213529477467095</c:v>
                </c:pt>
                <c:pt idx="359">
                  <c:v>21.115013381269318</c:v>
                </c:pt>
                <c:pt idx="360">
                  <c:v>7.154629478637955</c:v>
                </c:pt>
                <c:pt idx="361">
                  <c:v>22.211210832697851</c:v>
                </c:pt>
                <c:pt idx="362">
                  <c:v>10.549493196763139</c:v>
                </c:pt>
                <c:pt idx="363">
                  <c:v>14.293373753459765</c:v>
                </c:pt>
                <c:pt idx="364">
                  <c:v>11.825814930085798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23.917056750128953</c:v>
                </c:pt>
                <c:pt idx="1">
                  <c:v>16.494976642899317</c:v>
                </c:pt>
                <c:pt idx="2">
                  <c:v>17.810582584867259</c:v>
                </c:pt>
                <c:pt idx="3">
                  <c:v>18.926006975420616</c:v>
                </c:pt>
                <c:pt idx="4">
                  <c:v>14.966730069077949</c:v>
                </c:pt>
                <c:pt idx="5">
                  <c:v>21.477385701229135</c:v>
                </c:pt>
                <c:pt idx="6">
                  <c:v>10.531908246351188</c:v>
                </c:pt>
                <c:pt idx="7">
                  <c:v>7.4954371974962779</c:v>
                </c:pt>
                <c:pt idx="8">
                  <c:v>2.2377467111651441</c:v>
                </c:pt>
                <c:pt idx="9">
                  <c:v>1.8351150824479727</c:v>
                </c:pt>
                <c:pt idx="10">
                  <c:v>25.724760729643503</c:v>
                </c:pt>
                <c:pt idx="11">
                  <c:v>22.36183775760647</c:v>
                </c:pt>
                <c:pt idx="12">
                  <c:v>5.7322661729253266</c:v>
                </c:pt>
                <c:pt idx="13">
                  <c:v>27.202465410926532</c:v>
                </c:pt>
                <c:pt idx="14">
                  <c:v>27.521499390252945</c:v>
                </c:pt>
                <c:pt idx="15">
                  <c:v>26.92544845394956</c:v>
                </c:pt>
                <c:pt idx="16">
                  <c:v>12.433190662590503</c:v>
                </c:pt>
                <c:pt idx="17">
                  <c:v>3.9497255798040927</c:v>
                </c:pt>
                <c:pt idx="18">
                  <c:v>10.776743477737602</c:v>
                </c:pt>
                <c:pt idx="19">
                  <c:v>6.7488282460889577</c:v>
                </c:pt>
                <c:pt idx="20">
                  <c:v>21.517112663953164</c:v>
                </c:pt>
                <c:pt idx="21">
                  <c:v>28.721917406470393</c:v>
                </c:pt>
                <c:pt idx="22">
                  <c:v>28.848969131293298</c:v>
                </c:pt>
                <c:pt idx="23">
                  <c:v>29.408137740440548</c:v>
                </c:pt>
                <c:pt idx="24">
                  <c:v>28.436249001342553</c:v>
                </c:pt>
                <c:pt idx="25">
                  <c:v>29.128096769639651</c:v>
                </c:pt>
                <c:pt idx="26">
                  <c:v>27.833702243327163</c:v>
                </c:pt>
                <c:pt idx="27">
                  <c:v>4.3986805008157459</c:v>
                </c:pt>
                <c:pt idx="28">
                  <c:v>9.2841124376471491</c:v>
                </c:pt>
                <c:pt idx="29">
                  <c:v>4.7946317699137406</c:v>
                </c:pt>
                <c:pt idx="30">
                  <c:v>7.9506203433139468</c:v>
                </c:pt>
                <c:pt idx="31">
                  <c:v>13.193724483944862</c:v>
                </c:pt>
                <c:pt idx="32">
                  <c:v>5.5697816532856379</c:v>
                </c:pt>
                <c:pt idx="33">
                  <c:v>10.931123946244773</c:v>
                </c:pt>
                <c:pt idx="34">
                  <c:v>10.766514597500539</c:v>
                </c:pt>
                <c:pt idx="35">
                  <c:v>9.4606756352582071</c:v>
                </c:pt>
                <c:pt idx="36">
                  <c:v>22.040792656183182</c:v>
                </c:pt>
                <c:pt idx="37">
                  <c:v>9.288972130872315</c:v>
                </c:pt>
                <c:pt idx="38">
                  <c:v>34.449361610431609</c:v>
                </c:pt>
                <c:pt idx="39">
                  <c:v>34.74376731045308</c:v>
                </c:pt>
                <c:pt idx="40">
                  <c:v>32.40034160670713</c:v>
                </c:pt>
                <c:pt idx="41">
                  <c:v>17.948212232148926</c:v>
                </c:pt>
                <c:pt idx="42">
                  <c:v>27.503107911633688</c:v>
                </c:pt>
                <c:pt idx="43">
                  <c:v>33.648674361749329</c:v>
                </c:pt>
                <c:pt idx="44">
                  <c:v>15.797084681669565</c:v>
                </c:pt>
                <c:pt idx="45">
                  <c:v>19.052830186422764</c:v>
                </c:pt>
                <c:pt idx="46">
                  <c:v>9.3715462860644312</c:v>
                </c:pt>
                <c:pt idx="47">
                  <c:v>11.67580543753092</c:v>
                </c:pt>
                <c:pt idx="48">
                  <c:v>30.142233860094432</c:v>
                </c:pt>
                <c:pt idx="49">
                  <c:v>20.452162932186742</c:v>
                </c:pt>
                <c:pt idx="50">
                  <c:v>20.328344944385616</c:v>
                </c:pt>
                <c:pt idx="51">
                  <c:v>22.506687811065621</c:v>
                </c:pt>
                <c:pt idx="52">
                  <c:v>34.393310507989035</c:v>
                </c:pt>
                <c:pt idx="53">
                  <c:v>36.140673586459421</c:v>
                </c:pt>
                <c:pt idx="54">
                  <c:v>22.496789353154192</c:v>
                </c:pt>
                <c:pt idx="55">
                  <c:v>32.215586809280914</c:v>
                </c:pt>
                <c:pt idx="56">
                  <c:v>40.829539140235426</c:v>
                </c:pt>
                <c:pt idx="57">
                  <c:v>29.185420793522336</c:v>
                </c:pt>
                <c:pt idx="58">
                  <c:v>35.233923681072724</c:v>
                </c:pt>
                <c:pt idx="59">
                  <c:v>40.879420456881036</c:v>
                </c:pt>
                <c:pt idx="60">
                  <c:v>11.91128363677341</c:v>
                </c:pt>
                <c:pt idx="61">
                  <c:v>36.548514858379534</c:v>
                </c:pt>
                <c:pt idx="62">
                  <c:v>3.9274145797246862</c:v>
                </c:pt>
                <c:pt idx="63">
                  <c:v>13.523171318904797</c:v>
                </c:pt>
                <c:pt idx="64">
                  <c:v>16.303790328246457</c:v>
                </c:pt>
                <c:pt idx="65">
                  <c:v>40.161583843351863</c:v>
                </c:pt>
                <c:pt idx="66">
                  <c:v>32.731110256542429</c:v>
                </c:pt>
                <c:pt idx="67">
                  <c:v>31.911455584019699</c:v>
                </c:pt>
                <c:pt idx="68">
                  <c:v>25.403172501454225</c:v>
                </c:pt>
                <c:pt idx="69">
                  <c:v>15.754595749417037</c:v>
                </c:pt>
                <c:pt idx="70">
                  <c:v>16.397494017484842</c:v>
                </c:pt>
                <c:pt idx="71">
                  <c:v>9.1947302872074026</c:v>
                </c:pt>
                <c:pt idx="72">
                  <c:v>14.814816365632224</c:v>
                </c:pt>
                <c:pt idx="73">
                  <c:v>14.101284376596549</c:v>
                </c:pt>
                <c:pt idx="74">
                  <c:v>14.073257904133202</c:v>
                </c:pt>
                <c:pt idx="75">
                  <c:v>11.819307078123304</c:v>
                </c:pt>
                <c:pt idx="76">
                  <c:v>15.279598102615195</c:v>
                </c:pt>
                <c:pt idx="77">
                  <c:v>29.192632355961113</c:v>
                </c:pt>
                <c:pt idx="78">
                  <c:v>32.414926868688475</c:v>
                </c:pt>
                <c:pt idx="79">
                  <c:v>45.885355126024422</c:v>
                </c:pt>
                <c:pt idx="80">
                  <c:v>43.563686089911535</c:v>
                </c:pt>
                <c:pt idx="81">
                  <c:v>49.655070614502556</c:v>
                </c:pt>
                <c:pt idx="82">
                  <c:v>48.83941860496563</c:v>
                </c:pt>
                <c:pt idx="83">
                  <c:v>43.462804834445393</c:v>
                </c:pt>
                <c:pt idx="84">
                  <c:v>48.112130026797466</c:v>
                </c:pt>
                <c:pt idx="85">
                  <c:v>46.514677560506307</c:v>
                </c:pt>
                <c:pt idx="86">
                  <c:v>14.978321538611302</c:v>
                </c:pt>
                <c:pt idx="87">
                  <c:v>28.747750200535293</c:v>
                </c:pt>
                <c:pt idx="88">
                  <c:v>8.0605545265405905</c:v>
                </c:pt>
                <c:pt idx="89">
                  <c:v>28.710884438406953</c:v>
                </c:pt>
                <c:pt idx="90">
                  <c:v>33.620699765253818</c:v>
                </c:pt>
                <c:pt idx="91">
                  <c:v>20.988409289244714</c:v>
                </c:pt>
                <c:pt idx="92">
                  <c:v>23.349943722776104</c:v>
                </c:pt>
                <c:pt idx="93">
                  <c:v>47.003710278972164</c:v>
                </c:pt>
                <c:pt idx="94">
                  <c:v>53.936769299848059</c:v>
                </c:pt>
                <c:pt idx="95">
                  <c:v>11.674986541688295</c:v>
                </c:pt>
                <c:pt idx="96">
                  <c:v>39.192176135660191</c:v>
                </c:pt>
                <c:pt idx="97">
                  <c:v>31.840978206910389</c:v>
                </c:pt>
                <c:pt idx="98">
                  <c:v>37.355782712502467</c:v>
                </c:pt>
                <c:pt idx="99">
                  <c:v>54.623946041824837</c:v>
                </c:pt>
                <c:pt idx="100">
                  <c:v>45.272866435827162</c:v>
                </c:pt>
                <c:pt idx="101">
                  <c:v>38.666719141626942</c:v>
                </c:pt>
                <c:pt idx="102">
                  <c:v>8.2631141229472576</c:v>
                </c:pt>
                <c:pt idx="103">
                  <c:v>41.823462232300045</c:v>
                </c:pt>
                <c:pt idx="104">
                  <c:v>45.638249780087776</c:v>
                </c:pt>
                <c:pt idx="105">
                  <c:v>47.352821220387838</c:v>
                </c:pt>
                <c:pt idx="106">
                  <c:v>55.579026909684941</c:v>
                </c:pt>
                <c:pt idx="107">
                  <c:v>41.115151744830605</c:v>
                </c:pt>
                <c:pt idx="108">
                  <c:v>9.6109123703193422</c:v>
                </c:pt>
                <c:pt idx="109">
                  <c:v>10.027298009614341</c:v>
                </c:pt>
                <c:pt idx="110">
                  <c:v>9.6521731467732277</c:v>
                </c:pt>
                <c:pt idx="111">
                  <c:v>28.053832742406833</c:v>
                </c:pt>
                <c:pt idx="112">
                  <c:v>9.3431639301865683</c:v>
                </c:pt>
                <c:pt idx="113">
                  <c:v>32.2852625278909</c:v>
                </c:pt>
                <c:pt idx="114">
                  <c:v>48.86220579185791</c:v>
                </c:pt>
                <c:pt idx="115">
                  <c:v>56.02193001414723</c:v>
                </c:pt>
                <c:pt idx="116">
                  <c:v>40.667050902608445</c:v>
                </c:pt>
                <c:pt idx="117">
                  <c:v>24.503888499080801</c:v>
                </c:pt>
                <c:pt idx="118">
                  <c:v>44.815389913419082</c:v>
                </c:pt>
                <c:pt idx="119">
                  <c:v>48.844454386603999</c:v>
                </c:pt>
                <c:pt idx="120">
                  <c:v>49.420790513806359</c:v>
                </c:pt>
                <c:pt idx="121">
                  <c:v>29.301072997127733</c:v>
                </c:pt>
                <c:pt idx="122">
                  <c:v>40.897195431991449</c:v>
                </c:pt>
                <c:pt idx="123">
                  <c:v>22.14607707843307</c:v>
                </c:pt>
                <c:pt idx="124">
                  <c:v>45.42859707937334</c:v>
                </c:pt>
                <c:pt idx="125">
                  <c:v>39.865083725502949</c:v>
                </c:pt>
                <c:pt idx="126">
                  <c:v>54.538328029381766</c:v>
                </c:pt>
                <c:pt idx="127">
                  <c:v>50.290169188173657</c:v>
                </c:pt>
                <c:pt idx="128">
                  <c:v>57.748134465117857</c:v>
                </c:pt>
                <c:pt idx="129">
                  <c:v>53.94274657925039</c:v>
                </c:pt>
                <c:pt idx="130">
                  <c:v>58.167365322307106</c:v>
                </c:pt>
                <c:pt idx="131">
                  <c:v>43.366912880683941</c:v>
                </c:pt>
                <c:pt idx="132">
                  <c:v>45.423502957846779</c:v>
                </c:pt>
                <c:pt idx="133">
                  <c:v>51.760517364839203</c:v>
                </c:pt>
                <c:pt idx="134">
                  <c:v>54.469213410752424</c:v>
                </c:pt>
                <c:pt idx="135">
                  <c:v>52.838905128577224</c:v>
                </c:pt>
                <c:pt idx="136">
                  <c:v>56.353598953428943</c:v>
                </c:pt>
                <c:pt idx="137">
                  <c:v>54.504910885949329</c:v>
                </c:pt>
                <c:pt idx="138">
                  <c:v>57.296895102088506</c:v>
                </c:pt>
                <c:pt idx="139">
                  <c:v>51.127232539988455</c:v>
                </c:pt>
                <c:pt idx="140">
                  <c:v>51.226167815043461</c:v>
                </c:pt>
                <c:pt idx="141">
                  <c:v>38.911226800398751</c:v>
                </c:pt>
                <c:pt idx="142">
                  <c:v>20.544398046695203</c:v>
                </c:pt>
                <c:pt idx="143">
                  <c:v>16.983733788148321</c:v>
                </c:pt>
                <c:pt idx="144">
                  <c:v>42.722095702234085</c:v>
                </c:pt>
                <c:pt idx="145">
                  <c:v>25.969580083344347</c:v>
                </c:pt>
                <c:pt idx="146">
                  <c:v>47.812570789814842</c:v>
                </c:pt>
                <c:pt idx="147">
                  <c:v>57.507902349416774</c:v>
                </c:pt>
                <c:pt idx="148">
                  <c:v>62.179616692322547</c:v>
                </c:pt>
                <c:pt idx="149">
                  <c:v>52.758611080291672</c:v>
                </c:pt>
                <c:pt idx="150">
                  <c:v>57.192070201209823</c:v>
                </c:pt>
                <c:pt idx="151">
                  <c:v>58.277538631368152</c:v>
                </c:pt>
                <c:pt idx="152">
                  <c:v>46.478576191157217</c:v>
                </c:pt>
                <c:pt idx="153">
                  <c:v>56.849426408974729</c:v>
                </c:pt>
                <c:pt idx="154">
                  <c:v>27.101447856869502</c:v>
                </c:pt>
                <c:pt idx="155">
                  <c:v>37.344245948078303</c:v>
                </c:pt>
                <c:pt idx="156">
                  <c:v>48.711431789956777</c:v>
                </c:pt>
                <c:pt idx="157">
                  <c:v>29.548422045054217</c:v>
                </c:pt>
                <c:pt idx="158">
                  <c:v>22.028901009335129</c:v>
                </c:pt>
                <c:pt idx="159">
                  <c:v>47.99376730963197</c:v>
                </c:pt>
                <c:pt idx="160">
                  <c:v>59.872662789981085</c:v>
                </c:pt>
                <c:pt idx="161">
                  <c:v>57.858443932448189</c:v>
                </c:pt>
                <c:pt idx="162">
                  <c:v>44.912010910818175</c:v>
                </c:pt>
                <c:pt idx="163">
                  <c:v>56.480007442289669</c:v>
                </c:pt>
                <c:pt idx="164">
                  <c:v>50.208146597849385</c:v>
                </c:pt>
                <c:pt idx="165">
                  <c:v>56.60021908109762</c:v>
                </c:pt>
                <c:pt idx="166">
                  <c:v>54.3617895202825</c:v>
                </c:pt>
                <c:pt idx="167">
                  <c:v>54.507252628814221</c:v>
                </c:pt>
                <c:pt idx="168">
                  <c:v>56.993877268998354</c:v>
                </c:pt>
                <c:pt idx="169">
                  <c:v>58.378857278160574</c:v>
                </c:pt>
                <c:pt idx="170">
                  <c:v>32.932619158219822</c:v>
                </c:pt>
                <c:pt idx="171">
                  <c:v>23.699900397948504</c:v>
                </c:pt>
                <c:pt idx="172">
                  <c:v>45.902861331026195</c:v>
                </c:pt>
                <c:pt idx="173">
                  <c:v>43.297432617926418</c:v>
                </c:pt>
                <c:pt idx="174">
                  <c:v>40.838918472239278</c:v>
                </c:pt>
                <c:pt idx="175">
                  <c:v>35.440009707967533</c:v>
                </c:pt>
                <c:pt idx="176">
                  <c:v>12.582328213975233</c:v>
                </c:pt>
                <c:pt idx="177">
                  <c:v>15.288406178533759</c:v>
                </c:pt>
                <c:pt idx="178">
                  <c:v>60.64997548466723</c:v>
                </c:pt>
                <c:pt idx="179">
                  <c:v>58.909862859770698</c:v>
                </c:pt>
                <c:pt idx="180">
                  <c:v>14.527877096667913</c:v>
                </c:pt>
                <c:pt idx="181">
                  <c:v>52.400125071495218</c:v>
                </c:pt>
                <c:pt idx="182">
                  <c:v>57.883244395966237</c:v>
                </c:pt>
                <c:pt idx="183">
                  <c:v>47.681730594666199</c:v>
                </c:pt>
                <c:pt idx="184">
                  <c:v>46.130329308464795</c:v>
                </c:pt>
                <c:pt idx="185">
                  <c:v>57.826121628292569</c:v>
                </c:pt>
                <c:pt idx="186">
                  <c:v>49.152006458024246</c:v>
                </c:pt>
                <c:pt idx="187">
                  <c:v>57.250541887276619</c:v>
                </c:pt>
                <c:pt idx="188">
                  <c:v>59.715808846438314</c:v>
                </c:pt>
                <c:pt idx="189">
                  <c:v>59.016707048187179</c:v>
                </c:pt>
                <c:pt idx="190">
                  <c:v>58.454545788386483</c:v>
                </c:pt>
                <c:pt idx="191">
                  <c:v>56.918008039256485</c:v>
                </c:pt>
                <c:pt idx="192">
                  <c:v>56.6704069763137</c:v>
                </c:pt>
                <c:pt idx="193">
                  <c:v>56.381134115194328</c:v>
                </c:pt>
                <c:pt idx="194">
                  <c:v>55.790230478216564</c:v>
                </c:pt>
                <c:pt idx="195">
                  <c:v>53.948164641322791</c:v>
                </c:pt>
                <c:pt idx="196">
                  <c:v>55.516306533149255</c:v>
                </c:pt>
                <c:pt idx="197">
                  <c:v>55.026621471610561</c:v>
                </c:pt>
                <c:pt idx="198">
                  <c:v>56.01726949443011</c:v>
                </c:pt>
                <c:pt idx="199">
                  <c:v>46.289521692920381</c:v>
                </c:pt>
                <c:pt idx="200">
                  <c:v>45.836642095638027</c:v>
                </c:pt>
                <c:pt idx="201">
                  <c:v>54.203953305753373</c:v>
                </c:pt>
                <c:pt idx="202">
                  <c:v>43.7651407808644</c:v>
                </c:pt>
                <c:pt idx="203">
                  <c:v>50.289920078637763</c:v>
                </c:pt>
                <c:pt idx="204">
                  <c:v>54.440429198536862</c:v>
                </c:pt>
                <c:pt idx="205">
                  <c:v>27.742282340205808</c:v>
                </c:pt>
                <c:pt idx="206">
                  <c:v>58.829349513641986</c:v>
                </c:pt>
                <c:pt idx="207">
                  <c:v>58.868431950312726</c:v>
                </c:pt>
                <c:pt idx="208">
                  <c:v>45.897422045581983</c:v>
                </c:pt>
                <c:pt idx="209">
                  <c:v>32.780843214876938</c:v>
                </c:pt>
                <c:pt idx="210">
                  <c:v>50.699020178460195</c:v>
                </c:pt>
                <c:pt idx="211">
                  <c:v>56.29164655314522</c:v>
                </c:pt>
                <c:pt idx="212">
                  <c:v>55.90912317567998</c:v>
                </c:pt>
                <c:pt idx="213">
                  <c:v>55.896628436673531</c:v>
                </c:pt>
                <c:pt idx="214">
                  <c:v>52.78408482636749</c:v>
                </c:pt>
                <c:pt idx="215">
                  <c:v>52.00082768945834</c:v>
                </c:pt>
                <c:pt idx="216">
                  <c:v>47.222827782636095</c:v>
                </c:pt>
                <c:pt idx="217">
                  <c:v>51.852885254118462</c:v>
                </c:pt>
                <c:pt idx="218">
                  <c:v>54.564364779409452</c:v>
                </c:pt>
                <c:pt idx="219">
                  <c:v>55.023035190769633</c:v>
                </c:pt>
                <c:pt idx="220">
                  <c:v>52.95717723290204</c:v>
                </c:pt>
                <c:pt idx="221">
                  <c:v>50.042259733203231</c:v>
                </c:pt>
                <c:pt idx="222">
                  <c:v>48.389131798415825</c:v>
                </c:pt>
                <c:pt idx="223">
                  <c:v>49.350721673488529</c:v>
                </c:pt>
                <c:pt idx="224">
                  <c:v>37.139813315613509</c:v>
                </c:pt>
                <c:pt idx="225">
                  <c:v>35.252789199885967</c:v>
                </c:pt>
                <c:pt idx="226">
                  <c:v>39.934026709488329</c:v>
                </c:pt>
                <c:pt idx="227">
                  <c:v>36.935122359862042</c:v>
                </c:pt>
                <c:pt idx="228">
                  <c:v>29.632632523466594</c:v>
                </c:pt>
                <c:pt idx="229">
                  <c:v>37.595755533013097</c:v>
                </c:pt>
                <c:pt idx="230">
                  <c:v>42.824199309596366</c:v>
                </c:pt>
                <c:pt idx="231">
                  <c:v>51.426662067171094</c:v>
                </c:pt>
                <c:pt idx="232">
                  <c:v>34.737910810796592</c:v>
                </c:pt>
                <c:pt idx="233">
                  <c:v>27.684832643188795</c:v>
                </c:pt>
                <c:pt idx="234">
                  <c:v>50.206729633652984</c:v>
                </c:pt>
                <c:pt idx="235">
                  <c:v>47.863510337217832</c:v>
                </c:pt>
                <c:pt idx="236">
                  <c:v>33.556864264476758</c:v>
                </c:pt>
                <c:pt idx="237">
                  <c:v>44.562701307610709</c:v>
                </c:pt>
                <c:pt idx="238">
                  <c:v>50.677052765877534</c:v>
                </c:pt>
                <c:pt idx="239">
                  <c:v>49.573564819867151</c:v>
                </c:pt>
                <c:pt idx="240">
                  <c:v>33.920938191731175</c:v>
                </c:pt>
                <c:pt idx="241">
                  <c:v>49.243911606914097</c:v>
                </c:pt>
                <c:pt idx="242">
                  <c:v>25.435263299347135</c:v>
                </c:pt>
                <c:pt idx="243">
                  <c:v>41.634525936282166</c:v>
                </c:pt>
                <c:pt idx="244">
                  <c:v>40.069107668241962</c:v>
                </c:pt>
                <c:pt idx="245">
                  <c:v>39.119527215646329</c:v>
                </c:pt>
                <c:pt idx="246">
                  <c:v>47.278880443481292</c:v>
                </c:pt>
                <c:pt idx="247">
                  <c:v>41.32463203802471</c:v>
                </c:pt>
                <c:pt idx="248">
                  <c:v>46.763782582637546</c:v>
                </c:pt>
                <c:pt idx="249">
                  <c:v>37.226202936355136</c:v>
                </c:pt>
                <c:pt idx="250">
                  <c:v>36.178533748739227</c:v>
                </c:pt>
                <c:pt idx="251">
                  <c:v>24.230011998407534</c:v>
                </c:pt>
                <c:pt idx="252">
                  <c:v>47.927773010051673</c:v>
                </c:pt>
                <c:pt idx="253">
                  <c:v>47.337024115236879</c:v>
                </c:pt>
                <c:pt idx="254">
                  <c:v>34.358734982271692</c:v>
                </c:pt>
                <c:pt idx="255">
                  <c:v>14.584410730432726</c:v>
                </c:pt>
                <c:pt idx="256">
                  <c:v>36.571421356813367</c:v>
                </c:pt>
                <c:pt idx="257">
                  <c:v>41.883817500241314</c:v>
                </c:pt>
                <c:pt idx="258">
                  <c:v>33.464006730153919</c:v>
                </c:pt>
                <c:pt idx="259">
                  <c:v>46.76139386082469</c:v>
                </c:pt>
                <c:pt idx="260">
                  <c:v>46.753071774343411</c:v>
                </c:pt>
                <c:pt idx="261">
                  <c:v>46.117699534880558</c:v>
                </c:pt>
                <c:pt idx="262">
                  <c:v>47.872439721025252</c:v>
                </c:pt>
                <c:pt idx="263">
                  <c:v>46.639277919469244</c:v>
                </c:pt>
                <c:pt idx="264">
                  <c:v>45.130571219061601</c:v>
                </c:pt>
                <c:pt idx="265">
                  <c:v>28.643792959235739</c:v>
                </c:pt>
                <c:pt idx="266">
                  <c:v>17.350858030571306</c:v>
                </c:pt>
                <c:pt idx="267">
                  <c:v>36.538683083555576</c:v>
                </c:pt>
                <c:pt idx="268">
                  <c:v>33.454190595321847</c:v>
                </c:pt>
                <c:pt idx="269">
                  <c:v>17.739180163023399</c:v>
                </c:pt>
                <c:pt idx="270">
                  <c:v>20.105611119920688</c:v>
                </c:pt>
                <c:pt idx="271">
                  <c:v>24.156819070100543</c:v>
                </c:pt>
                <c:pt idx="272">
                  <c:v>28.665671301786332</c:v>
                </c:pt>
                <c:pt idx="273">
                  <c:v>37.454689627405493</c:v>
                </c:pt>
                <c:pt idx="274">
                  <c:v>39.937132808279365</c:v>
                </c:pt>
                <c:pt idx="275">
                  <c:v>38.552424170231433</c:v>
                </c:pt>
                <c:pt idx="276">
                  <c:v>42.466525231060437</c:v>
                </c:pt>
                <c:pt idx="277">
                  <c:v>43.294490578204183</c:v>
                </c:pt>
                <c:pt idx="278">
                  <c:v>11.959315613794907</c:v>
                </c:pt>
                <c:pt idx="279">
                  <c:v>30.039364869773372</c:v>
                </c:pt>
                <c:pt idx="280">
                  <c:v>17.335676020724701</c:v>
                </c:pt>
                <c:pt idx="281">
                  <c:v>39.58035792186385</c:v>
                </c:pt>
                <c:pt idx="282">
                  <c:v>31.774573531407327</c:v>
                </c:pt>
                <c:pt idx="283">
                  <c:v>23.110458821765391</c:v>
                </c:pt>
                <c:pt idx="284">
                  <c:v>28.683068228490882</c:v>
                </c:pt>
                <c:pt idx="285">
                  <c:v>24.015009228830458</c:v>
                </c:pt>
                <c:pt idx="286">
                  <c:v>18.666788721571766</c:v>
                </c:pt>
                <c:pt idx="287">
                  <c:v>38.355286375287783</c:v>
                </c:pt>
                <c:pt idx="288">
                  <c:v>33.851816148418678</c:v>
                </c:pt>
                <c:pt idx="289">
                  <c:v>20.095717241221656</c:v>
                </c:pt>
                <c:pt idx="290">
                  <c:v>35.446619506427268</c:v>
                </c:pt>
                <c:pt idx="291">
                  <c:v>16.475201295787304</c:v>
                </c:pt>
                <c:pt idx="292">
                  <c:v>6.9374363732357613</c:v>
                </c:pt>
                <c:pt idx="293">
                  <c:v>16.882919676749818</c:v>
                </c:pt>
                <c:pt idx="294">
                  <c:v>34.108187313244052</c:v>
                </c:pt>
                <c:pt idx="295">
                  <c:v>17.529274075744478</c:v>
                </c:pt>
                <c:pt idx="296">
                  <c:v>25.934497555620858</c:v>
                </c:pt>
                <c:pt idx="297">
                  <c:v>22.929387750315062</c:v>
                </c:pt>
                <c:pt idx="298">
                  <c:v>12.781664707397564</c:v>
                </c:pt>
                <c:pt idx="299">
                  <c:v>14.786176524602045</c:v>
                </c:pt>
                <c:pt idx="300">
                  <c:v>17.78656787763413</c:v>
                </c:pt>
                <c:pt idx="301">
                  <c:v>27.62295768114608</c:v>
                </c:pt>
                <c:pt idx="302">
                  <c:v>23.748172022134501</c:v>
                </c:pt>
                <c:pt idx="303">
                  <c:v>22.587131966487693</c:v>
                </c:pt>
                <c:pt idx="304">
                  <c:v>20.022420389579491</c:v>
                </c:pt>
                <c:pt idx="305">
                  <c:v>29.702925463335347</c:v>
                </c:pt>
                <c:pt idx="306">
                  <c:v>10.426230176621321</c:v>
                </c:pt>
                <c:pt idx="307">
                  <c:v>18.005925859567785</c:v>
                </c:pt>
                <c:pt idx="308">
                  <c:v>30.670554688641896</c:v>
                </c:pt>
                <c:pt idx="309">
                  <c:v>30.625824893897594</c:v>
                </c:pt>
                <c:pt idx="310">
                  <c:v>28.726379195790916</c:v>
                </c:pt>
                <c:pt idx="311">
                  <c:v>20.714856246861782</c:v>
                </c:pt>
                <c:pt idx="312">
                  <c:v>10.203141248293029</c:v>
                </c:pt>
                <c:pt idx="313">
                  <c:v>20.600447969326339</c:v>
                </c:pt>
                <c:pt idx="314">
                  <c:v>28.178689752629975</c:v>
                </c:pt>
                <c:pt idx="315">
                  <c:v>27.748153273960341</c:v>
                </c:pt>
                <c:pt idx="316">
                  <c:v>26.685367125162685</c:v>
                </c:pt>
                <c:pt idx="317">
                  <c:v>9.8806071244885612</c:v>
                </c:pt>
                <c:pt idx="318">
                  <c:v>12.678315187904813</c:v>
                </c:pt>
                <c:pt idx="319">
                  <c:v>27.295971958432371</c:v>
                </c:pt>
                <c:pt idx="320">
                  <c:v>13.973561730266832</c:v>
                </c:pt>
                <c:pt idx="321">
                  <c:v>15.995342436159477</c:v>
                </c:pt>
                <c:pt idx="322">
                  <c:v>7.3099056735371688</c:v>
                </c:pt>
                <c:pt idx="323">
                  <c:v>16.085548839746401</c:v>
                </c:pt>
                <c:pt idx="324">
                  <c:v>3.2308784927425762</c:v>
                </c:pt>
                <c:pt idx="325">
                  <c:v>7.9929074118622463</c:v>
                </c:pt>
                <c:pt idx="326">
                  <c:v>13.404592978050253</c:v>
                </c:pt>
                <c:pt idx="327">
                  <c:v>14.066990305215372</c:v>
                </c:pt>
                <c:pt idx="328">
                  <c:v>4.874503960200987</c:v>
                </c:pt>
                <c:pt idx="329">
                  <c:v>11.200777985240931</c:v>
                </c:pt>
                <c:pt idx="330">
                  <c:v>14.74439741848823</c:v>
                </c:pt>
                <c:pt idx="331">
                  <c:v>10.696749814660018</c:v>
                </c:pt>
                <c:pt idx="332">
                  <c:v>15.578351184821145</c:v>
                </c:pt>
                <c:pt idx="333">
                  <c:v>4.0707674124177204</c:v>
                </c:pt>
                <c:pt idx="334">
                  <c:v>3.8530706576275588</c:v>
                </c:pt>
                <c:pt idx="335">
                  <c:v>5.7883289897992842</c:v>
                </c:pt>
                <c:pt idx="336">
                  <c:v>9.7003108795746549</c:v>
                </c:pt>
                <c:pt idx="337">
                  <c:v>17.78812808921635</c:v>
                </c:pt>
                <c:pt idx="338">
                  <c:v>23.580351721997197</c:v>
                </c:pt>
                <c:pt idx="339">
                  <c:v>11.591103378468004</c:v>
                </c:pt>
                <c:pt idx="340">
                  <c:v>20.885621967454863</c:v>
                </c:pt>
                <c:pt idx="341">
                  <c:v>4.1944341306603272</c:v>
                </c:pt>
                <c:pt idx="342">
                  <c:v>5.1188486118137551</c:v>
                </c:pt>
                <c:pt idx="343">
                  <c:v>12.3910188948742</c:v>
                </c:pt>
                <c:pt idx="344">
                  <c:v>17.72901856976268</c:v>
                </c:pt>
                <c:pt idx="345">
                  <c:v>5.4182028433092055</c:v>
                </c:pt>
                <c:pt idx="346">
                  <c:v>5.4853727982365372</c:v>
                </c:pt>
                <c:pt idx="347">
                  <c:v>17.514847350082832</c:v>
                </c:pt>
                <c:pt idx="348">
                  <c:v>5.9855444551443604</c:v>
                </c:pt>
                <c:pt idx="349">
                  <c:v>5.286497653454779</c:v>
                </c:pt>
                <c:pt idx="350">
                  <c:v>3.5839594566617086</c:v>
                </c:pt>
                <c:pt idx="351">
                  <c:v>21.378078905432925</c:v>
                </c:pt>
                <c:pt idx="352">
                  <c:v>18.191480544800989</c:v>
                </c:pt>
                <c:pt idx="353">
                  <c:v>4.6368221395030265</c:v>
                </c:pt>
                <c:pt idx="354">
                  <c:v>21.229393892386767</c:v>
                </c:pt>
                <c:pt idx="355">
                  <c:v>17.948920499868375</c:v>
                </c:pt>
                <c:pt idx="356">
                  <c:v>18.190032318386272</c:v>
                </c:pt>
                <c:pt idx="357">
                  <c:v>21.618502958332286</c:v>
                </c:pt>
                <c:pt idx="358">
                  <c:v>12.213529477467095</c:v>
                </c:pt>
                <c:pt idx="359">
                  <c:v>21.115013381269318</c:v>
                </c:pt>
                <c:pt idx="360">
                  <c:v>7.154629478637955</c:v>
                </c:pt>
                <c:pt idx="361">
                  <c:v>22.211210832697851</c:v>
                </c:pt>
                <c:pt idx="362">
                  <c:v>10.549493196763139</c:v>
                </c:pt>
                <c:pt idx="363">
                  <c:v>14.293373753459765</c:v>
                </c:pt>
                <c:pt idx="364">
                  <c:v>11.825814930085798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243432"/>
        <c:axId val="214243824"/>
      </c:lineChart>
      <c:dateAx>
        <c:axId val="214243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3824"/>
        <c:crosses val="autoZero"/>
        <c:auto val="1"/>
        <c:lblOffset val="100"/>
        <c:baseTimeUnit val="days"/>
        <c:majorUnit val="1"/>
        <c:majorTimeUnit val="months"/>
      </c:dateAx>
      <c:valAx>
        <c:axId val="2142438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34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2.7332056318268183E-2</c:v>
                </c:pt>
                <c:pt idx="1">
                  <c:v>2.7350697277507607E-2</c:v>
                </c:pt>
                <c:pt idx="2">
                  <c:v>2.7369337879497357E-2</c:v>
                </c:pt>
                <c:pt idx="3">
                  <c:v>2.7387978124244206E-2</c:v>
                </c:pt>
                <c:pt idx="4">
                  <c:v>2.7406618011755035E-2</c:v>
                </c:pt>
                <c:pt idx="5">
                  <c:v>2.7425257542036618E-2</c:v>
                </c:pt>
                <c:pt idx="6">
                  <c:v>2.7443896715095839E-2</c:v>
                </c:pt>
                <c:pt idx="7">
                  <c:v>2.746253553093958E-2</c:v>
                </c:pt>
                <c:pt idx="8">
                  <c:v>2.7481173989574725E-2</c:v>
                </c:pt>
                <c:pt idx="9">
                  <c:v>2.7499812091007936E-2</c:v>
                </c:pt>
                <c:pt idx="10">
                  <c:v>2.7518449835246317E-2</c:v>
                </c:pt>
                <c:pt idx="11">
                  <c:v>2.753708722229653E-2</c:v>
                </c:pt>
                <c:pt idx="12">
                  <c:v>2.7555724252165459E-2</c:v>
                </c:pt>
                <c:pt idx="13">
                  <c:v>2.7574360924859986E-2</c:v>
                </c:pt>
                <c:pt idx="14">
                  <c:v>2.7592997240386885E-2</c:v>
                </c:pt>
                <c:pt idx="15">
                  <c:v>2.7611633198753149E-2</c:v>
                </c:pt>
                <c:pt idx="16">
                  <c:v>2.7630268799965441E-2</c:v>
                </c:pt>
                <c:pt idx="17">
                  <c:v>2.7648904044030642E-2</c:v>
                </c:pt>
                <c:pt idx="18">
                  <c:v>2.7667538930955748E-2</c:v>
                </c:pt>
                <c:pt idx="19">
                  <c:v>2.7686173460747421E-2</c:v>
                </c:pt>
                <c:pt idx="20">
                  <c:v>2.7704807633412654E-2</c:v>
                </c:pt>
                <c:pt idx="21">
                  <c:v>2.7723441448958219E-2</c:v>
                </c:pt>
                <c:pt idx="22">
                  <c:v>2.774207490739089E-2</c:v>
                </c:pt>
                <c:pt idx="23">
                  <c:v>2.776070800871755E-2</c:v>
                </c:pt>
                <c:pt idx="24">
                  <c:v>2.7779340752945192E-2</c:v>
                </c:pt>
                <c:pt idx="25">
                  <c:v>2.7797973140080479E-2</c:v>
                </c:pt>
                <c:pt idx="26">
                  <c:v>2.7816605170130293E-2</c:v>
                </c:pt>
                <c:pt idx="27">
                  <c:v>2.7835236843101518E-2</c:v>
                </c:pt>
                <c:pt idx="28">
                  <c:v>2.7853868159001038E-2</c:v>
                </c:pt>
                <c:pt idx="29">
                  <c:v>2.7872499117835625E-2</c:v>
                </c:pt>
                <c:pt idx="30">
                  <c:v>2.7891129719612051E-2</c:v>
                </c:pt>
                <c:pt idx="31">
                  <c:v>2.7909759964337311E-2</c:v>
                </c:pt>
                <c:pt idx="32">
                  <c:v>2.7928389852018176E-2</c:v>
                </c:pt>
                <c:pt idx="33">
                  <c:v>2.7947019382661531E-2</c:v>
                </c:pt>
                <c:pt idx="34">
                  <c:v>2.7965648556274147E-2</c:v>
                </c:pt>
                <c:pt idx="35">
                  <c:v>2.7984277372862909E-2</c:v>
                </c:pt>
                <c:pt idx="36">
                  <c:v>2.8002905832434588E-2</c:v>
                </c:pt>
                <c:pt idx="37">
                  <c:v>2.8021533934996179E-2</c:v>
                </c:pt>
                <c:pt idx="38">
                  <c:v>2.8040161680554343E-2</c:v>
                </c:pt>
                <c:pt idx="39">
                  <c:v>2.8058789069116075E-2</c:v>
                </c:pt>
                <c:pt idx="40">
                  <c:v>2.8077416100688146E-2</c:v>
                </c:pt>
                <c:pt idx="41">
                  <c:v>2.8096042775277441E-2</c:v>
                </c:pt>
                <c:pt idx="42">
                  <c:v>2.8114669092890732E-2</c:v>
                </c:pt>
                <c:pt idx="43">
                  <c:v>2.813329505353479E-2</c:v>
                </c:pt>
                <c:pt idx="44">
                  <c:v>2.8151920657216722E-2</c:v>
                </c:pt>
                <c:pt idx="45">
                  <c:v>2.8170545903943189E-2</c:v>
                </c:pt>
                <c:pt idx="46">
                  <c:v>2.8189170793720963E-2</c:v>
                </c:pt>
                <c:pt idx="47">
                  <c:v>2.8207795326557039E-2</c:v>
                </c:pt>
                <c:pt idx="48">
                  <c:v>2.8226419502458189E-2</c:v>
                </c:pt>
                <c:pt idx="49">
                  <c:v>2.8245043321431185E-2</c:v>
                </c:pt>
                <c:pt idx="50">
                  <c:v>2.8263666783483021E-2</c:v>
                </c:pt>
                <c:pt idx="51">
                  <c:v>2.8282289888620471E-2</c:v>
                </c:pt>
                <c:pt idx="52">
                  <c:v>2.8300912636850306E-2</c:v>
                </c:pt>
                <c:pt idx="53">
                  <c:v>2.831953502817941E-2</c:v>
                </c:pt>
                <c:pt idx="54">
                  <c:v>2.8338157062614666E-2</c:v>
                </c:pt>
                <c:pt idx="55">
                  <c:v>2.8356778740162847E-2</c:v>
                </c:pt>
                <c:pt idx="56">
                  <c:v>2.8375400060830835E-2</c:v>
                </c:pt>
                <c:pt idx="57">
                  <c:v>2.8394021024625515E-2</c:v>
                </c:pt>
                <c:pt idx="58">
                  <c:v>2.8412641631553659E-2</c:v>
                </c:pt>
                <c:pt idx="59">
                  <c:v>2.8431261881622039E-2</c:v>
                </c:pt>
                <c:pt idx="60">
                  <c:v>2.8449881774837649E-2</c:v>
                </c:pt>
                <c:pt idx="61">
                  <c:v>2.8468501311207262E-2</c:v>
                </c:pt>
                <c:pt idx="62">
                  <c:v>2.848712049073765E-2</c:v>
                </c:pt>
                <c:pt idx="63">
                  <c:v>2.8505739313435807E-2</c:v>
                </c:pt>
                <c:pt idx="64">
                  <c:v>2.8524357779308396E-2</c:v>
                </c:pt>
                <c:pt idx="65">
                  <c:v>2.8542975888362299E-2</c:v>
                </c:pt>
                <c:pt idx="66">
                  <c:v>2.8561593640604399E-2</c:v>
                </c:pt>
                <c:pt idx="67">
                  <c:v>2.8580211036041581E-2</c:v>
                </c:pt>
                <c:pt idx="68">
                  <c:v>2.8598828074680616E-2</c:v>
                </c:pt>
                <c:pt idx="69">
                  <c:v>2.8617444756528387E-2</c:v>
                </c:pt>
                <c:pt idx="70">
                  <c:v>2.8636061081591668E-2</c:v>
                </c:pt>
                <c:pt idx="71">
                  <c:v>2.8654677049877231E-2</c:v>
                </c:pt>
                <c:pt idx="72">
                  <c:v>2.867329266139218E-2</c:v>
                </c:pt>
                <c:pt idx="73">
                  <c:v>2.8691907916143067E-2</c:v>
                </c:pt>
                <c:pt idx="74">
                  <c:v>2.8710522814136885E-2</c:v>
                </c:pt>
                <c:pt idx="75">
                  <c:v>2.8729137355380407E-2</c:v>
                </c:pt>
                <c:pt idx="76">
                  <c:v>2.8747751539880406E-2</c:v>
                </c:pt>
                <c:pt idx="77">
                  <c:v>2.8766365367643987E-2</c:v>
                </c:pt>
                <c:pt idx="78">
                  <c:v>2.8784978838677699E-2</c:v>
                </c:pt>
                <c:pt idx="79">
                  <c:v>2.8803591952988539E-2</c:v>
                </c:pt>
                <c:pt idx="80">
                  <c:v>2.8822204710583166E-2</c:v>
                </c:pt>
                <c:pt idx="81">
                  <c:v>2.8840817111468686E-2</c:v>
                </c:pt>
                <c:pt idx="82">
                  <c:v>2.8859429155651761E-2</c:v>
                </c:pt>
                <c:pt idx="83">
                  <c:v>2.8878040843139163E-2</c:v>
                </c:pt>
                <c:pt idx="84">
                  <c:v>2.8896652173937887E-2</c:v>
                </c:pt>
                <c:pt idx="85">
                  <c:v>2.8915263148054704E-2</c:v>
                </c:pt>
                <c:pt idx="86">
                  <c:v>2.8933873765496387E-2</c:v>
                </c:pt>
                <c:pt idx="87">
                  <c:v>2.8952484026269931E-2</c:v>
                </c:pt>
                <c:pt idx="88">
                  <c:v>2.8971093930381997E-2</c:v>
                </c:pt>
                <c:pt idx="89">
                  <c:v>2.8989703477839579E-2</c:v>
                </c:pt>
                <c:pt idx="90">
                  <c:v>2.9008312668649339E-2</c:v>
                </c:pt>
                <c:pt idx="91">
                  <c:v>2.902692150281827E-2</c:v>
                </c:pt>
                <c:pt idx="92">
                  <c:v>2.9045529980353146E-2</c:v>
                </c:pt>
                <c:pt idx="93">
                  <c:v>2.9064138101260739E-2</c:v>
                </c:pt>
                <c:pt idx="94">
                  <c:v>2.9082745865547932E-2</c:v>
                </c:pt>
                <c:pt idx="95">
                  <c:v>2.9101353273221608E-2</c:v>
                </c:pt>
                <c:pt idx="96">
                  <c:v>2.9119960324288541E-2</c:v>
                </c:pt>
                <c:pt idx="97">
                  <c:v>2.9138567018755612E-2</c:v>
                </c:pt>
                <c:pt idx="98">
                  <c:v>2.9157173356629595E-2</c:v>
                </c:pt>
                <c:pt idx="99">
                  <c:v>2.9175779337917374E-2</c:v>
                </c:pt>
                <c:pt idx="100">
                  <c:v>2.919438496262583E-2</c:v>
                </c:pt>
                <c:pt idx="101">
                  <c:v>2.9212990230761626E-2</c:v>
                </c:pt>
                <c:pt idx="102">
                  <c:v>2.9231595142331757E-2</c:v>
                </c:pt>
                <c:pt idx="103">
                  <c:v>2.9250199697342993E-2</c:v>
                </c:pt>
                <c:pt idx="104">
                  <c:v>2.9268803895802109E-2</c:v>
                </c:pt>
                <c:pt idx="105">
                  <c:v>2.9287407737716098E-2</c:v>
                </c:pt>
                <c:pt idx="106">
                  <c:v>2.9306011223091732E-2</c:v>
                </c:pt>
                <c:pt idx="107">
                  <c:v>2.9324614351935674E-2</c:v>
                </c:pt>
                <c:pt idx="108">
                  <c:v>2.9343217124255028E-2</c:v>
                </c:pt>
                <c:pt idx="109">
                  <c:v>2.9361819540056455E-2</c:v>
                </c:pt>
                <c:pt idx="110">
                  <c:v>2.938042159934684E-2</c:v>
                </c:pt>
                <c:pt idx="111">
                  <c:v>2.9399023302132954E-2</c:v>
                </c:pt>
                <c:pt idx="112">
                  <c:v>2.9417624648421681E-2</c:v>
                </c:pt>
                <c:pt idx="113">
                  <c:v>2.9436225638219904E-2</c:v>
                </c:pt>
                <c:pt idx="114">
                  <c:v>2.9454826271534285E-2</c:v>
                </c:pt>
                <c:pt idx="115">
                  <c:v>2.9473426548371928E-2</c:v>
                </c:pt>
                <c:pt idx="116">
                  <c:v>2.9492026468739385E-2</c:v>
                </c:pt>
                <c:pt idx="117">
                  <c:v>2.951062603264365E-2</c:v>
                </c:pt>
                <c:pt idx="118">
                  <c:v>2.9529225240091606E-2</c:v>
                </c:pt>
                <c:pt idx="119">
                  <c:v>2.9547824091089914E-2</c:v>
                </c:pt>
                <c:pt idx="120">
                  <c:v>2.9566422585645458E-2</c:v>
                </c:pt>
                <c:pt idx="121">
                  <c:v>2.9585020723765121E-2</c:v>
                </c:pt>
                <c:pt idx="122">
                  <c:v>2.9603618505455676E-2</c:v>
                </c:pt>
                <c:pt idx="123">
                  <c:v>2.9622215930724116E-2</c:v>
                </c:pt>
                <c:pt idx="124">
                  <c:v>2.9640812999576993E-2</c:v>
                </c:pt>
                <c:pt idx="125">
                  <c:v>2.9659409712021412E-2</c:v>
                </c:pt>
                <c:pt idx="126">
                  <c:v>2.9678006068063922E-2</c:v>
                </c:pt>
                <c:pt idx="127">
                  <c:v>2.969660206771163E-2</c:v>
                </c:pt>
                <c:pt idx="128">
                  <c:v>2.9715197710971197E-2</c:v>
                </c:pt>
                <c:pt idx="129">
                  <c:v>2.9733792997849617E-2</c:v>
                </c:pt>
                <c:pt idx="130">
                  <c:v>2.9752387928353441E-2</c:v>
                </c:pt>
                <c:pt idx="131">
                  <c:v>2.9770982502489773E-2</c:v>
                </c:pt>
                <c:pt idx="132">
                  <c:v>2.9789576720265276E-2</c:v>
                </c:pt>
                <c:pt idx="133">
                  <c:v>2.9808170581686944E-2</c:v>
                </c:pt>
                <c:pt idx="134">
                  <c:v>2.9826764086761326E-2</c:v>
                </c:pt>
                <c:pt idx="135">
                  <c:v>2.9845357235495529E-2</c:v>
                </c:pt>
                <c:pt idx="136">
                  <c:v>2.9863950027896324E-2</c:v>
                </c:pt>
                <c:pt idx="137">
                  <c:v>2.9882542463970485E-2</c:v>
                </c:pt>
                <c:pt idx="138">
                  <c:v>2.9901134543724783E-2</c:v>
                </c:pt>
                <c:pt idx="139">
                  <c:v>2.9919726267166102E-2</c:v>
                </c:pt>
                <c:pt idx="140">
                  <c:v>2.9938317634301326E-2</c:v>
                </c:pt>
                <c:pt idx="141">
                  <c:v>2.9956908645137226E-2</c:v>
                </c:pt>
                <c:pt idx="142">
                  <c:v>2.9975499299680686E-2</c:v>
                </c:pt>
                <c:pt idx="143">
                  <c:v>2.9994089597938367E-2</c:v>
                </c:pt>
                <c:pt idx="144">
                  <c:v>3.0012679539917375E-2</c:v>
                </c:pt>
                <c:pt idx="145">
                  <c:v>3.003126912562426E-2</c:v>
                </c:pt>
                <c:pt idx="146">
                  <c:v>3.0049858355066128E-2</c:v>
                </c:pt>
                <c:pt idx="147">
                  <c:v>3.0068447228249529E-2</c:v>
                </c:pt>
                <c:pt idx="148">
                  <c:v>3.0087035745181456E-2</c:v>
                </c:pt>
                <c:pt idx="149">
                  <c:v>3.0105623905868684E-2</c:v>
                </c:pt>
                <c:pt idx="150">
                  <c:v>3.0124211710318094E-2</c:v>
                </c:pt>
                <c:pt idx="151">
                  <c:v>3.014279915853646E-2</c:v>
                </c:pt>
                <c:pt idx="152">
                  <c:v>3.0161386250530553E-2</c:v>
                </c:pt>
                <c:pt idx="153">
                  <c:v>3.0179972986307368E-2</c:v>
                </c:pt>
                <c:pt idx="154">
                  <c:v>3.0198559365873567E-2</c:v>
                </c:pt>
                <c:pt idx="155">
                  <c:v>3.0217145389236033E-2</c:v>
                </c:pt>
                <c:pt idx="156">
                  <c:v>3.0235731056401649E-2</c:v>
                </c:pt>
                <c:pt idx="157">
                  <c:v>3.0254316367377188E-2</c:v>
                </c:pt>
                <c:pt idx="158">
                  <c:v>3.0272901322169421E-2</c:v>
                </c:pt>
                <c:pt idx="159">
                  <c:v>3.0291485920785233E-2</c:v>
                </c:pt>
                <c:pt idx="160">
                  <c:v>3.0310070163231506E-2</c:v>
                </c:pt>
                <c:pt idx="161">
                  <c:v>3.0328654049515014E-2</c:v>
                </c:pt>
                <c:pt idx="162">
                  <c:v>3.0347237579642639E-2</c:v>
                </c:pt>
                <c:pt idx="163">
                  <c:v>3.0365820753621042E-2</c:v>
                </c:pt>
                <c:pt idx="164">
                  <c:v>3.0384403571457219E-2</c:v>
                </c:pt>
                <c:pt idx="165">
                  <c:v>3.0402986033157831E-2</c:v>
                </c:pt>
                <c:pt idx="166">
                  <c:v>3.0421568138729871E-2</c:v>
                </c:pt>
                <c:pt idx="167">
                  <c:v>3.0440149888180112E-2</c:v>
                </c:pt>
                <c:pt idx="168">
                  <c:v>3.0458731281515439E-2</c:v>
                </c:pt>
                <c:pt idx="169">
                  <c:v>3.0477312318742511E-2</c:v>
                </c:pt>
                <c:pt idx="170">
                  <c:v>3.0495892999868213E-2</c:v>
                </c:pt>
                <c:pt idx="171">
                  <c:v>3.0514473324899427E-2</c:v>
                </c:pt>
                <c:pt idx="172">
                  <c:v>3.0533053293842927E-2</c:v>
                </c:pt>
                <c:pt idx="173">
                  <c:v>3.0551632906705706E-2</c:v>
                </c:pt>
                <c:pt idx="174">
                  <c:v>3.0570212163494315E-2</c:v>
                </c:pt>
                <c:pt idx="175">
                  <c:v>3.0588791064215637E-2</c:v>
                </c:pt>
                <c:pt idx="176">
                  <c:v>3.0607369608876667E-2</c:v>
                </c:pt>
                <c:pt idx="177">
                  <c:v>3.0625947797484177E-2</c:v>
                </c:pt>
                <c:pt idx="178">
                  <c:v>3.0644525630044828E-2</c:v>
                </c:pt>
                <c:pt idx="179">
                  <c:v>3.0663103106565615E-2</c:v>
                </c:pt>
                <c:pt idx="180">
                  <c:v>3.068168022705331E-2</c:v>
                </c:pt>
                <c:pt idx="181">
                  <c:v>3.0700256991514685E-2</c:v>
                </c:pt>
                <c:pt idx="182">
                  <c:v>3.0718833399956624E-2</c:v>
                </c:pt>
                <c:pt idx="183">
                  <c:v>3.0737409452386011E-2</c:v>
                </c:pt>
                <c:pt idx="184">
                  <c:v>3.0755985148809506E-2</c:v>
                </c:pt>
                <c:pt idx="185">
                  <c:v>3.0774560489233993E-2</c:v>
                </c:pt>
                <c:pt idx="186">
                  <c:v>3.0793135473666355E-2</c:v>
                </c:pt>
                <c:pt idx="187">
                  <c:v>3.0811710102113476E-2</c:v>
                </c:pt>
                <c:pt idx="188">
                  <c:v>3.0830284374581907E-2</c:v>
                </c:pt>
                <c:pt idx="189">
                  <c:v>3.0848858291078751E-2</c:v>
                </c:pt>
                <c:pt idx="190">
                  <c:v>3.0867431851610672E-2</c:v>
                </c:pt>
                <c:pt idx="191">
                  <c:v>3.0886005056184551E-2</c:v>
                </c:pt>
                <c:pt idx="192">
                  <c:v>3.0904577904807273E-2</c:v>
                </c:pt>
                <c:pt idx="193">
                  <c:v>3.0923150397485499E-2</c:v>
                </c:pt>
                <c:pt idx="194">
                  <c:v>3.0941722534226224E-2</c:v>
                </c:pt>
                <c:pt idx="195">
                  <c:v>3.0960294315036108E-2</c:v>
                </c:pt>
                <c:pt idx="196">
                  <c:v>3.0978865739922035E-2</c:v>
                </c:pt>
                <c:pt idx="197">
                  <c:v>3.0997436808890888E-2</c:v>
                </c:pt>
                <c:pt idx="198">
                  <c:v>3.101600752194944E-2</c:v>
                </c:pt>
                <c:pt idx="199">
                  <c:v>3.1034577879104575E-2</c:v>
                </c:pt>
                <c:pt idx="200">
                  <c:v>3.1053147880362952E-2</c:v>
                </c:pt>
                <c:pt idx="201">
                  <c:v>3.1071717525731568E-2</c:v>
                </c:pt>
                <c:pt idx="202">
                  <c:v>3.1090286815217083E-2</c:v>
                </c:pt>
                <c:pt idx="203">
                  <c:v>3.1108855748826381E-2</c:v>
                </c:pt>
                <c:pt idx="204">
                  <c:v>3.1127424326566455E-2</c:v>
                </c:pt>
                <c:pt idx="205">
                  <c:v>3.1145992548443857E-2</c:v>
                </c:pt>
                <c:pt idx="206">
                  <c:v>3.1164560414465581E-2</c:v>
                </c:pt>
                <c:pt idx="207">
                  <c:v>3.1183127924638288E-2</c:v>
                </c:pt>
                <c:pt idx="208">
                  <c:v>3.1201695078968972E-2</c:v>
                </c:pt>
                <c:pt idx="209">
                  <c:v>3.1220261877464406E-2</c:v>
                </c:pt>
                <c:pt idx="210">
                  <c:v>3.1238828320131362E-2</c:v>
                </c:pt>
                <c:pt idx="211">
                  <c:v>3.1257394406976613E-2</c:v>
                </c:pt>
                <c:pt idx="212">
                  <c:v>3.1275960138007153E-2</c:v>
                </c:pt>
                <c:pt idx="213">
                  <c:v>3.1294525513229643E-2</c:v>
                </c:pt>
                <c:pt idx="214">
                  <c:v>3.1313090532650856E-2</c:v>
                </c:pt>
                <c:pt idx="215">
                  <c:v>3.1331655196277897E-2</c:v>
                </c:pt>
                <c:pt idx="216">
                  <c:v>3.1350219504117205E-2</c:v>
                </c:pt>
                <c:pt idx="217">
                  <c:v>3.1368783456175886E-2</c:v>
                </c:pt>
                <c:pt idx="218">
                  <c:v>3.1387347052460712E-2</c:v>
                </c:pt>
                <c:pt idx="219">
                  <c:v>3.1405910292978345E-2</c:v>
                </c:pt>
                <c:pt idx="220">
                  <c:v>3.1424473177735779E-2</c:v>
                </c:pt>
                <c:pt idx="221">
                  <c:v>3.1443035706739786E-2</c:v>
                </c:pt>
                <c:pt idx="222">
                  <c:v>3.1461597879997028E-2</c:v>
                </c:pt>
                <c:pt idx="223">
                  <c:v>3.1480159697514609E-2</c:v>
                </c:pt>
                <c:pt idx="224">
                  <c:v>3.1498721159299081E-2</c:v>
                </c:pt>
                <c:pt idx="225">
                  <c:v>3.1517282265357438E-2</c:v>
                </c:pt>
                <c:pt idx="226">
                  <c:v>3.1535843015696452E-2</c:v>
                </c:pt>
                <c:pt idx="227">
                  <c:v>3.1554403410322784E-2</c:v>
                </c:pt>
                <c:pt idx="228">
                  <c:v>3.1572963449243541E-2</c:v>
                </c:pt>
                <c:pt idx="229">
                  <c:v>3.1591523132465271E-2</c:v>
                </c:pt>
                <c:pt idx="230">
                  <c:v>3.161008245999497E-2</c:v>
                </c:pt>
                <c:pt idx="231">
                  <c:v>3.162864143183941E-2</c:v>
                </c:pt>
                <c:pt idx="232">
                  <c:v>3.1647200048005364E-2</c:v>
                </c:pt>
                <c:pt idx="233">
                  <c:v>3.1665758308499714E-2</c:v>
                </c:pt>
                <c:pt idx="234">
                  <c:v>3.1684316213329122E-2</c:v>
                </c:pt>
                <c:pt idx="235">
                  <c:v>3.1702873762500583E-2</c:v>
                </c:pt>
                <c:pt idx="236">
                  <c:v>3.1721430956020868E-2</c:v>
                </c:pt>
                <c:pt idx="237">
                  <c:v>3.1739987793896751E-2</c:v>
                </c:pt>
                <c:pt idx="238">
                  <c:v>3.1758544276135114E-2</c:v>
                </c:pt>
                <c:pt idx="239">
                  <c:v>3.177710040274262E-2</c:v>
                </c:pt>
                <c:pt idx="240">
                  <c:v>3.1795656173726261E-2</c:v>
                </c:pt>
                <c:pt idx="241">
                  <c:v>3.1814211589092811E-2</c:v>
                </c:pt>
                <c:pt idx="242">
                  <c:v>3.1832766648849042E-2</c:v>
                </c:pt>
                <c:pt idx="243">
                  <c:v>3.1851321353001727E-2</c:v>
                </c:pt>
                <c:pt idx="244">
                  <c:v>3.1869875701557859E-2</c:v>
                </c:pt>
                <c:pt idx="245">
                  <c:v>3.188842969452399E-2</c:v>
                </c:pt>
                <c:pt idx="246">
                  <c:v>3.1906983331907224E-2</c:v>
                </c:pt>
                <c:pt idx="247">
                  <c:v>3.1925536613714112E-2</c:v>
                </c:pt>
                <c:pt idx="248">
                  <c:v>3.1944089539951648E-2</c:v>
                </c:pt>
                <c:pt idx="249">
                  <c:v>3.1962642110626605E-2</c:v>
                </c:pt>
                <c:pt idx="250">
                  <c:v>3.1981194325745754E-2</c:v>
                </c:pt>
                <c:pt idx="251">
                  <c:v>3.1999746185315869E-2</c:v>
                </c:pt>
                <c:pt idx="252">
                  <c:v>3.2018297689343944E-2</c:v>
                </c:pt>
                <c:pt idx="253">
                  <c:v>3.2036848837836529E-2</c:v>
                </c:pt>
                <c:pt idx="254">
                  <c:v>3.2055399630800729E-2</c:v>
                </c:pt>
                <c:pt idx="255">
                  <c:v>3.2073950068243096E-2</c:v>
                </c:pt>
                <c:pt idx="256">
                  <c:v>3.2092500150170622E-2</c:v>
                </c:pt>
                <c:pt idx="257">
                  <c:v>3.2111049876590081E-2</c:v>
                </c:pt>
                <c:pt idx="258">
                  <c:v>3.2129599247508245E-2</c:v>
                </c:pt>
                <c:pt idx="259">
                  <c:v>3.2148148262931997E-2</c:v>
                </c:pt>
                <c:pt idx="260">
                  <c:v>3.2166696922867999E-2</c:v>
                </c:pt>
                <c:pt idx="261">
                  <c:v>3.2185245227323245E-2</c:v>
                </c:pt>
                <c:pt idx="262">
                  <c:v>3.2203793176304396E-2</c:v>
                </c:pt>
                <c:pt idx="263">
                  <c:v>3.2222340769818447E-2</c:v>
                </c:pt>
                <c:pt idx="264">
                  <c:v>3.2240888007871948E-2</c:v>
                </c:pt>
                <c:pt idx="265">
                  <c:v>3.2259434890472005E-2</c:v>
                </c:pt>
                <c:pt idx="266">
                  <c:v>3.2277981417625168E-2</c:v>
                </c:pt>
                <c:pt idx="267">
                  <c:v>3.2296527589338431E-2</c:v>
                </c:pt>
                <c:pt idx="268">
                  <c:v>3.2315073405618566E-2</c:v>
                </c:pt>
                <c:pt idx="269">
                  <c:v>3.2333618866472347E-2</c:v>
                </c:pt>
                <c:pt idx="270">
                  <c:v>3.2352163971906545E-2</c:v>
                </c:pt>
                <c:pt idx="271">
                  <c:v>3.2370708721928154E-2</c:v>
                </c:pt>
                <c:pt idx="272">
                  <c:v>3.2389253116543726E-2</c:v>
                </c:pt>
                <c:pt idx="273">
                  <c:v>3.2407797155760254E-2</c:v>
                </c:pt>
                <c:pt idx="274">
                  <c:v>3.2426340839584511E-2</c:v>
                </c:pt>
                <c:pt idx="275">
                  <c:v>3.2444884168023269E-2</c:v>
                </c:pt>
                <c:pt idx="276">
                  <c:v>3.2463427141083412E-2</c:v>
                </c:pt>
                <c:pt idx="277">
                  <c:v>3.2481969758771712E-2</c:v>
                </c:pt>
                <c:pt idx="278">
                  <c:v>3.2500512021094941E-2</c:v>
                </c:pt>
                <c:pt idx="279">
                  <c:v>3.2519053928059982E-2</c:v>
                </c:pt>
                <c:pt idx="280">
                  <c:v>3.2537595479673609E-2</c:v>
                </c:pt>
                <c:pt idx="281">
                  <c:v>3.2556136675942593E-2</c:v>
                </c:pt>
                <c:pt idx="282">
                  <c:v>3.2574677516873707E-2</c:v>
                </c:pt>
                <c:pt idx="283">
                  <c:v>3.2593218002473945E-2</c:v>
                </c:pt>
                <c:pt idx="284">
                  <c:v>3.2611758132749968E-2</c:v>
                </c:pt>
                <c:pt idx="285">
                  <c:v>3.2630297907708661E-2</c:v>
                </c:pt>
                <c:pt idx="286">
                  <c:v>3.2648837327356794E-2</c:v>
                </c:pt>
                <c:pt idx="287">
                  <c:v>3.2667376391701142E-2</c:v>
                </c:pt>
                <c:pt idx="288">
                  <c:v>3.2685915100748475E-2</c:v>
                </c:pt>
                <c:pt idx="289">
                  <c:v>3.2704453454505789E-2</c:v>
                </c:pt>
                <c:pt idx="290">
                  <c:v>3.2722991452979744E-2</c:v>
                </c:pt>
                <c:pt idx="291">
                  <c:v>3.2741529096177224E-2</c:v>
                </c:pt>
                <c:pt idx="292">
                  <c:v>3.2760066384105002E-2</c:v>
                </c:pt>
                <c:pt idx="293">
                  <c:v>3.277860331676985E-2</c:v>
                </c:pt>
                <c:pt idx="294">
                  <c:v>3.2797139894178651E-2</c:v>
                </c:pt>
                <c:pt idx="295">
                  <c:v>3.2815676116338066E-2</c:v>
                </c:pt>
                <c:pt idx="296">
                  <c:v>3.283421198325509E-2</c:v>
                </c:pt>
                <c:pt idx="297">
                  <c:v>3.2852747494936496E-2</c:v>
                </c:pt>
                <c:pt idx="298">
                  <c:v>3.2871282651389055E-2</c:v>
                </c:pt>
                <c:pt idx="299">
                  <c:v>3.2889817452619541E-2</c:v>
                </c:pt>
                <c:pt idx="300">
                  <c:v>3.2908351898634725E-2</c:v>
                </c:pt>
                <c:pt idx="301">
                  <c:v>3.292688598944149E-2</c:v>
                </c:pt>
                <c:pt idx="302">
                  <c:v>3.2945419725046721E-2</c:v>
                </c:pt>
                <c:pt idx="303">
                  <c:v>3.2963953105457078E-2</c:v>
                </c:pt>
                <c:pt idx="304">
                  <c:v>3.2982486130679445E-2</c:v>
                </c:pt>
                <c:pt idx="305">
                  <c:v>3.3001018800720594E-2</c:v>
                </c:pt>
                <c:pt idx="306">
                  <c:v>3.3019551115587298E-2</c:v>
                </c:pt>
                <c:pt idx="307">
                  <c:v>3.3038083075286551E-2</c:v>
                </c:pt>
                <c:pt idx="308">
                  <c:v>3.3056614679824903E-2</c:v>
                </c:pt>
                <c:pt idx="309">
                  <c:v>3.3075145929209349E-2</c:v>
                </c:pt>
                <c:pt idx="310">
                  <c:v>3.3093676823446661E-2</c:v>
                </c:pt>
                <c:pt idx="311">
                  <c:v>3.31122073625435E-2</c:v>
                </c:pt>
                <c:pt idx="312">
                  <c:v>3.3130737546506861E-2</c:v>
                </c:pt>
                <c:pt idx="313">
                  <c:v>3.3149267375343405E-2</c:v>
                </c:pt>
                <c:pt idx="314">
                  <c:v>3.3167796849060127E-2</c:v>
                </c:pt>
                <c:pt idx="315">
                  <c:v>3.3186325967663577E-2</c:v>
                </c:pt>
                <c:pt idx="316">
                  <c:v>3.3204854731160749E-2</c:v>
                </c:pt>
                <c:pt idx="317">
                  <c:v>3.3223383139558416E-2</c:v>
                </c:pt>
                <c:pt idx="318">
                  <c:v>3.3241911192863349E-2</c:v>
                </c:pt>
                <c:pt idx="319">
                  <c:v>3.3260438891082433E-2</c:v>
                </c:pt>
                <c:pt idx="320">
                  <c:v>3.3278966234222329E-2</c:v>
                </c:pt>
                <c:pt idx="321">
                  <c:v>3.329749322228992E-2</c:v>
                </c:pt>
                <c:pt idx="322">
                  <c:v>3.3316019855292089E-2</c:v>
                </c:pt>
                <c:pt idx="323">
                  <c:v>3.3334546133235499E-2</c:v>
                </c:pt>
                <c:pt idx="324">
                  <c:v>3.3353072056127031E-2</c:v>
                </c:pt>
                <c:pt idx="325">
                  <c:v>3.3371597623973459E-2</c:v>
                </c:pt>
                <c:pt idx="326">
                  <c:v>3.3390122836781555E-2</c:v>
                </c:pt>
                <c:pt idx="327">
                  <c:v>3.3408647694558313E-2</c:v>
                </c:pt>
                <c:pt idx="328">
                  <c:v>3.3427172197310284E-2</c:v>
                </c:pt>
                <c:pt idx="329">
                  <c:v>3.3445696345044462E-2</c:v>
                </c:pt>
                <c:pt idx="330">
                  <c:v>3.3464220137767509E-2</c:v>
                </c:pt>
                <c:pt idx="331">
                  <c:v>3.3482743575486307E-2</c:v>
                </c:pt>
                <c:pt idx="332">
                  <c:v>3.3501266658207629E-2</c:v>
                </c:pt>
                <c:pt idx="333">
                  <c:v>3.3519789385938359E-2</c:v>
                </c:pt>
                <c:pt idx="334">
                  <c:v>3.3538311758685269E-2</c:v>
                </c:pt>
                <c:pt idx="335">
                  <c:v>3.355683377645502E-2</c:v>
                </c:pt>
                <c:pt idx="336">
                  <c:v>3.3575355439254606E-2</c:v>
                </c:pt>
                <c:pt idx="337">
                  <c:v>3.359387674709069E-2</c:v>
                </c:pt>
                <c:pt idx="338">
                  <c:v>3.3612397699970153E-2</c:v>
                </c:pt>
                <c:pt idx="339">
                  <c:v>3.363091829789977E-2</c:v>
                </c:pt>
                <c:pt idx="340">
                  <c:v>3.3649438540886423E-2</c:v>
                </c:pt>
                <c:pt idx="341">
                  <c:v>3.3667958428936773E-2</c:v>
                </c:pt>
                <c:pt idx="342">
                  <c:v>3.3686477962057704E-2</c:v>
                </c:pt>
                <c:pt idx="343">
                  <c:v>3.3704997140256099E-2</c:v>
                </c:pt>
                <c:pt idx="344">
                  <c:v>3.3723515963538508E-2</c:v>
                </c:pt>
                <c:pt idx="345">
                  <c:v>3.3742034431912038E-2</c:v>
                </c:pt>
                <c:pt idx="346">
                  <c:v>3.3760552545383238E-2</c:v>
                </c:pt>
                <c:pt idx="347">
                  <c:v>3.3779070303959102E-2</c:v>
                </c:pt>
                <c:pt idx="348">
                  <c:v>3.3797587707646293E-2</c:v>
                </c:pt>
                <c:pt idx="349">
                  <c:v>3.3816104756451693E-2</c:v>
                </c:pt>
                <c:pt idx="350">
                  <c:v>3.3834621450382074E-2</c:v>
                </c:pt>
                <c:pt idx="351">
                  <c:v>3.385313778944421E-2</c:v>
                </c:pt>
                <c:pt idx="352">
                  <c:v>3.3871653773644983E-2</c:v>
                </c:pt>
                <c:pt idx="353">
                  <c:v>3.3890169402991055E-2</c:v>
                </c:pt>
                <c:pt idx="354">
                  <c:v>3.390868467748942E-2</c:v>
                </c:pt>
                <c:pt idx="355">
                  <c:v>3.392719959714674E-2</c:v>
                </c:pt>
                <c:pt idx="356">
                  <c:v>3.3945714161969787E-2</c:v>
                </c:pt>
                <c:pt idx="357">
                  <c:v>3.3964228371965555E-2</c:v>
                </c:pt>
                <c:pt idx="358">
                  <c:v>3.3982742227140594E-2</c:v>
                </c:pt>
                <c:pt idx="359">
                  <c:v>3.4001255727501789E-2</c:v>
                </c:pt>
                <c:pt idx="360">
                  <c:v>3.4019768873056133E-2</c:v>
                </c:pt>
                <c:pt idx="361">
                  <c:v>3.4038281663810177E-2</c:v>
                </c:pt>
                <c:pt idx="362">
                  <c:v>3.4056794099770804E-2</c:v>
                </c:pt>
                <c:pt idx="363">
                  <c:v>3.4075306180944787E-2</c:v>
                </c:pt>
                <c:pt idx="364">
                  <c:v>3.4093817907339008E-2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2.8473124010301942E-2</c:v>
                </c:pt>
                <c:pt idx="1">
                  <c:v>2.8542581859070978E-2</c:v>
                </c:pt>
                <c:pt idx="2">
                  <c:v>2.8612001801465777E-2</c:v>
                </c:pt>
                <c:pt idx="3">
                  <c:v>2.8681377744516966E-2</c:v>
                </c:pt>
                <c:pt idx="4">
                  <c:v>2.875070439588915E-2</c:v>
                </c:pt>
                <c:pt idx="5">
                  <c:v>2.8819977246507686E-2</c:v>
                </c:pt>
                <c:pt idx="6">
                  <c:v>2.8889192546374388E-2</c:v>
                </c:pt>
                <c:pt idx="7">
                  <c:v>2.8958347274020135E-2</c:v>
                </c:pt>
                <c:pt idx="8">
                  <c:v>2.9027439100094331E-2</c:v>
                </c:pt>
                <c:pt idx="9">
                  <c:v>2.9096466345638356E-2</c:v>
                </c:pt>
                <c:pt idx="10">
                  <c:v>2.9165427935630723E-2</c:v>
                </c:pt>
                <c:pt idx="11">
                  <c:v>2.923432334842626E-2</c:v>
                </c:pt>
                <c:pt idx="12">
                  <c:v>2.9303152561739609E-2</c:v>
                </c:pt>
                <c:pt idx="13">
                  <c:v>2.9371915995844364E-2</c:v>
                </c:pt>
                <c:pt idx="14">
                  <c:v>2.9440614454673417E-2</c:v>
                </c:pt>
                <c:pt idx="15">
                  <c:v>2.9509249065513433E-2</c:v>
                </c:pt>
                <c:pt idx="16">
                  <c:v>2.9577821217986341E-2</c:v>
                </c:pt>
                <c:pt idx="17">
                  <c:v>2.9646332503004372E-2</c:v>
                </c:pt>
                <c:pt idx="18">
                  <c:v>2.9714784652371779E-2</c:v>
                </c:pt>
                <c:pt idx="19">
                  <c:v>2.9783179479686353E-2</c:v>
                </c:pt>
                <c:pt idx="20">
                  <c:v>2.9851518823167889E-2</c:v>
                </c:pt>
                <c:pt idx="21">
                  <c:v>2.9919804491008676E-2</c:v>
                </c:pt>
                <c:pt idx="22">
                  <c:v>2.9988038209803725E-2</c:v>
                </c:pt>
                <c:pt idx="23">
                  <c:v>3.0056221576575885E-2</c:v>
                </c:pt>
                <c:pt idx="24">
                  <c:v>3.0124356014863862E-2</c:v>
                </c:pt>
                <c:pt idx="25">
                  <c:v>3.019244273529037E-2</c:v>
                </c:pt>
                <c:pt idx="26">
                  <c:v>3.0260482700973052E-2</c:v>
                </c:pt>
                <c:pt idx="27">
                  <c:v>3.0328476598083492E-2</c:v>
                </c:pt>
                <c:pt idx="28">
                  <c:v>3.0396424811800504E-2</c:v>
                </c:pt>
                <c:pt idx="29">
                  <c:v>3.0464327407842669E-2</c:v>
                </c:pt>
                <c:pt idx="30">
                  <c:v>3.0532184119703324E-2</c:v>
                </c:pt>
                <c:pt idx="31">
                  <c:v>3.0599994341649304E-2</c:v>
                </c:pt>
                <c:pt idx="32">
                  <c:v>3.0667757127482789E-2</c:v>
                </c:pt>
                <c:pt idx="33">
                  <c:v>3.0735471195005366E-2</c:v>
                </c:pt>
                <c:pt idx="34">
                  <c:v>3.0803134936064198E-2</c:v>
                </c:pt>
                <c:pt idx="35">
                  <c:v>3.0870746432003649E-2</c:v>
                </c:pt>
                <c:pt idx="36">
                  <c:v>3.0938303474291998E-2</c:v>
                </c:pt>
                <c:pt idx="37">
                  <c:v>3.1005803590042107E-2</c:v>
                </c:pt>
                <c:pt idx="38">
                  <c:v>3.1073244072098376E-2</c:v>
                </c:pt>
                <c:pt idx="39">
                  <c:v>3.1140622013319994E-2</c:v>
                </c:pt>
                <c:pt idx="40">
                  <c:v>3.1207934344652462E-2</c:v>
                </c:pt>
                <c:pt idx="41">
                  <c:v>3.1275177876546635E-2</c:v>
                </c:pt>
                <c:pt idx="42">
                  <c:v>3.1342349343257032E-2</c:v>
                </c:pt>
                <c:pt idx="43">
                  <c:v>3.140944544952879E-2</c:v>
                </c:pt>
                <c:pt idx="44">
                  <c:v>3.1476462919166059E-2</c:v>
                </c:pt>
                <c:pt idx="45">
                  <c:v>3.1543398544963915E-2</c:v>
                </c:pt>
                <c:pt idx="46">
                  <c:v>3.1610249239480262E-2</c:v>
                </c:pt>
                <c:pt idx="47">
                  <c:v>3.167701208612473E-2</c:v>
                </c:pt>
                <c:pt idx="48">
                  <c:v>3.1743684390047516E-2</c:v>
                </c:pt>
                <c:pt idx="49">
                  <c:v>3.1810263728322324E-2</c:v>
                </c:pt>
                <c:pt idx="50">
                  <c:v>3.1876747998933676E-2</c:v>
                </c:pt>
                <c:pt idx="51">
                  <c:v>3.1943135468100695E-2</c:v>
                </c:pt>
                <c:pt idx="52">
                  <c:v>3.2009424815494514E-2</c:v>
                </c:pt>
                <c:pt idx="53">
                  <c:v>3.2075615176937008E-2</c:v>
                </c:pt>
                <c:pt idx="54">
                  <c:v>3.2141706184201799E-2</c:v>
                </c:pt>
                <c:pt idx="55">
                  <c:v>3.2207698001575705E-2</c:v>
                </c:pt>
                <c:pt idx="56">
                  <c:v>3.2273591358878376E-2</c:v>
                </c:pt>
                <c:pt idx="57">
                  <c:v>3.2339387580680008E-2</c:v>
                </c:pt>
                <c:pt idx="58">
                  <c:v>3.2405088611500883E-2</c:v>
                </c:pt>
                <c:pt idx="59">
                  <c:v>3.2470697036821462E-2</c:v>
                </c:pt>
                <c:pt idx="60">
                  <c:v>3.2536216099777554E-2</c:v>
                </c:pt>
                <c:pt idx="61">
                  <c:v>3.2601649713460919E-2</c:v>
                </c:pt>
                <c:pt idx="62">
                  <c:v>3.2667002468791277E-2</c:v>
                </c:pt>
                <c:pt idx="63">
                  <c:v>3.2732279637970089E-2</c:v>
                </c:pt>
                <c:pt idx="64">
                  <c:v>3.2797487173569694E-2</c:v>
                </c:pt>
                <c:pt idx="65">
                  <c:v>3.2862631703352629E-2</c:v>
                </c:pt>
                <c:pt idx="66">
                  <c:v>3.2927720520954815E-2</c:v>
                </c:pt>
                <c:pt idx="67">
                  <c:v>3.2992761572602211E-2</c:v>
                </c:pt>
                <c:pt idx="68">
                  <c:v>3.3057763440063698E-2</c:v>
                </c:pt>
                <c:pt idx="69">
                  <c:v>3.3122735320072177E-2</c:v>
                </c:pt>
                <c:pt idx="70">
                  <c:v>3.3187687000471547E-2</c:v>
                </c:pt>
                <c:pt idx="71">
                  <c:v>3.3252628833368991E-2</c:v>
                </c:pt>
                <c:pt idx="72">
                  <c:v>3.3317571705589182E-2</c:v>
                </c:pt>
                <c:pt idx="73">
                  <c:v>3.3382527006740347E-2</c:v>
                </c:pt>
                <c:pt idx="74">
                  <c:v>3.3447506595210875E-2</c:v>
                </c:pt>
                <c:pt idx="75">
                  <c:v>3.3512522762419034E-2</c:v>
                </c:pt>
                <c:pt idx="76">
                  <c:v>3.3577588195639184E-2</c:v>
                </c:pt>
                <c:pt idx="77">
                  <c:v>3.3642715939722477E-2</c:v>
                </c:pt>
                <c:pt idx="78">
                  <c:v>3.3707919358022483E-2</c:v>
                </c:pt>
                <c:pt idx="79">
                  <c:v>3.377321209282344E-2</c:v>
                </c:pt>
                <c:pt idx="80">
                  <c:v>3.3838608025552872E-2</c:v>
                </c:pt>
                <c:pt idx="81">
                  <c:v>3.3904121237040862E-2</c:v>
                </c:pt>
                <c:pt idx="82">
                  <c:v>3.396976596806614E-2</c:v>
                </c:pt>
                <c:pt idx="83">
                  <c:v>3.4035556580403942E-2</c:v>
                </c:pt>
                <c:pt idx="84">
                  <c:v>3.4101507518563001E-2</c:v>
                </c:pt>
                <c:pt idx="85">
                  <c:v>3.4167633272370684E-2</c:v>
                </c:pt>
                <c:pt idx="86">
                  <c:v>3.4233948340534018E-2</c:v>
                </c:pt>
                <c:pt idx="87">
                  <c:v>3.4300467195273562E-2</c:v>
                </c:pt>
                <c:pt idx="88">
                  <c:v>3.4367204248095126E-2</c:v>
                </c:pt>
                <c:pt idx="89">
                  <c:v>3.4434173816732722E-2</c:v>
                </c:pt>
                <c:pt idx="90">
                  <c:v>3.4501390093265201E-2</c:v>
                </c:pt>
                <c:pt idx="91">
                  <c:v>3.4568867113378546E-2</c:v>
                </c:pt>
                <c:pt idx="92">
                  <c:v>3.4636618726718006E-2</c:v>
                </c:pt>
                <c:pt idx="93">
                  <c:v>3.4704658568246678E-2</c:v>
                </c:pt>
                <c:pt idx="94">
                  <c:v>3.4773000030503938E-2</c:v>
                </c:pt>
                <c:pt idx="95">
                  <c:v>3.4841656236634475E-2</c:v>
                </c:pt>
                <c:pt idx="96">
                  <c:v>3.4910640014041337E-2</c:v>
                </c:pt>
                <c:pt idx="97">
                  <c:v>3.4979963868500261E-2</c:v>
                </c:pt>
                <c:pt idx="98">
                  <c:v>3.5049639958561737E-2</c:v>
                </c:pt>
                <c:pt idx="99">
                  <c:v>3.511968007005957E-2</c:v>
                </c:pt>
                <c:pt idx="100">
                  <c:v>3.5190095590540531E-2</c:v>
                </c:pt>
                <c:pt idx="101">
                  <c:v>3.5260897483430746E-2</c:v>
                </c:pt>
                <c:pt idx="102">
                  <c:v>3.5332096261758664E-2</c:v>
                </c:pt>
                <c:pt idx="103">
                  <c:v>3.5403701961263294E-2</c:v>
                </c:pt>
                <c:pt idx="104">
                  <c:v>3.5475724112729035E-2</c:v>
                </c:pt>
                <c:pt idx="105">
                  <c:v>3.5548171713405144E-2</c:v>
                </c:pt>
                <c:pt idx="106">
                  <c:v>3.5621053197388584E-2</c:v>
                </c:pt>
                <c:pt idx="107">
                  <c:v>3.5694376404872545E-2</c:v>
                </c:pt>
                <c:pt idx="108">
                  <c:v>3.5768148550190525E-2</c:v>
                </c:pt>
                <c:pt idx="109">
                  <c:v>3.5842376188615896E-2</c:v>
                </c:pt>
                <c:pt idx="110">
                  <c:v>3.5917065181909361E-2</c:v>
                </c:pt>
                <c:pt idx="111">
                  <c:v>3.5992220662642058E-2</c:v>
                </c:pt>
                <c:pt idx="112">
                  <c:v>3.6067846997357829E-2</c:v>
                </c:pt>
                <c:pt idx="113">
                  <c:v>3.6143947748676582E-2</c:v>
                </c:pt>
                <c:pt idx="114">
                  <c:v>3.622052563647854E-2</c:v>
                </c:pt>
                <c:pt idx="115">
                  <c:v>3.6297582498347969E-2</c:v>
                </c:pt>
                <c:pt idx="116">
                  <c:v>3.6375119249493083E-2</c:v>
                </c:pt>
                <c:pt idx="117">
                  <c:v>3.6453135842396206E-2</c:v>
                </c:pt>
                <c:pt idx="118">
                  <c:v>3.6531631226483834E-2</c:v>
                </c:pt>
                <c:pt idx="119">
                  <c:v>8.0885102312609237E-3</c:v>
                </c:pt>
                <c:pt idx="120">
                  <c:v>8.1986190382898338E-3</c:v>
                </c:pt>
                <c:pt idx="121">
                  <c:v>8.3088385119195127E-3</c:v>
                </c:pt>
                <c:pt idx="122">
                  <c:v>8.419171030458578E-3</c:v>
                </c:pt>
                <c:pt idx="123">
                  <c:v>8.529618611551569E-3</c:v>
                </c:pt>
                <c:pt idx="124">
                  <c:v>8.6401828907491391E-3</c:v>
                </c:pt>
                <c:pt idx="125">
                  <c:v>8.7508651004386401E-3</c:v>
                </c:pt>
                <c:pt idx="126">
                  <c:v>8.8616660492990603E-3</c:v>
                </c:pt>
                <c:pt idx="127">
                  <c:v>8.9725861024525094E-3</c:v>
                </c:pt>
                <c:pt idx="128">
                  <c:v>9.083625162491794E-3</c:v>
                </c:pt>
                <c:pt idx="129">
                  <c:v>9.1947826515691618E-3</c:v>
                </c:pt>
                <c:pt idx="130">
                  <c:v>9.306057494735169E-3</c:v>
                </c:pt>
                <c:pt idx="131">
                  <c:v>9.4174481047183747E-3</c:v>
                </c:pt>
                <c:pt idx="132">
                  <c:v>9.528952368336896E-3</c:v>
                </c:pt>
                <c:pt idx="133">
                  <c:v>9.6405676347301565E-3</c:v>
                </c:pt>
                <c:pt idx="134">
                  <c:v>9.7522907055955441E-3</c:v>
                </c:pt>
                <c:pt idx="135">
                  <c:v>9.8641178276075072E-3</c:v>
                </c:pt>
                <c:pt idx="136">
                  <c:v>9.9760446871884345E-3</c:v>
                </c:pt>
                <c:pt idx="137">
                  <c:v>1.0088066407789517E-2</c:v>
                </c:pt>
                <c:pt idx="138">
                  <c:v>1.0200177549826755E-2</c:v>
                </c:pt>
                <c:pt idx="139">
                  <c:v>1.0312372113401887E-2</c:v>
                </c:pt>
                <c:pt idx="140">
                  <c:v>1.0424643543921273E-2</c:v>
                </c:pt>
                <c:pt idx="141">
                  <c:v>1.0536984740706029E-2</c:v>
                </c:pt>
                <c:pt idx="142">
                  <c:v>1.0649388068666246E-2</c:v>
                </c:pt>
                <c:pt idx="143">
                  <c:v>1.0761845373089499E-2</c:v>
                </c:pt>
                <c:pt idx="144">
                  <c:v>1.087434799756995E-2</c:v>
                </c:pt>
                <c:pt idx="145">
                  <c:v>1.0986886805079242E-2</c:v>
                </c:pt>
                <c:pt idx="146">
                  <c:v>1.1099452202154353E-2</c:v>
                </c:pt>
                <c:pt idx="147">
                  <c:v>1.1212034166150752E-2</c:v>
                </c:pt>
                <c:pt idx="148">
                  <c:v>1.1324622275482048E-2</c:v>
                </c:pt>
                <c:pt idx="149">
                  <c:v>1.1437205742739752E-2</c:v>
                </c:pt>
                <c:pt idx="150">
                  <c:v>1.154977345055969E-2</c:v>
                </c:pt>
                <c:pt idx="151">
                  <c:v>1.1662313990074362E-2</c:v>
                </c:pt>
                <c:pt idx="152">
                  <c:v>1.1774815701764644E-2</c:v>
                </c:pt>
                <c:pt idx="153">
                  <c:v>1.1887266718498582E-2</c:v>
                </c:pt>
                <c:pt idx="154">
                  <c:v>1.1999655010521524E-2</c:v>
                </c:pt>
                <c:pt idx="155">
                  <c:v>1.2111968432138789E-2</c:v>
                </c:pt>
                <c:pt idx="156">
                  <c:v>1.2224194769811842E-2</c:v>
                </c:pt>
                <c:pt idx="157">
                  <c:v>1.2336321791370257E-2</c:v>
                </c:pt>
                <c:pt idx="158">
                  <c:v>1.244833729602538E-2</c:v>
                </c:pt>
                <c:pt idx="159">
                  <c:v>1.2560229164857878E-2</c:v>
                </c:pt>
                <c:pt idx="160">
                  <c:v>1.2671985411440458E-2</c:v>
                </c:pt>
                <c:pt idx="161">
                  <c:v>1.2783594232248671E-2</c:v>
                </c:pt>
                <c:pt idx="162">
                  <c:v>1.2895044056507767E-2</c:v>
                </c:pt>
                <c:pt idx="163">
                  <c:v>1.3006323595121477E-2</c:v>
                </c:pt>
                <c:pt idx="164">
                  <c:v>1.311742188833E-2</c:v>
                </c:pt>
                <c:pt idx="165">
                  <c:v>1.3228328351748626E-2</c:v>
                </c:pt>
                <c:pt idx="166">
                  <c:v>1.3339032820446814E-2</c:v>
                </c:pt>
                <c:pt idx="167">
                  <c:v>1.3449525590737794E-2</c:v>
                </c:pt>
                <c:pt idx="168">
                  <c:v>1.355979745936378E-2</c:v>
                </c:pt>
                <c:pt idx="169">
                  <c:v>1.3669839759778771E-2</c:v>
                </c:pt>
                <c:pt idx="170">
                  <c:v>1.3779644395251246E-2</c:v>
                </c:pt>
                <c:pt idx="171">
                  <c:v>1.3889203868532514E-2</c:v>
                </c:pt>
                <c:pt idx="172">
                  <c:v>1.3998511307861831E-2</c:v>
                </c:pt>
                <c:pt idx="173">
                  <c:v>1.4107560489108001E-2</c:v>
                </c:pt>
                <c:pt idx="174">
                  <c:v>1.4216345853877101E-2</c:v>
                </c:pt>
                <c:pt idx="175">
                  <c:v>1.4324862523448448E-2</c:v>
                </c:pt>
                <c:pt idx="176">
                  <c:v>1.4433106308434546E-2</c:v>
                </c:pt>
                <c:pt idx="177">
                  <c:v>1.4541073714095697E-2</c:v>
                </c:pt>
                <c:pt idx="178">
                  <c:v>1.4648761941276098E-2</c:v>
                </c:pt>
                <c:pt idx="179">
                  <c:v>1.4756168882964346E-2</c:v>
                </c:pt>
                <c:pt idx="180">
                  <c:v>1.4863293116518322E-2</c:v>
                </c:pt>
                <c:pt idx="181">
                  <c:v>1.4970133891630526E-2</c:v>
                </c:pt>
                <c:pt idx="182">
                  <c:v>1.5076691114146095E-2</c:v>
                </c:pt>
                <c:pt idx="183">
                  <c:v>1.5182965325880576E-2</c:v>
                </c:pt>
                <c:pt idx="184">
                  <c:v>1.5288957680618467E-2</c:v>
                </c:pt>
                <c:pt idx="185">
                  <c:v>1.5394669916505106E-2</c:v>
                </c:pt>
                <c:pt idx="186">
                  <c:v>1.5500104325075429E-2</c:v>
                </c:pt>
                <c:pt idx="187">
                  <c:v>1.5605263717189947E-2</c:v>
                </c:pt>
                <c:pt idx="188">
                  <c:v>1.5710151386174334E-2</c:v>
                </c:pt>
                <c:pt idx="189">
                  <c:v>1.5814771068480983E-2</c:v>
                </c:pt>
                <c:pt idx="190">
                  <c:v>1.591912690221001E-2</c:v>
                </c:pt>
                <c:pt idx="191">
                  <c:v>1.6023223383843641E-2</c:v>
                </c:pt>
                <c:pt idx="192">
                  <c:v>1.6127065323559665E-2</c:v>
                </c:pt>
                <c:pt idx="193">
                  <c:v>1.6230657799499112E-2</c:v>
                </c:pt>
                <c:pt idx="194">
                  <c:v>1.6334006111367854E-2</c:v>
                </c:pt>
                <c:pt idx="195">
                  <c:v>1.6437115733753269E-2</c:v>
                </c:pt>
                <c:pt idx="196">
                  <c:v>1.6539992269534658E-2</c:v>
                </c:pt>
                <c:pt idx="197">
                  <c:v>1.664264140375956E-2</c:v>
                </c:pt>
                <c:pt idx="198">
                  <c:v>1.6745068858348023E-2</c:v>
                </c:pt>
                <c:pt idx="199">
                  <c:v>1.6847280347973084E-2</c:v>
                </c:pt>
                <c:pt idx="200">
                  <c:v>1.6949281537448697E-2</c:v>
                </c:pt>
                <c:pt idx="201">
                  <c:v>1.705107800093527E-2</c:v>
                </c:pt>
                <c:pt idx="202">
                  <c:v>1.7152675183250029E-2</c:v>
                </c:pt>
                <c:pt idx="203">
                  <c:v>1.7254078363542102E-2</c:v>
                </c:pt>
                <c:pt idx="204">
                  <c:v>1.7355292621563788E-2</c:v>
                </c:pt>
                <c:pt idx="205">
                  <c:v>1.7456322806738079E-2</c:v>
                </c:pt>
                <c:pt idx="206">
                  <c:v>1.7557173510188925E-2</c:v>
                </c:pt>
                <c:pt idx="207">
                  <c:v>1.7657849039866721E-2</c:v>
                </c:pt>
                <c:pt idx="208">
                  <c:v>1.7758353398865109E-2</c:v>
                </c:pt>
                <c:pt idx="209">
                  <c:v>1.7858690266989132E-2</c:v>
                </c:pt>
                <c:pt idx="210">
                  <c:v>1.7958862985597488E-2</c:v>
                </c:pt>
                <c:pt idx="211">
                  <c:v>1.805887454570539E-2</c:v>
                </c:pt>
                <c:pt idx="212">
                  <c:v>1.8158727579298067E-2</c:v>
                </c:pt>
                <c:pt idx="213">
                  <c:v>1.8258424353769606E-2</c:v>
                </c:pt>
                <c:pt idx="214">
                  <c:v>1.8357966769368475E-2</c:v>
                </c:pt>
                <c:pt idx="215">
                  <c:v>1.845735635949821E-2</c:v>
                </c:pt>
                <c:pt idx="216">
                  <c:v>1.8556594293692288E-2</c:v>
                </c:pt>
                <c:pt idx="217">
                  <c:v>1.8655681383054734E-2</c:v>
                </c:pt>
                <c:pt idx="218">
                  <c:v>1.8754618087932644E-2</c:v>
                </c:pt>
                <c:pt idx="219">
                  <c:v>1.8853404527566259E-2</c:v>
                </c:pt>
                <c:pt idx="220">
                  <c:v>1.8952040491442914E-2</c:v>
                </c:pt>
                <c:pt idx="221">
                  <c:v>1.9050525452067521E-2</c:v>
                </c:pt>
                <c:pt idx="222">
                  <c:v>1.9148858578850795E-2</c:v>
                </c:pt>
                <c:pt idx="223">
                  <c:v>1.9247038752809885E-2</c:v>
                </c:pt>
                <c:pt idx="224">
                  <c:v>1.9345064581773125E-2</c:v>
                </c:pt>
                <c:pt idx="225">
                  <c:v>1.9442934415781817E-2</c:v>
                </c:pt>
                <c:pt idx="226">
                  <c:v>1.9540646362387459E-2</c:v>
                </c:pt>
                <c:pt idx="227">
                  <c:v>1.9638198301552102E-2</c:v>
                </c:pt>
                <c:pt idx="228">
                  <c:v>1.9735587899872752E-2</c:v>
                </c:pt>
                <c:pt idx="229">
                  <c:v>1.9832812623868438E-2</c:v>
                </c:pt>
                <c:pt idx="230">
                  <c:v>1.9929869752088512E-2</c:v>
                </c:pt>
                <c:pt idx="231">
                  <c:v>2.0026756385825954E-2</c:v>
                </c:pt>
                <c:pt idx="232">
                  <c:v>2.0123469458246095E-2</c:v>
                </c:pt>
                <c:pt idx="233">
                  <c:v>2.0220005741771688E-2</c:v>
                </c:pt>
                <c:pt idx="234">
                  <c:v>2.0316361853597989E-2</c:v>
                </c:pt>
                <c:pt idx="235">
                  <c:v>2.0412534259246089E-2</c:v>
                </c:pt>
                <c:pt idx="236">
                  <c:v>2.0508519274099357E-2</c:v>
                </c:pt>
                <c:pt idx="237">
                  <c:v>2.0604313062905683E-2</c:v>
                </c:pt>
                <c:pt idx="238">
                  <c:v>2.0699911637266359E-2</c:v>
                </c:pt>
                <c:pt idx="239">
                  <c:v>2.0795310851171828E-2</c:v>
                </c:pt>
                <c:pt idx="240">
                  <c:v>2.0890506394682838E-2</c:v>
                </c:pt>
                <c:pt idx="241">
                  <c:v>2.0985493785893618E-2</c:v>
                </c:pt>
                <c:pt idx="242">
                  <c:v>2.1080268361350966E-2</c:v>
                </c:pt>
                <c:pt idx="243">
                  <c:v>2.1174825265138267E-2</c:v>
                </c:pt>
                <c:pt idx="244">
                  <c:v>2.1269159436866532E-2</c:v>
                </c:pt>
                <c:pt idx="245">
                  <c:v>2.1363265598845875E-2</c:v>
                </c:pt>
                <c:pt idx="246">
                  <c:v>2.1457138242738066E-2</c:v>
                </c:pt>
                <c:pt idx="247">
                  <c:v>2.1550771616015842E-2</c:v>
                </c:pt>
                <c:pt idx="248">
                  <c:v>2.1644159708574893E-2</c:v>
                </c:pt>
                <c:pt idx="249">
                  <c:v>2.1737296239861738E-2</c:v>
                </c:pt>
                <c:pt idx="250">
                  <c:v>2.183017464689271E-2</c:v>
                </c:pt>
                <c:pt idx="251">
                  <c:v>2.1922788073547379E-2</c:v>
                </c:pt>
                <c:pt idx="252">
                  <c:v>2.2015129361522695E-2</c:v>
                </c:pt>
                <c:pt idx="253">
                  <c:v>2.2107191043332468E-2</c:v>
                </c:pt>
                <c:pt idx="254">
                  <c:v>2.2198965337729935E-2</c:v>
                </c:pt>
                <c:pt idx="255">
                  <c:v>2.2290444147919388E-2</c:v>
                </c:pt>
                <c:pt idx="256">
                  <c:v>2.2381619062905988E-2</c:v>
                </c:pt>
                <c:pt idx="257">
                  <c:v>2.2472481362311208E-2</c:v>
                </c:pt>
                <c:pt idx="258">
                  <c:v>2.2563022024954846E-2</c:v>
                </c:pt>
                <c:pt idx="259">
                  <c:v>2.2653231741473333E-2</c:v>
                </c:pt>
                <c:pt idx="260">
                  <c:v>2.2743100931208723E-2</c:v>
                </c:pt>
                <c:pt idx="261">
                  <c:v>2.2832619763563322E-2</c:v>
                </c:pt>
                <c:pt idx="262">
                  <c:v>2.292177818397147E-2</c:v>
                </c:pt>
                <c:pt idx="263">
                  <c:v>2.3010565944593789E-2</c:v>
                </c:pt>
                <c:pt idx="264">
                  <c:v>2.3098972639789914E-2</c:v>
                </c:pt>
                <c:pt idx="265">
                  <c:v>2.318698774637358E-2</c:v>
                </c:pt>
                <c:pt idx="266">
                  <c:v>2.3274600668601139E-2</c:v>
                </c:pt>
                <c:pt idx="267">
                  <c:v>2.3361800787789107E-2</c:v>
                </c:pt>
                <c:pt idx="268">
                  <c:v>2.3448577516400927E-2</c:v>
                </c:pt>
                <c:pt idx="269">
                  <c:v>2.3534920356387923E-2</c:v>
                </c:pt>
                <c:pt idx="270">
                  <c:v>2.3620818961513062E-2</c:v>
                </c:pt>
                <c:pt idx="271">
                  <c:v>2.3706263203333282E-2</c:v>
                </c:pt>
                <c:pt idx="272">
                  <c:v>2.3791243240462497E-2</c:v>
                </c:pt>
                <c:pt idx="273">
                  <c:v>2.3875749590687719E-2</c:v>
                </c:pt>
                <c:pt idx="274">
                  <c:v>2.3959773205463237E-2</c:v>
                </c:pt>
                <c:pt idx="275">
                  <c:v>2.404330554626358E-2</c:v>
                </c:pt>
                <c:pt idx="276">
                  <c:v>2.4126338662236371E-2</c:v>
                </c:pt>
                <c:pt idx="277">
                  <c:v>2.4208865268560063E-2</c:v>
                </c:pt>
                <c:pt idx="278">
                  <c:v>2.4290878824881471E-2</c:v>
                </c:pt>
                <c:pt idx="279">
                  <c:v>2.4372373613182417E-2</c:v>
                </c:pt>
                <c:pt idx="280">
                  <c:v>2.4453344814405205E-2</c:v>
                </c:pt>
                <c:pt idx="281">
                  <c:v>2.4533788583153509E-2</c:v>
                </c:pt>
                <c:pt idx="282">
                  <c:v>2.4613702119777744E-2</c:v>
                </c:pt>
                <c:pt idx="283">
                  <c:v>2.4693083739153587E-2</c:v>
                </c:pt>
                <c:pt idx="284">
                  <c:v>2.4771932935468286E-2</c:v>
                </c:pt>
                <c:pt idx="285">
                  <c:v>2.4850250442342191E-2</c:v>
                </c:pt>
                <c:pt idx="286">
                  <c:v>2.4928038287632466E-2</c:v>
                </c:pt>
                <c:pt idx="287">
                  <c:v>2.5005299842292373E-2</c:v>
                </c:pt>
                <c:pt idx="288">
                  <c:v>2.508203986269195E-2</c:v>
                </c:pt>
                <c:pt idx="289">
                  <c:v>2.5158264525845467E-2</c:v>
                </c:pt>
                <c:pt idx="290">
                  <c:v>2.5233981457036085E-2</c:v>
                </c:pt>
                <c:pt idx="291">
                  <c:v>2.5309199749379178E-2</c:v>
                </c:pt>
                <c:pt idx="292">
                  <c:v>2.5383929974922278E-2</c:v>
                </c:pt>
                <c:pt idx="293">
                  <c:v>2.5458184186940958E-2</c:v>
                </c:pt>
                <c:pt idx="294">
                  <c:v>2.5531975913155355E-2</c:v>
                </c:pt>
                <c:pt idx="295">
                  <c:v>2.5605320139662283E-2</c:v>
                </c:pt>
                <c:pt idx="296">
                  <c:v>2.5678233285449933E-2</c:v>
                </c:pt>
                <c:pt idx="297">
                  <c:v>2.5750733167438197E-2</c:v>
                </c:pt>
                <c:pt idx="298">
                  <c:v>2.582283895606477E-2</c:v>
                </c:pt>
                <c:pt idx="299">
                  <c:v>2.5894571121515685E-2</c:v>
                </c:pt>
                <c:pt idx="300">
                  <c:v>2.5965951370778121E-2</c:v>
                </c:pt>
                <c:pt idx="301">
                  <c:v>2.6037002575772111E-2</c:v>
                </c:pt>
                <c:pt idx="302">
                  <c:v>2.6107748692895515E-2</c:v>
                </c:pt>
                <c:pt idx="303">
                  <c:v>2.6178214674392689E-2</c:v>
                </c:pt>
                <c:pt idx="304">
                  <c:v>2.6248426372031057E-2</c:v>
                </c:pt>
                <c:pt idx="305">
                  <c:v>2.6318410433639843E-2</c:v>
                </c:pt>
                <c:pt idx="306">
                  <c:v>2.6388194193131945E-2</c:v>
                </c:pt>
                <c:pt idx="307">
                  <c:v>2.6457805554691849E-2</c:v>
                </c:pt>
                <c:pt idx="308">
                  <c:v>2.6527272871869092E-2</c:v>
                </c:pt>
                <c:pt idx="309">
                  <c:v>2.6596624822367815E-2</c:v>
                </c:pt>
                <c:pt idx="310">
                  <c:v>2.6665890279367586E-2</c:v>
                </c:pt>
                <c:pt idx="311">
                  <c:v>2.6735098180248582E-2</c:v>
                </c:pt>
                <c:pt idx="312">
                  <c:v>2.6804277393624825E-2</c:v>
                </c:pt>
                <c:pt idx="313">
                  <c:v>2.6873456585612184E-2</c:v>
                </c:pt>
                <c:pt idx="314">
                  <c:v>2.6942664086273486E-2</c:v>
                </c:pt>
                <c:pt idx="315">
                  <c:v>2.7011927757189916E-2</c:v>
                </c:pt>
                <c:pt idx="316">
                  <c:v>2.7081274861107132E-2</c:v>
                </c:pt>
                <c:pt idx="317">
                  <c:v>2.7150731934595621E-2</c:v>
                </c:pt>
                <c:pt idx="318">
                  <c:v>2.7220324664646911E-2</c:v>
                </c:pt>
                <c:pt idx="319">
                  <c:v>2.7290077770102467E-2</c:v>
                </c:pt>
                <c:pt idx="320">
                  <c:v>2.7360014888778202E-2</c:v>
                </c:pt>
                <c:pt idx="321">
                  <c:v>2.7430158471106931E-2</c:v>
                </c:pt>
                <c:pt idx="322">
                  <c:v>2.7500529681072621E-2</c:v>
                </c:pt>
                <c:pt idx="323">
                  <c:v>2.7571148305154662E-2</c:v>
                </c:pt>
                <c:pt idx="324">
                  <c:v>2.7642032669939667E-2</c:v>
                </c:pt>
                <c:pt idx="325">
                  <c:v>2.7713199568989495E-2</c:v>
                </c:pt>
                <c:pt idx="326">
                  <c:v>2.7784664199482084E-2</c:v>
                </c:pt>
                <c:pt idx="327">
                  <c:v>2.7856440109064056E-2</c:v>
                </c:pt>
                <c:pt idx="328">
                  <c:v>2.7928539153271772E-2</c:v>
                </c:pt>
                <c:pt idx="329">
                  <c:v>2.8000971463793774E-2</c:v>
                </c:pt>
                <c:pt idx="330">
                  <c:v>2.8073745427759297E-2</c:v>
                </c:pt>
                <c:pt idx="331">
                  <c:v>2.8146867678149119E-2</c:v>
                </c:pt>
                <c:pt idx="332">
                  <c:v>2.8220343095335162E-2</c:v>
                </c:pt>
                <c:pt idx="333">
                  <c:v>2.8294174819665004E-2</c:v>
                </c:pt>
                <c:pt idx="334">
                  <c:v>2.8368364274918879E-2</c:v>
                </c:pt>
                <c:pt idx="335">
                  <c:v>2.8442911202378858E-2</c:v>
                </c:pt>
                <c:pt idx="336">
                  <c:v>2.8517813705164863E-2</c:v>
                </c:pt>
                <c:pt idx="337">
                  <c:v>2.8593068302410495E-2</c:v>
                </c:pt>
                <c:pt idx="338">
                  <c:v>2.8668669992773253E-2</c:v>
                </c:pt>
                <c:pt idx="339">
                  <c:v>2.874461232670078E-2</c:v>
                </c:pt>
                <c:pt idx="340">
                  <c:v>2.8820887486806342E-2</c:v>
                </c:pt>
                <c:pt idx="341">
                  <c:v>2.8897486375645133E-2</c:v>
                </c:pt>
                <c:pt idx="342">
                  <c:v>2.897439871012681E-2</c:v>
                </c:pt>
                <c:pt idx="343">
                  <c:v>2.9051613121751665E-2</c:v>
                </c:pt>
                <c:pt idx="344">
                  <c:v>2.9129117261816183E-2</c:v>
                </c:pt>
                <c:pt idx="345">
                  <c:v>2.9206897910700653E-2</c:v>
                </c:pt>
                <c:pt idx="346">
                  <c:v>2.9284941090326002E-2</c:v>
                </c:pt>
                <c:pt idx="347">
                  <c:v>2.9363232178850267E-2</c:v>
                </c:pt>
                <c:pt idx="348">
                  <c:v>2.9441756026666092E-2</c:v>
                </c:pt>
                <c:pt idx="349">
                  <c:v>2.9520497072760908E-2</c:v>
                </c:pt>
                <c:pt idx="350">
                  <c:v>2.9599439460509389E-2</c:v>
                </c:pt>
                <c:pt idx="351">
                  <c:v>2.9678567151984591E-2</c:v>
                </c:pt>
                <c:pt idx="352">
                  <c:v>2.9757864039898649E-2</c:v>
                </c:pt>
                <c:pt idx="353">
                  <c:v>2.9837314056316486E-2</c:v>
                </c:pt>
                <c:pt idx="354">
                  <c:v>2.991690127732614E-2</c:v>
                </c:pt>
                <c:pt idx="355">
                  <c:v>2.9996610022895911E-2</c:v>
                </c:pt>
                <c:pt idx="356">
                  <c:v>3.0076424951202815E-2</c:v>
                </c:pt>
                <c:pt idx="357">
                  <c:v>3.0156331146775805E-2</c:v>
                </c:pt>
                <c:pt idx="358">
                  <c:v>3.0236314201862884E-2</c:v>
                </c:pt>
                <c:pt idx="359">
                  <c:v>3.0316360290500412E-2</c:v>
                </c:pt>
                <c:pt idx="360">
                  <c:v>3.0396456234837735E-2</c:v>
                </c:pt>
                <c:pt idx="361">
                  <c:v>3.0476589563346469E-2</c:v>
                </c:pt>
                <c:pt idx="362">
                  <c:v>3.0556748560624351E-2</c:v>
                </c:pt>
                <c:pt idx="363">
                  <c:v>3.0636922308584887E-2</c:v>
                </c:pt>
                <c:pt idx="364">
                  <c:v>3.0717100718906487E-2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5.6698313689409405E-3</c:v>
                </c:pt>
                <c:pt idx="1">
                  <c:v>5.5589428396285003E-3</c:v>
                </c:pt>
                <c:pt idx="2">
                  <c:v>5.4472550505920364E-3</c:v>
                </c:pt>
                <c:pt idx="3">
                  <c:v>5.3349749034915291E-3</c:v>
                </c:pt>
                <c:pt idx="4">
                  <c:v>5.2223012698353445E-3</c:v>
                </c:pt>
                <c:pt idx="5">
                  <c:v>5.1094241535032531E-3</c:v>
                </c:pt>
                <c:pt idx="6">
                  <c:v>4.9965239914023718E-3</c:v>
                </c:pt>
                <c:pt idx="7">
                  <c:v>4.8837710930142528E-3</c:v>
                </c:pt>
                <c:pt idx="8">
                  <c:v>4.7707477196017971E-3</c:v>
                </c:pt>
                <c:pt idx="9">
                  <c:v>4.6611360914719721E-3</c:v>
                </c:pt>
                <c:pt idx="10">
                  <c:v>4.5592885456675163E-3</c:v>
                </c:pt>
                <c:pt idx="11">
                  <c:v>4.46525184342428E-3</c:v>
                </c:pt>
                <c:pt idx="12">
                  <c:v>4.3790426726891245E-3</c:v>
                </c:pt>
                <c:pt idx="13">
                  <c:v>4.3006508653441666E-3</c:v>
                </c:pt>
                <c:pt idx="14">
                  <c:v>4.2300426296511505E-3</c:v>
                </c:pt>
                <c:pt idx="15">
                  <c:v>4.1625892709671632E-3</c:v>
                </c:pt>
                <c:pt idx="16">
                  <c:v>4.0947225880311544E-3</c:v>
                </c:pt>
                <c:pt idx="17">
                  <c:v>4.0266149115399802E-3</c:v>
                </c:pt>
                <c:pt idx="18">
                  <c:v>3.9584244766637027E-3</c:v>
                </c:pt>
                <c:pt idx="19">
                  <c:v>3.8903173436363671E-3</c:v>
                </c:pt>
                <c:pt idx="20">
                  <c:v>3.8224541549042421E-3</c:v>
                </c:pt>
                <c:pt idx="21">
                  <c:v>3.7549640657074399E-3</c:v>
                </c:pt>
                <c:pt idx="22">
                  <c:v>3.6874480886903709E-3</c:v>
                </c:pt>
                <c:pt idx="23">
                  <c:v>3.6187546562580189E-3</c:v>
                </c:pt>
                <c:pt idx="24">
                  <c:v>3.545677266576923E-3</c:v>
                </c:pt>
                <c:pt idx="25">
                  <c:v>3.4685298373229147E-3</c:v>
                </c:pt>
                <c:pt idx="26">
                  <c:v>3.38760776695154E-3</c:v>
                </c:pt>
                <c:pt idx="27">
                  <c:v>3.3031870034229138E-3</c:v>
                </c:pt>
                <c:pt idx="28">
                  <c:v>3.2155234330462153E-3</c:v>
                </c:pt>
                <c:pt idx="29">
                  <c:v>3.1267831450260521E-3</c:v>
                </c:pt>
                <c:pt idx="30">
                  <c:v>3.0410018509529979E-3</c:v>
                </c:pt>
                <c:pt idx="31">
                  <c:v>2.9581855062451403E-3</c:v>
                </c:pt>
                <c:pt idx="32">
                  <c:v>2.8783287175897067E-3</c:v>
                </c:pt>
                <c:pt idx="33">
                  <c:v>2.8014162748801114E-3</c:v>
                </c:pt>
                <c:pt idx="34">
                  <c:v>2.7274245845576002E-3</c:v>
                </c:pt>
                <c:pt idx="35">
                  <c:v>2.6563230029779394E-3</c:v>
                </c:pt>
                <c:pt idx="36">
                  <c:v>2.5878782689716046E-3</c:v>
                </c:pt>
                <c:pt idx="37">
                  <c:v>2.5204683186201152E-3</c:v>
                </c:pt>
                <c:pt idx="38">
                  <c:v>2.4547631814016545E-3</c:v>
                </c:pt>
                <c:pt idx="39">
                  <c:v>2.3907222453754045E-3</c:v>
                </c:pt>
                <c:pt idx="40">
                  <c:v>2.3283054283795498E-3</c:v>
                </c:pt>
                <c:pt idx="41">
                  <c:v>2.2674732898315566E-3</c:v>
                </c:pt>
                <c:pt idx="42">
                  <c:v>2.2081871299968817E-3</c:v>
                </c:pt>
                <c:pt idx="43">
                  <c:v>2.1495997962788786E-3</c:v>
                </c:pt>
                <c:pt idx="44">
                  <c:v>2.0900388997343849E-3</c:v>
                </c:pt>
                <c:pt idx="45">
                  <c:v>2.0295363692571702E-3</c:v>
                </c:pt>
                <c:pt idx="46">
                  <c:v>1.9681224949573339E-3</c:v>
                </c:pt>
                <c:pt idx="47">
                  <c:v>1.9058260295485507E-3</c:v>
                </c:pt>
                <c:pt idx="48">
                  <c:v>1.8426742731775696E-3</c:v>
                </c:pt>
                <c:pt idx="49">
                  <c:v>1.7786931412671321E-3</c:v>
                </c:pt>
                <c:pt idx="50">
                  <c:v>1.7138956977402397E-3</c:v>
                </c:pt>
                <c:pt idx="51">
                  <c:v>1.6485866675603838E-3</c:v>
                </c:pt>
                <c:pt idx="52">
                  <c:v>1.5839609574822861E-3</c:v>
                </c:pt>
                <c:pt idx="53">
                  <c:v>1.5199918071994768E-3</c:v>
                </c:pt>
                <c:pt idx="54">
                  <c:v>1.4566621285743353E-3</c:v>
                </c:pt>
                <c:pt idx="55">
                  <c:v>1.3939559095006715E-3</c:v>
                </c:pt>
                <c:pt idx="56">
                  <c:v>1.3318581063076042E-3</c:v>
                </c:pt>
                <c:pt idx="57">
                  <c:v>1.2714351734009076E-3</c:v>
                </c:pt>
                <c:pt idx="58">
                  <c:v>1.2133556458868381E-3</c:v>
                </c:pt>
                <c:pt idx="59">
                  <c:v>1.1575632877633291E-3</c:v>
                </c:pt>
                <c:pt idx="60">
                  <c:v>1.1040037908815747E-3</c:v>
                </c:pt>
                <c:pt idx="61">
                  <c:v>1.0526246348212418E-3</c:v>
                </c:pt>
                <c:pt idx="62">
                  <c:v>1.0033749573360928E-3</c:v>
                </c:pt>
                <c:pt idx="63">
                  <c:v>9.562054357217766E-4</c:v>
                </c:pt>
                <c:pt idx="64">
                  <c:v>9.1104471271389741E-4</c:v>
                </c:pt>
                <c:pt idx="65">
                  <c:v>8.6878195525655919E-4</c:v>
                </c:pt>
                <c:pt idx="66">
                  <c:v>8.2910870290087407E-4</c:v>
                </c:pt>
                <c:pt idx="67">
                  <c:v>7.9197946804534949E-4</c:v>
                </c:pt>
                <c:pt idx="68">
                  <c:v>7.5734809204027636E-4</c:v>
                </c:pt>
                <c:pt idx="69">
                  <c:v>7.2516810075608001E-4</c:v>
                </c:pt>
                <c:pt idx="70">
                  <c:v>6.9539304382046753E-4</c:v>
                </c:pt>
                <c:pt idx="71">
                  <c:v>6.680943855419181E-4</c:v>
                </c:pt>
                <c:pt idx="72">
                  <c:v>6.4226331614975905E-4</c:v>
                </c:pt>
                <c:pt idx="73">
                  <c:v>6.1787323873995924E-4</c:v>
                </c:pt>
                <c:pt idx="74">
                  <c:v>5.9489765896786177E-4</c:v>
                </c:pt>
                <c:pt idx="75">
                  <c:v>5.7331035777939004E-4</c:v>
                </c:pt>
                <c:pt idx="76">
                  <c:v>5.5308555671251282E-4</c:v>
                </c:pt>
                <c:pt idx="77">
                  <c:v>5.3419807603810371E-4</c:v>
                </c:pt>
                <c:pt idx="78">
                  <c:v>5.1659070266698757E-4</c:v>
                </c:pt>
                <c:pt idx="79">
                  <c:v>5.0039826256471909E-4</c:v>
                </c:pt>
                <c:pt idx="80">
                  <c:v>4.8474832122759163E-4</c:v>
                </c:pt>
                <c:pt idx="81">
                  <c:v>4.6963779738387162E-4</c:v>
                </c:pt>
                <c:pt idx="82">
                  <c:v>4.5506258569918398E-4</c:v>
                </c:pt>
                <c:pt idx="83">
                  <c:v>4.4101768960535235E-4</c:v>
                </c:pt>
                <c:pt idx="84">
                  <c:v>4.2749734883697264E-4</c:v>
                </c:pt>
                <c:pt idx="85">
                  <c:v>4.1466644467346749E-4</c:v>
                </c:pt>
                <c:pt idx="86">
                  <c:v>4.0240747794121132E-4</c:v>
                </c:pt>
                <c:pt idx="87">
                  <c:v>3.9071241526585061E-4</c:v>
                </c:pt>
                <c:pt idx="88">
                  <c:v>3.7957304689927761E-4</c:v>
                </c:pt>
                <c:pt idx="89">
                  <c:v>3.6898109439047796E-4</c:v>
                </c:pt>
                <c:pt idx="90">
                  <c:v>3.5892831237841697E-4</c:v>
                </c:pt>
                <c:pt idx="91">
                  <c:v>3.4940658503385699E-4</c:v>
                </c:pt>
                <c:pt idx="92">
                  <c:v>3.4039336731050946E-4</c:v>
                </c:pt>
                <c:pt idx="93">
                  <c:v>3.3191479905994342E-4</c:v>
                </c:pt>
                <c:pt idx="94">
                  <c:v>3.2378942708901736E-4</c:v>
                </c:pt>
                <c:pt idx="95">
                  <c:v>3.1600946409684951E-4</c:v>
                </c:pt>
                <c:pt idx="96">
                  <c:v>3.0856748379622058E-4</c:v>
                </c:pt>
                <c:pt idx="97">
                  <c:v>3.0145642779610602E-4</c:v>
                </c:pt>
                <c:pt idx="98">
                  <c:v>2.9466961268140459E-4</c:v>
                </c:pt>
                <c:pt idx="99">
                  <c:v>2.8823290095101207E-4</c:v>
                </c:pt>
                <c:pt idx="100">
                  <c:v>2.8197344452175933E-4</c:v>
                </c:pt>
                <c:pt idx="101">
                  <c:v>2.758853471699406E-4</c:v>
                </c:pt>
                <c:pt idx="102">
                  <c:v>2.6996282179049053E-4</c:v>
                </c:pt>
                <c:pt idx="103">
                  <c:v>2.6420019396195205E-4</c:v>
                </c:pt>
                <c:pt idx="104">
                  <c:v>2.5859190563324002E-4</c:v>
                </c:pt>
                <c:pt idx="105">
                  <c:v>2.53132518767134E-4</c:v>
                </c:pt>
                <c:pt idx="106">
                  <c:v>2.4781559058055026E-4</c:v>
                </c:pt>
                <c:pt idx="107">
                  <c:v>2.4270786075324946E-4</c:v>
                </c:pt>
                <c:pt idx="108">
                  <c:v>2.377533092517134E-4</c:v>
                </c:pt>
                <c:pt idx="109">
                  <c:v>2.3294685271058299E-4</c:v>
                </c:pt>
                <c:pt idx="110">
                  <c:v>2.2828425021386421E-4</c:v>
                </c:pt>
                <c:pt idx="111">
                  <c:v>2.2376141743662265E-4</c:v>
                </c:pt>
                <c:pt idx="112">
                  <c:v>2.193737966126908E-4</c:v>
                </c:pt>
                <c:pt idx="113">
                  <c:v>2.1520194582179473E-4</c:v>
                </c:pt>
                <c:pt idx="114">
                  <c:v>2.1120893344839746E-4</c:v>
                </c:pt>
                <c:pt idx="115">
                  <c:v>2.0739181780874102E-4</c:v>
                </c:pt>
                <c:pt idx="116">
                  <c:v>2.0374796730097971E-4</c:v>
                </c:pt>
                <c:pt idx="117">
                  <c:v>2.0027506150061919E-4</c:v>
                </c:pt>
                <c:pt idx="118">
                  <c:v>1.9697109227199546E-4</c:v>
                </c:pt>
                <c:pt idx="119">
                  <c:v>1.9383436494634028E-4</c:v>
                </c:pt>
                <c:pt idx="120">
                  <c:v>1.9086639629840074E-4</c:v>
                </c:pt>
                <c:pt idx="121">
                  <c:v>1.8817252489971342E-4</c:v>
                </c:pt>
                <c:pt idx="122">
                  <c:v>1.8567312963652593E-4</c:v>
                </c:pt>
                <c:pt idx="123">
                  <c:v>1.8336728186715473E-4</c:v>
                </c:pt>
                <c:pt idx="124">
                  <c:v>1.8125452501885345E-4</c:v>
                </c:pt>
                <c:pt idx="125">
                  <c:v>1.7933485962823916E-4</c:v>
                </c:pt>
                <c:pt idx="126">
                  <c:v>1.7760872823571546E-4</c:v>
                </c:pt>
                <c:pt idx="127">
                  <c:v>1.7605915239806159E-4</c:v>
                </c:pt>
                <c:pt idx="128">
                  <c:v>1.7459044944538243E-4</c:v>
                </c:pt>
                <c:pt idx="129">
                  <c:v>1.7320069398987735E-4</c:v>
                </c:pt>
                <c:pt idx="130">
                  <c:v>1.7188814100778458E-4</c:v>
                </c:pt>
                <c:pt idx="131">
                  <c:v>1.7065122081436765E-4</c:v>
                </c:pt>
                <c:pt idx="132">
                  <c:v>1.6948853419544393E-4</c:v>
                </c:pt>
                <c:pt idx="133">
                  <c:v>1.6839884757394795E-4</c:v>
                </c:pt>
                <c:pt idx="134">
                  <c:v>1.6738521547744994E-4</c:v>
                </c:pt>
                <c:pt idx="135">
                  <c:v>1.6643158026869847E-4</c:v>
                </c:pt>
                <c:pt idx="136">
                  <c:v>1.6541539940774123E-4</c:v>
                </c:pt>
                <c:pt idx="137">
                  <c:v>1.6433188147854723E-4</c:v>
                </c:pt>
                <c:pt idx="138">
                  <c:v>1.6317622366050587E-4</c:v>
                </c:pt>
                <c:pt idx="139">
                  <c:v>1.6194362470722302E-4</c:v>
                </c:pt>
                <c:pt idx="140">
                  <c:v>1.6062929880586153E-4</c:v>
                </c:pt>
                <c:pt idx="141">
                  <c:v>1.5930333412636198E-4</c:v>
                </c:pt>
                <c:pt idx="142">
                  <c:v>1.5798331959267505E-4</c:v>
                </c:pt>
                <c:pt idx="143">
                  <c:v>1.5666718815822043E-4</c:v>
                </c:pt>
                <c:pt idx="144">
                  <c:v>1.5535397132273931E-4</c:v>
                </c:pt>
                <c:pt idx="145">
                  <c:v>1.5404283538284467E-4</c:v>
                </c:pt>
                <c:pt idx="146">
                  <c:v>1.5273308455526915E-4</c:v>
                </c:pt>
                <c:pt idx="147">
                  <c:v>1.5142416369993457E-4</c:v>
                </c:pt>
                <c:pt idx="148">
                  <c:v>1.5011917658733849E-4</c:v>
                </c:pt>
                <c:pt idx="149">
                  <c:v>1.4883754181127081E-4</c:v>
                </c:pt>
                <c:pt idx="150">
                  <c:v>1.4760072768070905E-4</c:v>
                </c:pt>
                <c:pt idx="151">
                  <c:v>1.4640908302866661E-4</c:v>
                </c:pt>
                <c:pt idx="152">
                  <c:v>1.4526311486168635E-4</c:v>
                </c:pt>
                <c:pt idx="153">
                  <c:v>1.4416348148797671E-4</c:v>
                </c:pt>
                <c:pt idx="154">
                  <c:v>1.4311098513956365E-4</c:v>
                </c:pt>
                <c:pt idx="155">
                  <c:v>1.4220066667897769E-4</c:v>
                </c:pt>
                <c:pt idx="156">
                  <c:v>1.4134811199739857E-4</c:v>
                </c:pt>
                <c:pt idx="157">
                  <c:v>1.405546494696751E-4</c:v>
                </c:pt>
                <c:pt idx="158">
                  <c:v>1.3982170602349297E-4</c:v>
                </c:pt>
                <c:pt idx="159">
                  <c:v>1.3915079620350026E-4</c:v>
                </c:pt>
                <c:pt idx="160">
                  <c:v>1.3854351082680724E-4</c:v>
                </c:pt>
                <c:pt idx="161">
                  <c:v>1.3800150525177096E-4</c:v>
                </c:pt>
                <c:pt idx="162">
                  <c:v>1.3752886037819012E-4</c:v>
                </c:pt>
                <c:pt idx="163">
                  <c:v>1.3720655363463273E-4</c:v>
                </c:pt>
                <c:pt idx="164">
                  <c:v>1.3701994382156417E-4</c:v>
                </c:pt>
                <c:pt idx="165">
                  <c:v>1.3697323055610432E-4</c:v>
                </c:pt>
                <c:pt idx="166">
                  <c:v>1.3707059154393039E-4</c:v>
                </c:pt>
                <c:pt idx="167">
                  <c:v>1.3731617309329809E-4</c:v>
                </c:pt>
                <c:pt idx="168">
                  <c:v>1.3771408141839662E-4</c:v>
                </c:pt>
                <c:pt idx="169">
                  <c:v>1.3834856411760633E-4</c:v>
                </c:pt>
                <c:pt idx="170">
                  <c:v>1.3911773229231843E-4</c:v>
                </c:pt>
                <c:pt idx="171">
                  <c:v>1.4002489543125666E-4</c:v>
                </c:pt>
                <c:pt idx="172">
                  <c:v>1.410733192885323E-4</c:v>
                </c:pt>
                <c:pt idx="173">
                  <c:v>1.4226476823772104E-4</c:v>
                </c:pt>
                <c:pt idx="174">
                  <c:v>1.4360082564923357E-4</c:v>
                </c:pt>
                <c:pt idx="175">
                  <c:v>1.4508439665428764E-4</c:v>
                </c:pt>
                <c:pt idx="176">
                  <c:v>1.4671831236541576E-4</c:v>
                </c:pt>
                <c:pt idx="177">
                  <c:v>1.4861841411568089E-4</c:v>
                </c:pt>
                <c:pt idx="178">
                  <c:v>1.5070410922846648E-4</c:v>
                </c:pt>
                <c:pt idx="179">
                  <c:v>1.5297844743558263E-4</c:v>
                </c:pt>
                <c:pt idx="180">
                  <c:v>1.5544437976101235E-4</c:v>
                </c:pt>
                <c:pt idx="181">
                  <c:v>1.5810476177181753E-4</c:v>
                </c:pt>
                <c:pt idx="182">
                  <c:v>1.6096235778340263E-4</c:v>
                </c:pt>
                <c:pt idx="183">
                  <c:v>1.6404198658967473E-4</c:v>
                </c:pt>
                <c:pt idx="184">
                  <c:v>1.6725840134271025E-4</c:v>
                </c:pt>
                <c:pt idx="185">
                  <c:v>1.7061316145536057E-4</c:v>
                </c:pt>
                <c:pt idx="186">
                  <c:v>1.7410781443487968E-4</c:v>
                </c:pt>
                <c:pt idx="187">
                  <c:v>1.7774390084850285E-4</c:v>
                </c:pt>
                <c:pt idx="188">
                  <c:v>1.8152295928419888E-4</c:v>
                </c:pt>
                <c:pt idx="189">
                  <c:v>1.854465312677576E-4</c:v>
                </c:pt>
                <c:pt idx="190">
                  <c:v>1.8951470891296536E-4</c:v>
                </c:pt>
                <c:pt idx="191">
                  <c:v>1.9384116935760009E-4</c:v>
                </c:pt>
                <c:pt idx="192">
                  <c:v>1.9830768890501159E-4</c:v>
                </c:pt>
                <c:pt idx="193">
                  <c:v>2.0291634954765735E-4</c:v>
                </c:pt>
                <c:pt idx="194">
                  <c:v>2.0766932593471106E-4</c:v>
                </c:pt>
                <c:pt idx="195">
                  <c:v>2.1256889393379873E-4</c:v>
                </c:pt>
                <c:pt idx="196">
                  <c:v>2.1761743897760061E-4</c:v>
                </c:pt>
                <c:pt idx="197">
                  <c:v>2.2279255034496307E-4</c:v>
                </c:pt>
                <c:pt idx="198">
                  <c:v>2.2807327521539116E-4</c:v>
                </c:pt>
                <c:pt idx="199">
                  <c:v>2.33462102050491E-4</c:v>
                </c:pt>
                <c:pt idx="200">
                  <c:v>2.389616621012998E-4</c:v>
                </c:pt>
                <c:pt idx="201">
                  <c:v>2.4457473244790046E-4</c:v>
                </c:pt>
                <c:pt idx="202">
                  <c:v>2.5030423902239614E-4</c:v>
                </c:pt>
                <c:pt idx="203">
                  <c:v>2.5615325974187255E-4</c:v>
                </c:pt>
                <c:pt idx="204">
                  <c:v>2.6212222771955268E-4</c:v>
                </c:pt>
                <c:pt idx="205">
                  <c:v>2.6818087144184438E-4</c:v>
                </c:pt>
                <c:pt idx="206">
                  <c:v>2.7421172149925065E-4</c:v>
                </c:pt>
                <c:pt idx="207">
                  <c:v>2.8021531903344701E-4</c:v>
                </c:pt>
                <c:pt idx="208">
                  <c:v>2.8619222322481905E-4</c:v>
                </c:pt>
                <c:pt idx="209">
                  <c:v>2.9214300201576611E-4</c:v>
                </c:pt>
                <c:pt idx="210">
                  <c:v>2.9806822339429348E-4</c:v>
                </c:pt>
                <c:pt idx="211">
                  <c:v>3.0417904698463408E-4</c:v>
                </c:pt>
                <c:pt idx="212">
                  <c:v>3.1050314847305238E-4</c:v>
                </c:pt>
                <c:pt idx="213">
                  <c:v>3.1704305665761814E-4</c:v>
                </c:pt>
                <c:pt idx="214">
                  <c:v>3.2380129206467661E-4</c:v>
                </c:pt>
                <c:pt idx="215">
                  <c:v>3.3078036606599829E-4</c:v>
                </c:pt>
                <c:pt idx="216">
                  <c:v>3.3798277997426222E-4</c:v>
                </c:pt>
                <c:pt idx="217">
                  <c:v>3.4541102417029955E-4</c:v>
                </c:pt>
                <c:pt idx="218">
                  <c:v>3.5306471560935334E-4</c:v>
                </c:pt>
                <c:pt idx="219">
                  <c:v>3.6113599630720872E-4</c:v>
                </c:pt>
                <c:pt idx="220">
                  <c:v>3.696610069226515E-4</c:v>
                </c:pt>
                <c:pt idx="221">
                  <c:v>3.7864534864801198E-4</c:v>
                </c:pt>
                <c:pt idx="222">
                  <c:v>3.8809475794533585E-4</c:v>
                </c:pt>
                <c:pt idx="223">
                  <c:v>3.9801512674830715E-4</c:v>
                </c:pt>
                <c:pt idx="224">
                  <c:v>4.0841252309531775E-4</c:v>
                </c:pt>
                <c:pt idx="225">
                  <c:v>4.194522461983523E-4</c:v>
                </c:pt>
                <c:pt idx="226">
                  <c:v>4.3092182031703144E-4</c:v>
                </c:pt>
                <c:pt idx="227">
                  <c:v>4.4282736307129153E-4</c:v>
                </c:pt>
                <c:pt idx="228">
                  <c:v>4.5517524722768639E-4</c:v>
                </c:pt>
                <c:pt idx="229">
                  <c:v>4.6797212162324651E-4</c:v>
                </c:pt>
                <c:pt idx="230">
                  <c:v>4.8122493285353084E-4</c:v>
                </c:pt>
                <c:pt idx="231">
                  <c:v>4.9494094789902634E-4</c:v>
                </c:pt>
                <c:pt idx="232">
                  <c:v>5.0912281724663244E-4</c:v>
                </c:pt>
                <c:pt idx="233">
                  <c:v>5.2386153041726472E-4</c:v>
                </c:pt>
                <c:pt idx="234">
                  <c:v>5.389617388951519E-4</c:v>
                </c:pt>
                <c:pt idx="235">
                  <c:v>5.5442795362766221E-4</c:v>
                </c:pt>
                <c:pt idx="236">
                  <c:v>5.7026494521192263E-4</c:v>
                </c:pt>
                <c:pt idx="237">
                  <c:v>5.8647720052932163E-4</c:v>
                </c:pt>
                <c:pt idx="238">
                  <c:v>6.030692573251406E-4</c:v>
                </c:pt>
                <c:pt idx="239">
                  <c:v>6.2020009043591224E-4</c:v>
                </c:pt>
                <c:pt idx="240">
                  <c:v>6.3770919145234169E-4</c:v>
                </c:pt>
                <c:pt idx="241">
                  <c:v>6.5560126552583657E-4</c:v>
                </c:pt>
                <c:pt idx="242">
                  <c:v>6.7388103358902434E-4</c:v>
                </c:pt>
                <c:pt idx="243">
                  <c:v>6.9255322441215872E-4</c:v>
                </c:pt>
                <c:pt idx="244">
                  <c:v>7.1162256528998276E-4</c:v>
                </c:pt>
                <c:pt idx="245">
                  <c:v>7.3109377150637098E-4</c:v>
                </c:pt>
                <c:pt idx="246">
                  <c:v>7.5097153441066374E-4</c:v>
                </c:pt>
                <c:pt idx="247">
                  <c:v>7.7167325572821135E-4</c:v>
                </c:pt>
                <c:pt idx="248">
                  <c:v>7.9311300120420191E-4</c:v>
                </c:pt>
                <c:pt idx="249">
                  <c:v>8.1529890998183197E-4</c:v>
                </c:pt>
                <c:pt idx="250">
                  <c:v>8.3823911133053611E-4</c:v>
                </c:pt>
                <c:pt idx="251">
                  <c:v>8.6194170437996957E-4</c:v>
                </c:pt>
                <c:pt idx="252">
                  <c:v>8.8641473638137209E-4</c:v>
                </c:pt>
                <c:pt idx="253">
                  <c:v>9.1211638274055705E-4</c:v>
                </c:pt>
                <c:pt idx="254">
                  <c:v>9.3889603657622495E-4</c:v>
                </c:pt>
                <c:pt idx="255">
                  <c:v>9.6676479439538807E-4</c:v>
                </c:pt>
                <c:pt idx="256">
                  <c:v>9.957336568134894E-4</c:v>
                </c:pt>
                <c:pt idx="257">
                  <c:v>1.0258134982695955E-3</c:v>
                </c:pt>
                <c:pt idx="258">
                  <c:v>1.0570150364501922E-3</c:v>
                </c:pt>
                <c:pt idx="259">
                  <c:v>1.0893488017169255E-3</c:v>
                </c:pt>
                <c:pt idx="260">
                  <c:v>1.1228305014206259E-3</c:v>
                </c:pt>
                <c:pt idx="261">
                  <c:v>1.1578036612881993E-3</c:v>
                </c:pt>
                <c:pt idx="262">
                  <c:v>1.1938431391011629E-3</c:v>
                </c:pt>
                <c:pt idx="263">
                  <c:v>1.230955348183727E-3</c:v>
                </c:pt>
                <c:pt idx="264">
                  <c:v>1.2691460758644968E-3</c:v>
                </c:pt>
                <c:pt idx="265">
                  <c:v>1.3084273897532991E-3</c:v>
                </c:pt>
                <c:pt idx="266">
                  <c:v>1.3488078955988824E-3</c:v>
                </c:pt>
                <c:pt idx="267">
                  <c:v>1.3927598652568353E-3</c:v>
                </c:pt>
                <c:pt idx="268">
                  <c:v>1.4398367942476545E-3</c:v>
                </c:pt>
                <c:pt idx="269">
                  <c:v>1.4900629863040201E-3</c:v>
                </c:pt>
                <c:pt idx="270">
                  <c:v>1.5434613997151118E-3</c:v>
                </c:pt>
                <c:pt idx="271">
                  <c:v>1.6000534816871302E-3</c:v>
                </c:pt>
                <c:pt idx="272">
                  <c:v>1.659859009899372E-3</c:v>
                </c:pt>
                <c:pt idx="273">
                  <c:v>1.7228959426560156E-3</c:v>
                </c:pt>
                <c:pt idx="274">
                  <c:v>1.7892478656951823E-3</c:v>
                </c:pt>
                <c:pt idx="275">
                  <c:v>1.8612601404544517E-3</c:v>
                </c:pt>
                <c:pt idx="276">
                  <c:v>1.9386156095722103E-3</c:v>
                </c:pt>
                <c:pt idx="277">
                  <c:v>2.0213372434229058E-3</c:v>
                </c:pt>
                <c:pt idx="278">
                  <c:v>2.1094421604590354E-3</c:v>
                </c:pt>
                <c:pt idx="279">
                  <c:v>2.2029406719764155E-3</c:v>
                </c:pt>
                <c:pt idx="280">
                  <c:v>2.3018353113699735E-3</c:v>
                </c:pt>
                <c:pt idx="281">
                  <c:v>2.4062804957785946E-3</c:v>
                </c:pt>
                <c:pt idx="282">
                  <c:v>2.5136483104093526E-3</c:v>
                </c:pt>
                <c:pt idx="283">
                  <c:v>2.6238874731896651E-3</c:v>
                </c:pt>
                <c:pt idx="284">
                  <c:v>2.7369369064595864E-3</c:v>
                </c:pt>
                <c:pt idx="285">
                  <c:v>2.8527252139042688E-3</c:v>
                </c:pt>
                <c:pt idx="286">
                  <c:v>2.9711701811060936E-3</c:v>
                </c:pt>
                <c:pt idx="287">
                  <c:v>3.0921783050808713E-3</c:v>
                </c:pt>
                <c:pt idx="288">
                  <c:v>3.2158723135280232E-3</c:v>
                </c:pt>
                <c:pt idx="289">
                  <c:v>3.3408404983644802E-3</c:v>
                </c:pt>
                <c:pt idx="290">
                  <c:v>3.4646474294216349E-3</c:v>
                </c:pt>
                <c:pt idx="291">
                  <c:v>3.5872120787547785E-3</c:v>
                </c:pt>
                <c:pt idx="292">
                  <c:v>3.7084495023352992E-3</c:v>
                </c:pt>
                <c:pt idx="293">
                  <c:v>3.8282711187515215E-3</c:v>
                </c:pt>
                <c:pt idx="294">
                  <c:v>3.9465849902602839E-3</c:v>
                </c:pt>
                <c:pt idx="295">
                  <c:v>4.0611277946482824E-3</c:v>
                </c:pt>
                <c:pt idx="296">
                  <c:v>4.1716773073338809E-3</c:v>
                </c:pt>
                <c:pt idx="297">
                  <c:v>4.2781651199687958E-3</c:v>
                </c:pt>
                <c:pt idx="298">
                  <c:v>4.3804899491179938E-3</c:v>
                </c:pt>
                <c:pt idx="299">
                  <c:v>4.4785507715313427E-3</c:v>
                </c:pt>
                <c:pt idx="300">
                  <c:v>4.572247286369859E-3</c:v>
                </c:pt>
                <c:pt idx="301">
                  <c:v>4.6614803636770867E-3</c:v>
                </c:pt>
                <c:pt idx="302">
                  <c:v>4.7464352847627796E-3</c:v>
                </c:pt>
                <c:pt idx="303">
                  <c:v>4.8312120020590522E-3</c:v>
                </c:pt>
                <c:pt idx="304">
                  <c:v>4.9174041546424822E-3</c:v>
                </c:pt>
                <c:pt idx="305">
                  <c:v>5.0050046018854247E-3</c:v>
                </c:pt>
                <c:pt idx="306">
                  <c:v>5.0940076505897429E-3</c:v>
                </c:pt>
                <c:pt idx="307">
                  <c:v>5.18440899435619E-3</c:v>
                </c:pt>
                <c:pt idx="308">
                  <c:v>5.2762056087018172E-3</c:v>
                </c:pt>
                <c:pt idx="309">
                  <c:v>5.3671926774641401E-3</c:v>
                </c:pt>
                <c:pt idx="310">
                  <c:v>5.4595573300832935E-3</c:v>
                </c:pt>
                <c:pt idx="311">
                  <c:v>5.5532993536386395E-3</c:v>
                </c:pt>
                <c:pt idx="312">
                  <c:v>5.6484188697730102E-3</c:v>
                </c:pt>
                <c:pt idx="313">
                  <c:v>5.7449159444372547E-3</c:v>
                </c:pt>
                <c:pt idx="314">
                  <c:v>5.8427901323219846E-3</c:v>
                </c:pt>
                <c:pt idx="315">
                  <c:v>5.9420399525377168E-3</c:v>
                </c:pt>
                <c:pt idx="316">
                  <c:v>6.0430606034140551E-3</c:v>
                </c:pt>
                <c:pt idx="317">
                  <c:v>6.1395221324853392E-3</c:v>
                </c:pt>
                <c:pt idx="318">
                  <c:v>6.2275679887303466E-3</c:v>
                </c:pt>
                <c:pt idx="319">
                  <c:v>6.3071973598272397E-3</c:v>
                </c:pt>
                <c:pt idx="320">
                  <c:v>6.37839764723842E-3</c:v>
                </c:pt>
                <c:pt idx="321">
                  <c:v>6.4411437738387811E-3</c:v>
                </c:pt>
                <c:pt idx="322">
                  <c:v>6.4953976062516513E-3</c:v>
                </c:pt>
                <c:pt idx="323">
                  <c:v>6.5470711568013347E-3</c:v>
                </c:pt>
                <c:pt idx="324">
                  <c:v>6.5983119665973455E-3</c:v>
                </c:pt>
                <c:pt idx="325">
                  <c:v>6.6490521558343696E-3</c:v>
                </c:pt>
                <c:pt idx="326">
                  <c:v>6.6991694133712275E-3</c:v>
                </c:pt>
                <c:pt idx="327">
                  <c:v>6.7485546926610452E-3</c:v>
                </c:pt>
                <c:pt idx="328">
                  <c:v>6.7971192855275061E-3</c:v>
                </c:pt>
                <c:pt idx="329">
                  <c:v>6.8447604453082643E-3</c:v>
                </c:pt>
                <c:pt idx="330">
                  <c:v>6.8920783182671577E-3</c:v>
                </c:pt>
                <c:pt idx="331">
                  <c:v>6.943307364244233E-3</c:v>
                </c:pt>
                <c:pt idx="332">
                  <c:v>7.0051154272428463E-3</c:v>
                </c:pt>
                <c:pt idx="333">
                  <c:v>7.0773982483264422E-3</c:v>
                </c:pt>
                <c:pt idx="334">
                  <c:v>7.1600380070657461E-3</c:v>
                </c:pt>
                <c:pt idx="335">
                  <c:v>7.2529003794660814E-3</c:v>
                </c:pt>
                <c:pt idx="336">
                  <c:v>7.3558314832628067E-3</c:v>
                </c:pt>
                <c:pt idx="337">
                  <c:v>7.462546273046545E-3</c:v>
                </c:pt>
                <c:pt idx="338">
                  <c:v>7.5667972118626673E-3</c:v>
                </c:pt>
                <c:pt idx="339">
                  <c:v>7.6683191407423213E-3</c:v>
                </c:pt>
                <c:pt idx="340">
                  <c:v>7.7668225294427323E-3</c:v>
                </c:pt>
                <c:pt idx="341">
                  <c:v>7.8619949555705504E-3</c:v>
                </c:pt>
                <c:pt idx="342">
                  <c:v>7.9535030276442487E-3</c:v>
                </c:pt>
                <c:pt idx="343">
                  <c:v>8.0409947638400165E-3</c:v>
                </c:pt>
                <c:pt idx="344">
                  <c:v>8.1250194813453948E-3</c:v>
                </c:pt>
                <c:pt idx="345">
                  <c:v>8.206193988398728E-3</c:v>
                </c:pt>
                <c:pt idx="346">
                  <c:v>8.2777208851040601E-3</c:v>
                </c:pt>
                <c:pt idx="347">
                  <c:v>8.3393123553997788E-3</c:v>
                </c:pt>
                <c:pt idx="348">
                  <c:v>8.390674895492771E-3</c:v>
                </c:pt>
                <c:pt idx="349">
                  <c:v>8.4315140270187841E-3</c:v>
                </c:pt>
                <c:pt idx="350">
                  <c:v>8.461539260998921E-3</c:v>
                </c:pt>
                <c:pt idx="351">
                  <c:v>8.4776161564025856E-3</c:v>
                </c:pt>
                <c:pt idx="352">
                  <c:v>8.4856080030569735E-3</c:v>
                </c:pt>
                <c:pt idx="353">
                  <c:v>8.4852566017202622E-3</c:v>
                </c:pt>
                <c:pt idx="354">
                  <c:v>8.4763224110464535E-3</c:v>
                </c:pt>
                <c:pt idx="355">
                  <c:v>8.4585887302355157E-3</c:v>
                </c:pt>
                <c:pt idx="356">
                  <c:v>8.4318433493335392E-3</c:v>
                </c:pt>
                <c:pt idx="357">
                  <c:v>8.395937879638193E-3</c:v>
                </c:pt>
                <c:pt idx="358">
                  <c:v>8.3507446927203275E-3</c:v>
                </c:pt>
                <c:pt idx="359">
                  <c:v>8.2964090037842015E-3</c:v>
                </c:pt>
                <c:pt idx="360">
                  <c:v>8.2271997024738232E-3</c:v>
                </c:pt>
                <c:pt idx="361">
                  <c:v>8.1462551600778848E-3</c:v>
                </c:pt>
                <c:pt idx="362">
                  <c:v>8.0539310771386707E-3</c:v>
                </c:pt>
                <c:pt idx="363">
                  <c:v>7.9506069292810573E-3</c:v>
                </c:pt>
                <c:pt idx="364">
                  <c:v>7.8366820364742275E-3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244608"/>
        <c:axId val="214245000"/>
      </c:lineChart>
      <c:dateAx>
        <c:axId val="2142446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5000"/>
        <c:crosses val="autoZero"/>
        <c:auto val="1"/>
        <c:lblOffset val="100"/>
        <c:baseTimeUnit val="days"/>
        <c:majorUnit val="1"/>
        <c:majorTimeUnit val="months"/>
      </c:dateAx>
      <c:valAx>
        <c:axId val="2142450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4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MdS Escalquens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10454.766750172004</c:v>
                </c:pt>
                <c:pt idx="1">
                  <c:v>11960.850030837801</c:v>
                </c:pt>
                <c:pt idx="2">
                  <c:v>11726.850945378214</c:v>
                </c:pt>
                <c:pt idx="3">
                  <c:v>12256.885350333485</c:v>
                </c:pt>
                <c:pt idx="4">
                  <c:v>12255.163196378377</c:v>
                </c:pt>
                <c:pt idx="5">
                  <c:v>12270.194732146389</c:v>
                </c:pt>
                <c:pt idx="6">
                  <c:v>12250.963809163772</c:v>
                </c:pt>
                <c:pt idx="7">
                  <c:v>12257.294210202432</c:v>
                </c:pt>
                <c:pt idx="8">
                  <c:v>12259.55272996912</c:v>
                </c:pt>
                <c:pt idx="9">
                  <c:v>12275.534297724907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10419.099526114869</c:v>
                </c:pt>
                <c:pt idx="1">
                  <c:v>11841.222640325117</c:v>
                </c:pt>
                <c:pt idx="2">
                  <c:v>11528.005590043382</c:v>
                </c:pt>
                <c:pt idx="3">
                  <c:v>11968.828999691354</c:v>
                </c:pt>
                <c:pt idx="4">
                  <c:v>11879.425598031263</c:v>
                </c:pt>
                <c:pt idx="5">
                  <c:v>11810.781417398191</c:v>
                </c:pt>
                <c:pt idx="6">
                  <c:v>11709.68447529633</c:v>
                </c:pt>
                <c:pt idx="7">
                  <c:v>11634.548757122855</c:v>
                </c:pt>
                <c:pt idx="8">
                  <c:v>11555.530055307672</c:v>
                </c:pt>
                <c:pt idx="9">
                  <c:v>11490.082187276834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10258.270000000002</c:v>
                </c:pt>
                <c:pt idx="1">
                  <c:v>11377.776000000003</c:v>
                </c:pt>
                <c:pt idx="2">
                  <c:v>10779.494999999999</c:v>
                </c:pt>
                <c:pt idx="3">
                  <c:v>11548.403999999986</c:v>
                </c:pt>
                <c:pt idx="4">
                  <c:v>11607.655800753933</c:v>
                </c:pt>
                <c:pt idx="5">
                  <c:v>11265.777958780671</c:v>
                </c:pt>
                <c:pt idx="6">
                  <c:v>11354.571438094881</c:v>
                </c:pt>
                <c:pt idx="7">
                  <c:v>11103.940343747685</c:v>
                </c:pt>
                <c:pt idx="8">
                  <c:v>11219.764130359434</c:v>
                </c:pt>
                <c:pt idx="9">
                  <c:v>10968.54096200694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10258.270000000002</c:v>
                </c:pt>
                <c:pt idx="1">
                  <c:v>11377.776000000003</c:v>
                </c:pt>
                <c:pt idx="2">
                  <c:v>10779.494999999999</c:v>
                </c:pt>
                <c:pt idx="3">
                  <c:v>10933.292749598575</c:v>
                </c:pt>
                <c:pt idx="4">
                  <c:v>11219.936144967403</c:v>
                </c:pt>
                <c:pt idx="5">
                  <c:v>11043.562438951889</c:v>
                </c:pt>
                <c:pt idx="6">
                  <c:v>10873.703707414666</c:v>
                </c:pt>
                <c:pt idx="7">
                  <c:v>10671.964074135392</c:v>
                </c:pt>
                <c:pt idx="8">
                  <c:v>10683.191400132873</c:v>
                </c:pt>
                <c:pt idx="9">
                  <c:v>10529.827058057614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610.82984145338833</c:v>
                </c:pt>
                <c:pt idx="4">
                  <c:v>387.53391521775529</c:v>
                </c:pt>
                <c:pt idx="5">
                  <c:v>222.18923803401719</c:v>
                </c:pt>
                <c:pt idx="6">
                  <c:v>481.07328275251245</c:v>
                </c:pt>
                <c:pt idx="7">
                  <c:v>416.43456521431824</c:v>
                </c:pt>
                <c:pt idx="8">
                  <c:v>511.45098183573771</c:v>
                </c:pt>
                <c:pt idx="9">
                  <c:v>409.87511420955752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-0.37798961774554662</c:v>
                </c:pt>
                <c:pt idx="4">
                  <c:v>-0.34307640673979911</c:v>
                </c:pt>
                <c:pt idx="5">
                  <c:v>-0.2681971444405562</c:v>
                </c:pt>
                <c:pt idx="6">
                  <c:v>-0.74489933654473006</c:v>
                </c:pt>
                <c:pt idx="7">
                  <c:v>14.006681016420869</c:v>
                </c:pt>
                <c:pt idx="8">
                  <c:v>23.296142216023533</c:v>
                </c:pt>
                <c:pt idx="9">
                  <c:v>26.315708601985985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067560"/>
        <c:axId val="324067952"/>
      </c:lineChart>
      <c:catAx>
        <c:axId val="324067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067952"/>
        <c:crosses val="autoZero"/>
        <c:auto val="1"/>
        <c:lblAlgn val="ctr"/>
        <c:lblOffset val="100"/>
        <c:noMultiLvlLbl val="0"/>
      </c:catAx>
      <c:valAx>
        <c:axId val="324067952"/>
        <c:scaling>
          <c:orientation val="minMax"/>
          <c:max val="1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0675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23.240317529006141</c:v>
                </c:pt>
                <c:pt idx="1">
                  <c:v>23.385839228644937</c:v>
                </c:pt>
                <c:pt idx="2">
                  <c:v>23.54083800278892</c:v>
                </c:pt>
                <c:pt idx="3">
                  <c:v>23.704831238800125</c:v>
                </c:pt>
                <c:pt idx="4">
                  <c:v>23.877336364853786</c:v>
                </c:pt>
                <c:pt idx="5">
                  <c:v>24.057870845527905</c:v>
                </c:pt>
                <c:pt idx="6">
                  <c:v>24.245952195780315</c:v>
                </c:pt>
                <c:pt idx="7">
                  <c:v>24.441097989394489</c:v>
                </c:pt>
                <c:pt idx="8">
                  <c:v>24.645828711458648</c:v>
                </c:pt>
                <c:pt idx="9">
                  <c:v>24.862321124204986</c:v>
                </c:pt>
                <c:pt idx="10">
                  <c:v>25.089642639738265</c:v>
                </c:pt>
                <c:pt idx="11">
                  <c:v>25.32699705519877</c:v>
                </c:pt>
                <c:pt idx="12">
                  <c:v>25.573588390022771</c:v>
                </c:pt>
                <c:pt idx="13">
                  <c:v>25.828620912807587</c:v>
                </c:pt>
                <c:pt idx="14">
                  <c:v>26.09129914736349</c:v>
                </c:pt>
                <c:pt idx="15">
                  <c:v>26.360979436700653</c:v>
                </c:pt>
                <c:pt idx="16">
                  <c:v>26.636947898208934</c:v>
                </c:pt>
                <c:pt idx="17">
                  <c:v>26.918409775573469</c:v>
                </c:pt>
                <c:pt idx="18">
                  <c:v>27.204570613392455</c:v>
                </c:pt>
                <c:pt idx="19">
                  <c:v>27.494635425785219</c:v>
                </c:pt>
                <c:pt idx="20">
                  <c:v>27.787809183088971</c:v>
                </c:pt>
                <c:pt idx="21">
                  <c:v>28.083296387567469</c:v>
                </c:pt>
                <c:pt idx="22">
                  <c:v>28.384285714675705</c:v>
                </c:pt>
                <c:pt idx="23">
                  <c:v>28.693925937566686</c:v>
                </c:pt>
                <c:pt idx="24">
                  <c:v>29.011425380451161</c:v>
                </c:pt>
                <c:pt idx="25">
                  <c:v>29.335858903244311</c:v>
                </c:pt>
                <c:pt idx="26">
                  <c:v>29.666301793011176</c:v>
                </c:pt>
                <c:pt idx="27">
                  <c:v>30.001829774794221</c:v>
                </c:pt>
                <c:pt idx="28">
                  <c:v>30.34151900769789</c:v>
                </c:pt>
                <c:pt idx="29">
                  <c:v>30.684359290838515</c:v>
                </c:pt>
                <c:pt idx="30">
                  <c:v>31.029276533452826</c:v>
                </c:pt>
                <c:pt idx="31">
                  <c:v>31.375348271911996</c:v>
                </c:pt>
                <c:pt idx="32">
                  <c:v>31.721652460960399</c:v>
                </c:pt>
                <c:pt idx="33">
                  <c:v>32.067267463270873</c:v>
                </c:pt>
                <c:pt idx="34">
                  <c:v>32.411272050408911</c:v>
                </c:pt>
                <c:pt idx="35">
                  <c:v>32.752745397609935</c:v>
                </c:pt>
                <c:pt idx="36">
                  <c:v>33.093292532411489</c:v>
                </c:pt>
                <c:pt idx="37">
                  <c:v>33.435112900033552</c:v>
                </c:pt>
                <c:pt idx="38">
                  <c:v>33.778054610467343</c:v>
                </c:pt>
                <c:pt idx="39">
                  <c:v>34.122015291632188</c:v>
                </c:pt>
                <c:pt idx="40">
                  <c:v>34.466892623121197</c:v>
                </c:pt>
                <c:pt idx="41">
                  <c:v>34.81258433189511</c:v>
                </c:pt>
                <c:pt idx="42">
                  <c:v>35.158988187219208</c:v>
                </c:pt>
                <c:pt idx="43">
                  <c:v>35.506038079702044</c:v>
                </c:pt>
                <c:pt idx="44">
                  <c:v>35.853718709159637</c:v>
                </c:pt>
                <c:pt idx="45">
                  <c:v>36.201928004164721</c:v>
                </c:pt>
                <c:pt idx="46">
                  <c:v>36.550563925233448</c:v>
                </c:pt>
                <c:pt idx="47">
                  <c:v>36.89952445842917</c:v>
                </c:pt>
                <c:pt idx="48">
                  <c:v>37.248707611901814</c:v>
                </c:pt>
                <c:pt idx="49">
                  <c:v>37.598011410683739</c:v>
                </c:pt>
                <c:pt idx="50">
                  <c:v>37.947589493426698</c:v>
                </c:pt>
                <c:pt idx="51">
                  <c:v>38.297660031848309</c:v>
                </c:pt>
                <c:pt idx="52">
                  <c:v>38.648174483809406</c:v>
                </c:pt>
                <c:pt idx="53">
                  <c:v>38.999133425153417</c:v>
                </c:pt>
                <c:pt idx="54">
                  <c:v>39.350536934989343</c:v>
                </c:pt>
                <c:pt idx="55">
                  <c:v>39.702385042047538</c:v>
                </c:pt>
                <c:pt idx="56">
                  <c:v>40.054677724654319</c:v>
                </c:pt>
                <c:pt idx="57">
                  <c:v>40.407360371739905</c:v>
                </c:pt>
                <c:pt idx="58">
                  <c:v>40.760396591800237</c:v>
                </c:pt>
                <c:pt idx="59">
                  <c:v>41.113786147076944</c:v>
                </c:pt>
                <c:pt idx="60">
                  <c:v>41.467528756981842</c:v>
                </c:pt>
                <c:pt idx="61">
                  <c:v>41.821624099960317</c:v>
                </c:pt>
                <c:pt idx="62">
                  <c:v>42.176071816236941</c:v>
                </c:pt>
                <c:pt idx="63">
                  <c:v>42.530871508893597</c:v>
                </c:pt>
                <c:pt idx="64">
                  <c:v>42.887128804811994</c:v>
                </c:pt>
                <c:pt idx="65">
                  <c:v>43.245546722692595</c:v>
                </c:pt>
                <c:pt idx="66">
                  <c:v>43.605617055012814</c:v>
                </c:pt>
                <c:pt idx="67">
                  <c:v>43.966828364526613</c:v>
                </c:pt>
                <c:pt idx="68">
                  <c:v>44.328669368462798</c:v>
                </c:pt>
                <c:pt idx="69">
                  <c:v>44.690628936851873</c:v>
                </c:pt>
                <c:pt idx="70">
                  <c:v>45.052196089445225</c:v>
                </c:pt>
                <c:pt idx="71">
                  <c:v>45.41285149555182</c:v>
                </c:pt>
                <c:pt idx="72">
                  <c:v>45.772139284093832</c:v>
                </c:pt>
                <c:pt idx="73">
                  <c:v>46.129548983508052</c:v>
                </c:pt>
                <c:pt idx="74">
                  <c:v>46.484570274805193</c:v>
                </c:pt>
                <c:pt idx="75">
                  <c:v>46.836692993949598</c:v>
                </c:pt>
                <c:pt idx="76">
                  <c:v>47.185407126416436</c:v>
                </c:pt>
                <c:pt idx="77">
                  <c:v>47.530202807527523</c:v>
                </c:pt>
                <c:pt idx="78">
                  <c:v>47.873612022875029</c:v>
                </c:pt>
                <c:pt idx="79">
                  <c:v>48.217949624658111</c:v>
                </c:pt>
                <c:pt idx="80">
                  <c:v>48.562461309874521</c:v>
                </c:pt>
                <c:pt idx="81">
                  <c:v>48.906330643021136</c:v>
                </c:pt>
                <c:pt idx="82">
                  <c:v>49.248741490259874</c:v>
                </c:pt>
                <c:pt idx="83">
                  <c:v>49.588878021990745</c:v>
                </c:pt>
                <c:pt idx="84">
                  <c:v>49.925924715924765</c:v>
                </c:pt>
                <c:pt idx="85">
                  <c:v>50.25905491756955</c:v>
                </c:pt>
                <c:pt idx="86">
                  <c:v>50.587462364696158</c:v>
                </c:pt>
                <c:pt idx="87">
                  <c:v>50.910332448185684</c:v>
                </c:pt>
                <c:pt idx="88">
                  <c:v>51.226850879540848</c:v>
                </c:pt>
                <c:pt idx="89">
                  <c:v>51.536203686822169</c:v>
                </c:pt>
                <c:pt idx="90">
                  <c:v>51.837577224578737</c:v>
                </c:pt>
                <c:pt idx="91">
                  <c:v>52.130158173403373</c:v>
                </c:pt>
                <c:pt idx="92">
                  <c:v>52.415390399777799</c:v>
                </c:pt>
                <c:pt idx="93">
                  <c:v>52.695187636061</c:v>
                </c:pt>
                <c:pt idx="94">
                  <c:v>52.969461064479859</c:v>
                </c:pt>
                <c:pt idx="95">
                  <c:v>53.238109501398597</c:v>
                </c:pt>
                <c:pt idx="96">
                  <c:v>53.501031814412329</c:v>
                </c:pt>
                <c:pt idx="97">
                  <c:v>53.758126923830311</c:v>
                </c:pt>
                <c:pt idx="98">
                  <c:v>54.009293801960432</c:v>
                </c:pt>
                <c:pt idx="99">
                  <c:v>54.254428678446956</c:v>
                </c:pt>
                <c:pt idx="100">
                  <c:v>54.493442747501831</c:v>
                </c:pt>
                <c:pt idx="101">
                  <c:v>54.726235321066873</c:v>
                </c:pt>
                <c:pt idx="102">
                  <c:v>54.95270578568369</c:v>
                </c:pt>
                <c:pt idx="103">
                  <c:v>55.172753613785865</c:v>
                </c:pt>
                <c:pt idx="104">
                  <c:v>55.386278358876332</c:v>
                </c:pt>
                <c:pt idx="105">
                  <c:v>55.593179664284605</c:v>
                </c:pt>
                <c:pt idx="106">
                  <c:v>55.793611416596534</c:v>
                </c:pt>
                <c:pt idx="107">
                  <c:v>55.987790047029996</c:v>
                </c:pt>
                <c:pt idx="108">
                  <c:v>56.175721913220357</c:v>
                </c:pt>
                <c:pt idx="109">
                  <c:v>56.357408453294518</c:v>
                </c:pt>
                <c:pt idx="110">
                  <c:v>56.532851110306808</c:v>
                </c:pt>
                <c:pt idx="111">
                  <c:v>56.702051387752867</c:v>
                </c:pt>
                <c:pt idx="112">
                  <c:v>56.865010904181233</c:v>
                </c:pt>
                <c:pt idx="113">
                  <c:v>57.021724497015654</c:v>
                </c:pt>
                <c:pt idx="114">
                  <c:v>57.172196876942493</c:v>
                </c:pt>
                <c:pt idx="115">
                  <c:v>57.316429757336707</c:v>
                </c:pt>
                <c:pt idx="116">
                  <c:v>57.454424920731107</c:v>
                </c:pt>
                <c:pt idx="117">
                  <c:v>57.586184219222545</c:v>
                </c:pt>
                <c:pt idx="118">
                  <c:v>57.711709581594903</c:v>
                </c:pt>
                <c:pt idx="119">
                  <c:v>57.831003005423405</c:v>
                </c:pt>
                <c:pt idx="120">
                  <c:v>57.943186889354195</c:v>
                </c:pt>
                <c:pt idx="121">
                  <c:v>58.047646542612121</c:v>
                </c:pt>
                <c:pt idx="122">
                  <c:v>58.144796328818614</c:v>
                </c:pt>
                <c:pt idx="123">
                  <c:v>58.235044738906325</c:v>
                </c:pt>
                <c:pt idx="124">
                  <c:v>58.318800165168291</c:v>
                </c:pt>
                <c:pt idx="125">
                  <c:v>58.396470890451731</c:v>
                </c:pt>
                <c:pt idx="126">
                  <c:v>58.468465094146218</c:v>
                </c:pt>
                <c:pt idx="127">
                  <c:v>58.535191914414426</c:v>
                </c:pt>
                <c:pt idx="128">
                  <c:v>58.597067362118594</c:v>
                </c:pt>
                <c:pt idx="129">
                  <c:v>58.654499599525948</c:v>
                </c:pt>
                <c:pt idx="130">
                  <c:v>58.707896689916247</c:v>
                </c:pt>
                <c:pt idx="131">
                  <c:v>58.757666599166662</c:v>
                </c:pt>
                <c:pt idx="132">
                  <c:v>58.804217188964863</c:v>
                </c:pt>
                <c:pt idx="133">
                  <c:v>58.847956215413191</c:v>
                </c:pt>
                <c:pt idx="134">
                  <c:v>58.887838921424908</c:v>
                </c:pt>
                <c:pt idx="135">
                  <c:v>58.922686974431592</c:v>
                </c:pt>
                <c:pt idx="136">
                  <c:v>58.952716086723271</c:v>
                </c:pt>
                <c:pt idx="137">
                  <c:v>58.978132565005822</c:v>
                </c:pt>
                <c:pt idx="138">
                  <c:v>58.999142703319933</c:v>
                </c:pt>
                <c:pt idx="139">
                  <c:v>59.015952781161523</c:v>
                </c:pt>
                <c:pt idx="140">
                  <c:v>59.028769058894063</c:v>
                </c:pt>
                <c:pt idx="141">
                  <c:v>59.037792046455294</c:v>
                </c:pt>
                <c:pt idx="142">
                  <c:v>59.043226638302421</c:v>
                </c:pt>
                <c:pt idx="143">
                  <c:v>59.045278828954714</c:v>
                </c:pt>
                <c:pt idx="144">
                  <c:v>59.044154477664314</c:v>
                </c:pt>
                <c:pt idx="145">
                  <c:v>59.040059385729052</c:v>
                </c:pt>
                <c:pt idx="146">
                  <c:v>59.033199283780966</c:v>
                </c:pt>
                <c:pt idx="147">
                  <c:v>59.023779823890102</c:v>
                </c:pt>
                <c:pt idx="148">
                  <c:v>59.010624144549723</c:v>
                </c:pt>
                <c:pt idx="149">
                  <c:v>58.992689422937353</c:v>
                </c:pt>
                <c:pt idx="150">
                  <c:v>58.970383230764817</c:v>
                </c:pt>
                <c:pt idx="151">
                  <c:v>58.944113892230234</c:v>
                </c:pt>
                <c:pt idx="152">
                  <c:v>58.914289505853354</c:v>
                </c:pt>
                <c:pt idx="153">
                  <c:v>58.881317934834804</c:v>
                </c:pt>
                <c:pt idx="154">
                  <c:v>58.845606796136515</c:v>
                </c:pt>
                <c:pt idx="155">
                  <c:v>58.807556305937517</c:v>
                </c:pt>
                <c:pt idx="156">
                  <c:v>58.767580036100327</c:v>
                </c:pt>
                <c:pt idx="157">
                  <c:v>58.726084805649059</c:v>
                </c:pt>
                <c:pt idx="158">
                  <c:v>58.683477157995341</c:v>
                </c:pt>
                <c:pt idx="159">
                  <c:v>58.640163357351369</c:v>
                </c:pt>
                <c:pt idx="160">
                  <c:v>58.596549381463177</c:v>
                </c:pt>
                <c:pt idx="161">
                  <c:v>58.553040917301942</c:v>
                </c:pt>
                <c:pt idx="162">
                  <c:v>58.509033570105835</c:v>
                </c:pt>
                <c:pt idx="163">
                  <c:v>58.463648105744959</c:v>
                </c:pt>
                <c:pt idx="164">
                  <c:v>58.416887851326855</c:v>
                </c:pt>
                <c:pt idx="165">
                  <c:v>58.368754389416395</c:v>
                </c:pt>
                <c:pt idx="166">
                  <c:v>58.319249181483123</c:v>
                </c:pt>
                <c:pt idx="167">
                  <c:v>58.268373561377715</c:v>
                </c:pt>
                <c:pt idx="168">
                  <c:v>58.216128735236872</c:v>
                </c:pt>
                <c:pt idx="169">
                  <c:v>58.162509728690189</c:v>
                </c:pt>
                <c:pt idx="170">
                  <c:v>58.107525442180346</c:v>
                </c:pt>
                <c:pt idx="171">
                  <c:v>58.051176722590526</c:v>
                </c:pt>
                <c:pt idx="172">
                  <c:v>57.993464278700941</c:v>
                </c:pt>
                <c:pt idx="173">
                  <c:v>57.934388803082825</c:v>
                </c:pt>
                <c:pt idx="174">
                  <c:v>57.873950862097502</c:v>
                </c:pt>
                <c:pt idx="175">
                  <c:v>57.812150774229927</c:v>
                </c:pt>
                <c:pt idx="176">
                  <c:v>57.748988729901292</c:v>
                </c:pt>
                <c:pt idx="177">
                  <c:v>57.684456373091521</c:v>
                </c:pt>
                <c:pt idx="178">
                  <c:v>57.618559894104528</c:v>
                </c:pt>
                <c:pt idx="179">
                  <c:v>57.551299090895583</c:v>
                </c:pt>
                <c:pt idx="180">
                  <c:v>57.48267365044056</c:v>
                </c:pt>
                <c:pt idx="181">
                  <c:v>57.41268315604696</c:v>
                </c:pt>
                <c:pt idx="182">
                  <c:v>57.341327091276433</c:v>
                </c:pt>
                <c:pt idx="183">
                  <c:v>57.268602911072236</c:v>
                </c:pt>
                <c:pt idx="184">
                  <c:v>57.194516428082139</c:v>
                </c:pt>
                <c:pt idx="185">
                  <c:v>57.119066912286037</c:v>
                </c:pt>
                <c:pt idx="186">
                  <c:v>57.042253560538889</c:v>
                </c:pt>
                <c:pt idx="187">
                  <c:v>56.964075501930708</c:v>
                </c:pt>
                <c:pt idx="188">
                  <c:v>56.884531809278137</c:v>
                </c:pt>
                <c:pt idx="189">
                  <c:v>56.803621504978864</c:v>
                </c:pt>
                <c:pt idx="190">
                  <c:v>56.721779805900844</c:v>
                </c:pt>
                <c:pt idx="191">
                  <c:v>56.63929939478033</c:v>
                </c:pt>
                <c:pt idx="192">
                  <c:v>56.555986503119094</c:v>
                </c:pt>
                <c:pt idx="193">
                  <c:v>56.471638619868862</c:v>
                </c:pt>
                <c:pt idx="194">
                  <c:v>56.386053306788213</c:v>
                </c:pt>
                <c:pt idx="195">
                  <c:v>56.299028205035448</c:v>
                </c:pt>
                <c:pt idx="196">
                  <c:v>56.210361042000741</c:v>
                </c:pt>
                <c:pt idx="197">
                  <c:v>56.119850621936529</c:v>
                </c:pt>
                <c:pt idx="198">
                  <c:v>56.027296903411987</c:v>
                </c:pt>
                <c:pt idx="199">
                  <c:v>55.932497919513175</c:v>
                </c:pt>
                <c:pt idx="200">
                  <c:v>55.835251812207098</c:v>
                </c:pt>
                <c:pt idx="201">
                  <c:v>55.735356836350682</c:v>
                </c:pt>
                <c:pt idx="202">
                  <c:v>55.63261136880098</c:v>
                </c:pt>
                <c:pt idx="203">
                  <c:v>55.526813909622135</c:v>
                </c:pt>
                <c:pt idx="204">
                  <c:v>55.418265793162639</c:v>
                </c:pt>
                <c:pt idx="205">
                  <c:v>55.307403545010864</c:v>
                </c:pt>
                <c:pt idx="206">
                  <c:v>55.194235076687725</c:v>
                </c:pt>
                <c:pt idx="207">
                  <c:v>55.078760098526161</c:v>
                </c:pt>
                <c:pt idx="208">
                  <c:v>54.960978384398011</c:v>
                </c:pt>
                <c:pt idx="209">
                  <c:v>54.840889776919951</c:v>
                </c:pt>
                <c:pt idx="210">
                  <c:v>54.718494186231958</c:v>
                </c:pt>
                <c:pt idx="211">
                  <c:v>54.593775726510856</c:v>
                </c:pt>
                <c:pt idx="212">
                  <c:v>54.466733459781047</c:v>
                </c:pt>
                <c:pt idx="213">
                  <c:v>54.337367477056546</c:v>
                </c:pt>
                <c:pt idx="214">
                  <c:v>54.205677939382944</c:v>
                </c:pt>
                <c:pt idx="215">
                  <c:v>54.071665077537091</c:v>
                </c:pt>
                <c:pt idx="216">
                  <c:v>53.935329191357134</c:v>
                </c:pt>
                <c:pt idx="217">
                  <c:v>53.796670644318425</c:v>
                </c:pt>
                <c:pt idx="218">
                  <c:v>53.656124957168799</c:v>
                </c:pt>
                <c:pt idx="219">
                  <c:v>53.513978779019709</c:v>
                </c:pt>
                <c:pt idx="220">
                  <c:v>53.370030492754047</c:v>
                </c:pt>
                <c:pt idx="221">
                  <c:v>53.224079778467818</c:v>
                </c:pt>
                <c:pt idx="222">
                  <c:v>53.075926439429757</c:v>
                </c:pt>
                <c:pt idx="223">
                  <c:v>52.92537040176191</c:v>
                </c:pt>
                <c:pt idx="224">
                  <c:v>52.772211708505004</c:v>
                </c:pt>
                <c:pt idx="225">
                  <c:v>52.616239481817338</c:v>
                </c:pt>
                <c:pt idx="226">
                  <c:v>52.457269956435539</c:v>
                </c:pt>
                <c:pt idx="227">
                  <c:v>52.295103511954963</c:v>
                </c:pt>
                <c:pt idx="228">
                  <c:v>52.129540629295605</c:v>
                </c:pt>
                <c:pt idx="229">
                  <c:v>51.960381887351566</c:v>
                </c:pt>
                <c:pt idx="230">
                  <c:v>51.787427964157295</c:v>
                </c:pt>
                <c:pt idx="231">
                  <c:v>51.610479627273719</c:v>
                </c:pt>
                <c:pt idx="232">
                  <c:v>51.429839153940101</c:v>
                </c:pt>
                <c:pt idx="233">
                  <c:v>51.245935303518628</c:v>
                </c:pt>
                <c:pt idx="234">
                  <c:v>51.058784303241268</c:v>
                </c:pt>
                <c:pt idx="235">
                  <c:v>50.868387410689564</c:v>
                </c:pt>
                <c:pt idx="236">
                  <c:v>50.674745883836508</c:v>
                </c:pt>
                <c:pt idx="237">
                  <c:v>50.477861020213865</c:v>
                </c:pt>
                <c:pt idx="238">
                  <c:v>50.277734129989938</c:v>
                </c:pt>
                <c:pt idx="239">
                  <c:v>50.074353317200519</c:v>
                </c:pt>
                <c:pt idx="240">
                  <c:v>49.867730929264141</c:v>
                </c:pt>
                <c:pt idx="241">
                  <c:v>49.657868318599732</c:v>
                </c:pt>
                <c:pt idx="242">
                  <c:v>49.444766859676179</c:v>
                </c:pt>
                <c:pt idx="243">
                  <c:v>49.228427945276728</c:v>
                </c:pt>
                <c:pt idx="244">
                  <c:v>49.008852990683003</c:v>
                </c:pt>
                <c:pt idx="245">
                  <c:v>48.786043432813187</c:v>
                </c:pt>
                <c:pt idx="246">
                  <c:v>48.560000736606149</c:v>
                </c:pt>
                <c:pt idx="247">
                  <c:v>48.330697360248394</c:v>
                </c:pt>
                <c:pt idx="248">
                  <c:v>48.098141982932255</c:v>
                </c:pt>
                <c:pt idx="249">
                  <c:v>47.8623362255857</c:v>
                </c:pt>
                <c:pt idx="250">
                  <c:v>47.623281751723702</c:v>
                </c:pt>
                <c:pt idx="251">
                  <c:v>47.380980264843146</c:v>
                </c:pt>
                <c:pt idx="252">
                  <c:v>47.135433511538984</c:v>
                </c:pt>
                <c:pt idx="253">
                  <c:v>46.886613154403683</c:v>
                </c:pt>
                <c:pt idx="254">
                  <c:v>46.634534217356254</c:v>
                </c:pt>
                <c:pt idx="255">
                  <c:v>46.379198670609632</c:v>
                </c:pt>
                <c:pt idx="256">
                  <c:v>46.120608537902598</c:v>
                </c:pt>
                <c:pt idx="257">
                  <c:v>45.858765896844154</c:v>
                </c:pt>
                <c:pt idx="258">
                  <c:v>45.5936728774562</c:v>
                </c:pt>
                <c:pt idx="259">
                  <c:v>45.325331665668841</c:v>
                </c:pt>
                <c:pt idx="260">
                  <c:v>45.053527715770109</c:v>
                </c:pt>
                <c:pt idx="261">
                  <c:v>44.778090077586789</c:v>
                </c:pt>
                <c:pt idx="262">
                  <c:v>44.499149717205981</c:v>
                </c:pt>
                <c:pt idx="263">
                  <c:v>44.216809069764487</c:v>
                </c:pt>
                <c:pt idx="264">
                  <c:v>43.931170574827078</c:v>
                </c:pt>
                <c:pt idx="265">
                  <c:v>43.642336240408412</c:v>
                </c:pt>
                <c:pt idx="266">
                  <c:v>43.350408249340461</c:v>
                </c:pt>
                <c:pt idx="267">
                  <c:v>43.05533128563836</c:v>
                </c:pt>
                <c:pt idx="268">
                  <c:v>42.757238396988001</c:v>
                </c:pt>
                <c:pt idx="269">
                  <c:v>42.456233299129863</c:v>
                </c:pt>
                <c:pt idx="270">
                  <c:v>42.152419794147669</c:v>
                </c:pt>
                <c:pt idx="271">
                  <c:v>41.845901774525423</c:v>
                </c:pt>
                <c:pt idx="272">
                  <c:v>41.536783216001275</c:v>
                </c:pt>
                <c:pt idx="273">
                  <c:v>41.225168179016315</c:v>
                </c:pt>
                <c:pt idx="274">
                  <c:v>40.909611518925182</c:v>
                </c:pt>
                <c:pt idx="275">
                  <c:v>40.588893333144533</c:v>
                </c:pt>
                <c:pt idx="276">
                  <c:v>40.263641663861314</c:v>
                </c:pt>
                <c:pt idx="277">
                  <c:v>39.934462120841779</c:v>
                </c:pt>
                <c:pt idx="278">
                  <c:v>39.601960308714112</c:v>
                </c:pt>
                <c:pt idx="279">
                  <c:v>39.26674182793743</c:v>
                </c:pt>
                <c:pt idx="280">
                  <c:v>38.929412266367443</c:v>
                </c:pt>
                <c:pt idx="281">
                  <c:v>38.590606078804065</c:v>
                </c:pt>
                <c:pt idx="282">
                  <c:v>38.25107696256034</c:v>
                </c:pt>
                <c:pt idx="283">
                  <c:v>37.911427519101437</c:v>
                </c:pt>
                <c:pt idx="284">
                  <c:v>37.572260111193877</c:v>
                </c:pt>
                <c:pt idx="285">
                  <c:v>37.234176852237148</c:v>
                </c:pt>
                <c:pt idx="286">
                  <c:v>36.897779591996063</c:v>
                </c:pt>
                <c:pt idx="287">
                  <c:v>36.563669903495217</c:v>
                </c:pt>
                <c:pt idx="288">
                  <c:v>36.229869067368433</c:v>
                </c:pt>
                <c:pt idx="289">
                  <c:v>35.89440200408167</c:v>
                </c:pt>
                <c:pt idx="290">
                  <c:v>35.557868575951495</c:v>
                </c:pt>
                <c:pt idx="291">
                  <c:v>35.220766371394518</c:v>
                </c:pt>
                <c:pt idx="292">
                  <c:v>34.883592474416226</c:v>
                </c:pt>
                <c:pt idx="293">
                  <c:v>34.546843462878527</c:v>
                </c:pt>
                <c:pt idx="294">
                  <c:v>34.211015410543844</c:v>
                </c:pt>
                <c:pt idx="295">
                  <c:v>33.876676995875599</c:v>
                </c:pt>
                <c:pt idx="296">
                  <c:v>33.544292958178787</c:v>
                </c:pt>
                <c:pt idx="297">
                  <c:v>33.214354921938373</c:v>
                </c:pt>
                <c:pt idx="298">
                  <c:v>32.887355597232386</c:v>
                </c:pt>
                <c:pt idx="299">
                  <c:v>32.563787235360991</c:v>
                </c:pt>
                <c:pt idx="300">
                  <c:v>32.244141652141501</c:v>
                </c:pt>
                <c:pt idx="301">
                  <c:v>31.928910250335544</c:v>
                </c:pt>
                <c:pt idx="302">
                  <c:v>31.616687762900931</c:v>
                </c:pt>
                <c:pt idx="303">
                  <c:v>31.305813404857325</c:v>
                </c:pt>
                <c:pt idx="304">
                  <c:v>30.996520079718739</c:v>
                </c:pt>
                <c:pt idx="305">
                  <c:v>30.689103966461978</c:v>
                </c:pt>
                <c:pt idx="306">
                  <c:v>30.383861002100467</c:v>
                </c:pt>
                <c:pt idx="307">
                  <c:v>30.081086894835959</c:v>
                </c:pt>
                <c:pt idx="308">
                  <c:v>29.781077137877134</c:v>
                </c:pt>
                <c:pt idx="309">
                  <c:v>29.484195164244635</c:v>
                </c:pt>
                <c:pt idx="310">
                  <c:v>29.190670373604743</c:v>
                </c:pt>
                <c:pt idx="311">
                  <c:v>28.900797593520835</c:v>
                </c:pt>
                <c:pt idx="312">
                  <c:v>28.614871497422975</c:v>
                </c:pt>
                <c:pt idx="313">
                  <c:v>28.333186622777564</c:v>
                </c:pt>
                <c:pt idx="314">
                  <c:v>28.056037385968857</c:v>
                </c:pt>
                <c:pt idx="315">
                  <c:v>27.783718102432982</c:v>
                </c:pt>
                <c:pt idx="316">
                  <c:v>27.514694392218001</c:v>
                </c:pt>
                <c:pt idx="317">
                  <c:v>27.24774232460512</c:v>
                </c:pt>
                <c:pt idx="318">
                  <c:v>26.983456663000503</c:v>
                </c:pt>
                <c:pt idx="319">
                  <c:v>26.722323527756444</c:v>
                </c:pt>
                <c:pt idx="320">
                  <c:v>26.464829349086003</c:v>
                </c:pt>
                <c:pt idx="321">
                  <c:v>26.211460922608605</c:v>
                </c:pt>
                <c:pt idx="322">
                  <c:v>25.962705445007789</c:v>
                </c:pt>
                <c:pt idx="323">
                  <c:v>25.718958128076469</c:v>
                </c:pt>
                <c:pt idx="324">
                  <c:v>25.480650508805663</c:v>
                </c:pt>
                <c:pt idx="325">
                  <c:v>25.248275061080378</c:v>
                </c:pt>
                <c:pt idx="326">
                  <c:v>25.022325971764651</c:v>
                </c:pt>
                <c:pt idx="327">
                  <c:v>24.803296771141408</c:v>
                </c:pt>
                <c:pt idx="328">
                  <c:v>24.591680119463639</c:v>
                </c:pt>
                <c:pt idx="329">
                  <c:v>24.387968994932702</c:v>
                </c:pt>
                <c:pt idx="330">
                  <c:v>24.190115056361293</c:v>
                </c:pt>
                <c:pt idx="331">
                  <c:v>23.996121082833209</c:v>
                </c:pt>
                <c:pt idx="332">
                  <c:v>23.806426036939296</c:v>
                </c:pt>
                <c:pt idx="333">
                  <c:v>23.621628217891882</c:v>
                </c:pt>
                <c:pt idx="334">
                  <c:v>23.442325905870327</c:v>
                </c:pt>
                <c:pt idx="335">
                  <c:v>23.269117352831557</c:v>
                </c:pt>
                <c:pt idx="336">
                  <c:v>23.102600770251371</c:v>
                </c:pt>
                <c:pt idx="337">
                  <c:v>22.943507299205177</c:v>
                </c:pt>
                <c:pt idx="338">
                  <c:v>22.792515658710684</c:v>
                </c:pt>
                <c:pt idx="339">
                  <c:v>22.650220586754244</c:v>
                </c:pt>
                <c:pt idx="340">
                  <c:v>22.517217120278207</c:v>
                </c:pt>
                <c:pt idx="341">
                  <c:v>22.394100553600197</c:v>
                </c:pt>
                <c:pt idx="342">
                  <c:v>22.281466406246601</c:v>
                </c:pt>
                <c:pt idx="343">
                  <c:v>22.17991040529537</c:v>
                </c:pt>
                <c:pt idx="344">
                  <c:v>22.087509410132363</c:v>
                </c:pt>
                <c:pt idx="345">
                  <c:v>22.002258239104879</c:v>
                </c:pt>
                <c:pt idx="346">
                  <c:v>21.924640295182137</c:v>
                </c:pt>
                <c:pt idx="347">
                  <c:v>21.855128487931861</c:v>
                </c:pt>
                <c:pt idx="348">
                  <c:v>21.79419583104762</c:v>
                </c:pt>
                <c:pt idx="349">
                  <c:v>21.742315408879737</c:v>
                </c:pt>
                <c:pt idx="350">
                  <c:v>21.699960322741472</c:v>
                </c:pt>
                <c:pt idx="351">
                  <c:v>21.667599250037888</c:v>
                </c:pt>
                <c:pt idx="352">
                  <c:v>21.645579503656606</c:v>
                </c:pt>
                <c:pt idx="353">
                  <c:v>21.634374818519447</c:v>
                </c:pt>
                <c:pt idx="354">
                  <c:v>21.634458686658956</c:v>
                </c:pt>
                <c:pt idx="355">
                  <c:v>21.646304347874867</c:v>
                </c:pt>
                <c:pt idx="356">
                  <c:v>21.670385144095224</c:v>
                </c:pt>
                <c:pt idx="357">
                  <c:v>21.707173710887552</c:v>
                </c:pt>
                <c:pt idx="358">
                  <c:v>21.757049433587703</c:v>
                </c:pt>
                <c:pt idx="359">
                  <c:v>21.819765531561639</c:v>
                </c:pt>
                <c:pt idx="360">
                  <c:v>21.894980653831798</c:v>
                </c:pt>
                <c:pt idx="361">
                  <c:v>21.982233082272643</c:v>
                </c:pt>
                <c:pt idx="362">
                  <c:v>22.081056759657478</c:v>
                </c:pt>
                <c:pt idx="363">
                  <c:v>22.190985642219946</c:v>
                </c:pt>
                <c:pt idx="364">
                  <c:v>22.311553703995511</c:v>
                </c:pt>
                <c:pt idx="365">
                  <c:v>22.442294913363686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23.644842828432907</c:v>
                </c:pt>
                <c:pt idx="1">
                  <c:v>16.307333198095684</c:v>
                </c:pt>
                <c:pt idx="2">
                  <c:v>17.608120077169293</c:v>
                </c:pt>
                <c:pt idx="3">
                  <c:v>18.711065837273285</c:v>
                </c:pt>
                <c:pt idx="4">
                  <c:v>14.796946990749767</c:v>
                </c:pt>
                <c:pt idx="5">
                  <c:v>21.234068789963064</c:v>
                </c:pt>
                <c:pt idx="6">
                  <c:v>10.412772687526179</c:v>
                </c:pt>
                <c:pt idx="7">
                  <c:v>7.4107927682271946</c:v>
                </c:pt>
                <c:pt idx="8">
                  <c:v>2.2125236431308353</c:v>
                </c:pt>
                <c:pt idx="9">
                  <c:v>1.8144706347883941</c:v>
                </c:pt>
                <c:pt idx="10">
                  <c:v>25.43591655545881</c:v>
                </c:pt>
                <c:pt idx="11">
                  <c:v>22.111218491302008</c:v>
                </c:pt>
                <c:pt idx="12">
                  <c:v>5.6681373619130939</c:v>
                </c:pt>
                <c:pt idx="13">
                  <c:v>26.898668957857375</c:v>
                </c:pt>
                <c:pt idx="14">
                  <c:v>27.214650821245982</c:v>
                </c:pt>
                <c:pt idx="15">
                  <c:v>26.625753128576736</c:v>
                </c:pt>
                <c:pt idx="16">
                  <c:v>12.29503184361975</c:v>
                </c:pt>
                <c:pt idx="17">
                  <c:v>3.9059070234645596</c:v>
                </c:pt>
                <c:pt idx="18">
                  <c:v>10.65737439224587</c:v>
                </c:pt>
                <c:pt idx="19">
                  <c:v>6.6741892181775482</c:v>
                </c:pt>
                <c:pt idx="20">
                  <c:v>21.279495978590948</c:v>
                </c:pt>
                <c:pt idx="21">
                  <c:v>28.405188794467243</c:v>
                </c:pt>
                <c:pt idx="22">
                  <c:v>28.531280191200462</c:v>
                </c:pt>
                <c:pt idx="23">
                  <c:v>29.08475796626044</c:v>
                </c:pt>
                <c:pt idx="24">
                  <c:v>28.124055222672201</c:v>
                </c:pt>
                <c:pt idx="25">
                  <c:v>28.808863382128756</c:v>
                </c:pt>
                <c:pt idx="26">
                  <c:v>27.52922601615537</c:v>
                </c:pt>
                <c:pt idx="27">
                  <c:v>4.350658859368421</c:v>
                </c:pt>
                <c:pt idx="28">
                  <c:v>9.1829692120304109</c:v>
                </c:pt>
                <c:pt idx="29">
                  <c:v>4.7425096823190671</c:v>
                </c:pt>
                <c:pt idx="30">
                  <c:v>7.8643688278311989</c:v>
                </c:pt>
                <c:pt idx="31">
                  <c:v>13.05088044670633</c:v>
                </c:pt>
                <c:pt idx="32">
                  <c:v>5.5095961026033526</c:v>
                </c:pt>
                <c:pt idx="33">
                  <c:v>10.813225248872499</c:v>
                </c:pt>
                <c:pt idx="34">
                  <c:v>10.650599391311852</c:v>
                </c:pt>
                <c:pt idx="35">
                  <c:v>9.3589946942955411</c:v>
                </c:pt>
                <c:pt idx="36">
                  <c:v>21.804296164609131</c:v>
                </c:pt>
                <c:pt idx="37">
                  <c:v>9.1894622676795095</c:v>
                </c:pt>
                <c:pt idx="38">
                  <c:v>34.080866128071008</c:v>
                </c:pt>
                <c:pt idx="39">
                  <c:v>34.372633295393697</c:v>
                </c:pt>
                <c:pt idx="40">
                  <c:v>32.054676570498572</c:v>
                </c:pt>
                <c:pt idx="41">
                  <c:v>17.756950960075386</c:v>
                </c:pt>
                <c:pt idx="42">
                  <c:v>27.210332637210882</c:v>
                </c:pt>
                <c:pt idx="43">
                  <c:v>33.290821313968713</c:v>
                </c:pt>
                <c:pt idx="44">
                  <c:v>15.629241562425952</c:v>
                </c:pt>
                <c:pt idx="45">
                  <c:v>18.850583434276469</c:v>
                </c:pt>
                <c:pt idx="46">
                  <c:v>9.2721581983074941</c:v>
                </c:pt>
                <c:pt idx="47">
                  <c:v>11.552092125444714</c:v>
                </c:pt>
                <c:pt idx="48">
                  <c:v>29.823141113144494</c:v>
                </c:pt>
                <c:pt idx="49">
                  <c:v>20.235842277839598</c:v>
                </c:pt>
                <c:pt idx="50">
                  <c:v>20.113520799249663</c:v>
                </c:pt>
                <c:pt idx="51">
                  <c:v>22.269052172905656</c:v>
                </c:pt>
                <c:pt idx="52">
                  <c:v>34.030489307543384</c:v>
                </c:pt>
                <c:pt idx="53">
                  <c:v>35.759754053964834</c:v>
                </c:pt>
                <c:pt idx="54">
                  <c:v>22.259883657426649</c:v>
                </c:pt>
                <c:pt idx="55">
                  <c:v>31.876634487363624</c:v>
                </c:pt>
                <c:pt idx="56">
                  <c:v>40.400334591338165</c:v>
                </c:pt>
                <c:pt idx="57">
                  <c:v>28.878883219616345</c:v>
                </c:pt>
                <c:pt idx="58">
                  <c:v>34.864159834960681</c:v>
                </c:pt>
                <c:pt idx="59">
                  <c:v>40.450742425537292</c:v>
                </c:pt>
                <c:pt idx="60">
                  <c:v>11.786469108116931</c:v>
                </c:pt>
                <c:pt idx="61">
                  <c:v>36.165802003802881</c:v>
                </c:pt>
                <c:pt idx="62">
                  <c:v>3.8863163489757526</c:v>
                </c:pt>
                <c:pt idx="63">
                  <c:v>13.381747037392994</c:v>
                </c:pt>
                <c:pt idx="64">
                  <c:v>16.13338689312782</c:v>
                </c:pt>
                <c:pt idx="65">
                  <c:v>39.742037887725537</c:v>
                </c:pt>
                <c:pt idx="66">
                  <c:v>32.389327643037198</c:v>
                </c:pt>
                <c:pt idx="67">
                  <c:v>31.578338202834583</c:v>
                </c:pt>
                <c:pt idx="68">
                  <c:v>25.138053814284749</c:v>
                </c:pt>
                <c:pt idx="69">
                  <c:v>15.59019609030304</c:v>
                </c:pt>
                <c:pt idx="70">
                  <c:v>16.226393527483566</c:v>
                </c:pt>
                <c:pt idx="71">
                  <c:v>9.098782735148248</c:v>
                </c:pt>
                <c:pt idx="72">
                  <c:v>14.660204506148336</c:v>
                </c:pt>
                <c:pt idx="73">
                  <c:v>13.954091503892975</c:v>
                </c:pt>
                <c:pt idx="74">
                  <c:v>13.926320029864447</c:v>
                </c:pt>
                <c:pt idx="75">
                  <c:v>11.695862788743904</c:v>
                </c:pt>
                <c:pt idx="76">
                  <c:v>15.119951689095444</c:v>
                </c:pt>
                <c:pt idx="77">
                  <c:v>28.887480089063029</c:v>
                </c:pt>
                <c:pt idx="78">
                  <c:v>32.075917773851756</c:v>
                </c:pt>
                <c:pt idx="79">
                  <c:v>45.405188293448589</c:v>
                </c:pt>
                <c:pt idx="80">
                  <c:v>43.107538871018129</c:v>
                </c:pt>
                <c:pt idx="81">
                  <c:v>49.13481481312872</c:v>
                </c:pt>
                <c:pt idx="82">
                  <c:v>48.327374638622764</c:v>
                </c:pt>
                <c:pt idx="83">
                  <c:v>43.006822072574423</c:v>
                </c:pt>
                <c:pt idx="84">
                  <c:v>47.607015838024168</c:v>
                </c:pt>
                <c:pt idx="85">
                  <c:v>46.025978014382581</c:v>
                </c:pt>
                <c:pt idx="86">
                  <c:v>14.820835553585781</c:v>
                </c:pt>
                <c:pt idx="87">
                  <c:v>28.445254440656999</c:v>
                </c:pt>
                <c:pt idx="88">
                  <c:v>7.9756703458465221</c:v>
                </c:pt>
                <c:pt idx="89">
                  <c:v>28.408287530945969</c:v>
                </c:pt>
                <c:pt idx="90">
                  <c:v>33.266057647399073</c:v>
                </c:pt>
                <c:pt idx="91">
                  <c:v>20.766825375258978</c:v>
                </c:pt>
                <c:pt idx="92">
                  <c:v>23.103209797463848</c:v>
                </c:pt>
                <c:pt idx="93">
                  <c:v>46.506580356828401</c:v>
                </c:pt>
                <c:pt idx="94">
                  <c:v>53.365783760585408</c:v>
                </c:pt>
                <c:pt idx="95">
                  <c:v>11.551276035135711</c:v>
                </c:pt>
                <c:pt idx="96">
                  <c:v>38.77648849291689</c:v>
                </c:pt>
                <c:pt idx="97">
                  <c:v>31.502929617199865</c:v>
                </c:pt>
                <c:pt idx="98">
                  <c:v>36.958789625534045</c:v>
                </c:pt>
                <c:pt idx="99">
                  <c:v>54.042848999829033</c:v>
                </c:pt>
                <c:pt idx="100">
                  <c:v>44.790752281233424</c:v>
                </c:pt>
                <c:pt idx="101">
                  <c:v>38.25452553001881</c:v>
                </c:pt>
                <c:pt idx="102">
                  <c:v>8.1749350722859582</c:v>
                </c:pt>
                <c:pt idx="103">
                  <c:v>41.376670606605543</c:v>
                </c:pt>
                <c:pt idx="104">
                  <c:v>45.15017879904125</c:v>
                </c:pt>
                <c:pt idx="105">
                  <c:v>46.84586043428223</c:v>
                </c:pt>
                <c:pt idx="106">
                  <c:v>54.983338121252736</c:v>
                </c:pt>
                <c:pt idx="107">
                  <c:v>40.673991301322332</c:v>
                </c:pt>
                <c:pt idx="108">
                  <c:v>9.5076718804444411</c:v>
                </c:pt>
                <c:pt idx="109">
                  <c:v>9.9194617858295313</c:v>
                </c:pt>
                <c:pt idx="110">
                  <c:v>9.548251587030574</c:v>
                </c:pt>
                <c:pt idx="111">
                  <c:v>27.751436070250755</c:v>
                </c:pt>
                <c:pt idx="112">
                  <c:v>9.2423344757257944</c:v>
                </c:pt>
                <c:pt idx="113">
                  <c:v>31.936433875238638</c:v>
                </c:pt>
                <c:pt idx="114">
                  <c:v>48.333638653020344</c:v>
                </c:pt>
                <c:pt idx="115">
                  <c:v>55.415180747897075</c:v>
                </c:pt>
                <c:pt idx="116">
                  <c:v>40.226066964715947</c:v>
                </c:pt>
                <c:pt idx="117">
                  <c:v>24.237847388360272</c:v>
                </c:pt>
                <c:pt idx="118">
                  <c:v>44.3282213136225</c:v>
                </c:pt>
                <c:pt idx="119">
                  <c:v>46.92360369642735</c:v>
                </c:pt>
                <c:pt idx="120">
                  <c:v>47.477970854892092</c:v>
                </c:pt>
                <c:pt idx="121">
                  <c:v>28.14959276106838</c:v>
                </c:pt>
                <c:pt idx="122">
                  <c:v>39.290542593374425</c:v>
                </c:pt>
                <c:pt idx="123">
                  <c:v>21.276343619424367</c:v>
                </c:pt>
                <c:pt idx="124">
                  <c:v>43.645049335136406</c:v>
                </c:pt>
                <c:pt idx="125">
                  <c:v>38.300426479726148</c:v>
                </c:pt>
                <c:pt idx="126">
                  <c:v>52.398374076336616</c:v>
                </c:pt>
                <c:pt idx="127">
                  <c:v>48.317443986240662</c:v>
                </c:pt>
                <c:pt idx="128">
                  <c:v>55.483455824474042</c:v>
                </c:pt>
                <c:pt idx="129">
                  <c:v>51.82784148352863</c:v>
                </c:pt>
                <c:pt idx="130">
                  <c:v>55.887389084819738</c:v>
                </c:pt>
                <c:pt idx="131">
                  <c:v>41.667471288709883</c:v>
                </c:pt>
                <c:pt idx="132">
                  <c:v>43.643877230809061</c:v>
                </c:pt>
                <c:pt idx="133">
                  <c:v>49.733066775931938</c:v>
                </c:pt>
                <c:pt idx="134">
                  <c:v>52.336121887687135</c:v>
                </c:pt>
                <c:pt idx="135">
                  <c:v>50.770089237156611</c:v>
                </c:pt>
                <c:pt idx="136">
                  <c:v>54.14761895567311</c:v>
                </c:pt>
                <c:pt idx="137">
                  <c:v>52.37172157222281</c:v>
                </c:pt>
                <c:pt idx="138">
                  <c:v>55.054870315654128</c:v>
                </c:pt>
                <c:pt idx="139">
                  <c:v>49.127008746514846</c:v>
                </c:pt>
                <c:pt idx="140">
                  <c:v>49.222451215332484</c:v>
                </c:pt>
                <c:pt idx="141">
                  <c:v>37.38949343657854</c:v>
                </c:pt>
                <c:pt idx="142">
                  <c:v>19.741099360638756</c:v>
                </c:pt>
                <c:pt idx="143">
                  <c:v>16.3197808593203</c:v>
                </c:pt>
                <c:pt idx="144">
                  <c:v>41.052246203393302</c:v>
                </c:pt>
                <c:pt idx="145">
                  <c:v>24.95471046155955</c:v>
                </c:pt>
                <c:pt idx="146">
                  <c:v>45.944438890660578</c:v>
                </c:pt>
                <c:pt idx="147">
                  <c:v>55.261371711594002</c:v>
                </c:pt>
                <c:pt idx="148">
                  <c:v>59.751043442173831</c:v>
                </c:pt>
                <c:pt idx="149">
                  <c:v>50.698390980213297</c:v>
                </c:pt>
                <c:pt idx="150">
                  <c:v>54.959158357645521</c:v>
                </c:pt>
                <c:pt idx="151">
                  <c:v>56.002700254070923</c:v>
                </c:pt>
                <c:pt idx="152">
                  <c:v>44.664675364881035</c:v>
                </c:pt>
                <c:pt idx="153">
                  <c:v>54.631252019676836</c:v>
                </c:pt>
                <c:pt idx="154">
                  <c:v>26.044221015648901</c:v>
                </c:pt>
                <c:pt idx="155">
                  <c:v>35.887772082567686</c:v>
                </c:pt>
                <c:pt idx="156">
                  <c:v>46.812060341036435</c:v>
                </c:pt>
                <c:pt idx="157">
                  <c:v>28.396535386699693</c:v>
                </c:pt>
                <c:pt idx="158">
                  <c:v>21.170360252195952</c:v>
                </c:pt>
                <c:pt idx="159">
                  <c:v>46.123767733857335</c:v>
                </c:pt>
                <c:pt idx="160">
                  <c:v>57.540442627520619</c:v>
                </c:pt>
                <c:pt idx="161">
                  <c:v>55.605307237768564</c:v>
                </c:pt>
                <c:pt idx="162">
                  <c:v>43.163539895096527</c:v>
                </c:pt>
                <c:pt idx="163">
                  <c:v>54.281837692363162</c:v>
                </c:pt>
                <c:pt idx="164">
                  <c:v>48.254678334905321</c:v>
                </c:pt>
                <c:pt idx="165">
                  <c:v>54.398758223032473</c:v>
                </c:pt>
                <c:pt idx="166">
                  <c:v>52.248095319483305</c:v>
                </c:pt>
                <c:pt idx="167">
                  <c:v>52.38863288044972</c:v>
                </c:pt>
                <c:pt idx="168">
                  <c:v>54.779396559306782</c:v>
                </c:pt>
                <c:pt idx="169">
                  <c:v>56.111400048336328</c:v>
                </c:pt>
                <c:pt idx="170">
                  <c:v>31.653991627623576</c:v>
                </c:pt>
                <c:pt idx="171">
                  <c:v>22.780101318489475</c:v>
                </c:pt>
                <c:pt idx="172">
                  <c:v>44.122085483542982</c:v>
                </c:pt>
                <c:pt idx="173">
                  <c:v>41.618438960417812</c:v>
                </c:pt>
                <c:pt idx="174">
                  <c:v>39.255947620985744</c:v>
                </c:pt>
                <c:pt idx="175">
                  <c:v>34.066920733350678</c:v>
                </c:pt>
                <c:pt idx="176">
                  <c:v>12.095061834495272</c:v>
                </c:pt>
                <c:pt idx="177">
                  <c:v>14.696622372985054</c:v>
                </c:pt>
                <c:pt idx="178">
                  <c:v>58.303470056236357</c:v>
                </c:pt>
                <c:pt idx="179">
                  <c:v>56.6318102711978</c:v>
                </c:pt>
                <c:pt idx="180">
                  <c:v>13.966367060573962</c:v>
                </c:pt>
                <c:pt idx="181">
                  <c:v>50.375883834204458</c:v>
                </c:pt>
                <c:pt idx="182">
                  <c:v>55.648373387090928</c:v>
                </c:pt>
                <c:pt idx="183">
                  <c:v>45.84173579513989</c:v>
                </c:pt>
                <c:pt idx="184">
                  <c:v>44.35118433217356</c:v>
                </c:pt>
                <c:pt idx="185">
                  <c:v>55.597150658487394</c:v>
                </c:pt>
                <c:pt idx="186">
                  <c:v>47.258474269379114</c:v>
                </c:pt>
                <c:pt idx="187">
                  <c:v>55.046307154484587</c:v>
                </c:pt>
                <c:pt idx="188">
                  <c:v>57.418019341398711</c:v>
                </c:pt>
                <c:pt idx="189">
                  <c:v>56.747183738720068</c:v>
                </c:pt>
                <c:pt idx="190">
                  <c:v>56.208011931796236</c:v>
                </c:pt>
                <c:pt idx="191">
                  <c:v>54.731877252546631</c:v>
                </c:pt>
                <c:pt idx="192">
                  <c:v>54.495147184819437</c:v>
                </c:pt>
                <c:pt idx="193">
                  <c:v>54.218347163953908</c:v>
                </c:pt>
                <c:pt idx="194">
                  <c:v>53.65147961809506</c:v>
                </c:pt>
                <c:pt idx="195">
                  <c:v>51.881366813781206</c:v>
                </c:pt>
                <c:pt idx="196">
                  <c:v>53.390819136809696</c:v>
                </c:pt>
                <c:pt idx="197">
                  <c:v>52.921267598063999</c:v>
                </c:pt>
                <c:pt idx="198">
                  <c:v>53.875433744345649</c:v>
                </c:pt>
                <c:pt idx="199">
                  <c:v>44.52081115709197</c:v>
                </c:pt>
                <c:pt idx="200">
                  <c:v>44.086413586505898</c:v>
                </c:pt>
                <c:pt idx="201">
                  <c:v>52.135627115139954</c:v>
                </c:pt>
                <c:pt idx="202">
                  <c:v>42.096276978320745</c:v>
                </c:pt>
                <c:pt idx="203">
                  <c:v>48.373562478507566</c:v>
                </c:pt>
                <c:pt idx="204">
                  <c:v>52.367335750753448</c:v>
                </c:pt>
                <c:pt idx="205">
                  <c:v>26.686583212958364</c:v>
                </c:pt>
                <c:pt idx="206">
                  <c:v>56.592218817645353</c:v>
                </c:pt>
                <c:pt idx="207">
                  <c:v>56.631370394952256</c:v>
                </c:pt>
                <c:pt idx="208">
                  <c:v>44.154488418360266</c:v>
                </c:pt>
                <c:pt idx="209">
                  <c:v>31.536876373643405</c:v>
                </c:pt>
                <c:pt idx="210">
                  <c:v>48.776444209830359</c:v>
                </c:pt>
                <c:pt idx="211">
                  <c:v>54.158487417501156</c:v>
                </c:pt>
                <c:pt idx="212">
                  <c:v>53.791944818599589</c:v>
                </c:pt>
                <c:pt idx="213">
                  <c:v>53.781406130627026</c:v>
                </c:pt>
                <c:pt idx="214">
                  <c:v>50.788044601349036</c:v>
                </c:pt>
                <c:pt idx="215">
                  <c:v>50.035781576174941</c:v>
                </c:pt>
                <c:pt idx="216">
                  <c:v>45.439582687313496</c:v>
                </c:pt>
                <c:pt idx="217">
                  <c:v>49.896164101991751</c:v>
                </c:pt>
                <c:pt idx="218">
                  <c:v>52.506757382431118</c:v>
                </c:pt>
                <c:pt idx="219">
                  <c:v>52.949569938236365</c:v>
                </c:pt>
                <c:pt idx="220">
                  <c:v>50.962938221810141</c:v>
                </c:pt>
                <c:pt idx="221">
                  <c:v>48.159084052607248</c:v>
                </c:pt>
                <c:pt idx="222">
                  <c:v>46.56941120862178</c:v>
                </c:pt>
                <c:pt idx="223">
                  <c:v>47.496102378804984</c:v>
                </c:pt>
                <c:pt idx="224">
                  <c:v>35.745029758057221</c:v>
                </c:pt>
                <c:pt idx="225">
                  <c:v>33.929762977660012</c:v>
                </c:pt>
                <c:pt idx="226">
                  <c:v>38.436319059850447</c:v>
                </c:pt>
                <c:pt idx="227">
                  <c:v>35.550811654653728</c:v>
                </c:pt>
                <c:pt idx="228">
                  <c:v>28.522753917929155</c:v>
                </c:pt>
                <c:pt idx="229">
                  <c:v>36.188553709850105</c:v>
                </c:pt>
                <c:pt idx="230">
                  <c:v>41.222355123367592</c:v>
                </c:pt>
                <c:pt idx="231">
                  <c:v>49.504305631334923</c:v>
                </c:pt>
                <c:pt idx="232">
                  <c:v>33.440238824458731</c:v>
                </c:pt>
                <c:pt idx="233">
                  <c:v>26.6513090384226</c:v>
                </c:pt>
                <c:pt idx="234">
                  <c:v>48.333641246268009</c:v>
                </c:pt>
                <c:pt idx="235">
                  <c:v>46.078999130732626</c:v>
                </c:pt>
                <c:pt idx="236">
                  <c:v>32.306561967184649</c:v>
                </c:pt>
                <c:pt idx="237">
                  <c:v>42.903402517393189</c:v>
                </c:pt>
                <c:pt idx="238">
                  <c:v>48.791301780159102</c:v>
                </c:pt>
                <c:pt idx="239">
                  <c:v>47.730058080435263</c:v>
                </c:pt>
                <c:pt idx="240">
                  <c:v>32.660315601020756</c:v>
                </c:pt>
                <c:pt idx="241">
                  <c:v>47.414996848347201</c:v>
                </c:pt>
                <c:pt idx="242">
                  <c:v>24.491198365774888</c:v>
                </c:pt>
                <c:pt idx="243">
                  <c:v>40.09017872192593</c:v>
                </c:pt>
                <c:pt idx="244">
                  <c:v>38.58376159587803</c:v>
                </c:pt>
                <c:pt idx="245">
                  <c:v>37.670291048625529</c:v>
                </c:pt>
                <c:pt idx="246">
                  <c:v>45.528464621059491</c:v>
                </c:pt>
                <c:pt idx="247">
                  <c:v>39.795607338818989</c:v>
                </c:pt>
                <c:pt idx="248">
                  <c:v>45.03456763674042</c:v>
                </c:pt>
                <c:pt idx="249">
                  <c:v>35.850501174506675</c:v>
                </c:pt>
                <c:pt idx="250">
                  <c:v>34.842353464190346</c:v>
                </c:pt>
                <c:pt idx="251">
                  <c:v>23.335659787281877</c:v>
                </c:pt>
                <c:pt idx="252">
                  <c:v>46.159760444423007</c:v>
                </c:pt>
                <c:pt idx="253">
                  <c:v>45.591818427414644</c:v>
                </c:pt>
                <c:pt idx="254">
                  <c:v>33.092735563040449</c:v>
                </c:pt>
                <c:pt idx="255">
                  <c:v>14.047330736417697</c:v>
                </c:pt>
                <c:pt idx="256">
                  <c:v>35.225410015268544</c:v>
                </c:pt>
                <c:pt idx="257">
                  <c:v>40.343135757469845</c:v>
                </c:pt>
                <c:pt idx="258">
                  <c:v>32.233717046511984</c:v>
                </c:pt>
                <c:pt idx="259">
                  <c:v>45.043158776476318</c:v>
                </c:pt>
                <c:pt idx="260">
                  <c:v>45.036057601073999</c:v>
                </c:pt>
                <c:pt idx="261">
                  <c:v>44.424902097903647</c:v>
                </c:pt>
                <c:pt idx="262">
                  <c:v>46.116137406419135</c:v>
                </c:pt>
                <c:pt idx="263">
                  <c:v>44.929087184144329</c:v>
                </c:pt>
                <c:pt idx="264">
                  <c:v>43.47653438788624</c:v>
                </c:pt>
                <c:pt idx="265">
                  <c:v>27.594518642396562</c:v>
                </c:pt>
                <c:pt idx="266">
                  <c:v>16.715576618696772</c:v>
                </c:pt>
                <c:pt idx="267">
                  <c:v>35.201469397237069</c:v>
                </c:pt>
                <c:pt idx="268">
                  <c:v>32.230377761829494</c:v>
                </c:pt>
                <c:pt idx="269">
                  <c:v>17.090503213242918</c:v>
                </c:pt>
                <c:pt idx="270">
                  <c:v>19.370663140777712</c:v>
                </c:pt>
                <c:pt idx="271">
                  <c:v>23.274069560675194</c:v>
                </c:pt>
                <c:pt idx="272">
                  <c:v>27.618464764720819</c:v>
                </c:pt>
                <c:pt idx="273">
                  <c:v>36.086762234104874</c:v>
                </c:pt>
                <c:pt idx="274">
                  <c:v>38.478873191318392</c:v>
                </c:pt>
                <c:pt idx="275">
                  <c:v>37.144983033071199</c:v>
                </c:pt>
                <c:pt idx="276">
                  <c:v>40.916413172571808</c:v>
                </c:pt>
                <c:pt idx="277">
                  <c:v>41.714319556245322</c:v>
                </c:pt>
                <c:pt idx="278">
                  <c:v>11.522849866148372</c:v>
                </c:pt>
                <c:pt idx="279">
                  <c:v>28.943077903706126</c:v>
                </c:pt>
                <c:pt idx="280">
                  <c:v>16.703000247813485</c:v>
                </c:pt>
                <c:pt idx="281">
                  <c:v>38.135803782900673</c:v>
                </c:pt>
                <c:pt idx="282">
                  <c:v>30.61488975370218</c:v>
                </c:pt>
                <c:pt idx="283">
                  <c:v>22.266996192166214</c:v>
                </c:pt>
                <c:pt idx="284">
                  <c:v>27.636249245447345</c:v>
                </c:pt>
                <c:pt idx="285">
                  <c:v>23.138597238594716</c:v>
                </c:pt>
                <c:pt idx="286">
                  <c:v>17.985603581892143</c:v>
                </c:pt>
                <c:pt idx="287">
                  <c:v>36.955761027045725</c:v>
                </c:pt>
                <c:pt idx="288">
                  <c:v>32.616756009026716</c:v>
                </c:pt>
                <c:pt idx="289">
                  <c:v>19.362643959059344</c:v>
                </c:pt>
                <c:pt idx="290">
                  <c:v>34.153797988480029</c:v>
                </c:pt>
                <c:pt idx="291">
                  <c:v>15.874447911795599</c:v>
                </c:pt>
                <c:pt idx="292">
                  <c:v>6.684536912904937</c:v>
                </c:pt>
                <c:pt idx="293">
                  <c:v>16.267656026094095</c:v>
                </c:pt>
                <c:pt idx="294">
                  <c:v>32.865624465390297</c:v>
                </c:pt>
                <c:pt idx="295">
                  <c:v>16.890935775511132</c:v>
                </c:pt>
                <c:pt idx="296">
                  <c:v>24.990471026491669</c:v>
                </c:pt>
                <c:pt idx="297">
                  <c:v>22.095110474249214</c:v>
                </c:pt>
                <c:pt idx="298">
                  <c:v>12.316818704341305</c:v>
                </c:pt>
                <c:pt idx="299">
                  <c:v>14.248682861719072</c:v>
                </c:pt>
                <c:pt idx="300">
                  <c:v>17.14032259321592</c:v>
                </c:pt>
                <c:pt idx="301">
                  <c:v>26.619832549725906</c:v>
                </c:pt>
                <c:pt idx="302">
                  <c:v>22.886210423460106</c:v>
                </c:pt>
                <c:pt idx="303">
                  <c:v>21.767749900620746</c:v>
                </c:pt>
                <c:pt idx="304">
                  <c:v>19.296466423680542</c:v>
                </c:pt>
                <c:pt idx="305">
                  <c:v>28.626562625483469</c:v>
                </c:pt>
                <c:pt idx="306">
                  <c:v>10.048611133271342</c:v>
                </c:pt>
                <c:pt idx="307">
                  <c:v>17.354132954861115</c:v>
                </c:pt>
                <c:pt idx="308">
                  <c:v>29.560909283544429</c:v>
                </c:pt>
                <c:pt idx="309">
                  <c:v>29.518388324652314</c:v>
                </c:pt>
                <c:pt idx="310">
                  <c:v>27.688180147803337</c:v>
                </c:pt>
                <c:pt idx="311">
                  <c:v>19.966599087073792</c:v>
                </c:pt>
                <c:pt idx="312">
                  <c:v>9.834780815725253</c:v>
                </c:pt>
                <c:pt idx="313">
                  <c:v>19.857108660139467</c:v>
                </c:pt>
                <c:pt idx="314">
                  <c:v>27.162431310735087</c:v>
                </c:pt>
                <c:pt idx="315">
                  <c:v>26.747940753190942</c:v>
                </c:pt>
                <c:pt idx="316">
                  <c:v>25.723953941710658</c:v>
                </c:pt>
                <c:pt idx="317">
                  <c:v>9.5248052597184376</c:v>
                </c:pt>
                <c:pt idx="318">
                  <c:v>12.221981241790576</c:v>
                </c:pt>
                <c:pt idx="319">
                  <c:v>26.313939983286076</c:v>
                </c:pt>
                <c:pt idx="320">
                  <c:v>13.471046299090791</c:v>
                </c:pt>
                <c:pt idx="321">
                  <c:v>15.420352059575592</c:v>
                </c:pt>
                <c:pt idx="322">
                  <c:v>7.0472340422733648</c:v>
                </c:pt>
                <c:pt idx="323">
                  <c:v>15.507781216361025</c:v>
                </c:pt>
                <c:pt idx="324">
                  <c:v>3.1148842543896929</c:v>
                </c:pt>
                <c:pt idx="325">
                  <c:v>7.7060927176940783</c:v>
                </c:pt>
                <c:pt idx="326">
                  <c:v>12.923849997892106</c:v>
                </c:pt>
                <c:pt idx="327">
                  <c:v>13.56278820018488</c:v>
                </c:pt>
                <c:pt idx="328">
                  <c:v>4.6998979845322753</c:v>
                </c:pt>
                <c:pt idx="329">
                  <c:v>10.799834949356383</c:v>
                </c:pt>
                <c:pt idx="330">
                  <c:v>14.216984928115485</c:v>
                </c:pt>
                <c:pt idx="331">
                  <c:v>10.314440547556135</c:v>
                </c:pt>
                <c:pt idx="332">
                  <c:v>15.022100232258053</c:v>
                </c:pt>
                <c:pt idx="333">
                  <c:v>3.9255704347372</c:v>
                </c:pt>
                <c:pt idx="334">
                  <c:v>3.7158040574884867</c:v>
                </c:pt>
                <c:pt idx="335">
                  <c:v>5.5823935499453219</c:v>
                </c:pt>
                <c:pt idx="336">
                  <c:v>9.3557027451546801</c:v>
                </c:pt>
                <c:pt idx="337">
                  <c:v>17.1572043239956</c:v>
                </c:pt>
                <c:pt idx="338">
                  <c:v>22.74537218358601</c:v>
                </c:pt>
                <c:pt idx="339">
                  <c:v>11.181371142955932</c:v>
                </c:pt>
                <c:pt idx="340">
                  <c:v>20.148664928625109</c:v>
                </c:pt>
                <c:pt idx="341">
                  <c:v>4.0467084932824324</c:v>
                </c:pt>
                <c:pt idx="342">
                  <c:v>4.9389161178152028</c:v>
                </c:pt>
                <c:pt idx="343">
                  <c:v>11.956343516984029</c:v>
                </c:pt>
                <c:pt idx="344">
                  <c:v>17.10839092768299</c:v>
                </c:pt>
                <c:pt idx="345">
                  <c:v>5.2289425238022078</c:v>
                </c:pt>
                <c:pt idx="346">
                  <c:v>5.2941630386259542</c:v>
                </c:pt>
                <c:pt idx="347">
                  <c:v>16.905519526867252</c:v>
                </c:pt>
                <c:pt idx="348">
                  <c:v>5.7777042064501725</c:v>
                </c:pt>
                <c:pt idx="349">
                  <c:v>5.1032597061183855</c:v>
                </c:pt>
                <c:pt idx="350">
                  <c:v>3.4599452814045795</c:v>
                </c:pt>
                <c:pt idx="351">
                  <c:v>20.639470741997627</c:v>
                </c:pt>
                <c:pt idx="352">
                  <c:v>17.563824035214189</c:v>
                </c:pt>
                <c:pt idx="353">
                  <c:v>4.4770306272821765</c:v>
                </c:pt>
                <c:pt idx="354">
                  <c:v>20.498557661561478</c:v>
                </c:pt>
                <c:pt idx="355">
                  <c:v>17.331559758091462</c:v>
                </c:pt>
                <c:pt idx="356">
                  <c:v>17.564830370817415</c:v>
                </c:pt>
                <c:pt idx="357">
                  <c:v>20.875885314000936</c:v>
                </c:pt>
                <c:pt idx="358">
                  <c:v>11.79415807891402</c:v>
                </c:pt>
                <c:pt idx="359">
                  <c:v>20.390191706951335</c:v>
                </c:pt>
                <c:pt idx="360">
                  <c:v>6.9090586451983009</c:v>
                </c:pt>
                <c:pt idx="361">
                  <c:v>21.448883300416682</c:v>
                </c:pt>
                <c:pt idx="362">
                  <c:v>10.187408710347368</c:v>
                </c:pt>
                <c:pt idx="363">
                  <c:v>13.802747796600245</c:v>
                </c:pt>
                <c:pt idx="364">
                  <c:v>11.419827993301922</c:v>
                </c:pt>
                <c:pt idx="365">
                  <c:v>15.350245338621082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23.644842828432907</c:v>
                </c:pt>
                <c:pt idx="1">
                  <c:v>16.307333198095684</c:v>
                </c:pt>
                <c:pt idx="2">
                  <c:v>17.608120077169293</c:v>
                </c:pt>
                <c:pt idx="3">
                  <c:v>18.711065837273285</c:v>
                </c:pt>
                <c:pt idx="4">
                  <c:v>14.796946990749767</c:v>
                </c:pt>
                <c:pt idx="5">
                  <c:v>21.234068789963064</c:v>
                </c:pt>
                <c:pt idx="6">
                  <c:v>10.412772687526179</c:v>
                </c:pt>
                <c:pt idx="7">
                  <c:v>7.4107927682271946</c:v>
                </c:pt>
                <c:pt idx="8">
                  <c:v>2.2125236431308353</c:v>
                </c:pt>
                <c:pt idx="9">
                  <c:v>1.8144706347883941</c:v>
                </c:pt>
                <c:pt idx="10">
                  <c:v>25.43591655545881</c:v>
                </c:pt>
                <c:pt idx="11">
                  <c:v>22.111218491302008</c:v>
                </c:pt>
                <c:pt idx="12">
                  <c:v>5.6681373619130939</c:v>
                </c:pt>
                <c:pt idx="13">
                  <c:v>26.898668957857375</c:v>
                </c:pt>
                <c:pt idx="14">
                  <c:v>27.214650821245982</c:v>
                </c:pt>
                <c:pt idx="15">
                  <c:v>26.625753128576736</c:v>
                </c:pt>
                <c:pt idx="16">
                  <c:v>12.29503184361975</c:v>
                </c:pt>
                <c:pt idx="17">
                  <c:v>3.9059070234645596</c:v>
                </c:pt>
                <c:pt idx="18">
                  <c:v>10.65737439224587</c:v>
                </c:pt>
                <c:pt idx="19">
                  <c:v>6.6741892181775482</c:v>
                </c:pt>
                <c:pt idx="20">
                  <c:v>21.279495978590948</c:v>
                </c:pt>
                <c:pt idx="21">
                  <c:v>28.405188794467243</c:v>
                </c:pt>
                <c:pt idx="22">
                  <c:v>28.531280191200462</c:v>
                </c:pt>
                <c:pt idx="23">
                  <c:v>29.08475796626044</c:v>
                </c:pt>
                <c:pt idx="24">
                  <c:v>28.124055222672201</c:v>
                </c:pt>
                <c:pt idx="25">
                  <c:v>28.808863382128756</c:v>
                </c:pt>
                <c:pt idx="26">
                  <c:v>27.52922601615537</c:v>
                </c:pt>
                <c:pt idx="27">
                  <c:v>4.350658859368421</c:v>
                </c:pt>
                <c:pt idx="28">
                  <c:v>9.1829692120304109</c:v>
                </c:pt>
                <c:pt idx="29">
                  <c:v>4.7425096823190671</c:v>
                </c:pt>
                <c:pt idx="30">
                  <c:v>7.8643688278311989</c:v>
                </c:pt>
                <c:pt idx="31">
                  <c:v>13.05088044670633</c:v>
                </c:pt>
                <c:pt idx="32">
                  <c:v>5.5095961026033526</c:v>
                </c:pt>
                <c:pt idx="33">
                  <c:v>10.813225248872499</c:v>
                </c:pt>
                <c:pt idx="34">
                  <c:v>10.650599391311852</c:v>
                </c:pt>
                <c:pt idx="35">
                  <c:v>9.3589946942955411</c:v>
                </c:pt>
                <c:pt idx="36">
                  <c:v>21.804296164609131</c:v>
                </c:pt>
                <c:pt idx="37">
                  <c:v>9.1894622676795095</c:v>
                </c:pt>
                <c:pt idx="38">
                  <c:v>34.080866128071008</c:v>
                </c:pt>
                <c:pt idx="39">
                  <c:v>34.372633295393697</c:v>
                </c:pt>
                <c:pt idx="40">
                  <c:v>32.054676570498572</c:v>
                </c:pt>
                <c:pt idx="41">
                  <c:v>17.756950960075386</c:v>
                </c:pt>
                <c:pt idx="42">
                  <c:v>27.210332637210882</c:v>
                </c:pt>
                <c:pt idx="43">
                  <c:v>33.290821313968713</c:v>
                </c:pt>
                <c:pt idx="44">
                  <c:v>15.629241562425952</c:v>
                </c:pt>
                <c:pt idx="45">
                  <c:v>18.850583434276469</c:v>
                </c:pt>
                <c:pt idx="46">
                  <c:v>9.2721581983074941</c:v>
                </c:pt>
                <c:pt idx="47">
                  <c:v>11.552092125444714</c:v>
                </c:pt>
                <c:pt idx="48">
                  <c:v>29.823141113144494</c:v>
                </c:pt>
                <c:pt idx="49">
                  <c:v>20.235842277839598</c:v>
                </c:pt>
                <c:pt idx="50">
                  <c:v>20.113520799249663</c:v>
                </c:pt>
                <c:pt idx="51">
                  <c:v>22.269052172905656</c:v>
                </c:pt>
                <c:pt idx="52">
                  <c:v>34.030489307543384</c:v>
                </c:pt>
                <c:pt idx="53">
                  <c:v>35.759754053964834</c:v>
                </c:pt>
                <c:pt idx="54">
                  <c:v>22.259883657426649</c:v>
                </c:pt>
                <c:pt idx="55">
                  <c:v>31.876634487363624</c:v>
                </c:pt>
                <c:pt idx="56">
                  <c:v>40.400334591338165</c:v>
                </c:pt>
                <c:pt idx="57">
                  <c:v>28.878883219616345</c:v>
                </c:pt>
                <c:pt idx="58">
                  <c:v>34.864159834960681</c:v>
                </c:pt>
                <c:pt idx="59">
                  <c:v>40.450742425537292</c:v>
                </c:pt>
                <c:pt idx="60">
                  <c:v>11.786469108116931</c:v>
                </c:pt>
                <c:pt idx="61">
                  <c:v>36.165802003802881</c:v>
                </c:pt>
                <c:pt idx="62">
                  <c:v>3.8863163489757526</c:v>
                </c:pt>
                <c:pt idx="63">
                  <c:v>13.381747037392994</c:v>
                </c:pt>
                <c:pt idx="64">
                  <c:v>16.13338689312782</c:v>
                </c:pt>
                <c:pt idx="65">
                  <c:v>39.742037887725537</c:v>
                </c:pt>
                <c:pt idx="66">
                  <c:v>32.389327643037198</c:v>
                </c:pt>
                <c:pt idx="67">
                  <c:v>31.578338202834583</c:v>
                </c:pt>
                <c:pt idx="68">
                  <c:v>25.138053814284749</c:v>
                </c:pt>
                <c:pt idx="69">
                  <c:v>15.59019609030304</c:v>
                </c:pt>
                <c:pt idx="70">
                  <c:v>16.226393527483566</c:v>
                </c:pt>
                <c:pt idx="71">
                  <c:v>9.098782735148248</c:v>
                </c:pt>
                <c:pt idx="72">
                  <c:v>14.660204506148336</c:v>
                </c:pt>
                <c:pt idx="73">
                  <c:v>13.954091503892975</c:v>
                </c:pt>
                <c:pt idx="74">
                  <c:v>13.926320029864447</c:v>
                </c:pt>
                <c:pt idx="75">
                  <c:v>11.695862788743904</c:v>
                </c:pt>
                <c:pt idx="76">
                  <c:v>15.119951689095444</c:v>
                </c:pt>
                <c:pt idx="77">
                  <c:v>28.887480089063029</c:v>
                </c:pt>
                <c:pt idx="78">
                  <c:v>32.075917773851756</c:v>
                </c:pt>
                <c:pt idx="79">
                  <c:v>45.405188293448589</c:v>
                </c:pt>
                <c:pt idx="80">
                  <c:v>43.107538871018129</c:v>
                </c:pt>
                <c:pt idx="81">
                  <c:v>49.13481481312872</c:v>
                </c:pt>
                <c:pt idx="82">
                  <c:v>48.327374638622764</c:v>
                </c:pt>
                <c:pt idx="83">
                  <c:v>43.006822072574423</c:v>
                </c:pt>
                <c:pt idx="84">
                  <c:v>47.607015838024168</c:v>
                </c:pt>
                <c:pt idx="85">
                  <c:v>46.025978014382581</c:v>
                </c:pt>
                <c:pt idx="86">
                  <c:v>14.820835553585781</c:v>
                </c:pt>
                <c:pt idx="87">
                  <c:v>28.445254440656999</c:v>
                </c:pt>
                <c:pt idx="88">
                  <c:v>7.9756703458465221</c:v>
                </c:pt>
                <c:pt idx="89">
                  <c:v>28.408287530945969</c:v>
                </c:pt>
                <c:pt idx="90">
                  <c:v>33.266057647399073</c:v>
                </c:pt>
                <c:pt idx="91">
                  <c:v>20.766825375258978</c:v>
                </c:pt>
                <c:pt idx="92">
                  <c:v>23.103209797463848</c:v>
                </c:pt>
                <c:pt idx="93">
                  <c:v>46.506580356828401</c:v>
                </c:pt>
                <c:pt idx="94">
                  <c:v>53.365783760585408</c:v>
                </c:pt>
                <c:pt idx="95">
                  <c:v>11.551276035135711</c:v>
                </c:pt>
                <c:pt idx="96">
                  <c:v>38.77648849291689</c:v>
                </c:pt>
                <c:pt idx="97">
                  <c:v>31.502929617199865</c:v>
                </c:pt>
                <c:pt idx="98">
                  <c:v>36.958789625534045</c:v>
                </c:pt>
                <c:pt idx="99">
                  <c:v>54.042848999829033</c:v>
                </c:pt>
                <c:pt idx="100">
                  <c:v>44.790752281233424</c:v>
                </c:pt>
                <c:pt idx="101">
                  <c:v>38.25452553001881</c:v>
                </c:pt>
                <c:pt idx="102">
                  <c:v>8.1749350722859582</c:v>
                </c:pt>
                <c:pt idx="103">
                  <c:v>41.376670606605543</c:v>
                </c:pt>
                <c:pt idx="104">
                  <c:v>45.15017879904125</c:v>
                </c:pt>
                <c:pt idx="105">
                  <c:v>46.84586043428223</c:v>
                </c:pt>
                <c:pt idx="106">
                  <c:v>54.983338121252736</c:v>
                </c:pt>
                <c:pt idx="107">
                  <c:v>40.673991301322332</c:v>
                </c:pt>
                <c:pt idx="108">
                  <c:v>9.5076718804444411</c:v>
                </c:pt>
                <c:pt idx="109">
                  <c:v>9.9194617858295313</c:v>
                </c:pt>
                <c:pt idx="110">
                  <c:v>9.548251587030574</c:v>
                </c:pt>
                <c:pt idx="111">
                  <c:v>27.751436070250755</c:v>
                </c:pt>
                <c:pt idx="112">
                  <c:v>9.2423344757257944</c:v>
                </c:pt>
                <c:pt idx="113">
                  <c:v>31.936433875238638</c:v>
                </c:pt>
                <c:pt idx="114">
                  <c:v>48.333638653020344</c:v>
                </c:pt>
                <c:pt idx="115">
                  <c:v>55.415180747897075</c:v>
                </c:pt>
                <c:pt idx="116">
                  <c:v>40.226066964715947</c:v>
                </c:pt>
                <c:pt idx="117">
                  <c:v>24.237847388360272</c:v>
                </c:pt>
                <c:pt idx="118">
                  <c:v>44.3282213136225</c:v>
                </c:pt>
                <c:pt idx="119">
                  <c:v>46.92360369642735</c:v>
                </c:pt>
                <c:pt idx="120">
                  <c:v>47.477970854892092</c:v>
                </c:pt>
                <c:pt idx="121">
                  <c:v>28.14959276106838</c:v>
                </c:pt>
                <c:pt idx="122">
                  <c:v>39.290542593374425</c:v>
                </c:pt>
                <c:pt idx="123">
                  <c:v>21.276343619424367</c:v>
                </c:pt>
                <c:pt idx="124">
                  <c:v>43.645049335136406</c:v>
                </c:pt>
                <c:pt idx="125">
                  <c:v>38.300426479726148</c:v>
                </c:pt>
                <c:pt idx="126">
                  <c:v>52.398374076336616</c:v>
                </c:pt>
                <c:pt idx="127">
                  <c:v>48.317443986240662</c:v>
                </c:pt>
                <c:pt idx="128">
                  <c:v>55.483455824474042</c:v>
                </c:pt>
                <c:pt idx="129">
                  <c:v>51.82784148352863</c:v>
                </c:pt>
                <c:pt idx="130">
                  <c:v>55.887389084819738</c:v>
                </c:pt>
                <c:pt idx="131">
                  <c:v>41.667471288709883</c:v>
                </c:pt>
                <c:pt idx="132">
                  <c:v>43.643877230809061</c:v>
                </c:pt>
                <c:pt idx="133">
                  <c:v>49.733066775931938</c:v>
                </c:pt>
                <c:pt idx="134">
                  <c:v>52.336121887687135</c:v>
                </c:pt>
                <c:pt idx="135">
                  <c:v>50.770089237156611</c:v>
                </c:pt>
                <c:pt idx="136">
                  <c:v>54.14761895567311</c:v>
                </c:pt>
                <c:pt idx="137">
                  <c:v>52.37172157222281</c:v>
                </c:pt>
                <c:pt idx="138">
                  <c:v>55.054870315654128</c:v>
                </c:pt>
                <c:pt idx="139">
                  <c:v>49.127008746514846</c:v>
                </c:pt>
                <c:pt idx="140">
                  <c:v>49.222451215332484</c:v>
                </c:pt>
                <c:pt idx="141">
                  <c:v>37.38949343657854</c:v>
                </c:pt>
                <c:pt idx="142">
                  <c:v>19.741099360638756</c:v>
                </c:pt>
                <c:pt idx="143">
                  <c:v>16.3197808593203</c:v>
                </c:pt>
                <c:pt idx="144">
                  <c:v>41.052246203393302</c:v>
                </c:pt>
                <c:pt idx="145">
                  <c:v>24.95471046155955</c:v>
                </c:pt>
                <c:pt idx="146">
                  <c:v>45.944438890660578</c:v>
                </c:pt>
                <c:pt idx="147">
                  <c:v>55.261371711594002</c:v>
                </c:pt>
                <c:pt idx="148">
                  <c:v>59.751043442173831</c:v>
                </c:pt>
                <c:pt idx="149">
                  <c:v>50.698390980213297</c:v>
                </c:pt>
                <c:pt idx="150">
                  <c:v>54.959158357645521</c:v>
                </c:pt>
                <c:pt idx="151">
                  <c:v>56.002700254070923</c:v>
                </c:pt>
                <c:pt idx="152">
                  <c:v>44.664675364881035</c:v>
                </c:pt>
                <c:pt idx="153">
                  <c:v>54.631252019676836</c:v>
                </c:pt>
                <c:pt idx="154">
                  <c:v>26.044221015648901</c:v>
                </c:pt>
                <c:pt idx="155">
                  <c:v>35.887772082567686</c:v>
                </c:pt>
                <c:pt idx="156">
                  <c:v>46.812060341036435</c:v>
                </c:pt>
                <c:pt idx="157">
                  <c:v>28.396535386699693</c:v>
                </c:pt>
                <c:pt idx="158">
                  <c:v>21.170360252195952</c:v>
                </c:pt>
                <c:pt idx="159">
                  <c:v>46.123767733857335</c:v>
                </c:pt>
                <c:pt idx="160">
                  <c:v>57.540442627520619</c:v>
                </c:pt>
                <c:pt idx="161">
                  <c:v>55.605307237768564</c:v>
                </c:pt>
                <c:pt idx="162">
                  <c:v>43.163539895096527</c:v>
                </c:pt>
                <c:pt idx="163">
                  <c:v>54.281837692363162</c:v>
                </c:pt>
                <c:pt idx="164">
                  <c:v>48.254678334905321</c:v>
                </c:pt>
                <c:pt idx="165">
                  <c:v>54.398758223032473</c:v>
                </c:pt>
                <c:pt idx="166">
                  <c:v>52.248095319483305</c:v>
                </c:pt>
                <c:pt idx="167">
                  <c:v>52.38863288044972</c:v>
                </c:pt>
                <c:pt idx="168">
                  <c:v>54.779396559306782</c:v>
                </c:pt>
                <c:pt idx="169">
                  <c:v>56.111400048336328</c:v>
                </c:pt>
                <c:pt idx="170">
                  <c:v>31.653991627623576</c:v>
                </c:pt>
                <c:pt idx="171">
                  <c:v>22.780101318489475</c:v>
                </c:pt>
                <c:pt idx="172">
                  <c:v>44.122085483542982</c:v>
                </c:pt>
                <c:pt idx="173">
                  <c:v>41.618438960417812</c:v>
                </c:pt>
                <c:pt idx="174">
                  <c:v>39.255947620985744</c:v>
                </c:pt>
                <c:pt idx="175">
                  <c:v>34.066920733350678</c:v>
                </c:pt>
                <c:pt idx="176">
                  <c:v>12.095061834495272</c:v>
                </c:pt>
                <c:pt idx="177">
                  <c:v>14.696622372985054</c:v>
                </c:pt>
                <c:pt idx="178">
                  <c:v>58.303470056236357</c:v>
                </c:pt>
                <c:pt idx="179">
                  <c:v>56.6318102711978</c:v>
                </c:pt>
                <c:pt idx="180">
                  <c:v>13.966367060573962</c:v>
                </c:pt>
                <c:pt idx="181">
                  <c:v>50.375883834204458</c:v>
                </c:pt>
                <c:pt idx="182">
                  <c:v>55.648373387090928</c:v>
                </c:pt>
                <c:pt idx="183">
                  <c:v>45.84173579513989</c:v>
                </c:pt>
                <c:pt idx="184">
                  <c:v>44.35118433217356</c:v>
                </c:pt>
                <c:pt idx="185">
                  <c:v>55.597150658487394</c:v>
                </c:pt>
                <c:pt idx="186">
                  <c:v>47.258474269379114</c:v>
                </c:pt>
                <c:pt idx="187">
                  <c:v>55.046307154484587</c:v>
                </c:pt>
                <c:pt idx="188">
                  <c:v>57.418019341398711</c:v>
                </c:pt>
                <c:pt idx="189">
                  <c:v>56.747183738720068</c:v>
                </c:pt>
                <c:pt idx="190">
                  <c:v>56.208011931796236</c:v>
                </c:pt>
                <c:pt idx="191">
                  <c:v>54.731877252546631</c:v>
                </c:pt>
                <c:pt idx="192">
                  <c:v>54.495147184819437</c:v>
                </c:pt>
                <c:pt idx="193">
                  <c:v>54.218347163953908</c:v>
                </c:pt>
                <c:pt idx="194">
                  <c:v>53.65147961809506</c:v>
                </c:pt>
                <c:pt idx="195">
                  <c:v>51.881366813781206</c:v>
                </c:pt>
                <c:pt idx="196">
                  <c:v>53.390819136809696</c:v>
                </c:pt>
                <c:pt idx="197">
                  <c:v>52.921267598063999</c:v>
                </c:pt>
                <c:pt idx="198">
                  <c:v>53.875433744345649</c:v>
                </c:pt>
                <c:pt idx="199">
                  <c:v>44.52081115709197</c:v>
                </c:pt>
                <c:pt idx="200">
                  <c:v>44.086413586505898</c:v>
                </c:pt>
                <c:pt idx="201">
                  <c:v>52.135627115139954</c:v>
                </c:pt>
                <c:pt idx="202">
                  <c:v>42.096276978320745</c:v>
                </c:pt>
                <c:pt idx="203">
                  <c:v>48.373562478507566</c:v>
                </c:pt>
                <c:pt idx="204">
                  <c:v>52.367335750753448</c:v>
                </c:pt>
                <c:pt idx="205">
                  <c:v>26.686583212958364</c:v>
                </c:pt>
                <c:pt idx="206">
                  <c:v>56.592218817645353</c:v>
                </c:pt>
                <c:pt idx="207">
                  <c:v>56.631370394952256</c:v>
                </c:pt>
                <c:pt idx="208">
                  <c:v>44.154488418360266</c:v>
                </c:pt>
                <c:pt idx="209">
                  <c:v>31.536876373643405</c:v>
                </c:pt>
                <c:pt idx="210">
                  <c:v>48.776444209830359</c:v>
                </c:pt>
                <c:pt idx="211">
                  <c:v>54.158487417501156</c:v>
                </c:pt>
                <c:pt idx="212">
                  <c:v>53.791944818599589</c:v>
                </c:pt>
                <c:pt idx="213">
                  <c:v>53.781406130627026</c:v>
                </c:pt>
                <c:pt idx="214">
                  <c:v>50.788044601349036</c:v>
                </c:pt>
                <c:pt idx="215">
                  <c:v>50.035781576174941</c:v>
                </c:pt>
                <c:pt idx="216">
                  <c:v>45.439582687313496</c:v>
                </c:pt>
                <c:pt idx="217">
                  <c:v>49.896164101991751</c:v>
                </c:pt>
                <c:pt idx="218">
                  <c:v>52.506757382431118</c:v>
                </c:pt>
                <c:pt idx="219">
                  <c:v>52.949569938236365</c:v>
                </c:pt>
                <c:pt idx="220">
                  <c:v>50.962938221810141</c:v>
                </c:pt>
                <c:pt idx="221">
                  <c:v>48.159084052607248</c:v>
                </c:pt>
                <c:pt idx="222">
                  <c:v>46.56941120862178</c:v>
                </c:pt>
                <c:pt idx="223">
                  <c:v>47.496102378804984</c:v>
                </c:pt>
                <c:pt idx="224">
                  <c:v>35.745029758057221</c:v>
                </c:pt>
                <c:pt idx="225">
                  <c:v>33.929762977660012</c:v>
                </c:pt>
                <c:pt idx="226">
                  <c:v>38.436319059850447</c:v>
                </c:pt>
                <c:pt idx="227">
                  <c:v>35.550811654653728</c:v>
                </c:pt>
                <c:pt idx="228">
                  <c:v>28.522753917929155</c:v>
                </c:pt>
                <c:pt idx="229">
                  <c:v>36.188553709850105</c:v>
                </c:pt>
                <c:pt idx="230">
                  <c:v>41.222355123367592</c:v>
                </c:pt>
                <c:pt idx="231">
                  <c:v>49.504305631334923</c:v>
                </c:pt>
                <c:pt idx="232">
                  <c:v>33.440238824458731</c:v>
                </c:pt>
                <c:pt idx="233">
                  <c:v>26.6513090384226</c:v>
                </c:pt>
                <c:pt idx="234">
                  <c:v>48.333641246268009</c:v>
                </c:pt>
                <c:pt idx="235">
                  <c:v>46.078999130732626</c:v>
                </c:pt>
                <c:pt idx="236">
                  <c:v>32.306561967184649</c:v>
                </c:pt>
                <c:pt idx="237">
                  <c:v>42.903402517393189</c:v>
                </c:pt>
                <c:pt idx="238">
                  <c:v>48.791301780159102</c:v>
                </c:pt>
                <c:pt idx="239">
                  <c:v>47.730058080435263</c:v>
                </c:pt>
                <c:pt idx="240">
                  <c:v>32.660315601020756</c:v>
                </c:pt>
                <c:pt idx="241">
                  <c:v>47.414996848347201</c:v>
                </c:pt>
                <c:pt idx="242">
                  <c:v>24.491198365774888</c:v>
                </c:pt>
                <c:pt idx="243">
                  <c:v>40.09017872192593</c:v>
                </c:pt>
                <c:pt idx="244">
                  <c:v>38.58376159587803</c:v>
                </c:pt>
                <c:pt idx="245">
                  <c:v>37.670291048625529</c:v>
                </c:pt>
                <c:pt idx="246">
                  <c:v>45.528464621059491</c:v>
                </c:pt>
                <c:pt idx="247">
                  <c:v>39.795607338818989</c:v>
                </c:pt>
                <c:pt idx="248">
                  <c:v>45.03456763674042</c:v>
                </c:pt>
                <c:pt idx="249">
                  <c:v>35.850501174506675</c:v>
                </c:pt>
                <c:pt idx="250">
                  <c:v>34.842353464190346</c:v>
                </c:pt>
                <c:pt idx="251">
                  <c:v>23.335659787281877</c:v>
                </c:pt>
                <c:pt idx="252">
                  <c:v>46.159760444423007</c:v>
                </c:pt>
                <c:pt idx="253">
                  <c:v>45.591818427414644</c:v>
                </c:pt>
                <c:pt idx="254">
                  <c:v>33.092735563040449</c:v>
                </c:pt>
                <c:pt idx="255">
                  <c:v>14.047330736417697</c:v>
                </c:pt>
                <c:pt idx="256">
                  <c:v>35.225410015268544</c:v>
                </c:pt>
                <c:pt idx="257">
                  <c:v>40.343135757469845</c:v>
                </c:pt>
                <c:pt idx="258">
                  <c:v>32.233717046511984</c:v>
                </c:pt>
                <c:pt idx="259">
                  <c:v>45.043158776476318</c:v>
                </c:pt>
                <c:pt idx="260">
                  <c:v>45.036057601073999</c:v>
                </c:pt>
                <c:pt idx="261">
                  <c:v>44.424902097903647</c:v>
                </c:pt>
                <c:pt idx="262">
                  <c:v>46.116137406419135</c:v>
                </c:pt>
                <c:pt idx="263">
                  <c:v>44.929087184144329</c:v>
                </c:pt>
                <c:pt idx="264">
                  <c:v>43.47653438788624</c:v>
                </c:pt>
                <c:pt idx="265">
                  <c:v>27.594518642396562</c:v>
                </c:pt>
                <c:pt idx="266">
                  <c:v>16.715576618696772</c:v>
                </c:pt>
                <c:pt idx="267">
                  <c:v>35.201469397237069</c:v>
                </c:pt>
                <c:pt idx="268">
                  <c:v>32.230377761829494</c:v>
                </c:pt>
                <c:pt idx="269">
                  <c:v>17.090503213242918</c:v>
                </c:pt>
                <c:pt idx="270">
                  <c:v>19.370663140777712</c:v>
                </c:pt>
                <c:pt idx="271">
                  <c:v>23.274069560675194</c:v>
                </c:pt>
                <c:pt idx="272">
                  <c:v>27.618464764720819</c:v>
                </c:pt>
                <c:pt idx="273">
                  <c:v>36.086762234104874</c:v>
                </c:pt>
                <c:pt idx="274">
                  <c:v>38.478873191318392</c:v>
                </c:pt>
                <c:pt idx="275">
                  <c:v>37.144983033071199</c:v>
                </c:pt>
                <c:pt idx="276">
                  <c:v>40.916413172571808</c:v>
                </c:pt>
                <c:pt idx="277">
                  <c:v>41.714319556245322</c:v>
                </c:pt>
                <c:pt idx="278">
                  <c:v>11.522849866148372</c:v>
                </c:pt>
                <c:pt idx="279">
                  <c:v>28.943077903706126</c:v>
                </c:pt>
                <c:pt idx="280">
                  <c:v>16.703000247813485</c:v>
                </c:pt>
                <c:pt idx="281">
                  <c:v>38.135803782900673</c:v>
                </c:pt>
                <c:pt idx="282">
                  <c:v>30.61488975370218</c:v>
                </c:pt>
                <c:pt idx="283">
                  <c:v>22.266996192166214</c:v>
                </c:pt>
                <c:pt idx="284">
                  <c:v>27.636249245447345</c:v>
                </c:pt>
                <c:pt idx="285">
                  <c:v>23.138597238594716</c:v>
                </c:pt>
                <c:pt idx="286">
                  <c:v>17.985603581892143</c:v>
                </c:pt>
                <c:pt idx="287">
                  <c:v>36.955761027045725</c:v>
                </c:pt>
                <c:pt idx="288">
                  <c:v>32.616756009026716</c:v>
                </c:pt>
                <c:pt idx="289">
                  <c:v>19.362643959059344</c:v>
                </c:pt>
                <c:pt idx="290">
                  <c:v>34.153797988480029</c:v>
                </c:pt>
                <c:pt idx="291">
                  <c:v>15.874447911795599</c:v>
                </c:pt>
                <c:pt idx="292">
                  <c:v>6.684536912904937</c:v>
                </c:pt>
                <c:pt idx="293">
                  <c:v>16.267656026094095</c:v>
                </c:pt>
                <c:pt idx="294">
                  <c:v>32.865624465390297</c:v>
                </c:pt>
                <c:pt idx="295">
                  <c:v>16.890935775511132</c:v>
                </c:pt>
                <c:pt idx="296">
                  <c:v>24.990471026491669</c:v>
                </c:pt>
                <c:pt idx="297">
                  <c:v>22.095110474249214</c:v>
                </c:pt>
                <c:pt idx="298">
                  <c:v>12.316818704341305</c:v>
                </c:pt>
                <c:pt idx="299">
                  <c:v>14.248682861719072</c:v>
                </c:pt>
                <c:pt idx="300">
                  <c:v>17.14032259321592</c:v>
                </c:pt>
                <c:pt idx="301">
                  <c:v>26.619832549725906</c:v>
                </c:pt>
                <c:pt idx="302">
                  <c:v>22.886210423460106</c:v>
                </c:pt>
                <c:pt idx="303">
                  <c:v>21.767749900620746</c:v>
                </c:pt>
                <c:pt idx="304">
                  <c:v>19.296466423680542</c:v>
                </c:pt>
                <c:pt idx="305">
                  <c:v>28.626562625483469</c:v>
                </c:pt>
                <c:pt idx="306">
                  <c:v>10.048611133271342</c:v>
                </c:pt>
                <c:pt idx="307">
                  <c:v>17.354132954861115</c:v>
                </c:pt>
                <c:pt idx="308">
                  <c:v>29.560909283544429</c:v>
                </c:pt>
                <c:pt idx="309">
                  <c:v>29.518388324652314</c:v>
                </c:pt>
                <c:pt idx="310">
                  <c:v>27.688180147803337</c:v>
                </c:pt>
                <c:pt idx="311">
                  <c:v>19.966599087073792</c:v>
                </c:pt>
                <c:pt idx="312">
                  <c:v>9.834780815725253</c:v>
                </c:pt>
                <c:pt idx="313">
                  <c:v>19.857108660139467</c:v>
                </c:pt>
                <c:pt idx="314">
                  <c:v>27.162431310735087</c:v>
                </c:pt>
                <c:pt idx="315">
                  <c:v>26.747940753190942</c:v>
                </c:pt>
                <c:pt idx="316">
                  <c:v>25.723953941710658</c:v>
                </c:pt>
                <c:pt idx="317">
                  <c:v>9.5248052597184376</c:v>
                </c:pt>
                <c:pt idx="318">
                  <c:v>12.221981241790576</c:v>
                </c:pt>
                <c:pt idx="319">
                  <c:v>26.313939983286076</c:v>
                </c:pt>
                <c:pt idx="320">
                  <c:v>13.471046299090791</c:v>
                </c:pt>
                <c:pt idx="321">
                  <c:v>15.420352059575592</c:v>
                </c:pt>
                <c:pt idx="322">
                  <c:v>7.0472340422733648</c:v>
                </c:pt>
                <c:pt idx="323">
                  <c:v>15.507781216361025</c:v>
                </c:pt>
                <c:pt idx="324">
                  <c:v>3.1148842543896929</c:v>
                </c:pt>
                <c:pt idx="325">
                  <c:v>7.7060927176940783</c:v>
                </c:pt>
                <c:pt idx="326">
                  <c:v>12.923849997892106</c:v>
                </c:pt>
                <c:pt idx="327">
                  <c:v>13.56278820018488</c:v>
                </c:pt>
                <c:pt idx="328">
                  <c:v>4.6998979845322753</c:v>
                </c:pt>
                <c:pt idx="329">
                  <c:v>10.799834949356383</c:v>
                </c:pt>
                <c:pt idx="330">
                  <c:v>14.216984928115485</c:v>
                </c:pt>
                <c:pt idx="331">
                  <c:v>10.314440547556135</c:v>
                </c:pt>
                <c:pt idx="332">
                  <c:v>15.022100232258053</c:v>
                </c:pt>
                <c:pt idx="333">
                  <c:v>3.9255704347372</c:v>
                </c:pt>
                <c:pt idx="334">
                  <c:v>3.7158040574884867</c:v>
                </c:pt>
                <c:pt idx="335">
                  <c:v>5.5823935499453219</c:v>
                </c:pt>
                <c:pt idx="336">
                  <c:v>9.3557027451546801</c:v>
                </c:pt>
                <c:pt idx="337">
                  <c:v>17.1572043239956</c:v>
                </c:pt>
                <c:pt idx="338">
                  <c:v>22.74537218358601</c:v>
                </c:pt>
                <c:pt idx="339">
                  <c:v>11.181371142955932</c:v>
                </c:pt>
                <c:pt idx="340">
                  <c:v>20.148664928625109</c:v>
                </c:pt>
                <c:pt idx="341">
                  <c:v>4.0467084932824324</c:v>
                </c:pt>
                <c:pt idx="342">
                  <c:v>4.9389161178152028</c:v>
                </c:pt>
                <c:pt idx="343">
                  <c:v>11.956343516984029</c:v>
                </c:pt>
                <c:pt idx="344">
                  <c:v>17.10839092768299</c:v>
                </c:pt>
                <c:pt idx="345">
                  <c:v>5.2289425238022078</c:v>
                </c:pt>
                <c:pt idx="346">
                  <c:v>5.2941630386259542</c:v>
                </c:pt>
                <c:pt idx="347">
                  <c:v>16.905519526867252</c:v>
                </c:pt>
                <c:pt idx="348">
                  <c:v>5.7777042064501725</c:v>
                </c:pt>
                <c:pt idx="349">
                  <c:v>5.1032597061183855</c:v>
                </c:pt>
                <c:pt idx="350">
                  <c:v>3.4599452814045795</c:v>
                </c:pt>
                <c:pt idx="351">
                  <c:v>20.639470741997627</c:v>
                </c:pt>
                <c:pt idx="352">
                  <c:v>17.563824035214189</c:v>
                </c:pt>
                <c:pt idx="353">
                  <c:v>4.4770306272821765</c:v>
                </c:pt>
                <c:pt idx="354">
                  <c:v>20.498557661561478</c:v>
                </c:pt>
                <c:pt idx="355">
                  <c:v>17.331559758091462</c:v>
                </c:pt>
                <c:pt idx="356">
                  <c:v>17.564830370817415</c:v>
                </c:pt>
                <c:pt idx="357">
                  <c:v>20.875885314000936</c:v>
                </c:pt>
                <c:pt idx="358">
                  <c:v>11.79415807891402</c:v>
                </c:pt>
                <c:pt idx="359">
                  <c:v>20.390191706951335</c:v>
                </c:pt>
                <c:pt idx="360">
                  <c:v>6.9090586451983009</c:v>
                </c:pt>
                <c:pt idx="361">
                  <c:v>21.448883300416682</c:v>
                </c:pt>
                <c:pt idx="362">
                  <c:v>10.187408710347368</c:v>
                </c:pt>
                <c:pt idx="363">
                  <c:v>13.802747796600245</c:v>
                </c:pt>
                <c:pt idx="364">
                  <c:v>11.419827993301922</c:v>
                </c:pt>
                <c:pt idx="365">
                  <c:v>15.350245338621082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245784"/>
        <c:axId val="214246176"/>
      </c:lineChart>
      <c:dateAx>
        <c:axId val="214245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6176"/>
        <c:crosses val="autoZero"/>
        <c:auto val="1"/>
        <c:lblOffset val="100"/>
        <c:baseTimeUnit val="days"/>
        <c:majorUnit val="1"/>
        <c:majorTimeUnit val="months"/>
      </c:dateAx>
      <c:valAx>
        <c:axId val="2142461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57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3.411232927896013E-2</c:v>
                </c:pt>
                <c:pt idx="1">
                  <c:v>3.4130840295815146E-2</c:v>
                </c:pt>
                <c:pt idx="2">
                  <c:v>3.4149350957910718E-2</c:v>
                </c:pt>
                <c:pt idx="3">
                  <c:v>3.4167861265253729E-2</c:v>
                </c:pt>
                <c:pt idx="4">
                  <c:v>3.4186371217850842E-2</c:v>
                </c:pt>
                <c:pt idx="5">
                  <c:v>3.4204880815708938E-2</c:v>
                </c:pt>
                <c:pt idx="6">
                  <c:v>3.4223390058834791E-2</c:v>
                </c:pt>
                <c:pt idx="7">
                  <c:v>3.4241898947235283E-2</c:v>
                </c:pt>
                <c:pt idx="8">
                  <c:v>3.4260407480917188E-2</c:v>
                </c:pt>
                <c:pt idx="9">
                  <c:v>3.4278915659887166E-2</c:v>
                </c:pt>
                <c:pt idx="10">
                  <c:v>3.4297423484152101E-2</c:v>
                </c:pt>
                <c:pt idx="11">
                  <c:v>3.4315930953718876E-2</c:v>
                </c:pt>
                <c:pt idx="12">
                  <c:v>3.4334438068594264E-2</c:v>
                </c:pt>
                <c:pt idx="13">
                  <c:v>3.4352944828784926E-2</c:v>
                </c:pt>
                <c:pt idx="14">
                  <c:v>3.4371451234297856E-2</c:v>
                </c:pt>
                <c:pt idx="15">
                  <c:v>3.4389957285139605E-2</c:v>
                </c:pt>
                <c:pt idx="16">
                  <c:v>3.4408462981317167E-2</c:v>
                </c:pt>
                <c:pt idx="17">
                  <c:v>3.4426968322837315E-2</c:v>
                </c:pt>
                <c:pt idx="18">
                  <c:v>3.444547330970682E-2</c:v>
                </c:pt>
                <c:pt idx="19">
                  <c:v>3.4463977941932455E-2</c:v>
                </c:pt>
                <c:pt idx="20">
                  <c:v>3.4482482219520993E-2</c:v>
                </c:pt>
                <c:pt idx="21">
                  <c:v>3.4500986142479317E-2</c:v>
                </c:pt>
                <c:pt idx="22">
                  <c:v>3.45194897108142E-2</c:v>
                </c:pt>
                <c:pt idx="23">
                  <c:v>3.4537992924532412E-2</c:v>
                </c:pt>
                <c:pt idx="24">
                  <c:v>3.4556495783640728E-2</c:v>
                </c:pt>
                <c:pt idx="25">
                  <c:v>3.4574998288145919E-2</c:v>
                </c:pt>
                <c:pt idx="26">
                  <c:v>3.459350043805498E-2</c:v>
                </c:pt>
                <c:pt idx="27">
                  <c:v>3.4612002233374461E-2</c:v>
                </c:pt>
                <c:pt idx="28">
                  <c:v>3.4630503674111246E-2</c:v>
                </c:pt>
                <c:pt idx="29">
                  <c:v>3.4649004760272106E-2</c:v>
                </c:pt>
                <c:pt idx="30">
                  <c:v>3.4667505491863926E-2</c:v>
                </c:pt>
                <c:pt idx="31">
                  <c:v>3.4686005868893477E-2</c:v>
                </c:pt>
                <c:pt idx="32">
                  <c:v>3.4704505891367532E-2</c:v>
                </c:pt>
                <c:pt idx="33">
                  <c:v>3.4723005559292752E-2</c:v>
                </c:pt>
                <c:pt idx="34">
                  <c:v>3.4741504872676132E-2</c:v>
                </c:pt>
                <c:pt idx="35">
                  <c:v>3.4760003831524444E-2</c:v>
                </c:pt>
                <c:pt idx="36">
                  <c:v>3.477850243584435E-2</c:v>
                </c:pt>
                <c:pt idx="37">
                  <c:v>3.4797000685642732E-2</c:v>
                </c:pt>
                <c:pt idx="38">
                  <c:v>3.4815498580926474E-2</c:v>
                </c:pt>
                <c:pt idx="39">
                  <c:v>3.4833996121702127E-2</c:v>
                </c:pt>
                <c:pt idx="40">
                  <c:v>3.4852493307976795E-2</c:v>
                </c:pt>
                <c:pt idx="41">
                  <c:v>3.4870990139756919E-2</c:v>
                </c:pt>
                <c:pt idx="42">
                  <c:v>3.4889486617049603E-2</c:v>
                </c:pt>
                <c:pt idx="43">
                  <c:v>3.4907982739861509E-2</c:v>
                </c:pt>
                <c:pt idx="44">
                  <c:v>3.492647850819941E-2</c:v>
                </c:pt>
                <c:pt idx="45">
                  <c:v>3.4944973922070188E-2</c:v>
                </c:pt>
                <c:pt idx="46">
                  <c:v>3.4963468981480506E-2</c:v>
                </c:pt>
                <c:pt idx="47">
                  <c:v>3.4981963686437245E-2</c:v>
                </c:pt>
                <c:pt idx="48">
                  <c:v>3.5000458036947291E-2</c:v>
                </c:pt>
                <c:pt idx="49">
                  <c:v>3.5018952033017192E-2</c:v>
                </c:pt>
                <c:pt idx="50">
                  <c:v>3.5037445674653944E-2</c:v>
                </c:pt>
                <c:pt idx="51">
                  <c:v>3.5055938961864208E-2</c:v>
                </c:pt>
                <c:pt idx="52">
                  <c:v>3.5074431894654867E-2</c:v>
                </c:pt>
                <c:pt idx="53">
                  <c:v>3.5092924473032805E-2</c:v>
                </c:pt>
                <c:pt idx="54">
                  <c:v>3.5111416697004572E-2</c:v>
                </c:pt>
                <c:pt idx="55">
                  <c:v>3.5129908566577051E-2</c:v>
                </c:pt>
                <c:pt idx="56">
                  <c:v>3.5148400081757125E-2</c:v>
                </c:pt>
                <c:pt idx="57">
                  <c:v>3.5166891242551568E-2</c:v>
                </c:pt>
                <c:pt idx="58">
                  <c:v>3.5185382048967151E-2</c:v>
                </c:pt>
                <c:pt idx="59">
                  <c:v>3.5203872501010536E-2</c:v>
                </c:pt>
                <c:pt idx="60">
                  <c:v>3.5222362598688717E-2</c:v>
                </c:pt>
                <c:pt idx="61">
                  <c:v>3.5240852342008355E-2</c:v>
                </c:pt>
                <c:pt idx="62">
                  <c:v>3.5259341730976335E-2</c:v>
                </c:pt>
                <c:pt idx="63">
                  <c:v>3.5277830765599316E-2</c:v>
                </c:pt>
                <c:pt idx="64">
                  <c:v>3.5296319445884183E-2</c:v>
                </c:pt>
                <c:pt idx="65">
                  <c:v>3.5314807771837708E-2</c:v>
                </c:pt>
                <c:pt idx="66">
                  <c:v>3.5333295743466664E-2</c:v>
                </c:pt>
                <c:pt idx="67">
                  <c:v>3.5351783360777933E-2</c:v>
                </c:pt>
                <c:pt idx="68">
                  <c:v>3.5370270623778177E-2</c:v>
                </c:pt>
                <c:pt idx="69">
                  <c:v>3.538875753247428E-2</c:v>
                </c:pt>
                <c:pt idx="70">
                  <c:v>3.5407244086873013E-2</c:v>
                </c:pt>
                <c:pt idx="71">
                  <c:v>3.542573028698115E-2</c:v>
                </c:pt>
                <c:pt idx="72">
                  <c:v>3.5444216132805351E-2</c:v>
                </c:pt>
                <c:pt idx="73">
                  <c:v>3.5462701624352722E-2</c:v>
                </c:pt>
                <c:pt idx="74">
                  <c:v>3.5481186761629702E-2</c:v>
                </c:pt>
                <c:pt idx="75">
                  <c:v>3.5499671544643396E-2</c:v>
                </c:pt>
                <c:pt idx="76">
                  <c:v>3.5518155973400356E-2</c:v>
                </c:pt>
                <c:pt idx="77">
                  <c:v>3.5536640047907353E-2</c:v>
                </c:pt>
                <c:pt idx="78">
                  <c:v>3.5555123768171493E-2</c:v>
                </c:pt>
                <c:pt idx="79">
                  <c:v>3.5573607134199214E-2</c:v>
                </c:pt>
                <c:pt idx="80">
                  <c:v>3.5592090145997402E-2</c:v>
                </c:pt>
                <c:pt idx="81">
                  <c:v>3.5610572803572937E-2</c:v>
                </c:pt>
                <c:pt idx="82">
                  <c:v>3.5629055106932594E-2</c:v>
                </c:pt>
                <c:pt idx="83">
                  <c:v>3.5647537056083145E-2</c:v>
                </c:pt>
                <c:pt idx="84">
                  <c:v>3.566601865103125E-2</c:v>
                </c:pt>
                <c:pt idx="85">
                  <c:v>3.5684499891783905E-2</c:v>
                </c:pt>
                <c:pt idx="86">
                  <c:v>3.570298077834777E-2</c:v>
                </c:pt>
                <c:pt idx="87">
                  <c:v>3.5721461310729619E-2</c:v>
                </c:pt>
                <c:pt idx="88">
                  <c:v>3.5739941488936333E-2</c:v>
                </c:pt>
                <c:pt idx="89">
                  <c:v>3.5758421312974686E-2</c:v>
                </c:pt>
                <c:pt idx="90">
                  <c:v>3.577690078285134E-2</c:v>
                </c:pt>
                <c:pt idx="91">
                  <c:v>3.5795379898573176E-2</c:v>
                </c:pt>
                <c:pt idx="92">
                  <c:v>3.5813858660146969E-2</c:v>
                </c:pt>
                <c:pt idx="93">
                  <c:v>3.58323370675796E-2</c:v>
                </c:pt>
                <c:pt idx="94">
                  <c:v>3.5850815120877733E-2</c:v>
                </c:pt>
                <c:pt idx="95">
                  <c:v>3.5869292820048138E-2</c:v>
                </c:pt>
                <c:pt idx="96">
                  <c:v>3.5887770165097699E-2</c:v>
                </c:pt>
                <c:pt idx="97">
                  <c:v>3.5906247156033078E-2</c:v>
                </c:pt>
                <c:pt idx="98">
                  <c:v>3.5924723792861268E-2</c:v>
                </c:pt>
                <c:pt idx="99">
                  <c:v>3.5943200075588821E-2</c:v>
                </c:pt>
                <c:pt idx="100">
                  <c:v>3.596167600422262E-2</c:v>
                </c:pt>
                <c:pt idx="101">
                  <c:v>3.5980151578769548E-2</c:v>
                </c:pt>
                <c:pt idx="102">
                  <c:v>3.5998626799236266E-2</c:v>
                </c:pt>
                <c:pt idx="103">
                  <c:v>3.6017101665629658E-2</c:v>
                </c:pt>
                <c:pt idx="104">
                  <c:v>3.6035576177956385E-2</c:v>
                </c:pt>
                <c:pt idx="105">
                  <c:v>3.6054050336223331E-2</c:v>
                </c:pt>
                <c:pt idx="106">
                  <c:v>3.6072524140437157E-2</c:v>
                </c:pt>
                <c:pt idx="107">
                  <c:v>3.6090997590604856E-2</c:v>
                </c:pt>
                <c:pt idx="108">
                  <c:v>3.6109470686732981E-2</c:v>
                </c:pt>
                <c:pt idx="109">
                  <c:v>3.6127943428828524E-2</c:v>
                </c:pt>
                <c:pt idx="110">
                  <c:v>3.6146415816898148E-2</c:v>
                </c:pt>
                <c:pt idx="111">
                  <c:v>3.6164887850948735E-2</c:v>
                </c:pt>
                <c:pt idx="112">
                  <c:v>3.6183359530986947E-2</c:v>
                </c:pt>
                <c:pt idx="113">
                  <c:v>3.6201830857019557E-2</c:v>
                </c:pt>
                <c:pt idx="114">
                  <c:v>3.6220301829053558E-2</c:v>
                </c:pt>
                <c:pt idx="115">
                  <c:v>3.6238772447095502E-2</c:v>
                </c:pt>
                <c:pt idx="116">
                  <c:v>3.6257242711152271E-2</c:v>
                </c:pt>
                <c:pt idx="117">
                  <c:v>3.6275712621230638E-2</c:v>
                </c:pt>
                <c:pt idx="118">
                  <c:v>3.6294182177337375E-2</c:v>
                </c:pt>
                <c:pt idx="119">
                  <c:v>3.6312651379479366E-2</c:v>
                </c:pt>
                <c:pt idx="120">
                  <c:v>3.6331120227663272E-2</c:v>
                </c:pt>
                <c:pt idx="121">
                  <c:v>3.6349588721895865E-2</c:v>
                </c:pt>
                <c:pt idx="122">
                  <c:v>3.6368056862184028E-2</c:v>
                </c:pt>
                <c:pt idx="123">
                  <c:v>3.6386524648534535E-2</c:v>
                </c:pt>
                <c:pt idx="124">
                  <c:v>3.6404992080954046E-2</c:v>
                </c:pt>
                <c:pt idx="125">
                  <c:v>3.6423459159449445E-2</c:v>
                </c:pt>
                <c:pt idx="126">
                  <c:v>3.6441925884027615E-2</c:v>
                </c:pt>
                <c:pt idx="127">
                  <c:v>3.6460392254695106E-2</c:v>
                </c:pt>
                <c:pt idx="128">
                  <c:v>3.6478858271458803E-2</c:v>
                </c:pt>
                <c:pt idx="129">
                  <c:v>3.6497323934325476E-2</c:v>
                </c:pt>
                <c:pt idx="130">
                  <c:v>3.651578924330201E-2</c:v>
                </c:pt>
                <c:pt idx="131">
                  <c:v>3.6534254198395177E-2</c:v>
                </c:pt>
                <c:pt idx="132">
                  <c:v>3.6552718799611528E-2</c:v>
                </c:pt>
                <c:pt idx="133">
                  <c:v>3.6571183046958056E-2</c:v>
                </c:pt>
                <c:pt idx="134">
                  <c:v>3.6589646940441534E-2</c:v>
                </c:pt>
                <c:pt idx="135">
                  <c:v>3.6608110480068734E-2</c:v>
                </c:pt>
                <c:pt idx="136">
                  <c:v>3.6626573665846429E-2</c:v>
                </c:pt>
                <c:pt idx="137">
                  <c:v>3.664503649778128E-2</c:v>
                </c:pt>
                <c:pt idx="138">
                  <c:v>3.6663498975880171E-2</c:v>
                </c:pt>
                <c:pt idx="139">
                  <c:v>3.6681961100149985E-2</c:v>
                </c:pt>
                <c:pt idx="140">
                  <c:v>3.6700422870597382E-2</c:v>
                </c:pt>
                <c:pt idx="141">
                  <c:v>3.6718884287229026E-2</c:v>
                </c:pt>
                <c:pt idx="142">
                  <c:v>3.6737345350051909E-2</c:v>
                </c:pt>
                <c:pt idx="143">
                  <c:v>3.6755806059072804E-2</c:v>
                </c:pt>
                <c:pt idx="144">
                  <c:v>3.6774266414298373E-2</c:v>
                </c:pt>
                <c:pt idx="145">
                  <c:v>3.6792726415735388E-2</c:v>
                </c:pt>
                <c:pt idx="146">
                  <c:v>3.6811186063390733E-2</c:v>
                </c:pt>
                <c:pt idx="147">
                  <c:v>3.6829645357271179E-2</c:v>
                </c:pt>
                <c:pt idx="148">
                  <c:v>3.6848104297383499E-2</c:v>
                </c:pt>
                <c:pt idx="149">
                  <c:v>3.6866562883734355E-2</c:v>
                </c:pt>
                <c:pt idx="150">
                  <c:v>3.688502111633063E-2</c:v>
                </c:pt>
                <c:pt idx="151">
                  <c:v>3.6903478995179095E-2</c:v>
                </c:pt>
                <c:pt idx="152">
                  <c:v>3.6921936520286525E-2</c:v>
                </c:pt>
                <c:pt idx="153">
                  <c:v>3.694039369165969E-2</c:v>
                </c:pt>
                <c:pt idx="154">
                  <c:v>3.6958850509305363E-2</c:v>
                </c:pt>
                <c:pt idx="155">
                  <c:v>3.6977306973230428E-2</c:v>
                </c:pt>
                <c:pt idx="156">
                  <c:v>3.6995763083441435E-2</c:v>
                </c:pt>
                <c:pt idx="157">
                  <c:v>3.7014218839945379E-2</c:v>
                </c:pt>
                <c:pt idx="158">
                  <c:v>3.703267424274892E-2</c:v>
                </c:pt>
                <c:pt idx="159">
                  <c:v>3.7051129291858942E-2</c:v>
                </c:pt>
                <c:pt idx="160">
                  <c:v>3.7069583987282106E-2</c:v>
                </c:pt>
                <c:pt idx="161">
                  <c:v>3.7088038329025297E-2</c:v>
                </c:pt>
                <c:pt idx="162">
                  <c:v>3.7106492317095174E-2</c:v>
                </c:pt>
                <c:pt idx="163">
                  <c:v>3.7124945951498622E-2</c:v>
                </c:pt>
                <c:pt idx="164">
                  <c:v>3.7143399232242413E-2</c:v>
                </c:pt>
                <c:pt idx="165">
                  <c:v>3.7161852159333209E-2</c:v>
                </c:pt>
                <c:pt idx="166">
                  <c:v>3.7180304732777891E-2</c:v>
                </c:pt>
                <c:pt idx="167">
                  <c:v>3.7198756952583234E-2</c:v>
                </c:pt>
                <c:pt idx="168">
                  <c:v>3.7217208818755898E-2</c:v>
                </c:pt>
                <c:pt idx="169">
                  <c:v>3.7235660331302878E-2</c:v>
                </c:pt>
                <c:pt idx="170">
                  <c:v>3.7254111490230724E-2</c:v>
                </c:pt>
                <c:pt idx="171">
                  <c:v>3.727256229554643E-2</c:v>
                </c:pt>
                <c:pt idx="172">
                  <c:v>3.7291012747256658E-2</c:v>
                </c:pt>
                <c:pt idx="173">
                  <c:v>3.7309462845368069E-2</c:v>
                </c:pt>
                <c:pt idx="174">
                  <c:v>3.7327912589887657E-2</c:v>
                </c:pt>
                <c:pt idx="175">
                  <c:v>3.7346361980822085E-2</c:v>
                </c:pt>
                <c:pt idx="176">
                  <c:v>3.7364811018178123E-2</c:v>
                </c:pt>
                <c:pt idx="177">
                  <c:v>3.7383259701962546E-2</c:v>
                </c:pt>
                <c:pt idx="178">
                  <c:v>3.7401708032182235E-2</c:v>
                </c:pt>
                <c:pt idx="179">
                  <c:v>3.7420156008843852E-2</c:v>
                </c:pt>
                <c:pt idx="180">
                  <c:v>3.743860363195417E-2</c:v>
                </c:pt>
                <c:pt idx="181">
                  <c:v>3.7457050901520073E-2</c:v>
                </c:pt>
                <c:pt idx="182">
                  <c:v>3.7475497817548109E-2</c:v>
                </c:pt>
                <c:pt idx="183">
                  <c:v>3.7493944380045385E-2</c:v>
                </c:pt>
                <c:pt idx="184">
                  <c:v>3.7512390589018452E-2</c:v>
                </c:pt>
                <c:pt idx="185">
                  <c:v>3.7530836444474081E-2</c:v>
                </c:pt>
                <c:pt idx="186">
                  <c:v>3.7549281946419044E-2</c:v>
                </c:pt>
                <c:pt idx="187">
                  <c:v>3.7567727094860337E-2</c:v>
                </c:pt>
                <c:pt idx="188">
                  <c:v>3.7586171889804398E-2</c:v>
                </c:pt>
                <c:pt idx="189">
                  <c:v>3.7604616331258334E-2</c:v>
                </c:pt>
                <c:pt idx="190">
                  <c:v>3.7623060419228582E-2</c:v>
                </c:pt>
                <c:pt idx="191">
                  <c:v>3.7641504153722249E-2</c:v>
                </c:pt>
                <c:pt idx="192">
                  <c:v>3.7659947534745886E-2</c:v>
                </c:pt>
                <c:pt idx="193">
                  <c:v>3.7678390562306263E-2</c:v>
                </c:pt>
                <c:pt idx="194">
                  <c:v>3.7696833236410376E-2</c:v>
                </c:pt>
                <c:pt idx="195">
                  <c:v>3.7715275557064776E-2</c:v>
                </c:pt>
                <c:pt idx="196">
                  <c:v>3.7733717524276233E-2</c:v>
                </c:pt>
                <c:pt idx="197">
                  <c:v>3.7752159138051744E-2</c:v>
                </c:pt>
                <c:pt idx="198">
                  <c:v>3.7770600398397858E-2</c:v>
                </c:pt>
                <c:pt idx="199">
                  <c:v>3.7789041305321347E-2</c:v>
                </c:pt>
                <c:pt idx="200">
                  <c:v>3.7807481858829206E-2</c:v>
                </c:pt>
                <c:pt idx="201">
                  <c:v>3.7825922058927985E-2</c:v>
                </c:pt>
                <c:pt idx="202">
                  <c:v>3.7844361905624457E-2</c:v>
                </c:pt>
                <c:pt idx="203">
                  <c:v>3.7862801398925616E-2</c:v>
                </c:pt>
                <c:pt idx="204">
                  <c:v>3.7881240538838012E-2</c:v>
                </c:pt>
                <c:pt idx="205">
                  <c:v>3.7899679325368529E-2</c:v>
                </c:pt>
                <c:pt idx="206">
                  <c:v>3.7918117758523939E-2</c:v>
                </c:pt>
                <c:pt idx="207">
                  <c:v>3.7936555838310904E-2</c:v>
                </c:pt>
                <c:pt idx="208">
                  <c:v>3.7954993564736306E-2</c:v>
                </c:pt>
                <c:pt idx="209">
                  <c:v>3.7973430937806918E-2</c:v>
                </c:pt>
                <c:pt idx="210">
                  <c:v>3.7991867957529513E-2</c:v>
                </c:pt>
                <c:pt idx="211">
                  <c:v>3.8010304623910751E-2</c:v>
                </c:pt>
                <c:pt idx="212">
                  <c:v>3.8028740936957517E-2</c:v>
                </c:pt>
                <c:pt idx="213">
                  <c:v>3.8047176896676582E-2</c:v>
                </c:pt>
                <c:pt idx="214">
                  <c:v>3.8065612503074608E-2</c:v>
                </c:pt>
                <c:pt idx="215">
                  <c:v>3.8084047756158479E-2</c:v>
                </c:pt>
                <c:pt idx="216">
                  <c:v>3.8102482655934966E-2</c:v>
                </c:pt>
                <c:pt idx="217">
                  <c:v>3.8120917202410731E-2</c:v>
                </c:pt>
                <c:pt idx="218">
                  <c:v>3.8139351395592658E-2</c:v>
                </c:pt>
                <c:pt idx="219">
                  <c:v>3.8157785235487518E-2</c:v>
                </c:pt>
                <c:pt idx="220">
                  <c:v>3.8176218722101973E-2</c:v>
                </c:pt>
                <c:pt idx="221">
                  <c:v>3.8194651855442907E-2</c:v>
                </c:pt>
                <c:pt idx="222">
                  <c:v>3.8213084635517092E-2</c:v>
                </c:pt>
                <c:pt idx="223">
                  <c:v>3.8231517062331188E-2</c:v>
                </c:pt>
                <c:pt idx="224">
                  <c:v>3.824994913589197E-2</c:v>
                </c:pt>
                <c:pt idx="225">
                  <c:v>3.8268380856206319E-2</c:v>
                </c:pt>
                <c:pt idx="226">
                  <c:v>3.8286812223281008E-2</c:v>
                </c:pt>
                <c:pt idx="227">
                  <c:v>3.8305243237122699E-2</c:v>
                </c:pt>
                <c:pt idx="228">
                  <c:v>3.8323673897738275E-2</c:v>
                </c:pt>
                <c:pt idx="229">
                  <c:v>3.8342104205134397E-2</c:v>
                </c:pt>
                <c:pt idx="230">
                  <c:v>3.8360534159317838E-2</c:v>
                </c:pt>
                <c:pt idx="231">
                  <c:v>3.8378963760295481E-2</c:v>
                </c:pt>
                <c:pt idx="232">
                  <c:v>3.8397393008073988E-2</c:v>
                </c:pt>
                <c:pt idx="233">
                  <c:v>3.8415821902660241E-2</c:v>
                </c:pt>
                <c:pt idx="234">
                  <c:v>3.8434250444060791E-2</c:v>
                </c:pt>
                <c:pt idx="235">
                  <c:v>3.8452678632282633E-2</c:v>
                </c:pt>
                <c:pt idx="236">
                  <c:v>3.8471106467332539E-2</c:v>
                </c:pt>
                <c:pt idx="237">
                  <c:v>3.8489533949217059E-2</c:v>
                </c:pt>
                <c:pt idx="238">
                  <c:v>3.8507961077943076E-2</c:v>
                </c:pt>
                <c:pt idx="239">
                  <c:v>3.8526387853517474E-2</c:v>
                </c:pt>
                <c:pt idx="240">
                  <c:v>3.8544814275946915E-2</c:v>
                </c:pt>
                <c:pt idx="241">
                  <c:v>3.8563240345238059E-2</c:v>
                </c:pt>
                <c:pt idx="242">
                  <c:v>3.8581666061397901E-2</c:v>
                </c:pt>
                <c:pt idx="243">
                  <c:v>3.8600091424433103E-2</c:v>
                </c:pt>
                <c:pt idx="244">
                  <c:v>3.8618516434350325E-2</c:v>
                </c:pt>
                <c:pt idx="245">
                  <c:v>3.8636941091156562E-2</c:v>
                </c:pt>
                <c:pt idx="246">
                  <c:v>3.8655365394858365E-2</c:v>
                </c:pt>
                <c:pt idx="247">
                  <c:v>3.8673789345462617E-2</c:v>
                </c:pt>
                <c:pt idx="248">
                  <c:v>3.869221294297609E-2</c:v>
                </c:pt>
                <c:pt idx="249">
                  <c:v>3.8710636187405445E-2</c:v>
                </c:pt>
                <c:pt idx="250">
                  <c:v>3.8729059078757566E-2</c:v>
                </c:pt>
                <c:pt idx="251">
                  <c:v>3.8747481617039226E-2</c:v>
                </c:pt>
                <c:pt idx="252">
                  <c:v>3.8765903802257085E-2</c:v>
                </c:pt>
                <c:pt idx="253">
                  <c:v>3.8784325634417915E-2</c:v>
                </c:pt>
                <c:pt idx="254">
                  <c:v>3.8802747113528602E-2</c:v>
                </c:pt>
                <c:pt idx="255">
                  <c:v>3.8821168239595916E-2</c:v>
                </c:pt>
                <c:pt idx="256">
                  <c:v>3.8839589012626408E-2</c:v>
                </c:pt>
                <c:pt idx="257">
                  <c:v>3.8858009432627072E-2</c:v>
                </c:pt>
                <c:pt idx="258">
                  <c:v>3.887642949960457E-2</c:v>
                </c:pt>
                <c:pt idx="259">
                  <c:v>3.8894849213565674E-2</c:v>
                </c:pt>
                <c:pt idx="260">
                  <c:v>3.8913268574517157E-2</c:v>
                </c:pt>
                <c:pt idx="261">
                  <c:v>3.893168758246579E-2</c:v>
                </c:pt>
                <c:pt idx="262">
                  <c:v>3.8950106237418458E-2</c:v>
                </c:pt>
                <c:pt idx="263">
                  <c:v>3.8968524539381599E-2</c:v>
                </c:pt>
                <c:pt idx="264">
                  <c:v>3.8986942488362319E-2</c:v>
                </c:pt>
                <c:pt idx="265">
                  <c:v>3.900536008436728E-2</c:v>
                </c:pt>
                <c:pt idx="266">
                  <c:v>3.9023777327403142E-2</c:v>
                </c:pt>
                <c:pt idx="267">
                  <c:v>3.9042194217476678E-2</c:v>
                </c:pt>
                <c:pt idx="268">
                  <c:v>3.9060610754594882E-2</c:v>
                </c:pt>
                <c:pt idx="269">
                  <c:v>3.9079026938764194E-2</c:v>
                </c:pt>
                <c:pt idx="270">
                  <c:v>3.9097442769991608E-2</c:v>
                </c:pt>
                <c:pt idx="271">
                  <c:v>3.9115858248283897E-2</c:v>
                </c:pt>
                <c:pt idx="272">
                  <c:v>3.913427337364761E-2</c:v>
                </c:pt>
                <c:pt idx="273">
                  <c:v>3.9152688146089742E-2</c:v>
                </c:pt>
                <c:pt idx="274">
                  <c:v>3.9171102565616955E-2</c:v>
                </c:pt>
                <c:pt idx="275">
                  <c:v>3.918951663223591E-2</c:v>
                </c:pt>
                <c:pt idx="276">
                  <c:v>3.9207930345953601E-2</c:v>
                </c:pt>
                <c:pt idx="277">
                  <c:v>3.9226343706776579E-2</c:v>
                </c:pt>
                <c:pt idx="278">
                  <c:v>3.9244756714711726E-2</c:v>
                </c:pt>
                <c:pt idx="279">
                  <c:v>3.9263169369765816E-2</c:v>
                </c:pt>
                <c:pt idx="280">
                  <c:v>3.928158167194562E-2</c:v>
                </c:pt>
                <c:pt idx="281">
                  <c:v>3.9299993621257689E-2</c:v>
                </c:pt>
                <c:pt idx="282">
                  <c:v>3.9318405217709129E-2</c:v>
                </c:pt>
                <c:pt idx="283">
                  <c:v>3.9336816461306379E-2</c:v>
                </c:pt>
                <c:pt idx="284">
                  <c:v>3.9355227352056432E-2</c:v>
                </c:pt>
                <c:pt idx="285">
                  <c:v>3.9373637889965951E-2</c:v>
                </c:pt>
                <c:pt idx="286">
                  <c:v>3.9392048075041708E-2</c:v>
                </c:pt>
                <c:pt idx="287">
                  <c:v>3.9410457907290475E-2</c:v>
                </c:pt>
                <c:pt idx="288">
                  <c:v>3.9428867386718913E-2</c:v>
                </c:pt>
                <c:pt idx="289">
                  <c:v>3.9447276513334018E-2</c:v>
                </c:pt>
                <c:pt idx="290">
                  <c:v>3.9465685287142338E-2</c:v>
                </c:pt>
                <c:pt idx="291">
                  <c:v>3.9484093708150647E-2</c:v>
                </c:pt>
                <c:pt idx="292">
                  <c:v>3.9502501776365939E-2</c:v>
                </c:pt>
                <c:pt idx="293">
                  <c:v>3.9520909491794654E-2</c:v>
                </c:pt>
                <c:pt idx="294">
                  <c:v>3.9539316854443785E-2</c:v>
                </c:pt>
                <c:pt idx="295">
                  <c:v>3.9557723864319994E-2</c:v>
                </c:pt>
                <c:pt idx="296">
                  <c:v>3.9576130521429942E-2</c:v>
                </c:pt>
                <c:pt idx="297">
                  <c:v>3.9594536825780624E-2</c:v>
                </c:pt>
                <c:pt idx="298">
                  <c:v>3.9612942777378701E-2</c:v>
                </c:pt>
                <c:pt idx="299">
                  <c:v>3.9631348376230835E-2</c:v>
                </c:pt>
                <c:pt idx="300">
                  <c:v>3.9649753622343908E-2</c:v>
                </c:pt>
                <c:pt idx="301">
                  <c:v>3.9668158515724694E-2</c:v>
                </c:pt>
                <c:pt idx="302">
                  <c:v>3.9686563056379853E-2</c:v>
                </c:pt>
                <c:pt idx="303">
                  <c:v>3.9704967244316158E-2</c:v>
                </c:pt>
                <c:pt idx="304">
                  <c:v>3.9723371079540382E-2</c:v>
                </c:pt>
                <c:pt idx="305">
                  <c:v>3.9741774562059295E-2</c:v>
                </c:pt>
                <c:pt idx="306">
                  <c:v>3.9760177691879783E-2</c:v>
                </c:pt>
                <c:pt idx="307">
                  <c:v>3.9778580469008396E-2</c:v>
                </c:pt>
                <c:pt idx="308">
                  <c:v>3.9796982893452015E-2</c:v>
                </c:pt>
                <c:pt idx="309">
                  <c:v>3.9815384965217304E-2</c:v>
                </c:pt>
                <c:pt idx="310">
                  <c:v>3.9833786684311145E-2</c:v>
                </c:pt>
                <c:pt idx="311">
                  <c:v>3.98521880507402E-2</c:v>
                </c:pt>
                <c:pt idx="312">
                  <c:v>3.9870589064511353E-2</c:v>
                </c:pt>
                <c:pt idx="313">
                  <c:v>3.9888989725631152E-2</c:v>
                </c:pt>
                <c:pt idx="314">
                  <c:v>3.9907390034106593E-2</c:v>
                </c:pt>
                <c:pt idx="315">
                  <c:v>3.9925789989944227E-2</c:v>
                </c:pt>
                <c:pt idx="316">
                  <c:v>3.9944189593150936E-2</c:v>
                </c:pt>
                <c:pt idx="317">
                  <c:v>3.9962588843733493E-2</c:v>
                </c:pt>
                <c:pt idx="318">
                  <c:v>3.9980987741698559E-2</c:v>
                </c:pt>
                <c:pt idx="319">
                  <c:v>3.9999386287052907E-2</c:v>
                </c:pt>
                <c:pt idx="320">
                  <c:v>4.001778447980342E-2</c:v>
                </c:pt>
                <c:pt idx="321">
                  <c:v>4.0036182319956759E-2</c:v>
                </c:pt>
                <c:pt idx="322">
                  <c:v>4.0054579807519586E-2</c:v>
                </c:pt>
                <c:pt idx="323">
                  <c:v>4.0072976942498895E-2</c:v>
                </c:pt>
                <c:pt idx="324">
                  <c:v>4.0091373724901236E-2</c:v>
                </c:pt>
                <c:pt idx="325">
                  <c:v>4.0109770154733382E-2</c:v>
                </c:pt>
                <c:pt idx="326">
                  <c:v>4.0128166232002327E-2</c:v>
                </c:pt>
                <c:pt idx="327">
                  <c:v>4.014656195671451E-2</c:v>
                </c:pt>
                <c:pt idx="328">
                  <c:v>4.0164957328876816E-2</c:v>
                </c:pt>
                <c:pt idx="329">
                  <c:v>4.0183352348496015E-2</c:v>
                </c:pt>
                <c:pt idx="330">
                  <c:v>4.0201747015578881E-2</c:v>
                </c:pt>
                <c:pt idx="331">
                  <c:v>4.0220141330132186E-2</c:v>
                </c:pt>
                <c:pt idx="332">
                  <c:v>4.0238535292162592E-2</c:v>
                </c:pt>
                <c:pt idx="333">
                  <c:v>4.025692890167698E-2</c:v>
                </c:pt>
                <c:pt idx="334">
                  <c:v>4.0275322158682014E-2</c:v>
                </c:pt>
                <c:pt idx="335">
                  <c:v>4.0293715063184465E-2</c:v>
                </c:pt>
                <c:pt idx="336">
                  <c:v>4.0312107615191106E-2</c:v>
                </c:pt>
                <c:pt idx="337">
                  <c:v>4.0330499814708598E-2</c:v>
                </c:pt>
                <c:pt idx="338">
                  <c:v>4.0348891661743935E-2</c:v>
                </c:pt>
                <c:pt idx="339">
                  <c:v>4.0367283156303557E-2</c:v>
                </c:pt>
                <c:pt idx="340">
                  <c:v>4.0385674298394458E-2</c:v>
                </c:pt>
                <c:pt idx="341">
                  <c:v>4.0404065088023411E-2</c:v>
                </c:pt>
                <c:pt idx="342">
                  <c:v>4.0422455525196965E-2</c:v>
                </c:pt>
                <c:pt idx="343">
                  <c:v>4.0440845609922005E-2</c:v>
                </c:pt>
                <c:pt idx="344">
                  <c:v>4.0459235342205191E-2</c:v>
                </c:pt>
                <c:pt idx="345">
                  <c:v>4.0477624722053518E-2</c:v>
                </c:pt>
                <c:pt idx="346">
                  <c:v>4.0496013749473425E-2</c:v>
                </c:pt>
                <c:pt idx="347">
                  <c:v>4.0514402424471907E-2</c:v>
                </c:pt>
                <c:pt idx="348">
                  <c:v>4.0532790747055625E-2</c:v>
                </c:pt>
                <c:pt idx="349">
                  <c:v>4.055117871723124E-2</c:v>
                </c:pt>
                <c:pt idx="350">
                  <c:v>4.0569566335005747E-2</c:v>
                </c:pt>
                <c:pt idx="351">
                  <c:v>4.0587953600385696E-2</c:v>
                </c:pt>
                <c:pt idx="352">
                  <c:v>4.0606340513377859E-2</c:v>
                </c:pt>
                <c:pt idx="353">
                  <c:v>4.0624727073989009E-2</c:v>
                </c:pt>
                <c:pt idx="354">
                  <c:v>4.0643113282226029E-2</c:v>
                </c:pt>
                <c:pt idx="355">
                  <c:v>4.0661499138095469E-2</c:v>
                </c:pt>
                <c:pt idx="356">
                  <c:v>4.0679884641604214E-2</c:v>
                </c:pt>
                <c:pt idx="357">
                  <c:v>4.0698269792758923E-2</c:v>
                </c:pt>
                <c:pt idx="358">
                  <c:v>4.0716654591566481E-2</c:v>
                </c:pt>
                <c:pt idx="359">
                  <c:v>4.0735039038033549E-2</c:v>
                </c:pt>
                <c:pt idx="360">
                  <c:v>4.0753423132166899E-2</c:v>
                </c:pt>
                <c:pt idx="361">
                  <c:v>4.0771806873973193E-2</c:v>
                </c:pt>
                <c:pt idx="362">
                  <c:v>4.0790190263459314E-2</c:v>
                </c:pt>
                <c:pt idx="363">
                  <c:v>4.0808573300632034E-2</c:v>
                </c:pt>
                <c:pt idx="364">
                  <c:v>4.0826955985498015E-2</c:v>
                </c:pt>
                <c:pt idx="365">
                  <c:v>4.0845338318064028E-2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4.0337899547294519E-2</c:v>
                </c:pt>
                <c:pt idx="120">
                  <c:v>4.0431441165800761E-2</c:v>
                </c:pt>
                <c:pt idx="121">
                  <c:v>4.052552280346456E-2</c:v>
                </c:pt>
                <c:pt idx="122">
                  <c:v>4.0620138666331199E-2</c:v>
                </c:pt>
                <c:pt idx="123">
                  <c:v>4.0715281642443139E-2</c:v>
                </c:pt>
                <c:pt idx="124">
                  <c:v>4.0810943265112351E-2</c:v>
                </c:pt>
                <c:pt idx="125">
                  <c:v>4.0907113679274923E-2</c:v>
                </c:pt>
                <c:pt idx="126">
                  <c:v>4.1003781611444003E-2</c:v>
                </c:pt>
                <c:pt idx="127">
                  <c:v>4.1100934343779164E-2</c:v>
                </c:pt>
                <c:pt idx="128">
                  <c:v>4.1198557692786728E-2</c:v>
                </c:pt>
                <c:pt idx="129">
                  <c:v>4.1296635993156493E-2</c:v>
                </c:pt>
                <c:pt idx="130">
                  <c:v>4.13951520872234E-2</c:v>
                </c:pt>
                <c:pt idx="131">
                  <c:v>4.1494087320521608E-2</c:v>
                </c:pt>
                <c:pt idx="132">
                  <c:v>4.1593421543868879E-2</c:v>
                </c:pt>
                <c:pt idx="133">
                  <c:v>4.1693133122385727E-2</c:v>
                </c:pt>
                <c:pt idx="134">
                  <c:v>4.179319895181241E-2</c:v>
                </c:pt>
                <c:pt idx="135">
                  <c:v>4.1893594482441475E-2</c:v>
                </c:pt>
                <c:pt idx="136">
                  <c:v>4.1994293750931805E-2</c:v>
                </c:pt>
                <c:pt idx="137">
                  <c:v>4.2095269420214118E-2</c:v>
                </c:pt>
                <c:pt idx="138">
                  <c:v>4.219649282763701E-2</c:v>
                </c:pt>
                <c:pt idx="139">
                  <c:v>4.2297934041438341E-2</c:v>
                </c:pt>
                <c:pt idx="140">
                  <c:v>4.2399561925558667E-2</c:v>
                </c:pt>
                <c:pt idx="141">
                  <c:v>4.2501344212743083E-2</c:v>
                </c:pt>
                <c:pt idx="142">
                  <c:v>4.2603247585805366E-2</c:v>
                </c:pt>
                <c:pt idx="143">
                  <c:v>4.2705237766854337E-2</c:v>
                </c:pt>
                <c:pt idx="144">
                  <c:v>4.2807279614208278E-2</c:v>
                </c:pt>
                <c:pt idx="145">
                  <c:v>4.2909337226648803E-2</c:v>
                </c:pt>
                <c:pt idx="146">
                  <c:v>4.301137405459303E-2</c:v>
                </c:pt>
                <c:pt idx="147">
                  <c:v>4.3113353017690599E-2</c:v>
                </c:pt>
                <c:pt idx="148">
                  <c:v>4.3215236628284331E-2</c:v>
                </c:pt>
                <c:pt idx="149">
                  <c:v>4.3316987120106835E-2</c:v>
                </c:pt>
                <c:pt idx="150">
                  <c:v>4.3418566581524431E-2</c:v>
                </c:pt>
                <c:pt idx="151">
                  <c:v>4.3519937092582575E-2</c:v>
                </c:pt>
                <c:pt idx="152">
                  <c:v>4.3621060865055995E-2</c:v>
                </c:pt>
                <c:pt idx="153">
                  <c:v>4.3721900384660672E-2</c:v>
                </c:pt>
                <c:pt idx="154">
                  <c:v>4.3822418554546869E-2</c:v>
                </c:pt>
                <c:pt idx="155">
                  <c:v>4.3922578839159919E-2</c:v>
                </c:pt>
                <c:pt idx="156">
                  <c:v>4.4022345407531936E-2</c:v>
                </c:pt>
                <c:pt idx="157">
                  <c:v>4.4121683275050887E-2</c:v>
                </c:pt>
                <c:pt idx="158">
                  <c:v>4.4220558442745903E-2</c:v>
                </c:pt>
                <c:pt idx="159">
                  <c:v>4.4318938033127891E-2</c:v>
                </c:pt>
                <c:pt idx="160">
                  <c:v>4.4416790421633344E-2</c:v>
                </c:pt>
                <c:pt idx="161">
                  <c:v>4.4514085362737432E-2</c:v>
                </c:pt>
                <c:pt idx="162">
                  <c:v>4.4610794109827948E-2</c:v>
                </c:pt>
                <c:pt idx="163">
                  <c:v>4.4706889527966837E-2</c:v>
                </c:pt>
                <c:pt idx="164">
                  <c:v>4.4802346198708737E-2</c:v>
                </c:pt>
                <c:pt idx="165">
                  <c:v>4.4897140516196657E-2</c:v>
                </c:pt>
                <c:pt idx="166">
                  <c:v>4.4991250773813558E-2</c:v>
                </c:pt>
                <c:pt idx="167">
                  <c:v>4.5084657240733753E-2</c:v>
                </c:pt>
                <c:pt idx="168">
                  <c:v>4.5177342227790129E-2</c:v>
                </c:pt>
                <c:pt idx="169">
                  <c:v>4.5269290142151315E-2</c:v>
                </c:pt>
                <c:pt idx="170">
                  <c:v>4.5360487530385338E-2</c:v>
                </c:pt>
                <c:pt idx="171">
                  <c:v>4.5450923109575075E-2</c:v>
                </c:pt>
                <c:pt idx="172">
                  <c:v>4.5540587786240726E-2</c:v>
                </c:pt>
                <c:pt idx="173">
                  <c:v>4.5629474662920201E-2</c:v>
                </c:pt>
                <c:pt idx="174">
                  <c:v>4.5717579032353198E-2</c:v>
                </c:pt>
                <c:pt idx="175">
                  <c:v>4.5804898359312694E-2</c:v>
                </c:pt>
                <c:pt idx="176">
                  <c:v>4.5891432250225052E-2</c:v>
                </c:pt>
                <c:pt idx="177">
                  <c:v>4.5977182410816018E-2</c:v>
                </c:pt>
                <c:pt idx="178">
                  <c:v>4.6062152592115498E-2</c:v>
                </c:pt>
                <c:pt idx="179">
                  <c:v>4.6146348525245823E-2</c:v>
                </c:pt>
                <c:pt idx="180">
                  <c:v>4.6229777845507282E-2</c:v>
                </c:pt>
                <c:pt idx="181">
                  <c:v>4.6312450006359147E-2</c:v>
                </c:pt>
                <c:pt idx="182">
                  <c:v>4.6394376183973407E-2</c:v>
                </c:pt>
                <c:pt idx="183">
                  <c:v>4.6475569173111846E-2</c:v>
                </c:pt>
                <c:pt idx="184">
                  <c:v>4.6556043275143642E-2</c:v>
                </c:pt>
                <c:pt idx="185">
                  <c:v>4.6635814179079305E-2</c:v>
                </c:pt>
                <c:pt idx="186">
                  <c:v>4.6714898836548668E-2</c:v>
                </c:pt>
                <c:pt idx="187">
                  <c:v>4.6793315331692446E-2</c:v>
                </c:pt>
                <c:pt idx="188">
                  <c:v>4.6871082746971153E-2</c:v>
                </c:pt>
                <c:pt idx="189">
                  <c:v>4.6948221025919376E-2</c:v>
                </c:pt>
                <c:pt idx="190">
                  <c:v>4.7024750833888351E-2</c:v>
                </c:pt>
                <c:pt idx="191">
                  <c:v>4.71006934178251E-2</c:v>
                </c:pt>
                <c:pt idx="192">
                  <c:v>4.7176070466131884E-2</c:v>
                </c:pt>
                <c:pt idx="193">
                  <c:v>4.7250903969635688E-2</c:v>
                </c:pt>
                <c:pt idx="194">
                  <c:v>4.7325216084673785E-2</c:v>
                </c:pt>
                <c:pt idx="195">
                  <c:v>4.7399028999268372E-2</c:v>
                </c:pt>
                <c:pt idx="196">
                  <c:v>4.747236480332169E-2</c:v>
                </c:pt>
                <c:pt idx="197">
                  <c:v>4.7545245363712428E-2</c:v>
                </c:pt>
                <c:pt idx="198">
                  <c:v>4.7617692205115844E-2</c:v>
                </c:pt>
                <c:pt idx="199">
                  <c:v>4.7689726397304531E-2</c:v>
                </c:pt>
                <c:pt idx="200">
                  <c:v>4.7761368449613914E-2</c:v>
                </c:pt>
                <c:pt idx="201">
                  <c:v>4.7832638213178631E-2</c:v>
                </c:pt>
                <c:pt idx="202">
                  <c:v>4.7903554791461959E-2</c:v>
                </c:pt>
                <c:pt idx="203">
                  <c:v>4.7974136459512991E-2</c:v>
                </c:pt>
                <c:pt idx="204">
                  <c:v>4.8044400592294825E-2</c:v>
                </c:pt>
                <c:pt idx="205">
                  <c:v>4.811436360233394E-2</c:v>
                </c:pt>
                <c:pt idx="206">
                  <c:v>4.8184040886845386E-2</c:v>
                </c:pt>
                <c:pt idx="207">
                  <c:v>4.8253446784393618E-2</c:v>
                </c:pt>
                <c:pt idx="208">
                  <c:v>4.8322594541053733E-2</c:v>
                </c:pt>
                <c:pt idx="209">
                  <c:v>4.8391496285944677E-2</c:v>
                </c:pt>
                <c:pt idx="210">
                  <c:v>4.8460163015915568E-2</c:v>
                </c:pt>
                <c:pt idx="211">
                  <c:v>4.8528604589078907E-2</c:v>
                </c:pt>
                <c:pt idx="212">
                  <c:v>4.8596829726802189E-2</c:v>
                </c:pt>
                <c:pt idx="213">
                  <c:v>4.8664846023691415E-2</c:v>
                </c:pt>
                <c:pt idx="214">
                  <c:v>4.873265996502972E-2</c:v>
                </c:pt>
                <c:pt idx="215">
                  <c:v>4.8800276951068977E-2</c:v>
                </c:pt>
                <c:pt idx="216">
                  <c:v>4.8867701327516271E-2</c:v>
                </c:pt>
                <c:pt idx="217">
                  <c:v>4.8934936421508084E-2</c:v>
                </c:pt>
                <c:pt idx="218">
                  <c:v>4.900198458232502E-2</c:v>
                </c:pt>
                <c:pt idx="219">
                  <c:v>4.9068847226069419E-2</c:v>
                </c:pt>
                <c:pt idx="220">
                  <c:v>4.9135524883506136E-2</c:v>
                </c:pt>
                <c:pt idx="221">
                  <c:v>4.9202017250255498E-2</c:v>
                </c:pt>
                <c:pt idx="222">
                  <c:v>4.9268323238524606E-2</c:v>
                </c:pt>
                <c:pt idx="223">
                  <c:v>4.933444102957156E-2</c:v>
                </c:pt>
                <c:pt idx="224">
                  <c:v>4.9400368126113446E-2</c:v>
                </c:pt>
                <c:pt idx="225">
                  <c:v>4.946610140391642E-2</c:v>
                </c:pt>
                <c:pt idx="226">
                  <c:v>4.9531637161841141E-2</c:v>
                </c:pt>
                <c:pt idx="227">
                  <c:v>4.9596971169662073E-2</c:v>
                </c:pt>
                <c:pt idx="228">
                  <c:v>4.9662098713030602E-2</c:v>
                </c:pt>
                <c:pt idx="229">
                  <c:v>4.9727014635013465E-2</c:v>
                </c:pt>
                <c:pt idx="230">
                  <c:v>4.9791713373703625E-2</c:v>
                </c:pt>
                <c:pt idx="231">
                  <c:v>4.9856188995474761E-2</c:v>
                </c:pt>
                <c:pt idx="232">
                  <c:v>4.992043522352866E-2</c:v>
                </c:pt>
                <c:pt idx="233">
                  <c:v>4.9984445461467332E-2</c:v>
                </c:pt>
                <c:pt idx="234">
                  <c:v>5.0048212811707911E-2</c:v>
                </c:pt>
                <c:pt idx="235">
                  <c:v>5.0111730088647159E-2</c:v>
                </c:pt>
                <c:pt idx="236">
                  <c:v>5.0174989826571779E-2</c:v>
                </c:pt>
                <c:pt idx="237">
                  <c:v>5.0237984282401303E-2</c:v>
                </c:pt>
                <c:pt idx="238">
                  <c:v>5.0300705433439445E-2</c:v>
                </c:pt>
                <c:pt idx="239">
                  <c:v>5.0363144970397684E-2</c:v>
                </c:pt>
                <c:pt idx="240">
                  <c:v>5.0425294286039167E-2</c:v>
                </c:pt>
                <c:pt idx="241">
                  <c:v>5.0487144459871972E-2</c:v>
                </c:pt>
                <c:pt idx="242">
                  <c:v>5.0548686239396748E-2</c:v>
                </c:pt>
                <c:pt idx="243">
                  <c:v>5.0609910018483702E-2</c:v>
                </c:pt>
                <c:pt idx="244">
                  <c:v>5.0670805813516927E-2</c:v>
                </c:pt>
                <c:pt idx="245">
                  <c:v>5.0731363238000551E-2</c:v>
                </c:pt>
                <c:pt idx="246">
                  <c:v>5.0791571476367751E-2</c:v>
                </c:pt>
                <c:pt idx="247">
                  <c:v>5.0851419257773055E-2</c:v>
                </c:pt>
                <c:pt idx="248">
                  <c:v>5.0910894830676928E-2</c:v>
                </c:pt>
                <c:pt idx="249">
                  <c:v>5.0969985939050846E-2</c:v>
                </c:pt>
                <c:pt idx="250">
                  <c:v>5.1028679801039811E-2</c:v>
                </c:pt>
                <c:pt idx="251">
                  <c:v>5.1086963090917863E-2</c:v>
                </c:pt>
                <c:pt idx="252">
                  <c:v>5.1144821925158804E-2</c:v>
                </c:pt>
                <c:pt idx="253">
                  <c:v>5.1202241853422516E-2</c:v>
                </c:pt>
                <c:pt idx="254">
                  <c:v>5.1259207855222123E-2</c:v>
                </c:pt>
                <c:pt idx="255">
                  <c:v>5.1315704342994338E-2</c:v>
                </c:pt>
                <c:pt idx="256">
                  <c:v>5.1371715172240387E-2</c:v>
                </c:pt>
                <c:pt idx="257">
                  <c:v>5.1427223659341929E-2</c:v>
                </c:pt>
                <c:pt idx="258">
                  <c:v>5.1482212607582796E-2</c:v>
                </c:pt>
                <c:pt idx="259">
                  <c:v>5.1536664341827583E-2</c:v>
                </c:pt>
                <c:pt idx="260">
                  <c:v>5.1590560752218406E-2</c:v>
                </c:pt>
                <c:pt idx="261">
                  <c:v>5.1643883347156312E-2</c:v>
                </c:pt>
                <c:pt idx="262">
                  <c:v>5.1696613315733386E-2</c:v>
                </c:pt>
                <c:pt idx="263">
                  <c:v>5.1748731599674261E-2</c:v>
                </c:pt>
                <c:pt idx="264">
                  <c:v>5.1800218974738223E-2</c:v>
                </c:pt>
                <c:pt idx="265">
                  <c:v>5.1851056141419487E-2</c:v>
                </c:pt>
                <c:pt idx="266">
                  <c:v>5.1901223824670772E-2</c:v>
                </c:pt>
                <c:pt idx="267">
                  <c:v>5.1950702882261474E-2</c:v>
                </c:pt>
                <c:pt idx="268">
                  <c:v>5.199947442126937E-2</c:v>
                </c:pt>
                <c:pt idx="269">
                  <c:v>5.2047519922094838E-2</c:v>
                </c:pt>
                <c:pt idx="270">
                  <c:v>5.209482136927928E-2</c:v>
                </c:pt>
                <c:pt idx="271">
                  <c:v>5.2141361388308577E-2</c:v>
                </c:pt>
                <c:pt idx="272">
                  <c:v>5.2187123387485178E-2</c:v>
                </c:pt>
                <c:pt idx="273">
                  <c:v>5.2232091703864204E-2</c:v>
                </c:pt>
                <c:pt idx="274">
                  <c:v>5.2276251752167532E-2</c:v>
                </c:pt>
                <c:pt idx="275">
                  <c:v>5.2319590175517905E-2</c:v>
                </c:pt>
                <c:pt idx="276">
                  <c:v>5.2362094996772524E-2</c:v>
                </c:pt>
                <c:pt idx="277">
                  <c:v>5.240375576918558E-2</c:v>
                </c:pt>
                <c:pt idx="278">
                  <c:v>5.2444563725087198E-2</c:v>
                </c:pt>
                <c:pt idx="279">
                  <c:v>5.2484511921240748E-2</c:v>
                </c:pt>
                <c:pt idx="280">
                  <c:v>5.2523595379523141E-2</c:v>
                </c:pt>
                <c:pt idx="281">
                  <c:v>5.2561811221571914E-2</c:v>
                </c:pt>
                <c:pt idx="282">
                  <c:v>5.2599158796052592E-2</c:v>
                </c:pt>
                <c:pt idx="283">
                  <c:v>5.2635639797224978E-2</c:v>
                </c:pt>
                <c:pt idx="284">
                  <c:v>5.26712583735231E-2</c:v>
                </c:pt>
                <c:pt idx="285">
                  <c:v>5.2706021224915037E-2</c:v>
                </c:pt>
                <c:pt idx="286">
                  <c:v>5.2739937687871725E-2</c:v>
                </c:pt>
                <c:pt idx="287">
                  <c:v>5.2773019806849043E-2</c:v>
                </c:pt>
                <c:pt idx="288">
                  <c:v>5.2805282391275632E-2</c:v>
                </c:pt>
                <c:pt idx="289">
                  <c:v>5.2836743057137051E-2</c:v>
                </c:pt>
                <c:pt idx="290">
                  <c:v>5.2867422252355953E-2</c:v>
                </c:pt>
                <c:pt idx="291">
                  <c:v>5.2897343265286639E-2</c:v>
                </c:pt>
                <c:pt idx="292">
                  <c:v>5.292653221576895E-2</c:v>
                </c:pt>
                <c:pt idx="293">
                  <c:v>5.2955018028321039E-2</c:v>
                </c:pt>
                <c:pt idx="294">
                  <c:v>5.2982832387191044E-2</c:v>
                </c:pt>
                <c:pt idx="295">
                  <c:v>5.3010009673132755E-2</c:v>
                </c:pt>
                <c:pt idx="296">
                  <c:v>5.3036586881919999E-2</c:v>
                </c:pt>
                <c:pt idx="297">
                  <c:v>5.3062603524765446E-2</c:v>
                </c:pt>
                <c:pt idx="298">
                  <c:v>5.3088101510961272E-2</c:v>
                </c:pt>
                <c:pt idx="299">
                  <c:v>5.3113125013211922E-2</c:v>
                </c:pt>
                <c:pt idx="300">
                  <c:v>5.3137720316277559E-2</c:v>
                </c:pt>
                <c:pt idx="301">
                  <c:v>5.3161935649693695E-2</c:v>
                </c:pt>
                <c:pt idx="302">
                  <c:v>5.3185821005473942E-2</c:v>
                </c:pt>
                <c:pt idx="303">
                  <c:v>5.3209427941837917E-2</c:v>
                </c:pt>
                <c:pt idx="304">
                  <c:v>5.323280937413416E-2</c:v>
                </c:pt>
                <c:pt idx="305">
                  <c:v>5.3256019354247133E-2</c:v>
                </c:pt>
                <c:pt idx="306">
                  <c:v>5.3279112839886608E-2</c:v>
                </c:pt>
                <c:pt idx="307">
                  <c:v>5.3302145455255794E-2</c:v>
                </c:pt>
                <c:pt idx="308">
                  <c:v>5.3325173244680814E-2</c:v>
                </c:pt>
                <c:pt idx="309">
                  <c:v>5.3348252420857958E-2</c:v>
                </c:pt>
                <c:pt idx="310">
                  <c:v>5.337143910943417E-2</c:v>
                </c:pt>
                <c:pt idx="311">
                  <c:v>5.3394789091682285E-2</c:v>
                </c:pt>
                <c:pt idx="312">
                  <c:v>5.3418357547063068E-2</c:v>
                </c:pt>
                <c:pt idx="313">
                  <c:v>5.344219879748157E-2</c:v>
                </c:pt>
                <c:pt idx="314">
                  <c:v>5.3466366055045511E-2</c:v>
                </c:pt>
                <c:pt idx="315">
                  <c:v>5.3490911175118214E-2</c:v>
                </c:pt>
                <c:pt idx="316">
                  <c:v>5.351588441642767E-2</c:v>
                </c:pt>
                <c:pt idx="317">
                  <c:v>5.3541334209947493E-2</c:v>
                </c:pt>
                <c:pt idx="318">
                  <c:v>5.3567306938204606E-2</c:v>
                </c:pt>
                <c:pt idx="319">
                  <c:v>5.3593846726593626E-2</c:v>
                </c:pt>
                <c:pt idx="320">
                  <c:v>5.3620995248188225E-2</c:v>
                </c:pt>
                <c:pt idx="321">
                  <c:v>5.3648791543438733E-2</c:v>
                </c:pt>
                <c:pt idx="322">
                  <c:v>5.367727185603044E-2</c:v>
                </c:pt>
                <c:pt idx="323">
                  <c:v>5.3706469486052275E-2</c:v>
                </c:pt>
                <c:pt idx="324">
                  <c:v>5.3736414661490046E-2</c:v>
                </c:pt>
                <c:pt idx="325">
                  <c:v>5.3767134428914905E-2</c:v>
                </c:pt>
                <c:pt idx="326">
                  <c:v>5.3798652564085267E-2</c:v>
                </c:pt>
                <c:pt idx="327">
                  <c:v>5.383098950302391E-2</c:v>
                </c:pt>
                <c:pt idx="328">
                  <c:v>5.3864162293968232E-2</c:v>
                </c:pt>
                <c:pt idx="329">
                  <c:v>5.3898184570426694E-2</c:v>
                </c:pt>
                <c:pt idx="330">
                  <c:v>5.3933066545406784E-2</c:v>
                </c:pt>
                <c:pt idx="331">
                  <c:v>5.39688150267114E-2</c:v>
                </c:pt>
                <c:pt idx="332">
                  <c:v>5.4005433453034643E-2</c:v>
                </c:pt>
                <c:pt idx="333">
                  <c:v>5.404292195042338E-2</c:v>
                </c:pt>
                <c:pt idx="334">
                  <c:v>5.4081277408511701E-2</c:v>
                </c:pt>
                <c:pt idx="335">
                  <c:v>5.4120493575780707E-2</c:v>
                </c:pt>
                <c:pt idx="336">
                  <c:v>5.4160561172949477E-2</c:v>
                </c:pt>
                <c:pt idx="337">
                  <c:v>5.4201468023463713E-2</c:v>
                </c:pt>
                <c:pt idx="338">
                  <c:v>5.4243199199919719E-2</c:v>
                </c:pt>
                <c:pt idx="339">
                  <c:v>5.4285737185142263E-2</c:v>
                </c:pt>
                <c:pt idx="340">
                  <c:v>5.4329062046528501E-2</c:v>
                </c:pt>
                <c:pt idx="341">
                  <c:v>5.4373151622175493E-2</c:v>
                </c:pt>
                <c:pt idx="342">
                  <c:v>5.4417981717228073E-2</c:v>
                </c:pt>
                <c:pt idx="343">
                  <c:v>5.4463526308817484E-2</c:v>
                </c:pt>
                <c:pt idx="344">
                  <c:v>5.4509757757908471E-2</c:v>
                </c:pt>
                <c:pt idx="345">
                  <c:v>5.4556647026336322E-2</c:v>
                </c:pt>
                <c:pt idx="346">
                  <c:v>5.4604163897292828E-2</c:v>
                </c:pt>
                <c:pt idx="347">
                  <c:v>5.4652277197514476E-2</c:v>
                </c:pt>
                <c:pt idx="348">
                  <c:v>5.4700955019435019E-2</c:v>
                </c:pt>
                <c:pt idx="349">
                  <c:v>5.4750164941588624E-2</c:v>
                </c:pt>
                <c:pt idx="350">
                  <c:v>5.4799874245589277E-2</c:v>
                </c:pt>
                <c:pt idx="351">
                  <c:v>5.4850050128065431E-2</c:v>
                </c:pt>
                <c:pt idx="352">
                  <c:v>5.4900659905996289E-2</c:v>
                </c:pt>
                <c:pt idx="353">
                  <c:v>5.4951671213976226E-2</c:v>
                </c:pt>
                <c:pt idx="354">
                  <c:v>5.5003052192027092E-2</c:v>
                </c:pt>
                <c:pt idx="355">
                  <c:v>5.5054771662681169E-2</c:v>
                </c:pt>
                <c:pt idx="356">
                  <c:v>5.5106799296172321E-2</c:v>
                </c:pt>
                <c:pt idx="357">
                  <c:v>5.5159105762695719E-2</c:v>
                </c:pt>
                <c:pt idx="358">
                  <c:v>5.5211662870827419E-2</c:v>
                </c:pt>
                <c:pt idx="359">
                  <c:v>5.5264443691332606E-2</c:v>
                </c:pt>
                <c:pt idx="360">
                  <c:v>5.5317422665734299E-2</c:v>
                </c:pt>
                <c:pt idx="361">
                  <c:v>5.5370575699160339E-2</c:v>
                </c:pt>
                <c:pt idx="362">
                  <c:v>5.5423880237135272E-2</c:v>
                </c:pt>
                <c:pt idx="363">
                  <c:v>5.547731532613439E-2</c:v>
                </c:pt>
                <c:pt idx="364">
                  <c:v>5.553086165786543E-2</c:v>
                </c:pt>
                <c:pt idx="365">
                  <c:v>5.5584501597391658E-2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7.7125765288989989E-3</c:v>
                </c:pt>
                <c:pt idx="1">
                  <c:v>7.5849755321650506E-3</c:v>
                </c:pt>
                <c:pt idx="2">
                  <c:v>7.4540779710793436E-3</c:v>
                </c:pt>
                <c:pt idx="3">
                  <c:v>7.3201890002401312E-3</c:v>
                </c:pt>
                <c:pt idx="4">
                  <c:v>7.183607721681055E-3</c:v>
                </c:pt>
                <c:pt idx="5">
                  <c:v>7.0446255230403026E-3</c:v>
                </c:pt>
                <c:pt idx="6">
                  <c:v>6.9035245961862925E-3</c:v>
                </c:pt>
                <c:pt idx="7">
                  <c:v>6.760576644698809E-3</c:v>
                </c:pt>
                <c:pt idx="8">
                  <c:v>6.6152410117490843E-3</c:v>
                </c:pt>
                <c:pt idx="9">
                  <c:v>6.4724773726299416E-3</c:v>
                </c:pt>
                <c:pt idx="10">
                  <c:v>6.3379842207460565E-3</c:v>
                </c:pt>
                <c:pt idx="11">
                  <c:v>6.2118857456638261E-3</c:v>
                </c:pt>
                <c:pt idx="12">
                  <c:v>6.0942686813391708E-3</c:v>
                </c:pt>
                <c:pt idx="13">
                  <c:v>5.9851856656124355E-3</c:v>
                </c:pt>
                <c:pt idx="14">
                  <c:v>5.8846586929520057E-3</c:v>
                </c:pt>
                <c:pt idx="15">
                  <c:v>5.786966990124493E-3</c:v>
                </c:pt>
                <c:pt idx="16">
                  <c:v>5.6892328103966949E-3</c:v>
                </c:pt>
                <c:pt idx="17">
                  <c:v>5.5916814439487678E-3</c:v>
                </c:pt>
                <c:pt idx="18">
                  <c:v>5.494518176319599E-3</c:v>
                </c:pt>
                <c:pt idx="19">
                  <c:v>5.3979588914032832E-3</c:v>
                </c:pt>
                <c:pt idx="20">
                  <c:v>5.3022118265228062E-3</c:v>
                </c:pt>
                <c:pt idx="21">
                  <c:v>5.2074934602210866E-3</c:v>
                </c:pt>
                <c:pt idx="22">
                  <c:v>5.1131835172853963E-3</c:v>
                </c:pt>
                <c:pt idx="23">
                  <c:v>5.0170757155271282E-3</c:v>
                </c:pt>
                <c:pt idx="24">
                  <c:v>4.914888460152019E-3</c:v>
                </c:pt>
                <c:pt idx="25">
                  <c:v>4.8070588165884031E-3</c:v>
                </c:pt>
                <c:pt idx="26">
                  <c:v>4.6939980815250389E-3</c:v>
                </c:pt>
                <c:pt idx="27">
                  <c:v>4.5760905012049088E-3</c:v>
                </c:pt>
                <c:pt idx="28">
                  <c:v>4.453692434813996E-3</c:v>
                </c:pt>
                <c:pt idx="29">
                  <c:v>4.3299485329409276E-3</c:v>
                </c:pt>
                <c:pt idx="30">
                  <c:v>4.209915676136558E-3</c:v>
                </c:pt>
                <c:pt idx="31">
                  <c:v>4.0936150837785285E-3</c:v>
                </c:pt>
                <c:pt idx="32">
                  <c:v>3.9810515813852847E-3</c:v>
                </c:pt>
                <c:pt idx="33">
                  <c:v>3.8722156508435605E-3</c:v>
                </c:pt>
                <c:pt idx="34">
                  <c:v>3.7670853566589375E-3</c:v>
                </c:pt>
                <c:pt idx="35">
                  <c:v>3.6656281445041519E-3</c:v>
                </c:pt>
                <c:pt idx="36">
                  <c:v>3.5675312096139894E-3</c:v>
                </c:pt>
                <c:pt idx="37">
                  <c:v>3.4709953334277118E-3</c:v>
                </c:pt>
                <c:pt idx="38">
                  <c:v>3.3774485460772714E-3</c:v>
                </c:pt>
                <c:pt idx="39">
                  <c:v>3.2868154770095549E-3</c:v>
                </c:pt>
                <c:pt idx="40">
                  <c:v>3.1990221183311736E-3</c:v>
                </c:pt>
                <c:pt idx="41">
                  <c:v>3.1139959632724445E-3</c:v>
                </c:pt>
                <c:pt idx="42">
                  <c:v>3.0316661259152371E-3</c:v>
                </c:pt>
                <c:pt idx="43">
                  <c:v>2.9509501585484564E-3</c:v>
                </c:pt>
                <c:pt idx="44">
                  <c:v>2.869394270590857E-3</c:v>
                </c:pt>
                <c:pt idx="45">
                  <c:v>2.7870285948310845E-3</c:v>
                </c:pt>
                <c:pt idx="46">
                  <c:v>2.7038815501500353E-3</c:v>
                </c:pt>
                <c:pt idx="47">
                  <c:v>2.6199799681951149E-3</c:v>
                </c:pt>
                <c:pt idx="48">
                  <c:v>2.5353491983743171E-3</c:v>
                </c:pt>
                <c:pt idx="49">
                  <c:v>2.4500131908625588E-3</c:v>
                </c:pt>
                <c:pt idx="50">
                  <c:v>2.363978671584231E-3</c:v>
                </c:pt>
                <c:pt idx="51">
                  <c:v>2.2773418475952678E-3</c:v>
                </c:pt>
                <c:pt idx="52">
                  <c:v>2.1913753254596546E-3</c:v>
                </c:pt>
                <c:pt idx="53">
                  <c:v>2.1060491084970412E-3</c:v>
                </c:pt>
                <c:pt idx="54">
                  <c:v>2.0213462942161226E-3</c:v>
                </c:pt>
                <c:pt idx="55">
                  <c:v>1.9372512325866466E-3</c:v>
                </c:pt>
                <c:pt idx="56">
                  <c:v>1.8537493910127305E-3</c:v>
                </c:pt>
                <c:pt idx="57">
                  <c:v>1.7721745990415681E-3</c:v>
                </c:pt>
                <c:pt idx="58">
                  <c:v>1.6933678753603585E-3</c:v>
                </c:pt>
                <c:pt idx="59">
                  <c:v>1.61726272939159E-3</c:v>
                </c:pt>
                <c:pt idx="60">
                  <c:v>1.5437949517320307E-3</c:v>
                </c:pt>
                <c:pt idx="61">
                  <c:v>1.4729024276284391E-3</c:v>
                </c:pt>
                <c:pt idx="62">
                  <c:v>1.4045249620203253E-3</c:v>
                </c:pt>
                <c:pt idx="63">
                  <c:v>1.3386041167721104E-3</c:v>
                </c:pt>
                <c:pt idx="64">
                  <c:v>1.2750502179220081E-3</c:v>
                </c:pt>
                <c:pt idx="65">
                  <c:v>1.2152203340143259E-3</c:v>
                </c:pt>
                <c:pt idx="66">
                  <c:v>1.1589735284727046E-3</c:v>
                </c:pt>
                <c:pt idx="67">
                  <c:v>1.1062468166091457E-3</c:v>
                </c:pt>
                <c:pt idx="68">
                  <c:v>1.0569761802495564E-3</c:v>
                </c:pt>
                <c:pt idx="69">
                  <c:v>1.0110970592158406E-3</c:v>
                </c:pt>
                <c:pt idx="70">
                  <c:v>9.6854482010413966E-4</c:v>
                </c:pt>
                <c:pt idx="71">
                  <c:v>9.2944213794824663E-4</c:v>
                </c:pt>
                <c:pt idx="72">
                  <c:v>8.9252459625014866E-4</c:v>
                </c:pt>
                <c:pt idx="73">
                  <c:v>8.5775173396458206E-4</c:v>
                </c:pt>
                <c:pt idx="74">
                  <c:v>8.2508334915019953E-4</c:v>
                </c:pt>
                <c:pt idx="75">
                  <c:v>7.9447975538126227E-4</c:v>
                </c:pt>
                <c:pt idx="76">
                  <c:v>7.6590202696887229E-4</c:v>
                </c:pt>
                <c:pt idx="77">
                  <c:v>7.3931223342201782E-4</c:v>
                </c:pt>
                <c:pt idx="78">
                  <c:v>7.1462831258285297E-4</c:v>
                </c:pt>
                <c:pt idx="79">
                  <c:v>6.9203200638889102E-4</c:v>
                </c:pt>
                <c:pt idx="80">
                  <c:v>6.7020764053628745E-4</c:v>
                </c:pt>
                <c:pt idx="81">
                  <c:v>6.4915046279307917E-4</c:v>
                </c:pt>
                <c:pt idx="82">
                  <c:v>6.2885431739146281E-4</c:v>
                </c:pt>
                <c:pt idx="83">
                  <c:v>6.0931183312602343E-4</c:v>
                </c:pt>
                <c:pt idx="84">
                  <c:v>5.905146038411818E-4</c:v>
                </c:pt>
                <c:pt idx="85">
                  <c:v>5.7268088766087427E-4</c:v>
                </c:pt>
                <c:pt idx="86">
                  <c:v>5.5562567814692427E-4</c:v>
                </c:pt>
                <c:pt idx="87">
                  <c:v>5.3933801434854383E-4</c:v>
                </c:pt>
                <c:pt idx="88">
                  <c:v>5.2380666782106454E-4</c:v>
                </c:pt>
                <c:pt idx="89">
                  <c:v>5.0902029057422831E-4</c:v>
                </c:pt>
                <c:pt idx="90">
                  <c:v>4.9496755502748905E-4</c:v>
                </c:pt>
                <c:pt idx="91">
                  <c:v>4.8163728668792252E-4</c:v>
                </c:pt>
                <c:pt idx="92">
                  <c:v>4.6899840480078142E-4</c:v>
                </c:pt>
                <c:pt idx="93">
                  <c:v>4.5710620535441862E-4</c:v>
                </c:pt>
                <c:pt idx="94">
                  <c:v>4.4571130207262386E-4</c:v>
                </c:pt>
                <c:pt idx="95">
                  <c:v>4.3480285441498817E-4</c:v>
                </c:pt>
                <c:pt idx="96">
                  <c:v>4.243705497299633E-4</c:v>
                </c:pt>
                <c:pt idx="97">
                  <c:v>4.1440461418859289E-4</c:v>
                </c:pt>
                <c:pt idx="98">
                  <c:v>4.0489582407799183E-4</c:v>
                </c:pt>
                <c:pt idx="99">
                  <c:v>3.9588717279447045E-4</c:v>
                </c:pt>
                <c:pt idx="100">
                  <c:v>3.8714783959803141E-4</c:v>
                </c:pt>
                <c:pt idx="101">
                  <c:v>3.7866958670450712E-4</c:v>
                </c:pt>
                <c:pt idx="102">
                  <c:v>3.7044438031122803E-4</c:v>
                </c:pt>
                <c:pt idx="103">
                  <c:v>3.6246439614447346E-4</c:v>
                </c:pt>
                <c:pt idx="104">
                  <c:v>3.5472202516900259E-4</c:v>
                </c:pt>
                <c:pt idx="105">
                  <c:v>3.4720987923304197E-4</c:v>
                </c:pt>
                <c:pt idx="106">
                  <c:v>3.3991924891996574E-4</c:v>
                </c:pt>
                <c:pt idx="107">
                  <c:v>3.329343514317329E-4</c:v>
                </c:pt>
                <c:pt idx="108">
                  <c:v>3.2615847019732026E-4</c:v>
                </c:pt>
                <c:pt idx="109">
                  <c:v>3.1958460996146473E-4</c:v>
                </c:pt>
                <c:pt idx="110">
                  <c:v>3.1320692856619633E-4</c:v>
                </c:pt>
                <c:pt idx="111">
                  <c:v>3.0701979618106006E-4</c:v>
                </c:pt>
                <c:pt idx="112">
                  <c:v>3.0101693080231406E-4</c:v>
                </c:pt>
                <c:pt idx="113">
                  <c:v>2.9531238424729045E-4</c:v>
                </c:pt>
                <c:pt idx="114">
                  <c:v>2.8984774457376601E-4</c:v>
                </c:pt>
                <c:pt idx="115">
                  <c:v>2.8461896488169022E-4</c:v>
                </c:pt>
                <c:pt idx="116">
                  <c:v>2.7962242000061533E-4</c:v>
                </c:pt>
                <c:pt idx="117">
                  <c:v>2.7485490874258319E-4</c:v>
                </c:pt>
                <c:pt idx="118">
                  <c:v>2.7031365623027688E-4</c:v>
                </c:pt>
                <c:pt idx="119">
                  <c:v>2.6599631637051741E-4</c:v>
                </c:pt>
                <c:pt idx="120">
                  <c:v>2.6190494933975717E-4</c:v>
                </c:pt>
                <c:pt idx="121">
                  <c:v>2.581821359617021E-4</c:v>
                </c:pt>
                <c:pt idx="122">
                  <c:v>2.5472648415257696E-4</c:v>
                </c:pt>
                <c:pt idx="123">
                  <c:v>2.5153683465818985E-4</c:v>
                </c:pt>
                <c:pt idx="124">
                  <c:v>2.4861269110436937E-4</c:v>
                </c:pt>
                <c:pt idx="125">
                  <c:v>2.4595420038279743E-4</c:v>
                </c:pt>
                <c:pt idx="126">
                  <c:v>2.4356213283060517E-4</c:v>
                </c:pt>
                <c:pt idx="127">
                  <c:v>2.4141953967504113E-4</c:v>
                </c:pt>
                <c:pt idx="128">
                  <c:v>2.3939115463899075E-4</c:v>
                </c:pt>
                <c:pt idx="129">
                  <c:v>2.3747465865672229E-4</c:v>
                </c:pt>
                <c:pt idx="130">
                  <c:v>2.3566800637530474E-4</c:v>
                </c:pt>
                <c:pt idx="131">
                  <c:v>2.3396941983517695E-4</c:v>
                </c:pt>
                <c:pt idx="132">
                  <c:v>2.3237738223956623E-4</c:v>
                </c:pt>
                <c:pt idx="133">
                  <c:v>2.3089063162577906E-4</c:v>
                </c:pt>
                <c:pt idx="134">
                  <c:v>2.2951381360634488E-4</c:v>
                </c:pt>
                <c:pt idx="135">
                  <c:v>2.2823677431369122E-4</c:v>
                </c:pt>
                <c:pt idx="136">
                  <c:v>2.2689391539355499E-4</c:v>
                </c:pt>
                <c:pt idx="137">
                  <c:v>2.2547946793009441E-4</c:v>
                </c:pt>
                <c:pt idx="138">
                  <c:v>2.2398767909542885E-4</c:v>
                </c:pt>
                <c:pt idx="139">
                  <c:v>2.224128277137792E-4</c:v>
                </c:pt>
                <c:pt idx="140">
                  <c:v>2.2074924078507898E-4</c:v>
                </c:pt>
                <c:pt idx="141">
                  <c:v>2.1908817463454303E-4</c:v>
                </c:pt>
                <c:pt idx="142">
                  <c:v>2.1744606422915454E-4</c:v>
                </c:pt>
                <c:pt idx="143">
                  <c:v>2.158201478516959E-4</c:v>
                </c:pt>
                <c:pt idx="144">
                  <c:v>2.1420915405890903E-4</c:v>
                </c:pt>
                <c:pt idx="145">
                  <c:v>2.1261197591209059E-4</c:v>
                </c:pt>
                <c:pt idx="146">
                  <c:v>2.1102767406155454E-4</c:v>
                </c:pt>
                <c:pt idx="147">
                  <c:v>2.0945547939784669E-4</c:v>
                </c:pt>
                <c:pt idx="148">
                  <c:v>2.0789966450645032E-4</c:v>
                </c:pt>
                <c:pt idx="149">
                  <c:v>2.0638800400524549E-4</c:v>
                </c:pt>
                <c:pt idx="150">
                  <c:v>2.0493700640326974E-4</c:v>
                </c:pt>
                <c:pt idx="151">
                  <c:v>2.0354691175445859E-4</c:v>
                </c:pt>
                <c:pt idx="152">
                  <c:v>2.0221815846084757E-4</c:v>
                </c:pt>
                <c:pt idx="153">
                  <c:v>2.0095137466780359E-4</c:v>
                </c:pt>
                <c:pt idx="154">
                  <c:v>1.9974736906947817E-4</c:v>
                </c:pt>
                <c:pt idx="155">
                  <c:v>1.9872870078660484E-4</c:v>
                </c:pt>
                <c:pt idx="156">
                  <c:v>1.9778672072270925E-4</c:v>
                </c:pt>
                <c:pt idx="157">
                  <c:v>1.9692307633051114E-4</c:v>
                </c:pt>
                <c:pt idx="158">
                  <c:v>1.9613954396936466E-4</c:v>
                </c:pt>
                <c:pt idx="159">
                  <c:v>1.9543801468809106E-4</c:v>
                </c:pt>
                <c:pt idx="160">
                  <c:v>1.9482047946090255E-4</c:v>
                </c:pt>
                <c:pt idx="161">
                  <c:v>1.9428901390340867E-4</c:v>
                </c:pt>
                <c:pt idx="162">
                  <c:v>1.9384910741172934E-4</c:v>
                </c:pt>
                <c:pt idx="163">
                  <c:v>1.9360605232878587E-4</c:v>
                </c:pt>
                <c:pt idx="164">
                  <c:v>1.9353732291548515E-4</c:v>
                </c:pt>
                <c:pt idx="165">
                  <c:v>1.9364816384223696E-4</c:v>
                </c:pt>
                <c:pt idx="166">
                  <c:v>1.9394379737943282E-4</c:v>
                </c:pt>
                <c:pt idx="167">
                  <c:v>1.9442941201726501E-4</c:v>
                </c:pt>
                <c:pt idx="168">
                  <c:v>1.9511015206994978E-4</c:v>
                </c:pt>
                <c:pt idx="169">
                  <c:v>1.9609506229923342E-4</c:v>
                </c:pt>
                <c:pt idx="170">
                  <c:v>1.9725249496774445E-4</c:v>
                </c:pt>
                <c:pt idx="171">
                  <c:v>1.9858661405742169E-4</c:v>
                </c:pt>
                <c:pt idx="172">
                  <c:v>2.0010153717014333E-4</c:v>
                </c:pt>
                <c:pt idx="173">
                  <c:v>2.0179926875428549E-4</c:v>
                </c:pt>
                <c:pt idx="174">
                  <c:v>2.0368157424045411E-4</c:v>
                </c:pt>
                <c:pt idx="175">
                  <c:v>2.0575211391420258E-4</c:v>
                </c:pt>
                <c:pt idx="176">
                  <c:v>2.0801446394526211E-4</c:v>
                </c:pt>
                <c:pt idx="177">
                  <c:v>2.1061800834977411E-4</c:v>
                </c:pt>
                <c:pt idx="178">
                  <c:v>2.134582109716438E-4</c:v>
                </c:pt>
                <c:pt idx="179">
                  <c:v>2.1653894691872394E-4</c:v>
                </c:pt>
                <c:pt idx="180">
                  <c:v>2.1986397651492742E-4</c:v>
                </c:pt>
                <c:pt idx="181">
                  <c:v>2.2343694944899252E-4</c:v>
                </c:pt>
                <c:pt idx="182">
                  <c:v>2.2726141007123565E-4</c:v>
                </c:pt>
                <c:pt idx="183">
                  <c:v>2.3137461843625326E-4</c:v>
                </c:pt>
                <c:pt idx="184">
                  <c:v>2.3566633930477982E-4</c:v>
                </c:pt>
                <c:pt idx="185">
                  <c:v>2.4013880936975301E-4</c:v>
                </c:pt>
                <c:pt idx="186">
                  <c:v>2.4479425296771877E-4</c:v>
                </c:pt>
                <c:pt idx="187">
                  <c:v>2.4963488785883722E-4</c:v>
                </c:pt>
                <c:pt idx="188">
                  <c:v>2.5466293101807737E-4</c:v>
                </c:pt>
                <c:pt idx="189">
                  <c:v>2.598806043932776E-4</c:v>
                </c:pt>
                <c:pt idx="190">
                  <c:v>2.6528810077642233E-4</c:v>
                </c:pt>
                <c:pt idx="191">
                  <c:v>2.7102934818239231E-4</c:v>
                </c:pt>
                <c:pt idx="192">
                  <c:v>2.7695207698879724E-4</c:v>
                </c:pt>
                <c:pt idx="193">
                  <c:v>2.8305913921374101E-4</c:v>
                </c:pt>
                <c:pt idx="194">
                  <c:v>2.8935351359591125E-4</c:v>
                </c:pt>
                <c:pt idx="195">
                  <c:v>2.9583831620036411E-4</c:v>
                </c:pt>
                <c:pt idx="196">
                  <c:v>3.0251681075055893E-4</c:v>
                </c:pt>
                <c:pt idx="197">
                  <c:v>3.0937491101801245E-4</c:v>
                </c:pt>
                <c:pt idx="198">
                  <c:v>3.1637971288394782E-4</c:v>
                </c:pt>
                <c:pt idx="199">
                  <c:v>3.2353457495416218E-4</c:v>
                </c:pt>
                <c:pt idx="200">
                  <c:v>3.3084304958621577E-4</c:v>
                </c:pt>
                <c:pt idx="201">
                  <c:v>3.3830888720998945E-4</c:v>
                </c:pt>
                <c:pt idx="202">
                  <c:v>3.459360406126037E-4</c:v>
                </c:pt>
                <c:pt idx="203">
                  <c:v>3.5372866936270598E-4</c:v>
                </c:pt>
                <c:pt idx="204">
                  <c:v>3.6168728077191328E-4</c:v>
                </c:pt>
                <c:pt idx="205">
                  <c:v>3.697894376378888E-4</c:v>
                </c:pt>
                <c:pt idx="206">
                  <c:v>3.7788753190068786E-4</c:v>
                </c:pt>
                <c:pt idx="207">
                  <c:v>3.8598276400545893E-4</c:v>
                </c:pt>
                <c:pt idx="208">
                  <c:v>3.9407634876565366E-4</c:v>
                </c:pt>
                <c:pt idx="209">
                  <c:v>4.0216950416320182E-4</c:v>
                </c:pt>
                <c:pt idx="210">
                  <c:v>4.1026344083575924E-4</c:v>
                </c:pt>
                <c:pt idx="211">
                  <c:v>4.1864983899361693E-4</c:v>
                </c:pt>
                <c:pt idx="212">
                  <c:v>4.2734996883518438E-4</c:v>
                </c:pt>
                <c:pt idx="213">
                  <c:v>4.3636768483935759E-4</c:v>
                </c:pt>
                <c:pt idx="214">
                  <c:v>4.4570682061539739E-4</c:v>
                </c:pt>
                <c:pt idx="215">
                  <c:v>4.5537118853947384E-4</c:v>
                </c:pt>
                <c:pt idx="216">
                  <c:v>4.6536457930575767E-4</c:v>
                </c:pt>
                <c:pt idx="217">
                  <c:v>4.7569076146362893E-4</c:v>
                </c:pt>
                <c:pt idx="218">
                  <c:v>4.8634953899008928E-4</c:v>
                </c:pt>
                <c:pt idx="219">
                  <c:v>4.9762006066592275E-4</c:v>
                </c:pt>
                <c:pt idx="220">
                  <c:v>5.0953180944153964E-4</c:v>
                </c:pt>
                <c:pt idx="221">
                  <c:v>5.2209273047902573E-4</c:v>
                </c:pt>
                <c:pt idx="222">
                  <c:v>5.3531095355246648E-4</c:v>
                </c:pt>
                <c:pt idx="223">
                  <c:v>5.4919482181263056E-4</c:v>
                </c:pt>
                <c:pt idx="224">
                  <c:v>5.6375292114300361E-4</c:v>
                </c:pt>
                <c:pt idx="225">
                  <c:v>5.7920371618357743E-4</c:v>
                </c:pt>
                <c:pt idx="226">
                  <c:v>5.9525402504974898E-4</c:v>
                </c:pt>
                <c:pt idx="227">
                  <c:v>6.1191242421914738E-4</c:v>
                </c:pt>
                <c:pt idx="228">
                  <c:v>6.2918784209284057E-4</c:v>
                </c:pt>
                <c:pt idx="229">
                  <c:v>6.4708958840415656E-4</c:v>
                </c:pt>
                <c:pt idx="230">
                  <c:v>6.6562738469211856E-4</c:v>
                </c:pt>
                <c:pt idx="231">
                  <c:v>6.8481139608052841E-4</c:v>
                </c:pt>
                <c:pt idx="232">
                  <c:v>7.0464539892043851E-4</c:v>
                </c:pt>
                <c:pt idx="233">
                  <c:v>7.2526992428373468E-4</c:v>
                </c:pt>
                <c:pt idx="234">
                  <c:v>7.4640103848045932E-4</c:v>
                </c:pt>
                <c:pt idx="235">
                  <c:v>7.6804503502987101E-4</c:v>
                </c:pt>
                <c:pt idx="236">
                  <c:v>7.9020856903030923E-4</c:v>
                </c:pt>
                <c:pt idx="237">
                  <c:v>8.1289790437968597E-4</c:v>
                </c:pt>
                <c:pt idx="238">
                  <c:v>8.3611937696991597E-4</c:v>
                </c:pt>
                <c:pt idx="239">
                  <c:v>8.6014318883465284E-4</c:v>
                </c:pt>
                <c:pt idx="240">
                  <c:v>8.8475858636179031E-4</c:v>
                </c:pt>
                <c:pt idx="241">
                  <c:v>9.0997277809060366E-4</c:v>
                </c:pt>
                <c:pt idx="242">
                  <c:v>9.3579301218321427E-4</c:v>
                </c:pt>
                <c:pt idx="243">
                  <c:v>9.6222656522883655E-4</c:v>
                </c:pt>
                <c:pt idx="244">
                  <c:v>9.8928072906828159E-4</c:v>
                </c:pt>
                <c:pt idx="245">
                  <c:v>1.0169627958330281E-3</c:v>
                </c:pt>
                <c:pt idx="246">
                  <c:v>1.0452800409573651E-3</c:v>
                </c:pt>
                <c:pt idx="247">
                  <c:v>1.0748397143152356E-3</c:v>
                </c:pt>
                <c:pt idx="248">
                  <c:v>1.105508912548447E-3</c:v>
                </c:pt>
                <c:pt idx="249">
                  <c:v>1.1373000211971525E-3</c:v>
                </c:pt>
                <c:pt idx="250">
                  <c:v>1.1702254198009999E-3</c:v>
                </c:pt>
                <c:pt idx="251">
                  <c:v>1.2042974530825342E-3</c:v>
                </c:pt>
                <c:pt idx="252">
                  <c:v>1.2395283998817327E-3</c:v>
                </c:pt>
                <c:pt idx="253">
                  <c:v>1.2765722043098498E-3</c:v>
                </c:pt>
                <c:pt idx="254">
                  <c:v>1.315168792785144E-3</c:v>
                </c:pt>
                <c:pt idx="255">
                  <c:v>1.3553343131857461E-3</c:v>
                </c:pt>
                <c:pt idx="256">
                  <c:v>1.3970847720075556E-3</c:v>
                </c:pt>
                <c:pt idx="257">
                  <c:v>1.4404359911264783E-3</c:v>
                </c:pt>
                <c:pt idx="258">
                  <c:v>1.4854035640545432E-3</c:v>
                </c:pt>
                <c:pt idx="259">
                  <c:v>1.5320028121181997E-3</c:v>
                </c:pt>
                <c:pt idx="260">
                  <c:v>1.5802563332565531E-3</c:v>
                </c:pt>
                <c:pt idx="261">
                  <c:v>1.6307027341244296E-3</c:v>
                </c:pt>
                <c:pt idx="262">
                  <c:v>1.6827240120010258E-3</c:v>
                </c:pt>
                <c:pt idx="263">
                  <c:v>1.7363300008447085E-3</c:v>
                </c:pt>
                <c:pt idx="264">
                  <c:v>1.7915296377262674E-3</c:v>
                </c:pt>
                <c:pt idx="265">
                  <c:v>1.8483407154908863E-3</c:v>
                </c:pt>
                <c:pt idx="266">
                  <c:v>1.906776142968507E-3</c:v>
                </c:pt>
                <c:pt idx="267">
                  <c:v>1.9704985589977949E-3</c:v>
                </c:pt>
                <c:pt idx="268">
                  <c:v>2.0388735378971518E-3</c:v>
                </c:pt>
                <c:pt idx="269">
                  <c:v>2.1119379325905611E-3</c:v>
                </c:pt>
                <c:pt idx="270">
                  <c:v>2.1897266428420347E-3</c:v>
                </c:pt>
                <c:pt idx="271">
                  <c:v>2.2722723657970264E-3</c:v>
                </c:pt>
                <c:pt idx="272">
                  <c:v>2.359605356789508E-3</c:v>
                </c:pt>
                <c:pt idx="273">
                  <c:v>2.4517532025440433E-3</c:v>
                </c:pt>
                <c:pt idx="274">
                  <c:v>2.5488368881170769E-3</c:v>
                </c:pt>
                <c:pt idx="275">
                  <c:v>2.6536345313357109E-3</c:v>
                </c:pt>
                <c:pt idx="276">
                  <c:v>2.7656381556930556E-3</c:v>
                </c:pt>
                <c:pt idx="277">
                  <c:v>2.8848755202679219E-3</c:v>
                </c:pt>
                <c:pt idx="278">
                  <c:v>3.0113659681442885E-3</c:v>
                </c:pt>
                <c:pt idx="279">
                  <c:v>3.1451191344500995E-3</c:v>
                </c:pt>
                <c:pt idx="280">
                  <c:v>3.2861336348222153E-3</c:v>
                </c:pt>
                <c:pt idx="281">
                  <c:v>3.4336498533558417E-3</c:v>
                </c:pt>
                <c:pt idx="282">
                  <c:v>3.5837615264581479E-3</c:v>
                </c:pt>
                <c:pt idx="283">
                  <c:v>3.7363804054079503E-3</c:v>
                </c:pt>
                <c:pt idx="284">
                  <c:v>3.8914056228685598E-3</c:v>
                </c:pt>
                <c:pt idx="285">
                  <c:v>4.0487232436666491E-3</c:v>
                </c:pt>
                <c:pt idx="286">
                  <c:v>4.2082058541406328E-3</c:v>
                </c:pt>
                <c:pt idx="287">
                  <c:v>4.3697121963424609E-3</c:v>
                </c:pt>
                <c:pt idx="288">
                  <c:v>4.5334082013530957E-3</c:v>
                </c:pt>
                <c:pt idx="289">
                  <c:v>4.6975725753021476E-3</c:v>
                </c:pt>
                <c:pt idx="290">
                  <c:v>4.8593235788876614E-3</c:v>
                </c:pt>
                <c:pt idx="291">
                  <c:v>5.0185458057629183E-3</c:v>
                </c:pt>
                <c:pt idx="292">
                  <c:v>5.1751193524711102E-3</c:v>
                </c:pt>
                <c:pt idx="293">
                  <c:v>5.3289202824484102E-3</c:v>
                </c:pt>
                <c:pt idx="294">
                  <c:v>5.4798210908869986E-3</c:v>
                </c:pt>
                <c:pt idx="295">
                  <c:v>5.625545337319255E-3</c:v>
                </c:pt>
                <c:pt idx="296">
                  <c:v>5.7667960970605352E-3</c:v>
                </c:pt>
                <c:pt idx="297">
                  <c:v>5.9034886996207321E-3</c:v>
                </c:pt>
                <c:pt idx="298">
                  <c:v>6.0354923420973894E-3</c:v>
                </c:pt>
                <c:pt idx="299">
                  <c:v>6.1626759777136299E-3</c:v>
                </c:pt>
                <c:pt idx="300">
                  <c:v>6.2849088406363648E-3</c:v>
                </c:pt>
                <c:pt idx="301">
                  <c:v>6.4020609545371431E-3</c:v>
                </c:pt>
                <c:pt idx="302">
                  <c:v>6.5143917703614626E-3</c:v>
                </c:pt>
                <c:pt idx="303">
                  <c:v>6.6261160513078968E-3</c:v>
                </c:pt>
                <c:pt idx="304">
                  <c:v>6.7391984322526313E-3</c:v>
                </c:pt>
                <c:pt idx="305">
                  <c:v>6.8536290799488192E-3</c:v>
                </c:pt>
                <c:pt idx="306">
                  <c:v>6.9694003731667281E-3</c:v>
                </c:pt>
                <c:pt idx="307">
                  <c:v>7.0865067985376867E-3</c:v>
                </c:pt>
                <c:pt idx="308">
                  <c:v>7.2049447852018181E-3</c:v>
                </c:pt>
                <c:pt idx="309">
                  <c:v>7.3224181222054565E-3</c:v>
                </c:pt>
                <c:pt idx="310">
                  <c:v>7.4410919301130894E-3</c:v>
                </c:pt>
                <c:pt idx="311">
                  <c:v>7.5609671314103913E-3</c:v>
                </c:pt>
                <c:pt idx="312">
                  <c:v>7.6820452331939106E-3</c:v>
                </c:pt>
                <c:pt idx="313">
                  <c:v>7.804327780184442E-3</c:v>
                </c:pt>
                <c:pt idx="314">
                  <c:v>7.9278157234991629E-3</c:v>
                </c:pt>
                <c:pt idx="315">
                  <c:v>8.0525087017909013E-3</c:v>
                </c:pt>
                <c:pt idx="316">
                  <c:v>8.178943323406563E-3</c:v>
                </c:pt>
                <c:pt idx="317">
                  <c:v>8.3012183893131294E-3</c:v>
                </c:pt>
                <c:pt idx="318">
                  <c:v>8.4154570976751972E-3</c:v>
                </c:pt>
                <c:pt idx="319">
                  <c:v>8.5216577926500777E-3</c:v>
                </c:pt>
                <c:pt idx="320">
                  <c:v>8.6198045408182565E-3</c:v>
                </c:pt>
                <c:pt idx="321">
                  <c:v>8.7098660500544399E-3</c:v>
                </c:pt>
                <c:pt idx="322">
                  <c:v>8.791794689142712E-3</c:v>
                </c:pt>
                <c:pt idx="323">
                  <c:v>8.8690876872541298E-3</c:v>
                </c:pt>
                <c:pt idx="324">
                  <c:v>8.9439622215729524E-3</c:v>
                </c:pt>
                <c:pt idx="325">
                  <c:v>9.0163244435128107E-3</c:v>
                </c:pt>
                <c:pt idx="326">
                  <c:v>9.0860061062024745E-3</c:v>
                </c:pt>
                <c:pt idx="327">
                  <c:v>9.1528565859974303E-3</c:v>
                </c:pt>
                <c:pt idx="328">
                  <c:v>9.2167527957110404E-3</c:v>
                </c:pt>
                <c:pt idx="329">
                  <c:v>9.2775528243786154E-3</c:v>
                </c:pt>
                <c:pt idx="330">
                  <c:v>9.3360673831426443E-3</c:v>
                </c:pt>
                <c:pt idx="331">
                  <c:v>9.3937860473583372E-3</c:v>
                </c:pt>
                <c:pt idx="332">
                  <c:v>9.4570333604681641E-3</c:v>
                </c:pt>
                <c:pt idx="333">
                  <c:v>9.5256410193733602E-3</c:v>
                </c:pt>
                <c:pt idx="334">
                  <c:v>9.5994189854125746E-3</c:v>
                </c:pt>
                <c:pt idx="335">
                  <c:v>9.6781538150958763E-3</c:v>
                </c:pt>
                <c:pt idx="336">
                  <c:v>9.7616071062757992E-3</c:v>
                </c:pt>
                <c:pt idx="337">
                  <c:v>9.843774636683799E-3</c:v>
                </c:pt>
                <c:pt idx="338">
                  <c:v>9.9207490281843242E-3</c:v>
                </c:pt>
                <c:pt idx="339">
                  <c:v>9.9921840552384331E-3</c:v>
                </c:pt>
                <c:pt idx="340">
                  <c:v>1.0057710308378827E-2</c:v>
                </c:pt>
                <c:pt idx="341">
                  <c:v>1.0116938239745254E-2</c:v>
                </c:pt>
                <c:pt idx="342">
                  <c:v>1.0169461754208957E-2</c:v>
                </c:pt>
                <c:pt idx="343">
                  <c:v>1.0214862336946608E-2</c:v>
                </c:pt>
                <c:pt idx="344">
                  <c:v>1.0253871025729612E-2</c:v>
                </c:pt>
                <c:pt idx="345">
                  <c:v>1.0287285575710299E-2</c:v>
                </c:pt>
                <c:pt idx="346">
                  <c:v>1.0314299699240295E-2</c:v>
                </c:pt>
                <c:pt idx="347">
                  <c:v>1.0334573745889546E-2</c:v>
                </c:pt>
                <c:pt idx="348">
                  <c:v>1.0347764762820361E-2</c:v>
                </c:pt>
                <c:pt idx="349">
                  <c:v>1.0353530609719842E-2</c:v>
                </c:pt>
                <c:pt idx="350">
                  <c:v>1.035153429547366E-2</c:v>
                </c:pt>
                <c:pt idx="351">
                  <c:v>1.0341650561472408E-2</c:v>
                </c:pt>
                <c:pt idx="352">
                  <c:v>1.0329316479379085E-2</c:v>
                </c:pt>
                <c:pt idx="353">
                  <c:v>1.031421294413855E-2</c:v>
                </c:pt>
                <c:pt idx="354">
                  <c:v>1.0296032249158316E-2</c:v>
                </c:pt>
                <c:pt idx="355">
                  <c:v>1.0274480903223438E-2</c:v>
                </c:pt>
                <c:pt idx="356">
                  <c:v>1.0249265278041901E-2</c:v>
                </c:pt>
                <c:pt idx="357">
                  <c:v>1.0220130823736228E-2</c:v>
                </c:pt>
                <c:pt idx="358">
                  <c:v>1.0186839432634331E-2</c:v>
                </c:pt>
                <c:pt idx="359">
                  <c:v>1.0149465614848906E-2</c:v>
                </c:pt>
                <c:pt idx="360">
                  <c:v>1.0102576669838549E-2</c:v>
                </c:pt>
                <c:pt idx="361">
                  <c:v>1.0046260345038726E-2</c:v>
                </c:pt>
                <c:pt idx="362">
                  <c:v>9.9808282225585104E-3</c:v>
                </c:pt>
                <c:pt idx="363">
                  <c:v>9.9066131421720587E-3</c:v>
                </c:pt>
                <c:pt idx="364">
                  <c:v>9.8239658169652268E-3</c:v>
                </c:pt>
                <c:pt idx="365">
                  <c:v>9.7332514647787503E-3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246960"/>
        <c:axId val="214247352"/>
      </c:lineChart>
      <c:dateAx>
        <c:axId val="2142469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7352"/>
        <c:crosses val="autoZero"/>
        <c:auto val="1"/>
        <c:lblOffset val="100"/>
        <c:baseTimeUnit val="days"/>
        <c:majorUnit val="1"/>
        <c:majorTimeUnit val="months"/>
      </c:dateAx>
      <c:valAx>
        <c:axId val="2142473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6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22.440535360322105</c:v>
                </c:pt>
                <c:pt idx="1">
                  <c:v>22.580961123304302</c:v>
                </c:pt>
                <c:pt idx="2">
                  <c:v>22.730616854527817</c:v>
                </c:pt>
                <c:pt idx="3">
                  <c:v>22.889036528146388</c:v>
                </c:pt>
                <c:pt idx="4">
                  <c:v>23.055754100357007</c:v>
                </c:pt>
                <c:pt idx="5">
                  <c:v>23.230303500690678</c:v>
                </c:pt>
                <c:pt idx="6">
                  <c:v>23.412218641909092</c:v>
                </c:pt>
                <c:pt idx="7">
                  <c:v>23.601033425357983</c:v>
                </c:pt>
                <c:pt idx="8">
                  <c:v>23.799187764973805</c:v>
                </c:pt>
                <c:pt idx="9">
                  <c:v>24.008841546183</c:v>
                </c:pt>
                <c:pt idx="10">
                  <c:v>24.229101195888227</c:v>
                </c:pt>
                <c:pt idx="11">
                  <c:v>24.459197034460324</c:v>
                </c:pt>
                <c:pt idx="12">
                  <c:v>24.698359496869166</c:v>
                </c:pt>
                <c:pt idx="13">
                  <c:v>24.945819158907359</c:v>
                </c:pt>
                <c:pt idx="14">
                  <c:v>25.200806743958029</c:v>
                </c:pt>
                <c:pt idx="15">
                  <c:v>25.462693506037674</c:v>
                </c:pt>
                <c:pt idx="16">
                  <c:v>25.730724838912742</c:v>
                </c:pt>
                <c:pt idx="17">
                  <c:v>26.004131899099022</c:v>
                </c:pt>
                <c:pt idx="18">
                  <c:v>26.282146044438758</c:v>
                </c:pt>
                <c:pt idx="19">
                  <c:v>26.563997745810006</c:v>
                </c:pt>
                <c:pt idx="20">
                  <c:v>26.848917229959529</c:v>
                </c:pt>
                <c:pt idx="21">
                  <c:v>27.136135843492067</c:v>
                </c:pt>
                <c:pt idx="22">
                  <c:v>27.428739091566037</c:v>
                </c:pt>
                <c:pt idx="23">
                  <c:v>27.729777448441162</c:v>
                </c:pt>
                <c:pt idx="24">
                  <c:v>28.038432532196445</c:v>
                </c:pt>
                <c:pt idx="25">
                  <c:v>28.35380907446881</c:v>
                </c:pt>
                <c:pt idx="26">
                  <c:v>28.675012147990852</c:v>
                </c:pt>
                <c:pt idx="27">
                  <c:v>29.001147178901093</c:v>
                </c:pt>
                <c:pt idx="28">
                  <c:v>29.331319944472437</c:v>
                </c:pt>
                <c:pt idx="29">
                  <c:v>29.664552150059563</c:v>
                </c:pt>
                <c:pt idx="30">
                  <c:v>29.999810275567473</c:v>
                </c:pt>
                <c:pt idx="31">
                  <c:v>30.33620121279079</c:v>
                </c:pt>
                <c:pt idx="32">
                  <c:v>30.672832193139172</c:v>
                </c:pt>
                <c:pt idx="33">
                  <c:v>31.008810777473943</c:v>
                </c:pt>
                <c:pt idx="34">
                  <c:v>31.343244856667138</c:v>
                </c:pt>
                <c:pt idx="35">
                  <c:v>31.675242645856095</c:v>
                </c:pt>
                <c:pt idx="36">
                  <c:v>32.006358382064192</c:v>
                </c:pt>
                <c:pt idx="37">
                  <c:v>32.338721618786714</c:v>
                </c:pt>
                <c:pt idx="38">
                  <c:v>32.672183541188289</c:v>
                </c:pt>
                <c:pt idx="39">
                  <c:v>33.006645187325567</c:v>
                </c:pt>
                <c:pt idx="40">
                  <c:v>33.342007644134618</c:v>
                </c:pt>
                <c:pt idx="41">
                  <c:v>33.678172040980648</c:v>
                </c:pt>
                <c:pt idx="42">
                  <c:v>34.015039542377941</c:v>
                </c:pt>
                <c:pt idx="43">
                  <c:v>34.352554447981255</c:v>
                </c:pt>
                <c:pt idx="44">
                  <c:v>34.690702496134719</c:v>
                </c:pt>
                <c:pt idx="45">
                  <c:v>35.029384986096744</c:v>
                </c:pt>
                <c:pt idx="46">
                  <c:v>35.368503232753625</c:v>
                </c:pt>
                <c:pt idx="47">
                  <c:v>35.707958557933914</c:v>
                </c:pt>
                <c:pt idx="48">
                  <c:v>36.047652284655015</c:v>
                </c:pt>
                <c:pt idx="49">
                  <c:v>36.387485729798087</c:v>
                </c:pt>
                <c:pt idx="50">
                  <c:v>36.727607808786175</c:v>
                </c:pt>
                <c:pt idx="51">
                  <c:v>37.06825064306323</c:v>
                </c:pt>
                <c:pt idx="52">
                  <c:v>37.409367973881118</c:v>
                </c:pt>
                <c:pt idx="53">
                  <c:v>37.750960614936446</c:v>
                </c:pt>
                <c:pt idx="54">
                  <c:v>38.093028704073305</c:v>
                </c:pt>
                <c:pt idx="55">
                  <c:v>38.435572301687351</c:v>
                </c:pt>
                <c:pt idx="56">
                  <c:v>38.778591389823504</c:v>
                </c:pt>
                <c:pt idx="57">
                  <c:v>39.122023821566877</c:v>
                </c:pt>
                <c:pt idx="58">
                  <c:v>39.46582609045597</c:v>
                </c:pt>
                <c:pt idx="59">
                  <c:v>39.809997863564831</c:v>
                </c:pt>
                <c:pt idx="60">
                  <c:v>40.154538737382005</c:v>
                </c:pt>
                <c:pt idx="61">
                  <c:v>40.499448240373844</c:v>
                </c:pt>
                <c:pt idx="62">
                  <c:v>40.844725836691779</c:v>
                </c:pt>
                <c:pt idx="63">
                  <c:v>41.19037092854046</c:v>
                </c:pt>
                <c:pt idx="64">
                  <c:v>41.5374546919967</c:v>
                </c:pt>
                <c:pt idx="65">
                  <c:v>41.886629620605333</c:v>
                </c:pt>
                <c:pt idx="66">
                  <c:v>42.237382276422906</c:v>
                </c:pt>
                <c:pt idx="67">
                  <c:v>42.589216762134889</c:v>
                </c:pt>
                <c:pt idx="68">
                  <c:v>42.941637260357936</c:v>
                </c:pt>
                <c:pt idx="69">
                  <c:v>43.294148032411542</c:v>
                </c:pt>
                <c:pt idx="70">
                  <c:v>43.646253415697039</c:v>
                </c:pt>
                <c:pt idx="71">
                  <c:v>43.997444923363545</c:v>
                </c:pt>
                <c:pt idx="72">
                  <c:v>44.347289405268334</c:v>
                </c:pt>
                <c:pt idx="73">
                  <c:v>44.695291495709782</c:v>
                </c:pt>
                <c:pt idx="74">
                  <c:v>45.040955910549044</c:v>
                </c:pt>
                <c:pt idx="75">
                  <c:v>45.383787450072333</c:v>
                </c:pt>
                <c:pt idx="76">
                  <c:v>45.723290994278919</c:v>
                </c:pt>
                <c:pt idx="77">
                  <c:v>46.058971503782288</c:v>
                </c:pt>
                <c:pt idx="78">
                  <c:v>46.39328252828556</c:v>
                </c:pt>
                <c:pt idx="79">
                  <c:v>46.728462359034289</c:v>
                </c:pt>
                <c:pt idx="80">
                  <c:v>47.063807963702494</c:v>
                </c:pt>
                <c:pt idx="81">
                  <c:v>47.398527286399336</c:v>
                </c:pt>
                <c:pt idx="82">
                  <c:v>47.731828486657861</c:v>
                </c:pt>
                <c:pt idx="83">
                  <c:v>48.062919944409295</c:v>
                </c:pt>
                <c:pt idx="84">
                  <c:v>48.391010265539549</c:v>
                </c:pt>
                <c:pt idx="85">
                  <c:v>48.71529222068758</c:v>
                </c:pt>
                <c:pt idx="86">
                  <c:v>49.03498796373907</c:v>
                </c:pt>
                <c:pt idx="87">
                  <c:v>49.349306782404859</c:v>
                </c:pt>
                <c:pt idx="88">
                  <c:v>49.657458214095008</c:v>
                </c:pt>
                <c:pt idx="89">
                  <c:v>49.95865204497629</c:v>
                </c:pt>
                <c:pt idx="90">
                  <c:v>50.252098322675437</c:v>
                </c:pt>
                <c:pt idx="91">
                  <c:v>50.537007358998153</c:v>
                </c:pt>
                <c:pt idx="92">
                  <c:v>50.814778075843506</c:v>
                </c:pt>
                <c:pt idx="93">
                  <c:v>51.087262078377108</c:v>
                </c:pt>
                <c:pt idx="94">
                  <c:v>51.354377378321459</c:v>
                </c:pt>
                <c:pt idx="95">
                  <c:v>51.616024981450899</c:v>
                </c:pt>
                <c:pt idx="96">
                  <c:v>51.872105950029265</c:v>
                </c:pt>
                <c:pt idx="97">
                  <c:v>52.122521405478892</c:v>
                </c:pt>
                <c:pt idx="98">
                  <c:v>52.367172528912924</c:v>
                </c:pt>
                <c:pt idx="99">
                  <c:v>52.605956431737226</c:v>
                </c:pt>
                <c:pt idx="100">
                  <c:v>52.838791355075912</c:v>
                </c:pt>
                <c:pt idx="101">
                  <c:v>53.065578895866977</c:v>
                </c:pt>
                <c:pt idx="102">
                  <c:v>53.286220742780806</c:v>
                </c:pt>
                <c:pt idx="103">
                  <c:v>53.500618688608974</c:v>
                </c:pt>
                <c:pt idx="104">
                  <c:v>53.708674627042242</c:v>
                </c:pt>
                <c:pt idx="105">
                  <c:v>53.91029056263897</c:v>
                </c:pt>
                <c:pt idx="106">
                  <c:v>54.105615107804724</c:v>
                </c:pt>
                <c:pt idx="107">
                  <c:v>54.294856005246629</c:v>
                </c:pt>
                <c:pt idx="108">
                  <c:v>54.478022097419505</c:v>
                </c:pt>
                <c:pt idx="109">
                  <c:v>54.655114287058289</c:v>
                </c:pt>
                <c:pt idx="110">
                  <c:v>54.826133501288965</c:v>
                </c:pt>
                <c:pt idx="111">
                  <c:v>54.991080765786116</c:v>
                </c:pt>
                <c:pt idx="112">
                  <c:v>55.149957276601967</c:v>
                </c:pt>
                <c:pt idx="113">
                  <c:v>55.302754837423613</c:v>
                </c:pt>
                <c:pt idx="114">
                  <c:v>55.44947921502628</c:v>
                </c:pt>
                <c:pt idx="115">
                  <c:v>55.590131794315148</c:v>
                </c:pt>
                <c:pt idx="116">
                  <c:v>55.724714070694816</c:v>
                </c:pt>
                <c:pt idx="117">
                  <c:v>55.853227651679475</c:v>
                </c:pt>
                <c:pt idx="118">
                  <c:v>55.975674264976043</c:v>
                </c:pt>
                <c:pt idx="119">
                  <c:v>59.350907095864308</c:v>
                </c:pt>
                <c:pt idx="120">
                  <c:v>59.465340368041929</c:v>
                </c:pt>
                <c:pt idx="121">
                  <c:v>59.571862528624926</c:v>
                </c:pt>
                <c:pt idx="122">
                  <c:v>59.670900573746714</c:v>
                </c:pt>
                <c:pt idx="123">
                  <c:v>59.762873550676716</c:v>
                </c:pt>
                <c:pt idx="124">
                  <c:v>59.848200294140312</c:v>
                </c:pt>
                <c:pt idx="125">
                  <c:v>59.927299416439119</c:v>
                </c:pt>
                <c:pt idx="126">
                  <c:v>60.000589315040202</c:v>
                </c:pt>
                <c:pt idx="127">
                  <c:v>60.068488876606118</c:v>
                </c:pt>
                <c:pt idx="128">
                  <c:v>60.131427729549706</c:v>
                </c:pt>
                <c:pt idx="129">
                  <c:v>60.189824020801019</c:v>
                </c:pt>
                <c:pt idx="130">
                  <c:v>60.244095697904037</c:v>
                </c:pt>
                <c:pt idx="131">
                  <c:v>60.294660513138005</c:v>
                </c:pt>
                <c:pt idx="132">
                  <c:v>60.341936019300839</c:v>
                </c:pt>
                <c:pt idx="133">
                  <c:v>60.386339571279194</c:v>
                </c:pt>
                <c:pt idx="134">
                  <c:v>60.426797847056129</c:v>
                </c:pt>
                <c:pt idx="135">
                  <c:v>60.462100077908836</c:v>
                </c:pt>
                <c:pt idx="136">
                  <c:v>60.492469829600743</c:v>
                </c:pt>
                <c:pt idx="137">
                  <c:v>60.518117569340433</c:v>
                </c:pt>
                <c:pt idx="138">
                  <c:v>60.539253684882297</c:v>
                </c:pt>
                <c:pt idx="139">
                  <c:v>60.556088487200796</c:v>
                </c:pt>
                <c:pt idx="140">
                  <c:v>60.568832210697607</c:v>
                </c:pt>
                <c:pt idx="141">
                  <c:v>60.577687758126487</c:v>
                </c:pt>
                <c:pt idx="142">
                  <c:v>60.582864296651891</c:v>
                </c:pt>
                <c:pt idx="143">
                  <c:v>60.584571643717474</c:v>
                </c:pt>
                <c:pt idx="144">
                  <c:v>60.583019416272556</c:v>
                </c:pt>
                <c:pt idx="145">
                  <c:v>60.578417143871725</c:v>
                </c:pt>
                <c:pt idx="146">
                  <c:v>60.570974262046477</c:v>
                </c:pt>
                <c:pt idx="147">
                  <c:v>60.560900110743603</c:v>
                </c:pt>
                <c:pt idx="148">
                  <c:v>60.546985413030441</c:v>
                </c:pt>
                <c:pt idx="149">
                  <c:v>60.528157772991932</c:v>
                </c:pt>
                <c:pt idx="150">
                  <c:v>60.504834143706226</c:v>
                </c:pt>
                <c:pt idx="151">
                  <c:v>60.477431884572802</c:v>
                </c:pt>
                <c:pt idx="152">
                  <c:v>60.446368138883614</c:v>
                </c:pt>
                <c:pt idx="153">
                  <c:v>60.412059830572808</c:v>
                </c:pt>
                <c:pt idx="154">
                  <c:v>60.374923659355986</c:v>
                </c:pt>
                <c:pt idx="155">
                  <c:v>60.335366895530754</c:v>
                </c:pt>
                <c:pt idx="156">
                  <c:v>60.293813940187192</c:v>
                </c:pt>
                <c:pt idx="157">
                  <c:v>60.250680788198849</c:v>
                </c:pt>
                <c:pt idx="158">
                  <c:v>60.206383202001817</c:v>
                </c:pt>
                <c:pt idx="159">
                  <c:v>60.161336712201965</c:v>
                </c:pt>
                <c:pt idx="160">
                  <c:v>60.115956613894397</c:v>
                </c:pt>
                <c:pt idx="161">
                  <c:v>60.070657965482702</c:v>
                </c:pt>
                <c:pt idx="162">
                  <c:v>60.02481957127727</c:v>
                </c:pt>
                <c:pt idx="163">
                  <c:v>59.977536868782266</c:v>
                </c:pt>
                <c:pt idx="164">
                  <c:v>59.928813151829566</c:v>
                </c:pt>
                <c:pt idx="165">
                  <c:v>59.878649264452392</c:v>
                </c:pt>
                <c:pt idx="166">
                  <c:v>59.827046027805352</c:v>
                </c:pt>
                <c:pt idx="167">
                  <c:v>59.774004235704147</c:v>
                </c:pt>
                <c:pt idx="168">
                  <c:v>59.719524656187872</c:v>
                </c:pt>
                <c:pt idx="169">
                  <c:v>59.663600269222954</c:v>
                </c:pt>
                <c:pt idx="170">
                  <c:v>59.606241964160596</c:v>
                </c:pt>
                <c:pt idx="171">
                  <c:v>59.547450466772695</c:v>
                </c:pt>
                <c:pt idx="172">
                  <c:v>59.487226466621593</c:v>
                </c:pt>
                <c:pt idx="173">
                  <c:v>59.425570781776955</c:v>
                </c:pt>
                <c:pt idx="174">
                  <c:v>59.362484206065986</c:v>
                </c:pt>
                <c:pt idx="175">
                  <c:v>59.297967339674692</c:v>
                </c:pt>
                <c:pt idx="176">
                  <c:v>59.232020748705146</c:v>
                </c:pt>
                <c:pt idx="177">
                  <c:v>59.164634242531896</c:v>
                </c:pt>
                <c:pt idx="178">
                  <c:v>59.095816311866002</c:v>
                </c:pt>
                <c:pt idx="179">
                  <c:v>59.02556738702458</c:v>
                </c:pt>
                <c:pt idx="180">
                  <c:v>58.953887865635998</c:v>
                </c:pt>
                <c:pt idx="181">
                  <c:v>58.880778114919217</c:v>
                </c:pt>
                <c:pt idx="182">
                  <c:v>58.80623847014656</c:v>
                </c:pt>
                <c:pt idx="183">
                  <c:v>58.730266426565812</c:v>
                </c:pt>
                <c:pt idx="184">
                  <c:v>58.652870552378658</c:v>
                </c:pt>
                <c:pt idx="185">
                  <c:v>58.574051142422583</c:v>
                </c:pt>
                <c:pt idx="186">
                  <c:v>58.493808461438</c:v>
                </c:pt>
                <c:pt idx="187">
                  <c:v>58.412142743042779</c:v>
                </c:pt>
                <c:pt idx="188">
                  <c:v>58.329054194943012</c:v>
                </c:pt>
                <c:pt idx="189">
                  <c:v>58.24454299836006</c:v>
                </c:pt>
                <c:pt idx="190">
                  <c:v>58.159056636848419</c:v>
                </c:pt>
                <c:pt idx="191">
                  <c:v>58.072894643958826</c:v>
                </c:pt>
                <c:pt idx="192">
                  <c:v>57.985861626641466</c:v>
                </c:pt>
                <c:pt idx="193">
                  <c:v>57.897751118016672</c:v>
                </c:pt>
                <c:pt idx="194">
                  <c:v>57.808356740969977</c:v>
                </c:pt>
                <c:pt idx="195">
                  <c:v>57.717472209975675</c:v>
                </c:pt>
                <c:pt idx="196">
                  <c:v>57.624891333386529</c:v>
                </c:pt>
                <c:pt idx="197">
                  <c:v>57.530408569452398</c:v>
                </c:pt>
                <c:pt idx="198">
                  <c:v>57.433820845455273</c:v>
                </c:pt>
                <c:pt idx="199">
                  <c:v>57.334922273875662</c:v>
                </c:pt>
                <c:pt idx="200">
                  <c:v>57.233507068120637</c:v>
                </c:pt>
                <c:pt idx="201">
                  <c:v>57.129369543485041</c:v>
                </c:pt>
                <c:pt idx="202">
                  <c:v>57.022304123715003</c:v>
                </c:pt>
                <c:pt idx="203">
                  <c:v>56.912105339855913</c:v>
                </c:pt>
                <c:pt idx="204">
                  <c:v>56.799083128103462</c:v>
                </c:pt>
                <c:pt idx="205">
                  <c:v>56.683685351905062</c:v>
                </c:pt>
                <c:pt idx="206">
                  <c:v>56.565922782448474</c:v>
                </c:pt>
                <c:pt idx="207">
                  <c:v>56.445795968855158</c:v>
                </c:pt>
                <c:pt idx="208">
                  <c:v>56.323305475491466</c:v>
                </c:pt>
                <c:pt idx="209">
                  <c:v>56.198451887278885</c:v>
                </c:pt>
                <c:pt idx="210">
                  <c:v>56.071235808797034</c:v>
                </c:pt>
                <c:pt idx="211">
                  <c:v>55.941636967445589</c:v>
                </c:pt>
                <c:pt idx="212">
                  <c:v>55.809655462766116</c:v>
                </c:pt>
                <c:pt idx="213">
                  <c:v>55.6752919484194</c:v>
                </c:pt>
                <c:pt idx="214">
                  <c:v>55.538547105411787</c:v>
                </c:pt>
                <c:pt idx="215">
                  <c:v>55.399421643612314</c:v>
                </c:pt>
                <c:pt idx="216">
                  <c:v>55.257916303112829</c:v>
                </c:pt>
                <c:pt idx="217">
                  <c:v>55.114031850903949</c:v>
                </c:pt>
                <c:pt idx="218">
                  <c:v>54.968214877489245</c:v>
                </c:pt>
                <c:pt idx="219">
                  <c:v>54.8207544589741</c:v>
                </c:pt>
                <c:pt idx="220">
                  <c:v>54.671444827339883</c:v>
                </c:pt>
                <c:pt idx="221">
                  <c:v>54.520080979152965</c:v>
                </c:pt>
                <c:pt idx="222">
                  <c:v>54.366458036966186</c:v>
                </c:pt>
                <c:pt idx="223">
                  <c:v>54.210371251720161</c:v>
                </c:pt>
                <c:pt idx="224">
                  <c:v>54.051615999353636</c:v>
                </c:pt>
                <c:pt idx="225">
                  <c:v>53.889973683781506</c:v>
                </c:pt>
                <c:pt idx="226">
                  <c:v>53.725260897927981</c:v>
                </c:pt>
                <c:pt idx="227">
                  <c:v>53.557273389922109</c:v>
                </c:pt>
                <c:pt idx="228">
                  <c:v>53.385807026614174</c:v>
                </c:pt>
                <c:pt idx="229">
                  <c:v>53.210657792288266</c:v>
                </c:pt>
                <c:pt idx="230">
                  <c:v>53.031621791846597</c:v>
                </c:pt>
                <c:pt idx="231">
                  <c:v>52.848495242789539</c:v>
                </c:pt>
                <c:pt idx="232">
                  <c:v>52.661588008105277</c:v>
                </c:pt>
                <c:pt idx="233">
                  <c:v>52.471336829343336</c:v>
                </c:pt>
                <c:pt idx="234">
                  <c:v>52.277763396567984</c:v>
                </c:pt>
                <c:pt idx="235">
                  <c:v>52.080869195121366</c:v>
                </c:pt>
                <c:pt idx="236">
                  <c:v>51.880655706767989</c:v>
                </c:pt>
                <c:pt idx="237">
                  <c:v>51.677124461404652</c:v>
                </c:pt>
                <c:pt idx="238">
                  <c:v>51.470277003007332</c:v>
                </c:pt>
                <c:pt idx="239">
                  <c:v>51.26009565516636</c:v>
                </c:pt>
                <c:pt idx="240">
                  <c:v>51.04659604483021</c:v>
                </c:pt>
                <c:pt idx="241">
                  <c:v>50.829779774055311</c:v>
                </c:pt>
                <c:pt idx="242">
                  <c:v>50.609648470020439</c:v>
                </c:pt>
                <c:pt idx="243">
                  <c:v>50.386203781254487</c:v>
                </c:pt>
                <c:pt idx="244">
                  <c:v>50.159447381958266</c:v>
                </c:pt>
                <c:pt idx="245">
                  <c:v>49.929380971170616</c:v>
                </c:pt>
                <c:pt idx="246">
                  <c:v>49.696006279387788</c:v>
                </c:pt>
                <c:pt idx="247">
                  <c:v>49.459285945823574</c:v>
                </c:pt>
                <c:pt idx="248">
                  <c:v>49.219231706855858</c:v>
                </c:pt>
                <c:pt idx="249">
                  <c:v>48.975845494910097</c:v>
                </c:pt>
                <c:pt idx="250">
                  <c:v>48.729129292341497</c:v>
                </c:pt>
                <c:pt idx="251">
                  <c:v>48.479085129540053</c:v>
                </c:pt>
                <c:pt idx="252">
                  <c:v>48.225715089063506</c:v>
                </c:pt>
                <c:pt idx="253">
                  <c:v>47.968981190629158</c:v>
                </c:pt>
                <c:pt idx="254">
                  <c:v>47.708904763431946</c:v>
                </c:pt>
                <c:pt idx="255">
                  <c:v>47.445488174330698</c:v>
                </c:pt>
                <c:pt idx="256">
                  <c:v>47.178733860447146</c:v>
                </c:pt>
                <c:pt idx="257">
                  <c:v>46.908644331556367</c:v>
                </c:pt>
                <c:pt idx="258">
                  <c:v>46.635222170830787</c:v>
                </c:pt>
                <c:pt idx="259">
                  <c:v>46.35847004083908</c:v>
                </c:pt>
                <c:pt idx="260">
                  <c:v>46.078168866031994</c:v>
                </c:pt>
                <c:pt idx="261">
                  <c:v>45.794135526133886</c:v>
                </c:pt>
                <c:pt idx="262">
                  <c:v>45.506513777489673</c:v>
                </c:pt>
                <c:pt idx="263">
                  <c:v>45.215408992648548</c:v>
                </c:pt>
                <c:pt idx="264">
                  <c:v>44.920926569474688</c:v>
                </c:pt>
                <c:pt idx="265">
                  <c:v>44.623171358894666</c:v>
                </c:pt>
                <c:pt idx="266">
                  <c:v>44.322248469889914</c:v>
                </c:pt>
                <c:pt idx="267">
                  <c:v>44.018049357710872</c:v>
                </c:pt>
                <c:pt idx="268">
                  <c:v>43.710720331835887</c:v>
                </c:pt>
                <c:pt idx="269">
                  <c:v>43.400368724572324</c:v>
                </c:pt>
                <c:pt idx="270">
                  <c:v>43.087102030417292</c:v>
                </c:pt>
                <c:pt idx="271">
                  <c:v>42.771027914303467</c:v>
                </c:pt>
                <c:pt idx="272">
                  <c:v>42.45225420795316</c:v>
                </c:pt>
                <c:pt idx="273">
                  <c:v>42.13088891452027</c:v>
                </c:pt>
                <c:pt idx="274">
                  <c:v>41.805455783902929</c:v>
                </c:pt>
                <c:pt idx="275">
                  <c:v>41.474692749241434</c:v>
                </c:pt>
                <c:pt idx="276">
                  <c:v>41.139252763173957</c:v>
                </c:pt>
                <c:pt idx="277">
                  <c:v>40.799757463954769</c:v>
                </c:pt>
                <c:pt idx="278">
                  <c:v>40.45682850459292</c:v>
                </c:pt>
                <c:pt idx="279">
                  <c:v>40.111087550828323</c:v>
                </c:pt>
                <c:pt idx="280">
                  <c:v>39.763156268467299</c:v>
                </c:pt>
                <c:pt idx="281">
                  <c:v>39.413721927497406</c:v>
                </c:pt>
                <c:pt idx="282">
                  <c:v>39.063606501259244</c:v>
                </c:pt>
                <c:pt idx="283">
                  <c:v>38.713427131686743</c:v>
                </c:pt>
                <c:pt idx="284">
                  <c:v>38.363800616195135</c:v>
                </c:pt>
                <c:pt idx="285">
                  <c:v>38.01534338837731</c:v>
                </c:pt>
                <c:pt idx="286">
                  <c:v>37.668671494851601</c:v>
                </c:pt>
                <c:pt idx="287">
                  <c:v>37.324400573211356</c:v>
                </c:pt>
                <c:pt idx="288">
                  <c:v>36.980508875485448</c:v>
                </c:pt>
                <c:pt idx="289">
                  <c:v>36.634992267406233</c:v>
                </c:pt>
                <c:pt idx="290">
                  <c:v>36.288479800872494</c:v>
                </c:pt>
                <c:pt idx="291">
                  <c:v>35.941480355487279</c:v>
                </c:pt>
                <c:pt idx="292">
                  <c:v>35.594502129064949</c:v>
                </c:pt>
                <c:pt idx="293">
                  <c:v>35.248052629692758</c:v>
                </c:pt>
                <c:pt idx="294">
                  <c:v>34.902638672336494</c:v>
                </c:pt>
                <c:pt idx="295">
                  <c:v>34.558840260814883</c:v>
                </c:pt>
                <c:pt idx="296">
                  <c:v>34.217098614685334</c:v>
                </c:pt>
                <c:pt idx="297">
                  <c:v>33.877915799324427</c:v>
                </c:pt>
                <c:pt idx="298">
                  <c:v>33.541795270836054</c:v>
                </c:pt>
                <c:pt idx="299">
                  <c:v>33.20923984673923</c:v>
                </c:pt>
                <c:pt idx="300">
                  <c:v>32.880751725912035</c:v>
                </c:pt>
                <c:pt idx="301">
                  <c:v>32.556832508436493</c:v>
                </c:pt>
                <c:pt idx="302">
                  <c:v>32.236046338888627</c:v>
                </c:pt>
                <c:pt idx="303">
                  <c:v>31.916696002324471</c:v>
                </c:pt>
                <c:pt idx="304">
                  <c:v>31.599007193835188</c:v>
                </c:pt>
                <c:pt idx="305">
                  <c:v>31.283282398583278</c:v>
                </c:pt>
                <c:pt idx="306">
                  <c:v>30.969823710104986</c:v>
                </c:pt>
                <c:pt idx="307">
                  <c:v>30.658932842810678</c:v>
                </c:pt>
                <c:pt idx="308">
                  <c:v>30.350911145960801</c:v>
                </c:pt>
                <c:pt idx="309">
                  <c:v>30.04613184916985</c:v>
                </c:pt>
                <c:pt idx="310">
                  <c:v>29.744829143895469</c:v>
                </c:pt>
                <c:pt idx="311">
                  <c:v>29.447303171720403</c:v>
                </c:pt>
                <c:pt idx="312">
                  <c:v>29.153853780639718</c:v>
                </c:pt>
                <c:pt idx="313">
                  <c:v>28.864780547921349</c:v>
                </c:pt>
                <c:pt idx="314">
                  <c:v>28.580382800332416</c:v>
                </c:pt>
                <c:pt idx="315">
                  <c:v>28.300959640407626</c:v>
                </c:pt>
                <c:pt idx="316">
                  <c:v>28.024943425596142</c:v>
                </c:pt>
                <c:pt idx="317">
                  <c:v>27.751075441738735</c:v>
                </c:pt>
                <c:pt idx="318">
                  <c:v>27.479962299713534</c:v>
                </c:pt>
                <c:pt idx="319">
                  <c:v>27.212099057283403</c:v>
                </c:pt>
                <c:pt idx="320">
                  <c:v>26.947980951835387</c:v>
                </c:pt>
                <c:pt idx="321">
                  <c:v>26.688103465191535</c:v>
                </c:pt>
                <c:pt idx="322">
                  <c:v>26.432962368581677</c:v>
                </c:pt>
                <c:pt idx="323">
                  <c:v>26.18302332879766</c:v>
                </c:pt>
                <c:pt idx="324">
                  <c:v>25.938721130833361</c:v>
                </c:pt>
                <c:pt idx="325">
                  <c:v>25.700555112765297</c:v>
                </c:pt>
                <c:pt idx="326">
                  <c:v>25.469026758243661</c:v>
                </c:pt>
                <c:pt idx="327">
                  <c:v>25.244636651247461</c:v>
                </c:pt>
                <c:pt idx="328">
                  <c:v>25.027884210047056</c:v>
                </c:pt>
                <c:pt idx="329">
                  <c:v>24.819269227037672</c:v>
                </c:pt>
                <c:pt idx="330">
                  <c:v>24.616699021125356</c:v>
                </c:pt>
                <c:pt idx="331">
                  <c:v>24.41820669342934</c:v>
                </c:pt>
                <c:pt idx="332">
                  <c:v>24.224243323321463</c:v>
                </c:pt>
                <c:pt idx="333">
                  <c:v>24.035415396512565</c:v>
                </c:pt>
                <c:pt idx="334">
                  <c:v>23.852329581706822</c:v>
                </c:pt>
                <c:pt idx="335">
                  <c:v>23.675592724348586</c:v>
                </c:pt>
                <c:pt idx="336">
                  <c:v>23.505811834679587</c:v>
                </c:pt>
                <c:pt idx="337">
                  <c:v>23.34372089170277</c:v>
                </c:pt>
                <c:pt idx="338">
                  <c:v>23.189952328817153</c:v>
                </c:pt>
                <c:pt idx="339">
                  <c:v>23.045111223677814</c:v>
                </c:pt>
                <c:pt idx="340">
                  <c:v>22.909803027659194</c:v>
                </c:pt>
                <c:pt idx="341">
                  <c:v>22.784633517797779</c:v>
                </c:pt>
                <c:pt idx="342">
                  <c:v>22.670208757541054</c:v>
                </c:pt>
                <c:pt idx="343">
                  <c:v>22.567135071620481</c:v>
                </c:pt>
                <c:pt idx="344">
                  <c:v>22.473450421922429</c:v>
                </c:pt>
                <c:pt idx="345">
                  <c:v>22.387109465908438</c:v>
                </c:pt>
                <c:pt idx="346">
                  <c:v>22.308467725841449</c:v>
                </c:pt>
                <c:pt idx="347">
                  <c:v>22.238008204768821</c:v>
                </c:pt>
                <c:pt idx="348">
                  <c:v>22.176213827961718</c:v>
                </c:pt>
                <c:pt idx="349">
                  <c:v>22.123567414822951</c:v>
                </c:pt>
                <c:pt idx="350">
                  <c:v>22.080551630566053</c:v>
                </c:pt>
                <c:pt idx="351">
                  <c:v>22.047576167642227</c:v>
                </c:pt>
                <c:pt idx="352">
                  <c:v>22.025003902263521</c:v>
                </c:pt>
                <c:pt idx="353">
                  <c:v>22.013317993100568</c:v>
                </c:pt>
                <c:pt idx="354">
                  <c:v>22.013001144171039</c:v>
                </c:pt>
                <c:pt idx="355">
                  <c:v>22.024535607710643</c:v>
                </c:pt>
                <c:pt idx="356">
                  <c:v>22.048403529187727</c:v>
                </c:pt>
                <c:pt idx="357">
                  <c:v>22.08508628073583</c:v>
                </c:pt>
                <c:pt idx="358">
                  <c:v>22.134970128354613</c:v>
                </c:pt>
                <c:pt idx="359">
                  <c:v>22.197802997300609</c:v>
                </c:pt>
                <c:pt idx="360">
                  <c:v>22.2732281404686</c:v>
                </c:pt>
                <c:pt idx="361">
                  <c:v>22.360841710131727</c:v>
                </c:pt>
                <c:pt idx="362">
                  <c:v>22.460167941482702</c:v>
                </c:pt>
                <c:pt idx="363">
                  <c:v>22.570731122123622</c:v>
                </c:pt>
                <c:pt idx="364">
                  <c:v>22.692055600086405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22.831139502223408</c:v>
                </c:pt>
                <c:pt idx="1">
                  <c:v>15.746078358390612</c:v>
                </c:pt>
                <c:pt idx="2">
                  <c:v>17.002089345979805</c:v>
                </c:pt>
                <c:pt idx="3">
                  <c:v>18.067130076374191</c:v>
                </c:pt>
                <c:pt idx="4">
                  <c:v>14.287806899470851</c:v>
                </c:pt>
                <c:pt idx="5">
                  <c:v>20.50363748781534</c:v>
                </c:pt>
                <c:pt idx="6">
                  <c:v>10.054713828532995</c:v>
                </c:pt>
                <c:pt idx="7">
                  <c:v>7.1560765358096869</c:v>
                </c:pt>
                <c:pt idx="8">
                  <c:v>2.136518363159484</c:v>
                </c:pt>
                <c:pt idx="9">
                  <c:v>1.7521830622011019</c:v>
                </c:pt>
                <c:pt idx="10">
                  <c:v>24.563498375870424</c:v>
                </c:pt>
                <c:pt idx="11">
                  <c:v>21.353603373193657</c:v>
                </c:pt>
                <c:pt idx="12">
                  <c:v>5.4741513825561565</c:v>
                </c:pt>
                <c:pt idx="13">
                  <c:v>25.979293811435866</c:v>
                </c:pt>
                <c:pt idx="14">
                  <c:v>26.28581858177888</c:v>
                </c:pt>
                <c:pt idx="15">
                  <c:v>25.718444677229609</c:v>
                </c:pt>
                <c:pt idx="16">
                  <c:v>11.876739124271886</c:v>
                </c:pt>
                <c:pt idx="17">
                  <c:v>3.7732437491889632</c:v>
                </c:pt>
                <c:pt idx="18">
                  <c:v>10.296015114804964</c:v>
                </c:pt>
                <c:pt idx="19">
                  <c:v>6.4482814411318765</c:v>
                </c:pt>
                <c:pt idx="20">
                  <c:v>20.560506316278591</c:v>
                </c:pt>
                <c:pt idx="21">
                  <c:v>27.447171840124138</c:v>
                </c:pt>
                <c:pt idx="22">
                  <c:v>27.570785052666768</c:v>
                </c:pt>
                <c:pt idx="23">
                  <c:v>28.107477077240009</c:v>
                </c:pt>
                <c:pt idx="24">
                  <c:v>27.180823229182497</c:v>
                </c:pt>
                <c:pt idx="25">
                  <c:v>27.844455302414836</c:v>
                </c:pt>
                <c:pt idx="26">
                  <c:v>26.609346050137233</c:v>
                </c:pt>
                <c:pt idx="27">
                  <c:v>4.2055467567427378</c:v>
                </c:pt>
                <c:pt idx="28">
                  <c:v>8.8772288536367601</c:v>
                </c:pt>
                <c:pt idx="29">
                  <c:v>4.5848904472749012</c:v>
                </c:pt>
                <c:pt idx="30">
                  <c:v>7.6034506482181765</c:v>
                </c:pt>
                <c:pt idx="31">
                  <c:v>12.618637147999166</c:v>
                </c:pt>
                <c:pt idx="32">
                  <c:v>5.3274310635332451</c:v>
                </c:pt>
                <c:pt idx="33">
                  <c:v>10.456308945579538</c:v>
                </c:pt>
                <c:pt idx="34">
                  <c:v>10.299637239567884</c:v>
                </c:pt>
                <c:pt idx="35">
                  <c:v>9.0511016485574896</c:v>
                </c:pt>
                <c:pt idx="36">
                  <c:v>21.088143968438605</c:v>
                </c:pt>
                <c:pt idx="37">
                  <c:v>8.8881249777545666</c:v>
                </c:pt>
                <c:pt idx="38">
                  <c:v>32.965081210862458</c:v>
                </c:pt>
                <c:pt idx="39">
                  <c:v>33.249071065662847</c:v>
                </c:pt>
                <c:pt idx="40">
                  <c:v>31.008518317281442</c:v>
                </c:pt>
                <c:pt idx="41">
                  <c:v>17.178318152288714</c:v>
                </c:pt>
                <c:pt idx="42">
                  <c:v>26.325005022540427</c:v>
                </c:pt>
                <c:pt idx="43">
                  <c:v>32.209303365218553</c:v>
                </c:pt>
                <c:pt idx="44">
                  <c:v>15.122263151571723</c:v>
                </c:pt>
                <c:pt idx="45">
                  <c:v>18.240032526882093</c:v>
                </c:pt>
                <c:pt idx="46">
                  <c:v>8.9722926815101687</c:v>
                </c:pt>
                <c:pt idx="47">
                  <c:v>11.179049945143248</c:v>
                </c:pt>
                <c:pt idx="48">
                  <c:v>28.861517346693866</c:v>
                </c:pt>
                <c:pt idx="49">
                  <c:v>19.584318278761398</c:v>
                </c:pt>
                <c:pt idx="50">
                  <c:v>19.466888765007507</c:v>
                </c:pt>
                <c:pt idx="51">
                  <c:v>21.554183906856306</c:v>
                </c:pt>
                <c:pt idx="52">
                  <c:v>32.939695440736294</c:v>
                </c:pt>
                <c:pt idx="53">
                  <c:v>34.615258041101711</c:v>
                </c:pt>
                <c:pt idx="54">
                  <c:v>21.548534102916307</c:v>
                </c:pt>
                <c:pt idx="55">
                  <c:v>30.859523635065202</c:v>
                </c:pt>
                <c:pt idx="56">
                  <c:v>39.113236109383166</c:v>
                </c:pt>
                <c:pt idx="57">
                  <c:v>27.960261369813164</c:v>
                </c:pt>
                <c:pt idx="58">
                  <c:v>33.756856750339288</c:v>
                </c:pt>
                <c:pt idx="59">
                  <c:v>39.167980389340549</c:v>
                </c:pt>
                <c:pt idx="60">
                  <c:v>11.413273097426911</c:v>
                </c:pt>
                <c:pt idx="61">
                  <c:v>35.022432960130146</c:v>
                </c:pt>
                <c:pt idx="62">
                  <c:v>3.7636394038825016</c:v>
                </c:pt>
                <c:pt idx="63">
                  <c:v>12.959977178620806</c:v>
                </c:pt>
                <c:pt idx="64">
                  <c:v>15.625663124983074</c:v>
                </c:pt>
                <c:pt idx="65">
                  <c:v>38.493212539216508</c:v>
                </c:pt>
                <c:pt idx="66">
                  <c:v>31.373031864435152</c:v>
                </c:pt>
                <c:pt idx="67">
                  <c:v>30.588894872244616</c:v>
                </c:pt>
                <c:pt idx="68">
                  <c:v>24.351490890731558</c:v>
                </c:pt>
                <c:pt idx="69">
                  <c:v>15.103037783192356</c:v>
                </c:pt>
                <c:pt idx="70">
                  <c:v>15.720016900336967</c:v>
                </c:pt>
                <c:pt idx="71">
                  <c:v>8.8151961190665968</c:v>
                </c:pt>
                <c:pt idx="72">
                  <c:v>14.203844131893305</c:v>
                </c:pt>
                <c:pt idx="73">
                  <c:v>13.520231631730862</c:v>
                </c:pt>
                <c:pt idx="74">
                  <c:v>13.493827365793569</c:v>
                </c:pt>
                <c:pt idx="75">
                  <c:v>11.333049302138669</c:v>
                </c:pt>
                <c:pt idx="76">
                  <c:v>14.651435539122673</c:v>
                </c:pt>
                <c:pt idx="77">
                  <c:v>27.99330833125568</c:v>
                </c:pt>
                <c:pt idx="78">
                  <c:v>31.084078530053507</c:v>
                </c:pt>
                <c:pt idx="79">
                  <c:v>44.002589255480409</c:v>
                </c:pt>
                <c:pt idx="80">
                  <c:v>41.777226204984544</c:v>
                </c:pt>
                <c:pt idx="81">
                  <c:v>47.619967190578699</c:v>
                </c:pt>
                <c:pt idx="82">
                  <c:v>46.838840702506417</c:v>
                </c:pt>
                <c:pt idx="83">
                  <c:v>41.683408231598825</c:v>
                </c:pt>
                <c:pt idx="84">
                  <c:v>46.143393542287434</c:v>
                </c:pt>
                <c:pt idx="85">
                  <c:v>44.61223897645899</c:v>
                </c:pt>
                <c:pt idx="86">
                  <c:v>14.366000171018852</c:v>
                </c:pt>
                <c:pt idx="87">
                  <c:v>27.573058756279494</c:v>
                </c:pt>
                <c:pt idx="88">
                  <c:v>7.7313266407802308</c:v>
                </c:pt>
                <c:pt idx="89">
                  <c:v>27.538694168795917</c:v>
                </c:pt>
                <c:pt idx="90">
                  <c:v>32.248598202468798</c:v>
                </c:pt>
                <c:pt idx="91">
                  <c:v>20.132170006496171</c:v>
                </c:pt>
                <c:pt idx="92">
                  <c:v>22.397705516331623</c:v>
                </c:pt>
                <c:pt idx="93">
                  <c:v>45.087492153315672</c:v>
                </c:pt>
                <c:pt idx="94">
                  <c:v>51.738615860087819</c:v>
                </c:pt>
                <c:pt idx="95">
                  <c:v>11.199326159046587</c:v>
                </c:pt>
                <c:pt idx="96">
                  <c:v>37.595875280536767</c:v>
                </c:pt>
                <c:pt idx="97">
                  <c:v>30.544444482493891</c:v>
                </c:pt>
                <c:pt idx="98">
                  <c:v>35.835079049115173</c:v>
                </c:pt>
                <c:pt idx="99">
                  <c:v>52.400805412247507</c:v>
                </c:pt>
                <c:pt idx="100">
                  <c:v>43.430715607218275</c:v>
                </c:pt>
                <c:pt idx="101">
                  <c:v>37.093699771738592</c:v>
                </c:pt>
                <c:pt idx="102">
                  <c:v>7.9270235849463129</c:v>
                </c:pt>
                <c:pt idx="103">
                  <c:v>40.122657140227503</c:v>
                </c:pt>
                <c:pt idx="104">
                  <c:v>43.782617903263734</c:v>
                </c:pt>
                <c:pt idx="105">
                  <c:v>45.427765832423837</c:v>
                </c:pt>
                <c:pt idx="106">
                  <c:v>53.319856058750531</c:v>
                </c:pt>
                <c:pt idx="107">
                  <c:v>39.444109135382803</c:v>
                </c:pt>
                <c:pt idx="108">
                  <c:v>9.2203382734983634</c:v>
                </c:pt>
                <c:pt idx="109">
                  <c:v>9.6198411610768026</c:v>
                </c:pt>
                <c:pt idx="110">
                  <c:v>9.2599914197320849</c:v>
                </c:pt>
                <c:pt idx="111">
                  <c:v>26.91404323045937</c:v>
                </c:pt>
                <c:pt idx="112">
                  <c:v>8.9635848717451694</c:v>
                </c:pt>
                <c:pt idx="113">
                  <c:v>30.973682198551348</c:v>
                </c:pt>
                <c:pt idx="114">
                  <c:v>46.877245204445082</c:v>
                </c:pt>
                <c:pt idx="115">
                  <c:v>53.746145986824558</c:v>
                </c:pt>
                <c:pt idx="116">
                  <c:v>39.015029440989039</c:v>
                </c:pt>
                <c:pt idx="117">
                  <c:v>23.508451312126684</c:v>
                </c:pt>
                <c:pt idx="118">
                  <c:v>42.994776882998885</c:v>
                </c:pt>
                <c:pt idx="119">
                  <c:v>48.156841466654839</c:v>
                </c:pt>
                <c:pt idx="120">
                  <c:v>48.725205644304175</c:v>
                </c:pt>
                <c:pt idx="121">
                  <c:v>28.888745196037021</c:v>
                </c:pt>
                <c:pt idx="122">
                  <c:v>40.321786447049391</c:v>
                </c:pt>
                <c:pt idx="123">
                  <c:v>21.834540336480654</c:v>
                </c:pt>
                <c:pt idx="124">
                  <c:v>44.789632966711451</c:v>
                </c:pt>
                <c:pt idx="125">
                  <c:v>39.30444923176259</c:v>
                </c:pt>
                <c:pt idx="126">
                  <c:v>53.771435912807782</c:v>
                </c:pt>
                <c:pt idx="127">
                  <c:v>49.58309269536749</c:v>
                </c:pt>
                <c:pt idx="128">
                  <c:v>56.936286477910862</c:v>
                </c:pt>
                <c:pt idx="129">
                  <c:v>53.184473136256564</c:v>
                </c:pt>
                <c:pt idx="130">
                  <c:v>57.349784375943742</c:v>
                </c:pt>
                <c:pt idx="131">
                  <c:v>42.757416711801802</c:v>
                </c:pt>
                <c:pt idx="132">
                  <c:v>44.785156122950845</c:v>
                </c:pt>
                <c:pt idx="133">
                  <c:v>51.033171776761641</c:v>
                </c:pt>
                <c:pt idx="134">
                  <c:v>53.703860004540935</c:v>
                </c:pt>
                <c:pt idx="135">
                  <c:v>52.09650771278217</c:v>
                </c:pt>
                <c:pt idx="136">
                  <c:v>55.561870995091489</c:v>
                </c:pt>
                <c:pt idx="137">
                  <c:v>53.739205796710863</c:v>
                </c:pt>
                <c:pt idx="138">
                  <c:v>56.492020187271834</c:v>
                </c:pt>
                <c:pt idx="139">
                  <c:v>50.409073285606098</c:v>
                </c:pt>
                <c:pt idx="140">
                  <c:v>50.506667108138046</c:v>
                </c:pt>
                <c:pt idx="141">
                  <c:v>38.36473181539936</c:v>
                </c:pt>
                <c:pt idx="142">
                  <c:v>20.255877121330123</c:v>
                </c:pt>
                <c:pt idx="143">
                  <c:v>16.74523268059167</c:v>
                </c:pt>
                <c:pt idx="144">
                  <c:v>42.122188908007914</c:v>
                </c:pt>
                <c:pt idx="145">
                  <c:v>25.604934611740937</c:v>
                </c:pt>
                <c:pt idx="146">
                  <c:v>47.141260499072338</c:v>
                </c:pt>
                <c:pt idx="147">
                  <c:v>56.700509899468273</c:v>
                </c:pt>
                <c:pt idx="148">
                  <c:v>61.306681773857925</c:v>
                </c:pt>
                <c:pt idx="149">
                  <c:v>52.017974398265473</c:v>
                </c:pt>
                <c:pt idx="150">
                  <c:v>56.389234373708859</c:v>
                </c:pt>
                <c:pt idx="151">
                  <c:v>57.459503016028357</c:v>
                </c:pt>
                <c:pt idx="152">
                  <c:v>45.826189750469418</c:v>
                </c:pt>
                <c:pt idx="153">
                  <c:v>56.051504643364567</c:v>
                </c:pt>
                <c:pt idx="154">
                  <c:v>26.72107471054974</c:v>
                </c:pt>
                <c:pt idx="155">
                  <c:v>36.820130467592428</c:v>
                </c:pt>
                <c:pt idx="156">
                  <c:v>48.027801291553054</c:v>
                </c:pt>
                <c:pt idx="157">
                  <c:v>29.133741756103888</c:v>
                </c:pt>
                <c:pt idx="158">
                  <c:v>21.719756285683566</c:v>
                </c:pt>
                <c:pt idx="159">
                  <c:v>47.320255643935191</c:v>
                </c:pt>
                <c:pt idx="160">
                  <c:v>59.032465035126862</c:v>
                </c:pt>
                <c:pt idx="161">
                  <c:v>57.046522944268801</c:v>
                </c:pt>
                <c:pt idx="162">
                  <c:v>44.281772166966093</c:v>
                </c:pt>
                <c:pt idx="163">
                  <c:v>55.687440434957125</c:v>
                </c:pt>
                <c:pt idx="164">
                  <c:v>49.503588910693658</c:v>
                </c:pt>
                <c:pt idx="165">
                  <c:v>55.805956425366773</c:v>
                </c:pt>
                <c:pt idx="166">
                  <c:v>53.598927411026644</c:v>
                </c:pt>
                <c:pt idx="167">
                  <c:v>53.74233348731056</c:v>
                </c:pt>
                <c:pt idx="168">
                  <c:v>56.19404097364022</c:v>
                </c:pt>
                <c:pt idx="169">
                  <c:v>57.559554404492992</c:v>
                </c:pt>
                <c:pt idx="170">
                  <c:v>32.47041531591416</c:v>
                </c:pt>
                <c:pt idx="171">
                  <c:v>23.367260260254753</c:v>
                </c:pt>
                <c:pt idx="172">
                  <c:v>45.258556700899199</c:v>
                </c:pt>
                <c:pt idx="173">
                  <c:v>42.689662243192039</c:v>
                </c:pt>
                <c:pt idx="174">
                  <c:v>40.26562099065346</c:v>
                </c:pt>
                <c:pt idx="175">
                  <c:v>34.942466695253707</c:v>
                </c:pt>
                <c:pt idx="176">
                  <c:v>12.405670978732656</c:v>
                </c:pt>
                <c:pt idx="177">
                  <c:v>15.073736357579392</c:v>
                </c:pt>
                <c:pt idx="178">
                  <c:v>59.798286578492963</c:v>
                </c:pt>
                <c:pt idx="179">
                  <c:v>58.082524395015504</c:v>
                </c:pt>
                <c:pt idx="180">
                  <c:v>14.323822906819142</c:v>
                </c:pt>
                <c:pt idx="181">
                  <c:v>51.664041381287163</c:v>
                </c:pt>
                <c:pt idx="182">
                  <c:v>57.070034508756265</c:v>
                </c:pt>
                <c:pt idx="183">
                  <c:v>47.011751987130793</c:v>
                </c:pt>
                <c:pt idx="184">
                  <c:v>45.482057300906327</c:v>
                </c:pt>
                <c:pt idx="185">
                  <c:v>57.013367375977666</c:v>
                </c:pt>
                <c:pt idx="186">
                  <c:v>48.461061222959565</c:v>
                </c:pt>
                <c:pt idx="187">
                  <c:v>56.445623362677949</c:v>
                </c:pt>
                <c:pt idx="188">
                  <c:v>58.876089077425988</c:v>
                </c:pt>
                <c:pt idx="189">
                  <c:v>58.186673591155035</c:v>
                </c:pt>
                <c:pt idx="190">
                  <c:v>57.632270365499174</c:v>
                </c:pt>
                <c:pt idx="191">
                  <c:v>56.117193809182965</c:v>
                </c:pt>
                <c:pt idx="192">
                  <c:v>55.872919196770212</c:v>
                </c:pt>
                <c:pt idx="193">
                  <c:v>55.58755592801883</c:v>
                </c:pt>
                <c:pt idx="194">
                  <c:v>55.004805116770505</c:v>
                </c:pt>
                <c:pt idx="195">
                  <c:v>53.188508625485355</c:v>
                </c:pt>
                <c:pt idx="196">
                  <c:v>54.734395828916085</c:v>
                </c:pt>
                <c:pt idx="197">
                  <c:v>54.251429987589034</c:v>
                </c:pt>
                <c:pt idx="198">
                  <c:v>55.227936749800726</c:v>
                </c:pt>
                <c:pt idx="199">
                  <c:v>45.637104406367655</c:v>
                </c:pt>
                <c:pt idx="200">
                  <c:v>45.190448358643039</c:v>
                </c:pt>
                <c:pt idx="201">
                  <c:v>53.439605968389586</c:v>
                </c:pt>
                <c:pt idx="202">
                  <c:v>43.147834503417144</c:v>
                </c:pt>
                <c:pt idx="203">
                  <c:v>49.580393500010537</c:v>
                </c:pt>
                <c:pt idx="204">
                  <c:v>53.672135241578147</c:v>
                </c:pt>
                <c:pt idx="205">
                  <c:v>27.350658121741095</c:v>
                </c:pt>
                <c:pt idx="206">
                  <c:v>57.998649229916317</c:v>
                </c:pt>
                <c:pt idx="207">
                  <c:v>58.036941518508812</c:v>
                </c:pt>
                <c:pt idx="208">
                  <c:v>45.248953210180282</c:v>
                </c:pt>
                <c:pt idx="209">
                  <c:v>32.317557880053798</c:v>
                </c:pt>
                <c:pt idx="210">
                  <c:v>49.982287449207419</c:v>
                </c:pt>
                <c:pt idx="211">
                  <c:v>55.495601861158391</c:v>
                </c:pt>
                <c:pt idx="212">
                  <c:v>55.118229353977462</c:v>
                </c:pt>
                <c:pt idx="213">
                  <c:v>55.105641416719102</c:v>
                </c:pt>
                <c:pt idx="214">
                  <c:v>52.036877218620909</c:v>
                </c:pt>
                <c:pt idx="215">
                  <c:v>51.264435020288524</c:v>
                </c:pt>
                <c:pt idx="216">
                  <c:v>46.553839470888086</c:v>
                </c:pt>
                <c:pt idx="217">
                  <c:v>51.118010550073592</c:v>
                </c:pt>
                <c:pt idx="218">
                  <c:v>53.790741031365769</c:v>
                </c:pt>
                <c:pt idx="219">
                  <c:v>54.242563130633016</c:v>
                </c:pt>
                <c:pt idx="220">
                  <c:v>52.205656236435985</c:v>
                </c:pt>
                <c:pt idx="221">
                  <c:v>49.331753096691429</c:v>
                </c:pt>
                <c:pt idx="222">
                  <c:v>47.701738059514888</c:v>
                </c:pt>
                <c:pt idx="223">
                  <c:v>48.64928338562958</c:v>
                </c:pt>
                <c:pt idx="224">
                  <c:v>36.611628730667647</c:v>
                </c:pt>
                <c:pt idx="225">
                  <c:v>34.751134858182141</c:v>
                </c:pt>
                <c:pt idx="226">
                  <c:v>39.365397230191341</c:v>
                </c:pt>
                <c:pt idx="227">
                  <c:v>36.408849225944309</c:v>
                </c:pt>
                <c:pt idx="228">
                  <c:v>29.210121903020205</c:v>
                </c:pt>
                <c:pt idx="229">
                  <c:v>37.059326308019692</c:v>
                </c:pt>
                <c:pt idx="230">
                  <c:v>42.212722898396073</c:v>
                </c:pt>
                <c:pt idx="231">
                  <c:v>50.691799021233066</c:v>
                </c:pt>
                <c:pt idx="232">
                  <c:v>34.2411352793698</c:v>
                </c:pt>
                <c:pt idx="233">
                  <c:v>27.288599675572247</c:v>
                </c:pt>
                <c:pt idx="234">
                  <c:v>49.48756018475347</c:v>
                </c:pt>
                <c:pt idx="235">
                  <c:v>47.177322665933225</c:v>
                </c:pt>
                <c:pt idx="236">
                  <c:v>33.075363068046194</c:v>
                </c:pt>
                <c:pt idx="237">
                  <c:v>43.9227104100394</c:v>
                </c:pt>
                <c:pt idx="238">
                  <c:v>49.948587807662534</c:v>
                </c:pt>
                <c:pt idx="239">
                  <c:v>48.860288366207129</c:v>
                </c:pt>
                <c:pt idx="240">
                  <c:v>33.432400193761417</c:v>
                </c:pt>
                <c:pt idx="241">
                  <c:v>48.533977180133924</c:v>
                </c:pt>
                <c:pt idx="242">
                  <c:v>25.068192624288649</c:v>
                </c:pt>
                <c:pt idx="243">
                  <c:v>41.033037190530131</c:v>
                </c:pt>
                <c:pt idx="244">
                  <c:v>39.48960323422363</c:v>
                </c:pt>
                <c:pt idx="245">
                  <c:v>38.553122588265715</c:v>
                </c:pt>
                <c:pt idx="246">
                  <c:v>46.593550852099696</c:v>
                </c:pt>
                <c:pt idx="247">
                  <c:v>40.724889775276516</c:v>
                </c:pt>
                <c:pt idx="248">
                  <c:v>46.084250408619795</c:v>
                </c:pt>
                <c:pt idx="249">
                  <c:v>36.684557104822886</c:v>
                </c:pt>
                <c:pt idx="250">
                  <c:v>35.651418473371827</c:v>
                </c:pt>
                <c:pt idx="251">
                  <c:v>23.87648864709211</c:v>
                </c:pt>
                <c:pt idx="252">
                  <c:v>47.227473896621959</c:v>
                </c:pt>
                <c:pt idx="253">
                  <c:v>46.644296387738258</c:v>
                </c:pt>
                <c:pt idx="254">
                  <c:v>33.855128947571565</c:v>
                </c:pt>
                <c:pt idx="255">
                  <c:v>14.370288479304108</c:v>
                </c:pt>
                <c:pt idx="256">
                  <c:v>36.033571475313863</c:v>
                </c:pt>
                <c:pt idx="257">
                  <c:v>41.266740817311835</c:v>
                </c:pt>
                <c:pt idx="258">
                  <c:v>32.970069331682481</c:v>
                </c:pt>
                <c:pt idx="259">
                  <c:v>46.069865347850659</c:v>
                </c:pt>
                <c:pt idx="260">
                  <c:v>46.060301432872159</c:v>
                </c:pt>
                <c:pt idx="261">
                  <c:v>45.432933469954477</c:v>
                </c:pt>
                <c:pt idx="262">
                  <c:v>47.160106554539027</c:v>
                </c:pt>
                <c:pt idx="263">
                  <c:v>45.943773316889661</c:v>
                </c:pt>
                <c:pt idx="264">
                  <c:v>44.456047566658</c:v>
                </c:pt>
                <c:pt idx="265">
                  <c:v>28.214688763745983</c:v>
                </c:pt>
                <c:pt idx="266">
                  <c:v>17.090310567551171</c:v>
                </c:pt>
                <c:pt idx="267">
                  <c:v>35.988574959784017</c:v>
                </c:pt>
                <c:pt idx="268">
                  <c:v>32.949111807838236</c:v>
                </c:pt>
                <c:pt idx="269">
                  <c:v>17.470559291429947</c:v>
                </c:pt>
                <c:pt idx="270">
                  <c:v>19.800185688495397</c:v>
                </c:pt>
                <c:pt idx="271">
                  <c:v>23.788610990457475</c:v>
                </c:pt>
                <c:pt idx="272">
                  <c:v>28.227175920875229</c:v>
                </c:pt>
                <c:pt idx="273">
                  <c:v>36.87959171852809</c:v>
                </c:pt>
                <c:pt idx="274">
                  <c:v>39.321488816140494</c:v>
                </c:pt>
                <c:pt idx="275">
                  <c:v>37.955623619193204</c:v>
                </c:pt>
                <c:pt idx="276">
                  <c:v>41.806220056337182</c:v>
                </c:pt>
                <c:pt idx="277">
                  <c:v>42.61818064604595</c:v>
                </c:pt>
                <c:pt idx="278">
                  <c:v>11.77158800435334</c:v>
                </c:pt>
                <c:pt idx="279">
                  <c:v>29.565435728614965</c:v>
                </c:pt>
                <c:pt idx="280">
                  <c:v>17.06072530614215</c:v>
                </c:pt>
                <c:pt idx="281">
                  <c:v>38.949218955294299</c:v>
                </c:pt>
                <c:pt idx="282">
                  <c:v>31.265211371397839</c:v>
                </c:pt>
                <c:pt idx="283">
                  <c:v>22.73804472523868</c:v>
                </c:pt>
                <c:pt idx="284">
                  <c:v>28.218466301843289</c:v>
                </c:pt>
                <c:pt idx="285">
                  <c:v>23.624040972929059</c:v>
                </c:pt>
                <c:pt idx="286">
                  <c:v>18.361370262775505</c:v>
                </c:pt>
                <c:pt idx="287">
                  <c:v>37.724649404776287</c:v>
                </c:pt>
                <c:pt idx="288">
                  <c:v>33.292536410730321</c:v>
                </c:pt>
                <c:pt idx="289">
                  <c:v>19.762143178649875</c:v>
                </c:pt>
                <c:pt idx="290">
                  <c:v>34.85555962896666</c:v>
                </c:pt>
                <c:pt idx="291">
                  <c:v>16.199282882140686</c:v>
                </c:pt>
                <c:pt idx="292">
                  <c:v>6.8207643336250099</c:v>
                </c:pt>
                <c:pt idx="293">
                  <c:v>16.597846236969225</c:v>
                </c:pt>
                <c:pt idx="294">
                  <c:v>33.530048777876502</c:v>
                </c:pt>
                <c:pt idx="295">
                  <c:v>17.231062875282614</c:v>
                </c:pt>
                <c:pt idx="296">
                  <c:v>25.49171069448375</c:v>
                </c:pt>
                <c:pt idx="297">
                  <c:v>22.536529581339884</c:v>
                </c:pt>
                <c:pt idx="298">
                  <c:v>12.561916392079477</c:v>
                </c:pt>
                <c:pt idx="299">
                  <c:v>14.531108535837532</c:v>
                </c:pt>
                <c:pt idx="300">
                  <c:v>17.478731416382509</c:v>
                </c:pt>
                <c:pt idx="301">
                  <c:v>27.143345104142554</c:v>
                </c:pt>
                <c:pt idx="302">
                  <c:v>23.334542355126324</c:v>
                </c:pt>
                <c:pt idx="303">
                  <c:v>22.192512529476229</c:v>
                </c:pt>
                <c:pt idx="304">
                  <c:v>19.671536668286972</c:v>
                </c:pt>
                <c:pt idx="305">
                  <c:v>29.180807745067941</c:v>
                </c:pt>
                <c:pt idx="306">
                  <c:v>10.242401889190379</c:v>
                </c:pt>
                <c:pt idx="307">
                  <c:v>17.687499081013375</c:v>
                </c:pt>
                <c:pt idx="308">
                  <c:v>30.126530578625651</c:v>
                </c:pt>
                <c:pt idx="309">
                  <c:v>30.080976694017263</c:v>
                </c:pt>
                <c:pt idx="310">
                  <c:v>28.213815484913276</c:v>
                </c:pt>
                <c:pt idx="311">
                  <c:v>20.34416160047676</c:v>
                </c:pt>
                <c:pt idx="312">
                  <c:v>10.020026191350064</c:v>
                </c:pt>
                <c:pt idx="313">
                  <c:v>20.229672412857777</c:v>
                </c:pt>
                <c:pt idx="314">
                  <c:v>27.670075925860669</c:v>
                </c:pt>
                <c:pt idx="315">
                  <c:v>27.245899520330305</c:v>
                </c:pt>
                <c:pt idx="316">
                  <c:v>26.200994407663789</c:v>
                </c:pt>
                <c:pt idx="317">
                  <c:v>9.70075194419422</c:v>
                </c:pt>
                <c:pt idx="318">
                  <c:v>12.446870241526135</c:v>
                </c:pt>
                <c:pt idx="319">
                  <c:v>26.796230524969996</c:v>
                </c:pt>
                <c:pt idx="320">
                  <c:v>13.716978646670491</c:v>
                </c:pt>
                <c:pt idx="321">
                  <c:v>15.700763587757919</c:v>
                </c:pt>
                <c:pt idx="322">
                  <c:v>7.1748790832512448</c:v>
                </c:pt>
                <c:pt idx="323">
                  <c:v>15.787598989968837</c:v>
                </c:pt>
                <c:pt idx="324">
                  <c:v>3.1708811359237603</c:v>
                </c:pt>
                <c:pt idx="325">
                  <c:v>7.8441343068408944</c:v>
                </c:pt>
                <c:pt idx="326">
                  <c:v>13.154567716337207</c:v>
                </c:pt>
                <c:pt idx="327">
                  <c:v>13.804118994772551</c:v>
                </c:pt>
                <c:pt idx="328">
                  <c:v>4.7832641765215378</c:v>
                </c:pt>
                <c:pt idx="329">
                  <c:v>10.990829587791449</c:v>
                </c:pt>
                <c:pt idx="330">
                  <c:v>14.467696335791555</c:v>
                </c:pt>
                <c:pt idx="331">
                  <c:v>10.495868909308621</c:v>
                </c:pt>
                <c:pt idx="332">
                  <c:v>15.285747246936529</c:v>
                </c:pt>
                <c:pt idx="333">
                  <c:v>3.9943358348054447</c:v>
                </c:pt>
                <c:pt idx="334">
                  <c:v>3.7807930576574904</c:v>
                </c:pt>
                <c:pt idx="335">
                  <c:v>5.6799093025955685</c:v>
                </c:pt>
                <c:pt idx="336">
                  <c:v>9.5189883812552409</c:v>
                </c:pt>
                <c:pt idx="337">
                  <c:v>17.456484913060525</c:v>
                </c:pt>
                <c:pt idx="338">
                  <c:v>23.141986805523189</c:v>
                </c:pt>
                <c:pt idx="339">
                  <c:v>11.376310470606578</c:v>
                </c:pt>
                <c:pt idx="340">
                  <c:v>20.499955315055512</c:v>
                </c:pt>
                <c:pt idx="341">
                  <c:v>4.1172794483133126</c:v>
                </c:pt>
                <c:pt idx="342">
                  <c:v>5.0250848568685393</c:v>
                </c:pt>
                <c:pt idx="343">
                  <c:v>12.16508156164841</c:v>
                </c:pt>
                <c:pt idx="344">
                  <c:v>17.407330458714995</c:v>
                </c:pt>
                <c:pt idx="345">
                  <c:v>5.3204042693785762</c:v>
                </c:pt>
                <c:pt idx="346">
                  <c:v>5.3868462010062208</c:v>
                </c:pt>
                <c:pt idx="347">
                  <c:v>17.201687107533861</c:v>
                </c:pt>
                <c:pt idx="348">
                  <c:v>5.8789782798236869</c:v>
                </c:pt>
                <c:pt idx="349">
                  <c:v>5.192745483654857</c:v>
                </c:pt>
                <c:pt idx="350">
                  <c:v>3.520628576676379</c:v>
                </c:pt>
                <c:pt idx="351">
                  <c:v>21.00141773866434</c:v>
                </c:pt>
                <c:pt idx="352">
                  <c:v>17.871699524095096</c:v>
                </c:pt>
                <c:pt idx="353">
                  <c:v>4.5554493573277961</c:v>
                </c:pt>
                <c:pt idx="354">
                  <c:v>20.857225031290753</c:v>
                </c:pt>
                <c:pt idx="355">
                  <c:v>17.634398412527432</c:v>
                </c:pt>
                <c:pt idx="356">
                  <c:v>17.871231423085252</c:v>
                </c:pt>
                <c:pt idx="357">
                  <c:v>21.239325509944781</c:v>
                </c:pt>
                <c:pt idx="358">
                  <c:v>11.999023009196939</c:v>
                </c:pt>
                <c:pt idx="359">
                  <c:v>20.743461149176913</c:v>
                </c:pt>
                <c:pt idx="360">
                  <c:v>7.0284163239690818</c:v>
                </c:pt>
                <c:pt idx="361">
                  <c:v>21.818305835656254</c:v>
                </c:pt>
                <c:pt idx="362">
                  <c:v>10.362317030993172</c:v>
                </c:pt>
                <c:pt idx="363">
                  <c:v>14.03894871036394</c:v>
                </c:pt>
                <c:pt idx="364">
                  <c:v>11.614582077312894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22.831139502223408</c:v>
                </c:pt>
                <c:pt idx="1">
                  <c:v>15.746078358390612</c:v>
                </c:pt>
                <c:pt idx="2">
                  <c:v>17.002089345979805</c:v>
                </c:pt>
                <c:pt idx="3">
                  <c:v>18.067130076374191</c:v>
                </c:pt>
                <c:pt idx="4">
                  <c:v>14.287806899470851</c:v>
                </c:pt>
                <c:pt idx="5">
                  <c:v>20.50363748781534</c:v>
                </c:pt>
                <c:pt idx="6">
                  <c:v>10.054713828532995</c:v>
                </c:pt>
                <c:pt idx="7">
                  <c:v>7.1560765358096869</c:v>
                </c:pt>
                <c:pt idx="8">
                  <c:v>2.136518363159484</c:v>
                </c:pt>
                <c:pt idx="9">
                  <c:v>1.7521830622011019</c:v>
                </c:pt>
                <c:pt idx="10">
                  <c:v>24.563498375870424</c:v>
                </c:pt>
                <c:pt idx="11">
                  <c:v>21.353603373193657</c:v>
                </c:pt>
                <c:pt idx="12">
                  <c:v>5.4741513825561565</c:v>
                </c:pt>
                <c:pt idx="13">
                  <c:v>25.979293811435866</c:v>
                </c:pt>
                <c:pt idx="14">
                  <c:v>26.28581858177888</c:v>
                </c:pt>
                <c:pt idx="15">
                  <c:v>25.718444677229609</c:v>
                </c:pt>
                <c:pt idx="16">
                  <c:v>11.876739124271886</c:v>
                </c:pt>
                <c:pt idx="17">
                  <c:v>3.7732437491889632</c:v>
                </c:pt>
                <c:pt idx="18">
                  <c:v>10.296015114804964</c:v>
                </c:pt>
                <c:pt idx="19">
                  <c:v>6.4482814411318765</c:v>
                </c:pt>
                <c:pt idx="20">
                  <c:v>20.560506316278591</c:v>
                </c:pt>
                <c:pt idx="21">
                  <c:v>27.447171840124138</c:v>
                </c:pt>
                <c:pt idx="22">
                  <c:v>27.570785052666768</c:v>
                </c:pt>
                <c:pt idx="23">
                  <c:v>28.107477077240009</c:v>
                </c:pt>
                <c:pt idx="24">
                  <c:v>27.180823229182497</c:v>
                </c:pt>
                <c:pt idx="25">
                  <c:v>27.844455302414836</c:v>
                </c:pt>
                <c:pt idx="26">
                  <c:v>26.609346050137233</c:v>
                </c:pt>
                <c:pt idx="27">
                  <c:v>4.2055467567427378</c:v>
                </c:pt>
                <c:pt idx="28">
                  <c:v>8.8772288536367601</c:v>
                </c:pt>
                <c:pt idx="29">
                  <c:v>4.5848904472749012</c:v>
                </c:pt>
                <c:pt idx="30">
                  <c:v>7.6034506482181765</c:v>
                </c:pt>
                <c:pt idx="31">
                  <c:v>12.618637147999166</c:v>
                </c:pt>
                <c:pt idx="32">
                  <c:v>5.3274310635332451</c:v>
                </c:pt>
                <c:pt idx="33">
                  <c:v>10.456308945579538</c:v>
                </c:pt>
                <c:pt idx="34">
                  <c:v>10.299637239567884</c:v>
                </c:pt>
                <c:pt idx="35">
                  <c:v>9.0511016485574896</c:v>
                </c:pt>
                <c:pt idx="36">
                  <c:v>21.088143968438605</c:v>
                </c:pt>
                <c:pt idx="37">
                  <c:v>8.8881249777545666</c:v>
                </c:pt>
                <c:pt idx="38">
                  <c:v>32.965081210862458</c:v>
                </c:pt>
                <c:pt idx="39">
                  <c:v>33.249071065662847</c:v>
                </c:pt>
                <c:pt idx="40">
                  <c:v>31.008518317281442</c:v>
                </c:pt>
                <c:pt idx="41">
                  <c:v>17.178318152288714</c:v>
                </c:pt>
                <c:pt idx="42">
                  <c:v>26.325005022540427</c:v>
                </c:pt>
                <c:pt idx="43">
                  <c:v>32.209303365218553</c:v>
                </c:pt>
                <c:pt idx="44">
                  <c:v>15.122263151571723</c:v>
                </c:pt>
                <c:pt idx="45">
                  <c:v>18.240032526882093</c:v>
                </c:pt>
                <c:pt idx="46">
                  <c:v>8.9722926815101687</c:v>
                </c:pt>
                <c:pt idx="47">
                  <c:v>11.179049945143248</c:v>
                </c:pt>
                <c:pt idx="48">
                  <c:v>28.861517346693866</c:v>
                </c:pt>
                <c:pt idx="49">
                  <c:v>19.584318278761398</c:v>
                </c:pt>
                <c:pt idx="50">
                  <c:v>19.466888765007507</c:v>
                </c:pt>
                <c:pt idx="51">
                  <c:v>21.554183906856306</c:v>
                </c:pt>
                <c:pt idx="52">
                  <c:v>32.939695440736294</c:v>
                </c:pt>
                <c:pt idx="53">
                  <c:v>34.615258041101711</c:v>
                </c:pt>
                <c:pt idx="54">
                  <c:v>21.548534102916307</c:v>
                </c:pt>
                <c:pt idx="55">
                  <c:v>30.859523635065202</c:v>
                </c:pt>
                <c:pt idx="56">
                  <c:v>39.113236109383166</c:v>
                </c:pt>
                <c:pt idx="57">
                  <c:v>27.960261369813164</c:v>
                </c:pt>
                <c:pt idx="58">
                  <c:v>33.756856750339288</c:v>
                </c:pt>
                <c:pt idx="59">
                  <c:v>39.167980389340549</c:v>
                </c:pt>
                <c:pt idx="60">
                  <c:v>11.413273097426911</c:v>
                </c:pt>
                <c:pt idx="61">
                  <c:v>35.022432960130146</c:v>
                </c:pt>
                <c:pt idx="62">
                  <c:v>3.7636394038825016</c:v>
                </c:pt>
                <c:pt idx="63">
                  <c:v>12.959977178620806</c:v>
                </c:pt>
                <c:pt idx="64">
                  <c:v>15.625663124983074</c:v>
                </c:pt>
                <c:pt idx="65">
                  <c:v>38.493212539216508</c:v>
                </c:pt>
                <c:pt idx="66">
                  <c:v>31.373031864435152</c:v>
                </c:pt>
                <c:pt idx="67">
                  <c:v>30.588894872244616</c:v>
                </c:pt>
                <c:pt idx="68">
                  <c:v>24.351490890731558</c:v>
                </c:pt>
                <c:pt idx="69">
                  <c:v>15.103037783192356</c:v>
                </c:pt>
                <c:pt idx="70">
                  <c:v>15.720016900336967</c:v>
                </c:pt>
                <c:pt idx="71">
                  <c:v>8.8151961190665968</c:v>
                </c:pt>
                <c:pt idx="72">
                  <c:v>14.203844131893305</c:v>
                </c:pt>
                <c:pt idx="73">
                  <c:v>13.520231631730862</c:v>
                </c:pt>
                <c:pt idx="74">
                  <c:v>13.493827365793569</c:v>
                </c:pt>
                <c:pt idx="75">
                  <c:v>11.333049302138669</c:v>
                </c:pt>
                <c:pt idx="76">
                  <c:v>14.651435539122673</c:v>
                </c:pt>
                <c:pt idx="77">
                  <c:v>27.99330833125568</c:v>
                </c:pt>
                <c:pt idx="78">
                  <c:v>31.084078530053507</c:v>
                </c:pt>
                <c:pt idx="79">
                  <c:v>44.002589255480409</c:v>
                </c:pt>
                <c:pt idx="80">
                  <c:v>41.777226204984544</c:v>
                </c:pt>
                <c:pt idx="81">
                  <c:v>47.619967190578699</c:v>
                </c:pt>
                <c:pt idx="82">
                  <c:v>46.838840702506417</c:v>
                </c:pt>
                <c:pt idx="83">
                  <c:v>41.683408231598825</c:v>
                </c:pt>
                <c:pt idx="84">
                  <c:v>46.143393542287434</c:v>
                </c:pt>
                <c:pt idx="85">
                  <c:v>44.61223897645899</c:v>
                </c:pt>
                <c:pt idx="86">
                  <c:v>14.366000171018852</c:v>
                </c:pt>
                <c:pt idx="87">
                  <c:v>27.573058756279494</c:v>
                </c:pt>
                <c:pt idx="88">
                  <c:v>7.7313266407802308</c:v>
                </c:pt>
                <c:pt idx="89">
                  <c:v>27.538694168795917</c:v>
                </c:pt>
                <c:pt idx="90">
                  <c:v>32.248598202468798</c:v>
                </c:pt>
                <c:pt idx="91">
                  <c:v>20.132170006496171</c:v>
                </c:pt>
                <c:pt idx="92">
                  <c:v>22.397705516331623</c:v>
                </c:pt>
                <c:pt idx="93">
                  <c:v>45.087492153315672</c:v>
                </c:pt>
                <c:pt idx="94">
                  <c:v>51.738615860087819</c:v>
                </c:pt>
                <c:pt idx="95">
                  <c:v>11.199326159046587</c:v>
                </c:pt>
                <c:pt idx="96">
                  <c:v>37.595875280536767</c:v>
                </c:pt>
                <c:pt idx="97">
                  <c:v>30.544444482493891</c:v>
                </c:pt>
                <c:pt idx="98">
                  <c:v>35.835079049115173</c:v>
                </c:pt>
                <c:pt idx="99">
                  <c:v>52.400805412247507</c:v>
                </c:pt>
                <c:pt idx="100">
                  <c:v>43.430715607218275</c:v>
                </c:pt>
                <c:pt idx="101">
                  <c:v>37.093699771738592</c:v>
                </c:pt>
                <c:pt idx="102">
                  <c:v>7.9270235849463129</c:v>
                </c:pt>
                <c:pt idx="103">
                  <c:v>40.122657140227503</c:v>
                </c:pt>
                <c:pt idx="104">
                  <c:v>43.782617903263734</c:v>
                </c:pt>
                <c:pt idx="105">
                  <c:v>45.427765832423837</c:v>
                </c:pt>
                <c:pt idx="106">
                  <c:v>53.319856058750531</c:v>
                </c:pt>
                <c:pt idx="107">
                  <c:v>39.444109135382803</c:v>
                </c:pt>
                <c:pt idx="108">
                  <c:v>9.2203382734983634</c:v>
                </c:pt>
                <c:pt idx="109">
                  <c:v>9.6198411610768026</c:v>
                </c:pt>
                <c:pt idx="110">
                  <c:v>9.2599914197320849</c:v>
                </c:pt>
                <c:pt idx="111">
                  <c:v>26.91404323045937</c:v>
                </c:pt>
                <c:pt idx="112">
                  <c:v>8.9635848717451694</c:v>
                </c:pt>
                <c:pt idx="113">
                  <c:v>30.973682198551348</c:v>
                </c:pt>
                <c:pt idx="114">
                  <c:v>46.877245204445082</c:v>
                </c:pt>
                <c:pt idx="115">
                  <c:v>53.746145986824558</c:v>
                </c:pt>
                <c:pt idx="116">
                  <c:v>39.015029440989039</c:v>
                </c:pt>
                <c:pt idx="117">
                  <c:v>23.508451312126684</c:v>
                </c:pt>
                <c:pt idx="118">
                  <c:v>42.994776882998885</c:v>
                </c:pt>
                <c:pt idx="119">
                  <c:v>48.156841466654839</c:v>
                </c:pt>
                <c:pt idx="120">
                  <c:v>48.725205644304175</c:v>
                </c:pt>
                <c:pt idx="121">
                  <c:v>28.888745196037021</c:v>
                </c:pt>
                <c:pt idx="122">
                  <c:v>40.321786447049391</c:v>
                </c:pt>
                <c:pt idx="123">
                  <c:v>21.834540336480654</c:v>
                </c:pt>
                <c:pt idx="124">
                  <c:v>44.789632966711451</c:v>
                </c:pt>
                <c:pt idx="125">
                  <c:v>39.30444923176259</c:v>
                </c:pt>
                <c:pt idx="126">
                  <c:v>53.771435912807782</c:v>
                </c:pt>
                <c:pt idx="127">
                  <c:v>49.58309269536749</c:v>
                </c:pt>
                <c:pt idx="128">
                  <c:v>56.936286477910862</c:v>
                </c:pt>
                <c:pt idx="129">
                  <c:v>53.184473136256564</c:v>
                </c:pt>
                <c:pt idx="130">
                  <c:v>57.349784375943742</c:v>
                </c:pt>
                <c:pt idx="131">
                  <c:v>42.757416711801802</c:v>
                </c:pt>
                <c:pt idx="132">
                  <c:v>44.785156122950845</c:v>
                </c:pt>
                <c:pt idx="133">
                  <c:v>51.033171776761641</c:v>
                </c:pt>
                <c:pt idx="134">
                  <c:v>53.703860004540935</c:v>
                </c:pt>
                <c:pt idx="135">
                  <c:v>52.09650771278217</c:v>
                </c:pt>
                <c:pt idx="136">
                  <c:v>55.561870995091489</c:v>
                </c:pt>
                <c:pt idx="137">
                  <c:v>53.739205796710863</c:v>
                </c:pt>
                <c:pt idx="138">
                  <c:v>56.492020187271834</c:v>
                </c:pt>
                <c:pt idx="139">
                  <c:v>50.409073285606098</c:v>
                </c:pt>
                <c:pt idx="140">
                  <c:v>50.506667108138046</c:v>
                </c:pt>
                <c:pt idx="141">
                  <c:v>38.36473181539936</c:v>
                </c:pt>
                <c:pt idx="142">
                  <c:v>20.255877121330123</c:v>
                </c:pt>
                <c:pt idx="143">
                  <c:v>16.74523268059167</c:v>
                </c:pt>
                <c:pt idx="144">
                  <c:v>42.122188908007914</c:v>
                </c:pt>
                <c:pt idx="145">
                  <c:v>25.604934611740937</c:v>
                </c:pt>
                <c:pt idx="146">
                  <c:v>47.141260499072338</c:v>
                </c:pt>
                <c:pt idx="147">
                  <c:v>56.700509899468273</c:v>
                </c:pt>
                <c:pt idx="148">
                  <c:v>61.306681773857925</c:v>
                </c:pt>
                <c:pt idx="149">
                  <c:v>52.017974398265473</c:v>
                </c:pt>
                <c:pt idx="150">
                  <c:v>56.389234373708859</c:v>
                </c:pt>
                <c:pt idx="151">
                  <c:v>57.459503016028357</c:v>
                </c:pt>
                <c:pt idx="152">
                  <c:v>45.826189750469418</c:v>
                </c:pt>
                <c:pt idx="153">
                  <c:v>56.051504643364567</c:v>
                </c:pt>
                <c:pt idx="154">
                  <c:v>26.72107471054974</c:v>
                </c:pt>
                <c:pt idx="155">
                  <c:v>36.820130467592428</c:v>
                </c:pt>
                <c:pt idx="156">
                  <c:v>48.027801291553054</c:v>
                </c:pt>
                <c:pt idx="157">
                  <c:v>29.133741756103888</c:v>
                </c:pt>
                <c:pt idx="158">
                  <c:v>21.719756285683566</c:v>
                </c:pt>
                <c:pt idx="159">
                  <c:v>47.320255643935191</c:v>
                </c:pt>
                <c:pt idx="160">
                  <c:v>59.032465035126862</c:v>
                </c:pt>
                <c:pt idx="161">
                  <c:v>57.046522944268801</c:v>
                </c:pt>
                <c:pt idx="162">
                  <c:v>44.281772166966093</c:v>
                </c:pt>
                <c:pt idx="163">
                  <c:v>55.687440434957125</c:v>
                </c:pt>
                <c:pt idx="164">
                  <c:v>49.503588910693658</c:v>
                </c:pt>
                <c:pt idx="165">
                  <c:v>55.805956425366773</c:v>
                </c:pt>
                <c:pt idx="166">
                  <c:v>53.598927411026644</c:v>
                </c:pt>
                <c:pt idx="167">
                  <c:v>53.74233348731056</c:v>
                </c:pt>
                <c:pt idx="168">
                  <c:v>56.19404097364022</c:v>
                </c:pt>
                <c:pt idx="169">
                  <c:v>57.559554404492992</c:v>
                </c:pt>
                <c:pt idx="170">
                  <c:v>32.47041531591416</c:v>
                </c:pt>
                <c:pt idx="171">
                  <c:v>23.367260260254753</c:v>
                </c:pt>
                <c:pt idx="172">
                  <c:v>45.258556700899199</c:v>
                </c:pt>
                <c:pt idx="173">
                  <c:v>42.689662243192039</c:v>
                </c:pt>
                <c:pt idx="174">
                  <c:v>40.26562099065346</c:v>
                </c:pt>
                <c:pt idx="175">
                  <c:v>34.942466695253707</c:v>
                </c:pt>
                <c:pt idx="176">
                  <c:v>12.405670978732656</c:v>
                </c:pt>
                <c:pt idx="177">
                  <c:v>15.073736357579392</c:v>
                </c:pt>
                <c:pt idx="178">
                  <c:v>59.798286578492963</c:v>
                </c:pt>
                <c:pt idx="179">
                  <c:v>58.082524395015504</c:v>
                </c:pt>
                <c:pt idx="180">
                  <c:v>14.323822906819142</c:v>
                </c:pt>
                <c:pt idx="181">
                  <c:v>51.664041381287163</c:v>
                </c:pt>
                <c:pt idx="182">
                  <c:v>57.070034508756265</c:v>
                </c:pt>
                <c:pt idx="183">
                  <c:v>47.011751987130793</c:v>
                </c:pt>
                <c:pt idx="184">
                  <c:v>45.482057300906327</c:v>
                </c:pt>
                <c:pt idx="185">
                  <c:v>57.013367375977666</c:v>
                </c:pt>
                <c:pt idx="186">
                  <c:v>48.461061222959565</c:v>
                </c:pt>
                <c:pt idx="187">
                  <c:v>56.445623362677949</c:v>
                </c:pt>
                <c:pt idx="188">
                  <c:v>58.876089077425988</c:v>
                </c:pt>
                <c:pt idx="189">
                  <c:v>58.186673591155035</c:v>
                </c:pt>
                <c:pt idx="190">
                  <c:v>57.632270365499174</c:v>
                </c:pt>
                <c:pt idx="191">
                  <c:v>56.117193809182965</c:v>
                </c:pt>
                <c:pt idx="192">
                  <c:v>55.872919196770212</c:v>
                </c:pt>
                <c:pt idx="193">
                  <c:v>55.58755592801883</c:v>
                </c:pt>
                <c:pt idx="194">
                  <c:v>55.004805116770505</c:v>
                </c:pt>
                <c:pt idx="195">
                  <c:v>53.188508625485355</c:v>
                </c:pt>
                <c:pt idx="196">
                  <c:v>54.734395828916085</c:v>
                </c:pt>
                <c:pt idx="197">
                  <c:v>54.251429987589034</c:v>
                </c:pt>
                <c:pt idx="198">
                  <c:v>55.227936749800726</c:v>
                </c:pt>
                <c:pt idx="199">
                  <c:v>45.637104406367655</c:v>
                </c:pt>
                <c:pt idx="200">
                  <c:v>45.190448358643039</c:v>
                </c:pt>
                <c:pt idx="201">
                  <c:v>53.439605968389586</c:v>
                </c:pt>
                <c:pt idx="202">
                  <c:v>43.147834503417144</c:v>
                </c:pt>
                <c:pt idx="203">
                  <c:v>49.580393500010537</c:v>
                </c:pt>
                <c:pt idx="204">
                  <c:v>53.672135241578147</c:v>
                </c:pt>
                <c:pt idx="205">
                  <c:v>27.350658121741095</c:v>
                </c:pt>
                <c:pt idx="206">
                  <c:v>57.998649229916317</c:v>
                </c:pt>
                <c:pt idx="207">
                  <c:v>58.036941518508812</c:v>
                </c:pt>
                <c:pt idx="208">
                  <c:v>45.248953210180282</c:v>
                </c:pt>
                <c:pt idx="209">
                  <c:v>32.317557880053798</c:v>
                </c:pt>
                <c:pt idx="210">
                  <c:v>49.982287449207419</c:v>
                </c:pt>
                <c:pt idx="211">
                  <c:v>55.495601861158391</c:v>
                </c:pt>
                <c:pt idx="212">
                  <c:v>55.118229353977462</c:v>
                </c:pt>
                <c:pt idx="213">
                  <c:v>55.105641416719102</c:v>
                </c:pt>
                <c:pt idx="214">
                  <c:v>52.036877218620909</c:v>
                </c:pt>
                <c:pt idx="215">
                  <c:v>51.264435020288524</c:v>
                </c:pt>
                <c:pt idx="216">
                  <c:v>46.553839470888086</c:v>
                </c:pt>
                <c:pt idx="217">
                  <c:v>51.118010550073592</c:v>
                </c:pt>
                <c:pt idx="218">
                  <c:v>53.790741031365769</c:v>
                </c:pt>
                <c:pt idx="219">
                  <c:v>54.242563130633016</c:v>
                </c:pt>
                <c:pt idx="220">
                  <c:v>52.205656236435985</c:v>
                </c:pt>
                <c:pt idx="221">
                  <c:v>49.331753096691429</c:v>
                </c:pt>
                <c:pt idx="222">
                  <c:v>47.701738059514888</c:v>
                </c:pt>
                <c:pt idx="223">
                  <c:v>48.64928338562958</c:v>
                </c:pt>
                <c:pt idx="224">
                  <c:v>36.611628730667647</c:v>
                </c:pt>
                <c:pt idx="225">
                  <c:v>34.751134858182141</c:v>
                </c:pt>
                <c:pt idx="226">
                  <c:v>39.365397230191341</c:v>
                </c:pt>
                <c:pt idx="227">
                  <c:v>36.408849225944309</c:v>
                </c:pt>
                <c:pt idx="228">
                  <c:v>29.210121903020205</c:v>
                </c:pt>
                <c:pt idx="229">
                  <c:v>37.059326308019692</c:v>
                </c:pt>
                <c:pt idx="230">
                  <c:v>42.212722898396073</c:v>
                </c:pt>
                <c:pt idx="231">
                  <c:v>50.691799021233066</c:v>
                </c:pt>
                <c:pt idx="232">
                  <c:v>34.2411352793698</c:v>
                </c:pt>
                <c:pt idx="233">
                  <c:v>27.288599675572247</c:v>
                </c:pt>
                <c:pt idx="234">
                  <c:v>49.48756018475347</c:v>
                </c:pt>
                <c:pt idx="235">
                  <c:v>47.177322665933225</c:v>
                </c:pt>
                <c:pt idx="236">
                  <c:v>33.075363068046194</c:v>
                </c:pt>
                <c:pt idx="237">
                  <c:v>43.9227104100394</c:v>
                </c:pt>
                <c:pt idx="238">
                  <c:v>49.948587807662534</c:v>
                </c:pt>
                <c:pt idx="239">
                  <c:v>48.860288366207129</c:v>
                </c:pt>
                <c:pt idx="240">
                  <c:v>33.432400193761417</c:v>
                </c:pt>
                <c:pt idx="241">
                  <c:v>48.533977180133924</c:v>
                </c:pt>
                <c:pt idx="242">
                  <c:v>25.068192624288649</c:v>
                </c:pt>
                <c:pt idx="243">
                  <c:v>41.033037190530131</c:v>
                </c:pt>
                <c:pt idx="244">
                  <c:v>39.48960323422363</c:v>
                </c:pt>
                <c:pt idx="245">
                  <c:v>38.553122588265715</c:v>
                </c:pt>
                <c:pt idx="246">
                  <c:v>46.593550852099696</c:v>
                </c:pt>
                <c:pt idx="247">
                  <c:v>40.724889775276516</c:v>
                </c:pt>
                <c:pt idx="248">
                  <c:v>46.084250408619795</c:v>
                </c:pt>
                <c:pt idx="249">
                  <c:v>36.684557104822886</c:v>
                </c:pt>
                <c:pt idx="250">
                  <c:v>35.651418473371827</c:v>
                </c:pt>
                <c:pt idx="251">
                  <c:v>23.87648864709211</c:v>
                </c:pt>
                <c:pt idx="252">
                  <c:v>47.227473896621959</c:v>
                </c:pt>
                <c:pt idx="253">
                  <c:v>46.644296387738258</c:v>
                </c:pt>
                <c:pt idx="254">
                  <c:v>33.855128947571565</c:v>
                </c:pt>
                <c:pt idx="255">
                  <c:v>14.370288479304108</c:v>
                </c:pt>
                <c:pt idx="256">
                  <c:v>36.033571475313863</c:v>
                </c:pt>
                <c:pt idx="257">
                  <c:v>41.266740817311835</c:v>
                </c:pt>
                <c:pt idx="258">
                  <c:v>32.970069331682481</c:v>
                </c:pt>
                <c:pt idx="259">
                  <c:v>46.069865347850659</c:v>
                </c:pt>
                <c:pt idx="260">
                  <c:v>46.060301432872159</c:v>
                </c:pt>
                <c:pt idx="261">
                  <c:v>45.432933469954477</c:v>
                </c:pt>
                <c:pt idx="262">
                  <c:v>47.160106554539027</c:v>
                </c:pt>
                <c:pt idx="263">
                  <c:v>45.943773316889661</c:v>
                </c:pt>
                <c:pt idx="264">
                  <c:v>44.456047566658</c:v>
                </c:pt>
                <c:pt idx="265">
                  <c:v>28.214688763745983</c:v>
                </c:pt>
                <c:pt idx="266">
                  <c:v>17.090310567551171</c:v>
                </c:pt>
                <c:pt idx="267">
                  <c:v>35.988574959784017</c:v>
                </c:pt>
                <c:pt idx="268">
                  <c:v>32.949111807838236</c:v>
                </c:pt>
                <c:pt idx="269">
                  <c:v>17.470559291429947</c:v>
                </c:pt>
                <c:pt idx="270">
                  <c:v>19.800185688495397</c:v>
                </c:pt>
                <c:pt idx="271">
                  <c:v>23.788610990457475</c:v>
                </c:pt>
                <c:pt idx="272">
                  <c:v>28.227175920875229</c:v>
                </c:pt>
                <c:pt idx="273">
                  <c:v>36.87959171852809</c:v>
                </c:pt>
                <c:pt idx="274">
                  <c:v>39.321488816140494</c:v>
                </c:pt>
                <c:pt idx="275">
                  <c:v>37.955623619193204</c:v>
                </c:pt>
                <c:pt idx="276">
                  <c:v>41.806220056337182</c:v>
                </c:pt>
                <c:pt idx="277">
                  <c:v>42.61818064604595</c:v>
                </c:pt>
                <c:pt idx="278">
                  <c:v>11.77158800435334</c:v>
                </c:pt>
                <c:pt idx="279">
                  <c:v>29.565435728614965</c:v>
                </c:pt>
                <c:pt idx="280">
                  <c:v>17.06072530614215</c:v>
                </c:pt>
                <c:pt idx="281">
                  <c:v>38.949218955294299</c:v>
                </c:pt>
                <c:pt idx="282">
                  <c:v>31.265211371397839</c:v>
                </c:pt>
                <c:pt idx="283">
                  <c:v>22.73804472523868</c:v>
                </c:pt>
                <c:pt idx="284">
                  <c:v>28.218466301843289</c:v>
                </c:pt>
                <c:pt idx="285">
                  <c:v>23.624040972929059</c:v>
                </c:pt>
                <c:pt idx="286">
                  <c:v>18.361370262775505</c:v>
                </c:pt>
                <c:pt idx="287">
                  <c:v>37.724649404776287</c:v>
                </c:pt>
                <c:pt idx="288">
                  <c:v>33.292536410730321</c:v>
                </c:pt>
                <c:pt idx="289">
                  <c:v>19.762143178649875</c:v>
                </c:pt>
                <c:pt idx="290">
                  <c:v>34.85555962896666</c:v>
                </c:pt>
                <c:pt idx="291">
                  <c:v>16.199282882140686</c:v>
                </c:pt>
                <c:pt idx="292">
                  <c:v>6.8207643336250099</c:v>
                </c:pt>
                <c:pt idx="293">
                  <c:v>16.597846236969225</c:v>
                </c:pt>
                <c:pt idx="294">
                  <c:v>33.530048777876502</c:v>
                </c:pt>
                <c:pt idx="295">
                  <c:v>17.231062875282614</c:v>
                </c:pt>
                <c:pt idx="296">
                  <c:v>25.49171069448375</c:v>
                </c:pt>
                <c:pt idx="297">
                  <c:v>22.536529581339884</c:v>
                </c:pt>
                <c:pt idx="298">
                  <c:v>12.561916392079477</c:v>
                </c:pt>
                <c:pt idx="299">
                  <c:v>14.531108535837532</c:v>
                </c:pt>
                <c:pt idx="300">
                  <c:v>17.478731416382509</c:v>
                </c:pt>
                <c:pt idx="301">
                  <c:v>27.143345104142554</c:v>
                </c:pt>
                <c:pt idx="302">
                  <c:v>23.334542355126324</c:v>
                </c:pt>
                <c:pt idx="303">
                  <c:v>22.192512529476229</c:v>
                </c:pt>
                <c:pt idx="304">
                  <c:v>19.671536668286972</c:v>
                </c:pt>
                <c:pt idx="305">
                  <c:v>29.180807745067941</c:v>
                </c:pt>
                <c:pt idx="306">
                  <c:v>10.242401889190379</c:v>
                </c:pt>
                <c:pt idx="307">
                  <c:v>17.687499081013375</c:v>
                </c:pt>
                <c:pt idx="308">
                  <c:v>30.126530578625651</c:v>
                </c:pt>
                <c:pt idx="309">
                  <c:v>30.080976694017263</c:v>
                </c:pt>
                <c:pt idx="310">
                  <c:v>28.213815484913276</c:v>
                </c:pt>
                <c:pt idx="311">
                  <c:v>20.34416160047676</c:v>
                </c:pt>
                <c:pt idx="312">
                  <c:v>10.020026191350064</c:v>
                </c:pt>
                <c:pt idx="313">
                  <c:v>20.229672412857777</c:v>
                </c:pt>
                <c:pt idx="314">
                  <c:v>27.670075925860669</c:v>
                </c:pt>
                <c:pt idx="315">
                  <c:v>27.245899520330305</c:v>
                </c:pt>
                <c:pt idx="316">
                  <c:v>26.200994407663789</c:v>
                </c:pt>
                <c:pt idx="317">
                  <c:v>9.70075194419422</c:v>
                </c:pt>
                <c:pt idx="318">
                  <c:v>12.446870241526135</c:v>
                </c:pt>
                <c:pt idx="319">
                  <c:v>26.796230524969996</c:v>
                </c:pt>
                <c:pt idx="320">
                  <c:v>13.716978646670491</c:v>
                </c:pt>
                <c:pt idx="321">
                  <c:v>15.700763587757919</c:v>
                </c:pt>
                <c:pt idx="322">
                  <c:v>7.1748790832512448</c:v>
                </c:pt>
                <c:pt idx="323">
                  <c:v>15.787598989968837</c:v>
                </c:pt>
                <c:pt idx="324">
                  <c:v>3.1708811359237603</c:v>
                </c:pt>
                <c:pt idx="325">
                  <c:v>7.8441343068408944</c:v>
                </c:pt>
                <c:pt idx="326">
                  <c:v>13.154567716337207</c:v>
                </c:pt>
                <c:pt idx="327">
                  <c:v>13.804118994772551</c:v>
                </c:pt>
                <c:pt idx="328">
                  <c:v>4.7832641765215378</c:v>
                </c:pt>
                <c:pt idx="329">
                  <c:v>10.990829587791449</c:v>
                </c:pt>
                <c:pt idx="330">
                  <c:v>14.467696335791555</c:v>
                </c:pt>
                <c:pt idx="331">
                  <c:v>10.495868909308621</c:v>
                </c:pt>
                <c:pt idx="332">
                  <c:v>15.285747246936529</c:v>
                </c:pt>
                <c:pt idx="333">
                  <c:v>3.9943358348054447</c:v>
                </c:pt>
                <c:pt idx="334">
                  <c:v>3.7807930576574904</c:v>
                </c:pt>
                <c:pt idx="335">
                  <c:v>5.6799093025955685</c:v>
                </c:pt>
                <c:pt idx="336">
                  <c:v>9.5189883812552409</c:v>
                </c:pt>
                <c:pt idx="337">
                  <c:v>17.456484913060525</c:v>
                </c:pt>
                <c:pt idx="338">
                  <c:v>23.141986805523189</c:v>
                </c:pt>
                <c:pt idx="339">
                  <c:v>11.376310470606578</c:v>
                </c:pt>
                <c:pt idx="340">
                  <c:v>20.499955315055512</c:v>
                </c:pt>
                <c:pt idx="341">
                  <c:v>4.1172794483133126</c:v>
                </c:pt>
                <c:pt idx="342">
                  <c:v>5.0250848568685393</c:v>
                </c:pt>
                <c:pt idx="343">
                  <c:v>12.16508156164841</c:v>
                </c:pt>
                <c:pt idx="344">
                  <c:v>17.407330458714995</c:v>
                </c:pt>
                <c:pt idx="345">
                  <c:v>5.3204042693785762</c:v>
                </c:pt>
                <c:pt idx="346">
                  <c:v>5.3868462010062208</c:v>
                </c:pt>
                <c:pt idx="347">
                  <c:v>17.201687107533861</c:v>
                </c:pt>
                <c:pt idx="348">
                  <c:v>5.8789782798236869</c:v>
                </c:pt>
                <c:pt idx="349">
                  <c:v>5.192745483654857</c:v>
                </c:pt>
                <c:pt idx="350">
                  <c:v>3.520628576676379</c:v>
                </c:pt>
                <c:pt idx="351">
                  <c:v>21.00141773866434</c:v>
                </c:pt>
                <c:pt idx="352">
                  <c:v>17.871699524095096</c:v>
                </c:pt>
                <c:pt idx="353">
                  <c:v>4.5554493573277961</c:v>
                </c:pt>
                <c:pt idx="354">
                  <c:v>20.857225031290753</c:v>
                </c:pt>
                <c:pt idx="355">
                  <c:v>17.634398412527432</c:v>
                </c:pt>
                <c:pt idx="356">
                  <c:v>17.871231423085252</c:v>
                </c:pt>
                <c:pt idx="357">
                  <c:v>21.239325509944781</c:v>
                </c:pt>
                <c:pt idx="358">
                  <c:v>11.999023009196939</c:v>
                </c:pt>
                <c:pt idx="359">
                  <c:v>20.743461149176913</c:v>
                </c:pt>
                <c:pt idx="360">
                  <c:v>7.0284163239690818</c:v>
                </c:pt>
                <c:pt idx="361">
                  <c:v>21.818305835656254</c:v>
                </c:pt>
                <c:pt idx="362">
                  <c:v>10.362317030993172</c:v>
                </c:pt>
                <c:pt idx="363">
                  <c:v>14.03894871036394</c:v>
                </c:pt>
                <c:pt idx="364">
                  <c:v>11.614582077312894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248136"/>
        <c:axId val="214248528"/>
      </c:lineChart>
      <c:dateAx>
        <c:axId val="21424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8528"/>
        <c:crosses val="autoZero"/>
        <c:auto val="1"/>
        <c:lblOffset val="100"/>
        <c:baseTimeUnit val="days"/>
        <c:majorUnit val="1"/>
        <c:majorTimeUnit val="months"/>
      </c:dateAx>
      <c:valAx>
        <c:axId val="2142485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81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4.0863720298336736E-2</c:v>
                </c:pt>
                <c:pt idx="1">
                  <c:v>4.0882101926323133E-2</c:v>
                </c:pt>
                <c:pt idx="2">
                  <c:v>4.0900483202029769E-2</c:v>
                </c:pt>
                <c:pt idx="3">
                  <c:v>4.0918864125463417E-2</c:v>
                </c:pt>
                <c:pt idx="4">
                  <c:v>4.0937244696630848E-2</c:v>
                </c:pt>
                <c:pt idx="5">
                  <c:v>4.0955624915538946E-2</c:v>
                </c:pt>
                <c:pt idx="6">
                  <c:v>4.0974004782194262E-2</c:v>
                </c:pt>
                <c:pt idx="7">
                  <c:v>4.0992384296603568E-2</c:v>
                </c:pt>
                <c:pt idx="8">
                  <c:v>4.1010763458773747E-2</c:v>
                </c:pt>
                <c:pt idx="9">
                  <c:v>4.102914226871146E-2</c:v>
                </c:pt>
                <c:pt idx="10">
                  <c:v>4.1047520726423481E-2</c:v>
                </c:pt>
                <c:pt idx="11">
                  <c:v>4.106589883191647E-2</c:v>
                </c:pt>
                <c:pt idx="12">
                  <c:v>4.1084276585197421E-2</c:v>
                </c:pt>
                <c:pt idx="13">
                  <c:v>4.1102653986272775E-2</c:v>
                </c:pt>
                <c:pt idx="14">
                  <c:v>4.1121031035149525E-2</c:v>
                </c:pt>
                <c:pt idx="15">
                  <c:v>4.1139407731834221E-2</c:v>
                </c:pt>
                <c:pt idx="16">
                  <c:v>4.1157784076333859E-2</c:v>
                </c:pt>
                <c:pt idx="17">
                  <c:v>4.1176160068654988E-2</c:v>
                </c:pt>
                <c:pt idx="18">
                  <c:v>4.1194535708804381E-2</c:v>
                </c:pt>
                <c:pt idx="19">
                  <c:v>4.121291099678881E-2</c:v>
                </c:pt>
                <c:pt idx="20">
                  <c:v>4.1231285932615047E-2</c:v>
                </c:pt>
                <c:pt idx="21">
                  <c:v>4.1249660516289866E-2</c:v>
                </c:pt>
                <c:pt idx="22">
                  <c:v>4.1268034747820037E-2</c:v>
                </c:pt>
                <c:pt idx="23">
                  <c:v>4.1286408627212112E-2</c:v>
                </c:pt>
                <c:pt idx="24">
                  <c:v>4.1304782154473085E-2</c:v>
                </c:pt>
                <c:pt idx="25">
                  <c:v>4.1323155329609507E-2</c:v>
                </c:pt>
                <c:pt idx="26">
                  <c:v>4.1341528152628371E-2</c:v>
                </c:pt>
                <c:pt idx="27">
                  <c:v>4.1359900623536117E-2</c:v>
                </c:pt>
                <c:pt idx="28">
                  <c:v>4.1378272742339739E-2</c:v>
                </c:pt>
                <c:pt idx="29">
                  <c:v>4.1396644509045899E-2</c:v>
                </c:pt>
                <c:pt idx="30">
                  <c:v>4.1415015923661258E-2</c:v>
                </c:pt>
                <c:pt idx="31">
                  <c:v>4.14333869861927E-2</c:v>
                </c:pt>
                <c:pt idx="32">
                  <c:v>4.1451757696646996E-2</c:v>
                </c:pt>
                <c:pt idx="33">
                  <c:v>4.1470128055030697E-2</c:v>
                </c:pt>
                <c:pt idx="34">
                  <c:v>4.1488498061350687E-2</c:v>
                </c:pt>
                <c:pt idx="35">
                  <c:v>4.1506867715613738E-2</c:v>
                </c:pt>
                <c:pt idx="36">
                  <c:v>4.1525237017826622E-2</c:v>
                </c:pt>
                <c:pt idx="37">
                  <c:v>4.1543605967995889E-2</c:v>
                </c:pt>
                <c:pt idx="38">
                  <c:v>4.1561974566128423E-2</c:v>
                </c:pt>
                <c:pt idx="39">
                  <c:v>4.1580342812231108E-2</c:v>
                </c:pt>
                <c:pt idx="40">
                  <c:v>4.1598710706310382E-2</c:v>
                </c:pt>
                <c:pt idx="41">
                  <c:v>4.161707824837324E-2</c:v>
                </c:pt>
                <c:pt idx="42">
                  <c:v>4.1635445438426344E-2</c:v>
                </c:pt>
                <c:pt idx="43">
                  <c:v>4.1653812276476465E-2</c:v>
                </c:pt>
                <c:pt idx="44">
                  <c:v>4.1672178762530265E-2</c:v>
                </c:pt>
                <c:pt idx="45">
                  <c:v>4.1690544896594517E-2</c:v>
                </c:pt>
                <c:pt idx="46">
                  <c:v>4.1708910678676103E-2</c:v>
                </c:pt>
                <c:pt idx="47">
                  <c:v>4.1727276108781575E-2</c:v>
                </c:pt>
                <c:pt idx="48">
                  <c:v>4.1745641186917815E-2</c:v>
                </c:pt>
                <c:pt idx="49">
                  <c:v>4.1764005913091484E-2</c:v>
                </c:pt>
                <c:pt idx="50">
                  <c:v>4.1782370287309467E-2</c:v>
                </c:pt>
                <c:pt idx="51">
                  <c:v>4.1800734309578313E-2</c:v>
                </c:pt>
                <c:pt idx="52">
                  <c:v>4.1819097979904907E-2</c:v>
                </c:pt>
                <c:pt idx="53">
                  <c:v>4.1837461298295908E-2</c:v>
                </c:pt>
                <c:pt idx="54">
                  <c:v>4.185582426475809E-2</c:v>
                </c:pt>
                <c:pt idx="55">
                  <c:v>4.1874186879298336E-2</c:v>
                </c:pt>
                <c:pt idx="56">
                  <c:v>4.1892549141923086E-2</c:v>
                </c:pt>
                <c:pt idx="57">
                  <c:v>4.1910911052639332E-2</c:v>
                </c:pt>
                <c:pt idx="58">
                  <c:v>4.1929272611453849E-2</c:v>
                </c:pt>
                <c:pt idx="59">
                  <c:v>4.1947633818373187E-2</c:v>
                </c:pt>
                <c:pt idx="60">
                  <c:v>4.1965994673404117E-2</c:v>
                </c:pt>
                <c:pt idx="61">
                  <c:v>4.1984355176553523E-2</c:v>
                </c:pt>
                <c:pt idx="62">
                  <c:v>4.2002715327828066E-2</c:v>
                </c:pt>
                <c:pt idx="63">
                  <c:v>4.202107512723452E-2</c:v>
                </c:pt>
                <c:pt idx="64">
                  <c:v>4.2039434574779655E-2</c:v>
                </c:pt>
                <c:pt idx="65">
                  <c:v>4.2057793670470023E-2</c:v>
                </c:pt>
                <c:pt idx="66">
                  <c:v>4.2076152414312618E-2</c:v>
                </c:pt>
                <c:pt idx="67">
                  <c:v>4.20945108063141E-2</c:v>
                </c:pt>
                <c:pt idx="68">
                  <c:v>4.2112868846481133E-2</c:v>
                </c:pt>
                <c:pt idx="69">
                  <c:v>4.2131226534820487E-2</c:v>
                </c:pt>
                <c:pt idx="70">
                  <c:v>4.2149583871338936E-2</c:v>
                </c:pt>
                <c:pt idx="71">
                  <c:v>4.2167940856043251E-2</c:v>
                </c:pt>
                <c:pt idx="72">
                  <c:v>4.2186297488940205E-2</c:v>
                </c:pt>
                <c:pt idx="73">
                  <c:v>4.2204653770036349E-2</c:v>
                </c:pt>
                <c:pt idx="74">
                  <c:v>4.2223009699338676E-2</c:v>
                </c:pt>
                <c:pt idx="75">
                  <c:v>4.2241365276853737E-2</c:v>
                </c:pt>
                <c:pt idx="76">
                  <c:v>4.2259720502588305E-2</c:v>
                </c:pt>
                <c:pt idx="77">
                  <c:v>4.2278075376549151E-2</c:v>
                </c:pt>
                <c:pt idx="78">
                  <c:v>4.229642989874316E-2</c:v>
                </c:pt>
                <c:pt idx="79">
                  <c:v>4.231478406917677E-2</c:v>
                </c:pt>
                <c:pt idx="80">
                  <c:v>4.2333137887856975E-2</c:v>
                </c:pt>
                <c:pt idx="81">
                  <c:v>4.2351491354790438E-2</c:v>
                </c:pt>
                <c:pt idx="82">
                  <c:v>4.2369844469983931E-2</c:v>
                </c:pt>
                <c:pt idx="83">
                  <c:v>4.2388197233444114E-2</c:v>
                </c:pt>
                <c:pt idx="84">
                  <c:v>4.240654964517776E-2</c:v>
                </c:pt>
                <c:pt idx="85">
                  <c:v>4.2424901705191642E-2</c:v>
                </c:pt>
                <c:pt idx="86">
                  <c:v>4.2443253413492532E-2</c:v>
                </c:pt>
                <c:pt idx="87">
                  <c:v>4.246160477008698E-2</c:v>
                </c:pt>
                <c:pt idx="88">
                  <c:v>4.2479955774981981E-2</c:v>
                </c:pt>
                <c:pt idx="89">
                  <c:v>4.2498306428184085E-2</c:v>
                </c:pt>
                <c:pt idx="90">
                  <c:v>4.2516656729700175E-2</c:v>
                </c:pt>
                <c:pt idx="91">
                  <c:v>4.2535006679536913E-2</c:v>
                </c:pt>
                <c:pt idx="92">
                  <c:v>4.2553356277701071E-2</c:v>
                </c:pt>
                <c:pt idx="93">
                  <c:v>4.257170552419931E-2</c:v>
                </c:pt>
                <c:pt idx="94">
                  <c:v>4.2590054419038403E-2</c:v>
                </c:pt>
                <c:pt idx="95">
                  <c:v>4.2608402962225123E-2</c:v>
                </c:pt>
                <c:pt idx="96">
                  <c:v>4.262675115376624E-2</c:v>
                </c:pt>
                <c:pt idx="97">
                  <c:v>4.2645098993668529E-2</c:v>
                </c:pt>
                <c:pt idx="98">
                  <c:v>4.2663446481938538E-2</c:v>
                </c:pt>
                <c:pt idx="99">
                  <c:v>4.2681793618583153E-2</c:v>
                </c:pt>
                <c:pt idx="100">
                  <c:v>4.2700140403609033E-2</c:v>
                </c:pt>
                <c:pt idx="101">
                  <c:v>4.2718486837023062E-2</c:v>
                </c:pt>
                <c:pt idx="102">
                  <c:v>4.2736832918831791E-2</c:v>
                </c:pt>
                <c:pt idx="103">
                  <c:v>4.2755178649042103E-2</c:v>
                </c:pt>
                <c:pt idx="104">
                  <c:v>4.2773524027660659E-2</c:v>
                </c:pt>
                <c:pt idx="105">
                  <c:v>4.279186905469412E-2</c:v>
                </c:pt>
                <c:pt idx="106">
                  <c:v>4.2810213730149482E-2</c:v>
                </c:pt>
                <c:pt idx="107">
                  <c:v>4.2828558054033294E-2</c:v>
                </c:pt>
                <c:pt idx="108">
                  <c:v>4.2846902026352218E-2</c:v>
                </c:pt>
                <c:pt idx="109">
                  <c:v>4.2865245647113248E-2</c:v>
                </c:pt>
                <c:pt idx="110">
                  <c:v>4.2883588916322823E-2</c:v>
                </c:pt>
                <c:pt idx="111">
                  <c:v>4.2901931833987939E-2</c:v>
                </c:pt>
                <c:pt idx="112">
                  <c:v>4.2920274400115144E-2</c:v>
                </c:pt>
                <c:pt idx="113">
                  <c:v>4.2938616614711322E-2</c:v>
                </c:pt>
                <c:pt idx="114">
                  <c:v>4.2956958477783136E-2</c:v>
                </c:pt>
                <c:pt idx="115">
                  <c:v>4.2975299989337246E-2</c:v>
                </c:pt>
                <c:pt idx="116">
                  <c:v>4.2993641149380535E-2</c:v>
                </c:pt>
                <c:pt idx="117">
                  <c:v>4.3011981957919665E-2</c:v>
                </c:pt>
                <c:pt idx="118">
                  <c:v>4.3030322414961408E-2</c:v>
                </c:pt>
                <c:pt idx="119">
                  <c:v>4.3048662520512426E-2</c:v>
                </c:pt>
                <c:pt idx="120">
                  <c:v>4.3067002274579602E-2</c:v>
                </c:pt>
                <c:pt idx="121">
                  <c:v>4.3085341677169486E-2</c:v>
                </c:pt>
                <c:pt idx="122">
                  <c:v>4.3103680728288962E-2</c:v>
                </c:pt>
                <c:pt idx="123">
                  <c:v>4.312201942794458E-2</c:v>
                </c:pt>
                <c:pt idx="124">
                  <c:v>4.3140357776143334E-2</c:v>
                </c:pt>
                <c:pt idx="125">
                  <c:v>4.3158695772891775E-2</c:v>
                </c:pt>
                <c:pt idx="126">
                  <c:v>4.3177033418196786E-2</c:v>
                </c:pt>
                <c:pt idx="127">
                  <c:v>4.3195370712064918E-2</c:v>
                </c:pt>
                <c:pt idx="128">
                  <c:v>4.3213707654502942E-2</c:v>
                </c:pt>
                <c:pt idx="129">
                  <c:v>4.3232044245517742E-2</c:v>
                </c:pt>
                <c:pt idx="130">
                  <c:v>4.3250380485115869E-2</c:v>
                </c:pt>
                <c:pt idx="131">
                  <c:v>4.3268716373304317E-2</c:v>
                </c:pt>
                <c:pt idx="132">
                  <c:v>4.3287051910089525E-2</c:v>
                </c:pt>
                <c:pt idx="133">
                  <c:v>4.3305387095478376E-2</c:v>
                </c:pt>
                <c:pt idx="134">
                  <c:v>4.3323721929477532E-2</c:v>
                </c:pt>
                <c:pt idx="135">
                  <c:v>4.3342056412093766E-2</c:v>
                </c:pt>
                <c:pt idx="136">
                  <c:v>4.336039054333396E-2</c:v>
                </c:pt>
                <c:pt idx="137">
                  <c:v>4.3378724323204554E-2</c:v>
                </c:pt>
                <c:pt idx="138">
                  <c:v>4.3397057751712542E-2</c:v>
                </c:pt>
                <c:pt idx="139">
                  <c:v>4.3415390828864586E-2</c:v>
                </c:pt>
                <c:pt idx="140">
                  <c:v>4.3433723554667347E-2</c:v>
                </c:pt>
                <c:pt idx="141">
                  <c:v>4.3452055929127487E-2</c:v>
                </c:pt>
                <c:pt idx="142">
                  <c:v>4.3470387952251999E-2</c:v>
                </c:pt>
                <c:pt idx="143">
                  <c:v>4.3488719624047434E-2</c:v>
                </c:pt>
                <c:pt idx="144">
                  <c:v>4.3507050944520564E-2</c:v>
                </c:pt>
                <c:pt idx="145">
                  <c:v>4.3525381913678052E-2</c:v>
                </c:pt>
                <c:pt idx="146">
                  <c:v>4.3543712531526779E-2</c:v>
                </c:pt>
                <c:pt idx="147">
                  <c:v>4.3562042798073408E-2</c:v>
                </c:pt>
                <c:pt idx="148">
                  <c:v>4.35803727133246E-2</c:v>
                </c:pt>
                <c:pt idx="149">
                  <c:v>4.3598702277287127E-2</c:v>
                </c:pt>
                <c:pt idx="150">
                  <c:v>4.3617031489967761E-2</c:v>
                </c:pt>
                <c:pt idx="151">
                  <c:v>4.3635360351373276E-2</c:v>
                </c:pt>
                <c:pt idx="152">
                  <c:v>4.3653688861510331E-2</c:v>
                </c:pt>
                <c:pt idx="153">
                  <c:v>4.367201702038559E-2</c:v>
                </c:pt>
                <c:pt idx="154">
                  <c:v>4.3690344828005934E-2</c:v>
                </c:pt>
                <c:pt idx="155">
                  <c:v>4.3708672284378025E-2</c:v>
                </c:pt>
                <c:pt idx="156">
                  <c:v>4.3726999389508636E-2</c:v>
                </c:pt>
                <c:pt idx="157">
                  <c:v>4.3745326143404317E-2</c:v>
                </c:pt>
                <c:pt idx="158">
                  <c:v>4.3763652546072063E-2</c:v>
                </c:pt>
                <c:pt idx="159">
                  <c:v>4.3781978597518423E-2</c:v>
                </c:pt>
                <c:pt idx="160">
                  <c:v>4.3800304297750281E-2</c:v>
                </c:pt>
                <c:pt idx="161">
                  <c:v>4.3818629646774188E-2</c:v>
                </c:pt>
                <c:pt idx="162">
                  <c:v>4.3836954644596915E-2</c:v>
                </c:pt>
                <c:pt idx="163">
                  <c:v>4.3855279291225346E-2</c:v>
                </c:pt>
                <c:pt idx="164">
                  <c:v>4.3873603586666032E-2</c:v>
                </c:pt>
                <c:pt idx="165">
                  <c:v>4.3891927530925856E-2</c:v>
                </c:pt>
                <c:pt idx="166">
                  <c:v>4.3910251124011368E-2</c:v>
                </c:pt>
                <c:pt idx="167">
                  <c:v>4.3928574365929451E-2</c:v>
                </c:pt>
                <c:pt idx="168">
                  <c:v>4.3946897256686879E-2</c:v>
                </c:pt>
                <c:pt idx="169">
                  <c:v>4.39652197962902E-2</c:v>
                </c:pt>
                <c:pt idx="170">
                  <c:v>4.3983541984746188E-2</c:v>
                </c:pt>
                <c:pt idx="171">
                  <c:v>4.4001863822061615E-2</c:v>
                </c:pt>
                <c:pt idx="172">
                  <c:v>4.4020185308243254E-2</c:v>
                </c:pt>
                <c:pt idx="173">
                  <c:v>4.4038506443297765E-2</c:v>
                </c:pt>
                <c:pt idx="174">
                  <c:v>4.4056827227231921E-2</c:v>
                </c:pt>
                <c:pt idx="175">
                  <c:v>4.4075147660052383E-2</c:v>
                </c:pt>
                <c:pt idx="176">
                  <c:v>4.4093467741766035E-2</c:v>
                </c:pt>
                <c:pt idx="177">
                  <c:v>4.4111787472379427E-2</c:v>
                </c:pt>
                <c:pt idx="178">
                  <c:v>4.4130106851899331E-2</c:v>
                </c:pt>
                <c:pt idx="179">
                  <c:v>4.4148425880332631E-2</c:v>
                </c:pt>
                <c:pt idx="180">
                  <c:v>4.4166744557685766E-2</c:v>
                </c:pt>
                <c:pt idx="181">
                  <c:v>4.4185062883965731E-2</c:v>
                </c:pt>
                <c:pt idx="182">
                  <c:v>4.4203380859179187E-2</c:v>
                </c:pt>
                <c:pt idx="183">
                  <c:v>4.4221698483332683E-2</c:v>
                </c:pt>
                <c:pt idx="184">
                  <c:v>4.4240015756433215E-2</c:v>
                </c:pt>
                <c:pt idx="185">
                  <c:v>4.4258332678487333E-2</c:v>
                </c:pt>
                <c:pt idx="186">
                  <c:v>4.4276649249501809E-2</c:v>
                </c:pt>
                <c:pt idx="187">
                  <c:v>4.4294965469483416E-2</c:v>
                </c:pt>
                <c:pt idx="188">
                  <c:v>4.4313281338438926E-2</c:v>
                </c:pt>
                <c:pt idx="189">
                  <c:v>4.4331596856374889E-2</c:v>
                </c:pt>
                <c:pt idx="190">
                  <c:v>4.4349912023298077E-2</c:v>
                </c:pt>
                <c:pt idx="191">
                  <c:v>4.4368226839215374E-2</c:v>
                </c:pt>
                <c:pt idx="192">
                  <c:v>4.4386541304133331E-2</c:v>
                </c:pt>
                <c:pt idx="193">
                  <c:v>4.4404855418058831E-2</c:v>
                </c:pt>
                <c:pt idx="194">
                  <c:v>4.4423169180998423E-2</c:v>
                </c:pt>
                <c:pt idx="195">
                  <c:v>4.4441482592958992E-2</c:v>
                </c:pt>
                <c:pt idx="196">
                  <c:v>4.4459795653947087E-2</c:v>
                </c:pt>
                <c:pt idx="197">
                  <c:v>4.4478108363969704E-2</c:v>
                </c:pt>
                <c:pt idx="198">
                  <c:v>4.4496420723033281E-2</c:v>
                </c:pt>
                <c:pt idx="199">
                  <c:v>4.4514732731144702E-2</c:v>
                </c:pt>
                <c:pt idx="200">
                  <c:v>4.4533044388310739E-2</c:v>
                </c:pt>
                <c:pt idx="201">
                  <c:v>4.4551355694537942E-2</c:v>
                </c:pt>
                <c:pt idx="202">
                  <c:v>4.4569666649833195E-2</c:v>
                </c:pt>
                <c:pt idx="203">
                  <c:v>4.4587977254203159E-2</c:v>
                </c:pt>
                <c:pt idx="204">
                  <c:v>4.4606287507654607E-2</c:v>
                </c:pt>
                <c:pt idx="205">
                  <c:v>4.46245974101942E-2</c:v>
                </c:pt>
                <c:pt idx="206">
                  <c:v>4.464290696182871E-2</c:v>
                </c:pt>
                <c:pt idx="207">
                  <c:v>4.4661216162564799E-2</c:v>
                </c:pt>
                <c:pt idx="208">
                  <c:v>4.4679525012409238E-2</c:v>
                </c:pt>
                <c:pt idx="209">
                  <c:v>4.469783351136869E-2</c:v>
                </c:pt>
                <c:pt idx="210">
                  <c:v>4.4716141659450037E-2</c:v>
                </c:pt>
                <c:pt idx="211">
                  <c:v>4.4734449456659831E-2</c:v>
                </c:pt>
                <c:pt idx="212">
                  <c:v>4.4752756903004953E-2</c:v>
                </c:pt>
                <c:pt idx="213">
                  <c:v>4.4771063998491956E-2</c:v>
                </c:pt>
                <c:pt idx="214">
                  <c:v>4.4789370743127721E-2</c:v>
                </c:pt>
                <c:pt idx="215">
                  <c:v>4.48076771369188E-2</c:v>
                </c:pt>
                <c:pt idx="216">
                  <c:v>4.4825983179872075E-2</c:v>
                </c:pt>
                <c:pt idx="217">
                  <c:v>4.484428887199432E-2</c:v>
                </c:pt>
                <c:pt idx="218">
                  <c:v>4.4862594213291973E-2</c:v>
                </c:pt>
                <c:pt idx="219">
                  <c:v>4.4880899203772029E-2</c:v>
                </c:pt>
                <c:pt idx="220">
                  <c:v>4.4899203843441149E-2</c:v>
                </c:pt>
                <c:pt idx="221">
                  <c:v>4.4917508132305994E-2</c:v>
                </c:pt>
                <c:pt idx="222">
                  <c:v>4.4935812070373227E-2</c:v>
                </c:pt>
                <c:pt idx="223">
                  <c:v>4.4954115657649729E-2</c:v>
                </c:pt>
                <c:pt idx="224">
                  <c:v>4.4972418894142274E-2</c:v>
                </c:pt>
                <c:pt idx="225">
                  <c:v>4.4990721779857301E-2</c:v>
                </c:pt>
                <c:pt idx="226">
                  <c:v>4.5009024314801804E-2</c:v>
                </c:pt>
                <c:pt idx="227">
                  <c:v>4.5027326498982334E-2</c:v>
                </c:pt>
                <c:pt idx="228">
                  <c:v>4.5045628332405663E-2</c:v>
                </c:pt>
                <c:pt idx="229">
                  <c:v>4.5063929815078563E-2</c:v>
                </c:pt>
                <c:pt idx="230">
                  <c:v>4.5082230947007806E-2</c:v>
                </c:pt>
                <c:pt idx="231">
                  <c:v>4.5100531728199944E-2</c:v>
                </c:pt>
                <c:pt idx="232">
                  <c:v>4.5118832158661748E-2</c:v>
                </c:pt>
                <c:pt idx="233">
                  <c:v>4.5137132238399991E-2</c:v>
                </c:pt>
                <c:pt idx="234">
                  <c:v>4.5155431967421444E-2</c:v>
                </c:pt>
                <c:pt idx="235">
                  <c:v>4.517373134573277E-2</c:v>
                </c:pt>
                <c:pt idx="236">
                  <c:v>4.519203037334063E-2</c:v>
                </c:pt>
                <c:pt idx="237">
                  <c:v>4.5210329050251796E-2</c:v>
                </c:pt>
                <c:pt idx="238">
                  <c:v>4.5228627376473041E-2</c:v>
                </c:pt>
                <c:pt idx="239">
                  <c:v>4.5246925352011025E-2</c:v>
                </c:pt>
                <c:pt idx="240">
                  <c:v>4.5265222976872521E-2</c:v>
                </c:pt>
                <c:pt idx="241">
                  <c:v>4.528352025106408E-2</c:v>
                </c:pt>
                <c:pt idx="242">
                  <c:v>4.5301817174592696E-2</c:v>
                </c:pt>
                <c:pt idx="243">
                  <c:v>4.5320113747464918E-2</c:v>
                </c:pt>
                <c:pt idx="244">
                  <c:v>4.533840996968741E-2</c:v>
                </c:pt>
                <c:pt idx="245">
                  <c:v>4.5356705841267053E-2</c:v>
                </c:pt>
                <c:pt idx="246">
                  <c:v>4.537500136221051E-2</c:v>
                </c:pt>
                <c:pt idx="247">
                  <c:v>4.5393296532524441E-2</c:v>
                </c:pt>
                <c:pt idx="248">
                  <c:v>4.5411591352215619E-2</c:v>
                </c:pt>
                <c:pt idx="249">
                  <c:v>4.5429885821290705E-2</c:v>
                </c:pt>
                <c:pt idx="250">
                  <c:v>4.5448179939756472E-2</c:v>
                </c:pt>
                <c:pt idx="251">
                  <c:v>4.5466473707619692E-2</c:v>
                </c:pt>
                <c:pt idx="252">
                  <c:v>4.5484767124887027E-2</c:v>
                </c:pt>
                <c:pt idx="253">
                  <c:v>4.5503060191565137E-2</c:v>
                </c:pt>
                <c:pt idx="254">
                  <c:v>4.5521352907660795E-2</c:v>
                </c:pt>
                <c:pt idx="255">
                  <c:v>4.5539645273180773E-2</c:v>
                </c:pt>
                <c:pt idx="256">
                  <c:v>4.5557937288131733E-2</c:v>
                </c:pt>
                <c:pt idx="257">
                  <c:v>4.5576228952520337E-2</c:v>
                </c:pt>
                <c:pt idx="258">
                  <c:v>4.5594520266353356E-2</c:v>
                </c:pt>
                <c:pt idx="259">
                  <c:v>4.5612811229637562E-2</c:v>
                </c:pt>
                <c:pt idx="260">
                  <c:v>4.5631101842379729E-2</c:v>
                </c:pt>
                <c:pt idx="261">
                  <c:v>4.5649392104586295E-2</c:v>
                </c:pt>
                <c:pt idx="262">
                  <c:v>4.5667682016264255E-2</c:v>
                </c:pt>
                <c:pt idx="263">
                  <c:v>4.568597157742027E-2</c:v>
                </c:pt>
                <c:pt idx="264">
                  <c:v>4.5704260788061002E-2</c:v>
                </c:pt>
                <c:pt idx="265">
                  <c:v>4.5722549648193112E-2</c:v>
                </c:pt>
                <c:pt idx="266">
                  <c:v>4.5740838157823482E-2</c:v>
                </c:pt>
                <c:pt idx="267">
                  <c:v>4.5759126316958665E-2</c:v>
                </c:pt>
                <c:pt idx="268">
                  <c:v>4.5777414125605431E-2</c:v>
                </c:pt>
                <c:pt idx="269">
                  <c:v>4.5795701583770554E-2</c:v>
                </c:pt>
                <c:pt idx="270">
                  <c:v>4.5813988691460694E-2</c:v>
                </c:pt>
                <c:pt idx="271">
                  <c:v>4.5832275448682624E-2</c:v>
                </c:pt>
                <c:pt idx="272">
                  <c:v>4.5850561855443006E-2</c:v>
                </c:pt>
                <c:pt idx="273">
                  <c:v>4.5868847911748611E-2</c:v>
                </c:pt>
                <c:pt idx="274">
                  <c:v>4.5887133617606102E-2</c:v>
                </c:pt>
                <c:pt idx="275">
                  <c:v>4.5905418973022138E-2</c:v>
                </c:pt>
                <c:pt idx="276">
                  <c:v>4.5923703978003605E-2</c:v>
                </c:pt>
                <c:pt idx="277">
                  <c:v>4.5941988632557051E-2</c:v>
                </c:pt>
                <c:pt idx="278">
                  <c:v>4.5960272936689361E-2</c:v>
                </c:pt>
                <c:pt idx="279">
                  <c:v>4.5978556890407085E-2</c:v>
                </c:pt>
                <c:pt idx="280">
                  <c:v>4.5996840493716995E-2</c:v>
                </c:pt>
                <c:pt idx="281">
                  <c:v>4.6015123746625863E-2</c:v>
                </c:pt>
                <c:pt idx="282">
                  <c:v>4.6033406649140352E-2</c:v>
                </c:pt>
                <c:pt idx="283">
                  <c:v>4.6051689201267121E-2</c:v>
                </c:pt>
                <c:pt idx="284">
                  <c:v>4.6069971403013055E-2</c:v>
                </c:pt>
                <c:pt idx="285">
                  <c:v>4.6088253254384703E-2</c:v>
                </c:pt>
                <c:pt idx="286">
                  <c:v>4.6106534755388839E-2</c:v>
                </c:pt>
                <c:pt idx="287">
                  <c:v>4.6124815906032124E-2</c:v>
                </c:pt>
                <c:pt idx="288">
                  <c:v>4.614309670632144E-2</c:v>
                </c:pt>
                <c:pt idx="289">
                  <c:v>4.6161377156263339E-2</c:v>
                </c:pt>
                <c:pt idx="290">
                  <c:v>4.6179657255864481E-2</c:v>
                </c:pt>
                <c:pt idx="291">
                  <c:v>4.6197937005131862E-2</c:v>
                </c:pt>
                <c:pt idx="292">
                  <c:v>4.6216216404071919E-2</c:v>
                </c:pt>
                <c:pt idx="293">
                  <c:v>4.6234495452691426E-2</c:v>
                </c:pt>
                <c:pt idx="294">
                  <c:v>4.6252774150997267E-2</c:v>
                </c:pt>
                <c:pt idx="295">
                  <c:v>4.627105249899599E-2</c:v>
                </c:pt>
                <c:pt idx="296">
                  <c:v>4.6289330496694259E-2</c:v>
                </c:pt>
                <c:pt idx="297">
                  <c:v>4.6307608144098955E-2</c:v>
                </c:pt>
                <c:pt idx="298">
                  <c:v>4.632588544121663E-2</c:v>
                </c:pt>
                <c:pt idx="299">
                  <c:v>4.6344162388054166E-2</c:v>
                </c:pt>
                <c:pt idx="300">
                  <c:v>4.6362438984618115E-2</c:v>
                </c:pt>
                <c:pt idx="301">
                  <c:v>4.6380715230915248E-2</c:v>
                </c:pt>
                <c:pt idx="302">
                  <c:v>4.6398991126952338E-2</c:v>
                </c:pt>
                <c:pt idx="303">
                  <c:v>4.6417266672736046E-2</c:v>
                </c:pt>
                <c:pt idx="304">
                  <c:v>4.6435541868273034E-2</c:v>
                </c:pt>
                <c:pt idx="305">
                  <c:v>4.6453816713570184E-2</c:v>
                </c:pt>
                <c:pt idx="306">
                  <c:v>4.6472091208634048E-2</c:v>
                </c:pt>
                <c:pt idx="307">
                  <c:v>4.6490365353471286E-2</c:v>
                </c:pt>
                <c:pt idx="308">
                  <c:v>4.6508639148088782E-2</c:v>
                </c:pt>
                <c:pt idx="309">
                  <c:v>4.6526912592493197E-2</c:v>
                </c:pt>
                <c:pt idx="310">
                  <c:v>4.6545185686691193E-2</c:v>
                </c:pt>
                <c:pt idx="311">
                  <c:v>4.6563458430689542E-2</c:v>
                </c:pt>
                <c:pt idx="312">
                  <c:v>4.6581730824494905E-2</c:v>
                </c:pt>
                <c:pt idx="313">
                  <c:v>4.6600002868113943E-2</c:v>
                </c:pt>
                <c:pt idx="314">
                  <c:v>4.6618274561553541E-2</c:v>
                </c:pt>
                <c:pt idx="315">
                  <c:v>4.6636545904820248E-2</c:v>
                </c:pt>
                <c:pt idx="316">
                  <c:v>4.6654816897920726E-2</c:v>
                </c:pt>
                <c:pt idx="317">
                  <c:v>4.6673087540861968E-2</c:v>
                </c:pt>
                <c:pt idx="318">
                  <c:v>4.6691357833650415E-2</c:v>
                </c:pt>
                <c:pt idx="319">
                  <c:v>4.6709627776292839E-2</c:v>
                </c:pt>
                <c:pt idx="320">
                  <c:v>4.6727897368796012E-2</c:v>
                </c:pt>
                <c:pt idx="321">
                  <c:v>4.6746166611166706E-2</c:v>
                </c:pt>
                <c:pt idx="322">
                  <c:v>4.6764435503411361E-2</c:v>
                </c:pt>
                <c:pt idx="323">
                  <c:v>4.6782704045536971E-2</c:v>
                </c:pt>
                <c:pt idx="324">
                  <c:v>4.6800972237550198E-2</c:v>
                </c:pt>
                <c:pt idx="325">
                  <c:v>4.6819240079457591E-2</c:v>
                </c:pt>
                <c:pt idx="326">
                  <c:v>4.6837507571266035E-2</c:v>
                </c:pt>
                <c:pt idx="327">
                  <c:v>4.6855774712982079E-2</c:v>
                </c:pt>
                <c:pt idx="328">
                  <c:v>4.6874041504612607E-2</c:v>
                </c:pt>
                <c:pt idx="329">
                  <c:v>4.6892307946164169E-2</c:v>
                </c:pt>
                <c:pt idx="330">
                  <c:v>4.6910574037643538E-2</c:v>
                </c:pt>
                <c:pt idx="331">
                  <c:v>4.6928839779057485E-2</c:v>
                </c:pt>
                <c:pt idx="332">
                  <c:v>4.6947105170412673E-2</c:v>
                </c:pt>
                <c:pt idx="333">
                  <c:v>4.6965370211715762E-2</c:v>
                </c:pt>
                <c:pt idx="334">
                  <c:v>4.6983634902973526E-2</c:v>
                </c:pt>
                <c:pt idx="335">
                  <c:v>4.7001899244192624E-2</c:v>
                </c:pt>
                <c:pt idx="336">
                  <c:v>4.702016323537983E-2</c:v>
                </c:pt>
                <c:pt idx="337">
                  <c:v>4.7038426876541695E-2</c:v>
                </c:pt>
                <c:pt idx="338">
                  <c:v>4.7056690167685211E-2</c:v>
                </c:pt>
                <c:pt idx="339">
                  <c:v>4.7074953108816819E-2</c:v>
                </c:pt>
                <c:pt idx="340">
                  <c:v>4.7093215699943292E-2</c:v>
                </c:pt>
                <c:pt idx="341">
                  <c:v>4.7111477941071511E-2</c:v>
                </c:pt>
                <c:pt idx="342">
                  <c:v>4.7129739832207918E-2</c:v>
                </c:pt>
                <c:pt idx="343">
                  <c:v>4.7148001373359394E-2</c:v>
                </c:pt>
                <c:pt idx="344">
                  <c:v>4.7166262564532602E-2</c:v>
                </c:pt>
                <c:pt idx="345">
                  <c:v>4.7184523405734313E-2</c:v>
                </c:pt>
                <c:pt idx="346">
                  <c:v>4.7202783896971079E-2</c:v>
                </c:pt>
                <c:pt idx="347">
                  <c:v>4.7221044038249671E-2</c:v>
                </c:pt>
                <c:pt idx="348">
                  <c:v>4.7239303829576862E-2</c:v>
                </c:pt>
                <c:pt idx="349">
                  <c:v>4.7257563270959313E-2</c:v>
                </c:pt>
                <c:pt idx="350">
                  <c:v>4.7275822362403797E-2</c:v>
                </c:pt>
                <c:pt idx="351">
                  <c:v>4.7294081103916863E-2</c:v>
                </c:pt>
                <c:pt idx="352">
                  <c:v>4.7312339495505396E-2</c:v>
                </c:pt>
                <c:pt idx="353">
                  <c:v>4.7330597537175945E-2</c:v>
                </c:pt>
                <c:pt idx="354">
                  <c:v>4.7348855228935394E-2</c:v>
                </c:pt>
                <c:pt idx="355">
                  <c:v>4.7367112570790182E-2</c:v>
                </c:pt>
                <c:pt idx="356">
                  <c:v>4.7385369562747304E-2</c:v>
                </c:pt>
                <c:pt idx="357">
                  <c:v>4.7403626204813309E-2</c:v>
                </c:pt>
                <c:pt idx="358">
                  <c:v>4.7421882496994971E-2</c:v>
                </c:pt>
                <c:pt idx="359">
                  <c:v>4.7440138439298951E-2</c:v>
                </c:pt>
                <c:pt idx="360">
                  <c:v>4.745839403173191E-2</c:v>
                </c:pt>
                <c:pt idx="361">
                  <c:v>4.747664927430062E-2</c:v>
                </c:pt>
                <c:pt idx="362">
                  <c:v>4.7494904167011742E-2</c:v>
                </c:pt>
                <c:pt idx="363">
                  <c:v>4.751315870987205E-2</c:v>
                </c:pt>
                <c:pt idx="364">
                  <c:v>4.7531412902888204E-2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5.5640443865298726E-2</c:v>
                </c:pt>
                <c:pt idx="1">
                  <c:v>5.5694101783402193E-2</c:v>
                </c:pt>
                <c:pt idx="2">
                  <c:v>5.5747823282058045E-2</c:v>
                </c:pt>
                <c:pt idx="3">
                  <c:v>5.5801595744742458E-2</c:v>
                </c:pt>
                <c:pt idx="4">
                  <c:v>5.5855408188143052E-2</c:v>
                </c:pt>
                <c:pt idx="5">
                  <c:v>5.5909251215990212E-2</c:v>
                </c:pt>
                <c:pt idx="6">
                  <c:v>5.5963116960224837E-2</c:v>
                </c:pt>
                <c:pt idx="7">
                  <c:v>5.6016999010488761E-2</c:v>
                </c:pt>
                <c:pt idx="8">
                  <c:v>5.6070892333012254E-2</c:v>
                </c:pt>
                <c:pt idx="9">
                  <c:v>5.6124793180050009E-2</c:v>
                </c:pt>
                <c:pt idx="10">
                  <c:v>5.6178698991081057E-2</c:v>
                </c:pt>
                <c:pt idx="11">
                  <c:v>5.6232608287039416E-2</c:v>
                </c:pt>
                <c:pt idx="12">
                  <c:v>5.6286520558881357E-2</c:v>
                </c:pt>
                <c:pt idx="13">
                  <c:v>5.634043615181996E-2</c:v>
                </c:pt>
                <c:pt idx="14">
                  <c:v>5.6394356146569305E-2</c:v>
                </c:pt>
                <c:pt idx="15">
                  <c:v>5.6448282238940245E-2</c:v>
                </c:pt>
                <c:pt idx="16">
                  <c:v>5.6502216619114108E-2</c:v>
                </c:pt>
                <c:pt idx="17">
                  <c:v>5.6556161851894146E-2</c:v>
                </c:pt>
                <c:pt idx="18">
                  <c:v>5.6610120759195658E-2</c:v>
                </c:pt>
                <c:pt idx="19">
                  <c:v>5.6664096305983229E-2</c:v>
                </c:pt>
                <c:pt idx="20">
                  <c:v>5.6718091490802931E-2</c:v>
                </c:pt>
                <c:pt idx="21">
                  <c:v>5.6772109241984149E-2</c:v>
                </c:pt>
                <c:pt idx="22">
                  <c:v>5.6826152320503913E-2</c:v>
                </c:pt>
                <c:pt idx="23">
                  <c:v>5.6880223230417568E-2</c:v>
                </c:pt>
                <c:pt idx="24">
                  <c:v>5.6934324137660884E-2</c:v>
                </c:pt>
                <c:pt idx="25">
                  <c:v>5.6988456797926093E-2</c:v>
                </c:pt>
                <c:pt idx="26">
                  <c:v>5.7042622494205344E-2</c:v>
                </c:pt>
                <c:pt idx="27">
                  <c:v>5.7096821984482037E-2</c:v>
                </c:pt>
                <c:pt idx="28">
                  <c:v>5.7151055459935776E-2</c:v>
                </c:pt>
                <c:pt idx="29">
                  <c:v>5.7205322513909279E-2</c:v>
                </c:pt>
                <c:pt idx="30">
                  <c:v>5.7259622121768862E-2</c:v>
                </c:pt>
                <c:pt idx="31">
                  <c:v>5.7313952631673555E-2</c:v>
                </c:pt>
                <c:pt idx="32">
                  <c:v>5.7368311766154326E-2</c:v>
                </c:pt>
                <c:pt idx="33">
                  <c:v>5.7422696634293509E-2</c:v>
                </c:pt>
                <c:pt idx="34">
                  <c:v>5.7477103754188269E-2</c:v>
                </c:pt>
                <c:pt idx="35">
                  <c:v>5.7531529085280961E-2</c:v>
                </c:pt>
                <c:pt idx="36">
                  <c:v>5.7585968070044014E-2</c:v>
                </c:pt>
                <c:pt idx="37">
                  <c:v>5.7640415684419632E-2</c:v>
                </c:pt>
                <c:pt idx="38">
                  <c:v>5.7694866496334596E-2</c:v>
                </c:pt>
                <c:pt idx="39">
                  <c:v>5.7749314731539825E-2</c:v>
                </c:pt>
                <c:pt idx="40">
                  <c:v>5.7803754345962133E-2</c:v>
                </c:pt>
                <c:pt idx="41">
                  <c:v>5.7858179103703763E-2</c:v>
                </c:pt>
                <c:pt idx="42">
                  <c:v>5.7912582659783267E-2</c:v>
                </c:pt>
                <c:pt idx="43">
                  <c:v>5.7966958646679646E-2</c:v>
                </c:pt>
                <c:pt idx="44">
                  <c:v>5.8021300763720314E-2</c:v>
                </c:pt>
                <c:pt idx="45">
                  <c:v>5.8075602868343207E-2</c:v>
                </c:pt>
                <c:pt idx="46">
                  <c:v>5.8129859068262367E-2</c:v>
                </c:pt>
                <c:pt idx="47">
                  <c:v>5.818406381357704E-2</c:v>
                </c:pt>
                <c:pt idx="48">
                  <c:v>5.8238211987883655E-2</c:v>
                </c:pt>
                <c:pt idx="49">
                  <c:v>5.8292298997479355E-2</c:v>
                </c:pt>
                <c:pt idx="50">
                  <c:v>5.8346320857784219E-2</c:v>
                </c:pt>
                <c:pt idx="51">
                  <c:v>5.8400274276155871E-2</c:v>
                </c:pt>
                <c:pt idx="52">
                  <c:v>5.8454156730324031E-2</c:v>
                </c:pt>
                <c:pt idx="53">
                  <c:v>5.8507966541734568E-2</c:v>
                </c:pt>
                <c:pt idx="54">
                  <c:v>5.8561702943158982E-2</c:v>
                </c:pt>
                <c:pt idx="55">
                  <c:v>5.8615366139998362E-2</c:v>
                </c:pt>
                <c:pt idx="56">
                  <c:v>5.8668957364787284E-2</c:v>
                </c:pt>
                <c:pt idx="57">
                  <c:v>5.8722478924483332E-2</c:v>
                </c:pt>
                <c:pt idx="58">
                  <c:v>5.8775934240210263E-2</c:v>
                </c:pt>
                <c:pt idx="59">
                  <c:v>5.8829327879206542E-2</c:v>
                </c:pt>
                <c:pt idx="60">
                  <c:v>5.8882665578815614E-2</c:v>
                </c:pt>
                <c:pt idx="61">
                  <c:v>5.8935954262436842E-2</c:v>
                </c:pt>
                <c:pt idx="62">
                  <c:v>5.898920204743914E-2</c:v>
                </c:pt>
                <c:pt idx="63">
                  <c:v>5.9042418245118022E-2</c:v>
                </c:pt>
                <c:pt idx="64">
                  <c:v>5.9095613352853252E-2</c:v>
                </c:pt>
                <c:pt idx="65">
                  <c:v>5.9148799038696506E-2</c:v>
                </c:pt>
                <c:pt idx="66">
                  <c:v>5.9201988118684996E-2</c:v>
                </c:pt>
                <c:pt idx="67">
                  <c:v>5.9255194527238923E-2</c:v>
                </c:pt>
                <c:pt idx="68">
                  <c:v>5.930843328105577E-2</c:v>
                </c:pt>
                <c:pt idx="69">
                  <c:v>5.9361720436962924E-2</c:v>
                </c:pt>
                <c:pt idx="70">
                  <c:v>5.941507304423136E-2</c:v>
                </c:pt>
                <c:pt idx="71">
                  <c:v>5.946850909188732E-2</c:v>
                </c:pt>
                <c:pt idx="72">
                  <c:v>5.9522047451584827E-2</c:v>
                </c:pt>
                <c:pt idx="73">
                  <c:v>5.957570781661984E-2</c:v>
                </c:pt>
                <c:pt idx="74">
                  <c:v>5.9629510637677831E-2</c:v>
                </c:pt>
                <c:pt idx="75">
                  <c:v>5.9683477055908339E-2</c:v>
                </c:pt>
                <c:pt idx="76">
                  <c:v>5.9737628833915417E-2</c:v>
                </c:pt>
                <c:pt idx="77">
                  <c:v>5.9791988285239329E-2</c:v>
                </c:pt>
                <c:pt idx="78">
                  <c:v>5.9846578202886261E-2</c:v>
                </c:pt>
                <c:pt idx="79">
                  <c:v>5.9901421787434905E-2</c:v>
                </c:pt>
                <c:pt idx="80">
                  <c:v>5.9956542575217278E-2</c:v>
                </c:pt>
                <c:pt idx="81">
                  <c:v>6.0011964367032031E-2</c:v>
                </c:pt>
                <c:pt idx="82">
                  <c:v>6.0067711157805834E-2</c:v>
                </c:pt>
                <c:pt idx="83">
                  <c:v>6.0123807067570444E-2</c:v>
                </c:pt>
                <c:pt idx="84">
                  <c:v>6.0180276274072853E-2</c:v>
                </c:pt>
                <c:pt idx="85">
                  <c:v>6.0237142947281289E-2</c:v>
                </c:pt>
                <c:pt idx="86">
                  <c:v>6.0294431185995298E-2</c:v>
                </c:pt>
                <c:pt idx="87">
                  <c:v>6.0352164956710974E-2</c:v>
                </c:pt>
                <c:pt idx="88">
                  <c:v>6.0410368034835966E-2</c:v>
                </c:pt>
                <c:pt idx="89">
                  <c:v>6.0469063948292628E-2</c:v>
                </c:pt>
                <c:pt idx="90">
                  <c:v>6.0528275923493545E-2</c:v>
                </c:pt>
                <c:pt idx="91">
                  <c:v>6.0588026833620613E-2</c:v>
                </c:pt>
                <c:pt idx="92">
                  <c:v>6.0648339149090631E-2</c:v>
                </c:pt>
                <c:pt idx="93">
                  <c:v>6.0709234890044081E-2</c:v>
                </c:pt>
                <c:pt idx="94">
                  <c:v>6.0770735580653434E-2</c:v>
                </c:pt>
                <c:pt idx="95">
                  <c:v>6.0832862205011169E-2</c:v>
                </c:pt>
                <c:pt idx="96">
                  <c:v>6.0895635164327624E-2</c:v>
                </c:pt>
                <c:pt idx="97">
                  <c:v>6.0959074235144448E-2</c:v>
                </c:pt>
                <c:pt idx="98">
                  <c:v>6.1023198528252234E-2</c:v>
                </c:pt>
                <c:pt idx="99">
                  <c:v>6.1088026447989566E-2</c:v>
                </c:pt>
                <c:pt idx="100">
                  <c:v>6.1153575651596924E-2</c:v>
                </c:pt>
                <c:pt idx="101">
                  <c:v>6.121986300830274E-2</c:v>
                </c:pt>
                <c:pt idx="102">
                  <c:v>6.1286904557828085E-2</c:v>
                </c:pt>
                <c:pt idx="103">
                  <c:v>6.1354715468014888E-2</c:v>
                </c:pt>
                <c:pt idx="104">
                  <c:v>6.1423309991306303E-2</c:v>
                </c:pt>
                <c:pt idx="105">
                  <c:v>6.149270141983873E-2</c:v>
                </c:pt>
                <c:pt idx="106">
                  <c:v>6.1562902038941943E-2</c:v>
                </c:pt>
                <c:pt idx="107">
                  <c:v>6.1633923078886904E-2</c:v>
                </c:pt>
                <c:pt idx="108">
                  <c:v>6.1705774664768211E-2</c:v>
                </c:pt>
                <c:pt idx="109">
                  <c:v>6.1778465764461783E-2</c:v>
                </c:pt>
                <c:pt idx="110">
                  <c:v>6.1852004134653658E-2</c:v>
                </c:pt>
                <c:pt idx="111">
                  <c:v>6.1926396264997075E-2</c:v>
                </c:pt>
                <c:pt idx="112">
                  <c:v>6.2001647320515878E-2</c:v>
                </c:pt>
                <c:pt idx="113">
                  <c:v>6.2077761082436914E-2</c:v>
                </c:pt>
                <c:pt idx="114">
                  <c:v>6.215473988769829E-2</c:v>
                </c:pt>
                <c:pt idx="115">
                  <c:v>6.2232584567444453E-2</c:v>
                </c:pt>
                <c:pt idx="116">
                  <c:v>6.2311294384882712E-2</c:v>
                </c:pt>
                <c:pt idx="117">
                  <c:v>6.2390866972936443E-2</c:v>
                </c:pt>
                <c:pt idx="118">
                  <c:v>6.2471298272188634E-2</c:v>
                </c:pt>
                <c:pt idx="119">
                  <c:v>8.0885102312609237E-3</c:v>
                </c:pt>
                <c:pt idx="120">
                  <c:v>8.1986190382898338E-3</c:v>
                </c:pt>
                <c:pt idx="121">
                  <c:v>8.3088385119195127E-3</c:v>
                </c:pt>
                <c:pt idx="122">
                  <c:v>8.419171030458578E-3</c:v>
                </c:pt>
                <c:pt idx="123">
                  <c:v>8.529618611551569E-3</c:v>
                </c:pt>
                <c:pt idx="124">
                  <c:v>8.6401828907491391E-3</c:v>
                </c:pt>
                <c:pt idx="125">
                  <c:v>8.7508651004386401E-3</c:v>
                </c:pt>
                <c:pt idx="126">
                  <c:v>8.8616660492990603E-3</c:v>
                </c:pt>
                <c:pt idx="127">
                  <c:v>8.9725861024525094E-3</c:v>
                </c:pt>
                <c:pt idx="128">
                  <c:v>9.083625162491794E-3</c:v>
                </c:pt>
                <c:pt idx="129">
                  <c:v>9.1947826515691618E-3</c:v>
                </c:pt>
                <c:pt idx="130">
                  <c:v>9.306057494735169E-3</c:v>
                </c:pt>
                <c:pt idx="131">
                  <c:v>9.4174481047183747E-3</c:v>
                </c:pt>
                <c:pt idx="132">
                  <c:v>9.528952368336896E-3</c:v>
                </c:pt>
                <c:pt idx="133">
                  <c:v>9.6405676347301565E-3</c:v>
                </c:pt>
                <c:pt idx="134">
                  <c:v>9.7522907055955441E-3</c:v>
                </c:pt>
                <c:pt idx="135">
                  <c:v>9.8641178276075072E-3</c:v>
                </c:pt>
                <c:pt idx="136">
                  <c:v>9.9760446871884345E-3</c:v>
                </c:pt>
                <c:pt idx="137">
                  <c:v>1.0088066407789517E-2</c:v>
                </c:pt>
                <c:pt idx="138">
                  <c:v>1.0200177549826755E-2</c:v>
                </c:pt>
                <c:pt idx="139">
                  <c:v>1.0312372113401887E-2</c:v>
                </c:pt>
                <c:pt idx="140">
                  <c:v>1.0424643543921273E-2</c:v>
                </c:pt>
                <c:pt idx="141">
                  <c:v>1.0536984740706029E-2</c:v>
                </c:pt>
                <c:pt idx="142">
                  <c:v>1.0649388068666246E-2</c:v>
                </c:pt>
                <c:pt idx="143">
                  <c:v>1.0761845373089499E-2</c:v>
                </c:pt>
                <c:pt idx="144">
                  <c:v>1.087434799756995E-2</c:v>
                </c:pt>
                <c:pt idx="145">
                  <c:v>1.0986886805079242E-2</c:v>
                </c:pt>
                <c:pt idx="146">
                  <c:v>1.1099452202154353E-2</c:v>
                </c:pt>
                <c:pt idx="147">
                  <c:v>1.1212034166150752E-2</c:v>
                </c:pt>
                <c:pt idx="148">
                  <c:v>1.1324622275482048E-2</c:v>
                </c:pt>
                <c:pt idx="149">
                  <c:v>1.1437205742739752E-2</c:v>
                </c:pt>
                <c:pt idx="150">
                  <c:v>1.154977345055969E-2</c:v>
                </c:pt>
                <c:pt idx="151">
                  <c:v>1.1662313990074362E-2</c:v>
                </c:pt>
                <c:pt idx="152">
                  <c:v>1.1774815701764644E-2</c:v>
                </c:pt>
                <c:pt idx="153">
                  <c:v>1.1887266718498582E-2</c:v>
                </c:pt>
                <c:pt idx="154">
                  <c:v>1.1999655010521524E-2</c:v>
                </c:pt>
                <c:pt idx="155">
                  <c:v>1.2111968432138789E-2</c:v>
                </c:pt>
                <c:pt idx="156">
                  <c:v>1.2224194769811842E-2</c:v>
                </c:pt>
                <c:pt idx="157">
                  <c:v>1.2336321791370257E-2</c:v>
                </c:pt>
                <c:pt idx="158">
                  <c:v>1.244833729602538E-2</c:v>
                </c:pt>
                <c:pt idx="159">
                  <c:v>1.2560229164857878E-2</c:v>
                </c:pt>
                <c:pt idx="160">
                  <c:v>1.2671985411440458E-2</c:v>
                </c:pt>
                <c:pt idx="161">
                  <c:v>1.2783594232248671E-2</c:v>
                </c:pt>
                <c:pt idx="162">
                  <c:v>1.2895044056507767E-2</c:v>
                </c:pt>
                <c:pt idx="163">
                  <c:v>1.3006323595121477E-2</c:v>
                </c:pt>
                <c:pt idx="164">
                  <c:v>1.311742188833E-2</c:v>
                </c:pt>
                <c:pt idx="165">
                  <c:v>1.3228328351748626E-2</c:v>
                </c:pt>
                <c:pt idx="166">
                  <c:v>1.3339032820446814E-2</c:v>
                </c:pt>
                <c:pt idx="167">
                  <c:v>1.3449525590737794E-2</c:v>
                </c:pt>
                <c:pt idx="168">
                  <c:v>1.355979745936378E-2</c:v>
                </c:pt>
                <c:pt idx="169">
                  <c:v>1.3669839759778771E-2</c:v>
                </c:pt>
                <c:pt idx="170">
                  <c:v>1.3779644395251246E-2</c:v>
                </c:pt>
                <c:pt idx="171">
                  <c:v>1.3889203868532514E-2</c:v>
                </c:pt>
                <c:pt idx="172">
                  <c:v>1.3998511307861831E-2</c:v>
                </c:pt>
                <c:pt idx="173">
                  <c:v>1.4107560489108001E-2</c:v>
                </c:pt>
                <c:pt idx="174">
                  <c:v>1.4216345853877101E-2</c:v>
                </c:pt>
                <c:pt idx="175">
                  <c:v>1.4324862523448448E-2</c:v>
                </c:pt>
                <c:pt idx="176">
                  <c:v>1.4433106308434546E-2</c:v>
                </c:pt>
                <c:pt idx="177">
                  <c:v>1.4541073714095697E-2</c:v>
                </c:pt>
                <c:pt idx="178">
                  <c:v>1.4648761941276098E-2</c:v>
                </c:pt>
                <c:pt idx="179">
                  <c:v>1.4756168882964346E-2</c:v>
                </c:pt>
                <c:pt idx="180">
                  <c:v>1.4863293116518322E-2</c:v>
                </c:pt>
                <c:pt idx="181">
                  <c:v>1.4970133891630526E-2</c:v>
                </c:pt>
                <c:pt idx="182">
                  <c:v>1.5076691114146095E-2</c:v>
                </c:pt>
                <c:pt idx="183">
                  <c:v>1.5182965325880576E-2</c:v>
                </c:pt>
                <c:pt idx="184">
                  <c:v>1.5288957680618467E-2</c:v>
                </c:pt>
                <c:pt idx="185">
                  <c:v>1.5394669916505106E-2</c:v>
                </c:pt>
                <c:pt idx="186">
                  <c:v>1.5500104325075429E-2</c:v>
                </c:pt>
                <c:pt idx="187">
                  <c:v>1.5605263717189947E-2</c:v>
                </c:pt>
                <c:pt idx="188">
                  <c:v>1.5710151386174334E-2</c:v>
                </c:pt>
                <c:pt idx="189">
                  <c:v>1.5814771068480983E-2</c:v>
                </c:pt>
                <c:pt idx="190">
                  <c:v>1.591912690221001E-2</c:v>
                </c:pt>
                <c:pt idx="191">
                  <c:v>1.6023223383843641E-2</c:v>
                </c:pt>
                <c:pt idx="192">
                  <c:v>1.6127065323559665E-2</c:v>
                </c:pt>
                <c:pt idx="193">
                  <c:v>1.6230657799499112E-2</c:v>
                </c:pt>
                <c:pt idx="194">
                  <c:v>1.6334006111367854E-2</c:v>
                </c:pt>
                <c:pt idx="195">
                  <c:v>1.6437115733753269E-2</c:v>
                </c:pt>
                <c:pt idx="196">
                  <c:v>1.6539992269534658E-2</c:v>
                </c:pt>
                <c:pt idx="197">
                  <c:v>1.664264140375956E-2</c:v>
                </c:pt>
                <c:pt idx="198">
                  <c:v>1.6745068858348023E-2</c:v>
                </c:pt>
                <c:pt idx="199">
                  <c:v>1.6847280347973084E-2</c:v>
                </c:pt>
                <c:pt idx="200">
                  <c:v>1.6949281537448697E-2</c:v>
                </c:pt>
                <c:pt idx="201">
                  <c:v>1.705107800093527E-2</c:v>
                </c:pt>
                <c:pt idx="202">
                  <c:v>1.7152675183250029E-2</c:v>
                </c:pt>
                <c:pt idx="203">
                  <c:v>1.7254078363542102E-2</c:v>
                </c:pt>
                <c:pt idx="204">
                  <c:v>1.7355292621563788E-2</c:v>
                </c:pt>
                <c:pt idx="205">
                  <c:v>1.7456322806738079E-2</c:v>
                </c:pt>
                <c:pt idx="206">
                  <c:v>1.7557173510188925E-2</c:v>
                </c:pt>
                <c:pt idx="207">
                  <c:v>1.7657849039866721E-2</c:v>
                </c:pt>
                <c:pt idx="208">
                  <c:v>1.7758353398865109E-2</c:v>
                </c:pt>
                <c:pt idx="209">
                  <c:v>1.7858690266989132E-2</c:v>
                </c:pt>
                <c:pt idx="210">
                  <c:v>1.7958862985597488E-2</c:v>
                </c:pt>
                <c:pt idx="211">
                  <c:v>1.805887454570539E-2</c:v>
                </c:pt>
                <c:pt idx="212">
                  <c:v>1.8158727579298067E-2</c:v>
                </c:pt>
                <c:pt idx="213">
                  <c:v>1.8258424353769606E-2</c:v>
                </c:pt>
                <c:pt idx="214">
                  <c:v>1.8357966769368475E-2</c:v>
                </c:pt>
                <c:pt idx="215">
                  <c:v>1.845735635949821E-2</c:v>
                </c:pt>
                <c:pt idx="216">
                  <c:v>1.8556594293692288E-2</c:v>
                </c:pt>
                <c:pt idx="217">
                  <c:v>1.8655681383054734E-2</c:v>
                </c:pt>
                <c:pt idx="218">
                  <c:v>1.8754618087932644E-2</c:v>
                </c:pt>
                <c:pt idx="219">
                  <c:v>1.8853404527566259E-2</c:v>
                </c:pt>
                <c:pt idx="220">
                  <c:v>1.8952040491442914E-2</c:v>
                </c:pt>
                <c:pt idx="221">
                  <c:v>1.9050525452067521E-2</c:v>
                </c:pt>
                <c:pt idx="222">
                  <c:v>1.9148858578850795E-2</c:v>
                </c:pt>
                <c:pt idx="223">
                  <c:v>1.9247038752809885E-2</c:v>
                </c:pt>
                <c:pt idx="224">
                  <c:v>1.9345064581773125E-2</c:v>
                </c:pt>
                <c:pt idx="225">
                  <c:v>1.9442934415781817E-2</c:v>
                </c:pt>
                <c:pt idx="226">
                  <c:v>1.9540646362387459E-2</c:v>
                </c:pt>
                <c:pt idx="227">
                  <c:v>1.9638198301552102E-2</c:v>
                </c:pt>
                <c:pt idx="228">
                  <c:v>1.9735587899872752E-2</c:v>
                </c:pt>
                <c:pt idx="229">
                  <c:v>1.9832812623868438E-2</c:v>
                </c:pt>
                <c:pt idx="230">
                  <c:v>1.9929869752088512E-2</c:v>
                </c:pt>
                <c:pt idx="231">
                  <c:v>2.0026756385825954E-2</c:v>
                </c:pt>
                <c:pt idx="232">
                  <c:v>2.0123469458246095E-2</c:v>
                </c:pt>
                <c:pt idx="233">
                  <c:v>2.0220005741771688E-2</c:v>
                </c:pt>
                <c:pt idx="234">
                  <c:v>2.0316361853597989E-2</c:v>
                </c:pt>
                <c:pt idx="235">
                  <c:v>2.0412534259246089E-2</c:v>
                </c:pt>
                <c:pt idx="236">
                  <c:v>2.0508519274099357E-2</c:v>
                </c:pt>
                <c:pt idx="237">
                  <c:v>2.0604313062905683E-2</c:v>
                </c:pt>
                <c:pt idx="238">
                  <c:v>2.0699911637266359E-2</c:v>
                </c:pt>
                <c:pt idx="239">
                  <c:v>2.0795310851171828E-2</c:v>
                </c:pt>
                <c:pt idx="240">
                  <c:v>2.0890506394682838E-2</c:v>
                </c:pt>
                <c:pt idx="241">
                  <c:v>2.0985493785893618E-2</c:v>
                </c:pt>
                <c:pt idx="242">
                  <c:v>2.1080268361350966E-2</c:v>
                </c:pt>
                <c:pt idx="243">
                  <c:v>2.1174825265138267E-2</c:v>
                </c:pt>
                <c:pt idx="244">
                  <c:v>2.1269159436866532E-2</c:v>
                </c:pt>
                <c:pt idx="245">
                  <c:v>2.1363265598845875E-2</c:v>
                </c:pt>
                <c:pt idx="246">
                  <c:v>2.1457138242738066E-2</c:v>
                </c:pt>
                <c:pt idx="247">
                  <c:v>2.1550771616015842E-2</c:v>
                </c:pt>
                <c:pt idx="248">
                  <c:v>2.1644159708574893E-2</c:v>
                </c:pt>
                <c:pt idx="249">
                  <c:v>2.1737296239861738E-2</c:v>
                </c:pt>
                <c:pt idx="250">
                  <c:v>2.183017464689271E-2</c:v>
                </c:pt>
                <c:pt idx="251">
                  <c:v>2.1922788073547379E-2</c:v>
                </c:pt>
                <c:pt idx="252">
                  <c:v>2.2015129361522695E-2</c:v>
                </c:pt>
                <c:pt idx="253">
                  <c:v>2.2107191043332468E-2</c:v>
                </c:pt>
                <c:pt idx="254">
                  <c:v>2.2198965337729935E-2</c:v>
                </c:pt>
                <c:pt idx="255">
                  <c:v>2.2290444147919388E-2</c:v>
                </c:pt>
                <c:pt idx="256">
                  <c:v>2.2381619062905988E-2</c:v>
                </c:pt>
                <c:pt idx="257">
                  <c:v>2.2472481362311208E-2</c:v>
                </c:pt>
                <c:pt idx="258">
                  <c:v>2.2563022024954846E-2</c:v>
                </c:pt>
                <c:pt idx="259">
                  <c:v>2.2653231741473333E-2</c:v>
                </c:pt>
                <c:pt idx="260">
                  <c:v>2.2743100931208723E-2</c:v>
                </c:pt>
                <c:pt idx="261">
                  <c:v>2.2832619763563322E-2</c:v>
                </c:pt>
                <c:pt idx="262">
                  <c:v>2.292177818397147E-2</c:v>
                </c:pt>
                <c:pt idx="263">
                  <c:v>2.3010565944593789E-2</c:v>
                </c:pt>
                <c:pt idx="264">
                  <c:v>2.3098972639789914E-2</c:v>
                </c:pt>
                <c:pt idx="265">
                  <c:v>2.318698774637358E-2</c:v>
                </c:pt>
                <c:pt idx="266">
                  <c:v>2.3274600668601139E-2</c:v>
                </c:pt>
                <c:pt idx="267">
                  <c:v>2.3361800787789107E-2</c:v>
                </c:pt>
                <c:pt idx="268">
                  <c:v>2.3448577516400927E-2</c:v>
                </c:pt>
                <c:pt idx="269">
                  <c:v>2.3534920356387923E-2</c:v>
                </c:pt>
                <c:pt idx="270">
                  <c:v>2.3620818961513062E-2</c:v>
                </c:pt>
                <c:pt idx="271">
                  <c:v>2.3706263203333282E-2</c:v>
                </c:pt>
                <c:pt idx="272">
                  <c:v>2.3791243240462497E-2</c:v>
                </c:pt>
                <c:pt idx="273">
                  <c:v>2.3875749590687719E-2</c:v>
                </c:pt>
                <c:pt idx="274">
                  <c:v>2.3959773205463237E-2</c:v>
                </c:pt>
                <c:pt idx="275">
                  <c:v>2.404330554626358E-2</c:v>
                </c:pt>
                <c:pt idx="276">
                  <c:v>2.4126338662236371E-2</c:v>
                </c:pt>
                <c:pt idx="277">
                  <c:v>2.4208865268560063E-2</c:v>
                </c:pt>
                <c:pt idx="278">
                  <c:v>2.4290878824881471E-2</c:v>
                </c:pt>
                <c:pt idx="279">
                  <c:v>2.4372373613182417E-2</c:v>
                </c:pt>
                <c:pt idx="280">
                  <c:v>2.4453344814405205E-2</c:v>
                </c:pt>
                <c:pt idx="281">
                  <c:v>2.4533788583153509E-2</c:v>
                </c:pt>
                <c:pt idx="282">
                  <c:v>2.4613702119777744E-2</c:v>
                </c:pt>
                <c:pt idx="283">
                  <c:v>2.4693083739153587E-2</c:v>
                </c:pt>
                <c:pt idx="284">
                  <c:v>2.4771932935468286E-2</c:v>
                </c:pt>
                <c:pt idx="285">
                  <c:v>2.4850250442342191E-2</c:v>
                </c:pt>
                <c:pt idx="286">
                  <c:v>2.4928038287632466E-2</c:v>
                </c:pt>
                <c:pt idx="287">
                  <c:v>2.5005299842292373E-2</c:v>
                </c:pt>
                <c:pt idx="288">
                  <c:v>2.508203986269195E-2</c:v>
                </c:pt>
                <c:pt idx="289">
                  <c:v>2.5158264525845467E-2</c:v>
                </c:pt>
                <c:pt idx="290">
                  <c:v>2.5233981457036085E-2</c:v>
                </c:pt>
                <c:pt idx="291">
                  <c:v>2.5309199749379178E-2</c:v>
                </c:pt>
                <c:pt idx="292">
                  <c:v>2.5383929974922278E-2</c:v>
                </c:pt>
                <c:pt idx="293">
                  <c:v>2.5458184186940958E-2</c:v>
                </c:pt>
                <c:pt idx="294">
                  <c:v>2.5531975913155355E-2</c:v>
                </c:pt>
                <c:pt idx="295">
                  <c:v>2.5605320139662283E-2</c:v>
                </c:pt>
                <c:pt idx="296">
                  <c:v>2.5678233285449933E-2</c:v>
                </c:pt>
                <c:pt idx="297">
                  <c:v>2.5750733167438197E-2</c:v>
                </c:pt>
                <c:pt idx="298">
                  <c:v>2.582283895606477E-2</c:v>
                </c:pt>
                <c:pt idx="299">
                  <c:v>2.5894571121515685E-2</c:v>
                </c:pt>
                <c:pt idx="300">
                  <c:v>2.5965951370778121E-2</c:v>
                </c:pt>
                <c:pt idx="301">
                  <c:v>2.6037002575772111E-2</c:v>
                </c:pt>
                <c:pt idx="302">
                  <c:v>2.6107748692895515E-2</c:v>
                </c:pt>
                <c:pt idx="303">
                  <c:v>2.6178214674392689E-2</c:v>
                </c:pt>
                <c:pt idx="304">
                  <c:v>2.6248426372031057E-2</c:v>
                </c:pt>
                <c:pt idx="305">
                  <c:v>2.6318410433639843E-2</c:v>
                </c:pt>
                <c:pt idx="306">
                  <c:v>2.6388194193131945E-2</c:v>
                </c:pt>
                <c:pt idx="307">
                  <c:v>2.6457805554691849E-2</c:v>
                </c:pt>
                <c:pt idx="308">
                  <c:v>2.6527272871869092E-2</c:v>
                </c:pt>
                <c:pt idx="309">
                  <c:v>2.6596624822367815E-2</c:v>
                </c:pt>
                <c:pt idx="310">
                  <c:v>2.6665890279367586E-2</c:v>
                </c:pt>
                <c:pt idx="311">
                  <c:v>2.6735098180248582E-2</c:v>
                </c:pt>
                <c:pt idx="312">
                  <c:v>2.6804277393624825E-2</c:v>
                </c:pt>
                <c:pt idx="313">
                  <c:v>2.6873456585612184E-2</c:v>
                </c:pt>
                <c:pt idx="314">
                  <c:v>2.6942664086273486E-2</c:v>
                </c:pt>
                <c:pt idx="315">
                  <c:v>2.7011927757189916E-2</c:v>
                </c:pt>
                <c:pt idx="316">
                  <c:v>2.7081274861107132E-2</c:v>
                </c:pt>
                <c:pt idx="317">
                  <c:v>2.7150731934595621E-2</c:v>
                </c:pt>
                <c:pt idx="318">
                  <c:v>2.7220324664646911E-2</c:v>
                </c:pt>
                <c:pt idx="319">
                  <c:v>2.7290077770102467E-2</c:v>
                </c:pt>
                <c:pt idx="320">
                  <c:v>2.7360014888778202E-2</c:v>
                </c:pt>
                <c:pt idx="321">
                  <c:v>2.7430158471106931E-2</c:v>
                </c:pt>
                <c:pt idx="322">
                  <c:v>2.7500529681072621E-2</c:v>
                </c:pt>
                <c:pt idx="323">
                  <c:v>2.7571148305154662E-2</c:v>
                </c:pt>
                <c:pt idx="324">
                  <c:v>2.7642032669939667E-2</c:v>
                </c:pt>
                <c:pt idx="325">
                  <c:v>2.7713199568989495E-2</c:v>
                </c:pt>
                <c:pt idx="326">
                  <c:v>2.7784664199482084E-2</c:v>
                </c:pt>
                <c:pt idx="327">
                  <c:v>2.7856440109064056E-2</c:v>
                </c:pt>
                <c:pt idx="328">
                  <c:v>2.7928539153271772E-2</c:v>
                </c:pt>
                <c:pt idx="329">
                  <c:v>2.8000971463793774E-2</c:v>
                </c:pt>
                <c:pt idx="330">
                  <c:v>2.8073745427759297E-2</c:v>
                </c:pt>
                <c:pt idx="331">
                  <c:v>2.8146867678149119E-2</c:v>
                </c:pt>
                <c:pt idx="332">
                  <c:v>2.8220343095335162E-2</c:v>
                </c:pt>
                <c:pt idx="333">
                  <c:v>2.8294174819665004E-2</c:v>
                </c:pt>
                <c:pt idx="334">
                  <c:v>2.8368364274918879E-2</c:v>
                </c:pt>
                <c:pt idx="335">
                  <c:v>2.8442911202378858E-2</c:v>
                </c:pt>
                <c:pt idx="336">
                  <c:v>2.8517813705164863E-2</c:v>
                </c:pt>
                <c:pt idx="337">
                  <c:v>2.8593068302410495E-2</c:v>
                </c:pt>
                <c:pt idx="338">
                  <c:v>2.8668669992773253E-2</c:v>
                </c:pt>
                <c:pt idx="339">
                  <c:v>2.874461232670078E-2</c:v>
                </c:pt>
                <c:pt idx="340">
                  <c:v>2.8820887486806342E-2</c:v>
                </c:pt>
                <c:pt idx="341">
                  <c:v>2.8897486375645133E-2</c:v>
                </c:pt>
                <c:pt idx="342">
                  <c:v>2.897439871012681E-2</c:v>
                </c:pt>
                <c:pt idx="343">
                  <c:v>2.9051613121751665E-2</c:v>
                </c:pt>
                <c:pt idx="344">
                  <c:v>2.9129117261816183E-2</c:v>
                </c:pt>
                <c:pt idx="345">
                  <c:v>2.9206897910700653E-2</c:v>
                </c:pt>
                <c:pt idx="346">
                  <c:v>2.9284941090326002E-2</c:v>
                </c:pt>
                <c:pt idx="347">
                  <c:v>2.9363232178850267E-2</c:v>
                </c:pt>
                <c:pt idx="348">
                  <c:v>2.9441756026666092E-2</c:v>
                </c:pt>
                <c:pt idx="349">
                  <c:v>2.9520497072760908E-2</c:v>
                </c:pt>
                <c:pt idx="350">
                  <c:v>2.9599439460509389E-2</c:v>
                </c:pt>
                <c:pt idx="351">
                  <c:v>2.9678567151984591E-2</c:v>
                </c:pt>
                <c:pt idx="352">
                  <c:v>2.9757864039898649E-2</c:v>
                </c:pt>
                <c:pt idx="353">
                  <c:v>2.9837314056316486E-2</c:v>
                </c:pt>
                <c:pt idx="354">
                  <c:v>2.991690127732614E-2</c:v>
                </c:pt>
                <c:pt idx="355">
                  <c:v>2.9996610022895911E-2</c:v>
                </c:pt>
                <c:pt idx="356">
                  <c:v>3.0076424951202815E-2</c:v>
                </c:pt>
                <c:pt idx="357">
                  <c:v>3.0156331146775805E-2</c:v>
                </c:pt>
                <c:pt idx="358">
                  <c:v>3.0236314201862884E-2</c:v>
                </c:pt>
                <c:pt idx="359">
                  <c:v>3.0316360290500412E-2</c:v>
                </c:pt>
                <c:pt idx="360">
                  <c:v>3.0396456234837735E-2</c:v>
                </c:pt>
                <c:pt idx="361">
                  <c:v>3.0476589563346469E-2</c:v>
                </c:pt>
                <c:pt idx="362">
                  <c:v>3.0556748560624351E-2</c:v>
                </c:pt>
                <c:pt idx="363">
                  <c:v>3.0636922308584887E-2</c:v>
                </c:pt>
                <c:pt idx="364">
                  <c:v>3.0717100718906487E-2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9.7332562972447263E-3</c:v>
                </c:pt>
                <c:pt idx="1">
                  <c:v>9.6354168772449754E-3</c:v>
                </c:pt>
                <c:pt idx="2">
                  <c:v>9.5307158579139104E-3</c:v>
                </c:pt>
                <c:pt idx="3">
                  <c:v>9.4195323999522011E-3</c:v>
                </c:pt>
                <c:pt idx="4">
                  <c:v>9.3022469880538316E-3</c:v>
                </c:pt>
                <c:pt idx="5">
                  <c:v>9.1792387684372246E-3</c:v>
                </c:pt>
                <c:pt idx="6">
                  <c:v>9.05088307298243E-3</c:v>
                </c:pt>
                <c:pt idx="7">
                  <c:v>8.9175491518658934E-3</c:v>
                </c:pt>
                <c:pt idx="8">
                  <c:v>8.7785354922680723E-3</c:v>
                </c:pt>
                <c:pt idx="9">
                  <c:v>8.6365053040295039E-3</c:v>
                </c:pt>
                <c:pt idx="10">
                  <c:v>8.4970344611305666E-3</c:v>
                </c:pt>
                <c:pt idx="11">
                  <c:v>8.3604675870620412E-3</c:v>
                </c:pt>
                <c:pt idx="12">
                  <c:v>8.2271164597705129E-3</c:v>
                </c:pt>
                <c:pt idx="13">
                  <c:v>8.0972607081640398E-3</c:v>
                </c:pt>
                <c:pt idx="14">
                  <c:v>7.9711488514366598E-3</c:v>
                </c:pt>
                <c:pt idx="15">
                  <c:v>7.8435303186668547E-3</c:v>
                </c:pt>
                <c:pt idx="16">
                  <c:v>7.7142120656121171E-3</c:v>
                </c:pt>
                <c:pt idx="17">
                  <c:v>7.5835476669024373E-3</c:v>
                </c:pt>
                <c:pt idx="18">
                  <c:v>7.4518638223633714E-3</c:v>
                </c:pt>
                <c:pt idx="19">
                  <c:v>7.3195013220691734E-3</c:v>
                </c:pt>
                <c:pt idx="20">
                  <c:v>7.1867897624008506E-3</c:v>
                </c:pt>
                <c:pt idx="21">
                  <c:v>7.0539982445317244E-3</c:v>
                </c:pt>
                <c:pt idx="22">
                  <c:v>6.920403190606406E-3</c:v>
                </c:pt>
                <c:pt idx="23">
                  <c:v>6.7836051693662483E-3</c:v>
                </c:pt>
                <c:pt idx="24">
                  <c:v>6.6413168639215796E-3</c:v>
                </c:pt>
                <c:pt idx="25">
                  <c:v>6.4940428846183952E-3</c:v>
                </c:pt>
                <c:pt idx="26">
                  <c:v>6.3422529182547826E-3</c:v>
                </c:pt>
                <c:pt idx="27">
                  <c:v>6.186381018126047E-3</c:v>
                </c:pt>
                <c:pt idx="28">
                  <c:v>6.0268253682517056E-3</c:v>
                </c:pt>
                <c:pt idx="29">
                  <c:v>5.8667779833699663E-3</c:v>
                </c:pt>
                <c:pt idx="30">
                  <c:v>5.7111132946704168E-3</c:v>
                </c:pt>
                <c:pt idx="31">
                  <c:v>5.5598805966500806E-3</c:v>
                </c:pt>
                <c:pt idx="32">
                  <c:v>5.4131069615218266E-3</c:v>
                </c:pt>
                <c:pt idx="33">
                  <c:v>5.2707998284726495E-3</c:v>
                </c:pt>
                <c:pt idx="34">
                  <c:v>5.1329494503525698E-3</c:v>
                </c:pt>
                <c:pt idx="35">
                  <c:v>4.9995311906437471E-3</c:v>
                </c:pt>
                <c:pt idx="36">
                  <c:v>4.8701373059208226E-3</c:v>
                </c:pt>
                <c:pt idx="37">
                  <c:v>4.7428784089482649E-3</c:v>
                </c:pt>
                <c:pt idx="38">
                  <c:v>4.61922853207324E-3</c:v>
                </c:pt>
                <c:pt idx="39">
                  <c:v>4.4990986302998956E-3</c:v>
                </c:pt>
                <c:pt idx="40">
                  <c:v>4.3824010552440283E-3</c:v>
                </c:pt>
                <c:pt idx="41">
                  <c:v>4.2690497523126458E-3</c:v>
                </c:pt>
                <c:pt idx="42">
                  <c:v>4.158960433698889E-3</c:v>
                </c:pt>
                <c:pt idx="43">
                  <c:v>4.0508009571691064E-3</c:v>
                </c:pt>
                <c:pt idx="44">
                  <c:v>3.9421002259546895E-3</c:v>
                </c:pt>
                <c:pt idx="45">
                  <c:v>3.8328824635280125E-3</c:v>
                </c:pt>
                <c:pt idx="46">
                  <c:v>3.723170223096517E-3</c:v>
                </c:pt>
                <c:pt idx="47">
                  <c:v>3.6129845455604818E-3</c:v>
                </c:pt>
                <c:pt idx="48">
                  <c:v>3.5023450896224683E-3</c:v>
                </c:pt>
                <c:pt idx="49">
                  <c:v>3.3912702339496496E-3</c:v>
                </c:pt>
                <c:pt idx="50">
                  <c:v>3.2797551115776881E-3</c:v>
                </c:pt>
                <c:pt idx="51">
                  <c:v>3.1673273390792813E-3</c:v>
                </c:pt>
                <c:pt idx="52">
                  <c:v>3.0552499309320132E-3</c:v>
                </c:pt>
                <c:pt idx="53">
                  <c:v>2.9434967662630733E-3</c:v>
                </c:pt>
                <c:pt idx="54">
                  <c:v>2.8320594165434252E-3</c:v>
                </c:pt>
                <c:pt idx="55">
                  <c:v>2.7209307523564786E-3</c:v>
                </c:pt>
                <c:pt idx="56">
                  <c:v>2.610104788783625E-3</c:v>
                </c:pt>
                <c:pt idx="57">
                  <c:v>2.5011586658515166E-3</c:v>
                </c:pt>
                <c:pt idx="58">
                  <c:v>2.3951427620857225E-3</c:v>
                </c:pt>
                <c:pt idx="59">
                  <c:v>2.291988103219525E-3</c:v>
                </c:pt>
                <c:pt idx="60">
                  <c:v>2.1916282278596519E-3</c:v>
                </c:pt>
                <c:pt idx="61">
                  <c:v>2.0939989488019347E-3</c:v>
                </c:pt>
                <c:pt idx="62">
                  <c:v>1.9990381247614653E-3</c:v>
                </c:pt>
                <c:pt idx="63">
                  <c:v>1.9066854436727723E-3</c:v>
                </c:pt>
                <c:pt idx="64">
                  <c:v>1.8168354206465891E-3</c:v>
                </c:pt>
                <c:pt idx="65">
                  <c:v>1.7315180847544847E-3</c:v>
                </c:pt>
                <c:pt idx="66">
                  <c:v>1.6510743133851418E-3</c:v>
                </c:pt>
                <c:pt idx="67">
                  <c:v>1.5754195177219788E-3</c:v>
                </c:pt>
                <c:pt idx="68">
                  <c:v>1.5044674107175702E-3</c:v>
                </c:pt>
                <c:pt idx="69">
                  <c:v>1.4381306751900418E-3</c:v>
                </c:pt>
                <c:pt idx="70">
                  <c:v>1.3763216009811947E-3</c:v>
                </c:pt>
                <c:pt idx="71">
                  <c:v>1.3192454529713923E-3</c:v>
                </c:pt>
                <c:pt idx="72">
                  <c:v>1.2654040715318587E-3</c:v>
                </c:pt>
                <c:pt idx="73">
                  <c:v>1.2147361989174304E-3</c:v>
                </c:pt>
                <c:pt idx="74">
                  <c:v>1.1671809825572195E-3</c:v>
                </c:pt>
                <c:pt idx="75">
                  <c:v>1.1226783511480262E-3</c:v>
                </c:pt>
                <c:pt idx="76">
                  <c:v>1.0811693737128715E-3</c:v>
                </c:pt>
                <c:pt idx="77">
                  <c:v>1.0425966022523281E-3</c:v>
                </c:pt>
                <c:pt idx="78">
                  <c:v>1.0068405035577857E-3</c:v>
                </c:pt>
                <c:pt idx="79">
                  <c:v>9.7415650119812706E-4</c:v>
                </c:pt>
                <c:pt idx="80">
                  <c:v>9.426036841630993E-4</c:v>
                </c:pt>
                <c:pt idx="81">
                  <c:v>9.121742003840534E-4</c:v>
                </c:pt>
                <c:pt idx="82">
                  <c:v>8.828581951838652E-4</c:v>
                </c:pt>
                <c:pt idx="83">
                  <c:v>8.5464408523247516E-4</c:v>
                </c:pt>
                <c:pt idx="84">
                  <c:v>8.2751882104041422E-4</c:v>
                </c:pt>
                <c:pt idx="85">
                  <c:v>8.0179766928095274E-4</c:v>
                </c:pt>
                <c:pt idx="86">
                  <c:v>7.7719244838865011E-4</c:v>
                </c:pt>
                <c:pt idx="87">
                  <c:v>7.5368674379526805E-4</c:v>
                </c:pt>
                <c:pt idx="88">
                  <c:v>7.312637464803966E-4</c:v>
                </c:pt>
                <c:pt idx="89">
                  <c:v>7.0990646352757554E-4</c:v>
                </c:pt>
                <c:pt idx="90">
                  <c:v>6.8959791690500235E-4</c:v>
                </c:pt>
                <c:pt idx="91">
                  <c:v>6.7032133147727248E-4</c:v>
                </c:pt>
                <c:pt idx="92">
                  <c:v>6.5203225009833937E-4</c:v>
                </c:pt>
                <c:pt idx="93">
                  <c:v>6.3483179718222104E-4</c:v>
                </c:pt>
                <c:pt idx="94">
                  <c:v>6.1836579840882468E-4</c:v>
                </c:pt>
                <c:pt idx="95">
                  <c:v>6.0261817951658375E-4</c:v>
                </c:pt>
                <c:pt idx="96">
                  <c:v>5.8757365966758974E-4</c:v>
                </c:pt>
                <c:pt idx="97">
                  <c:v>5.7321776605531586E-4</c:v>
                </c:pt>
                <c:pt idx="98">
                  <c:v>5.5953684885959136E-4</c:v>
                </c:pt>
                <c:pt idx="99">
                  <c:v>5.4659673911146268E-4</c:v>
                </c:pt>
                <c:pt idx="100">
                  <c:v>5.3406430705640624E-4</c:v>
                </c:pt>
                <c:pt idx="101">
                  <c:v>5.2192769450920627E-4</c:v>
                </c:pt>
                <c:pt idx="102">
                  <c:v>5.1017538909270876E-4</c:v>
                </c:pt>
                <c:pt idx="103">
                  <c:v>4.9879623196715265E-4</c:v>
                </c:pt>
                <c:pt idx="104">
                  <c:v>4.8777942568848878E-4</c:v>
                </c:pt>
                <c:pt idx="105">
                  <c:v>4.7711454187769668E-4</c:v>
                </c:pt>
                <c:pt idx="106">
                  <c:v>4.6678940329884517E-4</c:v>
                </c:pt>
                <c:pt idx="107">
                  <c:v>4.5691375477987682E-4</c:v>
                </c:pt>
                <c:pt idx="108">
                  <c:v>4.4732856907776694E-4</c:v>
                </c:pt>
                <c:pt idx="109">
                  <c:v>4.3802406980207663E-4</c:v>
                </c:pt>
                <c:pt idx="110">
                  <c:v>4.2899207139871664E-4</c:v>
                </c:pt>
                <c:pt idx="111">
                  <c:v>4.2022468718723894E-4</c:v>
                </c:pt>
                <c:pt idx="112">
                  <c:v>4.1171314686421948E-4</c:v>
                </c:pt>
                <c:pt idx="113">
                  <c:v>4.0362075337418843E-4</c:v>
                </c:pt>
                <c:pt idx="114">
                  <c:v>3.9585960221462867E-4</c:v>
                </c:pt>
                <c:pt idx="115">
                  <c:v>3.8842388074679618E-4</c:v>
                </c:pt>
                <c:pt idx="116">
                  <c:v>3.8130835264704391E-4</c:v>
                </c:pt>
                <c:pt idx="117">
                  <c:v>3.7450835983653742E-4</c:v>
                </c:pt>
                <c:pt idx="118">
                  <c:v>3.6801982443317822E-4</c:v>
                </c:pt>
                <c:pt idx="119">
                  <c:v>3.6183925081945806E-4</c:v>
                </c:pt>
                <c:pt idx="120">
                  <c:v>3.5596913027985101E-4</c:v>
                </c:pt>
                <c:pt idx="121">
                  <c:v>3.506030094737478E-4</c:v>
                </c:pt>
                <c:pt idx="122">
                  <c:v>3.4560800368808804E-4</c:v>
                </c:pt>
                <c:pt idx="123">
                  <c:v>3.4098217568779833E-4</c:v>
                </c:pt>
                <c:pt idx="124">
                  <c:v>3.367244872663566E-4</c:v>
                </c:pt>
                <c:pt idx="125">
                  <c:v>3.3283476923882824E-4</c:v>
                </c:pt>
                <c:pt idx="126">
                  <c:v>3.293136911350585E-4</c:v>
                </c:pt>
                <c:pt idx="127">
                  <c:v>3.261508619675184E-4</c:v>
                </c:pt>
                <c:pt idx="128">
                  <c:v>3.2315467239763342E-4</c:v>
                </c:pt>
                <c:pt idx="129">
                  <c:v>3.2032206631178424E-4</c:v>
                </c:pt>
                <c:pt idx="130">
                  <c:v>3.1765037356662593E-4</c:v>
                </c:pt>
                <c:pt idx="131">
                  <c:v>3.1513729870220756E-4</c:v>
                </c:pt>
                <c:pt idx="132">
                  <c:v>3.1278090967505579E-4</c:v>
                </c:pt>
                <c:pt idx="133">
                  <c:v>3.1057962636357489E-4</c:v>
                </c:pt>
                <c:pt idx="134">
                  <c:v>3.0853981658075476E-4</c:v>
                </c:pt>
                <c:pt idx="135">
                  <c:v>3.0665881212632953E-4</c:v>
                </c:pt>
                <c:pt idx="136">
                  <c:v>3.0471393055710817E-4</c:v>
                </c:pt>
                <c:pt idx="137">
                  <c:v>3.0269824063214611E-4</c:v>
                </c:pt>
                <c:pt idx="138">
                  <c:v>3.0060486821154373E-4</c:v>
                </c:pt>
                <c:pt idx="139">
                  <c:v>2.984270136690381E-4</c:v>
                </c:pt>
                <c:pt idx="140">
                  <c:v>2.9615797032345035E-4</c:v>
                </c:pt>
                <c:pt idx="141">
                  <c:v>2.9391076600416113E-4</c:v>
                </c:pt>
                <c:pt idx="142">
                  <c:v>2.9169375904437042E-4</c:v>
                </c:pt>
                <c:pt idx="143">
                  <c:v>2.8950339880734499E-4</c:v>
                </c:pt>
                <c:pt idx="144">
                  <c:v>2.8733812994911141E-4</c:v>
                </c:pt>
                <c:pt idx="145">
                  <c:v>2.8519661244639502E-4</c:v>
                </c:pt>
                <c:pt idx="146">
                  <c:v>2.8307772439705939E-4</c:v>
                </c:pt>
                <c:pt idx="147">
                  <c:v>2.8098056422777118E-4</c:v>
                </c:pt>
                <c:pt idx="148">
                  <c:v>2.7891098472001646E-4</c:v>
                </c:pt>
                <c:pt idx="149">
                  <c:v>2.7690969726331652E-4</c:v>
                </c:pt>
                <c:pt idx="150">
                  <c:v>2.7498687216370504E-4</c:v>
                </c:pt>
                <c:pt idx="151">
                  <c:v>2.7314264731987184E-4</c:v>
                </c:pt>
                <c:pt idx="152">
                  <c:v>2.7137741206876984E-4</c:v>
                </c:pt>
                <c:pt idx="153">
                  <c:v>2.6969179574532561E-4</c:v>
                </c:pt>
                <c:pt idx="154">
                  <c:v>2.6808665554689558E-4</c:v>
                </c:pt>
                <c:pt idx="155">
                  <c:v>2.6671563324091066E-4</c:v>
                </c:pt>
                <c:pt idx="156">
                  <c:v>2.6544512911999855E-4</c:v>
                </c:pt>
                <c:pt idx="157">
                  <c:v>2.6427707551004482E-4</c:v>
                </c:pt>
                <c:pt idx="158">
                  <c:v>2.6321356274535763E-4</c:v>
                </c:pt>
                <c:pt idx="159">
                  <c:v>2.6225682081278318E-4</c:v>
                </c:pt>
                <c:pt idx="160">
                  <c:v>2.6140920040746996E-4</c:v>
                </c:pt>
                <c:pt idx="161">
                  <c:v>2.6067315343478224E-4</c:v>
                </c:pt>
                <c:pt idx="162">
                  <c:v>2.6005570031878173E-4</c:v>
                </c:pt>
                <c:pt idx="163">
                  <c:v>2.5968911800838167E-4</c:v>
                </c:pt>
                <c:pt idx="164">
                  <c:v>2.5953933218287228E-4</c:v>
                </c:pt>
                <c:pt idx="165">
                  <c:v>2.5961265707396023E-4</c:v>
                </c:pt>
                <c:pt idx="166">
                  <c:v>2.5991537700162419E-4</c:v>
                </c:pt>
                <c:pt idx="167">
                  <c:v>2.6045373304162995E-4</c:v>
                </c:pt>
                <c:pt idx="168">
                  <c:v>2.6123391093912739E-4</c:v>
                </c:pt>
                <c:pt idx="169">
                  <c:v>2.6239202271956572E-4</c:v>
                </c:pt>
                <c:pt idx="170">
                  <c:v>2.6376372095020549E-4</c:v>
                </c:pt>
                <c:pt idx="171">
                  <c:v>2.6535403915680961E-4</c:v>
                </c:pt>
                <c:pt idx="172">
                  <c:v>2.6716795621542131E-4</c:v>
                </c:pt>
                <c:pt idx="173">
                  <c:v>2.6920764003207322E-4</c:v>
                </c:pt>
                <c:pt idx="174">
                  <c:v>2.7147495850683701E-4</c:v>
                </c:pt>
                <c:pt idx="175">
                  <c:v>2.739743240947974E-4</c:v>
                </c:pt>
                <c:pt idx="176">
                  <c:v>2.7671005013696749E-4</c:v>
                </c:pt>
                <c:pt idx="177">
                  <c:v>2.7986746023891756E-4</c:v>
                </c:pt>
                <c:pt idx="178">
                  <c:v>2.8331601442187671E-4</c:v>
                </c:pt>
                <c:pt idx="179">
                  <c:v>2.870603579469233E-4</c:v>
                </c:pt>
                <c:pt idx="180">
                  <c:v>2.9110500183483469E-4</c:v>
                </c:pt>
                <c:pt idx="181">
                  <c:v>2.9545432832920541E-4</c:v>
                </c:pt>
                <c:pt idx="182">
                  <c:v>3.001125976970216E-4</c:v>
                </c:pt>
                <c:pt idx="183">
                  <c:v>3.0513179642047762E-4</c:v>
                </c:pt>
                <c:pt idx="184">
                  <c:v>3.103748384838553E-4</c:v>
                </c:pt>
                <c:pt idx="185">
                  <c:v>3.1584451573303204E-4</c:v>
                </c:pt>
                <c:pt idx="186">
                  <c:v>3.2154360766037393E-4</c:v>
                </c:pt>
                <c:pt idx="187">
                  <c:v>3.2747488849455485E-4</c:v>
                </c:pt>
                <c:pt idx="188">
                  <c:v>3.3364113427387574E-4</c:v>
                </c:pt>
                <c:pt idx="189">
                  <c:v>3.4004512985319214E-4</c:v>
                </c:pt>
                <c:pt idx="190">
                  <c:v>3.466870101058783E-4</c:v>
                </c:pt>
                <c:pt idx="191">
                  <c:v>3.5374112885702301E-4</c:v>
                </c:pt>
                <c:pt idx="192">
                  <c:v>3.6101944772212003E-4</c:v>
                </c:pt>
                <c:pt idx="193">
                  <c:v>3.6852561998072022E-4</c:v>
                </c:pt>
                <c:pt idx="194">
                  <c:v>3.7626345706120475E-4</c:v>
                </c:pt>
                <c:pt idx="195">
                  <c:v>3.8423694120036291E-4</c:v>
                </c:pt>
                <c:pt idx="196">
                  <c:v>3.9245023777984586E-4</c:v>
                </c:pt>
                <c:pt idx="197">
                  <c:v>4.0089810786676501E-4</c:v>
                </c:pt>
                <c:pt idx="198">
                  <c:v>4.0953415461572048E-4</c:v>
                </c:pt>
                <c:pt idx="199">
                  <c:v>4.1836272066342653E-4</c:v>
                </c:pt>
                <c:pt idx="200">
                  <c:v>4.2738838617574861E-4</c:v>
                </c:pt>
                <c:pt idx="201">
                  <c:v>4.3661597446510313E-4</c:v>
                </c:pt>
                <c:pt idx="202">
                  <c:v>4.460505575966091E-4</c:v>
                </c:pt>
                <c:pt idx="203">
                  <c:v>4.5569746220359644E-4</c:v>
                </c:pt>
                <c:pt idx="204">
                  <c:v>4.6555730234808831E-4</c:v>
                </c:pt>
                <c:pt idx="205">
                  <c:v>4.7561733333548336E-4</c:v>
                </c:pt>
                <c:pt idx="206">
                  <c:v>4.8569948402693293E-4</c:v>
                </c:pt>
                <c:pt idx="207">
                  <c:v>4.9580550963204814E-4</c:v>
                </c:pt>
                <c:pt idx="208">
                  <c:v>5.0593718014561352E-4</c:v>
                </c:pt>
                <c:pt idx="209">
                  <c:v>5.1609626719075624E-4</c:v>
                </c:pt>
                <c:pt idx="210">
                  <c:v>5.2628453166361799E-4</c:v>
                </c:pt>
                <c:pt idx="211">
                  <c:v>5.3687710670555374E-4</c:v>
                </c:pt>
                <c:pt idx="212">
                  <c:v>5.478881622301957E-4</c:v>
                </c:pt>
                <c:pt idx="213">
                  <c:v>5.593225423670212E-4</c:v>
                </c:pt>
                <c:pt idx="214">
                  <c:v>5.7118507761925097E-4</c:v>
                </c:pt>
                <c:pt idx="215">
                  <c:v>5.8348058433712821E-4</c:v>
                </c:pt>
                <c:pt idx="216">
                  <c:v>5.9621386402056349E-4</c:v>
                </c:pt>
                <c:pt idx="217">
                  <c:v>6.0938970254801759E-4</c:v>
                </c:pt>
                <c:pt idx="218">
                  <c:v>6.2300781974591879E-4</c:v>
                </c:pt>
                <c:pt idx="219">
                  <c:v>6.3743682223414689E-4</c:v>
                </c:pt>
                <c:pt idx="220">
                  <c:v>6.5269795764578563E-4</c:v>
                </c:pt>
                <c:pt idx="221">
                  <c:v>6.6880118504045747E-4</c:v>
                </c:pt>
                <c:pt idx="222">
                  <c:v>6.8575672093347734E-4</c:v>
                </c:pt>
                <c:pt idx="223">
                  <c:v>7.0357507557778764E-4</c:v>
                </c:pt>
                <c:pt idx="224">
                  <c:v>7.2226708999767973E-4</c:v>
                </c:pt>
                <c:pt idx="225">
                  <c:v>7.4210536555106019E-4</c:v>
                </c:pt>
                <c:pt idx="226">
                  <c:v>7.6271387301020117E-4</c:v>
                </c:pt>
                <c:pt idx="227">
                  <c:v>7.8410351176656757E-4</c:v>
                </c:pt>
                <c:pt idx="228">
                  <c:v>8.0628564265976146E-4</c:v>
                </c:pt>
                <c:pt idx="229">
                  <c:v>8.2927212511596364E-4</c:v>
                </c:pt>
                <c:pt idx="230">
                  <c:v>8.5307535567493852E-4</c:v>
                </c:pt>
                <c:pt idx="231">
                  <c:v>8.7770830821560749E-4</c:v>
                </c:pt>
                <c:pt idx="232">
                  <c:v>9.0317577613416072E-4</c:v>
                </c:pt>
                <c:pt idx="233">
                  <c:v>9.296684546048166E-4</c:v>
                </c:pt>
                <c:pt idx="234">
                  <c:v>9.5681208431451471E-4</c:v>
                </c:pt>
                <c:pt idx="235">
                  <c:v>9.8461477341534021E-4</c:v>
                </c:pt>
                <c:pt idx="236">
                  <c:v>1.0130850953662751E-3</c:v>
                </c:pt>
                <c:pt idx="237">
                  <c:v>1.0422311236900463E-3</c:v>
                </c:pt>
                <c:pt idx="238">
                  <c:v>1.0720610255322695E-3</c:v>
                </c:pt>
                <c:pt idx="239">
                  <c:v>1.1029579231656267E-3</c:v>
                </c:pt>
                <c:pt idx="240">
                  <c:v>1.1346599637728962E-3</c:v>
                </c:pt>
                <c:pt idx="241">
                  <c:v>1.1671768078617122E-3</c:v>
                </c:pt>
                <c:pt idx="242">
                  <c:v>1.2005181855276072E-3</c:v>
                </c:pt>
                <c:pt idx="243">
                  <c:v>1.2346938815273557E-3</c:v>
                </c:pt>
                <c:pt idx="244">
                  <c:v>1.2697137177882819E-3</c:v>
                </c:pt>
                <c:pt idx="245">
                  <c:v>1.3055875335948779E-3</c:v>
                </c:pt>
                <c:pt idx="246">
                  <c:v>1.3423251631345156E-3</c:v>
                </c:pt>
                <c:pt idx="247">
                  <c:v>1.3807262338782905E-3</c:v>
                </c:pt>
                <c:pt idx="248">
                  <c:v>1.4206101637420411E-3</c:v>
                </c:pt>
                <c:pt idx="249">
                  <c:v>1.4619933733662899E-3</c:v>
                </c:pt>
                <c:pt idx="250">
                  <c:v>1.5048922986363907E-3</c:v>
                </c:pt>
                <c:pt idx="251">
                  <c:v>1.5493233521734909E-3</c:v>
                </c:pt>
                <c:pt idx="252">
                  <c:v>1.5953028818622196E-3</c:v>
                </c:pt>
                <c:pt idx="253">
                  <c:v>1.6436820776147389E-3</c:v>
                </c:pt>
                <c:pt idx="254">
                  <c:v>1.6940901120995847E-3</c:v>
                </c:pt>
                <c:pt idx="255">
                  <c:v>1.746548009205444E-3</c:v>
                </c:pt>
                <c:pt idx="256">
                  <c:v>1.8010766212756143E-3</c:v>
                </c:pt>
                <c:pt idx="257">
                  <c:v>1.8576965718794744E-3</c:v>
                </c:pt>
                <c:pt idx="258">
                  <c:v>1.9164281979262294E-3</c:v>
                </c:pt>
                <c:pt idx="259">
                  <c:v>1.9772914916794493E-3</c:v>
                </c:pt>
                <c:pt idx="260">
                  <c:v>2.0403158458361706E-3</c:v>
                </c:pt>
                <c:pt idx="261">
                  <c:v>2.1062359945456396E-3</c:v>
                </c:pt>
                <c:pt idx="262">
                  <c:v>2.1742393356852844E-3</c:v>
                </c:pt>
                <c:pt idx="263">
                  <c:v>2.2443390863310661E-3</c:v>
                </c:pt>
                <c:pt idx="264">
                  <c:v>2.3165473011643538E-3</c:v>
                </c:pt>
                <c:pt idx="265">
                  <c:v>2.3908874850959599E-3</c:v>
                </c:pt>
                <c:pt idx="266">
                  <c:v>2.4673768343981845E-3</c:v>
                </c:pt>
                <c:pt idx="267">
                  <c:v>2.5508731948735213E-3</c:v>
                </c:pt>
                <c:pt idx="268">
                  <c:v>2.6405527489583446E-3</c:v>
                </c:pt>
                <c:pt idx="269">
                  <c:v>2.7364645459974596E-3</c:v>
                </c:pt>
                <c:pt idx="270">
                  <c:v>2.8386551020987585E-3</c:v>
                </c:pt>
                <c:pt idx="271">
                  <c:v>2.9471680650544536E-3</c:v>
                </c:pt>
                <c:pt idx="272">
                  <c:v>3.0620438927263668E-3</c:v>
                </c:pt>
                <c:pt idx="273">
                  <c:v>3.1833195477444878E-3</c:v>
                </c:pt>
                <c:pt idx="274">
                  <c:v>3.3111532861600278E-3</c:v>
                </c:pt>
                <c:pt idx="275">
                  <c:v>3.4487552978106563E-3</c:v>
                </c:pt>
                <c:pt idx="276">
                  <c:v>3.5954259204915772E-3</c:v>
                </c:pt>
                <c:pt idx="277">
                  <c:v>3.7511976115752158E-3</c:v>
                </c:pt>
                <c:pt idx="278">
                  <c:v>3.9160918549546401E-3</c:v>
                </c:pt>
                <c:pt idx="279">
                  <c:v>4.0901175317661909E-3</c:v>
                </c:pt>
                <c:pt idx="280">
                  <c:v>4.2732692675332444E-3</c:v>
                </c:pt>
                <c:pt idx="281">
                  <c:v>4.4638684655094341E-3</c:v>
                </c:pt>
                <c:pt idx="282">
                  <c:v>4.6567278508516897E-3</c:v>
                </c:pt>
                <c:pt idx="283">
                  <c:v>4.8517228283306473E-3</c:v>
                </c:pt>
                <c:pt idx="284">
                  <c:v>5.0487133199502337E-3</c:v>
                </c:pt>
                <c:pt idx="285">
                  <c:v>5.247543392682949E-3</c:v>
                </c:pt>
                <c:pt idx="286">
                  <c:v>5.4480409394813264E-3</c:v>
                </c:pt>
                <c:pt idx="287">
                  <c:v>5.6500174207878579E-3</c:v>
                </c:pt>
                <c:pt idx="288">
                  <c:v>5.8536826084697206E-3</c:v>
                </c:pt>
                <c:pt idx="289">
                  <c:v>6.0570059080530007E-3</c:v>
                </c:pt>
                <c:pt idx="290">
                  <c:v>6.2566600435917533E-3</c:v>
                </c:pt>
                <c:pt idx="291">
                  <c:v>6.4524955872243472E-3</c:v>
                </c:pt>
                <c:pt idx="292">
                  <c:v>6.644358007614158E-3</c:v>
                </c:pt>
                <c:pt idx="293">
                  <c:v>6.8320883210165649E-3</c:v>
                </c:pt>
                <c:pt idx="294">
                  <c:v>7.0155237415762848E-3</c:v>
                </c:pt>
                <c:pt idx="295">
                  <c:v>7.1923758235066318E-3</c:v>
                </c:pt>
                <c:pt idx="296">
                  <c:v>7.3642762869344045E-3</c:v>
                </c:pt>
                <c:pt idx="297">
                  <c:v>7.5311241189649327E-3</c:v>
                </c:pt>
                <c:pt idx="298">
                  <c:v>7.6927589019727344E-3</c:v>
                </c:pt>
                <c:pt idx="299">
                  <c:v>7.8490194754402311E-3</c:v>
                </c:pt>
                <c:pt idx="300">
                  <c:v>7.9997445230139477E-3</c:v>
                </c:pt>
                <c:pt idx="301">
                  <c:v>8.1447731408228821E-3</c:v>
                </c:pt>
                <c:pt idx="302">
                  <c:v>8.2844389968946917E-3</c:v>
                </c:pt>
                <c:pt idx="303">
                  <c:v>8.4230666240561452E-3</c:v>
                </c:pt>
                <c:pt idx="304">
                  <c:v>8.5629922024156903E-3</c:v>
                </c:pt>
                <c:pt idx="305">
                  <c:v>8.7042034984671206E-3</c:v>
                </c:pt>
                <c:pt idx="306">
                  <c:v>8.8466912316121464E-3</c:v>
                </c:pt>
                <c:pt idx="307">
                  <c:v>8.9904489278139505E-3</c:v>
                </c:pt>
                <c:pt idx="308">
                  <c:v>9.1354726950365304E-3</c:v>
                </c:pt>
                <c:pt idx="309">
                  <c:v>9.2793790567538715E-3</c:v>
                </c:pt>
                <c:pt idx="310">
                  <c:v>9.4243104578951176E-3</c:v>
                </c:pt>
                <c:pt idx="311">
                  <c:v>9.5702689028483012E-3</c:v>
                </c:pt>
                <c:pt idx="312">
                  <c:v>9.7172572312716372E-3</c:v>
                </c:pt>
                <c:pt idx="313">
                  <c:v>9.8652784143334078E-3</c:v>
                </c:pt>
                <c:pt idx="314">
                  <c:v>1.0014334747788754E-2</c:v>
                </c:pt>
                <c:pt idx="315">
                  <c:v>1.0164426938548845E-2</c:v>
                </c:pt>
                <c:pt idx="316">
                  <c:v>1.0316233046914E-2</c:v>
                </c:pt>
                <c:pt idx="317">
                  <c:v>1.0464285601799666E-2</c:v>
                </c:pt>
                <c:pt idx="318">
                  <c:v>1.0604690722803879E-2</c:v>
                </c:pt>
                <c:pt idx="319">
                  <c:v>1.0737445339586812E-2</c:v>
                </c:pt>
                <c:pt idx="320">
                  <c:v>1.0862529658837883E-2</c:v>
                </c:pt>
                <c:pt idx="321">
                  <c:v>1.0979905690748226E-2</c:v>
                </c:pt>
                <c:pt idx="322">
                  <c:v>1.1089515862401454E-2</c:v>
                </c:pt>
                <c:pt idx="323">
                  <c:v>1.1192431691850619E-2</c:v>
                </c:pt>
                <c:pt idx="324">
                  <c:v>1.12909373492083E-2</c:v>
                </c:pt>
                <c:pt idx="325">
                  <c:v>1.1384913344256618E-2</c:v>
                </c:pt>
                <c:pt idx="326">
                  <c:v>1.1474145782953211E-2</c:v>
                </c:pt>
                <c:pt idx="327">
                  <c:v>1.1558442731003541E-2</c:v>
                </c:pt>
                <c:pt idx="328">
                  <c:v>1.1637646970131718E-2</c:v>
                </c:pt>
                <c:pt idx="329">
                  <c:v>1.1711577650006459E-2</c:v>
                </c:pt>
                <c:pt idx="330">
                  <c:v>1.1781256375813228E-2</c:v>
                </c:pt>
                <c:pt idx="331">
                  <c:v>1.184542293686267E-2</c:v>
                </c:pt>
                <c:pt idx="332">
                  <c:v>1.1910055167150846E-2</c:v>
                </c:pt>
                <c:pt idx="333">
                  <c:v>1.1974921209409375E-2</c:v>
                </c:pt>
                <c:pt idx="334">
                  <c:v>1.2039759246203954E-2</c:v>
                </c:pt>
                <c:pt idx="335">
                  <c:v>1.210427711044303E-2</c:v>
                </c:pt>
                <c:pt idx="336">
                  <c:v>1.2168152239301561E-2</c:v>
                </c:pt>
                <c:pt idx="337">
                  <c:v>1.2225665338022114E-2</c:v>
                </c:pt>
                <c:pt idx="338">
                  <c:v>1.2275257734591731E-2</c:v>
                </c:pt>
                <c:pt idx="339">
                  <c:v>1.23165020041418E-2</c:v>
                </c:pt>
                <c:pt idx="340">
                  <c:v>1.2348948743041297E-2</c:v>
                </c:pt>
                <c:pt idx="341">
                  <c:v>1.2372131181036073E-2</c:v>
                </c:pt>
                <c:pt idx="342">
                  <c:v>1.2385570440568842E-2</c:v>
                </c:pt>
                <c:pt idx="343">
                  <c:v>1.2388781413236646E-2</c:v>
                </c:pt>
                <c:pt idx="344">
                  <c:v>1.238267680980922E-2</c:v>
                </c:pt>
                <c:pt idx="345">
                  <c:v>1.2368235258613828E-2</c:v>
                </c:pt>
                <c:pt idx="346">
                  <c:v>1.2350650853672559E-2</c:v>
                </c:pt>
                <c:pt idx="347">
                  <c:v>1.2329531770496683E-2</c:v>
                </c:pt>
                <c:pt idx="348">
                  <c:v>1.2304485297983347E-2</c:v>
                </c:pt>
                <c:pt idx="349">
                  <c:v>1.2275121350722919E-2</c:v>
                </c:pt>
                <c:pt idx="350">
                  <c:v>1.2241056174124765E-2</c:v>
                </c:pt>
                <c:pt idx="351">
                  <c:v>1.220517821769343E-2</c:v>
                </c:pt>
                <c:pt idx="352">
                  <c:v>1.2172494749306024E-2</c:v>
                </c:pt>
                <c:pt idx="353">
                  <c:v>1.2142625495351465E-2</c:v>
                </c:pt>
                <c:pt idx="354">
                  <c:v>1.2115194327184785E-2</c:v>
                </c:pt>
                <c:pt idx="355">
                  <c:v>1.2089830708522745E-2</c:v>
                </c:pt>
                <c:pt idx="356">
                  <c:v>1.2066155341578079E-2</c:v>
                </c:pt>
                <c:pt idx="357">
                  <c:v>1.2043811703124272E-2</c:v>
                </c:pt>
                <c:pt idx="358">
                  <c:v>1.2022451114027404E-2</c:v>
                </c:pt>
                <c:pt idx="359">
                  <c:v>1.200207724687502E-2</c:v>
                </c:pt>
                <c:pt idx="360">
                  <c:v>1.1977558723152903E-2</c:v>
                </c:pt>
                <c:pt idx="361">
                  <c:v>1.194592795450251E-2</c:v>
                </c:pt>
                <c:pt idx="362">
                  <c:v>1.1907452224814321E-2</c:v>
                </c:pt>
                <c:pt idx="363">
                  <c:v>1.1862417546066265E-2</c:v>
                </c:pt>
                <c:pt idx="364">
                  <c:v>1.1811125822457712E-2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249312"/>
        <c:axId val="214249704"/>
      </c:lineChart>
      <c:dateAx>
        <c:axId val="2142493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9704"/>
        <c:crosses val="autoZero"/>
        <c:auto val="1"/>
        <c:lblOffset val="100"/>
        <c:baseTimeUnit val="days"/>
        <c:majorUnit val="1"/>
        <c:majorTimeUnit val="months"/>
      </c:dateAx>
      <c:valAx>
        <c:axId val="2142497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249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22.823665648843193</c:v>
                </c:pt>
                <c:pt idx="1">
                  <c:v>22.965205504906123</c:v>
                </c:pt>
                <c:pt idx="2">
                  <c:v>23.116201938554699</c:v>
                </c:pt>
                <c:pt idx="3">
                  <c:v>23.276179342238418</c:v>
                </c:pt>
                <c:pt idx="4">
                  <c:v>23.444662169573313</c:v>
                </c:pt>
                <c:pt idx="5">
                  <c:v>23.621174920155237</c:v>
                </c:pt>
                <c:pt idx="6">
                  <c:v>23.805242144134301</c:v>
                </c:pt>
                <c:pt idx="7">
                  <c:v>23.996388442926886</c:v>
                </c:pt>
                <c:pt idx="8">
                  <c:v>24.197099540207013</c:v>
                </c:pt>
                <c:pt idx="9">
                  <c:v>24.409629076795053</c:v>
                </c:pt>
                <c:pt idx="10">
                  <c:v>24.633074002667662</c:v>
                </c:pt>
                <c:pt idx="11">
                  <c:v>24.866649404189918</c:v>
                </c:pt>
                <c:pt idx="12">
                  <c:v>25.109570566551277</c:v>
                </c:pt>
                <c:pt idx="13">
                  <c:v>25.361052997634356</c:v>
                </c:pt>
                <c:pt idx="14">
                  <c:v>25.620312432660906</c:v>
                </c:pt>
                <c:pt idx="15">
                  <c:v>25.886701388543418</c:v>
                </c:pt>
                <c:pt idx="16">
                  <c:v>26.159385345972709</c:v>
                </c:pt>
                <c:pt idx="17">
                  <c:v>26.437580733311613</c:v>
                </c:pt>
                <c:pt idx="18">
                  <c:v>26.720504259371147</c:v>
                </c:pt>
                <c:pt idx="19">
                  <c:v>27.00737151246258</c:v>
                </c:pt>
                <c:pt idx="20">
                  <c:v>27.29739778678583</c:v>
                </c:pt>
                <c:pt idx="21">
                  <c:v>27.589798386847612</c:v>
                </c:pt>
                <c:pt idx="22">
                  <c:v>27.887717109667243</c:v>
                </c:pt>
                <c:pt idx="23">
                  <c:v>28.194262574825018</c:v>
                </c:pt>
                <c:pt idx="24">
                  <c:v>28.508547252213603</c:v>
                </c:pt>
                <c:pt idx="25">
                  <c:v>28.829658762324343</c:v>
                </c:pt>
                <c:pt idx="26">
                  <c:v>29.156685173753427</c:v>
                </c:pt>
                <c:pt idx="27">
                  <c:v>29.488715014551222</c:v>
                </c:pt>
                <c:pt idx="28">
                  <c:v>29.824837268588393</c:v>
                </c:pt>
                <c:pt idx="29">
                  <c:v>30.164055023360557</c:v>
                </c:pt>
                <c:pt idx="30">
                  <c:v>30.505321994865032</c:v>
                </c:pt>
                <c:pt idx="31">
                  <c:v>30.847728589240415</c:v>
                </c:pt>
                <c:pt idx="32">
                  <c:v>31.190365650261679</c:v>
                </c:pt>
                <c:pt idx="33">
                  <c:v>31.532324447488794</c:v>
                </c:pt>
                <c:pt idx="34">
                  <c:v>31.872696675397915</c:v>
                </c:pt>
                <c:pt idx="35">
                  <c:v>32.210574446189817</c:v>
                </c:pt>
                <c:pt idx="36">
                  <c:v>32.547540602404148</c:v>
                </c:pt>
                <c:pt idx="37">
                  <c:v>32.885763020325982</c:v>
                </c:pt>
                <c:pt idx="38">
                  <c:v>33.225088036067326</c:v>
                </c:pt>
                <c:pt idx="39">
                  <c:v>33.565414816510639</c:v>
                </c:pt>
                <c:pt idx="40">
                  <c:v>33.906642581352209</c:v>
                </c:pt>
                <c:pt idx="41">
                  <c:v>34.248670596136058</c:v>
                </c:pt>
                <c:pt idx="42">
                  <c:v>34.59139816462163</c:v>
                </c:pt>
                <c:pt idx="43">
                  <c:v>34.934776853695332</c:v>
                </c:pt>
                <c:pt idx="44">
                  <c:v>35.278792402266674</c:v>
                </c:pt>
                <c:pt idx="45">
                  <c:v>35.623344248789756</c:v>
                </c:pt>
                <c:pt idx="46">
                  <c:v>35.968331851088926</c:v>
                </c:pt>
                <c:pt idx="47">
                  <c:v>36.313654678148495</c:v>
                </c:pt>
                <c:pt idx="48">
                  <c:v>36.659212205085552</c:v>
                </c:pt>
                <c:pt idx="49">
                  <c:v>37.0049039067151</c:v>
                </c:pt>
                <c:pt idx="50">
                  <c:v>37.350881297479951</c:v>
                </c:pt>
                <c:pt idx="51">
                  <c:v>37.697401685590421</c:v>
                </c:pt>
                <c:pt idx="52">
                  <c:v>38.044418871211334</c:v>
                </c:pt>
                <c:pt idx="53">
                  <c:v>38.39193386226011</c:v>
                </c:pt>
                <c:pt idx="54">
                  <c:v>38.73994681136179</c:v>
                </c:pt>
                <c:pt idx="55">
                  <c:v>39.088457797736673</c:v>
                </c:pt>
                <c:pt idx="56">
                  <c:v>39.437466828606837</c:v>
                </c:pt>
                <c:pt idx="57">
                  <c:v>39.786901357498579</c:v>
                </c:pt>
                <c:pt idx="58">
                  <c:v>40.136708737690149</c:v>
                </c:pt>
                <c:pt idx="59">
                  <c:v>40.486888685040533</c:v>
                </c:pt>
                <c:pt idx="60">
                  <c:v>40.837440861902323</c:v>
                </c:pt>
                <c:pt idx="61">
                  <c:v>41.188364882581965</c:v>
                </c:pt>
                <c:pt idx="62">
                  <c:v>41.53966031998641</c:v>
                </c:pt>
                <c:pt idx="63">
                  <c:v>41.891326710907371</c:v>
                </c:pt>
                <c:pt idx="64">
                  <c:v>42.24445423401643</c:v>
                </c:pt>
                <c:pt idx="65">
                  <c:v>42.599677991349459</c:v>
                </c:pt>
                <c:pt idx="66">
                  <c:v>42.956454434583186</c:v>
                </c:pt>
                <c:pt idx="67">
                  <c:v>43.314279147471943</c:v>
                </c:pt>
                <c:pt idx="68">
                  <c:v>43.672647874268812</c:v>
                </c:pt>
                <c:pt idx="69">
                  <c:v>44.031056518204821</c:v>
                </c:pt>
                <c:pt idx="70">
                  <c:v>44.389001138130631</c:v>
                </c:pt>
                <c:pt idx="71">
                  <c:v>44.745959804303368</c:v>
                </c:pt>
                <c:pt idx="72">
                  <c:v>45.101501608526235</c:v>
                </c:pt>
                <c:pt idx="73">
                  <c:v>45.455123087242093</c:v>
                </c:pt>
                <c:pt idx="74">
                  <c:v>45.806320928397604</c:v>
                </c:pt>
                <c:pt idx="75">
                  <c:v>46.154591971643896</c:v>
                </c:pt>
                <c:pt idx="76">
                  <c:v>46.499433200472026</c:v>
                </c:pt>
                <c:pt idx="77">
                  <c:v>46.840341739719022</c:v>
                </c:pt>
                <c:pt idx="78">
                  <c:v>47.179814236096291</c:v>
                </c:pt>
                <c:pt idx="79">
                  <c:v>47.520123027832163</c:v>
                </c:pt>
                <c:pt idx="80">
                  <c:v>47.860582472084857</c:v>
                </c:pt>
                <c:pt idx="81">
                  <c:v>48.200387456104018</c:v>
                </c:pt>
                <c:pt idx="82">
                  <c:v>48.538733168351961</c:v>
                </c:pt>
                <c:pt idx="83">
                  <c:v>48.87481510000061</c:v>
                </c:pt>
                <c:pt idx="84">
                  <c:v>49.207829046775821</c:v>
                </c:pt>
                <c:pt idx="85">
                  <c:v>49.536949641256427</c:v>
                </c:pt>
                <c:pt idx="86">
                  <c:v>49.86139191307312</c:v>
                </c:pt>
                <c:pt idx="87">
                  <c:v>50.180352609313424</c:v>
                </c:pt>
                <c:pt idx="88">
                  <c:v>50.493028793460681</c:v>
                </c:pt>
                <c:pt idx="89">
                  <c:v>50.845118116463389</c:v>
                </c:pt>
                <c:pt idx="90">
                  <c:v>51.141726071336684</c:v>
                </c:pt>
                <c:pt idx="91">
                  <c:v>51.42968843584503</c:v>
                </c:pt>
                <c:pt idx="92">
                  <c:v>51.710429009877991</c:v>
                </c:pt>
                <c:pt idx="93">
                  <c:v>51.985839489034845</c:v>
                </c:pt>
                <c:pt idx="94">
                  <c:v>52.255820024392008</c:v>
                </c:pt>
                <c:pt idx="95">
                  <c:v>52.520270813485098</c:v>
                </c:pt>
                <c:pt idx="96">
                  <c:v>52.77909210889743</c:v>
                </c:pt>
                <c:pt idx="97">
                  <c:v>53.032184221095157</c:v>
                </c:pt>
                <c:pt idx="98">
                  <c:v>53.279447519103904</c:v>
                </c:pt>
                <c:pt idx="99">
                  <c:v>53.52078243069581</c:v>
                </c:pt>
                <c:pt idx="100">
                  <c:v>53.756089488217029</c:v>
                </c:pt>
                <c:pt idx="101">
                  <c:v>53.985269275045098</c:v>
                </c:pt>
                <c:pt idx="102">
                  <c:v>54.208222445972964</c:v>
                </c:pt>
                <c:pt idx="103">
                  <c:v>54.424849739172132</c:v>
                </c:pt>
                <c:pt idx="104">
                  <c:v>54.63505197227375</c:v>
                </c:pt>
                <c:pt idx="105">
                  <c:v>54.838730051846461</c:v>
                </c:pt>
                <c:pt idx="106">
                  <c:v>55.036035591915059</c:v>
                </c:pt>
                <c:pt idx="107">
                  <c:v>55.227186968759781</c:v>
                </c:pt>
                <c:pt idx="108">
                  <c:v>55.412185378375611</c:v>
                </c:pt>
                <c:pt idx="109">
                  <c:v>55.591032085835373</c:v>
                </c:pt>
                <c:pt idx="110">
                  <c:v>55.763728412045815</c:v>
                </c:pt>
                <c:pt idx="111">
                  <c:v>55.930275737462097</c:v>
                </c:pt>
                <c:pt idx="112">
                  <c:v>56.090675508273442</c:v>
                </c:pt>
                <c:pt idx="113">
                  <c:v>56.244929215384801</c:v>
                </c:pt>
                <c:pt idx="114">
                  <c:v>56.393038476264564</c:v>
                </c:pt>
                <c:pt idx="115">
                  <c:v>56.535004951913237</c:v>
                </c:pt>
                <c:pt idx="116">
                  <c:v>56.670830383749511</c:v>
                </c:pt>
                <c:pt idx="117">
                  <c:v>56.80051659460652</c:v>
                </c:pt>
                <c:pt idx="118">
                  <c:v>56.924065496317169</c:v>
                </c:pt>
                <c:pt idx="119">
                  <c:v>57.041479082453527</c:v>
                </c:pt>
                <c:pt idx="120">
                  <c:v>57.151891998946766</c:v>
                </c:pt>
                <c:pt idx="121">
                  <c:v>57.254706167375254</c:v>
                </c:pt>
                <c:pt idx="122">
                  <c:v>57.350324771042402</c:v>
                </c:pt>
                <c:pt idx="123">
                  <c:v>57.439150793452328</c:v>
                </c:pt>
                <c:pt idx="124">
                  <c:v>57.521587141508604</c:v>
                </c:pt>
                <c:pt idx="125">
                  <c:v>57.598036635068581</c:v>
                </c:pt>
                <c:pt idx="126">
                  <c:v>57.668902012976112</c:v>
                </c:pt>
                <c:pt idx="127">
                  <c:v>57.734585978655289</c:v>
                </c:pt>
                <c:pt idx="128">
                  <c:v>57.795491170855968</c:v>
                </c:pt>
                <c:pt idx="129">
                  <c:v>57.852020087792646</c:v>
                </c:pt>
                <c:pt idx="130">
                  <c:v>57.90457513948693</c:v>
                </c:pt>
                <c:pt idx="131">
                  <c:v>57.953558649559668</c:v>
                </c:pt>
                <c:pt idx="132">
                  <c:v>57.999372848733984</c:v>
                </c:pt>
                <c:pt idx="133">
                  <c:v>58.042419873617597</c:v>
                </c:pt>
                <c:pt idx="134">
                  <c:v>58.08166956497346</c:v>
                </c:pt>
                <c:pt idx="135">
                  <c:v>58.115959272179722</c:v>
                </c:pt>
                <c:pt idx="136">
                  <c:v>58.145492383178677</c:v>
                </c:pt>
                <c:pt idx="137">
                  <c:v>58.170472108837131</c:v>
                </c:pt>
                <c:pt idx="138">
                  <c:v>58.191101651531525</c:v>
                </c:pt>
                <c:pt idx="139">
                  <c:v>58.207584204258566</c:v>
                </c:pt>
                <c:pt idx="140">
                  <c:v>58.220122947084604</c:v>
                </c:pt>
                <c:pt idx="141">
                  <c:v>58.228920785852296</c:v>
                </c:pt>
                <c:pt idx="142">
                  <c:v>58.234180704435438</c:v>
                </c:pt>
                <c:pt idx="143">
                  <c:v>58.236105751743985</c:v>
                </c:pt>
                <c:pt idx="144">
                  <c:v>58.234898926430127</c:v>
                </c:pt>
                <c:pt idx="145">
                  <c:v>58.230763177686939</c:v>
                </c:pt>
                <c:pt idx="146">
                  <c:v>58.223901392843537</c:v>
                </c:pt>
                <c:pt idx="147">
                  <c:v>58.214516389670742</c:v>
                </c:pt>
                <c:pt idx="148">
                  <c:v>58.201447713722956</c:v>
                </c:pt>
                <c:pt idx="149">
                  <c:v>58.183668420692982</c:v>
                </c:pt>
                <c:pt idx="150">
                  <c:v>58.161581272116166</c:v>
                </c:pt>
                <c:pt idx="151">
                  <c:v>58.135589005098772</c:v>
                </c:pt>
                <c:pt idx="152">
                  <c:v>58.106094139976115</c:v>
                </c:pt>
                <c:pt idx="153">
                  <c:v>58.07349897050814</c:v>
                </c:pt>
                <c:pt idx="154">
                  <c:v>58.038205552789648</c:v>
                </c:pt>
                <c:pt idx="155">
                  <c:v>58.000615398807753</c:v>
                </c:pt>
                <c:pt idx="156">
                  <c:v>57.961130477547243</c:v>
                </c:pt>
                <c:pt idx="157">
                  <c:v>57.920152102237601</c:v>
                </c:pt>
                <c:pt idx="158">
                  <c:v>57.878081317798511</c:v>
                </c:pt>
                <c:pt idx="159">
                  <c:v>57.83531889678919</c:v>
                </c:pt>
                <c:pt idx="160">
                  <c:v>57.792265331724288</c:v>
                </c:pt>
                <c:pt idx="161">
                  <c:v>57.749320830306196</c:v>
                </c:pt>
                <c:pt idx="162">
                  <c:v>57.705889572067925</c:v>
                </c:pt>
                <c:pt idx="163">
                  <c:v>57.661110076661537</c:v>
                </c:pt>
                <c:pt idx="164">
                  <c:v>57.614984351732609</c:v>
                </c:pt>
                <c:pt idx="165">
                  <c:v>57.567514189174183</c:v>
                </c:pt>
                <c:pt idx="166">
                  <c:v>57.518701256925965</c:v>
                </c:pt>
                <c:pt idx="167">
                  <c:v>57.468547092014056</c:v>
                </c:pt>
                <c:pt idx="168">
                  <c:v>57.417053099992955</c:v>
                </c:pt>
                <c:pt idx="169">
                  <c:v>57.364220147518736</c:v>
                </c:pt>
                <c:pt idx="170">
                  <c:v>57.310049793863399</c:v>
                </c:pt>
                <c:pt idx="171">
                  <c:v>57.254543034204723</c:v>
                </c:pt>
                <c:pt idx="172">
                  <c:v>57.197700722841816</c:v>
                </c:pt>
                <c:pt idx="173">
                  <c:v>57.139523579692039</c:v>
                </c:pt>
                <c:pt idx="174">
                  <c:v>57.080012185870075</c:v>
                </c:pt>
                <c:pt idx="175">
                  <c:v>57.019166981082371</c:v>
                </c:pt>
                <c:pt idx="176">
                  <c:v>56.956988272580034</c:v>
                </c:pt>
                <c:pt idx="177">
                  <c:v>56.893475710773039</c:v>
                </c:pt>
                <c:pt idx="178">
                  <c:v>56.828629797260518</c:v>
                </c:pt>
                <c:pt idx="179">
                  <c:v>56.762450455370015</c:v>
                </c:pt>
                <c:pt idx="180">
                  <c:v>56.694937491106522</c:v>
                </c:pt>
                <c:pt idx="181">
                  <c:v>56.626090600656816</c:v>
                </c:pt>
                <c:pt idx="182">
                  <c:v>56.555909374600233</c:v>
                </c:pt>
                <c:pt idx="183">
                  <c:v>56.484393154501753</c:v>
                </c:pt>
                <c:pt idx="184">
                  <c:v>56.411541863239449</c:v>
                </c:pt>
                <c:pt idx="185">
                  <c:v>56.337354836062424</c:v>
                </c:pt>
                <c:pt idx="186">
                  <c:v>56.261831334313634</c:v>
                </c:pt>
                <c:pt idx="187">
                  <c:v>56.184970550982904</c:v>
                </c:pt>
                <c:pt idx="188">
                  <c:v>56.106771622300087</c:v>
                </c:pt>
                <c:pt idx="189">
                  <c:v>56.027233633758669</c:v>
                </c:pt>
                <c:pt idx="190">
                  <c:v>55.946785796244754</c:v>
                </c:pt>
                <c:pt idx="191">
                  <c:v>55.865723881051025</c:v>
                </c:pt>
                <c:pt idx="192">
                  <c:v>55.783848779710105</c:v>
                </c:pt>
                <c:pt idx="193">
                  <c:v>55.700960827663863</c:v>
                </c:pt>
                <c:pt idx="194">
                  <c:v>55.616860433490281</c:v>
                </c:pt>
                <c:pt idx="195">
                  <c:v>55.531348085475685</c:v>
                </c:pt>
                <c:pt idx="196">
                  <c:v>55.444224358387117</c:v>
                </c:pt>
                <c:pt idx="197">
                  <c:v>55.355290470020378</c:v>
                </c:pt>
                <c:pt idx="198">
                  <c:v>55.264347377290356</c:v>
                </c:pt>
                <c:pt idx="199">
                  <c:v>55.171195969562817</c:v>
                </c:pt>
                <c:pt idx="200">
                  <c:v>55.075637245040888</c:v>
                </c:pt>
                <c:pt idx="201">
                  <c:v>54.977472314475776</c:v>
                </c:pt>
                <c:pt idx="202">
                  <c:v>54.876502409889746</c:v>
                </c:pt>
                <c:pt idx="203">
                  <c:v>54.772528885491418</c:v>
                </c:pt>
                <c:pt idx="204">
                  <c:v>54.665848904830639</c:v>
                </c:pt>
                <c:pt idx="205">
                  <c:v>54.556892177169082</c:v>
                </c:pt>
                <c:pt idx="206">
                  <c:v>54.445659379208792</c:v>
                </c:pt>
                <c:pt idx="207">
                  <c:v>54.332150266169897</c:v>
                </c:pt>
                <c:pt idx="208">
                  <c:v>54.216364654356518</c:v>
                </c:pt>
                <c:pt idx="209">
                  <c:v>54.098302425758696</c:v>
                </c:pt>
                <c:pt idx="210">
                  <c:v>53.977963526358117</c:v>
                </c:pt>
                <c:pt idx="211">
                  <c:v>53.855346897091195</c:v>
                </c:pt>
                <c:pt idx="212">
                  <c:v>53.730451998288643</c:v>
                </c:pt>
                <c:pt idx="213">
                  <c:v>53.603278949104002</c:v>
                </c:pt>
                <c:pt idx="214">
                  <c:v>53.473827930760145</c:v>
                </c:pt>
                <c:pt idx="215">
                  <c:v>53.342099186177741</c:v>
                </c:pt>
                <c:pt idx="216">
                  <c:v>53.208093019234894</c:v>
                </c:pt>
                <c:pt idx="217">
                  <c:v>53.071809789336484</c:v>
                </c:pt>
                <c:pt idx="218">
                  <c:v>52.933678951984703</c:v>
                </c:pt>
                <c:pt idx="219">
                  <c:v>52.793997389042346</c:v>
                </c:pt>
                <c:pt idx="220">
                  <c:v>52.652566970448923</c:v>
                </c:pt>
                <c:pt idx="221">
                  <c:v>52.50919013805791</c:v>
                </c:pt>
                <c:pt idx="222">
                  <c:v>52.363669444342975</c:v>
                </c:pt>
                <c:pt idx="223">
                  <c:v>52.21580755198643</c:v>
                </c:pt>
                <c:pt idx="224">
                  <c:v>52.065407227896735</c:v>
                </c:pt>
                <c:pt idx="225">
                  <c:v>51.912269940029404</c:v>
                </c:pt>
                <c:pt idx="226">
                  <c:v>51.756199766004528</c:v>
                </c:pt>
                <c:pt idx="227">
                  <c:v>51.596999763880852</c:v>
                </c:pt>
                <c:pt idx="228">
                  <c:v>51.434473081406516</c:v>
                </c:pt>
                <c:pt idx="229">
                  <c:v>51.268422952445327</c:v>
                </c:pt>
                <c:pt idx="230">
                  <c:v>51.098652697834567</c:v>
                </c:pt>
                <c:pt idx="231">
                  <c:v>50.924965715586701</c:v>
                </c:pt>
                <c:pt idx="232">
                  <c:v>50.747659924983324</c:v>
                </c:pt>
                <c:pt idx="233">
                  <c:v>50.567164331002637</c:v>
                </c:pt>
                <c:pt idx="234">
                  <c:v>50.383480497817629</c:v>
                </c:pt>
                <c:pt idx="235">
                  <c:v>50.196609510313216</c:v>
                </c:pt>
                <c:pt idx="236">
                  <c:v>50.006552457820675</c:v>
                </c:pt>
                <c:pt idx="237">
                  <c:v>49.813310437301602</c:v>
                </c:pt>
                <c:pt idx="238">
                  <c:v>49.616884548355955</c:v>
                </c:pt>
                <c:pt idx="239">
                  <c:v>49.417276369141348</c:v>
                </c:pt>
                <c:pt idx="240">
                  <c:v>49.21448844117441</c:v>
                </c:pt>
                <c:pt idx="241">
                  <c:v>49.008521878635747</c:v>
                </c:pt>
                <c:pt idx="242">
                  <c:v>48.799377802536135</c:v>
                </c:pt>
                <c:pt idx="243">
                  <c:v>48.587057336280807</c:v>
                </c:pt>
                <c:pt idx="244">
                  <c:v>48.371561608970502</c:v>
                </c:pt>
                <c:pt idx="245">
                  <c:v>48.152891753655659</c:v>
                </c:pt>
                <c:pt idx="246">
                  <c:v>47.931048912667706</c:v>
                </c:pt>
                <c:pt idx="247">
                  <c:v>47.706032289488384</c:v>
                </c:pt>
                <c:pt idx="248">
                  <c:v>47.477843700422156</c:v>
                </c:pt>
                <c:pt idx="249">
                  <c:v>47.2464843064623</c:v>
                </c:pt>
                <c:pt idx="250">
                  <c:v>47.011955279441565</c:v>
                </c:pt>
                <c:pt idx="251">
                  <c:v>46.774257797825527</c:v>
                </c:pt>
                <c:pt idx="252">
                  <c:v>46.53339304809294</c:v>
                </c:pt>
                <c:pt idx="253">
                  <c:v>46.289360420024799</c:v>
                </c:pt>
                <c:pt idx="254">
                  <c:v>46.042160643192901</c:v>
                </c:pt>
                <c:pt idx="255">
                  <c:v>45.791794929352797</c:v>
                </c:pt>
                <c:pt idx="256">
                  <c:v>45.538264494674955</c:v>
                </c:pt>
                <c:pt idx="257">
                  <c:v>45.281570557932689</c:v>
                </c:pt>
                <c:pt idx="258">
                  <c:v>45.021714336959775</c:v>
                </c:pt>
                <c:pt idx="259">
                  <c:v>44.758697050069195</c:v>
                </c:pt>
                <c:pt idx="260">
                  <c:v>44.49230614250942</c:v>
                </c:pt>
                <c:pt idx="261">
                  <c:v>44.222394899757653</c:v>
                </c:pt>
                <c:pt idx="262">
                  <c:v>43.949065152468123</c:v>
                </c:pt>
                <c:pt idx="263">
                  <c:v>43.672416756668042</c:v>
                </c:pt>
                <c:pt idx="264">
                  <c:v>43.392549515190659</c:v>
                </c:pt>
                <c:pt idx="265">
                  <c:v>43.109563142478031</c:v>
                </c:pt>
                <c:pt idx="266">
                  <c:v>42.823557302979452</c:v>
                </c:pt>
                <c:pt idx="267">
                  <c:v>42.534630606377917</c:v>
                </c:pt>
                <c:pt idx="268">
                  <c:v>42.242884365098483</c:v>
                </c:pt>
                <c:pt idx="269">
                  <c:v>41.948418043484949</c:v>
                </c:pt>
                <c:pt idx="270">
                  <c:v>41.651331020299104</c:v>
                </c:pt>
                <c:pt idx="271">
                  <c:v>41.351722588782451</c:v>
                </c:pt>
                <c:pt idx="272">
                  <c:v>41.049691946625629</c:v>
                </c:pt>
                <c:pt idx="273">
                  <c:v>40.745338195480102</c:v>
                </c:pt>
                <c:pt idx="274">
                  <c:v>40.437232604005558</c:v>
                </c:pt>
                <c:pt idx="275">
                  <c:v>40.124257898111388</c:v>
                </c:pt>
                <c:pt idx="276">
                  <c:v>39.807006313039928</c:v>
                </c:pt>
                <c:pt idx="277">
                  <c:v>39.486069866056063</c:v>
                </c:pt>
                <c:pt idx="278">
                  <c:v>39.162040336225786</c:v>
                </c:pt>
                <c:pt idx="279">
                  <c:v>38.835509270541131</c:v>
                </c:pt>
                <c:pt idx="280">
                  <c:v>38.507067982946282</c:v>
                </c:pt>
                <c:pt idx="281">
                  <c:v>38.177302169879916</c:v>
                </c:pt>
                <c:pt idx="282">
                  <c:v>37.846803727703154</c:v>
                </c:pt>
                <c:pt idx="283">
                  <c:v>37.516163368365461</c:v>
                </c:pt>
                <c:pt idx="284">
                  <c:v>37.185971590003753</c:v>
                </c:pt>
                <c:pt idx="285">
                  <c:v>36.856818683666006</c:v>
                </c:pt>
                <c:pt idx="286">
                  <c:v>36.529294737203863</c:v>
                </c:pt>
                <c:pt idx="287">
                  <c:v>36.203989640906222</c:v>
                </c:pt>
                <c:pt idx="288">
                  <c:v>35.878948983801664</c:v>
                </c:pt>
                <c:pt idx="289">
                  <c:v>35.552159752973516</c:v>
                </c:pt>
                <c:pt idx="290">
                  <c:v>35.224129490660715</c:v>
                </c:pt>
                <c:pt idx="291">
                  <c:v>34.895349190715862</c:v>
                </c:pt>
                <c:pt idx="292">
                  <c:v>34.566309653604769</c:v>
                </c:pt>
                <c:pt idx="293">
                  <c:v>34.237501494590077</c:v>
                </c:pt>
                <c:pt idx="294">
                  <c:v>33.909415153685003</c:v>
                </c:pt>
                <c:pt idx="295">
                  <c:v>33.582541391918902</c:v>
                </c:pt>
                <c:pt idx="296">
                  <c:v>33.257375049656126</c:v>
                </c:pt>
                <c:pt idx="297">
                  <c:v>32.934405850899971</c:v>
                </c:pt>
                <c:pt idx="298">
                  <c:v>32.614123476578797</c:v>
                </c:pt>
                <c:pt idx="299">
                  <c:v>32.29701747732468</c:v>
                </c:pt>
                <c:pt idx="300">
                  <c:v>31.98357728675505</c:v>
                </c:pt>
                <c:pt idx="301">
                  <c:v>31.674292231292917</c:v>
                </c:pt>
                <c:pt idx="302">
                  <c:v>31.367781639118778</c:v>
                </c:pt>
                <c:pt idx="303">
                  <c:v>31.062531324677337</c:v>
                </c:pt>
                <c:pt idx="304">
                  <c:v>30.758828182411182</c:v>
                </c:pt>
                <c:pt idx="305">
                  <c:v>30.456965165523627</c:v>
                </c:pt>
                <c:pt idx="306">
                  <c:v>30.157235195638055</c:v>
                </c:pt>
                <c:pt idx="307">
                  <c:v>29.859931173472496</c:v>
                </c:pt>
                <c:pt idx="308">
                  <c:v>29.565345988719571</c:v>
                </c:pt>
                <c:pt idx="309">
                  <c:v>29.273762140547852</c:v>
                </c:pt>
                <c:pt idx="310">
                  <c:v>28.985472391755604</c:v>
                </c:pt>
                <c:pt idx="311">
                  <c:v>28.700769947444524</c:v>
                </c:pt>
                <c:pt idx="312">
                  <c:v>28.419948020667888</c:v>
                </c:pt>
                <c:pt idx="313">
                  <c:v>28.143299837351865</c:v>
                </c:pt>
                <c:pt idx="314">
                  <c:v>27.871118636708445</c:v>
                </c:pt>
                <c:pt idx="315">
                  <c:v>27.603697675649176</c:v>
                </c:pt>
                <c:pt idx="316">
                  <c:v>27.339527057047977</c:v>
                </c:pt>
                <c:pt idx="317">
                  <c:v>27.077254947181849</c:v>
                </c:pt>
                <c:pt idx="318">
                  <c:v>26.817373280897261</c:v>
                </c:pt>
                <c:pt idx="319">
                  <c:v>26.560371757780228</c:v>
                </c:pt>
                <c:pt idx="320">
                  <c:v>26.306740102611531</c:v>
                </c:pt>
                <c:pt idx="321">
                  <c:v>26.056968074429463</c:v>
                </c:pt>
                <c:pt idx="322">
                  <c:v>25.811545458896404</c:v>
                </c:pt>
                <c:pt idx="323">
                  <c:v>25.570979443095545</c:v>
                </c:pt>
                <c:pt idx="324">
                  <c:v>25.335768417629097</c:v>
                </c:pt>
                <c:pt idx="325">
                  <c:v>25.106401592401344</c:v>
                </c:pt>
                <c:pt idx="326">
                  <c:v>24.883368342122974</c:v>
                </c:pt>
                <c:pt idx="327">
                  <c:v>24.667158028125169</c:v>
                </c:pt>
                <c:pt idx="328">
                  <c:v>24.458259974170122</c:v>
                </c:pt>
                <c:pt idx="329">
                  <c:v>24.257163551348739</c:v>
                </c:pt>
                <c:pt idx="330">
                  <c:v>24.061851890774872</c:v>
                </c:pt>
                <c:pt idx="331">
                  <c:v>23.87033848436662</c:v>
                </c:pt>
                <c:pt idx="332">
                  <c:v>23.683189292081828</c:v>
                </c:pt>
                <c:pt idx="333">
                  <c:v>23.500994105804597</c:v>
                </c:pt>
                <c:pt idx="334">
                  <c:v>23.324342614028495</c:v>
                </c:pt>
                <c:pt idx="335">
                  <c:v>23.15382439378882</c:v>
                </c:pt>
                <c:pt idx="336">
                  <c:v>22.990028899878915</c:v>
                </c:pt>
                <c:pt idx="337">
                  <c:v>22.833527145799493</c:v>
                </c:pt>
                <c:pt idx="338">
                  <c:v>22.684893031411974</c:v>
                </c:pt>
                <c:pt idx="339">
                  <c:v>22.544716073714739</c:v>
                </c:pt>
                <c:pt idx="340">
                  <c:v>22.413585575939379</c:v>
                </c:pt>
                <c:pt idx="341">
                  <c:v>22.292090606578455</c:v>
                </c:pt>
                <c:pt idx="342">
                  <c:v>22.180819990732363</c:v>
                </c:pt>
                <c:pt idx="343">
                  <c:v>22.080362318411588</c:v>
                </c:pt>
                <c:pt idx="344">
                  <c:v>21.98882194239502</c:v>
                </c:pt>
                <c:pt idx="345">
                  <c:v>21.904221933784761</c:v>
                </c:pt>
                <c:pt idx="346">
                  <c:v>21.827099693140049</c:v>
                </c:pt>
                <c:pt idx="347">
                  <c:v>21.757920673049021</c:v>
                </c:pt>
                <c:pt idx="348">
                  <c:v>21.697150228943713</c:v>
                </c:pt>
                <c:pt idx="349">
                  <c:v>21.645253613060092</c:v>
                </c:pt>
                <c:pt idx="350">
                  <c:v>21.602695948188252</c:v>
                </c:pt>
                <c:pt idx="351">
                  <c:v>21.569979715482862</c:v>
                </c:pt>
                <c:pt idx="352">
                  <c:v>21.547586863960813</c:v>
                </c:pt>
                <c:pt idx="353">
                  <c:v>21.535981831018503</c:v>
                </c:pt>
                <c:pt idx="354">
                  <c:v>21.53562896459189</c:v>
                </c:pt>
                <c:pt idx="355">
                  <c:v>21.546992518136136</c:v>
                </c:pt>
                <c:pt idx="356">
                  <c:v>21.570536895676572</c:v>
                </c:pt>
                <c:pt idx="357">
                  <c:v>21.606725870848241</c:v>
                </c:pt>
                <c:pt idx="358">
                  <c:v>21.655930687999316</c:v>
                </c:pt>
                <c:pt idx="359">
                  <c:v>21.71790529998486</c:v>
                </c:pt>
                <c:pt idx="360">
                  <c:v>21.792170756312284</c:v>
                </c:pt>
                <c:pt idx="361">
                  <c:v>21.878228427040426</c:v>
                </c:pt>
                <c:pt idx="362">
                  <c:v>21.975616834992564</c:v>
                </c:pt>
                <c:pt idx="363">
                  <c:v>22.083874578281534</c:v>
                </c:pt>
                <c:pt idx="364">
                  <c:v>22.202540346988688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23.220938627970579</c:v>
                </c:pt>
                <c:pt idx="1">
                  <c:v>16.014018332620914</c:v>
                </c:pt>
                <c:pt idx="2">
                  <c:v>17.290499998935591</c:v>
                </c:pt>
                <c:pt idx="3">
                  <c:v>18.37271565974871</c:v>
                </c:pt>
                <c:pt idx="4">
                  <c:v>14.528815862804764</c:v>
                </c:pt>
                <c:pt idx="5">
                  <c:v>20.848630220639983</c:v>
                </c:pt>
                <c:pt idx="6">
                  <c:v>10.223503420976337</c:v>
                </c:pt>
                <c:pt idx="7">
                  <c:v>7.2759522511459336</c:v>
                </c:pt>
                <c:pt idx="8">
                  <c:v>2.1722399946327364</c:v>
                </c:pt>
                <c:pt idx="9">
                  <c:v>1.7814328334292973</c:v>
                </c:pt>
                <c:pt idx="10">
                  <c:v>24.97304660066823</c:v>
                </c:pt>
                <c:pt idx="11">
                  <c:v>21.709321358719322</c:v>
                </c:pt>
                <c:pt idx="12">
                  <c:v>5.5652923203139073</c:v>
                </c:pt>
                <c:pt idx="13">
                  <c:v>26.411730278164889</c:v>
                </c:pt>
                <c:pt idx="14">
                  <c:v>26.723385939812438</c:v>
                </c:pt>
                <c:pt idx="15">
                  <c:v>26.146711359477798</c:v>
                </c:pt>
                <c:pt idx="16">
                  <c:v>12.074599427357093</c:v>
                </c:pt>
                <c:pt idx="17">
                  <c:v>3.8361379119563259</c:v>
                </c:pt>
                <c:pt idx="18">
                  <c:v>10.46774168534496</c:v>
                </c:pt>
                <c:pt idx="19">
                  <c:v>6.5559082696818631</c:v>
                </c:pt>
                <c:pt idx="20">
                  <c:v>20.903946137049687</c:v>
                </c:pt>
                <c:pt idx="21">
                  <c:v>27.906034290427417</c:v>
                </c:pt>
                <c:pt idx="22">
                  <c:v>28.032139992779872</c:v>
                </c:pt>
                <c:pt idx="23">
                  <c:v>28.578288827057609</c:v>
                </c:pt>
                <c:pt idx="24">
                  <c:v>27.636558587696207</c:v>
                </c:pt>
                <c:pt idx="25">
                  <c:v>28.311756726691272</c:v>
                </c:pt>
                <c:pt idx="26">
                  <c:v>27.056320724790723</c:v>
                </c:pt>
                <c:pt idx="27">
                  <c:v>4.2762504884696764</c:v>
                </c:pt>
                <c:pt idx="28">
                  <c:v>9.0265936363231738</c:v>
                </c:pt>
                <c:pt idx="29">
                  <c:v>4.6620925550498367</c:v>
                </c:pt>
                <c:pt idx="30">
                  <c:v>7.7315725721393171</c:v>
                </c:pt>
                <c:pt idx="31">
                  <c:v>12.831411921920571</c:v>
                </c:pt>
                <c:pt idx="32">
                  <c:v>5.4173192029307184</c:v>
                </c:pt>
                <c:pt idx="33">
                  <c:v>10.632840084106334</c:v>
                </c:pt>
                <c:pt idx="34">
                  <c:v>10.473619279196958</c:v>
                </c:pt>
                <c:pt idx="35">
                  <c:v>9.2040710383960764</c:v>
                </c:pt>
                <c:pt idx="36">
                  <c:v>21.444714636037066</c:v>
                </c:pt>
                <c:pt idx="37">
                  <c:v>9.0384763862673392</c:v>
                </c:pt>
                <c:pt idx="38">
                  <c:v>33.522942351442829</c:v>
                </c:pt>
                <c:pt idx="39">
                  <c:v>33.81194472351774</c:v>
                </c:pt>
                <c:pt idx="40">
                  <c:v>31.533636449943398</c:v>
                </c:pt>
                <c:pt idx="41">
                  <c:v>17.469313924682638</c:v>
                </c:pt>
                <c:pt idx="42">
                  <c:v>26.771061938230517</c:v>
                </c:pt>
                <c:pt idx="43">
                  <c:v>32.755200996210419</c:v>
                </c:pt>
                <c:pt idx="44">
                  <c:v>15.378621474621001</c:v>
                </c:pt>
                <c:pt idx="45">
                  <c:v>18.549311044773955</c:v>
                </c:pt>
                <c:pt idx="46">
                  <c:v>9.1244573882559781</c:v>
                </c:pt>
                <c:pt idx="47">
                  <c:v>11.368674540132979</c:v>
                </c:pt>
                <c:pt idx="48">
                  <c:v>29.351162195480935</c:v>
                </c:pt>
                <c:pt idx="49">
                  <c:v>19.916622471956405</c:v>
                </c:pt>
                <c:pt idx="50">
                  <c:v>19.79724503916913</c:v>
                </c:pt>
                <c:pt idx="51">
                  <c:v>21.920018200100976</c:v>
                </c:pt>
                <c:pt idx="52">
                  <c:v>33.498870435674156</c:v>
                </c:pt>
                <c:pt idx="53">
                  <c:v>35.202990220419366</c:v>
                </c:pt>
                <c:pt idx="54">
                  <c:v>21.914483920269877</c:v>
                </c:pt>
                <c:pt idx="55">
                  <c:v>31.383718649989977</c:v>
                </c:pt>
                <c:pt idx="56">
                  <c:v>39.777797396427978</c:v>
                </c:pt>
                <c:pt idx="57">
                  <c:v>28.435445112054012</c:v>
                </c:pt>
                <c:pt idx="58">
                  <c:v>34.330692183735913</c:v>
                </c:pt>
                <c:pt idx="59">
                  <c:v>39.833954964675804</c:v>
                </c:pt>
                <c:pt idx="60">
                  <c:v>11.607376894682275</c:v>
                </c:pt>
                <c:pt idx="61">
                  <c:v>35.61818272871092</c:v>
                </c:pt>
                <c:pt idx="62">
                  <c:v>3.8276741782840196</c:v>
                </c:pt>
                <c:pt idx="63">
                  <c:v>13.180523163954552</c:v>
                </c:pt>
                <c:pt idx="64">
                  <c:v>15.891623972970377</c:v>
                </c:pt>
                <c:pt idx="65">
                  <c:v>39.148493776556585</c:v>
                </c:pt>
                <c:pt idx="66">
                  <c:v>31.907143414794735</c:v>
                </c:pt>
                <c:pt idx="67">
                  <c:v>31.109657139481538</c:v>
                </c:pt>
                <c:pt idx="68">
                  <c:v>24.766034896069524</c:v>
                </c:pt>
                <c:pt idx="69">
                  <c:v>15.360106167939389</c:v>
                </c:pt>
                <c:pt idx="70">
                  <c:v>15.987531425309772</c:v>
                </c:pt>
                <c:pt idx="71">
                  <c:v>8.9651663158591042</c:v>
                </c:pt>
                <c:pt idx="72">
                  <c:v>14.44540822117842</c:v>
                </c:pt>
                <c:pt idx="73">
                  <c:v>13.75007908936764</c:v>
                </c:pt>
                <c:pt idx="74">
                  <c:v>13.7231231969739</c:v>
                </c:pt>
                <c:pt idx="75">
                  <c:v>11.525531378582643</c:v>
                </c:pt>
                <c:pt idx="76">
                  <c:v>14.900140242042102</c:v>
                </c:pt>
                <c:pt idx="77">
                  <c:v>28.468202520624342</c:v>
                </c:pt>
                <c:pt idx="78">
                  <c:v>31.611064594405811</c:v>
                </c:pt>
                <c:pt idx="79">
                  <c:v>44.7480689370325</c:v>
                </c:pt>
                <c:pt idx="80">
                  <c:v>42.484500654530308</c:v>
                </c:pt>
                <c:pt idx="81">
                  <c:v>48.425573549232915</c:v>
                </c:pt>
                <c:pt idx="82">
                  <c:v>47.630649460860205</c:v>
                </c:pt>
                <c:pt idx="83">
                  <c:v>42.387538510219294</c:v>
                </c:pt>
                <c:pt idx="84">
                  <c:v>46.922273550547096</c:v>
                </c:pt>
                <c:pt idx="85">
                  <c:v>45.364692169947823</c:v>
                </c:pt>
                <c:pt idx="86">
                  <c:v>14.608115439533712</c:v>
                </c:pt>
                <c:pt idx="87">
                  <c:v>28.03739102168592</c:v>
                </c:pt>
                <c:pt idx="88">
                  <c:v>7.8614192655909854</c:v>
                </c:pt>
                <c:pt idx="89">
                  <c:v>28.027340620099679</c:v>
                </c:pt>
                <c:pt idx="90">
                  <c:v>32.819504667550632</c:v>
                </c:pt>
                <c:pt idx="91">
                  <c:v>20.487782816589952</c:v>
                </c:pt>
                <c:pt idx="92">
                  <c:v>22.792482914276576</c:v>
                </c:pt>
                <c:pt idx="93">
                  <c:v>45.880539192908842</c:v>
                </c:pt>
                <c:pt idx="94">
                  <c:v>52.646803188333642</c:v>
                </c:pt>
                <c:pt idx="95">
                  <c:v>11.395523832241079</c:v>
                </c:pt>
                <c:pt idx="96">
                  <c:v>38.253240889383065</c:v>
                </c:pt>
                <c:pt idx="97">
                  <c:v>31.07751818307775</c:v>
                </c:pt>
                <c:pt idx="98">
                  <c:v>36.459352707769838</c:v>
                </c:pt>
                <c:pt idx="99">
                  <c:v>53.312063802154341</c:v>
                </c:pt>
                <c:pt idx="100">
                  <c:v>44.184686569191406</c:v>
                </c:pt>
                <c:pt idx="101">
                  <c:v>37.73657825376052</c:v>
                </c:pt>
                <c:pt idx="102">
                  <c:v>8.0641834199784324</c:v>
                </c:pt>
                <c:pt idx="103">
                  <c:v>40.815781938950494</c:v>
                </c:pt>
                <c:pt idx="104">
                  <c:v>44.537788750843902</c:v>
                </c:pt>
                <c:pt idx="105">
                  <c:v>46.210119836921123</c:v>
                </c:pt>
                <c:pt idx="106">
                  <c:v>54.236764335054737</c:v>
                </c:pt>
                <c:pt idx="107">
                  <c:v>40.121428627151154</c:v>
                </c:pt>
                <c:pt idx="108">
                  <c:v>9.3784442604905802</c:v>
                </c:pt>
                <c:pt idx="109">
                  <c:v>9.7845719585786224</c:v>
                </c:pt>
                <c:pt idx="110">
                  <c:v>9.418348762742399</c:v>
                </c:pt>
                <c:pt idx="111">
                  <c:v>27.373709302075195</c:v>
                </c:pt>
                <c:pt idx="112">
                  <c:v>9.1164808688842776</c:v>
                </c:pt>
                <c:pt idx="113">
                  <c:v>31.501370373297384</c:v>
                </c:pt>
                <c:pt idx="114">
                  <c:v>47.674934551219074</c:v>
                </c:pt>
                <c:pt idx="115">
                  <c:v>54.659676662650227</c:v>
                </c:pt>
                <c:pt idx="116">
                  <c:v>39.677442096199798</c:v>
                </c:pt>
                <c:pt idx="117">
                  <c:v>23.907162307526907</c:v>
                </c:pt>
                <c:pt idx="118">
                  <c:v>43.723233840860267</c:v>
                </c:pt>
                <c:pt idx="119">
                  <c:v>46.28299043113757</c:v>
                </c:pt>
                <c:pt idx="120">
                  <c:v>46.829593059999155</c:v>
                </c:pt>
                <c:pt idx="121">
                  <c:v>27.76506470564858</c:v>
                </c:pt>
                <c:pt idx="122">
                  <c:v>38.753689417322292</c:v>
                </c:pt>
                <c:pt idx="123">
                  <c:v>20.985561442746729</c:v>
                </c:pt>
                <c:pt idx="124">
                  <c:v>43.048425233651173</c:v>
                </c:pt>
                <c:pt idx="125">
                  <c:v>37.776758319118215</c:v>
                </c:pt>
                <c:pt idx="126">
                  <c:v>51.681820197979818</c:v>
                </c:pt>
                <c:pt idx="127">
                  <c:v>47.656589700281309</c:v>
                </c:pt>
                <c:pt idx="128">
                  <c:v>54.724472155154416</c:v>
                </c:pt>
                <c:pt idx="129">
                  <c:v>51.118760659178214</c:v>
                </c:pt>
                <c:pt idx="130">
                  <c:v>55.122661568073681</c:v>
                </c:pt>
                <c:pt idx="131">
                  <c:v>41.097245361737009</c:v>
                </c:pt>
                <c:pt idx="132">
                  <c:v>43.046530148335869</c:v>
                </c:pt>
                <c:pt idx="133">
                  <c:v>49.05229899309996</c:v>
                </c:pt>
                <c:pt idx="134">
                  <c:v>51.619644963518489</c:v>
                </c:pt>
                <c:pt idx="135">
                  <c:v>50.074981129626032</c:v>
                </c:pt>
                <c:pt idx="136">
                  <c:v>53.406190156239667</c:v>
                </c:pt>
                <c:pt idx="137">
                  <c:v>51.654530866180366</c:v>
                </c:pt>
                <c:pt idx="138">
                  <c:v>54.300849269286751</c:v>
                </c:pt>
                <c:pt idx="139">
                  <c:v>48.454093572287647</c:v>
                </c:pt>
                <c:pt idx="140">
                  <c:v>48.548143679810323</c:v>
                </c:pt>
                <c:pt idx="141">
                  <c:v>36.877223488109685</c:v>
                </c:pt>
                <c:pt idx="142">
                  <c:v>19.470594900141879</c:v>
                </c:pt>
                <c:pt idx="143">
                  <c:v>16.096130000873252</c:v>
                </c:pt>
                <c:pt idx="144">
                  <c:v>40.489586640823127</c:v>
                </c:pt>
                <c:pt idx="145">
                  <c:v>24.612641826137232</c:v>
                </c:pt>
                <c:pt idx="146">
                  <c:v>45.314577423797289</c:v>
                </c:pt>
                <c:pt idx="147">
                  <c:v>54.503693914874923</c:v>
                </c:pt>
                <c:pt idx="148">
                  <c:v>58.931714096456702</c:v>
                </c:pt>
                <c:pt idx="149">
                  <c:v>50.003117320303815</c:v>
                </c:pt>
                <c:pt idx="150">
                  <c:v>54.205371922997507</c:v>
                </c:pt>
                <c:pt idx="151">
                  <c:v>55.234522162789979</c:v>
                </c:pt>
                <c:pt idx="152">
                  <c:v>44.051958417072953</c:v>
                </c:pt>
                <c:pt idx="153">
                  <c:v>53.881741598132834</c:v>
                </c:pt>
                <c:pt idx="154">
                  <c:v>25.686876813168588</c:v>
                </c:pt>
                <c:pt idx="155">
                  <c:v>35.395330070379373</c:v>
                </c:pt>
                <c:pt idx="156">
                  <c:v>46.169672729128671</c:v>
                </c:pt>
                <c:pt idx="157">
                  <c:v>28.006832980904022</c:v>
                </c:pt>
                <c:pt idx="158">
                  <c:v>20.879809642240083</c:v>
                </c:pt>
                <c:pt idx="159">
                  <c:v>45.490712557414035</c:v>
                </c:pt>
                <c:pt idx="160">
                  <c:v>56.750654479434367</c:v>
                </c:pt>
                <c:pt idx="161">
                  <c:v>54.842048802844843</c:v>
                </c:pt>
                <c:pt idx="162">
                  <c:v>42.571040995601308</c:v>
                </c:pt>
                <c:pt idx="163">
                  <c:v>53.536703913542837</c:v>
                </c:pt>
                <c:pt idx="164">
                  <c:v>47.592274073880034</c:v>
                </c:pt>
                <c:pt idx="165">
                  <c:v>53.652014997354634</c:v>
                </c:pt>
                <c:pt idx="166">
                  <c:v>51.530886081416547</c:v>
                </c:pt>
                <c:pt idx="167">
                  <c:v>51.66951524063056</c:v>
                </c:pt>
                <c:pt idx="168">
                  <c:v>54.0274935720267</c:v>
                </c:pt>
                <c:pt idx="169">
                  <c:v>55.341262269680001</c:v>
                </c:pt>
                <c:pt idx="170">
                  <c:v>31.219567905343805</c:v>
                </c:pt>
                <c:pt idx="171">
                  <c:v>22.467491012209695</c:v>
                </c:pt>
                <c:pt idx="172">
                  <c:v>43.516659543344417</c:v>
                </c:pt>
                <c:pt idx="173">
                  <c:v>41.047430092198113</c:v>
                </c:pt>
                <c:pt idx="174">
                  <c:v>38.717418375548135</c:v>
                </c:pt>
                <c:pt idx="175">
                  <c:v>33.599639795654937</c:v>
                </c:pt>
                <c:pt idx="176">
                  <c:v>11.929183700264167</c:v>
                </c:pt>
                <c:pt idx="177">
                  <c:v>14.495099383442744</c:v>
                </c:pt>
                <c:pt idx="178">
                  <c:v>57.504150083079985</c:v>
                </c:pt>
                <c:pt idx="179">
                  <c:v>55.855564956748509</c:v>
                </c:pt>
                <c:pt idx="180">
                  <c:v>13.774973521452081</c:v>
                </c:pt>
                <c:pt idx="181">
                  <c:v>49.685700184583297</c:v>
                </c:pt>
                <c:pt idx="182">
                  <c:v>54.886144457633819</c:v>
                </c:pt>
                <c:pt idx="183">
                  <c:v>45.214000270938293</c:v>
                </c:pt>
                <c:pt idx="184">
                  <c:v>43.744030859752705</c:v>
                </c:pt>
                <c:pt idx="185">
                  <c:v>54.836267009248111</c:v>
                </c:pt>
                <c:pt idx="186">
                  <c:v>46.611908585255584</c:v>
                </c:pt>
                <c:pt idx="187">
                  <c:v>54.29343176666233</c:v>
                </c:pt>
                <c:pt idx="188">
                  <c:v>56.632964985873691</c:v>
                </c:pt>
                <c:pt idx="189">
                  <c:v>55.971567254887532</c:v>
                </c:pt>
                <c:pt idx="190">
                  <c:v>55.44003757184344</c:v>
                </c:pt>
                <c:pt idx="191">
                  <c:v>53.984353174469675</c:v>
                </c:pt>
                <c:pt idx="192">
                  <c:v>53.751145329563961</c:v>
                </c:pt>
                <c:pt idx="193">
                  <c:v>53.478420412924258</c:v>
                </c:pt>
                <c:pt idx="194">
                  <c:v>52.919590554329716</c:v>
                </c:pt>
                <c:pt idx="195">
                  <c:v>51.173924871204918</c:v>
                </c:pt>
                <c:pt idx="196">
                  <c:v>52.663112280802743</c:v>
                </c:pt>
                <c:pt idx="197">
                  <c:v>52.200283989840436</c:v>
                </c:pt>
                <c:pt idx="198">
                  <c:v>53.141787130701097</c:v>
                </c:pt>
                <c:pt idx="199">
                  <c:v>43.914834638824559</c:v>
                </c:pt>
                <c:pt idx="200">
                  <c:v>43.486636906227673</c:v>
                </c:pt>
                <c:pt idx="201">
                  <c:v>51.426691404100673</c:v>
                </c:pt>
                <c:pt idx="202">
                  <c:v>41.524141833538252</c:v>
                </c:pt>
                <c:pt idx="203">
                  <c:v>47.716448353415167</c:v>
                </c:pt>
                <c:pt idx="204">
                  <c:v>51.656341509921745</c:v>
                </c:pt>
                <c:pt idx="205">
                  <c:v>26.324451151309855</c:v>
                </c:pt>
                <c:pt idx="206">
                  <c:v>55.824682867297668</c:v>
                </c:pt>
                <c:pt idx="207">
                  <c:v>55.863714444073068</c:v>
                </c:pt>
                <c:pt idx="208">
                  <c:v>43.556281485264577</c:v>
                </c:pt>
                <c:pt idx="209">
                  <c:v>31.109843085426046</c:v>
                </c:pt>
                <c:pt idx="210">
                  <c:v>48.116330057308708</c:v>
                </c:pt>
                <c:pt idx="211">
                  <c:v>53.425946245276933</c:v>
                </c:pt>
                <c:pt idx="212">
                  <c:v>53.06478515192336</c:v>
                </c:pt>
                <c:pt idx="213">
                  <c:v>53.054828545242167</c:v>
                </c:pt>
                <c:pt idx="214">
                  <c:v>50.10233726786641</c:v>
                </c:pt>
                <c:pt idx="215">
                  <c:v>49.360670137806295</c:v>
                </c:pt>
                <c:pt idx="216">
                  <c:v>44.826898781016894</c:v>
                </c:pt>
                <c:pt idx="217">
                  <c:v>49.22385899949915</c:v>
                </c:pt>
                <c:pt idx="218">
                  <c:v>51.79978688938138</c:v>
                </c:pt>
                <c:pt idx="219">
                  <c:v>52.237182150360255</c:v>
                </c:pt>
                <c:pt idx="220">
                  <c:v>50.277833701051009</c:v>
                </c:pt>
                <c:pt idx="221">
                  <c:v>47.512225893215131</c:v>
                </c:pt>
                <c:pt idx="222">
                  <c:v>45.944468958611949</c:v>
                </c:pt>
                <c:pt idx="223">
                  <c:v>46.859328946681572</c:v>
                </c:pt>
                <c:pt idx="224">
                  <c:v>35.266278794727803</c:v>
                </c:pt>
                <c:pt idx="225">
                  <c:v>33.475805797679278</c:v>
                </c:pt>
                <c:pt idx="226">
                  <c:v>37.922633205723173</c:v>
                </c:pt>
                <c:pt idx="227">
                  <c:v>35.076232713290374</c:v>
                </c:pt>
                <c:pt idx="228">
                  <c:v>28.142446698923322</c:v>
                </c:pt>
                <c:pt idx="229">
                  <c:v>35.706628978520122</c:v>
                </c:pt>
                <c:pt idx="230">
                  <c:v>40.674095830625753</c:v>
                </c:pt>
                <c:pt idx="231">
                  <c:v>48.84676688254266</c:v>
                </c:pt>
                <c:pt idx="232">
                  <c:v>32.99667849620031</c:v>
                </c:pt>
                <c:pt idx="233">
                  <c:v>26.29830279807026</c:v>
                </c:pt>
                <c:pt idx="234">
                  <c:v>47.694380200220856</c:v>
                </c:pt>
                <c:pt idx="235">
                  <c:v>45.470470831268933</c:v>
                </c:pt>
                <c:pt idx="236">
                  <c:v>31.880570046610824</c:v>
                </c:pt>
                <c:pt idx="237">
                  <c:v>42.338571112583153</c:v>
                </c:pt>
                <c:pt idx="238">
                  <c:v>48.149989837074486</c:v>
                </c:pt>
                <c:pt idx="239">
                  <c:v>47.103743034577121</c:v>
                </c:pt>
                <c:pt idx="240">
                  <c:v>32.232481700672054</c:v>
                </c:pt>
                <c:pt idx="241">
                  <c:v>46.79497910600594</c:v>
                </c:pt>
                <c:pt idx="242">
                  <c:v>24.171521432796816</c:v>
                </c:pt>
                <c:pt idx="243">
                  <c:v>39.567865428269279</c:v>
                </c:pt>
                <c:pt idx="244">
                  <c:v>38.082033903051233</c:v>
                </c:pt>
                <c:pt idx="245">
                  <c:v>37.181401063836397</c:v>
                </c:pt>
                <c:pt idx="246">
                  <c:v>44.938777421097278</c:v>
                </c:pt>
                <c:pt idx="247">
                  <c:v>39.281256683190193</c:v>
                </c:pt>
                <c:pt idx="248">
                  <c:v>44.453778778647568</c:v>
                </c:pt>
                <c:pt idx="249">
                  <c:v>35.389207353707903</c:v>
                </c:pt>
                <c:pt idx="250">
                  <c:v>34.395092119617004</c:v>
                </c:pt>
                <c:pt idx="251">
                  <c:v>23.036842223852762</c:v>
                </c:pt>
                <c:pt idx="252">
                  <c:v>45.570181830200319</c:v>
                </c:pt>
                <c:pt idx="253">
                  <c:v>45.011059093585011</c:v>
                </c:pt>
                <c:pt idx="254">
                  <c:v>32.672376222622184</c:v>
                </c:pt>
                <c:pt idx="255">
                  <c:v>13.86941790338566</c:v>
                </c:pt>
                <c:pt idx="256">
                  <c:v>34.780634711061865</c:v>
                </c:pt>
                <c:pt idx="257">
                  <c:v>39.835362173491063</c:v>
                </c:pt>
                <c:pt idx="258">
                  <c:v>31.829355024477707</c:v>
                </c:pt>
                <c:pt idx="259">
                  <c:v>44.480051745137487</c:v>
                </c:pt>
                <c:pt idx="260">
                  <c:v>44.475053649068556</c:v>
                </c:pt>
                <c:pt idx="261">
                  <c:v>43.873589975645601</c:v>
                </c:pt>
                <c:pt idx="262">
                  <c:v>45.546064145832929</c:v>
                </c:pt>
                <c:pt idx="263">
                  <c:v>44.375925384094558</c:v>
                </c:pt>
                <c:pt idx="264">
                  <c:v>42.943487425674384</c:v>
                </c:pt>
                <c:pt idx="265">
                  <c:v>27.257652689528644</c:v>
                </c:pt>
                <c:pt idx="266">
                  <c:v>16.512427035655321</c:v>
                </c:pt>
                <c:pt idx="267">
                  <c:v>34.775751408807118</c:v>
                </c:pt>
                <c:pt idx="268">
                  <c:v>31.842658035938893</c:v>
                </c:pt>
                <c:pt idx="269">
                  <c:v>16.886085214189972</c:v>
                </c:pt>
                <c:pt idx="270">
                  <c:v>19.14039351712983</c:v>
                </c:pt>
                <c:pt idx="271">
                  <c:v>22.999214431339169</c:v>
                </c:pt>
                <c:pt idx="272">
                  <c:v>27.294590068153756</c:v>
                </c:pt>
                <c:pt idx="273">
                  <c:v>35.666739435083784</c:v>
                </c:pt>
                <c:pt idx="274">
                  <c:v>38.034561752256302</c:v>
                </c:pt>
                <c:pt idx="275">
                  <c:v>36.719771258775886</c:v>
                </c:pt>
                <c:pt idx="276">
                  <c:v>40.452374652673598</c:v>
                </c:pt>
                <c:pt idx="277">
                  <c:v>41.245942700534151</c:v>
                </c:pt>
                <c:pt idx="278">
                  <c:v>11.394847823911395</c:v>
                </c:pt>
                <c:pt idx="279">
                  <c:v>28.625221190306608</c:v>
                </c:pt>
                <c:pt idx="280">
                  <c:v>16.521789788678429</c:v>
                </c:pt>
                <c:pt idx="281">
                  <c:v>37.727370789097698</c:v>
                </c:pt>
                <c:pt idx="282">
                  <c:v>30.291322902822674</c:v>
                </c:pt>
                <c:pt idx="283">
                  <c:v>22.034840720444574</c:v>
                </c:pt>
                <c:pt idx="284">
                  <c:v>27.352114997982021</c:v>
                </c:pt>
                <c:pt idx="285">
                  <c:v>22.904093902804259</c:v>
                </c:pt>
                <c:pt idx="286">
                  <c:v>17.805987827299113</c:v>
                </c:pt>
                <c:pt idx="287">
                  <c:v>36.592223727166719</c:v>
                </c:pt>
                <c:pt idx="288">
                  <c:v>32.300832296382836</c:v>
                </c:pt>
                <c:pt idx="289">
                  <c:v>19.178027013631457</c:v>
                </c:pt>
                <c:pt idx="290">
                  <c:v>33.833237230583805</c:v>
                </c:pt>
                <c:pt idx="291">
                  <c:v>15.727778244536958</c:v>
                </c:pt>
                <c:pt idx="292">
                  <c:v>6.623737878828952</c:v>
                </c:pt>
                <c:pt idx="293">
                  <c:v>16.121990945579324</c:v>
                </c:pt>
                <c:pt idx="294">
                  <c:v>32.575885015635961</c:v>
                </c:pt>
                <c:pt idx="295">
                  <c:v>16.744279549567583</c:v>
                </c:pt>
                <c:pt idx="296">
                  <c:v>24.77671741752884</c:v>
                </c:pt>
                <c:pt idx="297">
                  <c:v>21.908880584603779</c:v>
                </c:pt>
                <c:pt idx="298">
                  <c:v>12.214489087588046</c:v>
                </c:pt>
                <c:pt idx="299">
                  <c:v>14.131954495577762</c:v>
                </c:pt>
                <c:pt idx="300">
                  <c:v>17.001811935149647</c:v>
                </c:pt>
                <c:pt idx="301">
                  <c:v>26.407551924489521</c:v>
                </c:pt>
                <c:pt idx="302">
                  <c:v>22.706036017865017</c:v>
                </c:pt>
                <c:pt idx="303">
                  <c:v>21.598589514714945</c:v>
                </c:pt>
                <c:pt idx="304">
                  <c:v>19.148494531875269</c:v>
                </c:pt>
                <c:pt idx="305">
                  <c:v>28.41002531862275</c:v>
                </c:pt>
                <c:pt idx="306">
                  <c:v>9.9736609943884869</c:v>
                </c:pt>
                <c:pt idx="307">
                  <c:v>17.226545617153292</c:v>
                </c:pt>
                <c:pt idx="308">
                  <c:v>29.346773008339976</c:v>
                </c:pt>
                <c:pt idx="309">
                  <c:v>29.307711259356488</c:v>
                </c:pt>
                <c:pt idx="310">
                  <c:v>27.493544032404561</c:v>
                </c:pt>
                <c:pt idx="311">
                  <c:v>19.828406644369988</c:v>
                </c:pt>
                <c:pt idx="312">
                  <c:v>9.7677866420873229</c:v>
                </c:pt>
                <c:pt idx="313">
                  <c:v>19.724027881703787</c:v>
                </c:pt>
                <c:pt idx="314">
                  <c:v>26.983402363925766</c:v>
                </c:pt>
                <c:pt idx="315">
                  <c:v>26.574631490110139</c:v>
                </c:pt>
                <c:pt idx="316">
                  <c:v>25.560187032372195</c:v>
                </c:pt>
                <c:pt idx="317">
                  <c:v>9.4652091636510427</c:v>
                </c:pt>
                <c:pt idx="318">
                  <c:v>12.146754853785874</c:v>
                </c:pt>
                <c:pt idx="319">
                  <c:v>26.154463239023379</c:v>
                </c:pt>
                <c:pt idx="320">
                  <c:v>13.390576195522202</c:v>
                </c:pt>
                <c:pt idx="321">
                  <c:v>15.329463035242192</c:v>
                </c:pt>
                <c:pt idx="322">
                  <c:v>7.0062036572770827</c:v>
                </c:pt>
                <c:pt idx="323">
                  <c:v>15.418554387655869</c:v>
                </c:pt>
                <c:pt idx="324">
                  <c:v>3.0971731310259867</c:v>
                </c:pt>
                <c:pt idx="325">
                  <c:v>7.6627911415992118</c:v>
                </c:pt>
                <c:pt idx="326">
                  <c:v>12.852079389373211</c:v>
                </c:pt>
                <c:pt idx="327">
                  <c:v>13.488345639004184</c:v>
                </c:pt>
                <c:pt idx="328">
                  <c:v>4.6743990731559562</c:v>
                </c:pt>
                <c:pt idx="329">
                  <c:v>10.741909781357453</c:v>
                </c:pt>
                <c:pt idx="330">
                  <c:v>14.141602256816656</c:v>
                </c:pt>
                <c:pt idx="331">
                  <c:v>10.26037442873125</c:v>
                </c:pt>
                <c:pt idx="332">
                  <c:v>14.944336575895962</c:v>
                </c:pt>
                <c:pt idx="333">
                  <c:v>3.9055228029879232</c:v>
                </c:pt>
                <c:pt idx="334">
                  <c:v>3.6971027222923944</c:v>
                </c:pt>
                <c:pt idx="335">
                  <c:v>5.5547341135706985</c:v>
                </c:pt>
                <c:pt idx="336">
                  <c:v>9.3101152822043201</c:v>
                </c:pt>
                <c:pt idx="337">
                  <c:v>17.074960927684913</c:v>
                </c:pt>
                <c:pt idx="338">
                  <c:v>22.637972160265242</c:v>
                </c:pt>
                <c:pt idx="339">
                  <c:v>11.129288422037909</c:v>
                </c:pt>
                <c:pt idx="340">
                  <c:v>20.055934230521277</c:v>
                </c:pt>
                <c:pt idx="341">
                  <c:v>4.0282748652818743</c:v>
                </c:pt>
                <c:pt idx="342">
                  <c:v>4.9166068050114351</c:v>
                </c:pt>
                <c:pt idx="343">
                  <c:v>11.902680941189452</c:v>
                </c:pt>
                <c:pt idx="344">
                  <c:v>17.031950268559193</c:v>
                </c:pt>
                <c:pt idx="345">
                  <c:v>5.20564372418837</c:v>
                </c:pt>
                <c:pt idx="346">
                  <c:v>5.2706098198208089</c:v>
                </c:pt>
                <c:pt idx="347">
                  <c:v>16.830326712806546</c:v>
                </c:pt>
                <c:pt idx="348">
                  <c:v>5.7519771372873603</c:v>
                </c:pt>
                <c:pt idx="349">
                  <c:v>5.0804777924953504</c:v>
                </c:pt>
                <c:pt idx="350">
                  <c:v>3.4444369851321897</c:v>
                </c:pt>
                <c:pt idx="351">
                  <c:v>20.546483258518467</c:v>
                </c:pt>
                <c:pt idx="352">
                  <c:v>17.484310087339875</c:v>
                </c:pt>
                <c:pt idx="353">
                  <c:v>4.45666912285939</c:v>
                </c:pt>
                <c:pt idx="354">
                  <c:v>20.404916919918282</c:v>
                </c:pt>
                <c:pt idx="355">
                  <c:v>17.252043694557443</c:v>
                </c:pt>
                <c:pt idx="356">
                  <c:v>17.483898835238556</c:v>
                </c:pt>
                <c:pt idx="357">
                  <c:v>20.77928418035598</c:v>
                </c:pt>
                <c:pt idx="358">
                  <c:v>11.739343179777476</c:v>
                </c:pt>
                <c:pt idx="359">
                  <c:v>20.295005090662507</c:v>
                </c:pt>
                <c:pt idx="360">
                  <c:v>6.8766165242163471</c:v>
                </c:pt>
                <c:pt idx="361">
                  <c:v>21.347402085818203</c:v>
                </c:pt>
                <c:pt idx="362">
                  <c:v>10.138762505655198</c:v>
                </c:pt>
                <c:pt idx="363">
                  <c:v>13.73612493335281</c:v>
                </c:pt>
                <c:pt idx="364">
                  <c:v>11.364031171506971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23.220938627970579</c:v>
                </c:pt>
                <c:pt idx="1">
                  <c:v>16.014018332620914</c:v>
                </c:pt>
                <c:pt idx="2">
                  <c:v>17.290499998935591</c:v>
                </c:pt>
                <c:pt idx="3">
                  <c:v>18.37271565974871</c:v>
                </c:pt>
                <c:pt idx="4">
                  <c:v>14.528815862804764</c:v>
                </c:pt>
                <c:pt idx="5">
                  <c:v>20.848630220639983</c:v>
                </c:pt>
                <c:pt idx="6">
                  <c:v>10.223503420976337</c:v>
                </c:pt>
                <c:pt idx="7">
                  <c:v>7.2759522511459336</c:v>
                </c:pt>
                <c:pt idx="8">
                  <c:v>2.1722399946327364</c:v>
                </c:pt>
                <c:pt idx="9">
                  <c:v>1.7814328334292973</c:v>
                </c:pt>
                <c:pt idx="10">
                  <c:v>24.97304660066823</c:v>
                </c:pt>
                <c:pt idx="11">
                  <c:v>21.709321358719322</c:v>
                </c:pt>
                <c:pt idx="12">
                  <c:v>5.5652923203139073</c:v>
                </c:pt>
                <c:pt idx="13">
                  <c:v>26.411730278164889</c:v>
                </c:pt>
                <c:pt idx="14">
                  <c:v>26.723385939812438</c:v>
                </c:pt>
                <c:pt idx="15">
                  <c:v>26.146711359477798</c:v>
                </c:pt>
                <c:pt idx="16">
                  <c:v>12.074599427357093</c:v>
                </c:pt>
                <c:pt idx="17">
                  <c:v>3.8361379119563259</c:v>
                </c:pt>
                <c:pt idx="18">
                  <c:v>10.46774168534496</c:v>
                </c:pt>
                <c:pt idx="19">
                  <c:v>6.5559082696818631</c:v>
                </c:pt>
                <c:pt idx="20">
                  <c:v>20.903946137049687</c:v>
                </c:pt>
                <c:pt idx="21">
                  <c:v>27.906034290427417</c:v>
                </c:pt>
                <c:pt idx="22">
                  <c:v>28.032139992779872</c:v>
                </c:pt>
                <c:pt idx="23">
                  <c:v>28.578288827057609</c:v>
                </c:pt>
                <c:pt idx="24">
                  <c:v>27.636558587696207</c:v>
                </c:pt>
                <c:pt idx="25">
                  <c:v>28.311756726691272</c:v>
                </c:pt>
                <c:pt idx="26">
                  <c:v>27.056320724790723</c:v>
                </c:pt>
                <c:pt idx="27">
                  <c:v>4.2762504884696764</c:v>
                </c:pt>
                <c:pt idx="28">
                  <c:v>9.0265936363231738</c:v>
                </c:pt>
                <c:pt idx="29">
                  <c:v>4.6620925550498367</c:v>
                </c:pt>
                <c:pt idx="30">
                  <c:v>7.7315725721393171</c:v>
                </c:pt>
                <c:pt idx="31">
                  <c:v>12.831411921920571</c:v>
                </c:pt>
                <c:pt idx="32">
                  <c:v>5.4173192029307184</c:v>
                </c:pt>
                <c:pt idx="33">
                  <c:v>10.632840084106334</c:v>
                </c:pt>
                <c:pt idx="34">
                  <c:v>10.473619279196958</c:v>
                </c:pt>
                <c:pt idx="35">
                  <c:v>9.2040710383960764</c:v>
                </c:pt>
                <c:pt idx="36">
                  <c:v>21.444714636037066</c:v>
                </c:pt>
                <c:pt idx="37">
                  <c:v>9.0384763862673392</c:v>
                </c:pt>
                <c:pt idx="38">
                  <c:v>33.522942351442829</c:v>
                </c:pt>
                <c:pt idx="39">
                  <c:v>33.81194472351774</c:v>
                </c:pt>
                <c:pt idx="40">
                  <c:v>31.533636449943398</c:v>
                </c:pt>
                <c:pt idx="41">
                  <c:v>17.469313924682638</c:v>
                </c:pt>
                <c:pt idx="42">
                  <c:v>26.771061938230517</c:v>
                </c:pt>
                <c:pt idx="43">
                  <c:v>32.755200996210419</c:v>
                </c:pt>
                <c:pt idx="44">
                  <c:v>15.378621474621001</c:v>
                </c:pt>
                <c:pt idx="45">
                  <c:v>18.549311044773955</c:v>
                </c:pt>
                <c:pt idx="46">
                  <c:v>9.1244573882559781</c:v>
                </c:pt>
                <c:pt idx="47">
                  <c:v>11.368674540132979</c:v>
                </c:pt>
                <c:pt idx="48">
                  <c:v>29.351162195480935</c:v>
                </c:pt>
                <c:pt idx="49">
                  <c:v>19.916622471956405</c:v>
                </c:pt>
                <c:pt idx="50">
                  <c:v>19.79724503916913</c:v>
                </c:pt>
                <c:pt idx="51">
                  <c:v>21.920018200100976</c:v>
                </c:pt>
                <c:pt idx="52">
                  <c:v>33.498870435674156</c:v>
                </c:pt>
                <c:pt idx="53">
                  <c:v>35.202990220419366</c:v>
                </c:pt>
                <c:pt idx="54">
                  <c:v>21.914483920269877</c:v>
                </c:pt>
                <c:pt idx="55">
                  <c:v>31.383718649989977</c:v>
                </c:pt>
                <c:pt idx="56">
                  <c:v>39.777797396427978</c:v>
                </c:pt>
                <c:pt idx="57">
                  <c:v>28.435445112054012</c:v>
                </c:pt>
                <c:pt idx="58">
                  <c:v>34.330692183735913</c:v>
                </c:pt>
                <c:pt idx="59">
                  <c:v>39.833954964675804</c:v>
                </c:pt>
                <c:pt idx="60">
                  <c:v>11.607376894682275</c:v>
                </c:pt>
                <c:pt idx="61">
                  <c:v>35.61818272871092</c:v>
                </c:pt>
                <c:pt idx="62">
                  <c:v>3.8276741782840196</c:v>
                </c:pt>
                <c:pt idx="63">
                  <c:v>13.180523163954552</c:v>
                </c:pt>
                <c:pt idx="64">
                  <c:v>15.891623972970377</c:v>
                </c:pt>
                <c:pt idx="65">
                  <c:v>39.148493776556585</c:v>
                </c:pt>
                <c:pt idx="66">
                  <c:v>31.907143414794735</c:v>
                </c:pt>
                <c:pt idx="67">
                  <c:v>31.109657139481538</c:v>
                </c:pt>
                <c:pt idx="68">
                  <c:v>24.766034896069524</c:v>
                </c:pt>
                <c:pt idx="69">
                  <c:v>15.360106167939389</c:v>
                </c:pt>
                <c:pt idx="70">
                  <c:v>15.987531425309772</c:v>
                </c:pt>
                <c:pt idx="71">
                  <c:v>8.9651663158591042</c:v>
                </c:pt>
                <c:pt idx="72">
                  <c:v>14.44540822117842</c:v>
                </c:pt>
                <c:pt idx="73">
                  <c:v>13.75007908936764</c:v>
                </c:pt>
                <c:pt idx="74">
                  <c:v>13.7231231969739</c:v>
                </c:pt>
                <c:pt idx="75">
                  <c:v>11.525531378582643</c:v>
                </c:pt>
                <c:pt idx="76">
                  <c:v>14.900140242042102</c:v>
                </c:pt>
                <c:pt idx="77">
                  <c:v>28.468202520624342</c:v>
                </c:pt>
                <c:pt idx="78">
                  <c:v>31.611064594405811</c:v>
                </c:pt>
                <c:pt idx="79">
                  <c:v>44.7480689370325</c:v>
                </c:pt>
                <c:pt idx="80">
                  <c:v>42.484500654530308</c:v>
                </c:pt>
                <c:pt idx="81">
                  <c:v>48.425573549232915</c:v>
                </c:pt>
                <c:pt idx="82">
                  <c:v>47.630649460860205</c:v>
                </c:pt>
                <c:pt idx="83">
                  <c:v>42.387538510219294</c:v>
                </c:pt>
                <c:pt idx="84">
                  <c:v>46.922273550547096</c:v>
                </c:pt>
                <c:pt idx="85">
                  <c:v>45.364692169947823</c:v>
                </c:pt>
                <c:pt idx="86">
                  <c:v>14.608115439533712</c:v>
                </c:pt>
                <c:pt idx="87">
                  <c:v>28.03739102168592</c:v>
                </c:pt>
                <c:pt idx="88">
                  <c:v>7.8614192655909854</c:v>
                </c:pt>
                <c:pt idx="89">
                  <c:v>28.027340620099679</c:v>
                </c:pt>
                <c:pt idx="90">
                  <c:v>32.819504667550632</c:v>
                </c:pt>
                <c:pt idx="91">
                  <c:v>20.487782816589952</c:v>
                </c:pt>
                <c:pt idx="92">
                  <c:v>22.792482914276576</c:v>
                </c:pt>
                <c:pt idx="93">
                  <c:v>45.880539192908842</c:v>
                </c:pt>
                <c:pt idx="94">
                  <c:v>52.646803188333642</c:v>
                </c:pt>
                <c:pt idx="95">
                  <c:v>11.395523832241079</c:v>
                </c:pt>
                <c:pt idx="96">
                  <c:v>38.253240889383065</c:v>
                </c:pt>
                <c:pt idx="97">
                  <c:v>31.07751818307775</c:v>
                </c:pt>
                <c:pt idx="98">
                  <c:v>36.459352707769838</c:v>
                </c:pt>
                <c:pt idx="99">
                  <c:v>53.312063802154341</c:v>
                </c:pt>
                <c:pt idx="100">
                  <c:v>44.184686569191406</c:v>
                </c:pt>
                <c:pt idx="101">
                  <c:v>37.73657825376052</c:v>
                </c:pt>
                <c:pt idx="102">
                  <c:v>8.0641834199784324</c:v>
                </c:pt>
                <c:pt idx="103">
                  <c:v>40.815781938950494</c:v>
                </c:pt>
                <c:pt idx="104">
                  <c:v>44.537788750843902</c:v>
                </c:pt>
                <c:pt idx="105">
                  <c:v>46.210119836921123</c:v>
                </c:pt>
                <c:pt idx="106">
                  <c:v>54.236764335054737</c:v>
                </c:pt>
                <c:pt idx="107">
                  <c:v>40.121428627151154</c:v>
                </c:pt>
                <c:pt idx="108">
                  <c:v>9.3784442604905802</c:v>
                </c:pt>
                <c:pt idx="109">
                  <c:v>9.7845719585786224</c:v>
                </c:pt>
                <c:pt idx="110">
                  <c:v>9.418348762742399</c:v>
                </c:pt>
                <c:pt idx="111">
                  <c:v>27.373709302075195</c:v>
                </c:pt>
                <c:pt idx="112">
                  <c:v>9.1164808688842776</c:v>
                </c:pt>
                <c:pt idx="113">
                  <c:v>31.501370373297384</c:v>
                </c:pt>
                <c:pt idx="114">
                  <c:v>47.674934551219074</c:v>
                </c:pt>
                <c:pt idx="115">
                  <c:v>54.659676662650227</c:v>
                </c:pt>
                <c:pt idx="116">
                  <c:v>39.677442096199798</c:v>
                </c:pt>
                <c:pt idx="117">
                  <c:v>23.907162307526907</c:v>
                </c:pt>
                <c:pt idx="118">
                  <c:v>43.723233840860267</c:v>
                </c:pt>
                <c:pt idx="119">
                  <c:v>46.28299043113757</c:v>
                </c:pt>
                <c:pt idx="120">
                  <c:v>46.829593059999155</c:v>
                </c:pt>
                <c:pt idx="121">
                  <c:v>27.76506470564858</c:v>
                </c:pt>
                <c:pt idx="122">
                  <c:v>38.753689417322292</c:v>
                </c:pt>
                <c:pt idx="123">
                  <c:v>20.985561442746729</c:v>
                </c:pt>
                <c:pt idx="124">
                  <c:v>43.048425233651173</c:v>
                </c:pt>
                <c:pt idx="125">
                  <c:v>37.776758319118215</c:v>
                </c:pt>
                <c:pt idx="126">
                  <c:v>51.681820197979818</c:v>
                </c:pt>
                <c:pt idx="127">
                  <c:v>47.656589700281309</c:v>
                </c:pt>
                <c:pt idx="128">
                  <c:v>54.724472155154416</c:v>
                </c:pt>
                <c:pt idx="129">
                  <c:v>51.118760659178214</c:v>
                </c:pt>
                <c:pt idx="130">
                  <c:v>55.122661568073681</c:v>
                </c:pt>
                <c:pt idx="131">
                  <c:v>41.097245361737009</c:v>
                </c:pt>
                <c:pt idx="132">
                  <c:v>43.046530148335869</c:v>
                </c:pt>
                <c:pt idx="133">
                  <c:v>49.05229899309996</c:v>
                </c:pt>
                <c:pt idx="134">
                  <c:v>51.619644963518489</c:v>
                </c:pt>
                <c:pt idx="135">
                  <c:v>50.074981129626032</c:v>
                </c:pt>
                <c:pt idx="136">
                  <c:v>53.406190156239667</c:v>
                </c:pt>
                <c:pt idx="137">
                  <c:v>51.654530866180366</c:v>
                </c:pt>
                <c:pt idx="138">
                  <c:v>54.300849269286751</c:v>
                </c:pt>
                <c:pt idx="139">
                  <c:v>48.454093572287647</c:v>
                </c:pt>
                <c:pt idx="140">
                  <c:v>48.548143679810323</c:v>
                </c:pt>
                <c:pt idx="141">
                  <c:v>36.877223488109685</c:v>
                </c:pt>
                <c:pt idx="142">
                  <c:v>19.470594900141879</c:v>
                </c:pt>
                <c:pt idx="143">
                  <c:v>16.096130000873252</c:v>
                </c:pt>
                <c:pt idx="144">
                  <c:v>40.489586640823127</c:v>
                </c:pt>
                <c:pt idx="145">
                  <c:v>24.612641826137232</c:v>
                </c:pt>
                <c:pt idx="146">
                  <c:v>45.314577423797289</c:v>
                </c:pt>
                <c:pt idx="147">
                  <c:v>54.503693914874923</c:v>
                </c:pt>
                <c:pt idx="148">
                  <c:v>58.931714096456702</c:v>
                </c:pt>
                <c:pt idx="149">
                  <c:v>50.003117320303815</c:v>
                </c:pt>
                <c:pt idx="150">
                  <c:v>54.205371922997507</c:v>
                </c:pt>
                <c:pt idx="151">
                  <c:v>55.234522162789979</c:v>
                </c:pt>
                <c:pt idx="152">
                  <c:v>44.051958417072953</c:v>
                </c:pt>
                <c:pt idx="153">
                  <c:v>53.881741598132834</c:v>
                </c:pt>
                <c:pt idx="154">
                  <c:v>25.686876813168588</c:v>
                </c:pt>
                <c:pt idx="155">
                  <c:v>35.395330070379373</c:v>
                </c:pt>
                <c:pt idx="156">
                  <c:v>46.169672729128671</c:v>
                </c:pt>
                <c:pt idx="157">
                  <c:v>28.006832980904022</c:v>
                </c:pt>
                <c:pt idx="158">
                  <c:v>20.879809642240083</c:v>
                </c:pt>
                <c:pt idx="159">
                  <c:v>45.490712557414035</c:v>
                </c:pt>
                <c:pt idx="160">
                  <c:v>56.750654479434367</c:v>
                </c:pt>
                <c:pt idx="161">
                  <c:v>54.842048802844843</c:v>
                </c:pt>
                <c:pt idx="162">
                  <c:v>42.571040995601308</c:v>
                </c:pt>
                <c:pt idx="163">
                  <c:v>53.536703913542837</c:v>
                </c:pt>
                <c:pt idx="164">
                  <c:v>47.592274073880034</c:v>
                </c:pt>
                <c:pt idx="165">
                  <c:v>53.652014997354634</c:v>
                </c:pt>
                <c:pt idx="166">
                  <c:v>51.530886081416547</c:v>
                </c:pt>
                <c:pt idx="167">
                  <c:v>51.66951524063056</c:v>
                </c:pt>
                <c:pt idx="168">
                  <c:v>54.0274935720267</c:v>
                </c:pt>
                <c:pt idx="169">
                  <c:v>55.341262269680001</c:v>
                </c:pt>
                <c:pt idx="170">
                  <c:v>31.219567905343805</c:v>
                </c:pt>
                <c:pt idx="171">
                  <c:v>22.467491012209695</c:v>
                </c:pt>
                <c:pt idx="172">
                  <c:v>43.516659543344417</c:v>
                </c:pt>
                <c:pt idx="173">
                  <c:v>41.047430092198113</c:v>
                </c:pt>
                <c:pt idx="174">
                  <c:v>38.717418375548135</c:v>
                </c:pt>
                <c:pt idx="175">
                  <c:v>33.599639795654937</c:v>
                </c:pt>
                <c:pt idx="176">
                  <c:v>11.929183700264167</c:v>
                </c:pt>
                <c:pt idx="177">
                  <c:v>14.495099383442744</c:v>
                </c:pt>
                <c:pt idx="178">
                  <c:v>57.504150083079985</c:v>
                </c:pt>
                <c:pt idx="179">
                  <c:v>55.855564956748509</c:v>
                </c:pt>
                <c:pt idx="180">
                  <c:v>13.774973521452081</c:v>
                </c:pt>
                <c:pt idx="181">
                  <c:v>49.685700184583297</c:v>
                </c:pt>
                <c:pt idx="182">
                  <c:v>54.886144457633819</c:v>
                </c:pt>
                <c:pt idx="183">
                  <c:v>45.214000270938293</c:v>
                </c:pt>
                <c:pt idx="184">
                  <c:v>43.744030859752705</c:v>
                </c:pt>
                <c:pt idx="185">
                  <c:v>54.836267009248111</c:v>
                </c:pt>
                <c:pt idx="186">
                  <c:v>46.611908585255584</c:v>
                </c:pt>
                <c:pt idx="187">
                  <c:v>54.29343176666233</c:v>
                </c:pt>
                <c:pt idx="188">
                  <c:v>56.632964985873691</c:v>
                </c:pt>
                <c:pt idx="189">
                  <c:v>55.971567254887532</c:v>
                </c:pt>
                <c:pt idx="190">
                  <c:v>55.44003757184344</c:v>
                </c:pt>
                <c:pt idx="191">
                  <c:v>53.984353174469675</c:v>
                </c:pt>
                <c:pt idx="192">
                  <c:v>53.751145329563961</c:v>
                </c:pt>
                <c:pt idx="193">
                  <c:v>53.478420412924258</c:v>
                </c:pt>
                <c:pt idx="194">
                  <c:v>52.919590554329716</c:v>
                </c:pt>
                <c:pt idx="195">
                  <c:v>51.173924871204918</c:v>
                </c:pt>
                <c:pt idx="196">
                  <c:v>52.663112280802743</c:v>
                </c:pt>
                <c:pt idx="197">
                  <c:v>52.200283989840436</c:v>
                </c:pt>
                <c:pt idx="198">
                  <c:v>53.141787130701097</c:v>
                </c:pt>
                <c:pt idx="199">
                  <c:v>43.914834638824559</c:v>
                </c:pt>
                <c:pt idx="200">
                  <c:v>43.486636906227673</c:v>
                </c:pt>
                <c:pt idx="201">
                  <c:v>51.426691404100673</c:v>
                </c:pt>
                <c:pt idx="202">
                  <c:v>41.524141833538252</c:v>
                </c:pt>
                <c:pt idx="203">
                  <c:v>47.716448353415167</c:v>
                </c:pt>
                <c:pt idx="204">
                  <c:v>51.656341509921745</c:v>
                </c:pt>
                <c:pt idx="205">
                  <c:v>26.324451151309855</c:v>
                </c:pt>
                <c:pt idx="206">
                  <c:v>55.824682867297668</c:v>
                </c:pt>
                <c:pt idx="207">
                  <c:v>55.863714444073068</c:v>
                </c:pt>
                <c:pt idx="208">
                  <c:v>43.556281485264577</c:v>
                </c:pt>
                <c:pt idx="209">
                  <c:v>31.109843085426046</c:v>
                </c:pt>
                <c:pt idx="210">
                  <c:v>48.116330057308708</c:v>
                </c:pt>
                <c:pt idx="211">
                  <c:v>53.425946245276933</c:v>
                </c:pt>
                <c:pt idx="212">
                  <c:v>53.06478515192336</c:v>
                </c:pt>
                <c:pt idx="213">
                  <c:v>53.054828545242167</c:v>
                </c:pt>
                <c:pt idx="214">
                  <c:v>50.10233726786641</c:v>
                </c:pt>
                <c:pt idx="215">
                  <c:v>49.360670137806295</c:v>
                </c:pt>
                <c:pt idx="216">
                  <c:v>44.826898781016894</c:v>
                </c:pt>
                <c:pt idx="217">
                  <c:v>49.22385899949915</c:v>
                </c:pt>
                <c:pt idx="218">
                  <c:v>51.79978688938138</c:v>
                </c:pt>
                <c:pt idx="219">
                  <c:v>52.237182150360255</c:v>
                </c:pt>
                <c:pt idx="220">
                  <c:v>50.277833701051009</c:v>
                </c:pt>
                <c:pt idx="221">
                  <c:v>47.512225893215131</c:v>
                </c:pt>
                <c:pt idx="222">
                  <c:v>45.944468958611949</c:v>
                </c:pt>
                <c:pt idx="223">
                  <c:v>46.859328946681572</c:v>
                </c:pt>
                <c:pt idx="224">
                  <c:v>35.266278794727803</c:v>
                </c:pt>
                <c:pt idx="225">
                  <c:v>33.475805797679278</c:v>
                </c:pt>
                <c:pt idx="226">
                  <c:v>37.922633205723173</c:v>
                </c:pt>
                <c:pt idx="227">
                  <c:v>35.076232713290374</c:v>
                </c:pt>
                <c:pt idx="228">
                  <c:v>28.142446698923322</c:v>
                </c:pt>
                <c:pt idx="229">
                  <c:v>35.706628978520122</c:v>
                </c:pt>
                <c:pt idx="230">
                  <c:v>40.674095830625753</c:v>
                </c:pt>
                <c:pt idx="231">
                  <c:v>48.84676688254266</c:v>
                </c:pt>
                <c:pt idx="232">
                  <c:v>32.99667849620031</c:v>
                </c:pt>
                <c:pt idx="233">
                  <c:v>26.29830279807026</c:v>
                </c:pt>
                <c:pt idx="234">
                  <c:v>47.694380200220856</c:v>
                </c:pt>
                <c:pt idx="235">
                  <c:v>45.470470831268933</c:v>
                </c:pt>
                <c:pt idx="236">
                  <c:v>31.880570046610824</c:v>
                </c:pt>
                <c:pt idx="237">
                  <c:v>42.338571112583153</c:v>
                </c:pt>
                <c:pt idx="238">
                  <c:v>48.149989837074486</c:v>
                </c:pt>
                <c:pt idx="239">
                  <c:v>47.103743034577121</c:v>
                </c:pt>
                <c:pt idx="240">
                  <c:v>32.232481700672054</c:v>
                </c:pt>
                <c:pt idx="241">
                  <c:v>46.79497910600594</c:v>
                </c:pt>
                <c:pt idx="242">
                  <c:v>24.171521432796816</c:v>
                </c:pt>
                <c:pt idx="243">
                  <c:v>39.567865428269279</c:v>
                </c:pt>
                <c:pt idx="244">
                  <c:v>38.082033903051233</c:v>
                </c:pt>
                <c:pt idx="245">
                  <c:v>37.181401063836397</c:v>
                </c:pt>
                <c:pt idx="246">
                  <c:v>44.938777421097278</c:v>
                </c:pt>
                <c:pt idx="247">
                  <c:v>39.281256683190193</c:v>
                </c:pt>
                <c:pt idx="248">
                  <c:v>44.453778778647568</c:v>
                </c:pt>
                <c:pt idx="249">
                  <c:v>35.389207353707903</c:v>
                </c:pt>
                <c:pt idx="250">
                  <c:v>34.395092119617004</c:v>
                </c:pt>
                <c:pt idx="251">
                  <c:v>23.036842223852762</c:v>
                </c:pt>
                <c:pt idx="252">
                  <c:v>45.570181830200319</c:v>
                </c:pt>
                <c:pt idx="253">
                  <c:v>45.011059093585011</c:v>
                </c:pt>
                <c:pt idx="254">
                  <c:v>32.672376222622184</c:v>
                </c:pt>
                <c:pt idx="255">
                  <c:v>13.86941790338566</c:v>
                </c:pt>
                <c:pt idx="256">
                  <c:v>34.780634711061865</c:v>
                </c:pt>
                <c:pt idx="257">
                  <c:v>39.835362173491063</c:v>
                </c:pt>
                <c:pt idx="258">
                  <c:v>31.829355024477707</c:v>
                </c:pt>
                <c:pt idx="259">
                  <c:v>44.480051745137487</c:v>
                </c:pt>
                <c:pt idx="260">
                  <c:v>44.475053649068556</c:v>
                </c:pt>
                <c:pt idx="261">
                  <c:v>43.873589975645601</c:v>
                </c:pt>
                <c:pt idx="262">
                  <c:v>45.546064145832929</c:v>
                </c:pt>
                <c:pt idx="263">
                  <c:v>44.375925384094558</c:v>
                </c:pt>
                <c:pt idx="264">
                  <c:v>42.943487425674384</c:v>
                </c:pt>
                <c:pt idx="265">
                  <c:v>27.257652689528644</c:v>
                </c:pt>
                <c:pt idx="266">
                  <c:v>16.512427035655321</c:v>
                </c:pt>
                <c:pt idx="267">
                  <c:v>34.775751408807118</c:v>
                </c:pt>
                <c:pt idx="268">
                  <c:v>31.842658035938893</c:v>
                </c:pt>
                <c:pt idx="269">
                  <c:v>16.886085214189972</c:v>
                </c:pt>
                <c:pt idx="270">
                  <c:v>19.14039351712983</c:v>
                </c:pt>
                <c:pt idx="271">
                  <c:v>22.999214431339169</c:v>
                </c:pt>
                <c:pt idx="272">
                  <c:v>27.294590068153756</c:v>
                </c:pt>
                <c:pt idx="273">
                  <c:v>35.666739435083784</c:v>
                </c:pt>
                <c:pt idx="274">
                  <c:v>38.034561752256302</c:v>
                </c:pt>
                <c:pt idx="275">
                  <c:v>36.719771258775886</c:v>
                </c:pt>
                <c:pt idx="276">
                  <c:v>40.452374652673598</c:v>
                </c:pt>
                <c:pt idx="277">
                  <c:v>41.245942700534151</c:v>
                </c:pt>
                <c:pt idx="278">
                  <c:v>11.394847823911395</c:v>
                </c:pt>
                <c:pt idx="279">
                  <c:v>28.625221190306608</c:v>
                </c:pt>
                <c:pt idx="280">
                  <c:v>16.521789788678429</c:v>
                </c:pt>
                <c:pt idx="281">
                  <c:v>37.727370789097698</c:v>
                </c:pt>
                <c:pt idx="282">
                  <c:v>30.291322902822674</c:v>
                </c:pt>
                <c:pt idx="283">
                  <c:v>22.034840720444574</c:v>
                </c:pt>
                <c:pt idx="284">
                  <c:v>27.352114997982021</c:v>
                </c:pt>
                <c:pt idx="285">
                  <c:v>22.904093902804259</c:v>
                </c:pt>
                <c:pt idx="286">
                  <c:v>17.805987827299113</c:v>
                </c:pt>
                <c:pt idx="287">
                  <c:v>36.592223727166719</c:v>
                </c:pt>
                <c:pt idx="288">
                  <c:v>32.300832296382836</c:v>
                </c:pt>
                <c:pt idx="289">
                  <c:v>19.178027013631457</c:v>
                </c:pt>
                <c:pt idx="290">
                  <c:v>33.833237230583805</c:v>
                </c:pt>
                <c:pt idx="291">
                  <c:v>15.727778244536958</c:v>
                </c:pt>
                <c:pt idx="292">
                  <c:v>6.623737878828952</c:v>
                </c:pt>
                <c:pt idx="293">
                  <c:v>16.121990945579324</c:v>
                </c:pt>
                <c:pt idx="294">
                  <c:v>32.575885015635961</c:v>
                </c:pt>
                <c:pt idx="295">
                  <c:v>16.744279549567583</c:v>
                </c:pt>
                <c:pt idx="296">
                  <c:v>24.77671741752884</c:v>
                </c:pt>
                <c:pt idx="297">
                  <c:v>21.908880584603779</c:v>
                </c:pt>
                <c:pt idx="298">
                  <c:v>12.214489087588046</c:v>
                </c:pt>
                <c:pt idx="299">
                  <c:v>14.131954495577762</c:v>
                </c:pt>
                <c:pt idx="300">
                  <c:v>17.001811935149647</c:v>
                </c:pt>
                <c:pt idx="301">
                  <c:v>26.407551924489521</c:v>
                </c:pt>
                <c:pt idx="302">
                  <c:v>22.706036017865017</c:v>
                </c:pt>
                <c:pt idx="303">
                  <c:v>21.598589514714945</c:v>
                </c:pt>
                <c:pt idx="304">
                  <c:v>19.148494531875269</c:v>
                </c:pt>
                <c:pt idx="305">
                  <c:v>28.41002531862275</c:v>
                </c:pt>
                <c:pt idx="306">
                  <c:v>9.9736609943884869</c:v>
                </c:pt>
                <c:pt idx="307">
                  <c:v>17.226545617153292</c:v>
                </c:pt>
                <c:pt idx="308">
                  <c:v>29.346773008339976</c:v>
                </c:pt>
                <c:pt idx="309">
                  <c:v>29.307711259356488</c:v>
                </c:pt>
                <c:pt idx="310">
                  <c:v>27.493544032404561</c:v>
                </c:pt>
                <c:pt idx="311">
                  <c:v>19.828406644369988</c:v>
                </c:pt>
                <c:pt idx="312">
                  <c:v>9.7677866420873229</c:v>
                </c:pt>
                <c:pt idx="313">
                  <c:v>19.724027881703787</c:v>
                </c:pt>
                <c:pt idx="314">
                  <c:v>26.983402363925766</c:v>
                </c:pt>
                <c:pt idx="315">
                  <c:v>26.574631490110139</c:v>
                </c:pt>
                <c:pt idx="316">
                  <c:v>25.560187032372195</c:v>
                </c:pt>
                <c:pt idx="317">
                  <c:v>9.4652091636510427</c:v>
                </c:pt>
                <c:pt idx="318">
                  <c:v>12.146754853785874</c:v>
                </c:pt>
                <c:pt idx="319">
                  <c:v>26.154463239023379</c:v>
                </c:pt>
                <c:pt idx="320">
                  <c:v>13.390576195522202</c:v>
                </c:pt>
                <c:pt idx="321">
                  <c:v>15.329463035242192</c:v>
                </c:pt>
                <c:pt idx="322">
                  <c:v>7.0062036572770827</c:v>
                </c:pt>
                <c:pt idx="323">
                  <c:v>15.418554387655869</c:v>
                </c:pt>
                <c:pt idx="324">
                  <c:v>3.0971731310259867</c:v>
                </c:pt>
                <c:pt idx="325">
                  <c:v>7.6627911415992118</c:v>
                </c:pt>
                <c:pt idx="326">
                  <c:v>12.852079389373211</c:v>
                </c:pt>
                <c:pt idx="327">
                  <c:v>13.488345639004184</c:v>
                </c:pt>
                <c:pt idx="328">
                  <c:v>4.6743990731559562</c:v>
                </c:pt>
                <c:pt idx="329">
                  <c:v>10.741909781357453</c:v>
                </c:pt>
                <c:pt idx="330">
                  <c:v>14.141602256816656</c:v>
                </c:pt>
                <c:pt idx="331">
                  <c:v>10.26037442873125</c:v>
                </c:pt>
                <c:pt idx="332">
                  <c:v>14.944336575895962</c:v>
                </c:pt>
                <c:pt idx="333">
                  <c:v>3.9055228029879232</c:v>
                </c:pt>
                <c:pt idx="334">
                  <c:v>3.6971027222923944</c:v>
                </c:pt>
                <c:pt idx="335">
                  <c:v>5.5547341135706985</c:v>
                </c:pt>
                <c:pt idx="336">
                  <c:v>9.3101152822043201</c:v>
                </c:pt>
                <c:pt idx="337">
                  <c:v>17.074960927684913</c:v>
                </c:pt>
                <c:pt idx="338">
                  <c:v>22.637972160265242</c:v>
                </c:pt>
                <c:pt idx="339">
                  <c:v>11.129288422037909</c:v>
                </c:pt>
                <c:pt idx="340">
                  <c:v>20.055934230521277</c:v>
                </c:pt>
                <c:pt idx="341">
                  <c:v>4.0282748652818743</c:v>
                </c:pt>
                <c:pt idx="342">
                  <c:v>4.9166068050114351</c:v>
                </c:pt>
                <c:pt idx="343">
                  <c:v>11.902680941189452</c:v>
                </c:pt>
                <c:pt idx="344">
                  <c:v>17.031950268559193</c:v>
                </c:pt>
                <c:pt idx="345">
                  <c:v>5.20564372418837</c:v>
                </c:pt>
                <c:pt idx="346">
                  <c:v>5.2706098198208089</c:v>
                </c:pt>
                <c:pt idx="347">
                  <c:v>16.830326712806546</c:v>
                </c:pt>
                <c:pt idx="348">
                  <c:v>5.7519771372873603</c:v>
                </c:pt>
                <c:pt idx="349">
                  <c:v>5.0804777924953504</c:v>
                </c:pt>
                <c:pt idx="350">
                  <c:v>3.4444369851321897</c:v>
                </c:pt>
                <c:pt idx="351">
                  <c:v>20.546483258518467</c:v>
                </c:pt>
                <c:pt idx="352">
                  <c:v>17.484310087339875</c:v>
                </c:pt>
                <c:pt idx="353">
                  <c:v>4.45666912285939</c:v>
                </c:pt>
                <c:pt idx="354">
                  <c:v>20.404916919918282</c:v>
                </c:pt>
                <c:pt idx="355">
                  <c:v>17.252043694557443</c:v>
                </c:pt>
                <c:pt idx="356">
                  <c:v>17.483898835238556</c:v>
                </c:pt>
                <c:pt idx="357">
                  <c:v>20.77928418035598</c:v>
                </c:pt>
                <c:pt idx="358">
                  <c:v>11.739343179777476</c:v>
                </c:pt>
                <c:pt idx="359">
                  <c:v>20.295005090662507</c:v>
                </c:pt>
                <c:pt idx="360">
                  <c:v>6.8766165242163471</c:v>
                </c:pt>
                <c:pt idx="361">
                  <c:v>21.347402085818203</c:v>
                </c:pt>
                <c:pt idx="362">
                  <c:v>10.138762505655198</c:v>
                </c:pt>
                <c:pt idx="363">
                  <c:v>13.73612493335281</c:v>
                </c:pt>
                <c:pt idx="364">
                  <c:v>11.364031171506971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995952"/>
        <c:axId val="215996344"/>
      </c:lineChart>
      <c:dateAx>
        <c:axId val="215995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6344"/>
        <c:crosses val="autoZero"/>
        <c:auto val="1"/>
        <c:lblOffset val="100"/>
        <c:baseTimeUnit val="days"/>
        <c:majorUnit val="1"/>
        <c:majorTimeUnit val="months"/>
      </c:dateAx>
      <c:valAx>
        <c:axId val="2159963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5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4.7549666746066976E-2</c:v>
                </c:pt>
                <c:pt idx="1">
                  <c:v>4.7567920239414918E-2</c:v>
                </c:pt>
                <c:pt idx="2">
                  <c:v>4.7586173382938912E-2</c:v>
                </c:pt>
                <c:pt idx="3">
                  <c:v>4.7604426176645509E-2</c:v>
                </c:pt>
                <c:pt idx="4">
                  <c:v>4.7622678620541481E-2</c:v>
                </c:pt>
                <c:pt idx="5">
                  <c:v>4.7640930714633489E-2</c:v>
                </c:pt>
                <c:pt idx="6">
                  <c:v>4.7659182458928306E-2</c:v>
                </c:pt>
                <c:pt idx="7">
                  <c:v>4.7677433853432705E-2</c:v>
                </c:pt>
                <c:pt idx="8">
                  <c:v>4.7695684898153123E-2</c:v>
                </c:pt>
                <c:pt idx="9">
                  <c:v>4.7713935593096557E-2</c:v>
                </c:pt>
                <c:pt idx="10">
                  <c:v>4.7732185938269556E-2</c:v>
                </c:pt>
                <c:pt idx="11">
                  <c:v>4.7750435933678892E-2</c:v>
                </c:pt>
                <c:pt idx="12">
                  <c:v>4.7768685579331116E-2</c:v>
                </c:pt>
                <c:pt idx="13">
                  <c:v>4.7786934875233111E-2</c:v>
                </c:pt>
                <c:pt idx="14">
                  <c:v>4.7805183821391539E-2</c:v>
                </c:pt>
                <c:pt idx="15">
                  <c:v>4.7823432417813061E-2</c:v>
                </c:pt>
                <c:pt idx="16">
                  <c:v>4.7841680664504338E-2</c:v>
                </c:pt>
                <c:pt idx="17">
                  <c:v>4.7859928561472254E-2</c:v>
                </c:pt>
                <c:pt idx="18">
                  <c:v>4.7878176108723247E-2</c:v>
                </c:pt>
                <c:pt idx="19">
                  <c:v>4.7896423306264313E-2</c:v>
                </c:pt>
                <c:pt idx="20">
                  <c:v>4.791467015410189E-2</c:v>
                </c:pt>
                <c:pt idx="21">
                  <c:v>4.7932916652242863E-2</c:v>
                </c:pt>
                <c:pt idx="22">
                  <c:v>4.7951162800693781E-2</c:v>
                </c:pt>
                <c:pt idx="23">
                  <c:v>4.7969408599461416E-2</c:v>
                </c:pt>
                <c:pt idx="24">
                  <c:v>4.7987654048552542E-2</c:v>
                </c:pt>
                <c:pt idx="25">
                  <c:v>4.8005899147973818E-2</c:v>
                </c:pt>
                <c:pt idx="26">
                  <c:v>4.8024143897731908E-2</c:v>
                </c:pt>
                <c:pt idx="27">
                  <c:v>4.8042388297833472E-2</c:v>
                </c:pt>
                <c:pt idx="28">
                  <c:v>4.8060632348285282E-2</c:v>
                </c:pt>
                <c:pt idx="29">
                  <c:v>4.807887604909411E-2</c:v>
                </c:pt>
                <c:pt idx="30">
                  <c:v>4.8097119400266508E-2</c:v>
                </c:pt>
                <c:pt idx="31">
                  <c:v>4.8115362401809247E-2</c:v>
                </c:pt>
                <c:pt idx="32">
                  <c:v>4.8133605053728989E-2</c:v>
                </c:pt>
                <c:pt idx="33">
                  <c:v>4.8151847356032507E-2</c:v>
                </c:pt>
                <c:pt idx="34">
                  <c:v>4.8170089308726571E-2</c:v>
                </c:pt>
                <c:pt idx="35">
                  <c:v>4.8188330911817623E-2</c:v>
                </c:pt>
                <c:pt idx="36">
                  <c:v>4.8206572165312545E-2</c:v>
                </c:pt>
                <c:pt idx="37">
                  <c:v>4.8224813069217998E-2</c:v>
                </c:pt>
                <c:pt idx="38">
                  <c:v>4.8243053623540755E-2</c:v>
                </c:pt>
                <c:pt idx="39">
                  <c:v>4.8261293828287366E-2</c:v>
                </c:pt>
                <c:pt idx="40">
                  <c:v>4.8279533683464715E-2</c:v>
                </c:pt>
                <c:pt idx="41">
                  <c:v>4.8297773189079352E-2</c:v>
                </c:pt>
                <c:pt idx="42">
                  <c:v>4.8316012345137938E-2</c:v>
                </c:pt>
                <c:pt idx="43">
                  <c:v>4.8334251151647356E-2</c:v>
                </c:pt>
                <c:pt idx="44">
                  <c:v>4.8352489608614158E-2</c:v>
                </c:pt>
                <c:pt idx="45">
                  <c:v>4.8370727716045225E-2</c:v>
                </c:pt>
                <c:pt idx="46">
                  <c:v>4.8388965473946999E-2</c:v>
                </c:pt>
                <c:pt idx="47">
                  <c:v>4.840720288232625E-2</c:v>
                </c:pt>
                <c:pt idx="48">
                  <c:v>4.8425439941189863E-2</c:v>
                </c:pt>
                <c:pt idx="49">
                  <c:v>4.8443676650544387E-2</c:v>
                </c:pt>
                <c:pt idx="50">
                  <c:v>4.8461913010396485E-2</c:v>
                </c:pt>
                <c:pt idx="51">
                  <c:v>4.8480149020752927E-2</c:v>
                </c:pt>
                <c:pt idx="52">
                  <c:v>4.8498384681620377E-2</c:v>
                </c:pt>
                <c:pt idx="53">
                  <c:v>4.8516619993005494E-2</c:v>
                </c:pt>
                <c:pt idx="54">
                  <c:v>4.8534854954915052E-2</c:v>
                </c:pt>
                <c:pt idx="55">
                  <c:v>4.8553089567355823E-2</c:v>
                </c:pt>
                <c:pt idx="56">
                  <c:v>4.8571323830334356E-2</c:v>
                </c:pt>
                <c:pt idx="57">
                  <c:v>4.8589557743857315E-2</c:v>
                </c:pt>
                <c:pt idx="58">
                  <c:v>4.860779130793158E-2</c:v>
                </c:pt>
                <c:pt idx="59">
                  <c:v>4.8626024522563704E-2</c:v>
                </c:pt>
                <c:pt idx="60">
                  <c:v>4.8644257387760459E-2</c:v>
                </c:pt>
                <c:pt idx="61">
                  <c:v>4.8662489903528505E-2</c:v>
                </c:pt>
                <c:pt idx="62">
                  <c:v>4.8680722069874505E-2</c:v>
                </c:pt>
                <c:pt idx="63">
                  <c:v>4.869895388680523E-2</c:v>
                </c:pt>
                <c:pt idx="64">
                  <c:v>4.8717185354327341E-2</c:v>
                </c:pt>
                <c:pt idx="65">
                  <c:v>4.8735416472447612E-2</c:v>
                </c:pt>
                <c:pt idx="66">
                  <c:v>4.8753647241172593E-2</c:v>
                </c:pt>
                <c:pt idx="67">
                  <c:v>4.8771877660509055E-2</c:v>
                </c:pt>
                <c:pt idx="68">
                  <c:v>4.8790107730463661E-2</c:v>
                </c:pt>
                <c:pt idx="69">
                  <c:v>4.8808337451043182E-2</c:v>
                </c:pt>
                <c:pt idx="70">
                  <c:v>4.8826566822254169E-2</c:v>
                </c:pt>
                <c:pt idx="71">
                  <c:v>4.8844795844103506E-2</c:v>
                </c:pt>
                <c:pt idx="72">
                  <c:v>4.8863024516597853E-2</c:v>
                </c:pt>
                <c:pt idx="73">
                  <c:v>4.8881252839743761E-2</c:v>
                </c:pt>
                <c:pt idx="74">
                  <c:v>4.8899480813548002E-2</c:v>
                </c:pt>
                <c:pt idx="75">
                  <c:v>4.8917708438017349E-2</c:v>
                </c:pt>
                <c:pt idx="76">
                  <c:v>4.8935935713158352E-2</c:v>
                </c:pt>
                <c:pt idx="77">
                  <c:v>4.8954162638977783E-2</c:v>
                </c:pt>
                <c:pt idx="78">
                  <c:v>4.8972389215482415E-2</c:v>
                </c:pt>
                <c:pt idx="79">
                  <c:v>4.8990615442678798E-2</c:v>
                </c:pt>
                <c:pt idx="80">
                  <c:v>4.9008841320573815E-2</c:v>
                </c:pt>
                <c:pt idx="81">
                  <c:v>4.9027066849173906E-2</c:v>
                </c:pt>
                <c:pt idx="82">
                  <c:v>4.9045292028485954E-2</c:v>
                </c:pt>
                <c:pt idx="83">
                  <c:v>4.906351685851662E-2</c:v>
                </c:pt>
                <c:pt idx="84">
                  <c:v>4.9081741339272567E-2</c:v>
                </c:pt>
                <c:pt idx="85">
                  <c:v>4.9099965470760454E-2</c:v>
                </c:pt>
                <c:pt idx="86">
                  <c:v>4.9118189252987055E-2</c:v>
                </c:pt>
                <c:pt idx="87">
                  <c:v>4.913641268595903E-2</c:v>
                </c:pt>
                <c:pt idx="88">
                  <c:v>4.9154635769683042E-2</c:v>
                </c:pt>
                <c:pt idx="89">
                  <c:v>4.9172858504165862E-2</c:v>
                </c:pt>
                <c:pt idx="90">
                  <c:v>4.9191080889414041E-2</c:v>
                </c:pt>
                <c:pt idx="91">
                  <c:v>4.9209302925434462E-2</c:v>
                </c:pt>
                <c:pt idx="92">
                  <c:v>4.9227524612233675E-2</c:v>
                </c:pt>
                <c:pt idx="93">
                  <c:v>4.9245745949818454E-2</c:v>
                </c:pt>
                <c:pt idx="94">
                  <c:v>4.9263966938195347E-2</c:v>
                </c:pt>
                <c:pt idx="95">
                  <c:v>4.9282187577371239E-2</c:v>
                </c:pt>
                <c:pt idx="96">
                  <c:v>4.9300407867352791E-2</c:v>
                </c:pt>
                <c:pt idx="97">
                  <c:v>4.9318627808146553E-2</c:v>
                </c:pt>
                <c:pt idx="98">
                  <c:v>4.9336847399759298E-2</c:v>
                </c:pt>
                <c:pt idx="99">
                  <c:v>4.9355066642197798E-2</c:v>
                </c:pt>
                <c:pt idx="100">
                  <c:v>4.9373285535468603E-2</c:v>
                </c:pt>
                <c:pt idx="101">
                  <c:v>4.9391504079578596E-2</c:v>
                </c:pt>
                <c:pt idx="102">
                  <c:v>4.9409722274534218E-2</c:v>
                </c:pt>
                <c:pt idx="103">
                  <c:v>4.9427940120342351E-2</c:v>
                </c:pt>
                <c:pt idx="104">
                  <c:v>4.9446157617009545E-2</c:v>
                </c:pt>
                <c:pt idx="105">
                  <c:v>4.9464374764542685E-2</c:v>
                </c:pt>
                <c:pt idx="106">
                  <c:v>4.9482591562948319E-2</c:v>
                </c:pt>
                <c:pt idx="107">
                  <c:v>4.9500808012233111E-2</c:v>
                </c:pt>
                <c:pt idx="108">
                  <c:v>4.9519024112403831E-2</c:v>
                </c:pt>
                <c:pt idx="109">
                  <c:v>4.9537239863467142E-2</c:v>
                </c:pt>
                <c:pt idx="110">
                  <c:v>4.9555455265429815E-2</c:v>
                </c:pt>
                <c:pt idx="111">
                  <c:v>4.9573670318298402E-2</c:v>
                </c:pt>
                <c:pt idx="112">
                  <c:v>4.9591885022079674E-2</c:v>
                </c:pt>
                <c:pt idx="113">
                  <c:v>4.9610099376780292E-2</c:v>
                </c:pt>
                <c:pt idx="114">
                  <c:v>4.9628313382406919E-2</c:v>
                </c:pt>
                <c:pt idx="115">
                  <c:v>4.9646527038966326E-2</c:v>
                </c:pt>
                <c:pt idx="116">
                  <c:v>4.9664740346465175E-2</c:v>
                </c:pt>
                <c:pt idx="117">
                  <c:v>4.9682953304910127E-2</c:v>
                </c:pt>
                <c:pt idx="118">
                  <c:v>4.9701165914307843E-2</c:v>
                </c:pt>
                <c:pt idx="119">
                  <c:v>4.9719378174665096E-2</c:v>
                </c:pt>
                <c:pt idx="120">
                  <c:v>4.9737590085988548E-2</c:v>
                </c:pt>
                <c:pt idx="121">
                  <c:v>4.9755801648284859E-2</c:v>
                </c:pt>
                <c:pt idx="122">
                  <c:v>4.977401286156069E-2</c:v>
                </c:pt>
                <c:pt idx="123">
                  <c:v>4.9792223725822815E-2</c:v>
                </c:pt>
                <c:pt idx="124">
                  <c:v>4.9810434241077894E-2</c:v>
                </c:pt>
                <c:pt idx="125">
                  <c:v>4.982864440733259E-2</c:v>
                </c:pt>
                <c:pt idx="126">
                  <c:v>4.9846854224593562E-2</c:v>
                </c:pt>
                <c:pt idx="127">
                  <c:v>4.9865063692867584E-2</c:v>
                </c:pt>
                <c:pt idx="128">
                  <c:v>4.9883272812161317E-2</c:v>
                </c:pt>
                <c:pt idx="129">
                  <c:v>4.9901481582481422E-2</c:v>
                </c:pt>
                <c:pt idx="130">
                  <c:v>4.991969000383456E-2</c:v>
                </c:pt>
                <c:pt idx="131">
                  <c:v>4.9937898076227505E-2</c:v>
                </c:pt>
                <c:pt idx="132">
                  <c:v>4.9956105799666917E-2</c:v>
                </c:pt>
                <c:pt idx="133">
                  <c:v>4.9974313174159457E-2</c:v>
                </c:pt>
                <c:pt idx="134">
                  <c:v>4.9992520199711787E-2</c:v>
                </c:pt>
                <c:pt idx="135">
                  <c:v>5.0010726876330569E-2</c:v>
                </c:pt>
                <c:pt idx="136">
                  <c:v>5.0028933204022574E-2</c:v>
                </c:pt>
                <c:pt idx="137">
                  <c:v>5.0047139182794576E-2</c:v>
                </c:pt>
                <c:pt idx="138">
                  <c:v>5.0065344812653012E-2</c:v>
                </c:pt>
                <c:pt idx="139">
                  <c:v>5.0083550093604767E-2</c:v>
                </c:pt>
                <c:pt idx="140">
                  <c:v>5.0101755025656391E-2</c:v>
                </c:pt>
                <c:pt idx="141">
                  <c:v>5.0119959608814768E-2</c:v>
                </c:pt>
                <c:pt idx="142">
                  <c:v>5.0138163843086447E-2</c:v>
                </c:pt>
                <c:pt idx="143">
                  <c:v>5.0156367728478091E-2</c:v>
                </c:pt>
                <c:pt idx="144">
                  <c:v>5.0174571264996359E-2</c:v>
                </c:pt>
                <c:pt idx="145">
                  <c:v>5.0192774452648026E-2</c:v>
                </c:pt>
                <c:pt idx="146">
                  <c:v>5.0210977291439862E-2</c:v>
                </c:pt>
                <c:pt idx="147">
                  <c:v>5.0229179781378308E-2</c:v>
                </c:pt>
                <c:pt idx="148">
                  <c:v>5.0247381922470247E-2</c:v>
                </c:pt>
                <c:pt idx="149">
                  <c:v>5.0265583714722339E-2</c:v>
                </c:pt>
                <c:pt idx="150">
                  <c:v>5.0283785158141248E-2</c:v>
                </c:pt>
                <c:pt idx="151">
                  <c:v>5.0301986252733633E-2</c:v>
                </c:pt>
                <c:pt idx="152">
                  <c:v>5.0320186998506156E-2</c:v>
                </c:pt>
                <c:pt idx="153">
                  <c:v>5.0338387395465478E-2</c:v>
                </c:pt>
                <c:pt idx="154">
                  <c:v>5.0356587443618483E-2</c:v>
                </c:pt>
                <c:pt idx="155">
                  <c:v>5.0374787142971611E-2</c:v>
                </c:pt>
                <c:pt idx="156">
                  <c:v>5.0392986493531633E-2</c:v>
                </c:pt>
                <c:pt idx="157">
                  <c:v>5.0411185495305322E-2</c:v>
                </c:pt>
                <c:pt idx="158">
                  <c:v>5.0429384148299339E-2</c:v>
                </c:pt>
                <c:pt idx="159">
                  <c:v>5.0447582452520234E-2</c:v>
                </c:pt>
                <c:pt idx="160">
                  <c:v>5.0465780407974781E-2</c:v>
                </c:pt>
                <c:pt idx="161">
                  <c:v>5.048397801466975E-2</c:v>
                </c:pt>
                <c:pt idx="162">
                  <c:v>5.0502175272611693E-2</c:v>
                </c:pt>
                <c:pt idx="163">
                  <c:v>5.0520372181807272E-2</c:v>
                </c:pt>
                <c:pt idx="164">
                  <c:v>5.0538568742263368E-2</c:v>
                </c:pt>
                <c:pt idx="165">
                  <c:v>5.0556764953986422E-2</c:v>
                </c:pt>
                <c:pt idx="166">
                  <c:v>5.0574960816983316E-2</c:v>
                </c:pt>
                <c:pt idx="167">
                  <c:v>5.0593156331260603E-2</c:v>
                </c:pt>
                <c:pt idx="168">
                  <c:v>5.0611351496824941E-2</c:v>
                </c:pt>
                <c:pt idx="169">
                  <c:v>5.0629546313683216E-2</c:v>
                </c:pt>
                <c:pt idx="170">
                  <c:v>5.0647740781841866E-2</c:v>
                </c:pt>
                <c:pt idx="171">
                  <c:v>5.0665934901307774E-2</c:v>
                </c:pt>
                <c:pt idx="172">
                  <c:v>5.0684128672087381E-2</c:v>
                </c:pt>
                <c:pt idx="173">
                  <c:v>5.070232209418768E-2</c:v>
                </c:pt>
                <c:pt idx="174">
                  <c:v>5.072051516761511E-2</c:v>
                </c:pt>
                <c:pt idx="175">
                  <c:v>5.0738707892376445E-2</c:v>
                </c:pt>
                <c:pt idx="176">
                  <c:v>5.0756900268478455E-2</c:v>
                </c:pt>
                <c:pt idx="177">
                  <c:v>5.0775092295927693E-2</c:v>
                </c:pt>
                <c:pt idx="178">
                  <c:v>5.0793283974730818E-2</c:v>
                </c:pt>
                <c:pt idx="179">
                  <c:v>5.0811475304894604E-2</c:v>
                </c:pt>
                <c:pt idx="180">
                  <c:v>5.0829666286425601E-2</c:v>
                </c:pt>
                <c:pt idx="181">
                  <c:v>5.0847856919330692E-2</c:v>
                </c:pt>
                <c:pt idx="182">
                  <c:v>5.0866047203616427E-2</c:v>
                </c:pt>
                <c:pt idx="183">
                  <c:v>5.0884237139289579E-2</c:v>
                </c:pt>
                <c:pt idx="184">
                  <c:v>5.0902426726356698E-2</c:v>
                </c:pt>
                <c:pt idx="185">
                  <c:v>5.0920615964824556E-2</c:v>
                </c:pt>
                <c:pt idx="186">
                  <c:v>5.0938804854699704E-2</c:v>
                </c:pt>
                <c:pt idx="187">
                  <c:v>5.0956993395989025E-2</c:v>
                </c:pt>
                <c:pt idx="188">
                  <c:v>5.097518158869907E-2</c:v>
                </c:pt>
                <c:pt idx="189">
                  <c:v>5.099336943283661E-2</c:v>
                </c:pt>
                <c:pt idx="190">
                  <c:v>5.1011556928408197E-2</c:v>
                </c:pt>
                <c:pt idx="191">
                  <c:v>5.1029744075420602E-2</c:v>
                </c:pt>
                <c:pt idx="192">
                  <c:v>5.1047930873880487E-2</c:v>
                </c:pt>
                <c:pt idx="193">
                  <c:v>5.1066117323794513E-2</c:v>
                </c:pt>
                <c:pt idx="194">
                  <c:v>5.1084303425169453E-2</c:v>
                </c:pt>
                <c:pt idx="195">
                  <c:v>5.1102489178011856E-2</c:v>
                </c:pt>
                <c:pt idx="196">
                  <c:v>5.1120674582328385E-2</c:v>
                </c:pt>
                <c:pt idx="197">
                  <c:v>5.1138859638125922E-2</c:v>
                </c:pt>
                <c:pt idx="198">
                  <c:v>5.1157044345410907E-2</c:v>
                </c:pt>
                <c:pt idx="199">
                  <c:v>5.1175228704190223E-2</c:v>
                </c:pt>
                <c:pt idx="200">
                  <c:v>5.119341271447031E-2</c:v>
                </c:pt>
                <c:pt idx="201">
                  <c:v>5.1211596376258051E-2</c:v>
                </c:pt>
                <c:pt idx="202">
                  <c:v>5.1229779689560107E-2</c:v>
                </c:pt>
                <c:pt idx="203">
                  <c:v>5.1247962654383139E-2</c:v>
                </c:pt>
                <c:pt idx="204">
                  <c:v>5.1266145270733698E-2</c:v>
                </c:pt>
                <c:pt idx="205">
                  <c:v>5.1284327538618668E-2</c:v>
                </c:pt>
                <c:pt idx="206">
                  <c:v>5.1302509458044487E-2</c:v>
                </c:pt>
                <c:pt idx="207">
                  <c:v>5.132069102901804E-2</c:v>
                </c:pt>
                <c:pt idx="208">
                  <c:v>5.1338872251545986E-2</c:v>
                </c:pt>
                <c:pt idx="209">
                  <c:v>5.1357053125634877E-2</c:v>
                </c:pt>
                <c:pt idx="210">
                  <c:v>5.1375233651291485E-2</c:v>
                </c:pt>
                <c:pt idx="211">
                  <c:v>5.1393413828522472E-2</c:v>
                </c:pt>
                <c:pt idx="212">
                  <c:v>5.1411593657334498E-2</c:v>
                </c:pt>
                <c:pt idx="213">
                  <c:v>5.1429773137734336E-2</c:v>
                </c:pt>
                <c:pt idx="214">
                  <c:v>5.1447952269728425E-2</c:v>
                </c:pt>
                <c:pt idx="215">
                  <c:v>5.146613105332376E-2</c:v>
                </c:pt>
                <c:pt idx="216">
                  <c:v>5.148430948852678E-2</c:v>
                </c:pt>
                <c:pt idx="217">
                  <c:v>5.1502487575344147E-2</c:v>
                </c:pt>
                <c:pt idx="218">
                  <c:v>5.1520665313782743E-2</c:v>
                </c:pt>
                <c:pt idx="219">
                  <c:v>5.1538842703849119E-2</c:v>
                </c:pt>
                <c:pt idx="220">
                  <c:v>5.1557019745549937E-2</c:v>
                </c:pt>
                <c:pt idx="221">
                  <c:v>5.1575196438891857E-2</c:v>
                </c:pt>
                <c:pt idx="222">
                  <c:v>5.1593372783881652E-2</c:v>
                </c:pt>
                <c:pt idx="223">
                  <c:v>5.1611548780525984E-2</c:v>
                </c:pt>
                <c:pt idx="224">
                  <c:v>5.1629724428831403E-2</c:v>
                </c:pt>
                <c:pt idx="225">
                  <c:v>5.164789972880468E-2</c:v>
                </c:pt>
                <c:pt idx="226">
                  <c:v>5.1666074680452478E-2</c:v>
                </c:pt>
                <c:pt idx="227">
                  <c:v>5.1684249283781458E-2</c:v>
                </c:pt>
                <c:pt idx="228">
                  <c:v>5.1702423538798392E-2</c:v>
                </c:pt>
                <c:pt idx="229">
                  <c:v>5.1720597445509831E-2</c:v>
                </c:pt>
                <c:pt idx="230">
                  <c:v>5.1738771003922435E-2</c:v>
                </c:pt>
                <c:pt idx="231">
                  <c:v>5.1756944214042977E-2</c:v>
                </c:pt>
                <c:pt idx="232">
                  <c:v>5.1775117075878119E-2</c:v>
                </c:pt>
                <c:pt idx="233">
                  <c:v>5.1793289589434521E-2</c:v>
                </c:pt>
                <c:pt idx="234">
                  <c:v>5.1811461754718846E-2</c:v>
                </c:pt>
                <c:pt idx="235">
                  <c:v>5.1829633571737754E-2</c:v>
                </c:pt>
                <c:pt idx="236">
                  <c:v>5.1847805040497907E-2</c:v>
                </c:pt>
                <c:pt idx="237">
                  <c:v>5.1865976161006078E-2</c:v>
                </c:pt>
                <c:pt idx="238">
                  <c:v>5.1884146933268815E-2</c:v>
                </c:pt>
                <c:pt idx="239">
                  <c:v>5.1902317357292782E-2</c:v>
                </c:pt>
                <c:pt idx="240">
                  <c:v>5.1920487433084861E-2</c:v>
                </c:pt>
                <c:pt idx="241">
                  <c:v>5.1938657160651491E-2</c:v>
                </c:pt>
                <c:pt idx="242">
                  <c:v>5.1956826539999446E-2</c:v>
                </c:pt>
                <c:pt idx="243">
                  <c:v>5.1974995571135385E-2</c:v>
                </c:pt>
                <c:pt idx="244">
                  <c:v>5.1993164254066082E-2</c:v>
                </c:pt>
                <c:pt idx="245">
                  <c:v>5.2011332588797976E-2</c:v>
                </c:pt>
                <c:pt idx="246">
                  <c:v>5.202950057533795E-2</c:v>
                </c:pt>
                <c:pt idx="247">
                  <c:v>5.2047668213692555E-2</c:v>
                </c:pt>
                <c:pt idx="248">
                  <c:v>5.2065835503868563E-2</c:v>
                </c:pt>
                <c:pt idx="249">
                  <c:v>5.2084002445872635E-2</c:v>
                </c:pt>
                <c:pt idx="250">
                  <c:v>5.2102169039711321E-2</c:v>
                </c:pt>
                <c:pt idx="251">
                  <c:v>5.2120335285391506E-2</c:v>
                </c:pt>
                <c:pt idx="252">
                  <c:v>5.2138501182919628E-2</c:v>
                </c:pt>
                <c:pt idx="253">
                  <c:v>5.2156666732302459E-2</c:v>
                </c:pt>
                <c:pt idx="254">
                  <c:v>5.2174831933546773E-2</c:v>
                </c:pt>
                <c:pt idx="255">
                  <c:v>5.2192996786659118E-2</c:v>
                </c:pt>
                <c:pt idx="256">
                  <c:v>5.2211161291646158E-2</c:v>
                </c:pt>
                <c:pt idx="257">
                  <c:v>5.2229325448514663E-2</c:v>
                </c:pt>
                <c:pt idx="258">
                  <c:v>5.2247489257271185E-2</c:v>
                </c:pt>
                <c:pt idx="259">
                  <c:v>5.2265652717922384E-2</c:v>
                </c:pt>
                <c:pt idx="260">
                  <c:v>5.2283815830475144E-2</c:v>
                </c:pt>
                <c:pt idx="261">
                  <c:v>5.2301978594935905E-2</c:v>
                </c:pt>
                <c:pt idx="262">
                  <c:v>5.2320141011311549E-2</c:v>
                </c:pt>
                <c:pt idx="263">
                  <c:v>5.2338303079608517E-2</c:v>
                </c:pt>
                <c:pt idx="264">
                  <c:v>5.235646479983358E-2</c:v>
                </c:pt>
                <c:pt idx="265">
                  <c:v>5.237462617199351E-2</c:v>
                </c:pt>
                <c:pt idx="266">
                  <c:v>5.2392787196094859E-2</c:v>
                </c:pt>
                <c:pt idx="267">
                  <c:v>5.2410947872144287E-2</c:v>
                </c:pt>
                <c:pt idx="268">
                  <c:v>5.2429108200148455E-2</c:v>
                </c:pt>
                <c:pt idx="269">
                  <c:v>5.2447268180114137E-2</c:v>
                </c:pt>
                <c:pt idx="270">
                  <c:v>5.2465427812047993E-2</c:v>
                </c:pt>
                <c:pt idx="271">
                  <c:v>5.2483587095956574E-2</c:v>
                </c:pt>
                <c:pt idx="272">
                  <c:v>5.2501746031846652E-2</c:v>
                </c:pt>
                <c:pt idx="273">
                  <c:v>5.2519904619724889E-2</c:v>
                </c:pt>
                <c:pt idx="274">
                  <c:v>5.2538062859597945E-2</c:v>
                </c:pt>
                <c:pt idx="275">
                  <c:v>5.2556220751472371E-2</c:v>
                </c:pt>
                <c:pt idx="276">
                  <c:v>5.2574378295355051E-2</c:v>
                </c:pt>
                <c:pt idx="277">
                  <c:v>5.2592535491252423E-2</c:v>
                </c:pt>
                <c:pt idx="278">
                  <c:v>5.2610692339171372E-2</c:v>
                </c:pt>
                <c:pt idx="279">
                  <c:v>5.2628848839118447E-2</c:v>
                </c:pt>
                <c:pt idx="280">
                  <c:v>5.2647004991100421E-2</c:v>
                </c:pt>
                <c:pt idx="281">
                  <c:v>5.2665160795123844E-2</c:v>
                </c:pt>
                <c:pt idx="282">
                  <c:v>5.2683316251195378E-2</c:v>
                </c:pt>
                <c:pt idx="283">
                  <c:v>5.2701471359321683E-2</c:v>
                </c:pt>
                <c:pt idx="284">
                  <c:v>5.2719626119509644E-2</c:v>
                </c:pt>
                <c:pt idx="285">
                  <c:v>5.2737780531765588E-2</c:v>
                </c:pt>
                <c:pt idx="286">
                  <c:v>5.275593459609651E-2</c:v>
                </c:pt>
                <c:pt idx="287">
                  <c:v>5.2774088312508849E-2</c:v>
                </c:pt>
                <c:pt idx="288">
                  <c:v>5.2792241681009378E-2</c:v>
                </c:pt>
                <c:pt idx="289">
                  <c:v>5.2810394701604757E-2</c:v>
                </c:pt>
                <c:pt idx="290">
                  <c:v>5.2828547374301649E-2</c:v>
                </c:pt>
                <c:pt idx="291">
                  <c:v>5.2846699699106714E-2</c:v>
                </c:pt>
                <c:pt idx="292">
                  <c:v>5.2864851676026503E-2</c:v>
                </c:pt>
                <c:pt idx="293">
                  <c:v>5.2883003305067899E-2</c:v>
                </c:pt>
                <c:pt idx="294">
                  <c:v>5.2901154586237453E-2</c:v>
                </c:pt>
                <c:pt idx="295">
                  <c:v>5.2919305519541826E-2</c:v>
                </c:pt>
                <c:pt idx="296">
                  <c:v>5.293745610498779E-2</c:v>
                </c:pt>
                <c:pt idx="297">
                  <c:v>5.2955606342581785E-2</c:v>
                </c:pt>
                <c:pt idx="298">
                  <c:v>5.2973756232330693E-2</c:v>
                </c:pt>
                <c:pt idx="299">
                  <c:v>5.2991905774241066E-2</c:v>
                </c:pt>
                <c:pt idx="300">
                  <c:v>5.3010054968319675E-2</c:v>
                </c:pt>
                <c:pt idx="301">
                  <c:v>5.3028203814573072E-2</c:v>
                </c:pt>
                <c:pt idx="302">
                  <c:v>5.3046352313008027E-2</c:v>
                </c:pt>
                <c:pt idx="303">
                  <c:v>5.3064500463631092E-2</c:v>
                </c:pt>
                <c:pt idx="304">
                  <c:v>5.308264826644904E-2</c:v>
                </c:pt>
                <c:pt idx="305">
                  <c:v>5.3100795721468419E-2</c:v>
                </c:pt>
                <c:pt idx="306">
                  <c:v>5.3118942828696003E-2</c:v>
                </c:pt>
                <c:pt idx="307">
                  <c:v>5.3137089588138342E-2</c:v>
                </c:pt>
                <c:pt idx="308">
                  <c:v>5.3155235999802319E-2</c:v>
                </c:pt>
                <c:pt idx="309">
                  <c:v>5.3173382063694374E-2</c:v>
                </c:pt>
                <c:pt idx="310">
                  <c:v>5.3191527779821279E-2</c:v>
                </c:pt>
                <c:pt idx="311">
                  <c:v>5.3209673148189585E-2</c:v>
                </c:pt>
                <c:pt idx="312">
                  <c:v>5.3227818168806174E-2</c:v>
                </c:pt>
                <c:pt idx="313">
                  <c:v>5.3245962841677485E-2</c:v>
                </c:pt>
                <c:pt idx="314">
                  <c:v>5.3264107166810293E-2</c:v>
                </c:pt>
                <c:pt idx="315">
                  <c:v>5.3282251144211257E-2</c:v>
                </c:pt>
                <c:pt idx="316">
                  <c:v>5.3300394773887039E-2</c:v>
                </c:pt>
                <c:pt idx="317">
                  <c:v>5.3318538055844411E-2</c:v>
                </c:pt>
                <c:pt idx="318">
                  <c:v>5.3336680990089813E-2</c:v>
                </c:pt>
                <c:pt idx="319">
                  <c:v>5.3354823576630017E-2</c:v>
                </c:pt>
                <c:pt idx="320">
                  <c:v>5.3372965815471685E-2</c:v>
                </c:pt>
                <c:pt idx="321">
                  <c:v>5.3391107706621477E-2</c:v>
                </c:pt>
                <c:pt idx="322">
                  <c:v>5.3409249250086055E-2</c:v>
                </c:pt>
                <c:pt idx="323">
                  <c:v>5.3427390445872192E-2</c:v>
                </c:pt>
                <c:pt idx="324">
                  <c:v>5.3445531293986326E-2</c:v>
                </c:pt>
                <c:pt idx="325">
                  <c:v>5.3463671794435341E-2</c:v>
                </c:pt>
                <c:pt idx="326">
                  <c:v>5.3481811947225788E-2</c:v>
                </c:pt>
                <c:pt idx="327">
                  <c:v>5.3499951752364328E-2</c:v>
                </c:pt>
                <c:pt idx="328">
                  <c:v>5.3518091209857621E-2</c:v>
                </c:pt>
                <c:pt idx="329">
                  <c:v>5.353623031971233E-2</c:v>
                </c:pt>
                <c:pt idx="330">
                  <c:v>5.3554369081935116E-2</c:v>
                </c:pt>
                <c:pt idx="331">
                  <c:v>5.3572507496532751E-2</c:v>
                </c:pt>
                <c:pt idx="332">
                  <c:v>5.3590645563511785E-2</c:v>
                </c:pt>
                <c:pt idx="333">
                  <c:v>5.360878328287888E-2</c:v>
                </c:pt>
                <c:pt idx="334">
                  <c:v>5.3626920654640697E-2</c:v>
                </c:pt>
                <c:pt idx="335">
                  <c:v>5.3645057678804009E-2</c:v>
                </c:pt>
                <c:pt idx="336">
                  <c:v>5.3663194355375365E-2</c:v>
                </c:pt>
                <c:pt idx="337">
                  <c:v>5.3681330684361428E-2</c:v>
                </c:pt>
                <c:pt idx="338">
                  <c:v>5.3699466665768858E-2</c:v>
                </c:pt>
                <c:pt idx="339">
                  <c:v>5.3717602299604317E-2</c:v>
                </c:pt>
                <c:pt idx="340">
                  <c:v>5.3735737585874577E-2</c:v>
                </c:pt>
                <c:pt idx="341">
                  <c:v>5.3753872524586188E-2</c:v>
                </c:pt>
                <c:pt idx="342">
                  <c:v>5.3772007115745812E-2</c:v>
                </c:pt>
                <c:pt idx="343">
                  <c:v>5.3790141359360111E-2</c:v>
                </c:pt>
                <c:pt idx="344">
                  <c:v>5.3808275255435856E-2</c:v>
                </c:pt>
                <c:pt idx="345">
                  <c:v>5.3826408803979486E-2</c:v>
                </c:pt>
                <c:pt idx="346">
                  <c:v>5.3844542004997886E-2</c:v>
                </c:pt>
                <c:pt idx="347">
                  <c:v>5.3862674858497606E-2</c:v>
                </c:pt>
                <c:pt idx="348">
                  <c:v>5.3880807364485306E-2</c:v>
                </c:pt>
                <c:pt idx="349">
                  <c:v>5.3898939522967759E-2</c:v>
                </c:pt>
                <c:pt idx="350">
                  <c:v>5.3917071333951405E-2</c:v>
                </c:pt>
                <c:pt idx="351">
                  <c:v>5.3935202797443127E-2</c:v>
                </c:pt>
                <c:pt idx="352">
                  <c:v>5.3953333913449475E-2</c:v>
                </c:pt>
                <c:pt idx="353">
                  <c:v>5.397146468197711E-2</c:v>
                </c:pt>
                <c:pt idx="354">
                  <c:v>5.3989595103032695E-2</c:v>
                </c:pt>
                <c:pt idx="355">
                  <c:v>5.4007725176622889E-2</c:v>
                </c:pt>
                <c:pt idx="356">
                  <c:v>5.4025854902754356E-2</c:v>
                </c:pt>
                <c:pt idx="357">
                  <c:v>5.4043984281433755E-2</c:v>
                </c:pt>
                <c:pt idx="358">
                  <c:v>5.4062113312667748E-2</c:v>
                </c:pt>
                <c:pt idx="359">
                  <c:v>5.4080241996462997E-2</c:v>
                </c:pt>
                <c:pt idx="360">
                  <c:v>5.4098370332826162E-2</c:v>
                </c:pt>
                <c:pt idx="361">
                  <c:v>5.4116498321763906E-2</c:v>
                </c:pt>
                <c:pt idx="362">
                  <c:v>5.4134625963282779E-2</c:v>
                </c:pt>
                <c:pt idx="363">
                  <c:v>5.4152753257389663E-2</c:v>
                </c:pt>
                <c:pt idx="364">
                  <c:v>5.4170880204090999E-2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4.0337899547294519E-2</c:v>
                </c:pt>
                <c:pt idx="120">
                  <c:v>4.0431441165800761E-2</c:v>
                </c:pt>
                <c:pt idx="121">
                  <c:v>4.052552280346456E-2</c:v>
                </c:pt>
                <c:pt idx="122">
                  <c:v>4.0620138666331199E-2</c:v>
                </c:pt>
                <c:pt idx="123">
                  <c:v>4.0715281642443139E-2</c:v>
                </c:pt>
                <c:pt idx="124">
                  <c:v>4.0810943265112351E-2</c:v>
                </c:pt>
                <c:pt idx="125">
                  <c:v>4.0907113679274923E-2</c:v>
                </c:pt>
                <c:pt idx="126">
                  <c:v>4.1003781611444003E-2</c:v>
                </c:pt>
                <c:pt idx="127">
                  <c:v>4.1100934343779164E-2</c:v>
                </c:pt>
                <c:pt idx="128">
                  <c:v>4.1198557692786728E-2</c:v>
                </c:pt>
                <c:pt idx="129">
                  <c:v>4.1296635993156493E-2</c:v>
                </c:pt>
                <c:pt idx="130">
                  <c:v>4.13951520872234E-2</c:v>
                </c:pt>
                <c:pt idx="131">
                  <c:v>4.1494087320521608E-2</c:v>
                </c:pt>
                <c:pt idx="132">
                  <c:v>4.1593421543868879E-2</c:v>
                </c:pt>
                <c:pt idx="133">
                  <c:v>4.1693133122385727E-2</c:v>
                </c:pt>
                <c:pt idx="134">
                  <c:v>4.179319895181241E-2</c:v>
                </c:pt>
                <c:pt idx="135">
                  <c:v>4.1893594482441475E-2</c:v>
                </c:pt>
                <c:pt idx="136">
                  <c:v>4.1994293750931805E-2</c:v>
                </c:pt>
                <c:pt idx="137">
                  <c:v>4.2095269420214118E-2</c:v>
                </c:pt>
                <c:pt idx="138">
                  <c:v>4.219649282763701E-2</c:v>
                </c:pt>
                <c:pt idx="139">
                  <c:v>4.2297934041438341E-2</c:v>
                </c:pt>
                <c:pt idx="140">
                  <c:v>4.2399561925558667E-2</c:v>
                </c:pt>
                <c:pt idx="141">
                  <c:v>4.2501344212743083E-2</c:v>
                </c:pt>
                <c:pt idx="142">
                  <c:v>4.2603247585805366E-2</c:v>
                </c:pt>
                <c:pt idx="143">
                  <c:v>4.2705237766854337E-2</c:v>
                </c:pt>
                <c:pt idx="144">
                  <c:v>4.2807279614208278E-2</c:v>
                </c:pt>
                <c:pt idx="145">
                  <c:v>4.2909337226648803E-2</c:v>
                </c:pt>
                <c:pt idx="146">
                  <c:v>4.301137405459303E-2</c:v>
                </c:pt>
                <c:pt idx="147">
                  <c:v>4.3113353017690599E-2</c:v>
                </c:pt>
                <c:pt idx="148">
                  <c:v>4.3215236628284331E-2</c:v>
                </c:pt>
                <c:pt idx="149">
                  <c:v>4.3316987120106835E-2</c:v>
                </c:pt>
                <c:pt idx="150">
                  <c:v>4.3418566581524431E-2</c:v>
                </c:pt>
                <c:pt idx="151">
                  <c:v>4.3519937092582575E-2</c:v>
                </c:pt>
                <c:pt idx="152">
                  <c:v>4.3621060865055995E-2</c:v>
                </c:pt>
                <c:pt idx="153">
                  <c:v>4.3721900384660672E-2</c:v>
                </c:pt>
                <c:pt idx="154">
                  <c:v>4.3822418554546869E-2</c:v>
                </c:pt>
                <c:pt idx="155">
                  <c:v>4.3922578839159919E-2</c:v>
                </c:pt>
                <c:pt idx="156">
                  <c:v>4.4022345407531936E-2</c:v>
                </c:pt>
                <c:pt idx="157">
                  <c:v>4.4121683275050887E-2</c:v>
                </c:pt>
                <c:pt idx="158">
                  <c:v>4.4220558442745903E-2</c:v>
                </c:pt>
                <c:pt idx="159">
                  <c:v>4.4318938033127891E-2</c:v>
                </c:pt>
                <c:pt idx="160">
                  <c:v>4.4416790421633344E-2</c:v>
                </c:pt>
                <c:pt idx="161">
                  <c:v>4.4514085362737432E-2</c:v>
                </c:pt>
                <c:pt idx="162">
                  <c:v>4.4610794109827948E-2</c:v>
                </c:pt>
                <c:pt idx="163">
                  <c:v>4.4706889527966837E-2</c:v>
                </c:pt>
                <c:pt idx="164">
                  <c:v>4.4802346198708737E-2</c:v>
                </c:pt>
                <c:pt idx="165">
                  <c:v>4.4897140516196657E-2</c:v>
                </c:pt>
                <c:pt idx="166">
                  <c:v>4.4991250773813558E-2</c:v>
                </c:pt>
                <c:pt idx="167">
                  <c:v>4.5084657240733753E-2</c:v>
                </c:pt>
                <c:pt idx="168">
                  <c:v>4.5177342227790129E-2</c:v>
                </c:pt>
                <c:pt idx="169">
                  <c:v>4.5269290142151315E-2</c:v>
                </c:pt>
                <c:pt idx="170">
                  <c:v>4.5360487530385338E-2</c:v>
                </c:pt>
                <c:pt idx="171">
                  <c:v>4.5450923109575075E-2</c:v>
                </c:pt>
                <c:pt idx="172">
                  <c:v>4.5540587786240726E-2</c:v>
                </c:pt>
                <c:pt idx="173">
                  <c:v>4.5629474662920201E-2</c:v>
                </c:pt>
                <c:pt idx="174">
                  <c:v>4.5717579032353198E-2</c:v>
                </c:pt>
                <c:pt idx="175">
                  <c:v>4.5804898359312694E-2</c:v>
                </c:pt>
                <c:pt idx="176">
                  <c:v>4.5891432250225052E-2</c:v>
                </c:pt>
                <c:pt idx="177">
                  <c:v>4.5977182410816018E-2</c:v>
                </c:pt>
                <c:pt idx="178">
                  <c:v>4.6062152592115498E-2</c:v>
                </c:pt>
                <c:pt idx="179">
                  <c:v>4.6146348525245823E-2</c:v>
                </c:pt>
                <c:pt idx="180">
                  <c:v>4.6229777845507282E-2</c:v>
                </c:pt>
                <c:pt idx="181">
                  <c:v>4.6312450006359147E-2</c:v>
                </c:pt>
                <c:pt idx="182">
                  <c:v>4.6394376183973407E-2</c:v>
                </c:pt>
                <c:pt idx="183">
                  <c:v>4.6475569173111846E-2</c:v>
                </c:pt>
                <c:pt idx="184">
                  <c:v>4.6556043275143642E-2</c:v>
                </c:pt>
                <c:pt idx="185">
                  <c:v>4.6635814179079305E-2</c:v>
                </c:pt>
                <c:pt idx="186">
                  <c:v>4.6714898836548668E-2</c:v>
                </c:pt>
                <c:pt idx="187">
                  <c:v>4.6793315331692446E-2</c:v>
                </c:pt>
                <c:pt idx="188">
                  <c:v>4.6871082746971153E-2</c:v>
                </c:pt>
                <c:pt idx="189">
                  <c:v>4.6948221025919376E-2</c:v>
                </c:pt>
                <c:pt idx="190">
                  <c:v>4.7024750833888351E-2</c:v>
                </c:pt>
                <c:pt idx="191">
                  <c:v>4.71006934178251E-2</c:v>
                </c:pt>
                <c:pt idx="192">
                  <c:v>4.7176070466131884E-2</c:v>
                </c:pt>
                <c:pt idx="193">
                  <c:v>4.7250903969635688E-2</c:v>
                </c:pt>
                <c:pt idx="194">
                  <c:v>4.7325216084673785E-2</c:v>
                </c:pt>
                <c:pt idx="195">
                  <c:v>4.7399028999268372E-2</c:v>
                </c:pt>
                <c:pt idx="196">
                  <c:v>4.747236480332169E-2</c:v>
                </c:pt>
                <c:pt idx="197">
                  <c:v>4.7545245363712428E-2</c:v>
                </c:pt>
                <c:pt idx="198">
                  <c:v>4.7617692205115844E-2</c:v>
                </c:pt>
                <c:pt idx="199">
                  <c:v>4.7689726397304531E-2</c:v>
                </c:pt>
                <c:pt idx="200">
                  <c:v>4.7761368449613914E-2</c:v>
                </c:pt>
                <c:pt idx="201">
                  <c:v>4.7832638213178631E-2</c:v>
                </c:pt>
                <c:pt idx="202">
                  <c:v>4.7903554791461959E-2</c:v>
                </c:pt>
                <c:pt idx="203">
                  <c:v>4.7974136459512991E-2</c:v>
                </c:pt>
                <c:pt idx="204">
                  <c:v>4.8044400592294825E-2</c:v>
                </c:pt>
                <c:pt idx="205">
                  <c:v>4.811436360233394E-2</c:v>
                </c:pt>
                <c:pt idx="206">
                  <c:v>4.8184040886845386E-2</c:v>
                </c:pt>
                <c:pt idx="207">
                  <c:v>4.8253446784393618E-2</c:v>
                </c:pt>
                <c:pt idx="208">
                  <c:v>4.8322594541053733E-2</c:v>
                </c:pt>
                <c:pt idx="209">
                  <c:v>4.8391496285944677E-2</c:v>
                </c:pt>
                <c:pt idx="210">
                  <c:v>4.8460163015915568E-2</c:v>
                </c:pt>
                <c:pt idx="211">
                  <c:v>4.8528604589078907E-2</c:v>
                </c:pt>
                <c:pt idx="212">
                  <c:v>4.8596829726802189E-2</c:v>
                </c:pt>
                <c:pt idx="213">
                  <c:v>4.8664846023691415E-2</c:v>
                </c:pt>
                <c:pt idx="214">
                  <c:v>4.873265996502972E-2</c:v>
                </c:pt>
                <c:pt idx="215">
                  <c:v>4.8800276951068977E-2</c:v>
                </c:pt>
                <c:pt idx="216">
                  <c:v>4.8867701327516271E-2</c:v>
                </c:pt>
                <c:pt idx="217">
                  <c:v>4.8934936421508084E-2</c:v>
                </c:pt>
                <c:pt idx="218">
                  <c:v>4.900198458232502E-2</c:v>
                </c:pt>
                <c:pt idx="219">
                  <c:v>4.9068847226069419E-2</c:v>
                </c:pt>
                <c:pt idx="220">
                  <c:v>4.9135524883506136E-2</c:v>
                </c:pt>
                <c:pt idx="221">
                  <c:v>4.9202017250255498E-2</c:v>
                </c:pt>
                <c:pt idx="222">
                  <c:v>4.9268323238524606E-2</c:v>
                </c:pt>
                <c:pt idx="223">
                  <c:v>4.933444102957156E-2</c:v>
                </c:pt>
                <c:pt idx="224">
                  <c:v>4.9400368126113446E-2</c:v>
                </c:pt>
                <c:pt idx="225">
                  <c:v>4.946610140391642E-2</c:v>
                </c:pt>
                <c:pt idx="226">
                  <c:v>4.9531637161841141E-2</c:v>
                </c:pt>
                <c:pt idx="227">
                  <c:v>4.9596971169662073E-2</c:v>
                </c:pt>
                <c:pt idx="228">
                  <c:v>4.9662098713030602E-2</c:v>
                </c:pt>
                <c:pt idx="229">
                  <c:v>4.9727014635013465E-2</c:v>
                </c:pt>
                <c:pt idx="230">
                  <c:v>4.9791713373703625E-2</c:v>
                </c:pt>
                <c:pt idx="231">
                  <c:v>4.9856188995474761E-2</c:v>
                </c:pt>
                <c:pt idx="232">
                  <c:v>4.992043522352866E-2</c:v>
                </c:pt>
                <c:pt idx="233">
                  <c:v>4.9984445461467332E-2</c:v>
                </c:pt>
                <c:pt idx="234">
                  <c:v>5.0048212811707911E-2</c:v>
                </c:pt>
                <c:pt idx="235">
                  <c:v>5.0111730088647159E-2</c:v>
                </c:pt>
                <c:pt idx="236">
                  <c:v>5.0174989826571779E-2</c:v>
                </c:pt>
                <c:pt idx="237">
                  <c:v>5.0237984282401303E-2</c:v>
                </c:pt>
                <c:pt idx="238">
                  <c:v>5.0300705433439445E-2</c:v>
                </c:pt>
                <c:pt idx="239">
                  <c:v>5.0363144970397684E-2</c:v>
                </c:pt>
                <c:pt idx="240">
                  <c:v>5.0425294286039167E-2</c:v>
                </c:pt>
                <c:pt idx="241">
                  <c:v>5.0487144459871972E-2</c:v>
                </c:pt>
                <c:pt idx="242">
                  <c:v>5.0548686239396748E-2</c:v>
                </c:pt>
                <c:pt idx="243">
                  <c:v>5.0609910018483702E-2</c:v>
                </c:pt>
                <c:pt idx="244">
                  <c:v>5.0670805813516927E-2</c:v>
                </c:pt>
                <c:pt idx="245">
                  <c:v>5.0731363238000551E-2</c:v>
                </c:pt>
                <c:pt idx="246">
                  <c:v>5.0791571476367751E-2</c:v>
                </c:pt>
                <c:pt idx="247">
                  <c:v>5.0851419257773055E-2</c:v>
                </c:pt>
                <c:pt idx="248">
                  <c:v>5.0910894830676928E-2</c:v>
                </c:pt>
                <c:pt idx="249">
                  <c:v>5.0969985939050846E-2</c:v>
                </c:pt>
                <c:pt idx="250">
                  <c:v>5.1028679801039811E-2</c:v>
                </c:pt>
                <c:pt idx="251">
                  <c:v>5.1086963090917863E-2</c:v>
                </c:pt>
                <c:pt idx="252">
                  <c:v>5.1144821925158804E-2</c:v>
                </c:pt>
                <c:pt idx="253">
                  <c:v>5.1202241853422516E-2</c:v>
                </c:pt>
                <c:pt idx="254">
                  <c:v>5.1259207855222123E-2</c:v>
                </c:pt>
                <c:pt idx="255">
                  <c:v>5.1315704342994338E-2</c:v>
                </c:pt>
                <c:pt idx="256">
                  <c:v>5.1371715172240387E-2</c:v>
                </c:pt>
                <c:pt idx="257">
                  <c:v>5.1427223659341929E-2</c:v>
                </c:pt>
                <c:pt idx="258">
                  <c:v>5.1482212607582796E-2</c:v>
                </c:pt>
                <c:pt idx="259">
                  <c:v>5.1536664341827583E-2</c:v>
                </c:pt>
                <c:pt idx="260">
                  <c:v>5.1590560752218406E-2</c:v>
                </c:pt>
                <c:pt idx="261">
                  <c:v>5.1643883347156312E-2</c:v>
                </c:pt>
                <c:pt idx="262">
                  <c:v>5.1696613315733386E-2</c:v>
                </c:pt>
                <c:pt idx="263">
                  <c:v>5.1748731599674261E-2</c:v>
                </c:pt>
                <c:pt idx="264">
                  <c:v>5.1800218974738223E-2</c:v>
                </c:pt>
                <c:pt idx="265">
                  <c:v>5.1851056141419487E-2</c:v>
                </c:pt>
                <c:pt idx="266">
                  <c:v>5.1901223824670772E-2</c:v>
                </c:pt>
                <c:pt idx="267">
                  <c:v>5.1950702882261474E-2</c:v>
                </c:pt>
                <c:pt idx="268">
                  <c:v>5.199947442126937E-2</c:v>
                </c:pt>
                <c:pt idx="269">
                  <c:v>5.2047519922094838E-2</c:v>
                </c:pt>
                <c:pt idx="270">
                  <c:v>5.209482136927928E-2</c:v>
                </c:pt>
                <c:pt idx="271">
                  <c:v>5.2141361388308577E-2</c:v>
                </c:pt>
                <c:pt idx="272">
                  <c:v>5.2187123387485178E-2</c:v>
                </c:pt>
                <c:pt idx="273">
                  <c:v>5.2232091703864204E-2</c:v>
                </c:pt>
                <c:pt idx="274">
                  <c:v>5.2276251752167532E-2</c:v>
                </c:pt>
                <c:pt idx="275">
                  <c:v>5.2319590175517905E-2</c:v>
                </c:pt>
                <c:pt idx="276">
                  <c:v>5.2362094996772524E-2</c:v>
                </c:pt>
                <c:pt idx="277">
                  <c:v>5.240375576918558E-2</c:v>
                </c:pt>
                <c:pt idx="278">
                  <c:v>5.2444563725087198E-2</c:v>
                </c:pt>
                <c:pt idx="279">
                  <c:v>5.2484511921240748E-2</c:v>
                </c:pt>
                <c:pt idx="280">
                  <c:v>5.2523595379523141E-2</c:v>
                </c:pt>
                <c:pt idx="281">
                  <c:v>5.2561811221571914E-2</c:v>
                </c:pt>
                <c:pt idx="282">
                  <c:v>5.2599158796052592E-2</c:v>
                </c:pt>
                <c:pt idx="283">
                  <c:v>5.2635639797224978E-2</c:v>
                </c:pt>
                <c:pt idx="284">
                  <c:v>5.26712583735231E-2</c:v>
                </c:pt>
                <c:pt idx="285">
                  <c:v>5.2706021224915037E-2</c:v>
                </c:pt>
                <c:pt idx="286">
                  <c:v>5.2739937687871725E-2</c:v>
                </c:pt>
                <c:pt idx="287">
                  <c:v>5.2773019806849043E-2</c:v>
                </c:pt>
                <c:pt idx="288">
                  <c:v>5.2805282391275632E-2</c:v>
                </c:pt>
                <c:pt idx="289">
                  <c:v>5.2836743057137051E-2</c:v>
                </c:pt>
                <c:pt idx="290">
                  <c:v>5.2867422252355953E-2</c:v>
                </c:pt>
                <c:pt idx="291">
                  <c:v>5.2897343265286639E-2</c:v>
                </c:pt>
                <c:pt idx="292">
                  <c:v>5.292653221576895E-2</c:v>
                </c:pt>
                <c:pt idx="293">
                  <c:v>5.2955018028321039E-2</c:v>
                </c:pt>
                <c:pt idx="294">
                  <c:v>5.2982832387191044E-2</c:v>
                </c:pt>
                <c:pt idx="295">
                  <c:v>5.3010009673132755E-2</c:v>
                </c:pt>
                <c:pt idx="296">
                  <c:v>5.3036586881919999E-2</c:v>
                </c:pt>
                <c:pt idx="297">
                  <c:v>5.3062603524765446E-2</c:v>
                </c:pt>
                <c:pt idx="298">
                  <c:v>5.3088101510961272E-2</c:v>
                </c:pt>
                <c:pt idx="299">
                  <c:v>5.3113125013211922E-2</c:v>
                </c:pt>
                <c:pt idx="300">
                  <c:v>5.3137720316277559E-2</c:v>
                </c:pt>
                <c:pt idx="301">
                  <c:v>5.3161935649693695E-2</c:v>
                </c:pt>
                <c:pt idx="302">
                  <c:v>5.3185821005473942E-2</c:v>
                </c:pt>
                <c:pt idx="303">
                  <c:v>5.3209427941837917E-2</c:v>
                </c:pt>
                <c:pt idx="304">
                  <c:v>5.323280937413416E-2</c:v>
                </c:pt>
                <c:pt idx="305">
                  <c:v>5.3256019354247133E-2</c:v>
                </c:pt>
                <c:pt idx="306">
                  <c:v>5.3279112839886608E-2</c:v>
                </c:pt>
                <c:pt idx="307">
                  <c:v>5.3302145455255794E-2</c:v>
                </c:pt>
                <c:pt idx="308">
                  <c:v>5.3325173244680814E-2</c:v>
                </c:pt>
                <c:pt idx="309">
                  <c:v>5.3348252420857958E-2</c:v>
                </c:pt>
                <c:pt idx="310">
                  <c:v>5.337143910943417E-2</c:v>
                </c:pt>
                <c:pt idx="311">
                  <c:v>5.3394789091682285E-2</c:v>
                </c:pt>
                <c:pt idx="312">
                  <c:v>5.3418357547063068E-2</c:v>
                </c:pt>
                <c:pt idx="313">
                  <c:v>5.344219879748157E-2</c:v>
                </c:pt>
                <c:pt idx="314">
                  <c:v>5.3466366055045511E-2</c:v>
                </c:pt>
                <c:pt idx="315">
                  <c:v>5.3490911175118214E-2</c:v>
                </c:pt>
                <c:pt idx="316">
                  <c:v>5.351588441642767E-2</c:v>
                </c:pt>
                <c:pt idx="317">
                  <c:v>5.3541334209947493E-2</c:v>
                </c:pt>
                <c:pt idx="318">
                  <c:v>5.3567306938204606E-2</c:v>
                </c:pt>
                <c:pt idx="319">
                  <c:v>5.3593846726593626E-2</c:v>
                </c:pt>
                <c:pt idx="320">
                  <c:v>5.3620995248188225E-2</c:v>
                </c:pt>
                <c:pt idx="321">
                  <c:v>5.3648791543438733E-2</c:v>
                </c:pt>
                <c:pt idx="322">
                  <c:v>5.367727185603044E-2</c:v>
                </c:pt>
                <c:pt idx="323">
                  <c:v>5.3706469486052275E-2</c:v>
                </c:pt>
                <c:pt idx="324">
                  <c:v>5.3736414661490046E-2</c:v>
                </c:pt>
                <c:pt idx="325">
                  <c:v>5.3767134428914905E-2</c:v>
                </c:pt>
                <c:pt idx="326">
                  <c:v>5.3798652564085267E-2</c:v>
                </c:pt>
                <c:pt idx="327">
                  <c:v>5.383098950302391E-2</c:v>
                </c:pt>
                <c:pt idx="328">
                  <c:v>5.3864162293968232E-2</c:v>
                </c:pt>
                <c:pt idx="329">
                  <c:v>5.3898184570426694E-2</c:v>
                </c:pt>
                <c:pt idx="330">
                  <c:v>5.3933066545406784E-2</c:v>
                </c:pt>
                <c:pt idx="331">
                  <c:v>5.39688150267114E-2</c:v>
                </c:pt>
                <c:pt idx="332">
                  <c:v>5.4005433453034643E-2</c:v>
                </c:pt>
                <c:pt idx="333">
                  <c:v>5.404292195042338E-2</c:v>
                </c:pt>
                <c:pt idx="334">
                  <c:v>5.4081277408511701E-2</c:v>
                </c:pt>
                <c:pt idx="335">
                  <c:v>5.4120493575780707E-2</c:v>
                </c:pt>
                <c:pt idx="336">
                  <c:v>5.4160561172949477E-2</c:v>
                </c:pt>
                <c:pt idx="337">
                  <c:v>5.4201468023463713E-2</c:v>
                </c:pt>
                <c:pt idx="338">
                  <c:v>5.4243199199919719E-2</c:v>
                </c:pt>
                <c:pt idx="339">
                  <c:v>5.4285737185142263E-2</c:v>
                </c:pt>
                <c:pt idx="340">
                  <c:v>5.4329062046528501E-2</c:v>
                </c:pt>
                <c:pt idx="341">
                  <c:v>5.4373151622175493E-2</c:v>
                </c:pt>
                <c:pt idx="342">
                  <c:v>5.4417981717228073E-2</c:v>
                </c:pt>
                <c:pt idx="343">
                  <c:v>5.4463526308817484E-2</c:v>
                </c:pt>
                <c:pt idx="344">
                  <c:v>5.4509757757908471E-2</c:v>
                </c:pt>
                <c:pt idx="345">
                  <c:v>5.4556647026336322E-2</c:v>
                </c:pt>
                <c:pt idx="346">
                  <c:v>5.4604163897292828E-2</c:v>
                </c:pt>
                <c:pt idx="347">
                  <c:v>5.4652277197514476E-2</c:v>
                </c:pt>
                <c:pt idx="348">
                  <c:v>5.4700955019435019E-2</c:v>
                </c:pt>
                <c:pt idx="349">
                  <c:v>5.4750164941588624E-2</c:v>
                </c:pt>
                <c:pt idx="350">
                  <c:v>5.4799874245589277E-2</c:v>
                </c:pt>
                <c:pt idx="351">
                  <c:v>5.4850050128065431E-2</c:v>
                </c:pt>
                <c:pt idx="352">
                  <c:v>5.4900659905996289E-2</c:v>
                </c:pt>
                <c:pt idx="353">
                  <c:v>5.4951671213976226E-2</c:v>
                </c:pt>
                <c:pt idx="354">
                  <c:v>5.5003052192027092E-2</c:v>
                </c:pt>
                <c:pt idx="355">
                  <c:v>5.5054771662681169E-2</c:v>
                </c:pt>
                <c:pt idx="356">
                  <c:v>5.5106799296172321E-2</c:v>
                </c:pt>
                <c:pt idx="357">
                  <c:v>5.5159105762695719E-2</c:v>
                </c:pt>
                <c:pt idx="358">
                  <c:v>5.5211662870827419E-2</c:v>
                </c:pt>
                <c:pt idx="359">
                  <c:v>5.5264443691332606E-2</c:v>
                </c:pt>
                <c:pt idx="360">
                  <c:v>5.5317422665734299E-2</c:v>
                </c:pt>
                <c:pt idx="361">
                  <c:v>5.5370575699160339E-2</c:v>
                </c:pt>
                <c:pt idx="362">
                  <c:v>5.5423880237135272E-2</c:v>
                </c:pt>
                <c:pt idx="363">
                  <c:v>5.547731532613439E-2</c:v>
                </c:pt>
                <c:pt idx="364">
                  <c:v>5.553086165786543E-2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1.1753896867321749E-2</c:v>
                </c:pt>
                <c:pt idx="1">
                  <c:v>1.1685900152134355E-2</c:v>
                </c:pt>
                <c:pt idx="2">
                  <c:v>1.1607469410474523E-2</c:v>
                </c:pt>
                <c:pt idx="3">
                  <c:v>1.151905762151211E-2</c:v>
                </c:pt>
                <c:pt idx="4">
                  <c:v>1.1421126477112131E-2</c:v>
                </c:pt>
                <c:pt idx="5">
                  <c:v>1.1314142717451086E-2</c:v>
                </c:pt>
                <c:pt idx="6">
                  <c:v>1.1198574659261631E-2</c:v>
                </c:pt>
                <c:pt idx="7">
                  <c:v>1.1074888952110526E-2</c:v>
                </c:pt>
                <c:pt idx="8">
                  <c:v>1.0942223038757403E-2</c:v>
                </c:pt>
                <c:pt idx="9">
                  <c:v>1.0800939415249903E-2</c:v>
                </c:pt>
                <c:pt idx="10">
                  <c:v>1.0656490545510187E-2</c:v>
                </c:pt>
                <c:pt idx="11">
                  <c:v>1.050944286930105E-2</c:v>
                </c:pt>
                <c:pt idx="12">
                  <c:v>1.0360334664306196E-2</c:v>
                </c:pt>
                <c:pt idx="13">
                  <c:v>1.0209674074555645E-2</c:v>
                </c:pt>
                <c:pt idx="14">
                  <c:v>1.0057937732391362E-2</c:v>
                </c:pt>
                <c:pt idx="15">
                  <c:v>9.9003477349543928E-3</c:v>
                </c:pt>
                <c:pt idx="16">
                  <c:v>9.7393978729433239E-3</c:v>
                </c:pt>
                <c:pt idx="17">
                  <c:v>9.5755706374350547E-3</c:v>
                </c:pt>
                <c:pt idx="18">
                  <c:v>9.4093147924938537E-3</c:v>
                </c:pt>
                <c:pt idx="19">
                  <c:v>9.2410967031734299E-3</c:v>
                </c:pt>
                <c:pt idx="20">
                  <c:v>9.0713680121684848E-3</c:v>
                </c:pt>
                <c:pt idx="21">
                  <c:v>8.9005549372406477E-3</c:v>
                </c:pt>
                <c:pt idx="22">
                  <c:v>8.727735541688637E-3</c:v>
                </c:pt>
                <c:pt idx="23">
                  <c:v>8.5503154680846571E-3</c:v>
                </c:pt>
                <c:pt idx="24">
                  <c:v>8.3680006325017441E-3</c:v>
                </c:pt>
                <c:pt idx="25">
                  <c:v>8.1813620964580058E-3</c:v>
                </c:pt>
                <c:pt idx="26">
                  <c:v>7.9909268082986474E-3</c:v>
                </c:pt>
                <c:pt idx="27">
                  <c:v>7.7971774642536015E-3</c:v>
                </c:pt>
                <c:pt idx="28">
                  <c:v>7.6005528717516067E-3</c:v>
                </c:pt>
                <c:pt idx="29">
                  <c:v>7.4042905425686202E-3</c:v>
                </c:pt>
                <c:pt idx="30">
                  <c:v>7.2130828795801275E-3</c:v>
                </c:pt>
                <c:pt idx="31">
                  <c:v>7.0270063283177971E-3</c:v>
                </c:pt>
                <c:pt idx="32">
                  <c:v>6.8461092486387064E-3</c:v>
                </c:pt>
                <c:pt idx="33">
                  <c:v>6.6704150384510816E-3</c:v>
                </c:pt>
                <c:pt idx="34">
                  <c:v>6.4999250956231554E-3</c:v>
                </c:pt>
                <c:pt idx="35">
                  <c:v>6.3346216074928888E-3</c:v>
                </c:pt>
                <c:pt idx="36">
                  <c:v>6.1740006452264424E-3</c:v>
                </c:pt>
                <c:pt idx="37">
                  <c:v>6.0160842235740608E-3</c:v>
                </c:pt>
                <c:pt idx="38">
                  <c:v>5.8623966713045083E-3</c:v>
                </c:pt>
                <c:pt idx="39">
                  <c:v>5.7128355620137752E-3</c:v>
                </c:pt>
                <c:pt idx="40">
                  <c:v>5.5672999134476616E-3</c:v>
                </c:pt>
                <c:pt idx="41">
                  <c:v>5.4256904444416601E-3</c:v>
                </c:pt>
                <c:pt idx="42">
                  <c:v>5.2879098022997886E-3</c:v>
                </c:pt>
                <c:pt idx="43">
                  <c:v>5.1523753205539088E-3</c:v>
                </c:pt>
                <c:pt idx="44">
                  <c:v>5.0166007705358187E-3</c:v>
                </c:pt>
                <c:pt idx="45">
                  <c:v>4.8806049803694785E-3</c:v>
                </c:pt>
                <c:pt idx="46">
                  <c:v>4.7444051796718999E-3</c:v>
                </c:pt>
                <c:pt idx="47">
                  <c:v>4.6080171907980343E-3</c:v>
                </c:pt>
                <c:pt idx="48">
                  <c:v>4.4714555861913889E-3</c:v>
                </c:pt>
                <c:pt idx="49">
                  <c:v>4.3347338119595572E-3</c:v>
                </c:pt>
                <c:pt idx="50">
                  <c:v>4.1978360686123223E-3</c:v>
                </c:pt>
                <c:pt idx="51">
                  <c:v>4.0597206929054381E-3</c:v>
                </c:pt>
                <c:pt idx="52">
                  <c:v>3.9216348472115433E-3</c:v>
                </c:pt>
                <c:pt idx="53">
                  <c:v>3.7835558740238234E-3</c:v>
                </c:pt>
                <c:pt idx="54">
                  <c:v>3.6454833907040049E-3</c:v>
                </c:pt>
                <c:pt idx="55">
                  <c:v>3.5074183318575887E-3</c:v>
                </c:pt>
                <c:pt idx="56">
                  <c:v>3.3693627735861104E-3</c:v>
                </c:pt>
                <c:pt idx="57">
                  <c:v>3.2331356959468208E-3</c:v>
                </c:pt>
                <c:pt idx="58">
                  <c:v>3.0999986202981129E-3</c:v>
                </c:pt>
                <c:pt idx="59">
                  <c:v>2.9698796897265267E-3</c:v>
                </c:pt>
                <c:pt idx="60">
                  <c:v>2.8427097664515339E-3</c:v>
                </c:pt>
                <c:pt idx="61">
                  <c:v>2.718422139578831E-3</c:v>
                </c:pt>
                <c:pt idx="62">
                  <c:v>2.5969522420069605E-3</c:v>
                </c:pt>
                <c:pt idx="63">
                  <c:v>2.47823737816452E-3</c:v>
                </c:pt>
                <c:pt idx="64">
                  <c:v>2.362155619857839E-3</c:v>
                </c:pt>
                <c:pt idx="65">
                  <c:v>2.251406378438158E-3</c:v>
                </c:pt>
                <c:pt idx="66">
                  <c:v>2.146814053892096E-3</c:v>
                </c:pt>
                <c:pt idx="67">
                  <c:v>2.0482717855230684E-3</c:v>
                </c:pt>
                <c:pt idx="68">
                  <c:v>1.9556703072117535E-3</c:v>
                </c:pt>
                <c:pt idx="69">
                  <c:v>1.8688987883627604E-3</c:v>
                </c:pt>
                <c:pt idx="70">
                  <c:v>1.7878456353306012E-3</c:v>
                </c:pt>
                <c:pt idx="71">
                  <c:v>1.7128039702721148E-3</c:v>
                </c:pt>
                <c:pt idx="72">
                  <c:v>1.6420434297456067E-3</c:v>
                </c:pt>
                <c:pt idx="73">
                  <c:v>1.5754819430308722E-3</c:v>
                </c:pt>
                <c:pt idx="74">
                  <c:v>1.5130379886304788E-3</c:v>
                </c:pt>
                <c:pt idx="75">
                  <c:v>1.4546310897217754E-3</c:v>
                </c:pt>
                <c:pt idx="76">
                  <c:v>1.4001822867417569E-3</c:v>
                </c:pt>
                <c:pt idx="77">
                  <c:v>1.3496145879314302E-3</c:v>
                </c:pt>
                <c:pt idx="78">
                  <c:v>1.3027707235951443E-3</c:v>
                </c:pt>
                <c:pt idx="79">
                  <c:v>1.2599812141605698E-3</c:v>
                </c:pt>
                <c:pt idx="80">
                  <c:v>1.2186853330857863E-3</c:v>
                </c:pt>
                <c:pt idx="81">
                  <c:v>1.1788729284669354E-3</c:v>
                </c:pt>
                <c:pt idx="82">
                  <c:v>1.1405313025727149E-3</c:v>
                </c:pt>
                <c:pt idx="83">
                  <c:v>1.1036455770418688E-3</c:v>
                </c:pt>
                <c:pt idx="84">
                  <c:v>1.0681990433880721E-3</c:v>
                </c:pt>
                <c:pt idx="85">
                  <c:v>1.0346064367152904E-3</c:v>
                </c:pt>
                <c:pt idx="86">
                  <c:v>1.0024669155212519E-3</c:v>
                </c:pt>
                <c:pt idx="87">
                  <c:v>9.7175877347379486E-4</c:v>
                </c:pt>
                <c:pt idx="88">
                  <c:v>9.4245979216718481E-4</c:v>
                </c:pt>
                <c:pt idx="89">
                  <c:v>0</c:v>
                </c:pt>
                <c:pt idx="90">
                  <c:v>1.017517929656172E-7</c:v>
                </c:pt>
                <c:pt idx="91">
                  <c:v>2.0207465870298151E-7</c:v>
                </c:pt>
                <c:pt idx="92">
                  <c:v>3.0123086894336344E-7</c:v>
                </c:pt>
                <c:pt idx="93">
                  <c:v>3.9942865269028013E-7</c:v>
                </c:pt>
                <c:pt idx="94">
                  <c:v>4.9666551374385479E-7</c:v>
                </c:pt>
                <c:pt idx="95">
                  <c:v>5.930285383242665E-7</c:v>
                </c:pt>
                <c:pt idx="96">
                  <c:v>6.8860478844939615E-7</c:v>
                </c:pt>
                <c:pt idx="97">
                  <c:v>7.8348135135689649E-7</c:v>
                </c:pt>
                <c:pt idx="98">
                  <c:v>8.7774540107289537E-7</c:v>
                </c:pt>
                <c:pt idx="99">
                  <c:v>9.716722468031313E-7</c:v>
                </c:pt>
                <c:pt idx="100">
                  <c:v>1.0647986651764275E-6</c:v>
                </c:pt>
                <c:pt idx="101">
                  <c:v>1.1570780297792467E-6</c:v>
                </c:pt>
                <c:pt idx="102">
                  <c:v>1.2484536295767736E-6</c:v>
                </c:pt>
                <c:pt idx="103">
                  <c:v>1.3388578747776305E-6</c:v>
                </c:pt>
                <c:pt idx="104">
                  <c:v>1.4282114672234836E-6</c:v>
                </c:pt>
                <c:pt idx="105">
                  <c:v>1.5164225350928855E-6</c:v>
                </c:pt>
                <c:pt idx="106">
                  <c:v>1.6033784319269918E-6</c:v>
                </c:pt>
                <c:pt idx="107">
                  <c:v>1.689808734372912E-6</c:v>
                </c:pt>
                <c:pt idx="108">
                  <c:v>1.7760831403037478E-6</c:v>
                </c:pt>
                <c:pt idx="109">
                  <c:v>1.8623336294004294E-6</c:v>
                </c:pt>
                <c:pt idx="110">
                  <c:v>1.9487041106485684E-6</c:v>
                </c:pt>
                <c:pt idx="111">
                  <c:v>2.035346847186565E-6</c:v>
                </c:pt>
                <c:pt idx="112">
                  <c:v>2.1224172835896136E-6</c:v>
                </c:pt>
                <c:pt idx="113">
                  <c:v>2.210527336161233E-6</c:v>
                </c:pt>
                <c:pt idx="114">
                  <c:v>2.2992955118128591E-6</c:v>
                </c:pt>
                <c:pt idx="115">
                  <c:v>2.3888791054218317E-6</c:v>
                </c:pt>
                <c:pt idx="116">
                  <c:v>2.4794453201705641E-6</c:v>
                </c:pt>
                <c:pt idx="117">
                  <c:v>2.5711723190259989E-6</c:v>
                </c:pt>
                <c:pt idx="118">
                  <c:v>2.6642503352879954E-6</c:v>
                </c:pt>
                <c:pt idx="119">
                  <c:v>2.758882842316079E-6</c:v>
                </c:pt>
                <c:pt idx="120">
                  <c:v>2.8553311162054633E-6</c:v>
                </c:pt>
                <c:pt idx="121">
                  <c:v>2.9555562901582043E-6</c:v>
                </c:pt>
                <c:pt idx="122">
                  <c:v>3.0578495009238217E-6</c:v>
                </c:pt>
                <c:pt idx="123">
                  <c:v>3.162400517850552E-6</c:v>
                </c:pt>
                <c:pt idx="124">
                  <c:v>3.2694108322433503E-6</c:v>
                </c:pt>
                <c:pt idx="125">
                  <c:v>3.3790946412142014E-6</c:v>
                </c:pt>
                <c:pt idx="126">
                  <c:v>3.4916798299750467E-6</c:v>
                </c:pt>
                <c:pt idx="127">
                  <c:v>3.606440056497199E-6</c:v>
                </c:pt>
                <c:pt idx="128">
                  <c:v>3.722433267175137E-6</c:v>
                </c:pt>
                <c:pt idx="129">
                  <c:v>3.8396075980517921E-6</c:v>
                </c:pt>
                <c:pt idx="130">
                  <c:v>3.9579043937612776E-6</c:v>
                </c:pt>
                <c:pt idx="131">
                  <c:v>4.0772583825412167E-6</c:v>
                </c:pt>
                <c:pt idx="132">
                  <c:v>4.1975979087555067E-6</c:v>
                </c:pt>
                <c:pt idx="133">
                  <c:v>4.3188452247761708E-6</c:v>
                </c:pt>
                <c:pt idx="134">
                  <c:v>4.4410263499838001E-6</c:v>
                </c:pt>
                <c:pt idx="135">
                  <c:v>4.5622592293464667E-6</c:v>
                </c:pt>
                <c:pt idx="136">
                  <c:v>4.678603489508439E-6</c:v>
                </c:pt>
                <c:pt idx="137">
                  <c:v>4.7892064372754706E-6</c:v>
                </c:pt>
                <c:pt idx="138">
                  <c:v>4.8931635420870463E-6</c:v>
                </c:pt>
                <c:pt idx="139">
                  <c:v>4.9895189078336163E-6</c:v>
                </c:pt>
                <c:pt idx="140">
                  <c:v>5.0772661454969898E-6</c:v>
                </c:pt>
                <c:pt idx="141">
                  <c:v>5.1596603695552763E-6</c:v>
                </c:pt>
                <c:pt idx="142">
                  <c:v>5.2380763289446099E-6</c:v>
                </c:pt>
                <c:pt idx="143">
                  <c:v>5.3121768664942923E-6</c:v>
                </c:pt>
                <c:pt idx="144">
                  <c:v>5.3816559674854199E-6</c:v>
                </c:pt>
                <c:pt idx="145">
                  <c:v>5.4462099997318009E-6</c:v>
                </c:pt>
                <c:pt idx="146">
                  <c:v>5.5055396027640673E-6</c:v>
                </c:pt>
                <c:pt idx="147">
                  <c:v>5.5593516394034368E-6</c:v>
                </c:pt>
                <c:pt idx="148">
                  <c:v>5.6074925289939263E-6</c:v>
                </c:pt>
                <c:pt idx="149">
                  <c:v>5.6509235225117383E-6</c:v>
                </c:pt>
                <c:pt idx="150">
                  <c:v>5.6930815515090789E-6</c:v>
                </c:pt>
                <c:pt idx="151">
                  <c:v>5.7342305479876896E-6</c:v>
                </c:pt>
                <c:pt idx="152">
                  <c:v>5.7746673362193562E-6</c:v>
                </c:pt>
                <c:pt idx="153">
                  <c:v>5.8147219913979016E-6</c:v>
                </c:pt>
                <c:pt idx="154">
                  <c:v>5.8547579341559891E-6</c:v>
                </c:pt>
                <c:pt idx="155">
                  <c:v>5.9003928248023593E-6</c:v>
                </c:pt>
                <c:pt idx="156">
                  <c:v>5.9450013971092881E-6</c:v>
                </c:pt>
                <c:pt idx="157">
                  <c:v>5.9888360416382553E-6</c:v>
                </c:pt>
                <c:pt idx="158">
                  <c:v>6.0321748801863684E-6</c:v>
                </c:pt>
                <c:pt idx="159">
                  <c:v>6.075321276405012E-6</c:v>
                </c:pt>
                <c:pt idx="160">
                  <c:v>6.1186031144510876E-6</c:v>
                </c:pt>
                <c:pt idx="161">
                  <c:v>6.1623718448176278E-6</c:v>
                </c:pt>
                <c:pt idx="162">
                  <c:v>6.2071084043030335E-6</c:v>
                </c:pt>
                <c:pt idx="163">
                  <c:v>6.259351213837091E-6</c:v>
                </c:pt>
                <c:pt idx="164">
                  <c:v>6.3182580168146757E-6</c:v>
                </c:pt>
                <c:pt idx="165">
                  <c:v>6.38466679130438E-6</c:v>
                </c:pt>
                <c:pt idx="166">
                  <c:v>6.4594332215290429E-6</c:v>
                </c:pt>
                <c:pt idx="167">
                  <c:v>6.543427670064226E-6</c:v>
                </c:pt>
                <c:pt idx="168">
                  <c:v>6.6375321072939713E-6</c:v>
                </c:pt>
                <c:pt idx="169">
                  <c:v>6.7496399032946685E-6</c:v>
                </c:pt>
                <c:pt idx="170">
                  <c:v>6.873189040938342E-6</c:v>
                </c:pt>
                <c:pt idx="171">
                  <c:v>7.0090215654737222E-6</c:v>
                </c:pt>
                <c:pt idx="172">
                  <c:v>7.1579790916028244E-6</c:v>
                </c:pt>
                <c:pt idx="173">
                  <c:v>7.3208253785894077E-6</c:v>
                </c:pt>
                <c:pt idx="174">
                  <c:v>7.4983074538266157E-6</c:v>
                </c:pt>
                <c:pt idx="175">
                  <c:v>7.6912319984846218E-6</c:v>
                </c:pt>
                <c:pt idx="176">
                  <c:v>7.9003932320820375E-6</c:v>
                </c:pt>
                <c:pt idx="177">
                  <c:v>8.1357738248833241E-6</c:v>
                </c:pt>
                <c:pt idx="178">
                  <c:v>8.3902020845165513E-6</c:v>
                </c:pt>
                <c:pt idx="179">
                  <c:v>8.6644660948459943E-6</c:v>
                </c:pt>
                <c:pt idx="180">
                  <c:v>8.9593324343632794E-6</c:v>
                </c:pt>
                <c:pt idx="181">
                  <c:v>9.2755449514500613E-6</c:v>
                </c:pt>
                <c:pt idx="182">
                  <c:v>9.6138238120754695E-6</c:v>
                </c:pt>
                <c:pt idx="183">
                  <c:v>9.9775518535081534E-6</c:v>
                </c:pt>
                <c:pt idx="184">
                  <c:v>1.0358197173600738E-5</c:v>
                </c:pt>
                <c:pt idx="185">
                  <c:v>1.075611098956481E-5</c:v>
                </c:pt>
                <c:pt idx="186">
                  <c:v>1.1171630509172193E-5</c:v>
                </c:pt>
                <c:pt idx="187">
                  <c:v>1.16050794638203E-5</c:v>
                </c:pt>
                <c:pt idx="188">
                  <c:v>1.2056768743624507E-5</c:v>
                </c:pt>
                <c:pt idx="189">
                  <c:v>1.2526997122032266E-5</c:v>
                </c:pt>
                <c:pt idx="190">
                  <c:v>1.3015951976922112E-5</c:v>
                </c:pt>
                <c:pt idx="191">
                  <c:v>1.3539780413476708E-5</c:v>
                </c:pt>
                <c:pt idx="192">
                  <c:v>1.4087844857994756E-5</c:v>
                </c:pt>
                <c:pt idx="193">
                  <c:v>1.466058336319704E-5</c:v>
                </c:pt>
                <c:pt idx="194">
                  <c:v>1.5258426866959005E-5</c:v>
                </c:pt>
                <c:pt idx="195">
                  <c:v>1.5881801295193388E-5</c:v>
                </c:pt>
                <c:pt idx="196">
                  <c:v>1.6531129728379401E-5</c:v>
                </c:pt>
                <c:pt idx="197">
                  <c:v>1.7196919602174116E-5</c:v>
                </c:pt>
                <c:pt idx="198">
                  <c:v>1.7876086819537199E-5</c:v>
                </c:pt>
                <c:pt idx="199">
                  <c:v>1.8568695997580189E-5</c:v>
                </c:pt>
                <c:pt idx="200">
                  <c:v>1.9274832055193078E-5</c:v>
                </c:pt>
                <c:pt idx="201">
                  <c:v>1.9994601094285239E-5</c:v>
                </c:pt>
                <c:pt idx="202">
                  <c:v>2.072813119957501E-5</c:v>
                </c:pt>
                <c:pt idx="203">
                  <c:v>2.1475573171280651E-5</c:v>
                </c:pt>
                <c:pt idx="204">
                  <c:v>2.2236863657867799E-5</c:v>
                </c:pt>
                <c:pt idx="205">
                  <c:v>2.3003957400753901E-5</c:v>
                </c:pt>
                <c:pt idx="206">
                  <c:v>2.3758354196544987E-5</c:v>
                </c:pt>
                <c:pt idx="207">
                  <c:v>2.4499524409617978E-5</c:v>
                </c:pt>
                <c:pt idx="208">
                  <c:v>2.5226965078475697E-5</c:v>
                </c:pt>
                <c:pt idx="209">
                  <c:v>2.5940198018441456E-5</c:v>
                </c:pt>
                <c:pt idx="210">
                  <c:v>2.6638767933522664E-5</c:v>
                </c:pt>
                <c:pt idx="211">
                  <c:v>2.7342117101758571E-5</c:v>
                </c:pt>
                <c:pt idx="212">
                  <c:v>2.8061400155599968E-5</c:v>
                </c:pt>
                <c:pt idx="213">
                  <c:v>2.8796825661184374E-5</c:v>
                </c:pt>
                <c:pt idx="214">
                  <c:v>2.9548601149664721E-5</c:v>
                </c:pt>
                <c:pt idx="215">
                  <c:v>3.0316932912834555E-5</c:v>
                </c:pt>
                <c:pt idx="216">
                  <c:v>3.1102025807852256E-5</c:v>
                </c:pt>
                <c:pt idx="217">
                  <c:v>3.1904083076674627E-5</c:v>
                </c:pt>
                <c:pt idx="218">
                  <c:v>3.2723040954599973E-5</c:v>
                </c:pt>
                <c:pt idx="219">
                  <c:v>3.3567799529471579E-5</c:v>
                </c:pt>
                <c:pt idx="220">
                  <c:v>3.4447520201210549E-5</c:v>
                </c:pt>
                <c:pt idx="221">
                  <c:v>3.5362796036865431E-5</c:v>
                </c:pt>
                <c:pt idx="222">
                  <c:v>3.6314224894043816E-5</c:v>
                </c:pt>
                <c:pt idx="223">
                  <c:v>3.7302411389690315E-5</c:v>
                </c:pt>
                <c:pt idx="224">
                  <c:v>3.8327968919842668E-5</c:v>
                </c:pt>
                <c:pt idx="225">
                  <c:v>3.9418495553480264E-5</c:v>
                </c:pt>
                <c:pt idx="226">
                  <c:v>4.0553352488815157E-5</c:v>
                </c:pt>
                <c:pt idx="227">
                  <c:v>4.1733273762932559E-5</c:v>
                </c:pt>
                <c:pt idx="228">
                  <c:v>4.2959010798886992E-5</c:v>
                </c:pt>
                <c:pt idx="229">
                  <c:v>4.423133504851716E-5</c:v>
                </c:pt>
                <c:pt idx="230">
                  <c:v>4.5551040699317009E-5</c:v>
                </c:pt>
                <c:pt idx="231">
                  <c:v>4.6918947461780507E-5</c:v>
                </c:pt>
                <c:pt idx="232">
                  <c:v>4.8335432499662437E-5</c:v>
                </c:pt>
                <c:pt idx="233">
                  <c:v>4.9813678753040724E-5</c:v>
                </c:pt>
                <c:pt idx="234">
                  <c:v>5.1344838584536516E-5</c:v>
                </c:pt>
                <c:pt idx="235">
                  <c:v>5.2929602095312695E-5</c:v>
                </c:pt>
                <c:pt idx="236">
                  <c:v>5.4568683016115681E-5</c:v>
                </c:pt>
                <c:pt idx="237">
                  <c:v>5.6262767297792331E-5</c:v>
                </c:pt>
                <c:pt idx="238">
                  <c:v>5.8012545324538618E-5</c:v>
                </c:pt>
                <c:pt idx="239">
                  <c:v>5.980911543166814E-5</c:v>
                </c:pt>
                <c:pt idx="240">
                  <c:v>6.1623989516873689E-5</c:v>
                </c:pt>
                <c:pt idx="241">
                  <c:v>6.3457321007648888E-5</c:v>
                </c:pt>
                <c:pt idx="242">
                  <c:v>6.5309265784888707E-5</c:v>
                </c:pt>
                <c:pt idx="243">
                  <c:v>6.7179981103989475E-5</c:v>
                </c:pt>
                <c:pt idx="244">
                  <c:v>6.9069624409164306E-5</c:v>
                </c:pt>
                <c:pt idx="245">
                  <c:v>7.097835205764005E-5</c:v>
                </c:pt>
                <c:pt idx="246">
                  <c:v>7.290631794039009E-5</c:v>
                </c:pt>
                <c:pt idx="247">
                  <c:v>7.4894386853627343E-5</c:v>
                </c:pt>
                <c:pt idx="248">
                  <c:v>7.6929345928472128E-5</c:v>
                </c:pt>
                <c:pt idx="249">
                  <c:v>7.9011707905632313E-5</c:v>
                </c:pt>
                <c:pt idx="250">
                  <c:v>8.114197853541413E-5</c:v>
                </c:pt>
                <c:pt idx="251">
                  <c:v>8.3320654893189979E-5</c:v>
                </c:pt>
                <c:pt idx="252">
                  <c:v>8.5548223594321486E-5</c:v>
                </c:pt>
                <c:pt idx="253">
                  <c:v>8.7864137736716656E-5</c:v>
                </c:pt>
                <c:pt idx="254">
                  <c:v>9.0279679625845911E-5</c:v>
                </c:pt>
                <c:pt idx="255">
                  <c:v>9.2795970145945276E-5</c:v>
                </c:pt>
                <c:pt idx="256">
                  <c:v>9.5414114606088215E-5</c:v>
                </c:pt>
                <c:pt idx="257">
                  <c:v>9.81352004140767E-5</c:v>
                </c:pt>
                <c:pt idx="258">
                  <c:v>1.0096029470193741E-4</c:v>
                </c:pt>
                <c:pt idx="259">
                  <c:v>1.0389044193049262E-4</c:v>
                </c:pt>
                <c:pt idx="260">
                  <c:v>1.069271752270493E-4</c:v>
                </c:pt>
                <c:pt idx="261">
                  <c:v>1.1007155555573348E-4</c:v>
                </c:pt>
                <c:pt idx="262">
                  <c:v>1.1328080003178537E-4</c:v>
                </c:pt>
                <c:pt idx="263">
                  <c:v>1.1655506953879955E-4</c:v>
                </c:pt>
                <c:pt idx="264">
                  <c:v>1.1989446605429666E-4</c:v>
                </c:pt>
                <c:pt idx="265">
                  <c:v>1.2329968515681621E-4</c:v>
                </c:pt>
                <c:pt idx="266">
                  <c:v>1.2677109351531577E-4</c:v>
                </c:pt>
                <c:pt idx="267">
                  <c:v>1.3033224022757623E-4</c:v>
                </c:pt>
                <c:pt idx="268">
                  <c:v>1.3394147377767483E-4</c:v>
                </c:pt>
                <c:pt idx="269">
                  <c:v>1.3759818662876662E-4</c:v>
                </c:pt>
                <c:pt idx="270">
                  <c:v>1.4130167958203611E-4</c:v>
                </c:pt>
                <c:pt idx="271">
                  <c:v>1.4505116193281928E-4</c:v>
                </c:pt>
                <c:pt idx="272">
                  <c:v>1.4884575241604564E-4</c:v>
                </c:pt>
                <c:pt idx="273">
                  <c:v>1.5268448092352127E-4</c:v>
                </c:pt>
                <c:pt idx="274">
                  <c:v>1.56572205292728E-4</c:v>
                </c:pt>
                <c:pt idx="275">
                  <c:v>1.609456611104547E-4</c:v>
                </c:pt>
                <c:pt idx="276">
                  <c:v>1.6580832849438809E-4</c:v>
                </c:pt>
                <c:pt idx="277">
                  <c:v>1.7116299060244102E-4</c:v>
                </c:pt>
                <c:pt idx="278">
                  <c:v>1.7701202380917053E-4</c:v>
                </c:pt>
                <c:pt idx="279">
                  <c:v>1.8335731258502933E-4</c:v>
                </c:pt>
                <c:pt idx="280">
                  <c:v>1.9020016255669056E-4</c:v>
                </c:pt>
                <c:pt idx="281">
                  <c:v>1.9768237629927022E-4</c:v>
                </c:pt>
                <c:pt idx="282">
                  <c:v>2.0578014007052367E-4</c:v>
                </c:pt>
                <c:pt idx="283">
                  <c:v>2.1449365251018606E-4</c:v>
                </c:pt>
                <c:pt idx="284">
                  <c:v>2.2382206631116946E-4</c:v>
                </c:pt>
                <c:pt idx="285">
                  <c:v>2.3376337521834238E-4</c:v>
                </c:pt>
                <c:pt idx="286">
                  <c:v>2.4431430136538851E-4</c:v>
                </c:pt>
                <c:pt idx="287">
                  <c:v>2.5547018368631805E-4</c:v>
                </c:pt>
                <c:pt idx="288">
                  <c:v>2.6724381162198724E-4</c:v>
                </c:pt>
                <c:pt idx="289">
                  <c:v>2.7946266352554518E-4</c:v>
                </c:pt>
                <c:pt idx="290">
                  <c:v>2.9166884618433015E-4</c:v>
                </c:pt>
                <c:pt idx="291">
                  <c:v>3.03855412077798E-4</c:v>
                </c:pt>
                <c:pt idx="292">
                  <c:v>3.1601496404256256E-4</c:v>
                </c:pt>
                <c:pt idx="293">
                  <c:v>3.281396711498691E-4</c:v>
                </c:pt>
                <c:pt idx="294">
                  <c:v>3.4022128511181473E-4</c:v>
                </c:pt>
                <c:pt idx="295">
                  <c:v>3.5223667401100003E-4</c:v>
                </c:pt>
                <c:pt idx="296">
                  <c:v>3.6403438423628781E-4</c:v>
                </c:pt>
                <c:pt idx="297">
                  <c:v>3.7560790210971502E-4</c:v>
                </c:pt>
                <c:pt idx="298">
                  <c:v>3.8694769882339689E-4</c:v>
                </c:pt>
                <c:pt idx="299">
                  <c:v>3.9804407661050403E-4</c:v>
                </c:pt>
                <c:pt idx="300">
                  <c:v>4.0888719867832502E-4</c:v>
                </c:pt>
                <c:pt idx="301">
                  <c:v>4.1946711832830443E-4</c:v>
                </c:pt>
                <c:pt idx="302">
                  <c:v>4.2979941587619418E-4</c:v>
                </c:pt>
                <c:pt idx="303">
                  <c:v>4.3998670459506839E-4</c:v>
                </c:pt>
                <c:pt idx="304">
                  <c:v>4.5021979520156423E-4</c:v>
                </c:pt>
                <c:pt idx="305">
                  <c:v>4.6049738950260913E-4</c:v>
                </c:pt>
                <c:pt idx="306">
                  <c:v>4.7081837691414661E-4</c:v>
                </c:pt>
                <c:pt idx="307">
                  <c:v>4.8118183031907089E-4</c:v>
                </c:pt>
                <c:pt idx="308">
                  <c:v>4.9158699689801121E-4</c:v>
                </c:pt>
                <c:pt idx="309">
                  <c:v>5.0238778644842654E-4</c:v>
                </c:pt>
                <c:pt idx="310">
                  <c:v>5.1359855625234701E-4</c:v>
                </c:pt>
                <c:pt idx="311">
                  <c:v>5.2521898067778522E-4</c:v>
                </c:pt>
                <c:pt idx="312">
                  <c:v>5.3724869883166771E-4</c:v>
                </c:pt>
                <c:pt idx="313">
                  <c:v>5.4968728474182038E-4</c:v>
                </c:pt>
                <c:pt idx="314">
                  <c:v>5.6253420960857188E-4</c:v>
                </c:pt>
                <c:pt idx="315">
                  <c:v>5.7578879527648414E-4</c:v>
                </c:pt>
                <c:pt idx="316">
                  <c:v>5.8948901256442531E-4</c:v>
                </c:pt>
                <c:pt idx="317">
                  <c:v>6.0269377698789423E-4</c:v>
                </c:pt>
                <c:pt idx="318">
                  <c:v>6.1532290602033576E-4</c:v>
                </c:pt>
                <c:pt idx="319">
                  <c:v>6.2737720899852425E-4</c:v>
                </c:pt>
                <c:pt idx="320">
                  <c:v>6.3885639858171249E-4</c:v>
                </c:pt>
                <c:pt idx="321">
                  <c:v>6.4975898808689318E-4</c:v>
                </c:pt>
                <c:pt idx="322">
                  <c:v>6.6008219321487106E-4</c:v>
                </c:pt>
                <c:pt idx="323">
                  <c:v>6.6914305502574825E-4</c:v>
                </c:pt>
                <c:pt idx="324">
                  <c:v>6.7657989455711129E-4</c:v>
                </c:pt>
                <c:pt idx="325">
                  <c:v>6.8238391153179758E-4</c:v>
                </c:pt>
                <c:pt idx="326">
                  <c:v>6.8654033832482619E-4</c:v>
                </c:pt>
                <c:pt idx="327">
                  <c:v>6.8903562568066706E-4</c:v>
                </c:pt>
                <c:pt idx="328">
                  <c:v>6.8985840744632441E-4</c:v>
                </c:pt>
                <c:pt idx="329">
                  <c:v>6.8899620152538036E-4</c:v>
                </c:pt>
                <c:pt idx="330">
                  <c:v>6.8650708802084771E-4</c:v>
                </c:pt>
                <c:pt idx="331">
                  <c:v>6.8394461661751759E-4</c:v>
                </c:pt>
                <c:pt idx="332">
                  <c:v>6.8228160517497434E-4</c:v>
                </c:pt>
                <c:pt idx="333">
                  <c:v>6.8150494450103705E-4</c:v>
                </c:pt>
                <c:pt idx="334">
                  <c:v>6.8160079845201119E-4</c:v>
                </c:pt>
                <c:pt idx="335">
                  <c:v>6.8255442612031648E-4</c:v>
                </c:pt>
                <c:pt idx="336">
                  <c:v>6.8434999623143578E-4</c:v>
                </c:pt>
                <c:pt idx="337">
                  <c:v>6.8777123200593118E-4</c:v>
                </c:pt>
                <c:pt idx="338">
                  <c:v>6.9348829069634246E-4</c:v>
                </c:pt>
                <c:pt idx="339">
                  <c:v>7.0148513330942574E-4</c:v>
                </c:pt>
                <c:pt idx="340">
                  <c:v>7.1174290143474685E-4</c:v>
                </c:pt>
                <c:pt idx="341">
                  <c:v>7.2423919682051887E-4</c:v>
                </c:pt>
                <c:pt idx="342">
                  <c:v>7.3894734577730175E-4</c:v>
                </c:pt>
                <c:pt idx="343">
                  <c:v>7.5583566134822678E-4</c:v>
                </c:pt>
                <c:pt idx="344">
                  <c:v>7.7495418520633292E-4</c:v>
                </c:pt>
                <c:pt idx="345">
                  <c:v>7.9636039066502461E-4</c:v>
                </c:pt>
                <c:pt idx="346">
                  <c:v>8.1677348908575651E-4</c:v>
                </c:pt>
                <c:pt idx="347">
                  <c:v>8.3616128574981908E-4</c:v>
                </c:pt>
                <c:pt idx="348">
                  <c:v>8.5448933793932339E-4</c:v>
                </c:pt>
                <c:pt idx="349">
                  <c:v>8.7172141737755179E-4</c:v>
                </c:pt>
                <c:pt idx="350">
                  <c:v>8.878200165628675E-4</c:v>
                </c:pt>
                <c:pt idx="351">
                  <c:v>9.0101097405635743E-4</c:v>
                </c:pt>
                <c:pt idx="352">
                  <c:v>9.1045872490295196E-4</c:v>
                </c:pt>
                <c:pt idx="353">
                  <c:v>9.161373455975634E-4</c:v>
                </c:pt>
                <c:pt idx="354">
                  <c:v>9.1802732274944736E-4</c:v>
                </c:pt>
                <c:pt idx="355">
                  <c:v>9.1611688661274245E-4</c:v>
                </c:pt>
                <c:pt idx="356">
                  <c:v>9.1039112395440748E-4</c:v>
                </c:pt>
                <c:pt idx="357">
                  <c:v>9.0086898123042003E-4</c:v>
                </c:pt>
                <c:pt idx="358">
                  <c:v>8.875689590331909E-4</c:v>
                </c:pt>
                <c:pt idx="359">
                  <c:v>8.705464230176123E-4</c:v>
                </c:pt>
                <c:pt idx="360">
                  <c:v>8.5066051906370623E-4</c:v>
                </c:pt>
                <c:pt idx="361">
                  <c:v>8.2967104577226698E-4</c:v>
                </c:pt>
                <c:pt idx="362">
                  <c:v>8.0762954934307659E-4</c:v>
                </c:pt>
                <c:pt idx="363">
                  <c:v>7.8458887559813145E-4</c:v>
                </c:pt>
                <c:pt idx="364">
                  <c:v>7.6060271030869628E-4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997128"/>
        <c:axId val="215997520"/>
      </c:lineChart>
      <c:dateAx>
        <c:axId val="2159971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7520"/>
        <c:crosses val="autoZero"/>
        <c:auto val="1"/>
        <c:lblOffset val="100"/>
        <c:baseTimeUnit val="days"/>
        <c:majorUnit val="1"/>
        <c:majorTimeUnit val="months"/>
      </c:dateAx>
      <c:valAx>
        <c:axId val="21599752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7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22.331152866503135</c:v>
                </c:pt>
                <c:pt idx="1">
                  <c:v>22.469181126253741</c:v>
                </c:pt>
                <c:pt idx="2">
                  <c:v>22.616165080561281</c:v>
                </c:pt>
                <c:pt idx="3">
                  <c:v>22.771643803293419</c:v>
                </c:pt>
                <c:pt idx="4">
                  <c:v>22.935156445763333</c:v>
                </c:pt>
                <c:pt idx="5">
                  <c:v>23.106242232457639</c:v>
                </c:pt>
                <c:pt idx="6">
                  <c:v>23.284440473010804</c:v>
                </c:pt>
                <c:pt idx="7">
                  <c:v>23.469290567753166</c:v>
                </c:pt>
                <c:pt idx="8">
                  <c:v>23.663197825220276</c:v>
                </c:pt>
                <c:pt idx="9">
                  <c:v>23.86838245754269</c:v>
                </c:pt>
                <c:pt idx="10">
                  <c:v>24.084101596150123</c:v>
                </c:pt>
                <c:pt idx="11">
                  <c:v>24.309595527183308</c:v>
                </c:pt>
                <c:pt idx="12">
                  <c:v>24.544104732652229</c:v>
                </c:pt>
                <c:pt idx="13">
                  <c:v>24.786869903775703</c:v>
                </c:pt>
                <c:pt idx="14">
                  <c:v>25.037131935622384</c:v>
                </c:pt>
                <c:pt idx="15">
                  <c:v>25.294153048783887</c:v>
                </c:pt>
                <c:pt idx="16">
                  <c:v>25.557206609726315</c:v>
                </c:pt>
                <c:pt idx="17">
                  <c:v>25.825534144988101</c:v>
                </c:pt>
                <c:pt idx="18">
                  <c:v>26.098377405047472</c:v>
                </c:pt>
                <c:pt idx="19">
                  <c:v>26.374978279265957</c:v>
                </c:pt>
                <c:pt idx="20">
                  <c:v>26.654578842788702</c:v>
                </c:pt>
                <c:pt idx="21">
                  <c:v>26.936421474674489</c:v>
                </c:pt>
                <c:pt idx="22">
                  <c:v>27.22354936256373</c:v>
                </c:pt>
                <c:pt idx="23">
                  <c:v>27.51891434418409</c:v>
                </c:pt>
                <c:pt idx="24">
                  <c:v>27.821619017298119</c:v>
                </c:pt>
                <c:pt idx="25">
                  <c:v>28.130780844670642</c:v>
                </c:pt>
                <c:pt idx="26">
                  <c:v>28.445517573474156</c:v>
                </c:pt>
                <c:pt idx="27">
                  <c:v>28.764947243431987</c:v>
                </c:pt>
                <c:pt idx="28">
                  <c:v>29.088188181899316</c:v>
                </c:pt>
                <c:pt idx="29">
                  <c:v>29.414357247640513</c:v>
                </c:pt>
                <c:pt idx="30">
                  <c:v>29.742552244539421</c:v>
                </c:pt>
                <c:pt idx="31">
                  <c:v>30.071892375592785</c:v>
                </c:pt>
                <c:pt idx="32">
                  <c:v>30.401497142545733</c:v>
                </c:pt>
                <c:pt idx="33">
                  <c:v>30.730486339378182</c:v>
                </c:pt>
                <c:pt idx="34">
                  <c:v>31.05798005672737</c:v>
                </c:pt>
                <c:pt idx="35">
                  <c:v>31.383098680373809</c:v>
                </c:pt>
                <c:pt idx="36">
                  <c:v>31.707374753012392</c:v>
                </c:pt>
                <c:pt idx="37">
                  <c:v>32.032862128197664</c:v>
                </c:pt>
                <c:pt idx="38">
                  <c:v>32.359470585364221</c:v>
                </c:pt>
                <c:pt idx="39">
                  <c:v>32.687102317519511</c:v>
                </c:pt>
                <c:pt idx="40">
                  <c:v>33.015659565214364</c:v>
                </c:pt>
                <c:pt idx="41">
                  <c:v>33.345044614424253</c:v>
                </c:pt>
                <c:pt idx="42">
                  <c:v>33.675159793401008</c:v>
                </c:pt>
                <c:pt idx="43">
                  <c:v>34.005911638288694</c:v>
                </c:pt>
                <c:pt idx="44">
                  <c:v>34.337204331241836</c:v>
                </c:pt>
                <c:pt idx="45">
                  <c:v>34.668940316406854</c:v>
                </c:pt>
                <c:pt idx="46">
                  <c:v>35.001022067656358</c:v>
                </c:pt>
                <c:pt idx="47">
                  <c:v>35.333352083253537</c:v>
                </c:pt>
                <c:pt idx="48">
                  <c:v>35.665832882747019</c:v>
                </c:pt>
                <c:pt idx="49">
                  <c:v>35.998367001579787</c:v>
                </c:pt>
                <c:pt idx="50">
                  <c:v>36.331101170594827</c:v>
                </c:pt>
                <c:pt idx="51">
                  <c:v>36.664243948328853</c:v>
                </c:pt>
                <c:pt idx="52">
                  <c:v>36.997795138711133</c:v>
                </c:pt>
                <c:pt idx="53">
                  <c:v>37.331754835189081</c:v>
                </c:pt>
                <c:pt idx="54">
                  <c:v>37.666123057786862</c:v>
                </c:pt>
                <c:pt idx="55">
                  <c:v>38.000899787016543</c:v>
                </c:pt>
                <c:pt idx="56">
                  <c:v>38.336084959564609</c:v>
                </c:pt>
                <c:pt idx="57">
                  <c:v>38.67166833512713</c:v>
                </c:pt>
                <c:pt idx="58">
                  <c:v>39.007645518619377</c:v>
                </c:pt>
                <c:pt idx="59">
                  <c:v>39.344016260901185</c:v>
                </c:pt>
                <c:pt idx="60">
                  <c:v>39.680780255177929</c:v>
                </c:pt>
                <c:pt idx="61">
                  <c:v>40.017937134047258</c:v>
                </c:pt>
                <c:pt idx="62">
                  <c:v>40.355486467561363</c:v>
                </c:pt>
                <c:pt idx="63">
                  <c:v>40.693427759915345</c:v>
                </c:pt>
                <c:pt idx="64">
                  <c:v>41.032817447435121</c:v>
                </c:pt>
                <c:pt idx="65">
                  <c:v>41.374385791532006</c:v>
                </c:pt>
                <c:pt idx="66">
                  <c:v>41.717647167696938</c:v>
                </c:pt>
                <c:pt idx="67">
                  <c:v>42.062112781430031</c:v>
                </c:pt>
                <c:pt idx="68">
                  <c:v>42.407293914204445</c:v>
                </c:pt>
                <c:pt idx="69">
                  <c:v>42.752701923489397</c:v>
                </c:pt>
                <c:pt idx="70">
                  <c:v>43.097848242220699</c:v>
                </c:pt>
                <c:pt idx="71">
                  <c:v>43.442244388054107</c:v>
                </c:pt>
                <c:pt idx="72">
                  <c:v>43.785412241390759</c:v>
                </c:pt>
                <c:pt idx="73">
                  <c:v>44.126863515101931</c:v>
                </c:pt>
                <c:pt idx="74">
                  <c:v>44.466110007312658</c:v>
                </c:pt>
                <c:pt idx="75">
                  <c:v>44.802663607731731</c:v>
                </c:pt>
                <c:pt idx="76">
                  <c:v>45.13603629705969</c:v>
                </c:pt>
                <c:pt idx="77">
                  <c:v>45.465740152447339</c:v>
                </c:pt>
                <c:pt idx="78">
                  <c:v>45.794195058524423</c:v>
                </c:pt>
                <c:pt idx="79">
                  <c:v>46.123624140393545</c:v>
                </c:pt>
                <c:pt idx="80">
                  <c:v>46.45324670922674</c:v>
                </c:pt>
                <c:pt idx="81">
                  <c:v>46.782281690741229</c:v>
                </c:pt>
                <c:pt idx="82">
                  <c:v>47.10994821287423</c:v>
                </c:pt>
                <c:pt idx="83">
                  <c:v>47.435465611735381</c:v>
                </c:pt>
                <c:pt idx="84">
                  <c:v>47.758053438318271</c:v>
                </c:pt>
                <c:pt idx="85">
                  <c:v>48.076930333570836</c:v>
                </c:pt>
                <c:pt idx="86">
                  <c:v>48.391316278125167</c:v>
                </c:pt>
                <c:pt idx="87">
                  <c:v>48.700431493437584</c:v>
                </c:pt>
                <c:pt idx="88">
                  <c:v>49.003496447449784</c:v>
                </c:pt>
                <c:pt idx="89">
                  <c:v>49.299731855669179</c:v>
                </c:pt>
                <c:pt idx="90">
                  <c:v>49.588358238434751</c:v>
                </c:pt>
                <c:pt idx="91">
                  <c:v>49.868594198290545</c:v>
                </c:pt>
                <c:pt idx="92">
                  <c:v>50.141822438683327</c:v>
                </c:pt>
                <c:pt idx="93">
                  <c:v>50.409876655411018</c:v>
                </c:pt>
                <c:pt idx="94">
                  <c:v>50.672660211531131</c:v>
                </c:pt>
                <c:pt idx="95">
                  <c:v>50.930075444484231</c:v>
                </c:pt>
                <c:pt idx="96">
                  <c:v>51.182024754209245</c:v>
                </c:pt>
                <c:pt idx="97">
                  <c:v>51.428410607547058</c:v>
                </c:pt>
                <c:pt idx="98">
                  <c:v>51.669135540532679</c:v>
                </c:pt>
                <c:pt idx="99">
                  <c:v>51.904101762693287</c:v>
                </c:pt>
                <c:pt idx="100">
                  <c:v>52.133213215829201</c:v>
                </c:pt>
                <c:pt idx="101">
                  <c:v>52.356372714594855</c:v>
                </c:pt>
                <c:pt idx="102">
                  <c:v>52.573483164012742</c:v>
                </c:pt>
                <c:pt idx="103">
                  <c:v>52.784447572803792</c:v>
                </c:pt>
                <c:pt idx="104">
                  <c:v>52.989169051320879</c:v>
                </c:pt>
                <c:pt idx="105">
                  <c:v>53.187550822484837</c:v>
                </c:pt>
                <c:pt idx="106">
                  <c:v>53.379739308337591</c:v>
                </c:pt>
                <c:pt idx="107">
                  <c:v>53.565944817246432</c:v>
                </c:pt>
                <c:pt idx="108">
                  <c:v>53.74616767991003</c:v>
                </c:pt>
                <c:pt idx="109">
                  <c:v>53.920408599244752</c:v>
                </c:pt>
                <c:pt idx="110">
                  <c:v>54.088668365350429</c:v>
                </c:pt>
                <c:pt idx="111">
                  <c:v>54.250947865818389</c:v>
                </c:pt>
                <c:pt idx="112">
                  <c:v>54.407248098130573</c:v>
                </c:pt>
                <c:pt idx="113">
                  <c:v>54.557569761348716</c:v>
                </c:pt>
                <c:pt idx="114">
                  <c:v>54.701914501067151</c:v>
                </c:pt>
                <c:pt idx="115">
                  <c:v>54.840283638206117</c:v>
                </c:pt>
                <c:pt idx="116">
                  <c:v>54.972678617095553</c:v>
                </c:pt>
                <c:pt idx="117">
                  <c:v>55.099101007744203</c:v>
                </c:pt>
                <c:pt idx="118">
                  <c:v>55.219552514445539</c:v>
                </c:pt>
                <c:pt idx="119">
                  <c:v>58.545722543601812</c:v>
                </c:pt>
                <c:pt idx="120">
                  <c:v>58.658274753770684</c:v>
                </c:pt>
                <c:pt idx="121">
                  <c:v>58.76304896199008</c:v>
                </c:pt>
                <c:pt idx="122">
                  <c:v>58.860459968846143</c:v>
                </c:pt>
                <c:pt idx="123">
                  <c:v>58.950921208740276</c:v>
                </c:pt>
                <c:pt idx="124">
                  <c:v>59.034845931572981</c:v>
                </c:pt>
                <c:pt idx="125">
                  <c:v>59.112647193066152</c:v>
                </c:pt>
                <c:pt idx="126">
                  <c:v>59.184737862199242</c:v>
                </c:pt>
                <c:pt idx="127">
                  <c:v>59.251531025783528</c:v>
                </c:pt>
                <c:pt idx="128">
                  <c:v>59.313439798460152</c:v>
                </c:pt>
                <c:pt idx="129">
                  <c:v>59.370876544118403</c:v>
                </c:pt>
                <c:pt idx="130">
                  <c:v>59.42425344201807</c:v>
                </c:pt>
                <c:pt idx="131">
                  <c:v>59.473982491007447</c:v>
                </c:pt>
                <c:pt idx="132">
                  <c:v>59.520475505470166</c:v>
                </c:pt>
                <c:pt idx="133">
                  <c:v>59.564144116926087</c:v>
                </c:pt>
                <c:pt idx="134">
                  <c:v>59.603930002269408</c:v>
                </c:pt>
                <c:pt idx="135">
                  <c:v>59.63863936086041</c:v>
                </c:pt>
                <c:pt idx="136">
                  <c:v>59.668480841015494</c:v>
                </c:pt>
                <c:pt idx="137">
                  <c:v>59.693661757502582</c:v>
                </c:pt>
                <c:pt idx="138">
                  <c:v>59.714389352741343</c:v>
                </c:pt>
                <c:pt idx="139">
                  <c:v>59.730870800415772</c:v>
                </c:pt>
                <c:pt idx="140">
                  <c:v>59.743313206653362</c:v>
                </c:pt>
                <c:pt idx="141">
                  <c:v>59.751922390177761</c:v>
                </c:pt>
                <c:pt idx="142">
                  <c:v>59.756904753498311</c:v>
                </c:pt>
                <c:pt idx="143">
                  <c:v>59.758467112527626</c:v>
                </c:pt>
                <c:pt idx="144">
                  <c:v>59.756816191198396</c:v>
                </c:pt>
                <c:pt idx="145">
                  <c:v>59.752158637012776</c:v>
                </c:pt>
                <c:pt idx="146">
                  <c:v>59.744701014600722</c:v>
                </c:pt>
                <c:pt idx="147">
                  <c:v>59.734649804223686</c:v>
                </c:pt>
                <c:pt idx="148">
                  <c:v>59.720812587995965</c:v>
                </c:pt>
                <c:pt idx="149">
                  <c:v>59.702133788183886</c:v>
                </c:pt>
                <c:pt idx="150">
                  <c:v>59.679024527550546</c:v>
                </c:pt>
                <c:pt idx="151">
                  <c:v>59.651896482374397</c:v>
                </c:pt>
                <c:pt idx="152">
                  <c:v>59.621161123483311</c:v>
                </c:pt>
                <c:pt idx="153">
                  <c:v>59.587229712663031</c:v>
                </c:pt>
                <c:pt idx="154">
                  <c:v>59.550513297441974</c:v>
                </c:pt>
                <c:pt idx="155">
                  <c:v>59.511421396877097</c:v>
                </c:pt>
                <c:pt idx="156">
                  <c:v>59.470366072920548</c:v>
                </c:pt>
                <c:pt idx="157">
                  <c:v>59.427757713547905</c:v>
                </c:pt>
                <c:pt idx="158">
                  <c:v>59.384006481227864</c:v>
                </c:pt>
                <c:pt idx="159">
                  <c:v>59.339522312927976</c:v>
                </c:pt>
                <c:pt idx="160">
                  <c:v>59.294714915890992</c:v>
                </c:pt>
                <c:pt idx="161">
                  <c:v>59.249993765880092</c:v>
                </c:pt>
                <c:pt idx="162">
                  <c:v>59.20474648259259</c:v>
                </c:pt>
                <c:pt idx="163">
                  <c:v>59.158087379284083</c:v>
                </c:pt>
                <c:pt idx="164">
                  <c:v>59.110017875923624</c:v>
                </c:pt>
                <c:pt idx="165">
                  <c:v>59.060539049833181</c:v>
                </c:pt>
                <c:pt idx="166">
                  <c:v>59.009651950672371</c:v>
                </c:pt>
                <c:pt idx="167">
                  <c:v>58.957357595510281</c:v>
                </c:pt>
                <c:pt idx="168">
                  <c:v>58.903656969908404</c:v>
                </c:pt>
                <c:pt idx="169">
                  <c:v>58.848549710430028</c:v>
                </c:pt>
                <c:pt idx="170">
                  <c:v>58.792038338894933</c:v>
                </c:pt>
                <c:pt idx="171">
                  <c:v>58.734123748690159</c:v>
                </c:pt>
                <c:pt idx="172">
                  <c:v>58.67480679259036</c:v>
                </c:pt>
                <c:pt idx="173">
                  <c:v>58.614088300753991</c:v>
                </c:pt>
                <c:pt idx="174">
                  <c:v>58.551969063032693</c:v>
                </c:pt>
                <c:pt idx="175">
                  <c:v>58.488449810838922</c:v>
                </c:pt>
                <c:pt idx="176">
                  <c:v>58.423531235452245</c:v>
                </c:pt>
                <c:pt idx="177">
                  <c:v>58.357212187121142</c:v>
                </c:pt>
                <c:pt idx="178">
                  <c:v>58.289494661666943</c:v>
                </c:pt>
                <c:pt idx="179">
                  <c:v>58.220379209984792</c:v>
                </c:pt>
                <c:pt idx="180">
                  <c:v>58.149866342550069</c:v>
                </c:pt>
                <c:pt idx="181">
                  <c:v>58.07795653202065</c:v>
                </c:pt>
                <c:pt idx="182">
                  <c:v>58.00465021212262</c:v>
                </c:pt>
                <c:pt idx="183">
                  <c:v>57.929947385890252</c:v>
                </c:pt>
                <c:pt idx="184">
                  <c:v>57.853849925313277</c:v>
                </c:pt>
                <c:pt idx="185">
                  <c:v>57.776358184778097</c:v>
                </c:pt>
                <c:pt idx="186">
                  <c:v>57.697472487180249</c:v>
                </c:pt>
                <c:pt idx="187">
                  <c:v>57.617193123200082</c:v>
                </c:pt>
                <c:pt idx="188">
                  <c:v>57.535520356718912</c:v>
                </c:pt>
                <c:pt idx="189">
                  <c:v>57.452454424517732</c:v>
                </c:pt>
                <c:pt idx="190">
                  <c:v>57.368436650599918</c:v>
                </c:pt>
                <c:pt idx="191">
                  <c:v>57.283770320708115</c:v>
                </c:pt>
                <c:pt idx="192">
                  <c:v>57.198253790604724</c:v>
                </c:pt>
                <c:pt idx="193">
                  <c:v>57.111683514267938</c:v>
                </c:pt>
                <c:pt idx="194">
                  <c:v>57.023856035021694</c:v>
                </c:pt>
                <c:pt idx="195">
                  <c:v>56.934567987371665</c:v>
                </c:pt>
                <c:pt idx="196">
                  <c:v>56.843616099267315</c:v>
                </c:pt>
                <c:pt idx="197">
                  <c:v>56.750798393255344</c:v>
                </c:pt>
                <c:pt idx="198">
                  <c:v>56.655912226533587</c:v>
                </c:pt>
                <c:pt idx="199">
                  <c:v>56.558754636597001</c:v>
                </c:pt>
                <c:pt idx="200">
                  <c:v>56.459122761212249</c:v>
                </c:pt>
                <c:pt idx="201">
                  <c:v>56.356813839120484</c:v>
                </c:pt>
                <c:pt idx="202">
                  <c:v>56.25162521624631</c:v>
                </c:pt>
                <c:pt idx="203">
                  <c:v>56.143354344282976</c:v>
                </c:pt>
                <c:pt idx="204">
                  <c:v>56.032306883149957</c:v>
                </c:pt>
                <c:pt idx="205">
                  <c:v>55.918924685032266</c:v>
                </c:pt>
                <c:pt idx="206">
                  <c:v>55.803210499880315</c:v>
                </c:pt>
                <c:pt idx="207">
                  <c:v>55.685164914953269</c:v>
                </c:pt>
                <c:pt idx="208">
                  <c:v>55.564788530164392</c:v>
                </c:pt>
                <c:pt idx="209">
                  <c:v>55.442081962761449</c:v>
                </c:pt>
                <c:pt idx="210">
                  <c:v>55.317045845926991</c:v>
                </c:pt>
                <c:pt idx="211">
                  <c:v>55.189677633222693</c:v>
                </c:pt>
                <c:pt idx="212">
                  <c:v>55.059976730259287</c:v>
                </c:pt>
                <c:pt idx="213">
                  <c:v>54.927943798568776</c:v>
                </c:pt>
                <c:pt idx="214">
                  <c:v>54.793579519112413</c:v>
                </c:pt>
                <c:pt idx="215">
                  <c:v>54.65688459366914</c:v>
                </c:pt>
                <c:pt idx="216">
                  <c:v>54.517859746059607</c:v>
                </c:pt>
                <c:pt idx="217">
                  <c:v>54.376505718744106</c:v>
                </c:pt>
                <c:pt idx="218">
                  <c:v>54.233262875851942</c:v>
                </c:pt>
                <c:pt idx="219">
                  <c:v>54.088433880565312</c:v>
                </c:pt>
                <c:pt idx="220">
                  <c:v>53.941815533870425</c:v>
                </c:pt>
                <c:pt idx="221">
                  <c:v>53.793205622202983</c:v>
                </c:pt>
                <c:pt idx="222">
                  <c:v>53.642402044967369</c:v>
                </c:pt>
                <c:pt idx="223">
                  <c:v>53.489202816700839</c:v>
                </c:pt>
                <c:pt idx="224">
                  <c:v>53.333406063487864</c:v>
                </c:pt>
                <c:pt idx="225">
                  <c:v>53.174806900360522</c:v>
                </c:pt>
                <c:pt idx="226">
                  <c:v>53.013206945529056</c:v>
                </c:pt>
                <c:pt idx="227">
                  <c:v>52.84840465760017</c:v>
                </c:pt>
                <c:pt idx="228">
                  <c:v>52.680198600636395</c:v>
                </c:pt>
                <c:pt idx="229">
                  <c:v>52.508387442524274</c:v>
                </c:pt>
                <c:pt idx="230">
                  <c:v>52.332769957727514</c:v>
                </c:pt>
                <c:pt idx="231">
                  <c:v>52.153145018962611</c:v>
                </c:pt>
                <c:pt idx="232">
                  <c:v>51.969817995122526</c:v>
                </c:pt>
                <c:pt idx="233">
                  <c:v>51.783228214844513</c:v>
                </c:pt>
                <c:pt idx="234">
                  <c:v>51.59337927183676</c:v>
                </c:pt>
                <c:pt idx="235">
                  <c:v>51.400272451266801</c:v>
                </c:pt>
                <c:pt idx="236">
                  <c:v>51.203909038907703</c:v>
                </c:pt>
                <c:pt idx="237">
                  <c:v>51.004290329733415</c:v>
                </c:pt>
                <c:pt idx="238">
                  <c:v>50.801417620148655</c:v>
                </c:pt>
                <c:pt idx="239">
                  <c:v>50.595292036353761</c:v>
                </c:pt>
                <c:pt idx="240">
                  <c:v>50.38591801578302</c:v>
                </c:pt>
                <c:pt idx="241">
                  <c:v>50.173296858690968</c:v>
                </c:pt>
                <c:pt idx="242">
                  <c:v>49.957429871494874</c:v>
                </c:pt>
                <c:pt idx="243">
                  <c:v>49.738318362071027</c:v>
                </c:pt>
                <c:pt idx="244">
                  <c:v>49.515963642942459</c:v>
                </c:pt>
                <c:pt idx="245">
                  <c:v>49.290367029293563</c:v>
                </c:pt>
                <c:pt idx="246">
                  <c:v>49.061529844248959</c:v>
                </c:pt>
                <c:pt idx="247">
                  <c:v>48.829447444201186</c:v>
                </c:pt>
                <c:pt idx="248">
                  <c:v>48.594122082999128</c:v>
                </c:pt>
                <c:pt idx="249">
                  <c:v>48.35555510684604</c:v>
                </c:pt>
                <c:pt idx="250">
                  <c:v>48.113747873362428</c:v>
                </c:pt>
                <c:pt idx="251">
                  <c:v>47.86870174760228</c:v>
                </c:pt>
                <c:pt idx="252">
                  <c:v>47.620418103945795</c:v>
                </c:pt>
                <c:pt idx="253">
                  <c:v>47.368892676324165</c:v>
                </c:pt>
                <c:pt idx="254">
                  <c:v>47.114127058766442</c:v>
                </c:pt>
                <c:pt idx="255">
                  <c:v>46.856122676179396</c:v>
                </c:pt>
                <c:pt idx="256">
                  <c:v>46.594880964421861</c:v>
                </c:pt>
                <c:pt idx="257">
                  <c:v>46.330403369979521</c:v>
                </c:pt>
                <c:pt idx="258">
                  <c:v>46.062691348077031</c:v>
                </c:pt>
                <c:pt idx="259">
                  <c:v>45.791746366070498</c:v>
                </c:pt>
                <c:pt idx="260">
                  <c:v>45.517351165257267</c:v>
                </c:pt>
                <c:pt idx="261">
                  <c:v>45.239354095800387</c:v>
                </c:pt>
                <c:pt idx="262">
                  <c:v>44.957863560918071</c:v>
                </c:pt>
                <c:pt idx="263">
                  <c:v>44.672982030278455</c:v>
                </c:pt>
                <c:pt idx="264">
                  <c:v>44.384811927218145</c:v>
                </c:pt>
                <c:pt idx="265">
                  <c:v>44.093455543222603</c:v>
                </c:pt>
                <c:pt idx="266">
                  <c:v>43.799015153619067</c:v>
                </c:pt>
                <c:pt idx="267">
                  <c:v>43.501575996411042</c:v>
                </c:pt>
                <c:pt idx="268">
                  <c:v>43.201245922697048</c:v>
                </c:pt>
                <c:pt idx="269">
                  <c:v>42.898127206485611</c:v>
                </c:pt>
                <c:pt idx="270">
                  <c:v>42.592322070205029</c:v>
                </c:pt>
                <c:pt idx="271">
                  <c:v>42.283932687565226</c:v>
                </c:pt>
                <c:pt idx="272">
                  <c:v>41.973061175902671</c:v>
                </c:pt>
                <c:pt idx="273">
                  <c:v>41.659809598048184</c:v>
                </c:pt>
                <c:pt idx="274">
                  <c:v>41.342717548847062</c:v>
                </c:pt>
                <c:pt idx="275">
                  <c:v>41.020624775506739</c:v>
                </c:pt>
                <c:pt idx="276">
                  <c:v>40.694140082850637</c:v>
                </c:pt>
                <c:pt idx="277">
                  <c:v>40.363870290962097</c:v>
                </c:pt>
                <c:pt idx="278">
                  <c:v>40.03042196537168</c:v>
                </c:pt>
                <c:pt idx="279">
                  <c:v>39.694401421896195</c:v>
                </c:pt>
                <c:pt idx="280">
                  <c:v>39.35641472355983</c:v>
                </c:pt>
                <c:pt idx="281">
                  <c:v>39.017049707268427</c:v>
                </c:pt>
                <c:pt idx="282">
                  <c:v>38.676928314493985</c:v>
                </c:pt>
                <c:pt idx="283">
                  <c:v>38.336655897691486</c:v>
                </c:pt>
                <c:pt idx="284">
                  <c:v>37.996837557668471</c:v>
                </c:pt>
                <c:pt idx="285">
                  <c:v>37.658078145053352</c:v>
                </c:pt>
                <c:pt idx="286">
                  <c:v>37.320982258271044</c:v>
                </c:pt>
                <c:pt idx="287">
                  <c:v>36.98615424273779</c:v>
                </c:pt>
                <c:pt idx="288">
                  <c:v>36.651597870751999</c:v>
                </c:pt>
                <c:pt idx="289">
                  <c:v>36.315270534639673</c:v>
                </c:pt>
                <c:pt idx="290">
                  <c:v>35.977709809824546</c:v>
                </c:pt>
                <c:pt idx="291">
                  <c:v>35.639418772075899</c:v>
                </c:pt>
                <c:pt idx="292">
                  <c:v>35.300900207889796</c:v>
                </c:pt>
                <c:pt idx="293">
                  <c:v>34.962656615303473</c:v>
                </c:pt>
                <c:pt idx="294">
                  <c:v>34.625190206566621</c:v>
                </c:pt>
                <c:pt idx="295">
                  <c:v>34.289033958508206</c:v>
                </c:pt>
                <c:pt idx="296">
                  <c:v>33.954704564483507</c:v>
                </c:pt>
                <c:pt idx="297">
                  <c:v>33.622701861057045</c:v>
                </c:pt>
                <c:pt idx="298">
                  <c:v>33.293525682148186</c:v>
                </c:pt>
                <c:pt idx="299">
                  <c:v>32.967675570204534</c:v>
                </c:pt>
                <c:pt idx="300">
                  <c:v>32.645650788781857</c:v>
                </c:pt>
                <c:pt idx="301">
                  <c:v>32.327950332398267</c:v>
                </c:pt>
                <c:pt idx="302">
                  <c:v>32.013162966274983</c:v>
                </c:pt>
                <c:pt idx="303">
                  <c:v>31.699720966627059</c:v>
                </c:pt>
                <c:pt idx="304">
                  <c:v>31.387905661888663</c:v>
                </c:pt>
                <c:pt idx="305">
                  <c:v>31.078016359886469</c:v>
                </c:pt>
                <c:pt idx="306">
                  <c:v>30.770352223257579</c:v>
                </c:pt>
                <c:pt idx="307">
                  <c:v>30.46521227917253</c:v>
                </c:pt>
                <c:pt idx="308">
                  <c:v>30.162895428822413</c:v>
                </c:pt>
                <c:pt idx="309">
                  <c:v>29.863692751546818</c:v>
                </c:pt>
                <c:pt idx="310">
                  <c:v>29.567876065046917</c:v>
                </c:pt>
                <c:pt idx="311">
                  <c:v>29.275744953584624</c:v>
                </c:pt>
                <c:pt idx="312">
                  <c:v>28.987598886397198</c:v>
                </c:pt>
                <c:pt idx="313">
                  <c:v>28.703737221610115</c:v>
                </c:pt>
                <c:pt idx="314">
                  <c:v>28.424459206190253</c:v>
                </c:pt>
                <c:pt idx="315">
                  <c:v>28.150063980631717</c:v>
                </c:pt>
                <c:pt idx="316">
                  <c:v>27.879009967384327</c:v>
                </c:pt>
                <c:pt idx="317">
                  <c:v>27.609958101038366</c:v>
                </c:pt>
                <c:pt idx="318">
                  <c:v>27.343426793024111</c:v>
                </c:pt>
                <c:pt idx="319">
                  <c:v>27.079913987216386</c:v>
                </c:pt>
                <c:pt idx="320">
                  <c:v>26.819917566527888</c:v>
                </c:pt>
                <c:pt idx="321">
                  <c:v>26.563935372381554</c:v>
                </c:pt>
                <c:pt idx="322">
                  <c:v>26.312465207044475</c:v>
                </c:pt>
                <c:pt idx="323">
                  <c:v>26.065978403304811</c:v>
                </c:pt>
                <c:pt idx="324">
                  <c:v>25.824980074417503</c:v>
                </c:pt>
                <c:pt idx="325">
                  <c:v>25.589968450958384</c:v>
                </c:pt>
                <c:pt idx="326">
                  <c:v>25.361442002477162</c:v>
                </c:pt>
                <c:pt idx="327">
                  <c:v>25.139898971879092</c:v>
                </c:pt>
                <c:pt idx="328">
                  <c:v>24.925837331382208</c:v>
                </c:pt>
                <c:pt idx="329">
                  <c:v>24.719755018462145</c:v>
                </c:pt>
                <c:pt idx="330">
                  <c:v>24.519593097098017</c:v>
                </c:pt>
                <c:pt idx="331">
                  <c:v>24.323281378053036</c:v>
                </c:pt>
                <c:pt idx="332">
                  <c:v>24.131361158564221</c:v>
                </c:pt>
                <c:pt idx="333">
                  <c:v>23.944434643199163</c:v>
                </c:pt>
                <c:pt idx="334">
                  <c:v>23.763103701023955</c:v>
                </c:pt>
                <c:pt idx="335">
                  <c:v>23.587969864195212</c:v>
                </c:pt>
                <c:pt idx="336">
                  <c:v>23.419634324814847</c:v>
                </c:pt>
                <c:pt idx="337">
                  <c:v>23.258724304883849</c:v>
                </c:pt>
                <c:pt idx="338">
                  <c:v>23.105863593070254</c:v>
                </c:pt>
                <c:pt idx="339">
                  <c:v>22.96165157625817</c:v>
                </c:pt>
                <c:pt idx="340">
                  <c:v>22.826687395561652</c:v>
                </c:pt>
                <c:pt idx="341">
                  <c:v>22.701569930176149</c:v>
                </c:pt>
                <c:pt idx="342">
                  <c:v>22.586897793061645</c:v>
                </c:pt>
                <c:pt idx="343">
                  <c:v>22.483269343176289</c:v>
                </c:pt>
                <c:pt idx="344">
                  <c:v>22.388749786365345</c:v>
                </c:pt>
                <c:pt idx="345">
                  <c:v>22.301321749504595</c:v>
                </c:pt>
                <c:pt idx="346">
                  <c:v>22.221593800102521</c:v>
                </c:pt>
                <c:pt idx="347">
                  <c:v>22.150038572863167</c:v>
                </c:pt>
                <c:pt idx="348">
                  <c:v>22.087128690435357</c:v>
                </c:pt>
                <c:pt idx="349">
                  <c:v>22.033336751133444</c:v>
                </c:pt>
                <c:pt idx="350">
                  <c:v>21.989135295486165</c:v>
                </c:pt>
                <c:pt idx="351">
                  <c:v>21.955057375551956</c:v>
                </c:pt>
                <c:pt idx="352">
                  <c:v>21.931550061821248</c:v>
                </c:pt>
                <c:pt idx="353">
                  <c:v>21.919085497919767</c:v>
                </c:pt>
                <c:pt idx="354">
                  <c:v>21.918135758169683</c:v>
                </c:pt>
                <c:pt idx="355">
                  <c:v>21.929172836897443</c:v>
                </c:pt>
                <c:pt idx="356">
                  <c:v>21.952669063258455</c:v>
                </c:pt>
                <c:pt idx="357">
                  <c:v>21.989095835695785</c:v>
                </c:pt>
                <c:pt idx="358">
                  <c:v>22.038830524664913</c:v>
                </c:pt>
                <c:pt idx="359">
                  <c:v>22.101621325987036</c:v>
                </c:pt>
                <c:pt idx="360">
                  <c:v>22.177021251393843</c:v>
                </c:pt>
                <c:pt idx="361">
                  <c:v>22.264499053817026</c:v>
                </c:pt>
                <c:pt idx="362">
                  <c:v>22.363583543140155</c:v>
                </c:pt>
                <c:pt idx="363">
                  <c:v>22.47380368050969</c:v>
                </c:pt>
                <c:pt idx="364">
                  <c:v>22.594688588526765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22.719853076325673</c:v>
                </c:pt>
                <c:pt idx="1">
                  <c:v>15.66813231424981</c:v>
                </c:pt>
                <c:pt idx="2">
                  <c:v>16.916481493837537</c:v>
                </c:pt>
                <c:pt idx="3">
                  <c:v>17.974467826159753</c:v>
                </c:pt>
                <c:pt idx="4">
                  <c:v>14.213071716493827</c:v>
                </c:pt>
                <c:pt idx="5">
                  <c:v>20.394137959750491</c:v>
                </c:pt>
                <c:pt idx="6">
                  <c:v>9.9998376571860188</c:v>
                </c:pt>
                <c:pt idx="7">
                  <c:v>7.1161307438151127</c:v>
                </c:pt>
                <c:pt idx="8">
                  <c:v>2.1243101732683995</c:v>
                </c:pt>
                <c:pt idx="9">
                  <c:v>1.7419322537406297</c:v>
                </c:pt>
                <c:pt idx="10">
                  <c:v>24.416497568705807</c:v>
                </c:pt>
                <c:pt idx="11">
                  <c:v>21.222996826873899</c:v>
                </c:pt>
                <c:pt idx="12">
                  <c:v>5.4399623129982748</c:v>
                </c:pt>
                <c:pt idx="13">
                  <c:v>25.813759483864999</c:v>
                </c:pt>
                <c:pt idx="14">
                  <c:v>26.115096812351808</c:v>
                </c:pt>
                <c:pt idx="15">
                  <c:v>25.548211373956779</c:v>
                </c:pt>
                <c:pt idx="16">
                  <c:v>11.796646909448764</c:v>
                </c:pt>
                <c:pt idx="17">
                  <c:v>3.747328911426524</c:v>
                </c:pt>
                <c:pt idx="18">
                  <c:v>10.224023859387669</c:v>
                </c:pt>
                <c:pt idx="19">
                  <c:v>6.4023978836270237</c:v>
                </c:pt>
                <c:pt idx="20">
                  <c:v>20.411684834849815</c:v>
                </c:pt>
                <c:pt idx="21">
                  <c:v>27.245168333379734</c:v>
                </c:pt>
                <c:pt idx="22">
                  <c:v>27.364532702004499</c:v>
                </c:pt>
                <c:pt idx="23">
                  <c:v>27.893741864962838</c:v>
                </c:pt>
                <c:pt idx="24">
                  <c:v>26.970641371998362</c:v>
                </c:pt>
                <c:pt idx="25">
                  <c:v>27.625433598506149</c:v>
                </c:pt>
                <c:pt idx="26">
                  <c:v>26.396383610280981</c:v>
                </c:pt>
                <c:pt idx="27">
                  <c:v>4.1712946678020071</c:v>
                </c:pt>
                <c:pt idx="28">
                  <c:v>8.8036441563904155</c:v>
                </c:pt>
                <c:pt idx="29">
                  <c:v>4.5462208522560639</c:v>
                </c:pt>
                <c:pt idx="30">
                  <c:v>7.5382486111115412</c:v>
                </c:pt>
                <c:pt idx="31">
                  <c:v>12.508695323437264</c:v>
                </c:pt>
                <c:pt idx="32">
                  <c:v>5.2803040565436463</c:v>
                </c:pt>
                <c:pt idx="33">
                  <c:v>10.362456706849111</c:v>
                </c:pt>
                <c:pt idx="34">
                  <c:v>10.205896978467491</c:v>
                </c:pt>
                <c:pt idx="35">
                  <c:v>8.9676224229314538</c:v>
                </c:pt>
                <c:pt idx="36">
                  <c:v>20.891151554044349</c:v>
                </c:pt>
                <c:pt idx="37">
                  <c:v>8.8040611297758478</c:v>
                </c:pt>
                <c:pt idx="38">
                  <c:v>32.649564864321569</c:v>
                </c:pt>
                <c:pt idx="39">
                  <c:v>32.927181230255179</c:v>
                </c:pt>
                <c:pt idx="40">
                  <c:v>30.705010187506641</c:v>
                </c:pt>
                <c:pt idx="41">
                  <c:v>17.00839892651614</c:v>
                </c:pt>
                <c:pt idx="42">
                  <c:v>26.061964431694413</c:v>
                </c:pt>
                <c:pt idx="43">
                  <c:v>31.88428755209565</c:v>
                </c:pt>
                <c:pt idx="44">
                  <c:v>14.968167330834062</c:v>
                </c:pt>
                <c:pt idx="45">
                  <c:v>18.052346602567567</c:v>
                </c:pt>
                <c:pt idx="46">
                  <c:v>8.8790699475285493</c:v>
                </c:pt>
                <c:pt idx="47">
                  <c:v>11.061772322468975</c:v>
                </c:pt>
                <c:pt idx="48">
                  <c:v>28.555814018098374</c:v>
                </c:pt>
                <c:pt idx="49">
                  <c:v>19.374888446806466</c:v>
                </c:pt>
                <c:pt idx="50">
                  <c:v>19.256726680385935</c:v>
                </c:pt>
                <c:pt idx="51">
                  <c:v>21.319264954738571</c:v>
                </c:pt>
                <c:pt idx="52">
                  <c:v>32.577297341638626</c:v>
                </c:pt>
                <c:pt idx="53">
                  <c:v>34.230872690321128</c:v>
                </c:pt>
                <c:pt idx="54">
                  <c:v>21.307041336636285</c:v>
                </c:pt>
                <c:pt idx="55">
                  <c:v>30.510529566895485</c:v>
                </c:pt>
                <c:pt idx="56">
                  <c:v>38.666911014367507</c:v>
                </c:pt>
                <c:pt idx="57">
                  <c:v>27.638395170671313</c:v>
                </c:pt>
                <c:pt idx="58">
                  <c:v>33.364954756603581</c:v>
                </c:pt>
                <c:pt idx="59">
                  <c:v>38.70951369116402</c:v>
                </c:pt>
                <c:pt idx="60">
                  <c:v>11.278614971356003</c:v>
                </c:pt>
                <c:pt idx="61">
                  <c:v>34.606039869024535</c:v>
                </c:pt>
                <c:pt idx="62">
                  <c:v>3.7185584165611045</c:v>
                </c:pt>
                <c:pt idx="63">
                  <c:v>12.803620924009111</c:v>
                </c:pt>
                <c:pt idx="64">
                  <c:v>15.435827429890322</c:v>
                </c:pt>
                <c:pt idx="65">
                  <c:v>38.022467798877656</c:v>
                </c:pt>
                <c:pt idx="66">
                  <c:v>30.986983647232371</c:v>
                </c:pt>
                <c:pt idx="67">
                  <c:v>30.210312463871762</c:v>
                </c:pt>
                <c:pt idx="68">
                  <c:v>24.048473633902557</c:v>
                </c:pt>
                <c:pt idx="69">
                  <c:v>14.91415588085092</c:v>
                </c:pt>
                <c:pt idx="70">
                  <c:v>15.522498489921016</c:v>
                </c:pt>
                <c:pt idx="71">
                  <c:v>8.7039578048261141</c:v>
                </c:pt>
                <c:pt idx="72">
                  <c:v>14.023882385323981</c:v>
                </c:pt>
                <c:pt idx="73">
                  <c:v>13.348283363656297</c:v>
                </c:pt>
                <c:pt idx="74">
                  <c:v>13.321609187395877</c:v>
                </c:pt>
                <c:pt idx="75">
                  <c:v>11.187933490393348</c:v>
                </c:pt>
                <c:pt idx="76">
                  <c:v>14.463257388463502</c:v>
                </c:pt>
                <c:pt idx="77">
                  <c:v>27.63275950466447</c:v>
                </c:pt>
                <c:pt idx="78">
                  <c:v>30.682682445500262</c:v>
                </c:pt>
                <c:pt idx="79">
                  <c:v>43.433033863386072</c:v>
                </c:pt>
                <c:pt idx="80">
                  <c:v>41.235248053537354</c:v>
                </c:pt>
                <c:pt idx="81">
                  <c:v>47.000842573704823</c:v>
                </c:pt>
                <c:pt idx="82">
                  <c:v>46.228594835057102</c:v>
                </c:pt>
                <c:pt idx="83">
                  <c:v>41.139237483633806</c:v>
                </c:pt>
                <c:pt idx="84">
                  <c:v>45.539835653880459</c:v>
                </c:pt>
                <c:pt idx="85">
                  <c:v>44.027643220931083</c:v>
                </c:pt>
                <c:pt idx="86">
                  <c:v>14.177420792709484</c:v>
                </c:pt>
                <c:pt idx="87">
                  <c:v>27.210511080643823</c:v>
                </c:pt>
                <c:pt idx="88">
                  <c:v>7.6295092661027484</c:v>
                </c:pt>
                <c:pt idx="89">
                  <c:v>27.175477772191829</c:v>
                </c:pt>
                <c:pt idx="90">
                  <c:v>31.822652062864666</c:v>
                </c:pt>
                <c:pt idx="91">
                  <c:v>19.865897662937048</c:v>
                </c:pt>
                <c:pt idx="92">
                  <c:v>22.101085856511947</c:v>
                </c:pt>
                <c:pt idx="93">
                  <c:v>44.489659959922776</c:v>
                </c:pt>
                <c:pt idx="94">
                  <c:v>51.051798018680572</c:v>
                </c:pt>
                <c:pt idx="95">
                  <c:v>11.050493067077621</c:v>
                </c:pt>
                <c:pt idx="96">
                  <c:v>37.095718094004056</c:v>
                </c:pt>
                <c:pt idx="97">
                  <c:v>30.137686939680549</c:v>
                </c:pt>
                <c:pt idx="98">
                  <c:v>35.357409366949284</c:v>
                </c:pt>
                <c:pt idx="99">
                  <c:v>51.701687813502353</c:v>
                </c:pt>
                <c:pt idx="100">
                  <c:v>42.850767377547982</c:v>
                </c:pt>
                <c:pt idx="101">
                  <c:v>36.597953155726117</c:v>
                </c:pt>
                <c:pt idx="102">
                  <c:v>7.8209945305676074</c:v>
                </c:pt>
                <c:pt idx="103">
                  <c:v>39.585566376839687</c:v>
                </c:pt>
                <c:pt idx="104">
                  <c:v>43.196086250419427</c:v>
                </c:pt>
                <c:pt idx="105">
                  <c:v>44.818745711573989</c:v>
                </c:pt>
                <c:pt idx="106">
                  <c:v>52.604521928143171</c:v>
                </c:pt>
                <c:pt idx="107">
                  <c:v>38.914569975232844</c:v>
                </c:pt>
                <c:pt idx="108">
                  <c:v>9.0964728129586128</c:v>
                </c:pt>
                <c:pt idx="109">
                  <c:v>9.4905256869606056</c:v>
                </c:pt>
                <c:pt idx="110">
                  <c:v>9.1354354754216605</c:v>
                </c:pt>
                <c:pt idx="111">
                  <c:v>26.551803234652446</c:v>
                </c:pt>
                <c:pt idx="112">
                  <c:v>8.8428715097589947</c:v>
                </c:pt>
                <c:pt idx="113">
                  <c:v>30.556322777790122</c:v>
                </c:pt>
                <c:pt idx="114">
                  <c:v>46.245250550959568</c:v>
                </c:pt>
                <c:pt idx="115">
                  <c:v>53.021171118707613</c:v>
                </c:pt>
                <c:pt idx="116">
                  <c:v>38.488500308410281</c:v>
                </c:pt>
                <c:pt idx="117">
                  <c:v>23.19104173281481</c:v>
                </c:pt>
                <c:pt idx="118">
                  <c:v>42.414001637549404</c:v>
                </c:pt>
                <c:pt idx="119">
                  <c:v>47.503521294613087</c:v>
                </c:pt>
                <c:pt idx="120">
                  <c:v>48.063905502399216</c:v>
                </c:pt>
                <c:pt idx="121">
                  <c:v>28.496519604191803</c:v>
                </c:pt>
                <c:pt idx="122">
                  <c:v>39.774142408085524</c:v>
                </c:pt>
                <c:pt idx="123">
                  <c:v>21.537891177763782</c:v>
                </c:pt>
                <c:pt idx="124">
                  <c:v>44.180928892199269</c:v>
                </c:pt>
                <c:pt idx="125">
                  <c:v>38.770144211064093</c:v>
                </c:pt>
                <c:pt idx="126">
                  <c:v>53.040284692267818</c:v>
                </c:pt>
                <c:pt idx="127">
                  <c:v>48.908740841290467</c:v>
                </c:pt>
                <c:pt idx="128">
                  <c:v>56.161763122346137</c:v>
                </c:pt>
                <c:pt idx="129">
                  <c:v>52.460841014345405</c:v>
                </c:pt>
                <c:pt idx="130">
                  <c:v>56.569329859153918</c:v>
                </c:pt>
                <c:pt idx="131">
                  <c:v>42.175440266792918</c:v>
                </c:pt>
                <c:pt idx="132">
                  <c:v>44.175476689580016</c:v>
                </c:pt>
                <c:pt idx="133">
                  <c:v>50.338325191358891</c:v>
                </c:pt>
                <c:pt idx="134">
                  <c:v>52.972542425037304</c:v>
                </c:pt>
                <c:pt idx="135">
                  <c:v>51.386981785935305</c:v>
                </c:pt>
                <c:pt idx="136">
                  <c:v>54.805043409540552</c:v>
                </c:pt>
                <c:pt idx="137">
                  <c:v>53.007101059780069</c:v>
                </c:pt>
                <c:pt idx="138">
                  <c:v>55.722300548083354</c:v>
                </c:pt>
                <c:pt idx="139">
                  <c:v>49.722132304295577</c:v>
                </c:pt>
                <c:pt idx="140">
                  <c:v>49.818289736362658</c:v>
                </c:pt>
                <c:pt idx="141">
                  <c:v>37.841762582729238</c:v>
                </c:pt>
                <c:pt idx="142">
                  <c:v>19.979717596561109</c:v>
                </c:pt>
                <c:pt idx="143">
                  <c:v>16.516902064100471</c:v>
                </c:pt>
                <c:pt idx="144">
                  <c:v>41.547745959170157</c:v>
                </c:pt>
                <c:pt idx="145">
                  <c:v>25.255696450065756</c:v>
                </c:pt>
                <c:pt idx="146">
                  <c:v>46.498187428582504</c:v>
                </c:pt>
                <c:pt idx="147">
                  <c:v>55.92692804056918</c:v>
                </c:pt>
                <c:pt idx="148">
                  <c:v>60.470142776431686</c:v>
                </c:pt>
                <c:pt idx="149">
                  <c:v>51.30808835390166</c:v>
                </c:pt>
                <c:pt idx="150">
                  <c:v>55.619597159550672</c:v>
                </c:pt>
                <c:pt idx="151">
                  <c:v>56.675163263920638</c:v>
                </c:pt>
                <c:pt idx="152">
                  <c:v>45.200575765121854</c:v>
                </c:pt>
                <c:pt idx="153">
                  <c:v>55.286210936881652</c:v>
                </c:pt>
                <c:pt idx="154">
                  <c:v>26.356202516306528</c:v>
                </c:pt>
                <c:pt idx="155">
                  <c:v>36.317311270169753</c:v>
                </c:pt>
                <c:pt idx="156">
                  <c:v>47.371873461506212</c:v>
                </c:pt>
                <c:pt idx="157">
                  <c:v>28.735823790225638</c:v>
                </c:pt>
                <c:pt idx="158">
                  <c:v>21.423079737446137</c:v>
                </c:pt>
                <c:pt idx="159">
                  <c:v>46.673852661708487</c:v>
                </c:pt>
                <c:pt idx="160">
                  <c:v>58.226024872589889</c:v>
                </c:pt>
                <c:pt idx="161">
                  <c:v>56.267173413603246</c:v>
                </c:pt>
                <c:pt idx="162">
                  <c:v>43.676784264748854</c:v>
                </c:pt>
                <c:pt idx="163">
                  <c:v>54.926604845197559</c:v>
                </c:pt>
                <c:pt idx="164">
                  <c:v>48.827231368992059</c:v>
                </c:pt>
                <c:pt idx="165">
                  <c:v>55.043490612443179</c:v>
                </c:pt>
                <c:pt idx="166">
                  <c:v>52.866625739536936</c:v>
                </c:pt>
                <c:pt idx="167">
                  <c:v>53.0080929652012</c:v>
                </c:pt>
                <c:pt idx="168">
                  <c:v>55.426337237620828</c:v>
                </c:pt>
                <c:pt idx="169">
                  <c:v>56.773246726619689</c:v>
                </c:pt>
                <c:pt idx="170">
                  <c:v>32.026879052044428</c:v>
                </c:pt>
                <c:pt idx="171">
                  <c:v>23.04809937344805</c:v>
                </c:pt>
                <c:pt idx="172">
                  <c:v>44.640458597053325</c:v>
                </c:pt>
                <c:pt idx="173">
                  <c:v>42.106716003460491</c:v>
                </c:pt>
                <c:pt idx="174">
                  <c:v>39.715847914390778</c:v>
                </c:pt>
                <c:pt idx="175">
                  <c:v>34.46544293609962</c:v>
                </c:pt>
                <c:pt idx="176">
                  <c:v>12.236339344181077</c:v>
                </c:pt>
                <c:pt idx="177">
                  <c:v>14.868024493585356</c:v>
                </c:pt>
                <c:pt idx="178">
                  <c:v>58.982380206058856</c:v>
                </c:pt>
                <c:pt idx="179">
                  <c:v>57.290200593554303</c:v>
                </c:pt>
                <c:pt idx="180">
                  <c:v>14.128472569005938</c:v>
                </c:pt>
                <c:pt idx="181">
                  <c:v>50.959617818818096</c:v>
                </c:pt>
                <c:pt idx="182">
                  <c:v>56.292112459372618</c:v>
                </c:pt>
                <c:pt idx="183">
                  <c:v>46.371121481940392</c:v>
                </c:pt>
                <c:pt idx="184">
                  <c:v>44.862460994663479</c:v>
                </c:pt>
                <c:pt idx="185">
                  <c:v>56.236928649948069</c:v>
                </c:pt>
                <c:pt idx="186">
                  <c:v>47.80131128672501</c:v>
                </c:pt>
                <c:pt idx="187">
                  <c:v>55.677436736973497</c:v>
                </c:pt>
                <c:pt idx="188">
                  <c:v>58.075113138589586</c:v>
                </c:pt>
                <c:pt idx="189">
                  <c:v>57.39537200427943</c:v>
                </c:pt>
                <c:pt idx="190">
                  <c:v>56.848811564089189</c:v>
                </c:pt>
                <c:pt idx="191">
                  <c:v>55.354644553477712</c:v>
                </c:pt>
                <c:pt idx="192">
                  <c:v>55.114010943151968</c:v>
                </c:pt>
                <c:pt idx="193">
                  <c:v>54.832853438840637</c:v>
                </c:pt>
                <c:pt idx="194">
                  <c:v>54.25835060954401</c:v>
                </c:pt>
                <c:pt idx="195">
                  <c:v>52.467037181874467</c:v>
                </c:pt>
                <c:pt idx="196">
                  <c:v>53.992309780229093</c:v>
                </c:pt>
                <c:pt idx="197">
                  <c:v>53.516254139837031</c:v>
                </c:pt>
                <c:pt idx="198">
                  <c:v>54.479905583311982</c:v>
                </c:pt>
                <c:pt idx="199">
                  <c:v>45.019295188276679</c:v>
                </c:pt>
                <c:pt idx="200">
                  <c:v>44.579009783169482</c:v>
                </c:pt>
                <c:pt idx="201">
                  <c:v>52.716946629422985</c:v>
                </c:pt>
                <c:pt idx="202">
                  <c:v>42.564674519517027</c:v>
                </c:pt>
                <c:pt idx="203">
                  <c:v>48.910676984755582</c:v>
                </c:pt>
                <c:pt idx="204">
                  <c:v>52.947572166741978</c:v>
                </c:pt>
                <c:pt idx="205">
                  <c:v>26.981650577246821</c:v>
                </c:pt>
                <c:pt idx="206">
                  <c:v>57.216618636865597</c:v>
                </c:pt>
                <c:pt idx="207">
                  <c:v>57.254869103110096</c:v>
                </c:pt>
                <c:pt idx="208">
                  <c:v>44.639576727772507</c:v>
                </c:pt>
                <c:pt idx="209">
                  <c:v>31.882598766529579</c:v>
                </c:pt>
                <c:pt idx="210">
                  <c:v>49.30999729951246</c:v>
                </c:pt>
                <c:pt idx="211">
                  <c:v>54.74963806585329</c:v>
                </c:pt>
                <c:pt idx="212">
                  <c:v>54.377838395146355</c:v>
                </c:pt>
                <c:pt idx="213">
                  <c:v>54.365939877349163</c:v>
                </c:pt>
                <c:pt idx="214">
                  <c:v>51.338879362347576</c:v>
                </c:pt>
                <c:pt idx="215">
                  <c:v>50.577320584476396</c:v>
                </c:pt>
                <c:pt idx="216">
                  <c:v>45.930354611859968</c:v>
                </c:pt>
                <c:pt idx="217">
                  <c:v>50.433958461366103</c:v>
                </c:pt>
                <c:pt idx="218">
                  <c:v>53.071532432748057</c:v>
                </c:pt>
                <c:pt idx="219">
                  <c:v>53.517966295032593</c:v>
                </c:pt>
                <c:pt idx="220">
                  <c:v>51.508934644475197</c:v>
                </c:pt>
                <c:pt idx="221">
                  <c:v>48.674049824848581</c:v>
                </c:pt>
                <c:pt idx="222">
                  <c:v>47.066443237710139</c:v>
                </c:pt>
                <c:pt idx="223">
                  <c:v>48.002094909440856</c:v>
                </c:pt>
                <c:pt idx="224">
                  <c:v>36.125152331462324</c:v>
                </c:pt>
                <c:pt idx="225">
                  <c:v>34.289957098426903</c:v>
                </c:pt>
                <c:pt idx="226">
                  <c:v>38.843663389963638</c:v>
                </c:pt>
                <c:pt idx="227">
                  <c:v>35.926952124719726</c:v>
                </c:pt>
                <c:pt idx="228">
                  <c:v>28.824047227248531</c:v>
                </c:pt>
                <c:pt idx="229">
                  <c:v>36.570220043820818</c:v>
                </c:pt>
                <c:pt idx="230">
                  <c:v>41.656442742822172</c:v>
                </c:pt>
                <c:pt idx="231">
                  <c:v>50.024825370731385</c:v>
                </c:pt>
                <c:pt idx="232">
                  <c:v>33.79133891939091</c:v>
                </c:pt>
                <c:pt idx="233">
                  <c:v>26.930737237734181</c:v>
                </c:pt>
                <c:pt idx="234">
                  <c:v>48.839703460180026</c:v>
                </c:pt>
                <c:pt idx="235">
                  <c:v>46.560805839573916</c:v>
                </c:pt>
                <c:pt idx="236">
                  <c:v>32.643918217559282</c:v>
                </c:pt>
                <c:pt idx="237">
                  <c:v>43.35083844488279</c:v>
                </c:pt>
                <c:pt idx="238">
                  <c:v>49.299502868528755</c:v>
                </c:pt>
                <c:pt idx="239">
                  <c:v>48.226608383621922</c:v>
                </c:pt>
                <c:pt idx="240">
                  <c:v>32.999696468581917</c:v>
                </c:pt>
                <c:pt idx="241">
                  <c:v>47.907145291916621</c:v>
                </c:pt>
                <c:pt idx="242">
                  <c:v>24.745132852975129</c:v>
                </c:pt>
                <c:pt idx="243">
                  <c:v>40.505418427743969</c:v>
                </c:pt>
                <c:pt idx="244">
                  <c:v>38.983000413265344</c:v>
                </c:pt>
                <c:pt idx="245">
                  <c:v>38.059706039580249</c:v>
                </c:pt>
                <c:pt idx="246">
                  <c:v>45.998683935050032</c:v>
                </c:pt>
                <c:pt idx="247">
                  <c:v>40.206279304779763</c:v>
                </c:pt>
                <c:pt idx="248">
                  <c:v>45.49895666388548</c:v>
                </c:pt>
                <c:pt idx="249">
                  <c:v>36.219938721361316</c:v>
                </c:pt>
                <c:pt idx="250">
                  <c:v>35.201190430979771</c:v>
                </c:pt>
                <c:pt idx="251">
                  <c:v>23.575868042345373</c:v>
                </c:pt>
                <c:pt idx="252">
                  <c:v>46.634706168625463</c:v>
                </c:pt>
                <c:pt idx="253">
                  <c:v>46.060779585309533</c:v>
                </c:pt>
                <c:pt idx="254">
                  <c:v>33.43306359129398</c:v>
                </c:pt>
                <c:pt idx="255">
                  <c:v>14.191781469384351</c:v>
                </c:pt>
                <c:pt idx="256">
                  <c:v>35.587643758766269</c:v>
                </c:pt>
                <c:pt idx="257">
                  <c:v>40.758047372182943</c:v>
                </c:pt>
                <c:pt idx="258">
                  <c:v>32.565302718765537</c:v>
                </c:pt>
                <c:pt idx="259">
                  <c:v>45.506669811780824</c:v>
                </c:pt>
                <c:pt idx="260">
                  <c:v>45.499701196745661</c:v>
                </c:pt>
                <c:pt idx="261">
                  <c:v>44.882527887992488</c:v>
                </c:pt>
                <c:pt idx="262">
                  <c:v>46.59151976274029</c:v>
                </c:pt>
                <c:pt idx="263">
                  <c:v>45.39260852693603</c:v>
                </c:pt>
                <c:pt idx="264">
                  <c:v>43.925481083340308</c:v>
                </c:pt>
                <c:pt idx="265">
                  <c:v>27.879755893282439</c:v>
                </c:pt>
                <c:pt idx="266">
                  <c:v>16.888555914232235</c:v>
                </c:pt>
                <c:pt idx="267">
                  <c:v>35.566313170606968</c:v>
                </c:pt>
                <c:pt idx="268">
                  <c:v>32.565070338319792</c:v>
                </c:pt>
                <c:pt idx="269">
                  <c:v>17.268384967150904</c:v>
                </c:pt>
                <c:pt idx="270">
                  <c:v>19.572815208108175</c:v>
                </c:pt>
                <c:pt idx="271">
                  <c:v>23.517695853991704</c:v>
                </c:pt>
                <c:pt idx="272">
                  <c:v>27.908552887349423</c:v>
                </c:pt>
                <c:pt idx="273">
                  <c:v>36.467228881993059</c:v>
                </c:pt>
                <c:pt idx="274">
                  <c:v>38.886245233852939</c:v>
                </c:pt>
                <c:pt idx="275">
                  <c:v>37.540082672023225</c:v>
                </c:pt>
                <c:pt idx="276">
                  <c:v>41.353891017436396</c:v>
                </c:pt>
                <c:pt idx="277">
                  <c:v>42.162866216877887</c:v>
                </c:pt>
                <c:pt idx="278">
                  <c:v>11.647517920572435</c:v>
                </c:pt>
                <c:pt idx="279">
                  <c:v>29.258301025564666</c:v>
                </c:pt>
                <c:pt idx="280">
                  <c:v>16.886209336599631</c:v>
                </c:pt>
                <c:pt idx="281">
                  <c:v>38.557221640562084</c:v>
                </c:pt>
                <c:pt idx="282">
                  <c:v>30.955727011792309</c:v>
                </c:pt>
                <c:pt idx="283">
                  <c:v>22.516750931211455</c:v>
                </c:pt>
                <c:pt idx="284">
                  <c:v>27.94854688471743</c:v>
                </c:pt>
                <c:pt idx="285">
                  <c:v>23.402024071483179</c:v>
                </c:pt>
                <c:pt idx="286">
                  <c:v>18.191891208805949</c:v>
                </c:pt>
                <c:pt idx="287">
                  <c:v>37.382775884140948</c:v>
                </c:pt>
                <c:pt idx="288">
                  <c:v>32.996426867244907</c:v>
                </c:pt>
                <c:pt idx="289">
                  <c:v>19.589674555915099</c:v>
                </c:pt>
                <c:pt idx="290">
                  <c:v>34.557060986606764</c:v>
                </c:pt>
                <c:pt idx="291">
                  <c:v>16.063139879985204</c:v>
                </c:pt>
                <c:pt idx="292">
                  <c:v>6.7645031305612919</c:v>
                </c:pt>
                <c:pt idx="293">
                  <c:v>16.463456992455704</c:v>
                </c:pt>
                <c:pt idx="294">
                  <c:v>33.26351131983656</c:v>
                </c:pt>
                <c:pt idx="295">
                  <c:v>17.09653725682703</c:v>
                </c:pt>
                <c:pt idx="296">
                  <c:v>25.296227340064327</c:v>
                </c:pt>
                <c:pt idx="297">
                  <c:v>22.366754188325661</c:v>
                </c:pt>
                <c:pt idx="298">
                  <c:v>12.468935626124333</c:v>
                </c:pt>
                <c:pt idx="299">
                  <c:v>14.425409136004644</c:v>
                </c:pt>
                <c:pt idx="300">
                  <c:v>17.353756593115321</c:v>
                </c:pt>
                <c:pt idx="301">
                  <c:v>26.952521015503624</c:v>
                </c:pt>
                <c:pt idx="302">
                  <c:v>23.173204905619301</c:v>
                </c:pt>
                <c:pt idx="303">
                  <c:v>22.041644118850403</c:v>
                </c:pt>
                <c:pt idx="304">
                  <c:v>19.540118250583401</c:v>
                </c:pt>
                <c:pt idx="305">
                  <c:v>28.989337146315346</c:v>
                </c:pt>
                <c:pt idx="306">
                  <c:v>10.176432281069593</c:v>
                </c:pt>
                <c:pt idx="307">
                  <c:v>17.575739408591293</c:v>
                </c:pt>
                <c:pt idx="308">
                  <c:v>29.939904838647308</c:v>
                </c:pt>
                <c:pt idx="309">
                  <c:v>29.898326019673384</c:v>
                </c:pt>
                <c:pt idx="310">
                  <c:v>28.045970462440017</c:v>
                </c:pt>
                <c:pt idx="311">
                  <c:v>20.22563773792503</c:v>
                </c:pt>
                <c:pt idx="312">
                  <c:v>9.9628852587212364</c:v>
                </c:pt>
                <c:pt idx="313">
                  <c:v>20.116806363862722</c:v>
                </c:pt>
                <c:pt idx="314">
                  <c:v>27.519118616482135</c:v>
                </c:pt>
                <c:pt idx="315">
                  <c:v>27.100629252588632</c:v>
                </c:pt>
                <c:pt idx="316">
                  <c:v>26.064558745174402</c:v>
                </c:pt>
                <c:pt idx="317">
                  <c:v>9.6514225291943347</c:v>
                </c:pt>
                <c:pt idx="318">
                  <c:v>12.385027371561863</c:v>
                </c:pt>
                <c:pt idx="319">
                  <c:v>26.666065571431542</c:v>
                </c:pt>
                <c:pt idx="320">
                  <c:v>13.651792214899482</c:v>
                </c:pt>
                <c:pt idx="321">
                  <c:v>15.627714790083141</c:v>
                </c:pt>
                <c:pt idx="322">
                  <c:v>7.142171717657896</c:v>
                </c:pt>
                <c:pt idx="323">
                  <c:v>15.717024315520929</c:v>
                </c:pt>
                <c:pt idx="324">
                  <c:v>3.1569768509611387</c:v>
                </c:pt>
                <c:pt idx="325">
                  <c:v>7.8103818597068733</c:v>
                </c:pt>
                <c:pt idx="326">
                  <c:v>13.099000969778352</c:v>
                </c:pt>
                <c:pt idx="327">
                  <c:v>13.746846972631332</c:v>
                </c:pt>
                <c:pt idx="328">
                  <c:v>4.7637612423163587</c:v>
                </c:pt>
                <c:pt idx="329">
                  <c:v>10.946761259348238</c:v>
                </c:pt>
                <c:pt idx="330">
                  <c:v>14.410625360514636</c:v>
                </c:pt>
                <c:pt idx="331">
                  <c:v>10.455066418000667</c:v>
                </c:pt>
                <c:pt idx="332">
                  <c:v>15.227137643520738</c:v>
                </c:pt>
                <c:pt idx="333">
                  <c:v>3.9792161592249657</c:v>
                </c:pt>
                <c:pt idx="334">
                  <c:v>3.7666500118349187</c:v>
                </c:pt>
                <c:pt idx="335">
                  <c:v>5.6588880802633676</c:v>
                </c:pt>
                <c:pt idx="336">
                  <c:v>9.4840896625512272</c:v>
                </c:pt>
                <c:pt idx="337">
                  <c:v>17.392924281816278</c:v>
                </c:pt>
                <c:pt idx="338">
                  <c:v>23.058071996835562</c:v>
                </c:pt>
                <c:pt idx="339">
                  <c:v>11.335110284953418</c:v>
                </c:pt>
                <c:pt idx="340">
                  <c:v>20.425582491250562</c:v>
                </c:pt>
                <c:pt idx="341">
                  <c:v>4.1022695074270326</c:v>
                </c:pt>
                <c:pt idx="342">
                  <c:v>5.0066181250226167</c:v>
                </c:pt>
                <c:pt idx="343">
                  <c:v>12.119872746993259</c:v>
                </c:pt>
                <c:pt idx="344">
                  <c:v>17.341723623737529</c:v>
                </c:pt>
                <c:pt idx="345">
                  <c:v>5.3000164058488837</c:v>
                </c:pt>
                <c:pt idx="346">
                  <c:v>5.3658686743296071</c:v>
                </c:pt>
                <c:pt idx="347">
                  <c:v>17.13364027217558</c:v>
                </c:pt>
                <c:pt idx="348">
                  <c:v>5.8553615527919414</c:v>
                </c:pt>
                <c:pt idx="349">
                  <c:v>5.1715669430255122</c:v>
                </c:pt>
                <c:pt idx="350">
                  <c:v>3.5060527197393743</c:v>
                </c:pt>
                <c:pt idx="351">
                  <c:v>20.913288967202554</c:v>
                </c:pt>
                <c:pt idx="352">
                  <c:v>17.79586848392055</c:v>
                </c:pt>
                <c:pt idx="353">
                  <c:v>4.5359488277054405</c:v>
                </c:pt>
                <c:pt idx="354">
                  <c:v>20.767340481221829</c:v>
                </c:pt>
                <c:pt idx="355">
                  <c:v>17.558044244421666</c:v>
                </c:pt>
                <c:pt idx="356">
                  <c:v>17.793634294861313</c:v>
                </c:pt>
                <c:pt idx="357">
                  <c:v>21.147011072856603</c:v>
                </c:pt>
                <c:pt idx="358">
                  <c:v>11.946907225435837</c:v>
                </c:pt>
                <c:pt idx="359">
                  <c:v>20.653581048772441</c:v>
                </c:pt>
                <c:pt idx="360">
                  <c:v>6.9980578117055297</c:v>
                </c:pt>
                <c:pt idx="361">
                  <c:v>21.724300718686923</c:v>
                </c:pt>
                <c:pt idx="362">
                  <c:v>10.317756448967215</c:v>
                </c:pt>
                <c:pt idx="363">
                  <c:v>13.97866003942625</c:v>
                </c:pt>
                <c:pt idx="364">
                  <c:v>11.564746259557459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22.719853076325673</c:v>
                </c:pt>
                <c:pt idx="1">
                  <c:v>15.66813231424981</c:v>
                </c:pt>
                <c:pt idx="2">
                  <c:v>16.916481493837537</c:v>
                </c:pt>
                <c:pt idx="3">
                  <c:v>17.974467826159753</c:v>
                </c:pt>
                <c:pt idx="4">
                  <c:v>14.213071716493827</c:v>
                </c:pt>
                <c:pt idx="5">
                  <c:v>20.394137959750491</c:v>
                </c:pt>
                <c:pt idx="6">
                  <c:v>9.9998376571860188</c:v>
                </c:pt>
                <c:pt idx="7">
                  <c:v>7.1161307438151127</c:v>
                </c:pt>
                <c:pt idx="8">
                  <c:v>2.1243101732683995</c:v>
                </c:pt>
                <c:pt idx="9">
                  <c:v>1.7419322537406297</c:v>
                </c:pt>
                <c:pt idx="10">
                  <c:v>24.416497568705807</c:v>
                </c:pt>
                <c:pt idx="11">
                  <c:v>21.222996826873899</c:v>
                </c:pt>
                <c:pt idx="12">
                  <c:v>5.4399623129982748</c:v>
                </c:pt>
                <c:pt idx="13">
                  <c:v>25.813759483864999</c:v>
                </c:pt>
                <c:pt idx="14">
                  <c:v>26.115096812351808</c:v>
                </c:pt>
                <c:pt idx="15">
                  <c:v>25.548211373956779</c:v>
                </c:pt>
                <c:pt idx="16">
                  <c:v>11.796646909448764</c:v>
                </c:pt>
                <c:pt idx="17">
                  <c:v>3.747328911426524</c:v>
                </c:pt>
                <c:pt idx="18">
                  <c:v>10.224023859387669</c:v>
                </c:pt>
                <c:pt idx="19">
                  <c:v>6.4023978836270237</c:v>
                </c:pt>
                <c:pt idx="20">
                  <c:v>20.411684834849815</c:v>
                </c:pt>
                <c:pt idx="21">
                  <c:v>27.245168333379734</c:v>
                </c:pt>
                <c:pt idx="22">
                  <c:v>27.364532702004499</c:v>
                </c:pt>
                <c:pt idx="23">
                  <c:v>27.893741864962838</c:v>
                </c:pt>
                <c:pt idx="24">
                  <c:v>26.970641371998362</c:v>
                </c:pt>
                <c:pt idx="25">
                  <c:v>27.625433598506149</c:v>
                </c:pt>
                <c:pt idx="26">
                  <c:v>26.396383610280981</c:v>
                </c:pt>
                <c:pt idx="27">
                  <c:v>4.1712946678020071</c:v>
                </c:pt>
                <c:pt idx="28">
                  <c:v>8.8036441563904155</c:v>
                </c:pt>
                <c:pt idx="29">
                  <c:v>4.5462208522560639</c:v>
                </c:pt>
                <c:pt idx="30">
                  <c:v>7.5382486111115412</c:v>
                </c:pt>
                <c:pt idx="31">
                  <c:v>12.508695323437264</c:v>
                </c:pt>
                <c:pt idx="32">
                  <c:v>5.2803040565436463</c:v>
                </c:pt>
                <c:pt idx="33">
                  <c:v>10.362456706849111</c:v>
                </c:pt>
                <c:pt idx="34">
                  <c:v>10.205896978467491</c:v>
                </c:pt>
                <c:pt idx="35">
                  <c:v>8.9676224229314538</c:v>
                </c:pt>
                <c:pt idx="36">
                  <c:v>20.891151554044349</c:v>
                </c:pt>
                <c:pt idx="37">
                  <c:v>8.8040611297758478</c:v>
                </c:pt>
                <c:pt idx="38">
                  <c:v>32.649564864321569</c:v>
                </c:pt>
                <c:pt idx="39">
                  <c:v>32.927181230255179</c:v>
                </c:pt>
                <c:pt idx="40">
                  <c:v>30.705010187506641</c:v>
                </c:pt>
                <c:pt idx="41">
                  <c:v>17.00839892651614</c:v>
                </c:pt>
                <c:pt idx="42">
                  <c:v>26.061964431694413</c:v>
                </c:pt>
                <c:pt idx="43">
                  <c:v>31.88428755209565</c:v>
                </c:pt>
                <c:pt idx="44">
                  <c:v>14.968167330834062</c:v>
                </c:pt>
                <c:pt idx="45">
                  <c:v>18.052346602567567</c:v>
                </c:pt>
                <c:pt idx="46">
                  <c:v>8.8790699475285493</c:v>
                </c:pt>
                <c:pt idx="47">
                  <c:v>11.061772322468975</c:v>
                </c:pt>
                <c:pt idx="48">
                  <c:v>28.555814018098374</c:v>
                </c:pt>
                <c:pt idx="49">
                  <c:v>19.374888446806466</c:v>
                </c:pt>
                <c:pt idx="50">
                  <c:v>19.256726680385935</c:v>
                </c:pt>
                <c:pt idx="51">
                  <c:v>21.319264954738571</c:v>
                </c:pt>
                <c:pt idx="52">
                  <c:v>32.577297341638626</c:v>
                </c:pt>
                <c:pt idx="53">
                  <c:v>34.230872690321128</c:v>
                </c:pt>
                <c:pt idx="54">
                  <c:v>21.307041336636285</c:v>
                </c:pt>
                <c:pt idx="55">
                  <c:v>30.510529566895485</c:v>
                </c:pt>
                <c:pt idx="56">
                  <c:v>38.666911014367507</c:v>
                </c:pt>
                <c:pt idx="57">
                  <c:v>27.638395170671313</c:v>
                </c:pt>
                <c:pt idx="58">
                  <c:v>33.364954756603581</c:v>
                </c:pt>
                <c:pt idx="59">
                  <c:v>38.70951369116402</c:v>
                </c:pt>
                <c:pt idx="60">
                  <c:v>11.278614971356003</c:v>
                </c:pt>
                <c:pt idx="61">
                  <c:v>34.606039869024535</c:v>
                </c:pt>
                <c:pt idx="62">
                  <c:v>3.7185584165611045</c:v>
                </c:pt>
                <c:pt idx="63">
                  <c:v>12.803620924009111</c:v>
                </c:pt>
                <c:pt idx="64">
                  <c:v>15.435827429890322</c:v>
                </c:pt>
                <c:pt idx="65">
                  <c:v>38.022467798877656</c:v>
                </c:pt>
                <c:pt idx="66">
                  <c:v>30.986983647232371</c:v>
                </c:pt>
                <c:pt idx="67">
                  <c:v>30.210312463871762</c:v>
                </c:pt>
                <c:pt idx="68">
                  <c:v>24.048473633902557</c:v>
                </c:pt>
                <c:pt idx="69">
                  <c:v>14.91415588085092</c:v>
                </c:pt>
                <c:pt idx="70">
                  <c:v>15.522498489921016</c:v>
                </c:pt>
                <c:pt idx="71">
                  <c:v>8.7039578048261141</c:v>
                </c:pt>
                <c:pt idx="72">
                  <c:v>14.023882385323981</c:v>
                </c:pt>
                <c:pt idx="73">
                  <c:v>13.348283363656297</c:v>
                </c:pt>
                <c:pt idx="74">
                  <c:v>13.321609187395877</c:v>
                </c:pt>
                <c:pt idx="75">
                  <c:v>11.187933490393348</c:v>
                </c:pt>
                <c:pt idx="76">
                  <c:v>14.463257388463502</c:v>
                </c:pt>
                <c:pt idx="77">
                  <c:v>27.63275950466447</c:v>
                </c:pt>
                <c:pt idx="78">
                  <c:v>30.682682445500262</c:v>
                </c:pt>
                <c:pt idx="79">
                  <c:v>43.433033863386072</c:v>
                </c:pt>
                <c:pt idx="80">
                  <c:v>41.235248053537354</c:v>
                </c:pt>
                <c:pt idx="81">
                  <c:v>47.000842573704823</c:v>
                </c:pt>
                <c:pt idx="82">
                  <c:v>46.228594835057102</c:v>
                </c:pt>
                <c:pt idx="83">
                  <c:v>41.139237483633806</c:v>
                </c:pt>
                <c:pt idx="84">
                  <c:v>45.539835653880459</c:v>
                </c:pt>
                <c:pt idx="85">
                  <c:v>44.027643220931083</c:v>
                </c:pt>
                <c:pt idx="86">
                  <c:v>14.177420792709484</c:v>
                </c:pt>
                <c:pt idx="87">
                  <c:v>27.210511080643823</c:v>
                </c:pt>
                <c:pt idx="88">
                  <c:v>7.6295092661027484</c:v>
                </c:pt>
                <c:pt idx="89">
                  <c:v>27.175477772191829</c:v>
                </c:pt>
                <c:pt idx="90">
                  <c:v>31.822652062864666</c:v>
                </c:pt>
                <c:pt idx="91">
                  <c:v>19.865897662937048</c:v>
                </c:pt>
                <c:pt idx="92">
                  <c:v>22.101085856511947</c:v>
                </c:pt>
                <c:pt idx="93">
                  <c:v>44.489659959922776</c:v>
                </c:pt>
                <c:pt idx="94">
                  <c:v>51.051798018680572</c:v>
                </c:pt>
                <c:pt idx="95">
                  <c:v>11.050493067077621</c:v>
                </c:pt>
                <c:pt idx="96">
                  <c:v>37.095718094004056</c:v>
                </c:pt>
                <c:pt idx="97">
                  <c:v>30.137686939680549</c:v>
                </c:pt>
                <c:pt idx="98">
                  <c:v>35.357409366949284</c:v>
                </c:pt>
                <c:pt idx="99">
                  <c:v>51.701687813502353</c:v>
                </c:pt>
                <c:pt idx="100">
                  <c:v>42.850767377547982</c:v>
                </c:pt>
                <c:pt idx="101">
                  <c:v>36.597953155726117</c:v>
                </c:pt>
                <c:pt idx="102">
                  <c:v>7.8209945305676074</c:v>
                </c:pt>
                <c:pt idx="103">
                  <c:v>39.585566376839687</c:v>
                </c:pt>
                <c:pt idx="104">
                  <c:v>43.196086250419427</c:v>
                </c:pt>
                <c:pt idx="105">
                  <c:v>44.818745711573989</c:v>
                </c:pt>
                <c:pt idx="106">
                  <c:v>52.604521928143171</c:v>
                </c:pt>
                <c:pt idx="107">
                  <c:v>38.914569975232844</c:v>
                </c:pt>
                <c:pt idx="108">
                  <c:v>9.0964728129586128</c:v>
                </c:pt>
                <c:pt idx="109">
                  <c:v>9.4905256869606056</c:v>
                </c:pt>
                <c:pt idx="110">
                  <c:v>9.1354354754216605</c:v>
                </c:pt>
                <c:pt idx="111">
                  <c:v>26.551803234652446</c:v>
                </c:pt>
                <c:pt idx="112">
                  <c:v>8.8428715097589947</c:v>
                </c:pt>
                <c:pt idx="113">
                  <c:v>30.556322777790122</c:v>
                </c:pt>
                <c:pt idx="114">
                  <c:v>46.245250550959568</c:v>
                </c:pt>
                <c:pt idx="115">
                  <c:v>53.021171118707613</c:v>
                </c:pt>
                <c:pt idx="116">
                  <c:v>38.488500308410281</c:v>
                </c:pt>
                <c:pt idx="117">
                  <c:v>23.19104173281481</c:v>
                </c:pt>
                <c:pt idx="118">
                  <c:v>42.414001637549404</c:v>
                </c:pt>
                <c:pt idx="119">
                  <c:v>47.503521294613087</c:v>
                </c:pt>
                <c:pt idx="120">
                  <c:v>48.063905502399216</c:v>
                </c:pt>
                <c:pt idx="121">
                  <c:v>28.496519604191803</c:v>
                </c:pt>
                <c:pt idx="122">
                  <c:v>39.774142408085524</c:v>
                </c:pt>
                <c:pt idx="123">
                  <c:v>21.537891177763782</c:v>
                </c:pt>
                <c:pt idx="124">
                  <c:v>44.180928892199269</c:v>
                </c:pt>
                <c:pt idx="125">
                  <c:v>38.770144211064093</c:v>
                </c:pt>
                <c:pt idx="126">
                  <c:v>53.040284692267818</c:v>
                </c:pt>
                <c:pt idx="127">
                  <c:v>48.908740841290467</c:v>
                </c:pt>
                <c:pt idx="128">
                  <c:v>56.161763122346137</c:v>
                </c:pt>
                <c:pt idx="129">
                  <c:v>52.460841014345405</c:v>
                </c:pt>
                <c:pt idx="130">
                  <c:v>56.569329859153918</c:v>
                </c:pt>
                <c:pt idx="131">
                  <c:v>42.175440266792918</c:v>
                </c:pt>
                <c:pt idx="132">
                  <c:v>44.175476689580016</c:v>
                </c:pt>
                <c:pt idx="133">
                  <c:v>50.338325191358891</c:v>
                </c:pt>
                <c:pt idx="134">
                  <c:v>52.972542425037304</c:v>
                </c:pt>
                <c:pt idx="135">
                  <c:v>51.386981785935305</c:v>
                </c:pt>
                <c:pt idx="136">
                  <c:v>54.805043409540552</c:v>
                </c:pt>
                <c:pt idx="137">
                  <c:v>53.007101059780069</c:v>
                </c:pt>
                <c:pt idx="138">
                  <c:v>55.722300548083354</c:v>
                </c:pt>
                <c:pt idx="139">
                  <c:v>49.722132304295577</c:v>
                </c:pt>
                <c:pt idx="140">
                  <c:v>49.818289736362658</c:v>
                </c:pt>
                <c:pt idx="141">
                  <c:v>37.841762582729238</c:v>
                </c:pt>
                <c:pt idx="142">
                  <c:v>19.979717596561109</c:v>
                </c:pt>
                <c:pt idx="143">
                  <c:v>16.516902064100471</c:v>
                </c:pt>
                <c:pt idx="144">
                  <c:v>41.547745959170157</c:v>
                </c:pt>
                <c:pt idx="145">
                  <c:v>25.255696450065756</c:v>
                </c:pt>
                <c:pt idx="146">
                  <c:v>46.498187428582504</c:v>
                </c:pt>
                <c:pt idx="147">
                  <c:v>55.92692804056918</c:v>
                </c:pt>
                <c:pt idx="148">
                  <c:v>60.470142776431686</c:v>
                </c:pt>
                <c:pt idx="149">
                  <c:v>51.30808835390166</c:v>
                </c:pt>
                <c:pt idx="150">
                  <c:v>55.619597159550672</c:v>
                </c:pt>
                <c:pt idx="151">
                  <c:v>56.675163263920638</c:v>
                </c:pt>
                <c:pt idx="152">
                  <c:v>45.200575765121854</c:v>
                </c:pt>
                <c:pt idx="153">
                  <c:v>55.286210936881652</c:v>
                </c:pt>
                <c:pt idx="154">
                  <c:v>26.356202516306528</c:v>
                </c:pt>
                <c:pt idx="155">
                  <c:v>36.317311270169753</c:v>
                </c:pt>
                <c:pt idx="156">
                  <c:v>47.371873461506212</c:v>
                </c:pt>
                <c:pt idx="157">
                  <c:v>28.735823790225638</c:v>
                </c:pt>
                <c:pt idx="158">
                  <c:v>21.423079737446137</c:v>
                </c:pt>
                <c:pt idx="159">
                  <c:v>46.673852661708487</c:v>
                </c:pt>
                <c:pt idx="160">
                  <c:v>58.226024872589889</c:v>
                </c:pt>
                <c:pt idx="161">
                  <c:v>56.267173413603246</c:v>
                </c:pt>
                <c:pt idx="162">
                  <c:v>43.676784264748854</c:v>
                </c:pt>
                <c:pt idx="163">
                  <c:v>54.926604845197559</c:v>
                </c:pt>
                <c:pt idx="164">
                  <c:v>48.827231368992059</c:v>
                </c:pt>
                <c:pt idx="165">
                  <c:v>55.043490612443179</c:v>
                </c:pt>
                <c:pt idx="166">
                  <c:v>52.866625739536936</c:v>
                </c:pt>
                <c:pt idx="167">
                  <c:v>53.0080929652012</c:v>
                </c:pt>
                <c:pt idx="168">
                  <c:v>55.426337237620828</c:v>
                </c:pt>
                <c:pt idx="169">
                  <c:v>56.773246726619689</c:v>
                </c:pt>
                <c:pt idx="170">
                  <c:v>32.026879052044428</c:v>
                </c:pt>
                <c:pt idx="171">
                  <c:v>23.04809937344805</c:v>
                </c:pt>
                <c:pt idx="172">
                  <c:v>44.640458597053325</c:v>
                </c:pt>
                <c:pt idx="173">
                  <c:v>42.106716003460491</c:v>
                </c:pt>
                <c:pt idx="174">
                  <c:v>39.715847914390778</c:v>
                </c:pt>
                <c:pt idx="175">
                  <c:v>34.46544293609962</c:v>
                </c:pt>
                <c:pt idx="176">
                  <c:v>12.236339344181077</c:v>
                </c:pt>
                <c:pt idx="177">
                  <c:v>14.868024493585356</c:v>
                </c:pt>
                <c:pt idx="178">
                  <c:v>58.982380206058856</c:v>
                </c:pt>
                <c:pt idx="179">
                  <c:v>57.290200593554303</c:v>
                </c:pt>
                <c:pt idx="180">
                  <c:v>14.128472569005938</c:v>
                </c:pt>
                <c:pt idx="181">
                  <c:v>50.959617818818096</c:v>
                </c:pt>
                <c:pt idx="182">
                  <c:v>56.292112459372618</c:v>
                </c:pt>
                <c:pt idx="183">
                  <c:v>46.371121481940392</c:v>
                </c:pt>
                <c:pt idx="184">
                  <c:v>44.862460994663479</c:v>
                </c:pt>
                <c:pt idx="185">
                  <c:v>56.236928649948069</c:v>
                </c:pt>
                <c:pt idx="186">
                  <c:v>47.80131128672501</c:v>
                </c:pt>
                <c:pt idx="187">
                  <c:v>55.677436736973497</c:v>
                </c:pt>
                <c:pt idx="188">
                  <c:v>58.075113138589586</c:v>
                </c:pt>
                <c:pt idx="189">
                  <c:v>57.39537200427943</c:v>
                </c:pt>
                <c:pt idx="190">
                  <c:v>56.848811564089189</c:v>
                </c:pt>
                <c:pt idx="191">
                  <c:v>55.354644553477712</c:v>
                </c:pt>
                <c:pt idx="192">
                  <c:v>55.114010943151968</c:v>
                </c:pt>
                <c:pt idx="193">
                  <c:v>54.832853438840637</c:v>
                </c:pt>
                <c:pt idx="194">
                  <c:v>54.25835060954401</c:v>
                </c:pt>
                <c:pt idx="195">
                  <c:v>52.467037181874467</c:v>
                </c:pt>
                <c:pt idx="196">
                  <c:v>53.992309780229093</c:v>
                </c:pt>
                <c:pt idx="197">
                  <c:v>53.516254139837031</c:v>
                </c:pt>
                <c:pt idx="198">
                  <c:v>54.479905583311982</c:v>
                </c:pt>
                <c:pt idx="199">
                  <c:v>45.019295188276679</c:v>
                </c:pt>
                <c:pt idx="200">
                  <c:v>44.579009783169482</c:v>
                </c:pt>
                <c:pt idx="201">
                  <c:v>52.716946629422985</c:v>
                </c:pt>
                <c:pt idx="202">
                  <c:v>42.564674519517027</c:v>
                </c:pt>
                <c:pt idx="203">
                  <c:v>48.910676984755582</c:v>
                </c:pt>
                <c:pt idx="204">
                  <c:v>52.947572166741978</c:v>
                </c:pt>
                <c:pt idx="205">
                  <c:v>26.981650577246821</c:v>
                </c:pt>
                <c:pt idx="206">
                  <c:v>57.216618636865597</c:v>
                </c:pt>
                <c:pt idx="207">
                  <c:v>57.254869103110096</c:v>
                </c:pt>
                <c:pt idx="208">
                  <c:v>44.639576727772507</c:v>
                </c:pt>
                <c:pt idx="209">
                  <c:v>31.882598766529579</c:v>
                </c:pt>
                <c:pt idx="210">
                  <c:v>49.30999729951246</c:v>
                </c:pt>
                <c:pt idx="211">
                  <c:v>54.74963806585329</c:v>
                </c:pt>
                <c:pt idx="212">
                  <c:v>54.377838395146355</c:v>
                </c:pt>
                <c:pt idx="213">
                  <c:v>54.365939877349163</c:v>
                </c:pt>
                <c:pt idx="214">
                  <c:v>51.338879362347576</c:v>
                </c:pt>
                <c:pt idx="215">
                  <c:v>50.577320584476396</c:v>
                </c:pt>
                <c:pt idx="216">
                  <c:v>45.930354611859968</c:v>
                </c:pt>
                <c:pt idx="217">
                  <c:v>50.433958461366103</c:v>
                </c:pt>
                <c:pt idx="218">
                  <c:v>53.071532432748057</c:v>
                </c:pt>
                <c:pt idx="219">
                  <c:v>53.517966295032593</c:v>
                </c:pt>
                <c:pt idx="220">
                  <c:v>51.508934644475197</c:v>
                </c:pt>
                <c:pt idx="221">
                  <c:v>48.674049824848581</c:v>
                </c:pt>
                <c:pt idx="222">
                  <c:v>47.066443237710139</c:v>
                </c:pt>
                <c:pt idx="223">
                  <c:v>48.002094909440856</c:v>
                </c:pt>
                <c:pt idx="224">
                  <c:v>36.125152331462324</c:v>
                </c:pt>
                <c:pt idx="225">
                  <c:v>34.289957098426903</c:v>
                </c:pt>
                <c:pt idx="226">
                  <c:v>38.843663389963638</c:v>
                </c:pt>
                <c:pt idx="227">
                  <c:v>35.926952124719726</c:v>
                </c:pt>
                <c:pt idx="228">
                  <c:v>28.824047227248531</c:v>
                </c:pt>
                <c:pt idx="229">
                  <c:v>36.570220043820818</c:v>
                </c:pt>
                <c:pt idx="230">
                  <c:v>41.656442742822172</c:v>
                </c:pt>
                <c:pt idx="231">
                  <c:v>50.024825370731385</c:v>
                </c:pt>
                <c:pt idx="232">
                  <c:v>33.79133891939091</c:v>
                </c:pt>
                <c:pt idx="233">
                  <c:v>26.930737237734181</c:v>
                </c:pt>
                <c:pt idx="234">
                  <c:v>48.839703460180026</c:v>
                </c:pt>
                <c:pt idx="235">
                  <c:v>46.560805839573916</c:v>
                </c:pt>
                <c:pt idx="236">
                  <c:v>32.643918217559282</c:v>
                </c:pt>
                <c:pt idx="237">
                  <c:v>43.35083844488279</c:v>
                </c:pt>
                <c:pt idx="238">
                  <c:v>49.299502868528755</c:v>
                </c:pt>
                <c:pt idx="239">
                  <c:v>48.226608383621922</c:v>
                </c:pt>
                <c:pt idx="240">
                  <c:v>32.999696468581917</c:v>
                </c:pt>
                <c:pt idx="241">
                  <c:v>47.907145291916621</c:v>
                </c:pt>
                <c:pt idx="242">
                  <c:v>24.745132852975129</c:v>
                </c:pt>
                <c:pt idx="243">
                  <c:v>40.505418427743969</c:v>
                </c:pt>
                <c:pt idx="244">
                  <c:v>38.983000413265344</c:v>
                </c:pt>
                <c:pt idx="245">
                  <c:v>38.059706039580249</c:v>
                </c:pt>
                <c:pt idx="246">
                  <c:v>45.998683935050032</c:v>
                </c:pt>
                <c:pt idx="247">
                  <c:v>40.206279304779763</c:v>
                </c:pt>
                <c:pt idx="248">
                  <c:v>45.49895666388548</c:v>
                </c:pt>
                <c:pt idx="249">
                  <c:v>36.219938721361316</c:v>
                </c:pt>
                <c:pt idx="250">
                  <c:v>35.201190430979771</c:v>
                </c:pt>
                <c:pt idx="251">
                  <c:v>23.575868042345373</c:v>
                </c:pt>
                <c:pt idx="252">
                  <c:v>46.634706168625463</c:v>
                </c:pt>
                <c:pt idx="253">
                  <c:v>46.060779585309533</c:v>
                </c:pt>
                <c:pt idx="254">
                  <c:v>33.43306359129398</c:v>
                </c:pt>
                <c:pt idx="255">
                  <c:v>14.191781469384351</c:v>
                </c:pt>
                <c:pt idx="256">
                  <c:v>35.587643758766269</c:v>
                </c:pt>
                <c:pt idx="257">
                  <c:v>40.758047372182943</c:v>
                </c:pt>
                <c:pt idx="258">
                  <c:v>32.565302718765537</c:v>
                </c:pt>
                <c:pt idx="259">
                  <c:v>45.506669811780824</c:v>
                </c:pt>
                <c:pt idx="260">
                  <c:v>45.499701196745661</c:v>
                </c:pt>
                <c:pt idx="261">
                  <c:v>44.882527887992488</c:v>
                </c:pt>
                <c:pt idx="262">
                  <c:v>46.59151976274029</c:v>
                </c:pt>
                <c:pt idx="263">
                  <c:v>45.39260852693603</c:v>
                </c:pt>
                <c:pt idx="264">
                  <c:v>43.925481083340308</c:v>
                </c:pt>
                <c:pt idx="265">
                  <c:v>27.879755893282439</c:v>
                </c:pt>
                <c:pt idx="266">
                  <c:v>16.888555914232235</c:v>
                </c:pt>
                <c:pt idx="267">
                  <c:v>35.566313170606968</c:v>
                </c:pt>
                <c:pt idx="268">
                  <c:v>32.565070338319792</c:v>
                </c:pt>
                <c:pt idx="269">
                  <c:v>17.268384967150904</c:v>
                </c:pt>
                <c:pt idx="270">
                  <c:v>19.572815208108175</c:v>
                </c:pt>
                <c:pt idx="271">
                  <c:v>23.517695853991704</c:v>
                </c:pt>
                <c:pt idx="272">
                  <c:v>27.908552887349423</c:v>
                </c:pt>
                <c:pt idx="273">
                  <c:v>36.467228881993059</c:v>
                </c:pt>
                <c:pt idx="274">
                  <c:v>38.886245233852939</c:v>
                </c:pt>
                <c:pt idx="275">
                  <c:v>37.540082672023225</c:v>
                </c:pt>
                <c:pt idx="276">
                  <c:v>41.353891017436396</c:v>
                </c:pt>
                <c:pt idx="277">
                  <c:v>42.162866216877887</c:v>
                </c:pt>
                <c:pt idx="278">
                  <c:v>11.647517920572435</c:v>
                </c:pt>
                <c:pt idx="279">
                  <c:v>29.258301025564666</c:v>
                </c:pt>
                <c:pt idx="280">
                  <c:v>16.886209336599631</c:v>
                </c:pt>
                <c:pt idx="281">
                  <c:v>38.557221640562084</c:v>
                </c:pt>
                <c:pt idx="282">
                  <c:v>30.955727011792309</c:v>
                </c:pt>
                <c:pt idx="283">
                  <c:v>22.516750931211455</c:v>
                </c:pt>
                <c:pt idx="284">
                  <c:v>27.94854688471743</c:v>
                </c:pt>
                <c:pt idx="285">
                  <c:v>23.402024071483179</c:v>
                </c:pt>
                <c:pt idx="286">
                  <c:v>18.191891208805949</c:v>
                </c:pt>
                <c:pt idx="287">
                  <c:v>37.382775884140948</c:v>
                </c:pt>
                <c:pt idx="288">
                  <c:v>32.996426867244907</c:v>
                </c:pt>
                <c:pt idx="289">
                  <c:v>19.589674555915099</c:v>
                </c:pt>
                <c:pt idx="290">
                  <c:v>34.557060986606764</c:v>
                </c:pt>
                <c:pt idx="291">
                  <c:v>16.063139879985204</c:v>
                </c:pt>
                <c:pt idx="292">
                  <c:v>6.7645031305612919</c:v>
                </c:pt>
                <c:pt idx="293">
                  <c:v>16.463456992455704</c:v>
                </c:pt>
                <c:pt idx="294">
                  <c:v>33.26351131983656</c:v>
                </c:pt>
                <c:pt idx="295">
                  <c:v>17.09653725682703</c:v>
                </c:pt>
                <c:pt idx="296">
                  <c:v>25.296227340064327</c:v>
                </c:pt>
                <c:pt idx="297">
                  <c:v>22.366754188325661</c:v>
                </c:pt>
                <c:pt idx="298">
                  <c:v>12.468935626124333</c:v>
                </c:pt>
                <c:pt idx="299">
                  <c:v>14.425409136004644</c:v>
                </c:pt>
                <c:pt idx="300">
                  <c:v>17.353756593115321</c:v>
                </c:pt>
                <c:pt idx="301">
                  <c:v>26.952521015503624</c:v>
                </c:pt>
                <c:pt idx="302">
                  <c:v>23.173204905619301</c:v>
                </c:pt>
                <c:pt idx="303">
                  <c:v>22.041644118850403</c:v>
                </c:pt>
                <c:pt idx="304">
                  <c:v>19.540118250583401</c:v>
                </c:pt>
                <c:pt idx="305">
                  <c:v>28.989337146315346</c:v>
                </c:pt>
                <c:pt idx="306">
                  <c:v>10.176432281069593</c:v>
                </c:pt>
                <c:pt idx="307">
                  <c:v>17.575739408591293</c:v>
                </c:pt>
                <c:pt idx="308">
                  <c:v>29.939904838647308</c:v>
                </c:pt>
                <c:pt idx="309">
                  <c:v>29.898326019673384</c:v>
                </c:pt>
                <c:pt idx="310">
                  <c:v>28.045970462440017</c:v>
                </c:pt>
                <c:pt idx="311">
                  <c:v>20.22563773792503</c:v>
                </c:pt>
                <c:pt idx="312">
                  <c:v>9.9628852587212364</c:v>
                </c:pt>
                <c:pt idx="313">
                  <c:v>20.116806363862722</c:v>
                </c:pt>
                <c:pt idx="314">
                  <c:v>27.519118616482135</c:v>
                </c:pt>
                <c:pt idx="315">
                  <c:v>27.100629252588632</c:v>
                </c:pt>
                <c:pt idx="316">
                  <c:v>26.064558745174402</c:v>
                </c:pt>
                <c:pt idx="317">
                  <c:v>9.6514225291943347</c:v>
                </c:pt>
                <c:pt idx="318">
                  <c:v>12.385027371561863</c:v>
                </c:pt>
                <c:pt idx="319">
                  <c:v>26.666065571431542</c:v>
                </c:pt>
                <c:pt idx="320">
                  <c:v>13.651792214899482</c:v>
                </c:pt>
                <c:pt idx="321">
                  <c:v>15.627714790083141</c:v>
                </c:pt>
                <c:pt idx="322">
                  <c:v>7.142171717657896</c:v>
                </c:pt>
                <c:pt idx="323">
                  <c:v>15.717024315520929</c:v>
                </c:pt>
                <c:pt idx="324">
                  <c:v>3.1569768509611387</c:v>
                </c:pt>
                <c:pt idx="325">
                  <c:v>7.8103818597068733</c:v>
                </c:pt>
                <c:pt idx="326">
                  <c:v>13.099000969778352</c:v>
                </c:pt>
                <c:pt idx="327">
                  <c:v>13.746846972631332</c:v>
                </c:pt>
                <c:pt idx="328">
                  <c:v>4.7637612423163587</c:v>
                </c:pt>
                <c:pt idx="329">
                  <c:v>10.946761259348238</c:v>
                </c:pt>
                <c:pt idx="330">
                  <c:v>14.410625360514636</c:v>
                </c:pt>
                <c:pt idx="331">
                  <c:v>10.455066418000667</c:v>
                </c:pt>
                <c:pt idx="332">
                  <c:v>15.227137643520738</c:v>
                </c:pt>
                <c:pt idx="333">
                  <c:v>3.9792161592249657</c:v>
                </c:pt>
                <c:pt idx="334">
                  <c:v>3.7666500118349187</c:v>
                </c:pt>
                <c:pt idx="335">
                  <c:v>5.6588880802633676</c:v>
                </c:pt>
                <c:pt idx="336">
                  <c:v>9.4840896625512272</c:v>
                </c:pt>
                <c:pt idx="337">
                  <c:v>17.392924281816278</c:v>
                </c:pt>
                <c:pt idx="338">
                  <c:v>23.058071996835562</c:v>
                </c:pt>
                <c:pt idx="339">
                  <c:v>11.335110284953418</c:v>
                </c:pt>
                <c:pt idx="340">
                  <c:v>20.425582491250562</c:v>
                </c:pt>
                <c:pt idx="341">
                  <c:v>4.1022695074270326</c:v>
                </c:pt>
                <c:pt idx="342">
                  <c:v>5.0066181250226167</c:v>
                </c:pt>
                <c:pt idx="343">
                  <c:v>12.119872746993259</c:v>
                </c:pt>
                <c:pt idx="344">
                  <c:v>17.341723623737529</c:v>
                </c:pt>
                <c:pt idx="345">
                  <c:v>5.3000164058488837</c:v>
                </c:pt>
                <c:pt idx="346">
                  <c:v>5.3658686743296071</c:v>
                </c:pt>
                <c:pt idx="347">
                  <c:v>17.13364027217558</c:v>
                </c:pt>
                <c:pt idx="348">
                  <c:v>5.8553615527919414</c:v>
                </c:pt>
                <c:pt idx="349">
                  <c:v>5.1715669430255122</c:v>
                </c:pt>
                <c:pt idx="350">
                  <c:v>3.5060527197393743</c:v>
                </c:pt>
                <c:pt idx="351">
                  <c:v>20.913288967202554</c:v>
                </c:pt>
                <c:pt idx="352">
                  <c:v>17.79586848392055</c:v>
                </c:pt>
                <c:pt idx="353">
                  <c:v>4.5359488277054405</c:v>
                </c:pt>
                <c:pt idx="354">
                  <c:v>20.767340481221829</c:v>
                </c:pt>
                <c:pt idx="355">
                  <c:v>17.558044244421666</c:v>
                </c:pt>
                <c:pt idx="356">
                  <c:v>17.793634294861313</c:v>
                </c:pt>
                <c:pt idx="357">
                  <c:v>21.147011072856603</c:v>
                </c:pt>
                <c:pt idx="358">
                  <c:v>11.946907225435837</c:v>
                </c:pt>
                <c:pt idx="359">
                  <c:v>20.653581048772441</c:v>
                </c:pt>
                <c:pt idx="360">
                  <c:v>6.9980578117055297</c:v>
                </c:pt>
                <c:pt idx="361">
                  <c:v>21.724300718686923</c:v>
                </c:pt>
                <c:pt idx="362">
                  <c:v>10.317756448967215</c:v>
                </c:pt>
                <c:pt idx="363">
                  <c:v>13.97866003942625</c:v>
                </c:pt>
                <c:pt idx="364">
                  <c:v>11.564746259557459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998304"/>
        <c:axId val="215998696"/>
      </c:lineChart>
      <c:dateAx>
        <c:axId val="215998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8696"/>
        <c:crosses val="autoZero"/>
        <c:auto val="1"/>
        <c:lblOffset val="100"/>
        <c:baseTimeUnit val="days"/>
        <c:majorUnit val="1"/>
        <c:majorTimeUnit val="months"/>
      </c:dateAx>
      <c:valAx>
        <c:axId val="2159986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83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5.4189006803393669E-2</c:v>
                </c:pt>
                <c:pt idx="1">
                  <c:v>5.4207133055304113E-2</c:v>
                </c:pt>
                <c:pt idx="2">
                  <c:v>5.4225258959829103E-2</c:v>
                </c:pt>
                <c:pt idx="3">
                  <c:v>5.424338451697519E-2</c:v>
                </c:pt>
                <c:pt idx="4">
                  <c:v>5.4261509726749146E-2</c:v>
                </c:pt>
                <c:pt idx="5">
                  <c:v>5.4279634589157633E-2</c:v>
                </c:pt>
                <c:pt idx="6">
                  <c:v>5.429775910420731E-2</c:v>
                </c:pt>
                <c:pt idx="7">
                  <c:v>5.4315883271904619E-2</c:v>
                </c:pt>
                <c:pt idx="8">
                  <c:v>5.4334007092256553E-2</c:v>
                </c:pt>
                <c:pt idx="9">
                  <c:v>5.4352130565269552E-2</c:v>
                </c:pt>
                <c:pt idx="10">
                  <c:v>5.4370253690950276E-2</c:v>
                </c:pt>
                <c:pt idx="11">
                  <c:v>5.4388376469305499E-2</c:v>
                </c:pt>
                <c:pt idx="12">
                  <c:v>5.4406498900341771E-2</c:v>
                </c:pt>
                <c:pt idx="13">
                  <c:v>5.4424620984065863E-2</c:v>
                </c:pt>
                <c:pt idx="14">
                  <c:v>5.4442742720484216E-2</c:v>
                </c:pt>
                <c:pt idx="15">
                  <c:v>5.4460864109603713E-2</c:v>
                </c:pt>
                <c:pt idx="16">
                  <c:v>5.4478985151430903E-2</c:v>
                </c:pt>
                <c:pt idx="17">
                  <c:v>5.4497105845972449E-2</c:v>
                </c:pt>
                <c:pt idx="18">
                  <c:v>5.4515226193235122E-2</c:v>
                </c:pt>
                <c:pt idx="19">
                  <c:v>5.4533346193225363E-2</c:v>
                </c:pt>
                <c:pt idx="20">
                  <c:v>5.4551465845949942E-2</c:v>
                </c:pt>
                <c:pt idx="21">
                  <c:v>5.4569585151415523E-2</c:v>
                </c:pt>
                <c:pt idx="22">
                  <c:v>5.4587704109628765E-2</c:v>
                </c:pt>
                <c:pt idx="23">
                  <c:v>5.4605822720596331E-2</c:v>
                </c:pt>
                <c:pt idx="24">
                  <c:v>5.462394098432477E-2</c:v>
                </c:pt>
                <c:pt idx="25">
                  <c:v>5.4642058900820856E-2</c:v>
                </c:pt>
                <c:pt idx="26">
                  <c:v>5.4660176470091248E-2</c:v>
                </c:pt>
                <c:pt idx="27">
                  <c:v>5.4678293692142499E-2</c:v>
                </c:pt>
                <c:pt idx="28">
                  <c:v>5.4696410566981379E-2</c:v>
                </c:pt>
                <c:pt idx="29">
                  <c:v>5.471452709461444E-2</c:v>
                </c:pt>
                <c:pt idx="30">
                  <c:v>5.4732643275048454E-2</c:v>
                </c:pt>
                <c:pt idx="31">
                  <c:v>5.475075910828997E-2</c:v>
                </c:pt>
                <c:pt idx="32">
                  <c:v>5.4768874594345651E-2</c:v>
                </c:pt>
                <c:pt idx="33">
                  <c:v>5.4786989733222158E-2</c:v>
                </c:pt>
                <c:pt idx="34">
                  <c:v>5.4805104524926151E-2</c:v>
                </c:pt>
                <c:pt idx="35">
                  <c:v>5.4823218969464294E-2</c:v>
                </c:pt>
                <c:pt idx="36">
                  <c:v>5.4841333066843245E-2</c:v>
                </c:pt>
                <c:pt idx="37">
                  <c:v>5.4859446817069779E-2</c:v>
                </c:pt>
                <c:pt idx="38">
                  <c:v>5.4877560220150223E-2</c:v>
                </c:pt>
                <c:pt idx="39">
                  <c:v>5.4895673276091572E-2</c:v>
                </c:pt>
                <c:pt idx="40">
                  <c:v>5.4913785984900265E-2</c:v>
                </c:pt>
                <c:pt idx="41">
                  <c:v>5.4931898346583075E-2</c:v>
                </c:pt>
                <c:pt idx="42">
                  <c:v>5.4950010361146551E-2</c:v>
                </c:pt>
                <c:pt idx="43">
                  <c:v>5.4968122028597466E-2</c:v>
                </c:pt>
                <c:pt idx="44">
                  <c:v>5.498623334894237E-2</c:v>
                </c:pt>
                <c:pt idx="45">
                  <c:v>5.5004344322187926E-2</c:v>
                </c:pt>
                <c:pt idx="46">
                  <c:v>5.5022454948340904E-2</c:v>
                </c:pt>
                <c:pt idx="47">
                  <c:v>5.5040565227407745E-2</c:v>
                </c:pt>
                <c:pt idx="48">
                  <c:v>5.5058675159395221E-2</c:v>
                </c:pt>
                <c:pt idx="49">
                  <c:v>5.5076784744310103E-2</c:v>
                </c:pt>
                <c:pt idx="50">
                  <c:v>5.5094893982158832E-2</c:v>
                </c:pt>
                <c:pt idx="51">
                  <c:v>5.511300287294818E-2</c:v>
                </c:pt>
                <c:pt idx="52">
                  <c:v>5.5131111416684697E-2</c:v>
                </c:pt>
                <c:pt idx="53">
                  <c:v>5.5149219613375156E-2</c:v>
                </c:pt>
                <c:pt idx="54">
                  <c:v>5.5167327463026217E-2</c:v>
                </c:pt>
                <c:pt idx="55">
                  <c:v>5.5185434965644431E-2</c:v>
                </c:pt>
                <c:pt idx="56">
                  <c:v>5.520354212123646E-2</c:v>
                </c:pt>
                <c:pt idx="57">
                  <c:v>5.5221648929808964E-2</c:v>
                </c:pt>
                <c:pt idx="58">
                  <c:v>5.5239755391368717E-2</c:v>
                </c:pt>
                <c:pt idx="59">
                  <c:v>5.5257861505922157E-2</c:v>
                </c:pt>
                <c:pt idx="60">
                  <c:v>5.5275967273476057E-2</c:v>
                </c:pt>
                <c:pt idx="61">
                  <c:v>5.5294072694037077E-2</c:v>
                </c:pt>
                <c:pt idx="62">
                  <c:v>5.5312177767611881E-2</c:v>
                </c:pt>
                <c:pt idx="63">
                  <c:v>5.5330282494207017E-2</c:v>
                </c:pt>
                <c:pt idx="64">
                  <c:v>5.5348386873829258E-2</c:v>
                </c:pt>
                <c:pt idx="65">
                  <c:v>5.5366490906485155E-2</c:v>
                </c:pt>
                <c:pt idx="66">
                  <c:v>5.5384594592181369E-2</c:v>
                </c:pt>
                <c:pt idx="67">
                  <c:v>5.540269793092456E-2</c:v>
                </c:pt>
                <c:pt idx="68">
                  <c:v>5.5420800922721503E-2</c:v>
                </c:pt>
                <c:pt idx="69">
                  <c:v>5.5438903567578635E-2</c:v>
                </c:pt>
                <c:pt idx="70">
                  <c:v>5.5457005865502729E-2</c:v>
                </c:pt>
                <c:pt idx="71">
                  <c:v>5.5475107816500446E-2</c:v>
                </c:pt>
                <c:pt idx="72">
                  <c:v>5.5493209420578338E-2</c:v>
                </c:pt>
                <c:pt idx="73">
                  <c:v>5.5511310677743175E-2</c:v>
                </c:pt>
                <c:pt idx="74">
                  <c:v>5.552941158800162E-2</c:v>
                </c:pt>
                <c:pt idx="75">
                  <c:v>5.5547512151360112E-2</c:v>
                </c:pt>
                <c:pt idx="76">
                  <c:v>5.5565612367825534E-2</c:v>
                </c:pt>
                <c:pt idx="77">
                  <c:v>5.5583712237404326E-2</c:v>
                </c:pt>
                <c:pt idx="78">
                  <c:v>5.560181176010337E-2</c:v>
                </c:pt>
                <c:pt idx="79">
                  <c:v>5.5619910935929107E-2</c:v>
                </c:pt>
                <c:pt idx="80">
                  <c:v>5.5638009764888308E-2</c:v>
                </c:pt>
                <c:pt idx="81">
                  <c:v>5.5656108246987523E-2</c:v>
                </c:pt>
                <c:pt idx="82">
                  <c:v>5.5674206382233526E-2</c:v>
                </c:pt>
                <c:pt idx="83">
                  <c:v>5.5692304170632867E-2</c:v>
                </c:pt>
                <c:pt idx="84">
                  <c:v>5.5710401612192317E-2</c:v>
                </c:pt>
                <c:pt idx="85">
                  <c:v>5.5728498706918317E-2</c:v>
                </c:pt>
                <c:pt idx="86">
                  <c:v>5.5746595454817638E-2</c:v>
                </c:pt>
                <c:pt idx="87">
                  <c:v>5.5764691855896942E-2</c:v>
                </c:pt>
                <c:pt idx="88">
                  <c:v>5.5782787910162779E-2</c:v>
                </c:pt>
                <c:pt idx="89">
                  <c:v>5.5800883617621921E-2</c:v>
                </c:pt>
                <c:pt idx="90">
                  <c:v>5.5818978978281031E-2</c:v>
                </c:pt>
                <c:pt idx="91">
                  <c:v>5.5837073992146546E-2</c:v>
                </c:pt>
                <c:pt idx="92">
                  <c:v>5.5855168659225352E-2</c:v>
                </c:pt>
                <c:pt idx="93">
                  <c:v>5.5873262979523886E-2</c:v>
                </c:pt>
                <c:pt idx="94">
                  <c:v>5.5891356953049032E-2</c:v>
                </c:pt>
                <c:pt idx="95">
                  <c:v>5.5909450579807229E-2</c:v>
                </c:pt>
                <c:pt idx="96">
                  <c:v>5.592754385980514E-2</c:v>
                </c:pt>
                <c:pt idx="97">
                  <c:v>5.5945636793049536E-2</c:v>
                </c:pt>
                <c:pt idx="98">
                  <c:v>5.5963729379546967E-2</c:v>
                </c:pt>
                <c:pt idx="99">
                  <c:v>5.5981821619304206E-2</c:v>
                </c:pt>
                <c:pt idx="100">
                  <c:v>5.5999913512327693E-2</c:v>
                </c:pt>
                <c:pt idx="101">
                  <c:v>5.6018005058624198E-2</c:v>
                </c:pt>
                <c:pt idx="102">
                  <c:v>5.6036096258200385E-2</c:v>
                </c:pt>
                <c:pt idx="103">
                  <c:v>5.6054187111062803E-2</c:v>
                </c:pt>
                <c:pt idx="104">
                  <c:v>5.6072277617218114E-2</c:v>
                </c:pt>
                <c:pt idx="105">
                  <c:v>5.6090367776673089E-2</c:v>
                </c:pt>
                <c:pt idx="106">
                  <c:v>5.610845758943428E-2</c:v>
                </c:pt>
                <c:pt idx="107">
                  <c:v>5.6126547055508236E-2</c:v>
                </c:pt>
                <c:pt idx="108">
                  <c:v>5.6144636174901841E-2</c:v>
                </c:pt>
                <c:pt idx="109">
                  <c:v>5.6162724947621534E-2</c:v>
                </c:pt>
                <c:pt idx="110">
                  <c:v>5.6180813373673977E-2</c:v>
                </c:pt>
                <c:pt idx="111">
                  <c:v>5.6198901453065941E-2</c:v>
                </c:pt>
                <c:pt idx="112">
                  <c:v>5.6216989185803978E-2</c:v>
                </c:pt>
                <c:pt idx="113">
                  <c:v>5.6235076571894749E-2</c:v>
                </c:pt>
                <c:pt idx="114">
                  <c:v>5.6253163611344803E-2</c:v>
                </c:pt>
                <c:pt idx="115">
                  <c:v>5.6271250304161025E-2</c:v>
                </c:pt>
                <c:pt idx="116">
                  <c:v>5.6289336650349742E-2</c:v>
                </c:pt>
                <c:pt idx="117">
                  <c:v>5.6307422649917838E-2</c:v>
                </c:pt>
                <c:pt idx="118">
                  <c:v>5.6325508302871863E-2</c:v>
                </c:pt>
                <c:pt idx="119">
                  <c:v>5.6343593609218479E-2</c:v>
                </c:pt>
                <c:pt idx="120">
                  <c:v>5.6361678568964346E-2</c:v>
                </c:pt>
                <c:pt idx="121">
                  <c:v>5.6379763182116127E-2</c:v>
                </c:pt>
                <c:pt idx="122">
                  <c:v>5.6397847448680372E-2</c:v>
                </c:pt>
                <c:pt idx="123">
                  <c:v>5.6415931368663741E-2</c:v>
                </c:pt>
                <c:pt idx="124">
                  <c:v>5.6434014942073008E-2</c:v>
                </c:pt>
                <c:pt idx="125">
                  <c:v>5.6452098168914611E-2</c:v>
                </c:pt>
                <c:pt idx="126">
                  <c:v>5.6470181049195323E-2</c:v>
                </c:pt>
                <c:pt idx="127">
                  <c:v>5.6488263582921805E-2</c:v>
                </c:pt>
                <c:pt idx="128">
                  <c:v>5.6506345770100608E-2</c:v>
                </c:pt>
                <c:pt idx="129">
                  <c:v>5.6524427610738393E-2</c:v>
                </c:pt>
                <c:pt idx="130">
                  <c:v>5.6542509104841931E-2</c:v>
                </c:pt>
                <c:pt idx="131">
                  <c:v>5.6560590252417664E-2</c:v>
                </c:pt>
                <c:pt idx="132">
                  <c:v>5.6578671053472362E-2</c:v>
                </c:pt>
                <c:pt idx="133">
                  <c:v>5.6596751508012577E-2</c:v>
                </c:pt>
                <c:pt idx="134">
                  <c:v>5.661483161604508E-2</c:v>
                </c:pt>
                <c:pt idx="135">
                  <c:v>5.6632911377576423E-2</c:v>
                </c:pt>
                <c:pt idx="136">
                  <c:v>5.6650990792613265E-2</c:v>
                </c:pt>
                <c:pt idx="137">
                  <c:v>5.6669069861162269E-2</c:v>
                </c:pt>
                <c:pt idx="138">
                  <c:v>5.6687148583229985E-2</c:v>
                </c:pt>
                <c:pt idx="139">
                  <c:v>5.6705226958823074E-2</c:v>
                </c:pt>
                <c:pt idx="140">
                  <c:v>5.6723304987948309E-2</c:v>
                </c:pt>
                <c:pt idx="141">
                  <c:v>5.6741382670612239E-2</c:v>
                </c:pt>
                <c:pt idx="142">
                  <c:v>5.6759460006821527E-2</c:v>
                </c:pt>
                <c:pt idx="143">
                  <c:v>5.6777536996582723E-2</c:v>
                </c:pt>
                <c:pt idx="144">
                  <c:v>5.6795613639902598E-2</c:v>
                </c:pt>
                <c:pt idx="145">
                  <c:v>5.6813689936787592E-2</c:v>
                </c:pt>
                <c:pt idx="146">
                  <c:v>5.683176588724459E-2</c:v>
                </c:pt>
                <c:pt idx="147">
                  <c:v>5.684984149128014E-2</c:v>
                </c:pt>
                <c:pt idx="148">
                  <c:v>5.6867916748900793E-2</c:v>
                </c:pt>
                <c:pt idx="149">
                  <c:v>5.6885991660113322E-2</c:v>
                </c:pt>
                <c:pt idx="150">
                  <c:v>5.6904066224924277E-2</c:v>
                </c:pt>
                <c:pt idx="151">
                  <c:v>5.6922140443340319E-2</c:v>
                </c:pt>
                <c:pt idx="152">
                  <c:v>5.694021431536811E-2</c:v>
                </c:pt>
                <c:pt idx="153">
                  <c:v>5.6958287841014199E-2</c:v>
                </c:pt>
                <c:pt idx="154">
                  <c:v>5.697636102028536E-2</c:v>
                </c:pt>
                <c:pt idx="155">
                  <c:v>5.6994433853188142E-2</c:v>
                </c:pt>
                <c:pt idx="156">
                  <c:v>5.7012506339729208E-2</c:v>
                </c:pt>
                <c:pt idx="157">
                  <c:v>5.7030578479915217E-2</c:v>
                </c:pt>
                <c:pt idx="158">
                  <c:v>5.7048650273752721E-2</c:v>
                </c:pt>
                <c:pt idx="159">
                  <c:v>5.7066721721248492E-2</c:v>
                </c:pt>
                <c:pt idx="160">
                  <c:v>5.708479282240897E-2</c:v>
                </c:pt>
                <c:pt idx="161">
                  <c:v>5.7102863577241036E-2</c:v>
                </c:pt>
                <c:pt idx="162">
                  <c:v>5.7120933985751132E-2</c:v>
                </c:pt>
                <c:pt idx="163">
                  <c:v>5.7139004047946029E-2</c:v>
                </c:pt>
                <c:pt idx="164">
                  <c:v>5.7157073763832278E-2</c:v>
                </c:pt>
                <c:pt idx="165">
                  <c:v>5.717514313341665E-2</c:v>
                </c:pt>
                <c:pt idx="166">
                  <c:v>5.7193212156705586E-2</c:v>
                </c:pt>
                <c:pt idx="167">
                  <c:v>5.7211280833705747E-2</c:v>
                </c:pt>
                <c:pt idx="168">
                  <c:v>5.7229349164423904E-2</c:v>
                </c:pt>
                <c:pt idx="169">
                  <c:v>5.7247417148866608E-2</c:v>
                </c:pt>
                <c:pt idx="170">
                  <c:v>5.7265484787040521E-2</c:v>
                </c:pt>
                <c:pt idx="171">
                  <c:v>5.7283552078952304E-2</c:v>
                </c:pt>
                <c:pt idx="172">
                  <c:v>5.7301619024608508E-2</c:v>
                </c:pt>
                <c:pt idx="173">
                  <c:v>5.7319685624015904E-2</c:v>
                </c:pt>
                <c:pt idx="174">
                  <c:v>5.7337751877180931E-2</c:v>
                </c:pt>
                <c:pt idx="175">
                  <c:v>5.7355817784110363E-2</c:v>
                </c:pt>
                <c:pt idx="176">
                  <c:v>5.7373883344810861E-2</c:v>
                </c:pt>
                <c:pt idx="177">
                  <c:v>5.7391948559288974E-2</c:v>
                </c:pt>
                <c:pt idx="178">
                  <c:v>5.7410013427551365E-2</c:v>
                </c:pt>
                <c:pt idx="179">
                  <c:v>5.7428077949604694E-2</c:v>
                </c:pt>
                <c:pt idx="180">
                  <c:v>5.7446142125455624E-2</c:v>
                </c:pt>
                <c:pt idx="181">
                  <c:v>5.7464205955110703E-2</c:v>
                </c:pt>
                <c:pt idx="182">
                  <c:v>5.7482269438576594E-2</c:v>
                </c:pt>
                <c:pt idx="183">
                  <c:v>5.7500332575859958E-2</c:v>
                </c:pt>
                <c:pt idx="184">
                  <c:v>5.7518395366967345E-2</c:v>
                </c:pt>
                <c:pt idx="185">
                  <c:v>5.7536457811905528E-2</c:v>
                </c:pt>
                <c:pt idx="186">
                  <c:v>5.7554519910681168E-2</c:v>
                </c:pt>
                <c:pt idx="187">
                  <c:v>5.7572581663300704E-2</c:v>
                </c:pt>
                <c:pt idx="188">
                  <c:v>5.7590643069770797E-2</c:v>
                </c:pt>
                <c:pt idx="189">
                  <c:v>5.7608704130098332E-2</c:v>
                </c:pt>
                <c:pt idx="190">
                  <c:v>5.7626764844289635E-2</c:v>
                </c:pt>
                <c:pt idx="191">
                  <c:v>5.764482521235148E-2</c:v>
                </c:pt>
                <c:pt idx="192">
                  <c:v>5.7662885234290528E-2</c:v>
                </c:pt>
                <c:pt idx="193">
                  <c:v>5.768094491011333E-2</c:v>
                </c:pt>
                <c:pt idx="194">
                  <c:v>5.7699004239826657E-2</c:v>
                </c:pt>
                <c:pt idx="195">
                  <c:v>5.7717063223436949E-2</c:v>
                </c:pt>
                <c:pt idx="196">
                  <c:v>5.7735121860951089E-2</c:v>
                </c:pt>
                <c:pt idx="197">
                  <c:v>5.7753180152375405E-2</c:v>
                </c:pt>
                <c:pt idx="198">
                  <c:v>5.7771238097716782E-2</c:v>
                </c:pt>
                <c:pt idx="199">
                  <c:v>5.7789295696981657E-2</c:v>
                </c:pt>
                <c:pt idx="200">
                  <c:v>5.7807352950176805E-2</c:v>
                </c:pt>
                <c:pt idx="201">
                  <c:v>5.7825409857308885E-2</c:v>
                </c:pt>
                <c:pt idx="202">
                  <c:v>5.7843466418384337E-2</c:v>
                </c:pt>
                <c:pt idx="203">
                  <c:v>5.7861522633410045E-2</c:v>
                </c:pt>
                <c:pt idx="204">
                  <c:v>5.7879578502392448E-2</c:v>
                </c:pt>
                <c:pt idx="205">
                  <c:v>5.7897634025338207E-2</c:v>
                </c:pt>
                <c:pt idx="206">
                  <c:v>5.7915689202254095E-2</c:v>
                </c:pt>
                <c:pt idx="207">
                  <c:v>5.793374403314655E-2</c:v>
                </c:pt>
                <c:pt idx="208">
                  <c:v>5.7951798518022235E-2</c:v>
                </c:pt>
                <c:pt idx="209">
                  <c:v>5.7969852656887921E-2</c:v>
                </c:pt>
                <c:pt idx="210">
                  <c:v>5.798790644975016E-2</c:v>
                </c:pt>
                <c:pt idx="211">
                  <c:v>5.80059598966155E-2</c:v>
                </c:pt>
                <c:pt idx="212">
                  <c:v>5.8024012997490715E-2</c:v>
                </c:pt>
                <c:pt idx="213">
                  <c:v>5.8042065752382355E-2</c:v>
                </c:pt>
                <c:pt idx="214">
                  <c:v>5.8060118161297081E-2</c:v>
                </c:pt>
                <c:pt idx="215">
                  <c:v>5.8078170224241554E-2</c:v>
                </c:pt>
                <c:pt idx="216">
                  <c:v>5.8096221941222326E-2</c:v>
                </c:pt>
                <c:pt idx="217">
                  <c:v>5.8114273312245945E-2</c:v>
                </c:pt>
                <c:pt idx="218">
                  <c:v>5.8132324337319297E-2</c:v>
                </c:pt>
                <c:pt idx="219">
                  <c:v>5.8150375016448819E-2</c:v>
                </c:pt>
                <c:pt idx="220">
                  <c:v>5.8168425349641173E-2</c:v>
                </c:pt>
                <c:pt idx="221">
                  <c:v>5.8186475336903021E-2</c:v>
                </c:pt>
                <c:pt idx="222">
                  <c:v>5.8204524978241023E-2</c:v>
                </c:pt>
                <c:pt idx="223">
                  <c:v>5.8222574273661731E-2</c:v>
                </c:pt>
                <c:pt idx="224">
                  <c:v>5.8240623223171806E-2</c:v>
                </c:pt>
                <c:pt idx="225">
                  <c:v>5.8258671826777908E-2</c:v>
                </c:pt>
                <c:pt idx="226">
                  <c:v>5.8276720084486699E-2</c:v>
                </c:pt>
                <c:pt idx="227">
                  <c:v>5.8294767996304619E-2</c:v>
                </c:pt>
                <c:pt idx="228">
                  <c:v>5.831281556223844E-2</c:v>
                </c:pt>
                <c:pt idx="229">
                  <c:v>5.8330862782294823E-2</c:v>
                </c:pt>
                <c:pt idx="230">
                  <c:v>5.834890965648043E-2</c:v>
                </c:pt>
                <c:pt idx="231">
                  <c:v>5.8366956184801699E-2</c:v>
                </c:pt>
                <c:pt idx="232">
                  <c:v>5.8385002367265404E-2</c:v>
                </c:pt>
                <c:pt idx="233">
                  <c:v>5.8403048203878094E-2</c:v>
                </c:pt>
                <c:pt idx="234">
                  <c:v>5.8421093694646542E-2</c:v>
                </c:pt>
                <c:pt idx="235">
                  <c:v>5.8439138839577187E-2</c:v>
                </c:pt>
                <c:pt idx="236">
                  <c:v>5.8457183638676802E-2</c:v>
                </c:pt>
                <c:pt idx="237">
                  <c:v>5.8475228091951936E-2</c:v>
                </c:pt>
                <c:pt idx="238">
                  <c:v>5.8493272199409141E-2</c:v>
                </c:pt>
                <c:pt idx="239">
                  <c:v>5.8511315961055299E-2</c:v>
                </c:pt>
                <c:pt idx="240">
                  <c:v>5.852935937689685E-2</c:v>
                </c:pt>
                <c:pt idx="241">
                  <c:v>5.8547402446940344E-2</c:v>
                </c:pt>
                <c:pt idx="242">
                  <c:v>5.8565445171192665E-2</c:v>
                </c:pt>
                <c:pt idx="243">
                  <c:v>5.858348754966014E-2</c:v>
                </c:pt>
                <c:pt idx="244">
                  <c:v>5.8601529582349654E-2</c:v>
                </c:pt>
                <c:pt idx="245">
                  <c:v>5.8619571269267756E-2</c:v>
                </c:pt>
                <c:pt idx="246">
                  <c:v>5.8637612610420997E-2</c:v>
                </c:pt>
                <c:pt idx="247">
                  <c:v>5.8655653605816038E-2</c:v>
                </c:pt>
                <c:pt idx="248">
                  <c:v>5.8673694255459541E-2</c:v>
                </c:pt>
                <c:pt idx="249">
                  <c:v>5.8691734559358055E-2</c:v>
                </c:pt>
                <c:pt idx="250">
                  <c:v>5.8709774517518354E-2</c:v>
                </c:pt>
                <c:pt idx="251">
                  <c:v>5.8727814129946876E-2</c:v>
                </c:pt>
                <c:pt idx="252">
                  <c:v>5.8745853396650394E-2</c:v>
                </c:pt>
                <c:pt idx="253">
                  <c:v>5.8763892317635458E-2</c:v>
                </c:pt>
                <c:pt idx="254">
                  <c:v>5.8781930892908729E-2</c:v>
                </c:pt>
                <c:pt idx="255">
                  <c:v>5.8799969122476758E-2</c:v>
                </c:pt>
                <c:pt idx="256">
                  <c:v>5.8818007006346318E-2</c:v>
                </c:pt>
                <c:pt idx="257">
                  <c:v>5.8836044544523958E-2</c:v>
                </c:pt>
                <c:pt idx="258">
                  <c:v>5.8854081737016228E-2</c:v>
                </c:pt>
                <c:pt idx="259">
                  <c:v>5.8872118583829902E-2</c:v>
                </c:pt>
                <c:pt idx="260">
                  <c:v>5.8890155084971418E-2</c:v>
                </c:pt>
                <c:pt idx="261">
                  <c:v>5.8908191240447549E-2</c:v>
                </c:pt>
                <c:pt idx="262">
                  <c:v>5.8926227050264846E-2</c:v>
                </c:pt>
                <c:pt idx="263">
                  <c:v>5.8944262514430079E-2</c:v>
                </c:pt>
                <c:pt idx="264">
                  <c:v>5.896229763294969E-2</c:v>
                </c:pt>
                <c:pt idx="265">
                  <c:v>5.8980332405830338E-2</c:v>
                </c:pt>
                <c:pt idx="266">
                  <c:v>5.8998366833078686E-2</c:v>
                </c:pt>
                <c:pt idx="267">
                  <c:v>5.9016400914701395E-2</c:v>
                </c:pt>
                <c:pt idx="268">
                  <c:v>5.9034434650704903E-2</c:v>
                </c:pt>
                <c:pt idx="269">
                  <c:v>5.9052468041096096E-2</c:v>
                </c:pt>
                <c:pt idx="270">
                  <c:v>5.9070501085881522E-2</c:v>
                </c:pt>
                <c:pt idx="271">
                  <c:v>5.9088533785067621E-2</c:v>
                </c:pt>
                <c:pt idx="272">
                  <c:v>5.9106566138661276E-2</c:v>
                </c:pt>
                <c:pt idx="273">
                  <c:v>5.9124598146668927E-2</c:v>
                </c:pt>
                <c:pt idx="274">
                  <c:v>5.9142629809097236E-2</c:v>
                </c:pt>
                <c:pt idx="275">
                  <c:v>5.9160661125952974E-2</c:v>
                </c:pt>
                <c:pt idx="276">
                  <c:v>5.9178692097242469E-2</c:v>
                </c:pt>
                <c:pt idx="277">
                  <c:v>5.9196722722972606E-2</c:v>
                </c:pt>
                <c:pt idx="278">
                  <c:v>5.9214753003149934E-2</c:v>
                </c:pt>
                <c:pt idx="279">
                  <c:v>5.9232782937781003E-2</c:v>
                </c:pt>
                <c:pt idx="280">
                  <c:v>5.9250812526872476E-2</c:v>
                </c:pt>
                <c:pt idx="281">
                  <c:v>5.9268841770431013E-2</c:v>
                </c:pt>
                <c:pt idx="282">
                  <c:v>5.9286870668463276E-2</c:v>
                </c:pt>
                <c:pt idx="283">
                  <c:v>5.9304899220975704E-2</c:v>
                </c:pt>
                <c:pt idx="284">
                  <c:v>5.9322927427975181E-2</c:v>
                </c:pt>
                <c:pt idx="285">
                  <c:v>5.9340955289468034E-2</c:v>
                </c:pt>
                <c:pt idx="286">
                  <c:v>5.9358982805461147E-2</c:v>
                </c:pt>
                <c:pt idx="287">
                  <c:v>5.9377009975960959E-2</c:v>
                </c:pt>
                <c:pt idx="288">
                  <c:v>5.9395036800974133E-2</c:v>
                </c:pt>
                <c:pt idx="289">
                  <c:v>5.9413063280507439E-2</c:v>
                </c:pt>
                <c:pt idx="290">
                  <c:v>5.9431089414567317E-2</c:v>
                </c:pt>
                <c:pt idx="291">
                  <c:v>5.944911520316043E-2</c:v>
                </c:pt>
                <c:pt idx="292">
                  <c:v>5.9467140646293437E-2</c:v>
                </c:pt>
                <c:pt idx="293">
                  <c:v>5.948516574397289E-2</c:v>
                </c:pt>
                <c:pt idx="294">
                  <c:v>5.9503190496205449E-2</c:v>
                </c:pt>
                <c:pt idx="295">
                  <c:v>5.9521214902997777E-2</c:v>
                </c:pt>
                <c:pt idx="296">
                  <c:v>5.9539238964356533E-2</c:v>
                </c:pt>
                <c:pt idx="297">
                  <c:v>5.9557262680288159E-2</c:v>
                </c:pt>
                <c:pt idx="298">
                  <c:v>5.9575286050799425E-2</c:v>
                </c:pt>
                <c:pt idx="299">
                  <c:v>5.9593309075896883E-2</c:v>
                </c:pt>
                <c:pt idx="300">
                  <c:v>5.9611331755587194E-2</c:v>
                </c:pt>
                <c:pt idx="301">
                  <c:v>5.9629354089877018E-2</c:v>
                </c:pt>
                <c:pt idx="302">
                  <c:v>5.9647376078772907E-2</c:v>
                </c:pt>
                <c:pt idx="303">
                  <c:v>5.966539772228141E-2</c:v>
                </c:pt>
                <c:pt idx="304">
                  <c:v>5.9683419020409301E-2</c:v>
                </c:pt>
                <c:pt idx="305">
                  <c:v>5.9701439973163017E-2</c:v>
                </c:pt>
                <c:pt idx="306">
                  <c:v>5.9719460580549333E-2</c:v>
                </c:pt>
                <c:pt idx="307">
                  <c:v>5.9737480842574908E-2</c:v>
                </c:pt>
                <c:pt idx="308">
                  <c:v>5.9755500759246183E-2</c:v>
                </c:pt>
                <c:pt idx="309">
                  <c:v>5.9773520330569929E-2</c:v>
                </c:pt>
                <c:pt idx="310">
                  <c:v>5.9791539556552586E-2</c:v>
                </c:pt>
                <c:pt idx="311">
                  <c:v>5.9809558437201038E-2</c:v>
                </c:pt>
                <c:pt idx="312">
                  <c:v>5.9827576972521612E-2</c:v>
                </c:pt>
                <c:pt idx="313">
                  <c:v>5.9845595162521192E-2</c:v>
                </c:pt>
                <c:pt idx="314">
                  <c:v>5.9863613007206218E-2</c:v>
                </c:pt>
                <c:pt idx="315">
                  <c:v>5.988163050658335E-2</c:v>
                </c:pt>
                <c:pt idx="316">
                  <c:v>5.989964766065925E-2</c:v>
                </c:pt>
                <c:pt idx="317">
                  <c:v>5.9917664469440468E-2</c:v>
                </c:pt>
                <c:pt idx="318">
                  <c:v>5.9935680932933666E-2</c:v>
                </c:pt>
                <c:pt idx="319">
                  <c:v>5.9953697051145394E-2</c:v>
                </c:pt>
                <c:pt idx="320">
                  <c:v>5.9971712824082424E-2</c:v>
                </c:pt>
                <c:pt idx="321">
                  <c:v>5.9989728251751195E-2</c:v>
                </c:pt>
                <c:pt idx="322">
                  <c:v>6.0007743334158481E-2</c:v>
                </c:pt>
                <c:pt idx="323">
                  <c:v>6.0025758071310831E-2</c:v>
                </c:pt>
                <c:pt idx="324">
                  <c:v>6.0043772463214795E-2</c:v>
                </c:pt>
                <c:pt idx="325">
                  <c:v>6.0061786509877035E-2</c:v>
                </c:pt>
                <c:pt idx="326">
                  <c:v>6.0079800211304213E-2</c:v>
                </c:pt>
                <c:pt idx="327">
                  <c:v>6.0097813567502878E-2</c:v>
                </c:pt>
                <c:pt idx="328">
                  <c:v>6.0115826578479692E-2</c:v>
                </c:pt>
                <c:pt idx="329">
                  <c:v>6.0133839244241316E-2</c:v>
                </c:pt>
                <c:pt idx="330">
                  <c:v>6.0151851564794301E-2</c:v>
                </c:pt>
                <c:pt idx="331">
                  <c:v>6.0169863540145196E-2</c:v>
                </c:pt>
                <c:pt idx="332">
                  <c:v>6.0187875170300775E-2</c:v>
                </c:pt>
                <c:pt idx="333">
                  <c:v>6.0205886455267477E-2</c:v>
                </c:pt>
                <c:pt idx="334">
                  <c:v>6.0223897395052073E-2</c:v>
                </c:pt>
                <c:pt idx="335">
                  <c:v>6.0241907989661114E-2</c:v>
                </c:pt>
                <c:pt idx="336">
                  <c:v>6.0259918239101262E-2</c:v>
                </c:pt>
                <c:pt idx="337">
                  <c:v>6.0277928143379067E-2</c:v>
                </c:pt>
                <c:pt idx="338">
                  <c:v>6.0295937702501079E-2</c:v>
                </c:pt>
                <c:pt idx="339">
                  <c:v>6.031394691647407E-2</c:v>
                </c:pt>
                <c:pt idx="340">
                  <c:v>6.0331955785304592E-2</c:v>
                </c:pt>
                <c:pt idx="341">
                  <c:v>6.0349964308999193E-2</c:v>
                </c:pt>
                <c:pt idx="342">
                  <c:v>6.0367972487564647E-2</c:v>
                </c:pt>
                <c:pt idx="343">
                  <c:v>6.0385980321007393E-2</c:v>
                </c:pt>
                <c:pt idx="344">
                  <c:v>6.0403987809334092E-2</c:v>
                </c:pt>
                <c:pt idx="345">
                  <c:v>6.0421994952551517E-2</c:v>
                </c:pt>
                <c:pt idx="346">
                  <c:v>6.0440001750665995E-2</c:v>
                </c:pt>
                <c:pt idx="347">
                  <c:v>6.045800820368441E-2</c:v>
                </c:pt>
                <c:pt idx="348">
                  <c:v>6.0476014311613202E-2</c:v>
                </c:pt>
                <c:pt idx="349">
                  <c:v>6.0494020074459032E-2</c:v>
                </c:pt>
                <c:pt idx="350">
                  <c:v>6.0512025492228561E-2</c:v>
                </c:pt>
                <c:pt idx="351">
                  <c:v>6.0530030564928339E-2</c:v>
                </c:pt>
                <c:pt idx="352">
                  <c:v>6.0548035292565028E-2</c:v>
                </c:pt>
                <c:pt idx="353">
                  <c:v>6.0566039675145178E-2</c:v>
                </c:pt>
                <c:pt idx="354">
                  <c:v>6.0584043712675451E-2</c:v>
                </c:pt>
                <c:pt idx="355">
                  <c:v>6.0602047405162507E-2</c:v>
                </c:pt>
                <c:pt idx="356">
                  <c:v>6.0620050752612897E-2</c:v>
                </c:pt>
                <c:pt idx="357">
                  <c:v>6.0638053755033172E-2</c:v>
                </c:pt>
                <c:pt idx="358">
                  <c:v>6.0656056412430104E-2</c:v>
                </c:pt>
                <c:pt idx="359">
                  <c:v>6.0674058724810132E-2</c:v>
                </c:pt>
                <c:pt idx="360">
                  <c:v>6.0692060692180028E-2</c:v>
                </c:pt>
                <c:pt idx="361">
                  <c:v>6.0710062314546231E-2</c:v>
                </c:pt>
                <c:pt idx="362">
                  <c:v>6.0728063591915515E-2</c:v>
                </c:pt>
                <c:pt idx="363">
                  <c:v>6.074606452429443E-2</c:v>
                </c:pt>
                <c:pt idx="364">
                  <c:v>6.0764065111689525E-2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5.5584501597391658E-2</c:v>
                </c:pt>
                <c:pt idx="1">
                  <c:v>5.5638219195354138E-2</c:v>
                </c:pt>
                <c:pt idx="2">
                  <c:v>5.5692000184690456E-2</c:v>
                </c:pt>
                <c:pt idx="3">
                  <c:v>5.5745831962381247E-2</c:v>
                </c:pt>
                <c:pt idx="4">
                  <c:v>5.5799703556882456E-2</c:v>
                </c:pt>
                <c:pt idx="5">
                  <c:v>5.5853605582019947E-2</c:v>
                </c:pt>
                <c:pt idx="6">
                  <c:v>5.5907530178232245E-2</c:v>
                </c:pt>
                <c:pt idx="7">
                  <c:v>5.5961470942146777E-2</c:v>
                </c:pt>
                <c:pt idx="8">
                  <c:v>5.6015422845562768E-2</c:v>
                </c:pt>
                <c:pt idx="9">
                  <c:v>5.6069382144990632E-2</c:v>
                </c:pt>
                <c:pt idx="10">
                  <c:v>5.6123346282962401E-2</c:v>
                </c:pt>
                <c:pt idx="11">
                  <c:v>5.6177313782378349E-2</c:v>
                </c:pt>
                <c:pt idx="12">
                  <c:v>5.6231284135194542E-2</c:v>
                </c:pt>
                <c:pt idx="13">
                  <c:v>5.62852576867802E-2</c:v>
                </c:pt>
                <c:pt idx="14">
                  <c:v>5.6339235517286708E-2</c:v>
                </c:pt>
                <c:pt idx="15">
                  <c:v>5.6393219321367753E-2</c:v>
                </c:pt>
                <c:pt idx="16">
                  <c:v>5.6447211287576626E-2</c:v>
                </c:pt>
                <c:pt idx="17">
                  <c:v>5.6501213978738869E-2</c:v>
                </c:pt>
                <c:pt idx="18">
                  <c:v>5.6555230214559535E-2</c:v>
                </c:pt>
                <c:pt idx="19">
                  <c:v>5.6609262957673517E-2</c:v>
                </c:pt>
                <c:pt idx="20">
                  <c:v>5.6663315204284505E-2</c:v>
                </c:pt>
                <c:pt idx="21">
                  <c:v>5.6717389880467033E-2</c:v>
                </c:pt>
                <c:pt idx="22">
                  <c:v>5.6771489745123575E-2</c:v>
                </c:pt>
                <c:pt idx="23">
                  <c:v>5.6825617300499273E-2</c:v>
                </c:pt>
                <c:pt idx="24">
                  <c:v>5.6879774711059372E-2</c:v>
                </c:pt>
                <c:pt idx="25">
                  <c:v>5.6933963731430934E-2</c:v>
                </c:pt>
                <c:pt idx="26">
                  <c:v>5.6988185644001786E-2</c:v>
                </c:pt>
                <c:pt idx="27">
                  <c:v>5.7042441206657274E-2</c:v>
                </c:pt>
                <c:pt idx="28">
                  <c:v>5.7096730611019851E-2</c:v>
                </c:pt>
                <c:pt idx="29">
                  <c:v>5.7151053451440163E-2</c:v>
                </c:pt>
                <c:pt idx="30">
                  <c:v>5.7205408704870959E-2</c:v>
                </c:pt>
                <c:pt idx="31">
                  <c:v>5.7259794721639334E-2</c:v>
                </c:pt>
                <c:pt idx="32">
                  <c:v>5.7314209227018506E-2</c:v>
                </c:pt>
                <c:pt idx="33">
                  <c:v>5.7368649333390261E-2</c:v>
                </c:pt>
                <c:pt idx="34">
                  <c:v>5.7423111562681761E-2</c:v>
                </c:pt>
                <c:pt idx="35">
                  <c:v>5.747759187866025E-2</c:v>
                </c:pt>
                <c:pt idx="36">
                  <c:v>5.7532085728574059E-2</c:v>
                </c:pt>
                <c:pt idx="37">
                  <c:v>5.7586588093540676E-2</c:v>
                </c:pt>
                <c:pt idx="38">
                  <c:v>5.7641093547003072E-2</c:v>
                </c:pt>
                <c:pt idx="39">
                  <c:v>5.769559632050443E-2</c:v>
                </c:pt>
                <c:pt idx="40">
                  <c:v>5.7750090375970127E-2</c:v>
                </c:pt>
                <c:pt idx="41">
                  <c:v>5.7804569483632717E-2</c:v>
                </c:pt>
                <c:pt idx="42">
                  <c:v>5.7859027304694916E-2</c:v>
                </c:pt>
                <c:pt idx="43">
                  <c:v>5.7913457477793313E-2</c:v>
                </c:pt>
                <c:pt idx="44">
                  <c:v>5.7967853708304012E-2</c:v>
                </c:pt>
                <c:pt idx="45">
                  <c:v>5.8022209859521792E-2</c:v>
                </c:pt>
                <c:pt idx="46">
                  <c:v>5.8076520044742973E-2</c:v>
                </c:pt>
                <c:pt idx="47">
                  <c:v>5.8130778719292578E-2</c:v>
                </c:pt>
                <c:pt idx="48">
                  <c:v>5.8184980771556469E-2</c:v>
                </c:pt>
                <c:pt idx="49">
                  <c:v>5.823912161210755E-2</c:v>
                </c:pt>
                <c:pt idx="50">
                  <c:v>5.8293197260054316E-2</c:v>
                </c:pt>
                <c:pt idx="51">
                  <c:v>5.8347204425785587E-2</c:v>
                </c:pt>
                <c:pt idx="52">
                  <c:v>5.8401140589340435E-2</c:v>
                </c:pt>
                <c:pt idx="53">
                  <c:v>5.8455004073692612E-2</c:v>
                </c:pt>
                <c:pt idx="54">
                  <c:v>5.8508794112306445E-2</c:v>
                </c:pt>
                <c:pt idx="55">
                  <c:v>5.8562510910393627E-2</c:v>
                </c:pt>
                <c:pt idx="56">
                  <c:v>5.8616155699376435E-2</c:v>
                </c:pt>
                <c:pt idx="57">
                  <c:v>5.8669730784143705E-2</c:v>
                </c:pt>
                <c:pt idx="58">
                  <c:v>5.8723239582767602E-2</c:v>
                </c:pt>
                <c:pt idx="59">
                  <c:v>5.8776686658433053E-2</c:v>
                </c:pt>
                <c:pt idx="60">
                  <c:v>5.8830077743416156E-2</c:v>
                </c:pt>
                <c:pt idx="61">
                  <c:v>5.8883419755030857E-2</c:v>
                </c:pt>
                <c:pt idx="62">
                  <c:v>5.8936720803545298E-2</c:v>
                </c:pt>
                <c:pt idx="63">
                  <c:v>5.898999019214872E-2</c:v>
                </c:pt>
                <c:pt idx="64">
                  <c:v>5.9043238409125967E-2</c:v>
                </c:pt>
                <c:pt idx="65">
                  <c:v>5.9096477112468182E-2</c:v>
                </c:pt>
                <c:pt idx="66">
                  <c:v>5.9149719107215948E-2</c:v>
                </c:pt>
                <c:pt idx="67">
                  <c:v>5.9202978315892059E-2</c:v>
                </c:pt>
                <c:pt idx="68">
                  <c:v>5.9256269742436182E-2</c:v>
                </c:pt>
                <c:pt idx="69">
                  <c:v>5.9309609430102959E-2</c:v>
                </c:pt>
                <c:pt idx="70">
                  <c:v>5.9363014413825591E-2</c:v>
                </c:pt>
                <c:pt idx="71">
                  <c:v>5.9416502667581021E-2</c:v>
                </c:pt>
                <c:pt idx="72">
                  <c:v>5.9470093047319289E-2</c:v>
                </c:pt>
                <c:pt idx="73">
                  <c:v>5.9523805230037488E-2</c:v>
                </c:pt>
                <c:pt idx="74">
                  <c:v>5.9577659649589082E-2</c:v>
                </c:pt>
                <c:pt idx="75">
                  <c:v>5.963167742982186E-2</c:v>
                </c:pt>
                <c:pt idx="76">
                  <c:v>5.9685880315632968E-2</c:v>
                </c:pt>
                <c:pt idx="77">
                  <c:v>5.9740290602515879E-2</c:v>
                </c:pt>
                <c:pt idx="78">
                  <c:v>5.9794931065155078E-2</c:v>
                </c:pt>
                <c:pt idx="79">
                  <c:v>5.9849824885597806E-2</c:v>
                </c:pt>
                <c:pt idx="80">
                  <c:v>5.9904995581498741E-2</c:v>
                </c:pt>
                <c:pt idx="81">
                  <c:v>5.9960466934896331E-2</c:v>
                </c:pt>
                <c:pt idx="82">
                  <c:v>6.0016262921935515E-2</c:v>
                </c:pt>
                <c:pt idx="83">
                  <c:v>6.0072407643904494E-2</c:v>
                </c:pt>
                <c:pt idx="84">
                  <c:v>6.0128925259902148E-2</c:v>
                </c:pt>
                <c:pt idx="85">
                  <c:v>6.0185839921399559E-2</c:v>
                </c:pt>
                <c:pt idx="86">
                  <c:v>6.0243175708902752E-2</c:v>
                </c:pt>
                <c:pt idx="87">
                  <c:v>6.0300956570868328E-2</c:v>
                </c:pt>
                <c:pt idx="88">
                  <c:v>6.0359206264966193E-2</c:v>
                </c:pt>
                <c:pt idx="89">
                  <c:v>6.0417948301728003E-2</c:v>
                </c:pt>
                <c:pt idx="90">
                  <c:v>6.0477205890565204E-2</c:v>
                </c:pt>
                <c:pt idx="91">
                  <c:v>6.0537001888088575E-2</c:v>
                </c:pt>
                <c:pt idx="92">
                  <c:v>6.0597358748611663E-2</c:v>
                </c:pt>
                <c:pt idx="93">
                  <c:v>6.0658298476675372E-2</c:v>
                </c:pt>
                <c:pt idx="94">
                  <c:v>6.0719842581390272E-2</c:v>
                </c:pt>
                <c:pt idx="95">
                  <c:v>6.0782012032356669E-2</c:v>
                </c:pt>
                <c:pt idx="96">
                  <c:v>6.084482721689323E-2</c:v>
                </c:pt>
                <c:pt idx="97">
                  <c:v>6.0908307898279938E-2</c:v>
                </c:pt>
                <c:pt idx="98">
                  <c:v>6.0972473174704306E-2</c:v>
                </c:pt>
                <c:pt idx="99">
                  <c:v>6.1037341438588279E-2</c:v>
                </c:pt>
                <c:pt idx="100">
                  <c:v>6.1102930335969877E-2</c:v>
                </c:pt>
                <c:pt idx="101">
                  <c:v>6.1169256725616392E-2</c:v>
                </c:pt>
                <c:pt idx="102">
                  <c:v>6.1236336637556954E-2</c:v>
                </c:pt>
                <c:pt idx="103">
                  <c:v>6.1304185230738599E-2</c:v>
                </c:pt>
                <c:pt idx="104">
                  <c:v>6.1372816749535319E-2</c:v>
                </c:pt>
                <c:pt idx="105">
                  <c:v>6.1442244478869389E-2</c:v>
                </c:pt>
                <c:pt idx="106">
                  <c:v>6.1512480697741997E-2</c:v>
                </c:pt>
                <c:pt idx="107">
                  <c:v>6.1583536631012313E-2</c:v>
                </c:pt>
                <c:pt idx="108">
                  <c:v>6.1655422399312737E-2</c:v>
                </c:pt>
                <c:pt idx="109">
                  <c:v>6.1728146967040126E-2</c:v>
                </c:pt>
                <c:pt idx="110">
                  <c:v>6.1801718088419742E-2</c:v>
                </c:pt>
                <c:pt idx="111">
                  <c:v>6.1876142251698178E-2</c:v>
                </c:pt>
                <c:pt idx="112">
                  <c:v>6.1951424621583949E-2</c:v>
                </c:pt>
                <c:pt idx="113">
                  <c:v>6.2027568980117707E-2</c:v>
                </c:pt>
                <c:pt idx="114">
                  <c:v>6.2104577666218914E-2</c:v>
                </c:pt>
                <c:pt idx="115">
                  <c:v>6.2182451514219944E-2</c:v>
                </c:pt>
                <c:pt idx="116">
                  <c:v>6.2261189791761325E-2</c:v>
                </c:pt>
                <c:pt idx="117">
                  <c:v>6.234079013748367E-2</c:v>
                </c:pt>
                <c:pt idx="118">
                  <c:v>6.2421248499009131E-2</c:v>
                </c:pt>
                <c:pt idx="119">
                  <c:v>8.0885102312609237E-3</c:v>
                </c:pt>
                <c:pt idx="120">
                  <c:v>8.1986190382898338E-3</c:v>
                </c:pt>
                <c:pt idx="121">
                  <c:v>8.3088385119195127E-3</c:v>
                </c:pt>
                <c:pt idx="122">
                  <c:v>8.419171030458578E-3</c:v>
                </c:pt>
                <c:pt idx="123">
                  <c:v>8.529618611551569E-3</c:v>
                </c:pt>
                <c:pt idx="124">
                  <c:v>8.6401828907491391E-3</c:v>
                </c:pt>
                <c:pt idx="125">
                  <c:v>8.7508651004386401E-3</c:v>
                </c:pt>
                <c:pt idx="126">
                  <c:v>8.8616660492990603E-3</c:v>
                </c:pt>
                <c:pt idx="127">
                  <c:v>8.9725861024525094E-3</c:v>
                </c:pt>
                <c:pt idx="128">
                  <c:v>9.083625162491794E-3</c:v>
                </c:pt>
                <c:pt idx="129">
                  <c:v>9.1947826515691618E-3</c:v>
                </c:pt>
                <c:pt idx="130">
                  <c:v>9.306057494735169E-3</c:v>
                </c:pt>
                <c:pt idx="131">
                  <c:v>9.4174481047183747E-3</c:v>
                </c:pt>
                <c:pt idx="132">
                  <c:v>9.528952368336896E-3</c:v>
                </c:pt>
                <c:pt idx="133">
                  <c:v>9.6405676347301565E-3</c:v>
                </c:pt>
                <c:pt idx="134">
                  <c:v>9.7522907055955441E-3</c:v>
                </c:pt>
                <c:pt idx="135">
                  <c:v>9.8641178276075072E-3</c:v>
                </c:pt>
                <c:pt idx="136">
                  <c:v>9.9760446871884345E-3</c:v>
                </c:pt>
                <c:pt idx="137">
                  <c:v>1.0088066407789517E-2</c:v>
                </c:pt>
                <c:pt idx="138">
                  <c:v>1.0200177549826755E-2</c:v>
                </c:pt>
                <c:pt idx="139">
                  <c:v>1.0312372113401887E-2</c:v>
                </c:pt>
                <c:pt idx="140">
                  <c:v>1.0424643543921273E-2</c:v>
                </c:pt>
                <c:pt idx="141">
                  <c:v>1.0536984740706029E-2</c:v>
                </c:pt>
                <c:pt idx="142">
                  <c:v>1.0649388068666246E-2</c:v>
                </c:pt>
                <c:pt idx="143">
                  <c:v>1.0761845373089499E-2</c:v>
                </c:pt>
                <c:pt idx="144">
                  <c:v>1.087434799756995E-2</c:v>
                </c:pt>
                <c:pt idx="145">
                  <c:v>1.0986886805079242E-2</c:v>
                </c:pt>
                <c:pt idx="146">
                  <c:v>1.1099452202154353E-2</c:v>
                </c:pt>
                <c:pt idx="147">
                  <c:v>1.1212034166150752E-2</c:v>
                </c:pt>
                <c:pt idx="148">
                  <c:v>1.1324622275482048E-2</c:v>
                </c:pt>
                <c:pt idx="149">
                  <c:v>1.1437205742739752E-2</c:v>
                </c:pt>
                <c:pt idx="150">
                  <c:v>1.154977345055969E-2</c:v>
                </c:pt>
                <c:pt idx="151">
                  <c:v>1.1662313990074362E-2</c:v>
                </c:pt>
                <c:pt idx="152">
                  <c:v>1.1774815701764644E-2</c:v>
                </c:pt>
                <c:pt idx="153">
                  <c:v>1.1887266718498582E-2</c:v>
                </c:pt>
                <c:pt idx="154">
                  <c:v>1.1999655010521524E-2</c:v>
                </c:pt>
                <c:pt idx="155">
                  <c:v>1.2111968432138789E-2</c:v>
                </c:pt>
                <c:pt idx="156">
                  <c:v>1.2224194769811842E-2</c:v>
                </c:pt>
                <c:pt idx="157">
                  <c:v>1.2336321791370257E-2</c:v>
                </c:pt>
                <c:pt idx="158">
                  <c:v>1.244833729602538E-2</c:v>
                </c:pt>
                <c:pt idx="159">
                  <c:v>1.2560229164857878E-2</c:v>
                </c:pt>
                <c:pt idx="160">
                  <c:v>1.2671985411440458E-2</c:v>
                </c:pt>
                <c:pt idx="161">
                  <c:v>1.2783594232248671E-2</c:v>
                </c:pt>
                <c:pt idx="162">
                  <c:v>1.2895044056507767E-2</c:v>
                </c:pt>
                <c:pt idx="163">
                  <c:v>1.3006323595121477E-2</c:v>
                </c:pt>
                <c:pt idx="164">
                  <c:v>1.311742188833E-2</c:v>
                </c:pt>
                <c:pt idx="165">
                  <c:v>1.3228328351748626E-2</c:v>
                </c:pt>
                <c:pt idx="166">
                  <c:v>1.3339032820446814E-2</c:v>
                </c:pt>
                <c:pt idx="167">
                  <c:v>1.3449525590737794E-2</c:v>
                </c:pt>
                <c:pt idx="168">
                  <c:v>1.355979745936378E-2</c:v>
                </c:pt>
                <c:pt idx="169">
                  <c:v>1.3669839759778771E-2</c:v>
                </c:pt>
                <c:pt idx="170">
                  <c:v>1.3779644395251246E-2</c:v>
                </c:pt>
                <c:pt idx="171">
                  <c:v>1.3889203868532514E-2</c:v>
                </c:pt>
                <c:pt idx="172">
                  <c:v>1.3998511307861831E-2</c:v>
                </c:pt>
                <c:pt idx="173">
                  <c:v>1.4107560489108001E-2</c:v>
                </c:pt>
                <c:pt idx="174">
                  <c:v>1.4216345853877101E-2</c:v>
                </c:pt>
                <c:pt idx="175">
                  <c:v>1.4324862523448448E-2</c:v>
                </c:pt>
                <c:pt idx="176">
                  <c:v>1.4433106308434546E-2</c:v>
                </c:pt>
                <c:pt idx="177">
                  <c:v>1.4541073714095697E-2</c:v>
                </c:pt>
                <c:pt idx="178">
                  <c:v>1.4648761941276098E-2</c:v>
                </c:pt>
                <c:pt idx="179">
                  <c:v>1.4756168882964346E-2</c:v>
                </c:pt>
                <c:pt idx="180">
                  <c:v>1.4863293116518322E-2</c:v>
                </c:pt>
                <c:pt idx="181">
                  <c:v>1.4970133891630526E-2</c:v>
                </c:pt>
                <c:pt idx="182">
                  <c:v>1.5076691114146095E-2</c:v>
                </c:pt>
                <c:pt idx="183">
                  <c:v>1.5182965325880576E-2</c:v>
                </c:pt>
                <c:pt idx="184">
                  <c:v>1.5288957680618467E-2</c:v>
                </c:pt>
                <c:pt idx="185">
                  <c:v>1.5394669916505106E-2</c:v>
                </c:pt>
                <c:pt idx="186">
                  <c:v>1.5500104325075429E-2</c:v>
                </c:pt>
                <c:pt idx="187">
                  <c:v>1.5605263717189947E-2</c:v>
                </c:pt>
                <c:pt idx="188">
                  <c:v>1.5710151386174334E-2</c:v>
                </c:pt>
                <c:pt idx="189">
                  <c:v>1.5814771068480983E-2</c:v>
                </c:pt>
                <c:pt idx="190">
                  <c:v>1.591912690221001E-2</c:v>
                </c:pt>
                <c:pt idx="191">
                  <c:v>1.6023223383843641E-2</c:v>
                </c:pt>
                <c:pt idx="192">
                  <c:v>1.6127065323559665E-2</c:v>
                </c:pt>
                <c:pt idx="193">
                  <c:v>1.6230657799499112E-2</c:v>
                </c:pt>
                <c:pt idx="194">
                  <c:v>1.6334006111367854E-2</c:v>
                </c:pt>
                <c:pt idx="195">
                  <c:v>1.6437115733753269E-2</c:v>
                </c:pt>
                <c:pt idx="196">
                  <c:v>1.6539992269534658E-2</c:v>
                </c:pt>
                <c:pt idx="197">
                  <c:v>1.664264140375956E-2</c:v>
                </c:pt>
                <c:pt idx="198">
                  <c:v>1.6745068858348023E-2</c:v>
                </c:pt>
                <c:pt idx="199">
                  <c:v>1.6847280347973084E-2</c:v>
                </c:pt>
                <c:pt idx="200">
                  <c:v>1.6949281537448697E-2</c:v>
                </c:pt>
                <c:pt idx="201">
                  <c:v>1.705107800093527E-2</c:v>
                </c:pt>
                <c:pt idx="202">
                  <c:v>1.7152675183250029E-2</c:v>
                </c:pt>
                <c:pt idx="203">
                  <c:v>1.7254078363542102E-2</c:v>
                </c:pt>
                <c:pt idx="204">
                  <c:v>1.7355292621563788E-2</c:v>
                </c:pt>
                <c:pt idx="205">
                  <c:v>1.7456322806738079E-2</c:v>
                </c:pt>
                <c:pt idx="206">
                  <c:v>1.7557173510188925E-2</c:v>
                </c:pt>
                <c:pt idx="207">
                  <c:v>1.7657849039866721E-2</c:v>
                </c:pt>
                <c:pt idx="208">
                  <c:v>1.7758353398865109E-2</c:v>
                </c:pt>
                <c:pt idx="209">
                  <c:v>1.7858690266989132E-2</c:v>
                </c:pt>
                <c:pt idx="210">
                  <c:v>1.7958862985597488E-2</c:v>
                </c:pt>
                <c:pt idx="211">
                  <c:v>1.805887454570539E-2</c:v>
                </c:pt>
                <c:pt idx="212">
                  <c:v>1.8158727579298067E-2</c:v>
                </c:pt>
                <c:pt idx="213">
                  <c:v>1.8258424353769606E-2</c:v>
                </c:pt>
                <c:pt idx="214">
                  <c:v>1.8357966769368475E-2</c:v>
                </c:pt>
                <c:pt idx="215">
                  <c:v>1.845735635949821E-2</c:v>
                </c:pt>
                <c:pt idx="216">
                  <c:v>1.8556594293692288E-2</c:v>
                </c:pt>
                <c:pt idx="217">
                  <c:v>1.8655681383054734E-2</c:v>
                </c:pt>
                <c:pt idx="218">
                  <c:v>1.8754618087932644E-2</c:v>
                </c:pt>
                <c:pt idx="219">
                  <c:v>1.8853404527566259E-2</c:v>
                </c:pt>
                <c:pt idx="220">
                  <c:v>1.8952040491442914E-2</c:v>
                </c:pt>
                <c:pt idx="221">
                  <c:v>1.9050525452067521E-2</c:v>
                </c:pt>
                <c:pt idx="222">
                  <c:v>1.9148858578850795E-2</c:v>
                </c:pt>
                <c:pt idx="223">
                  <c:v>1.9247038752809885E-2</c:v>
                </c:pt>
                <c:pt idx="224">
                  <c:v>1.9345064581773125E-2</c:v>
                </c:pt>
                <c:pt idx="225">
                  <c:v>1.9442934415781817E-2</c:v>
                </c:pt>
                <c:pt idx="226">
                  <c:v>1.9540646362387459E-2</c:v>
                </c:pt>
                <c:pt idx="227">
                  <c:v>1.9638198301552102E-2</c:v>
                </c:pt>
                <c:pt idx="228">
                  <c:v>1.9735587899872752E-2</c:v>
                </c:pt>
                <c:pt idx="229">
                  <c:v>1.9832812623868438E-2</c:v>
                </c:pt>
                <c:pt idx="230">
                  <c:v>1.9929869752088512E-2</c:v>
                </c:pt>
                <c:pt idx="231">
                  <c:v>2.0026756385825954E-2</c:v>
                </c:pt>
                <c:pt idx="232">
                  <c:v>2.0123469458246095E-2</c:v>
                </c:pt>
                <c:pt idx="233">
                  <c:v>2.0220005741771688E-2</c:v>
                </c:pt>
                <c:pt idx="234">
                  <c:v>2.0316361853597989E-2</c:v>
                </c:pt>
                <c:pt idx="235">
                  <c:v>2.0412534259246089E-2</c:v>
                </c:pt>
                <c:pt idx="236">
                  <c:v>2.0508519274099357E-2</c:v>
                </c:pt>
                <c:pt idx="237">
                  <c:v>2.0604313062905683E-2</c:v>
                </c:pt>
                <c:pt idx="238">
                  <c:v>2.0699911637266359E-2</c:v>
                </c:pt>
                <c:pt idx="239">
                  <c:v>2.0795310851171828E-2</c:v>
                </c:pt>
                <c:pt idx="240">
                  <c:v>2.0890506394682838E-2</c:v>
                </c:pt>
                <c:pt idx="241">
                  <c:v>2.0985493785893618E-2</c:v>
                </c:pt>
                <c:pt idx="242">
                  <c:v>2.1080268361350966E-2</c:v>
                </c:pt>
                <c:pt idx="243">
                  <c:v>2.1174825265138267E-2</c:v>
                </c:pt>
                <c:pt idx="244">
                  <c:v>2.1269159436866532E-2</c:v>
                </c:pt>
                <c:pt idx="245">
                  <c:v>2.1363265598845875E-2</c:v>
                </c:pt>
                <c:pt idx="246">
                  <c:v>2.1457138242738066E-2</c:v>
                </c:pt>
                <c:pt idx="247">
                  <c:v>2.1550771616015842E-2</c:v>
                </c:pt>
                <c:pt idx="248">
                  <c:v>2.1644159708574893E-2</c:v>
                </c:pt>
                <c:pt idx="249">
                  <c:v>2.1737296239861738E-2</c:v>
                </c:pt>
                <c:pt idx="250">
                  <c:v>2.183017464689271E-2</c:v>
                </c:pt>
                <c:pt idx="251">
                  <c:v>2.1922788073547379E-2</c:v>
                </c:pt>
                <c:pt idx="252">
                  <c:v>2.2015129361522695E-2</c:v>
                </c:pt>
                <c:pt idx="253">
                  <c:v>2.2107191043332468E-2</c:v>
                </c:pt>
                <c:pt idx="254">
                  <c:v>2.2198965337729935E-2</c:v>
                </c:pt>
                <c:pt idx="255">
                  <c:v>2.2290444147919388E-2</c:v>
                </c:pt>
                <c:pt idx="256">
                  <c:v>2.2381619062905988E-2</c:v>
                </c:pt>
                <c:pt idx="257">
                  <c:v>2.2472481362311208E-2</c:v>
                </c:pt>
                <c:pt idx="258">
                  <c:v>2.2563022024954846E-2</c:v>
                </c:pt>
                <c:pt idx="259">
                  <c:v>2.2653231741473333E-2</c:v>
                </c:pt>
                <c:pt idx="260">
                  <c:v>2.2743100931208723E-2</c:v>
                </c:pt>
                <c:pt idx="261">
                  <c:v>2.2832619763563322E-2</c:v>
                </c:pt>
                <c:pt idx="262">
                  <c:v>2.292177818397147E-2</c:v>
                </c:pt>
                <c:pt idx="263">
                  <c:v>2.3010565944593789E-2</c:v>
                </c:pt>
                <c:pt idx="264">
                  <c:v>2.3098972639789914E-2</c:v>
                </c:pt>
                <c:pt idx="265">
                  <c:v>2.318698774637358E-2</c:v>
                </c:pt>
                <c:pt idx="266">
                  <c:v>2.3274600668601139E-2</c:v>
                </c:pt>
                <c:pt idx="267">
                  <c:v>2.3361800787789107E-2</c:v>
                </c:pt>
                <c:pt idx="268">
                  <c:v>2.3448577516400927E-2</c:v>
                </c:pt>
                <c:pt idx="269">
                  <c:v>2.3534920356387923E-2</c:v>
                </c:pt>
                <c:pt idx="270">
                  <c:v>2.3620818961513062E-2</c:v>
                </c:pt>
                <c:pt idx="271">
                  <c:v>2.3706263203333282E-2</c:v>
                </c:pt>
                <c:pt idx="272">
                  <c:v>2.3791243240462497E-2</c:v>
                </c:pt>
                <c:pt idx="273">
                  <c:v>2.3875749590687719E-2</c:v>
                </c:pt>
                <c:pt idx="274">
                  <c:v>2.3959773205463237E-2</c:v>
                </c:pt>
                <c:pt idx="275">
                  <c:v>2.404330554626358E-2</c:v>
                </c:pt>
                <c:pt idx="276">
                  <c:v>2.4126338662236371E-2</c:v>
                </c:pt>
                <c:pt idx="277">
                  <c:v>2.4208865268560063E-2</c:v>
                </c:pt>
                <c:pt idx="278">
                  <c:v>2.4290878824881471E-2</c:v>
                </c:pt>
                <c:pt idx="279">
                  <c:v>2.4372373613182417E-2</c:v>
                </c:pt>
                <c:pt idx="280">
                  <c:v>2.4453344814405205E-2</c:v>
                </c:pt>
                <c:pt idx="281">
                  <c:v>2.4533788583153509E-2</c:v>
                </c:pt>
                <c:pt idx="282">
                  <c:v>2.4613702119777744E-2</c:v>
                </c:pt>
                <c:pt idx="283">
                  <c:v>2.4693083739153587E-2</c:v>
                </c:pt>
                <c:pt idx="284">
                  <c:v>2.4771932935468286E-2</c:v>
                </c:pt>
                <c:pt idx="285">
                  <c:v>2.4850250442342191E-2</c:v>
                </c:pt>
                <c:pt idx="286">
                  <c:v>2.4928038287632466E-2</c:v>
                </c:pt>
                <c:pt idx="287">
                  <c:v>2.5005299842292373E-2</c:v>
                </c:pt>
                <c:pt idx="288">
                  <c:v>2.508203986269195E-2</c:v>
                </c:pt>
                <c:pt idx="289">
                  <c:v>2.5158264525845467E-2</c:v>
                </c:pt>
                <c:pt idx="290">
                  <c:v>2.5233981457036085E-2</c:v>
                </c:pt>
                <c:pt idx="291">
                  <c:v>2.5309199749379178E-2</c:v>
                </c:pt>
                <c:pt idx="292">
                  <c:v>2.5383929974922278E-2</c:v>
                </c:pt>
                <c:pt idx="293">
                  <c:v>2.5458184186940958E-2</c:v>
                </c:pt>
                <c:pt idx="294">
                  <c:v>2.5531975913155355E-2</c:v>
                </c:pt>
                <c:pt idx="295">
                  <c:v>2.5605320139662283E-2</c:v>
                </c:pt>
                <c:pt idx="296">
                  <c:v>2.5678233285449933E-2</c:v>
                </c:pt>
                <c:pt idx="297">
                  <c:v>2.5750733167438197E-2</c:v>
                </c:pt>
                <c:pt idx="298">
                  <c:v>2.582283895606477E-2</c:v>
                </c:pt>
                <c:pt idx="299">
                  <c:v>2.5894571121515685E-2</c:v>
                </c:pt>
                <c:pt idx="300">
                  <c:v>2.5965951370778121E-2</c:v>
                </c:pt>
                <c:pt idx="301">
                  <c:v>2.6037002575772111E-2</c:v>
                </c:pt>
                <c:pt idx="302">
                  <c:v>2.6107748692895515E-2</c:v>
                </c:pt>
                <c:pt idx="303">
                  <c:v>2.6178214674392689E-2</c:v>
                </c:pt>
                <c:pt idx="304">
                  <c:v>2.6248426372031057E-2</c:v>
                </c:pt>
                <c:pt idx="305">
                  <c:v>2.6318410433639843E-2</c:v>
                </c:pt>
                <c:pt idx="306">
                  <c:v>2.6388194193131945E-2</c:v>
                </c:pt>
                <c:pt idx="307">
                  <c:v>2.6457805554691849E-2</c:v>
                </c:pt>
                <c:pt idx="308">
                  <c:v>2.6527272871869092E-2</c:v>
                </c:pt>
                <c:pt idx="309">
                  <c:v>2.6596624822367815E-2</c:v>
                </c:pt>
                <c:pt idx="310">
                  <c:v>2.6665890279367586E-2</c:v>
                </c:pt>
                <c:pt idx="311">
                  <c:v>2.6735098180248582E-2</c:v>
                </c:pt>
                <c:pt idx="312">
                  <c:v>2.6804277393624825E-2</c:v>
                </c:pt>
                <c:pt idx="313">
                  <c:v>2.6873456585612184E-2</c:v>
                </c:pt>
                <c:pt idx="314">
                  <c:v>2.6942664086273486E-2</c:v>
                </c:pt>
                <c:pt idx="315">
                  <c:v>2.7011927757189916E-2</c:v>
                </c:pt>
                <c:pt idx="316">
                  <c:v>2.7081274861107132E-2</c:v>
                </c:pt>
                <c:pt idx="317">
                  <c:v>2.7150731934595621E-2</c:v>
                </c:pt>
                <c:pt idx="318">
                  <c:v>2.7220324664646911E-2</c:v>
                </c:pt>
                <c:pt idx="319">
                  <c:v>2.7290077770102467E-2</c:v>
                </c:pt>
                <c:pt idx="320">
                  <c:v>2.7360014888778202E-2</c:v>
                </c:pt>
                <c:pt idx="321">
                  <c:v>2.7430158471106931E-2</c:v>
                </c:pt>
                <c:pt idx="322">
                  <c:v>2.7500529681072621E-2</c:v>
                </c:pt>
                <c:pt idx="323">
                  <c:v>2.7571148305154662E-2</c:v>
                </c:pt>
                <c:pt idx="324">
                  <c:v>2.7642032669939667E-2</c:v>
                </c:pt>
                <c:pt idx="325">
                  <c:v>2.7713199568989495E-2</c:v>
                </c:pt>
                <c:pt idx="326">
                  <c:v>2.7784664199482084E-2</c:v>
                </c:pt>
                <c:pt idx="327">
                  <c:v>2.7856440109064056E-2</c:v>
                </c:pt>
                <c:pt idx="328">
                  <c:v>2.7928539153271772E-2</c:v>
                </c:pt>
                <c:pt idx="329">
                  <c:v>2.8000971463793774E-2</c:v>
                </c:pt>
                <c:pt idx="330">
                  <c:v>2.8073745427759297E-2</c:v>
                </c:pt>
                <c:pt idx="331">
                  <c:v>2.8146867678149119E-2</c:v>
                </c:pt>
                <c:pt idx="332">
                  <c:v>2.8220343095335162E-2</c:v>
                </c:pt>
                <c:pt idx="333">
                  <c:v>2.8294174819665004E-2</c:v>
                </c:pt>
                <c:pt idx="334">
                  <c:v>2.8368364274918879E-2</c:v>
                </c:pt>
                <c:pt idx="335">
                  <c:v>2.8442911202378858E-2</c:v>
                </c:pt>
                <c:pt idx="336">
                  <c:v>2.8517813705164863E-2</c:v>
                </c:pt>
                <c:pt idx="337">
                  <c:v>2.8593068302410495E-2</c:v>
                </c:pt>
                <c:pt idx="338">
                  <c:v>2.8668669992773253E-2</c:v>
                </c:pt>
                <c:pt idx="339">
                  <c:v>2.874461232670078E-2</c:v>
                </c:pt>
                <c:pt idx="340">
                  <c:v>2.8820887486806342E-2</c:v>
                </c:pt>
                <c:pt idx="341">
                  <c:v>2.8897486375645133E-2</c:v>
                </c:pt>
                <c:pt idx="342">
                  <c:v>2.897439871012681E-2</c:v>
                </c:pt>
                <c:pt idx="343">
                  <c:v>2.9051613121751665E-2</c:v>
                </c:pt>
                <c:pt idx="344">
                  <c:v>2.9129117261816183E-2</c:v>
                </c:pt>
                <c:pt idx="345">
                  <c:v>2.9206897910700653E-2</c:v>
                </c:pt>
                <c:pt idx="346">
                  <c:v>2.9284941090326002E-2</c:v>
                </c:pt>
                <c:pt idx="347">
                  <c:v>2.9363232178850267E-2</c:v>
                </c:pt>
                <c:pt idx="348">
                  <c:v>2.9441756026666092E-2</c:v>
                </c:pt>
                <c:pt idx="349">
                  <c:v>2.9520497072760908E-2</c:v>
                </c:pt>
                <c:pt idx="350">
                  <c:v>2.9599439460509389E-2</c:v>
                </c:pt>
                <c:pt idx="351">
                  <c:v>2.9678567151984591E-2</c:v>
                </c:pt>
                <c:pt idx="352">
                  <c:v>2.9757864039898649E-2</c:v>
                </c:pt>
                <c:pt idx="353">
                  <c:v>2.9837314056316486E-2</c:v>
                </c:pt>
                <c:pt idx="354">
                  <c:v>2.991690127732614E-2</c:v>
                </c:pt>
                <c:pt idx="355">
                  <c:v>2.9996610022895911E-2</c:v>
                </c:pt>
                <c:pt idx="356">
                  <c:v>3.0076424951202815E-2</c:v>
                </c:pt>
                <c:pt idx="357">
                  <c:v>3.0156331146775805E-2</c:v>
                </c:pt>
                <c:pt idx="358">
                  <c:v>3.0236314201862884E-2</c:v>
                </c:pt>
                <c:pt idx="359">
                  <c:v>3.0316360290500412E-2</c:v>
                </c:pt>
                <c:pt idx="360">
                  <c:v>3.0396456234837735E-2</c:v>
                </c:pt>
                <c:pt idx="361">
                  <c:v>3.0476589563346469E-2</c:v>
                </c:pt>
                <c:pt idx="362">
                  <c:v>3.0556748560624351E-2</c:v>
                </c:pt>
                <c:pt idx="363">
                  <c:v>3.0636922308584887E-2</c:v>
                </c:pt>
                <c:pt idx="364">
                  <c:v>3.0717100718906487E-2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7.3572698759047546E-4</c:v>
                </c:pt>
                <c:pt idx="1">
                  <c:v>7.1312319000702592E-4</c:v>
                </c:pt>
                <c:pt idx="2">
                  <c:v>6.9273949351100902E-4</c:v>
                </c:pt>
                <c:pt idx="3">
                  <c:v>6.7456187112744032E-4</c:v>
                </c:pt>
                <c:pt idx="4">
                  <c:v>6.5857156314969001E-4</c:v>
                </c:pt>
                <c:pt idx="5">
                  <c:v>6.4474555345846369E-4</c:v>
                </c:pt>
                <c:pt idx="6">
                  <c:v>6.3305705679304186E-4</c:v>
                </c:pt>
                <c:pt idx="7">
                  <c:v>6.2347601040921492E-4</c:v>
                </c:pt>
                <c:pt idx="8">
                  <c:v>6.1589501024045821E-4</c:v>
                </c:pt>
                <c:pt idx="9">
                  <c:v>6.096036785570465E-4</c:v>
                </c:pt>
                <c:pt idx="10">
                  <c:v>6.0388731266207906E-4</c:v>
                </c:pt>
                <c:pt idx="11">
                  <c:v>5.9875483325235444E-4</c:v>
                </c:pt>
                <c:pt idx="12">
                  <c:v>5.9421301317968533E-4</c:v>
                </c:pt>
                <c:pt idx="13">
                  <c:v>5.902666864941908E-4</c:v>
                </c:pt>
                <c:pt idx="14">
                  <c:v>5.8691896285830586E-4</c:v>
                </c:pt>
                <c:pt idx="15">
                  <c:v>5.8333718242502524E-4</c:v>
                </c:pt>
                <c:pt idx="16">
                  <c:v>5.7829428304612053E-4</c:v>
                </c:pt>
                <c:pt idx="17">
                  <c:v>5.7185453755922999E-4</c:v>
                </c:pt>
                <c:pt idx="18">
                  <c:v>5.640806928213346E-4</c:v>
                </c:pt>
                <c:pt idx="19">
                  <c:v>5.5503663125570501E-4</c:v>
                </c:pt>
                <c:pt idx="20">
                  <c:v>5.4478505104732749E-4</c:v>
                </c:pt>
                <c:pt idx="21">
                  <c:v>5.3338330531957649E-4</c:v>
                </c:pt>
                <c:pt idx="22">
                  <c:v>5.2081290702702071E-4</c:v>
                </c:pt>
                <c:pt idx="23">
                  <c:v>5.073410694004432E-4</c:v>
                </c:pt>
                <c:pt idx="24">
                  <c:v>4.935486729023312E-4</c:v>
                </c:pt>
                <c:pt idx="25">
                  <c:v>4.7947244489774207E-4</c:v>
                </c:pt>
                <c:pt idx="26">
                  <c:v>4.6514599681753946E-4</c:v>
                </c:pt>
                <c:pt idx="27">
                  <c:v>4.5059982997172908E-4</c:v>
                </c:pt>
                <c:pt idx="28">
                  <c:v>4.358613733576824E-4</c:v>
                </c:pt>
                <c:pt idx="29">
                  <c:v>4.2101499414524393E-4</c:v>
                </c:pt>
                <c:pt idx="30">
                  <c:v>4.0678989084046418E-4</c:v>
                </c:pt>
                <c:pt idx="31">
                  <c:v>3.9317989882958868E-4</c:v>
                </c:pt>
                <c:pt idx="32">
                  <c:v>3.801773017056535E-4</c:v>
                </c:pt>
                <c:pt idx="33">
                  <c:v>3.6777310523289608E-4</c:v>
                </c:pt>
                <c:pt idx="34">
                  <c:v>3.5595728921079649E-4</c:v>
                </c:pt>
                <c:pt idx="35">
                  <c:v>3.4471903775409933E-4</c:v>
                </c:pt>
                <c:pt idx="36">
                  <c:v>3.340215473316687E-4</c:v>
                </c:pt>
                <c:pt idx="37">
                  <c:v>3.238165584880138E-4</c:v>
                </c:pt>
                <c:pt idx="38">
                  <c:v>3.1385480514722105E-4</c:v>
                </c:pt>
                <c:pt idx="39">
                  <c:v>3.0413032272977927E-4</c:v>
                </c:pt>
                <c:pt idx="40">
                  <c:v>2.9463721909544387E-4</c:v>
                </c:pt>
                <c:pt idx="41">
                  <c:v>2.8536968961796223E-4</c:v>
                </c:pt>
                <c:pt idx="42">
                  <c:v>2.7632203028889342E-4</c:v>
                </c:pt>
                <c:pt idx="43">
                  <c:v>2.6736608044813671E-4</c:v>
                </c:pt>
                <c:pt idx="44">
                  <c:v>2.5844812236536273E-4</c:v>
                </c:pt>
                <c:pt idx="45">
                  <c:v>2.4956743654979167E-4</c:v>
                </c:pt>
                <c:pt idx="46">
                  <c:v>2.4072324595179076E-4</c:v>
                </c:pt>
                <c:pt idx="47">
                  <c:v>2.3191472364860049E-4</c:v>
                </c:pt>
                <c:pt idx="48">
                  <c:v>2.2314099842815567E-4</c:v>
                </c:pt>
                <c:pt idx="49">
                  <c:v>2.1440115831487583E-4</c:v>
                </c:pt>
                <c:pt idx="50">
                  <c:v>2.0569286983701282E-4</c:v>
                </c:pt>
                <c:pt idx="51">
                  <c:v>1.971013760269492E-4</c:v>
                </c:pt>
                <c:pt idx="52">
                  <c:v>1.8863100374501513E-4</c:v>
                </c:pt>
                <c:pt idx="53">
                  <c:v>1.8027736928060613E-4</c:v>
                </c:pt>
                <c:pt idx="54">
                  <c:v>1.7203728008402189E-4</c:v>
                </c:pt>
                <c:pt idx="55">
                  <c:v>1.6390770014876194E-4</c:v>
                </c:pt>
                <c:pt idx="56">
                  <c:v>1.5588573433353005E-4</c:v>
                </c:pt>
                <c:pt idx="57">
                  <c:v>1.4823053253607438E-4</c:v>
                </c:pt>
                <c:pt idx="58">
                  <c:v>1.4104122637225163E-4</c:v>
                </c:pt>
                <c:pt idx="59">
                  <c:v>1.3430683564375092E-4</c:v>
                </c:pt>
                <c:pt idx="60">
                  <c:v>1.2801677661523247E-4</c:v>
                </c:pt>
                <c:pt idx="61">
                  <c:v>1.2216084389193171E-4</c:v>
                </c:pt>
                <c:pt idx="62">
                  <c:v>1.16729194802913E-4</c:v>
                </c:pt>
                <c:pt idx="63">
                  <c:v>1.1171233627726766E-4</c:v>
                </c:pt>
                <c:pt idx="64">
                  <c:v>1.0709835554678599E-4</c:v>
                </c:pt>
                <c:pt idx="65">
                  <c:v>1.0289099983846557E-4</c:v>
                </c:pt>
                <c:pt idx="66">
                  <c:v>9.900513863257343E-5</c:v>
                </c:pt>
                <c:pt idx="67">
                  <c:v>9.5435372594137845E-5</c:v>
                </c:pt>
                <c:pt idx="68">
                  <c:v>9.2176307224896097E-5</c:v>
                </c:pt>
                <c:pt idx="69">
                  <c:v>8.9222597974404917E-5</c:v>
                </c:pt>
                <c:pt idx="70">
                  <c:v>8.6568993482908708E-5</c:v>
                </c:pt>
                <c:pt idx="71">
                  <c:v>8.421017122526893E-5</c:v>
                </c:pt>
                <c:pt idx="72">
                  <c:v>8.1906094873925988E-5</c:v>
                </c:pt>
                <c:pt idx="73">
                  <c:v>7.9656383356569021E-5</c:v>
                </c:pt>
                <c:pt idx="74">
                  <c:v>7.7460558088594103E-5</c:v>
                </c:pt>
                <c:pt idx="75">
                  <c:v>7.5318049359886607E-5</c:v>
                </c:pt>
                <c:pt idx="76">
                  <c:v>7.3228202471657859E-5</c:v>
                </c:pt>
                <c:pt idx="77">
                  <c:v>7.1190283601295837E-5</c:v>
                </c:pt>
                <c:pt idx="78">
                  <c:v>6.9199093928368812E-5</c:v>
                </c:pt>
                <c:pt idx="79">
                  <c:v>6.7272971036371485E-5</c:v>
                </c:pt>
                <c:pt idx="80">
                  <c:v>6.5399294874896421E-5</c:v>
                </c:pt>
                <c:pt idx="81">
                  <c:v>6.357806488774075E-5</c:v>
                </c:pt>
                <c:pt idx="82">
                  <c:v>6.1809135752466415E-5</c:v>
                </c:pt>
                <c:pt idx="83">
                  <c:v>6.0092230879560634E-5</c:v>
                </c:pt>
                <c:pt idx="84">
                  <c:v>5.8426955461572354E-5</c:v>
                </c:pt>
                <c:pt idx="85">
                  <c:v>5.6836336203448832E-5</c:v>
                </c:pt>
                <c:pt idx="86">
                  <c:v>5.5319764132979904E-5</c:v>
                </c:pt>
                <c:pt idx="87">
                  <c:v>5.3876407468672109E-5</c:v>
                </c:pt>
                <c:pt idx="88">
                  <c:v>5.2505420236557602E-5</c:v>
                </c:pt>
                <c:pt idx="89">
                  <c:v>5.120595677716556E-5</c:v>
                </c:pt>
                <c:pt idx="90">
                  <c:v>4.9986408229945831E-5</c:v>
                </c:pt>
                <c:pt idx="91">
                  <c:v>4.8898795558116331E-5</c:v>
                </c:pt>
                <c:pt idx="92">
                  <c:v>4.7876887993333386E-5</c:v>
                </c:pt>
                <c:pt idx="93">
                  <c:v>4.6912360905129133E-5</c:v>
                </c:pt>
                <c:pt idx="94">
                  <c:v>4.5982772309548461E-5</c:v>
                </c:pt>
                <c:pt idx="95">
                  <c:v>4.5087420538408984E-5</c:v>
                </c:pt>
                <c:pt idx="96">
                  <c:v>4.4225638068058612E-5</c:v>
                </c:pt>
                <c:pt idx="97">
                  <c:v>4.3396793095841492E-5</c:v>
                </c:pt>
                <c:pt idx="98">
                  <c:v>4.260029122728814E-5</c:v>
                </c:pt>
                <c:pt idx="99">
                  <c:v>4.184342336738712E-5</c:v>
                </c:pt>
                <c:pt idx="100">
                  <c:v>4.1101666880868512E-5</c:v>
                </c:pt>
                <c:pt idx="101">
                  <c:v>4.0374165601316978E-5</c:v>
                </c:pt>
                <c:pt idx="102">
                  <c:v>3.9660048291776993E-5</c:v>
                </c:pt>
                <c:pt idx="103">
                  <c:v>3.8958428032265985E-5</c:v>
                </c:pt>
                <c:pt idx="104">
                  <c:v>3.8268401588948151E-5</c:v>
                </c:pt>
                <c:pt idx="105">
                  <c:v>3.75890487417819E-5</c:v>
                </c:pt>
                <c:pt idx="106">
                  <c:v>3.691926347010917E-5</c:v>
                </c:pt>
                <c:pt idx="107">
                  <c:v>3.6275808994595226E-5</c:v>
                </c:pt>
                <c:pt idx="108">
                  <c:v>3.5663254363552337E-5</c:v>
                </c:pt>
                <c:pt idx="109">
                  <c:v>3.5080913600056531E-5</c:v>
                </c:pt>
                <c:pt idx="110">
                  <c:v>3.4528237747952319E-5</c:v>
                </c:pt>
                <c:pt idx="111">
                  <c:v>3.4004712576533493E-5</c:v>
                </c:pt>
                <c:pt idx="112">
                  <c:v>3.3509762222940568E-5</c:v>
                </c:pt>
                <c:pt idx="113">
                  <c:v>3.3050340133747153E-5</c:v>
                </c:pt>
                <c:pt idx="114">
                  <c:v>3.2618105400291249E-5</c:v>
                </c:pt>
                <c:pt idx="115">
                  <c:v>3.2212879662751592E-5</c:v>
                </c:pt>
                <c:pt idx="116">
                  <c:v>3.18345438123016E-5</c:v>
                </c:pt>
                <c:pt idx="117">
                  <c:v>3.1483039551518476E-5</c:v>
                </c:pt>
                <c:pt idx="118">
                  <c:v>3.1158371034561665E-5</c:v>
                </c:pt>
                <c:pt idx="119">
                  <c:v>3.0860606594068154E-5</c:v>
                </c:pt>
                <c:pt idx="120">
                  <c:v>3.0590344815412778E-5</c:v>
                </c:pt>
                <c:pt idx="121">
                  <c:v>3.0365519106334871E-5</c:v>
                </c:pt>
                <c:pt idx="122">
                  <c:v>3.0166354217732944E-5</c:v>
                </c:pt>
                <c:pt idx="123">
                  <c:v>2.9993058565038922E-5</c:v>
                </c:pt>
                <c:pt idx="124">
                  <c:v>2.9845927988832272E-5</c:v>
                </c:pt>
                <c:pt idx="125">
                  <c:v>2.9725346384505826E-5</c:v>
                </c:pt>
                <c:pt idx="126">
                  <c:v>2.9631786311200645E-5</c:v>
                </c:pt>
                <c:pt idx="127">
                  <c:v>2.9558827076518306E-5</c:v>
                </c:pt>
                <c:pt idx="128">
                  <c:v>2.9496649478636366E-5</c:v>
                </c:pt>
                <c:pt idx="129">
                  <c:v>2.9444986656314259E-5</c:v>
                </c:pt>
                <c:pt idx="130">
                  <c:v>2.940359546239796E-5</c:v>
                </c:pt>
                <c:pt idx="131">
                  <c:v>2.9372256677734151E-5</c:v>
                </c:pt>
                <c:pt idx="132">
                  <c:v>2.9350775286544905E-5</c:v>
                </c:pt>
                <c:pt idx="133">
                  <c:v>2.9338980790292169E-5</c:v>
                </c:pt>
                <c:pt idx="134">
                  <c:v>2.9337450938675076E-5</c:v>
                </c:pt>
                <c:pt idx="135">
                  <c:v>2.9336201827624758E-5</c:v>
                </c:pt>
                <c:pt idx="136">
                  <c:v>2.9312210194587277E-5</c:v>
                </c:pt>
                <c:pt idx="137">
                  <c:v>2.9263728735400414E-5</c:v>
                </c:pt>
                <c:pt idx="138">
                  <c:v>2.9188951521184926E-5</c:v>
                </c:pt>
                <c:pt idx="139">
                  <c:v>2.9086017526373171E-5</c:v>
                </c:pt>
                <c:pt idx="140">
                  <c:v>2.8953014721196568E-5</c:v>
                </c:pt>
                <c:pt idx="141">
                  <c:v>2.88083081186379E-5</c:v>
                </c:pt>
                <c:pt idx="142">
                  <c:v>2.8659221069156577E-5</c:v>
                </c:pt>
                <c:pt idx="143">
                  <c:v>2.8504939248080177E-5</c:v>
                </c:pt>
                <c:pt idx="144">
                  <c:v>2.8344834051114776E-5</c:v>
                </c:pt>
                <c:pt idx="145">
                  <c:v>2.8178290761948586E-5</c:v>
                </c:pt>
                <c:pt idx="146">
                  <c:v>2.8004711165176737E-5</c:v>
                </c:pt>
                <c:pt idx="147">
                  <c:v>2.7823516246406756E-5</c:v>
                </c:pt>
                <c:pt idx="148">
                  <c:v>2.76347962026481E-5</c:v>
                </c:pt>
                <c:pt idx="149">
                  <c:v>2.7443038521442263E-5</c:v>
                </c:pt>
                <c:pt idx="150">
                  <c:v>2.7261126432679774E-5</c:v>
                </c:pt>
                <c:pt idx="151">
                  <c:v>2.7089271965135706E-5</c:v>
                </c:pt>
                <c:pt idx="152">
                  <c:v>2.692773463835878E-5</c:v>
                </c:pt>
                <c:pt idx="153">
                  <c:v>2.677682071865502E-5</c:v>
                </c:pt>
                <c:pt idx="154">
                  <c:v>2.6636882253965285E-5</c:v>
                </c:pt>
                <c:pt idx="155">
                  <c:v>2.6530434108438251E-5</c:v>
                </c:pt>
                <c:pt idx="156">
                  <c:v>2.6433619047695547E-5</c:v>
                </c:pt>
                <c:pt idx="157">
                  <c:v>2.6347037533169888E-5</c:v>
                </c:pt>
                <c:pt idx="158">
                  <c:v>2.627133544523825E-5</c:v>
                </c:pt>
                <c:pt idx="159">
                  <c:v>2.6207201438063494E-5</c:v>
                </c:pt>
                <c:pt idx="160">
                  <c:v>2.6155363949799734E-5</c:v>
                </c:pt>
                <c:pt idx="161">
                  <c:v>2.6116587873058686E-5</c:v>
                </c:pt>
                <c:pt idx="162">
                  <c:v>2.6092121120148274E-5</c:v>
                </c:pt>
                <c:pt idx="163">
                  <c:v>2.6103888878536315E-5</c:v>
                </c:pt>
                <c:pt idx="164">
                  <c:v>2.6148266663152495E-5</c:v>
                </c:pt>
                <c:pt idx="165">
                  <c:v>2.6226989105389081E-5</c:v>
                </c:pt>
                <c:pt idx="166">
                  <c:v>2.6341805108672646E-5</c:v>
                </c:pt>
                <c:pt idx="167">
                  <c:v>2.649447262334238E-5</c:v>
                </c:pt>
                <c:pt idx="168">
                  <c:v>2.6686753523989931E-5</c:v>
                </c:pt>
                <c:pt idx="169">
                  <c:v>2.6942714762191786E-5</c:v>
                </c:pt>
                <c:pt idx="170">
                  <c:v>2.7236812135701203E-5</c:v>
                </c:pt>
                <c:pt idx="171">
                  <c:v>2.7570474270883256E-5</c:v>
                </c:pt>
                <c:pt idx="172">
                  <c:v>2.7945118953535675E-5</c:v>
                </c:pt>
                <c:pt idx="173">
                  <c:v>2.8361860253946035E-5</c:v>
                </c:pt>
                <c:pt idx="174">
                  <c:v>2.8821761598745861E-5</c:v>
                </c:pt>
                <c:pt idx="175">
                  <c:v>2.9326135505638957E-5</c:v>
                </c:pt>
                <c:pt idx="176">
                  <c:v>2.9876266693393159E-5</c:v>
                </c:pt>
                <c:pt idx="177">
                  <c:v>3.0504196805967774E-5</c:v>
                </c:pt>
                <c:pt idx="178">
                  <c:v>3.1187431465556633E-5</c:v>
                </c:pt>
                <c:pt idx="179">
                  <c:v>3.1927423706557342E-5</c:v>
                </c:pt>
                <c:pt idx="180">
                  <c:v>3.2725583593233224E-5</c:v>
                </c:pt>
                <c:pt idx="181">
                  <c:v>3.3583277402363226E-5</c:v>
                </c:pt>
                <c:pt idx="182">
                  <c:v>3.4501827295327655E-5</c:v>
                </c:pt>
                <c:pt idx="183">
                  <c:v>3.5489323178642544E-5</c:v>
                </c:pt>
                <c:pt idx="184">
                  <c:v>3.6520941536411956E-5</c:v>
                </c:pt>
                <c:pt idx="185">
                  <c:v>3.7597360484658196E-5</c:v>
                </c:pt>
                <c:pt idx="186">
                  <c:v>3.8719239576221451E-5</c:v>
                </c:pt>
                <c:pt idx="187">
                  <c:v>3.9887221353142683E-5</c:v>
                </c:pt>
                <c:pt idx="188">
                  <c:v>4.1101933020574095E-5</c:v>
                </c:pt>
                <c:pt idx="189">
                  <c:v>4.2363988219568901E-5</c:v>
                </c:pt>
                <c:pt idx="190">
                  <c:v>4.3673653067628967E-5</c:v>
                </c:pt>
                <c:pt idx="191">
                  <c:v>4.5067683256997225E-5</c:v>
                </c:pt>
                <c:pt idx="192">
                  <c:v>4.6512016473927743E-5</c:v>
                </c:pt>
                <c:pt idx="193">
                  <c:v>4.8007205960059706E-5</c:v>
                </c:pt>
                <c:pt idx="194">
                  <c:v>4.9553826258613109E-5</c:v>
                </c:pt>
                <c:pt idx="195">
                  <c:v>5.1152477186921597E-5</c:v>
                </c:pt>
                <c:pt idx="196">
                  <c:v>5.2803787725313603E-5</c:v>
                </c:pt>
                <c:pt idx="197">
                  <c:v>5.4487316460404961E-5</c:v>
                </c:pt>
                <c:pt idx="198">
                  <c:v>5.6195945088738158E-5</c:v>
                </c:pt>
                <c:pt idx="199">
                  <c:v>5.7930000863386012E-5</c:v>
                </c:pt>
                <c:pt idx="200">
                  <c:v>5.9689867548247133E-5</c:v>
                </c:pt>
                <c:pt idx="201">
                  <c:v>6.1475986032288754E-5</c:v>
                </c:pt>
                <c:pt idx="202">
                  <c:v>6.3288854819988849E-5</c:v>
                </c:pt>
                <c:pt idx="203">
                  <c:v>6.5129030442645576E-5</c:v>
                </c:pt>
                <c:pt idx="204">
                  <c:v>6.6996412137309368E-5</c:v>
                </c:pt>
                <c:pt idx="205">
                  <c:v>6.8875395654510233E-5</c:v>
                </c:pt>
                <c:pt idx="206">
                  <c:v>7.0726788581503076E-5</c:v>
                </c:pt>
                <c:pt idx="207">
                  <c:v>7.2550184019475332E-5</c:v>
                </c:pt>
                <c:pt idx="208">
                  <c:v>7.4345201868417484E-5</c:v>
                </c:pt>
                <c:pt idx="209">
                  <c:v>7.6111484973805408E-5</c:v>
                </c:pt>
                <c:pt idx="210">
                  <c:v>7.7848695426495704E-5</c:v>
                </c:pt>
                <c:pt idx="211">
                  <c:v>7.9614447150950558E-5</c:v>
                </c:pt>
                <c:pt idx="212">
                  <c:v>8.1431765810485298E-5</c:v>
                </c:pt>
                <c:pt idx="213">
                  <c:v>8.33014254689391E-5</c:v>
                </c:pt>
                <c:pt idx="214">
                  <c:v>8.5224191221551447E-5</c:v>
                </c:pt>
                <c:pt idx="215">
                  <c:v>8.7200819035897567E-5</c:v>
                </c:pt>
                <c:pt idx="216">
                  <c:v>8.9232055609086836E-5</c:v>
                </c:pt>
                <c:pt idx="217">
                  <c:v>9.1318638253361264E-5</c:v>
                </c:pt>
                <c:pt idx="218">
                  <c:v>9.3460537293807905E-5</c:v>
                </c:pt>
                <c:pt idx="219">
                  <c:v>9.5699717370303453E-5</c:v>
                </c:pt>
                <c:pt idx="220">
                  <c:v>9.8053901505443963E-5</c:v>
                </c:pt>
                <c:pt idx="221">
                  <c:v>1.0052485288030822E-4</c:v>
                </c:pt>
                <c:pt idx="222">
                  <c:v>1.0311435197634317E-4</c:v>
                </c:pt>
                <c:pt idx="223">
                  <c:v>1.0582420263972483E-4</c:v>
                </c:pt>
                <c:pt idx="224">
                  <c:v>1.0865623827259238E-4</c:v>
                </c:pt>
                <c:pt idx="225">
                  <c:v>1.1167103652942846E-4</c:v>
                </c:pt>
                <c:pt idx="226">
                  <c:v>1.1480930276211263E-4</c:v>
                </c:pt>
                <c:pt idx="227">
                  <c:v>1.1807290581061859E-4</c:v>
                </c:pt>
                <c:pt idx="228">
                  <c:v>1.214637747957844E-4</c:v>
                </c:pt>
                <c:pt idx="229">
                  <c:v>1.2498390575133749E-4</c:v>
                </c:pt>
                <c:pt idx="230">
                  <c:v>1.2863536844963231E-4</c:v>
                </c:pt>
                <c:pt idx="231">
                  <c:v>1.3242031346860129E-4</c:v>
                </c:pt>
                <c:pt idx="232">
                  <c:v>1.3633965112804652E-4</c:v>
                </c:pt>
                <c:pt idx="233">
                  <c:v>1.4041163114178094E-4</c:v>
                </c:pt>
                <c:pt idx="234">
                  <c:v>1.445931713854608E-4</c:v>
                </c:pt>
                <c:pt idx="235">
                  <c:v>1.4888553829770678E-4</c:v>
                </c:pt>
                <c:pt idx="236">
                  <c:v>1.5329007395155093E-4</c:v>
                </c:pt>
                <c:pt idx="237">
                  <c:v>1.5780805008517134E-4</c:v>
                </c:pt>
                <c:pt idx="238">
                  <c:v>1.6244075771186967E-4</c:v>
                </c:pt>
                <c:pt idx="239">
                  <c:v>1.6719293581438316E-4</c:v>
                </c:pt>
                <c:pt idx="240">
                  <c:v>1.7200381321474598E-4</c:v>
                </c:pt>
                <c:pt idx="241">
                  <c:v>1.7687409034798958E-4</c:v>
                </c:pt>
                <c:pt idx="242">
                  <c:v>1.8180446681584207E-4</c:v>
                </c:pt>
                <c:pt idx="243">
                  <c:v>1.8679563894264699E-4</c:v>
                </c:pt>
                <c:pt idx="244">
                  <c:v>1.9184829701523077E-4</c:v>
                </c:pt>
                <c:pt idx="245">
                  <c:v>1.9696312225251977E-4</c:v>
                </c:pt>
                <c:pt idx="246">
                  <c:v>2.0214078346681943E-4</c:v>
                </c:pt>
                <c:pt idx="247">
                  <c:v>2.0750414503149911E-4</c:v>
                </c:pt>
                <c:pt idx="248">
                  <c:v>2.1303664352852582E-4</c:v>
                </c:pt>
                <c:pt idx="249">
                  <c:v>2.1874024075614187E-4</c:v>
                </c:pt>
                <c:pt idx="250">
                  <c:v>2.2461688299215993E-4</c:v>
                </c:pt>
                <c:pt idx="251">
                  <c:v>2.3066849636222623E-4</c:v>
                </c:pt>
                <c:pt idx="252">
                  <c:v>2.3689698184595928E-4</c:v>
                </c:pt>
                <c:pt idx="253">
                  <c:v>2.4342346120599567E-4</c:v>
                </c:pt>
                <c:pt idx="254">
                  <c:v>2.5024740536911723E-4</c:v>
                </c:pt>
                <c:pt idx="255">
                  <c:v>2.5737205820166052E-4</c:v>
                </c:pt>
                <c:pt idx="256">
                  <c:v>2.6480063063719788E-4</c:v>
                </c:pt>
                <c:pt idx="257">
                  <c:v>2.7253629336076036E-4</c:v>
                </c:pt>
                <c:pt idx="258">
                  <c:v>2.8058216934479679E-4</c:v>
                </c:pt>
                <c:pt idx="259">
                  <c:v>2.8894132631421862E-4</c:v>
                </c:pt>
                <c:pt idx="260">
                  <c:v>2.9761819911134713E-4</c:v>
                </c:pt>
                <c:pt idx="261">
                  <c:v>3.0665645402167885E-4</c:v>
                </c:pt>
                <c:pt idx="262">
                  <c:v>3.1592884924670913E-4</c:v>
                </c:pt>
                <c:pt idx="263">
                  <c:v>3.2543653543059777E-4</c:v>
                </c:pt>
                <c:pt idx="264">
                  <c:v>3.3518049449240571E-4</c:v>
                </c:pt>
                <c:pt idx="265">
                  <c:v>3.4516336395402913E-4</c:v>
                </c:pt>
                <c:pt idx="266">
                  <c:v>3.5538686149514791E-4</c:v>
                </c:pt>
                <c:pt idx="267">
                  <c:v>3.6624284816025326E-4</c:v>
                </c:pt>
                <c:pt idx="268">
                  <c:v>3.7760922009244822E-4</c:v>
                </c:pt>
                <c:pt idx="269">
                  <c:v>3.8948902435046178E-4</c:v>
                </c:pt>
                <c:pt idx="270">
                  <c:v>4.0188497566499701E-4</c:v>
                </c:pt>
                <c:pt idx="271">
                  <c:v>4.1479943406413672E-4</c:v>
                </c:pt>
                <c:pt idx="272">
                  <c:v>4.282343844430238E-4</c:v>
                </c:pt>
                <c:pt idx="273">
                  <c:v>4.4219141826399796E-4</c:v>
                </c:pt>
                <c:pt idx="274">
                  <c:v>4.566889684340361E-4</c:v>
                </c:pt>
                <c:pt idx="275">
                  <c:v>4.7263114348400327E-4</c:v>
                </c:pt>
                <c:pt idx="276">
                  <c:v>4.8998441311587121E-4</c:v>
                </c:pt>
                <c:pt idx="277">
                  <c:v>5.0875578324439551E-4</c:v>
                </c:pt>
                <c:pt idx="278">
                  <c:v>5.2895089746742973E-4</c:v>
                </c:pt>
                <c:pt idx="279">
                  <c:v>5.5057378787848788E-4</c:v>
                </c:pt>
                <c:pt idx="280">
                  <c:v>5.7362662124351815E-4</c:v>
                </c:pt>
                <c:pt idx="281">
                  <c:v>5.9856990206138768E-4</c:v>
                </c:pt>
                <c:pt idx="282">
                  <c:v>6.2499013118236908E-4</c:v>
                </c:pt>
                <c:pt idx="283">
                  <c:v>6.5288253749740902E-4</c:v>
                </c:pt>
                <c:pt idx="284">
                  <c:v>6.8223937577079996E-4</c:v>
                </c:pt>
                <c:pt idx="285">
                  <c:v>7.1304965573383669E-4</c:v>
                </c:pt>
                <c:pt idx="286">
                  <c:v>7.4529887426763889E-4</c:v>
                </c:pt>
                <c:pt idx="287">
                  <c:v>7.7896875261960802E-4</c:v>
                </c:pt>
                <c:pt idx="288">
                  <c:v>8.1409468735909229E-4</c:v>
                </c:pt>
                <c:pt idx="289">
                  <c:v>8.5017269801451398E-4</c:v>
                </c:pt>
                <c:pt idx="290">
                  <c:v>8.8625978707283879E-4</c:v>
                </c:pt>
                <c:pt idx="291">
                  <c:v>9.2233576193697124E-4</c:v>
                </c:pt>
                <c:pt idx="292">
                  <c:v>9.5837906117972717E-4</c:v>
                </c:pt>
                <c:pt idx="293">
                  <c:v>9.9436679670655251E-4</c:v>
                </c:pt>
                <c:pt idx="294">
                  <c:v>1.0302747975067877E-3</c:v>
                </c:pt>
                <c:pt idx="295">
                  <c:v>1.0651731455598107E-3</c:v>
                </c:pt>
                <c:pt idx="296">
                  <c:v>1.0985659408883387E-3</c:v>
                </c:pt>
                <c:pt idx="297">
                  <c:v>1.1304305911739719E-3</c:v>
                </c:pt>
                <c:pt idx="298">
                  <c:v>1.1607362039143898E-3</c:v>
                </c:pt>
                <c:pt idx="299">
                  <c:v>1.1894522855996291E-3</c:v>
                </c:pt>
                <c:pt idx="300">
                  <c:v>1.2165489104158887E-3</c:v>
                </c:pt>
                <c:pt idx="301">
                  <c:v>1.2419968842703889E-3</c:v>
                </c:pt>
                <c:pt idx="302">
                  <c:v>1.2658433265155188E-3</c:v>
                </c:pt>
                <c:pt idx="303">
                  <c:v>1.2888722794474974E-3</c:v>
                </c:pt>
                <c:pt idx="304">
                  <c:v>1.3116402606909185E-3</c:v>
                </c:pt>
                <c:pt idx="305">
                  <c:v>1.3341444664508738E-3</c:v>
                </c:pt>
                <c:pt idx="306">
                  <c:v>1.3563827483660995E-3</c:v>
                </c:pt>
                <c:pt idx="307">
                  <c:v>1.3783535830328734E-3</c:v>
                </c:pt>
                <c:pt idx="308">
                  <c:v>1.4000560275250664E-3</c:v>
                </c:pt>
                <c:pt idx="309">
                  <c:v>1.4217471079913167E-3</c:v>
                </c:pt>
                <c:pt idx="310">
                  <c:v>1.4443413533266063E-3</c:v>
                </c:pt>
                <c:pt idx="311">
                  <c:v>1.4678392452905846E-3</c:v>
                </c:pt>
                <c:pt idx="312">
                  <c:v>1.4922411537292852E-3</c:v>
                </c:pt>
                <c:pt idx="313">
                  <c:v>1.5175472488549435E-3</c:v>
                </c:pt>
                <c:pt idx="314">
                  <c:v>1.5437573958668753E-3</c:v>
                </c:pt>
                <c:pt idx="315">
                  <c:v>1.5708710301497748E-3</c:v>
                </c:pt>
                <c:pt idx="316">
                  <c:v>1.5989924043121084E-3</c:v>
                </c:pt>
                <c:pt idx="317">
                  <c:v>1.625766383997893E-3</c:v>
                </c:pt>
                <c:pt idx="318">
                  <c:v>1.6504722136461152E-3</c:v>
                </c:pt>
                <c:pt idx="319">
                  <c:v>1.6731098644391731E-3</c:v>
                </c:pt>
                <c:pt idx="320">
                  <c:v>1.6936762542565562E-3</c:v>
                </c:pt>
                <c:pt idx="321">
                  <c:v>1.7121650475609136E-3</c:v>
                </c:pt>
                <c:pt idx="322">
                  <c:v>1.7285664820885862E-3</c:v>
                </c:pt>
                <c:pt idx="323">
                  <c:v>1.74388005183031E-3</c:v>
                </c:pt>
                <c:pt idx="324">
                  <c:v>1.7578327507298988E-3</c:v>
                </c:pt>
                <c:pt idx="325">
                  <c:v>1.7704051387542219E-3</c:v>
                </c:pt>
                <c:pt idx="326">
                  <c:v>1.7815630354348587E-3</c:v>
                </c:pt>
                <c:pt idx="327">
                  <c:v>1.7912757596908189E-3</c:v>
                </c:pt>
                <c:pt idx="328">
                  <c:v>1.7995181809898225E-3</c:v>
                </c:pt>
                <c:pt idx="329">
                  <c:v>1.8062617523137419E-3</c:v>
                </c:pt>
                <c:pt idx="330">
                  <c:v>1.8116631861817964E-3</c:v>
                </c:pt>
                <c:pt idx="331">
                  <c:v>1.8191217487725413E-3</c:v>
                </c:pt>
                <c:pt idx="332">
                  <c:v>1.8310865774236516E-3</c:v>
                </c:pt>
                <c:pt idx="333">
                  <c:v>1.8475331539838042E-3</c:v>
                </c:pt>
                <c:pt idx="334">
                  <c:v>1.8684348073843052E-3</c:v>
                </c:pt>
                <c:pt idx="335">
                  <c:v>1.8937615697961461E-3</c:v>
                </c:pt>
                <c:pt idx="336">
                  <c:v>1.9234789491515763E-3</c:v>
                </c:pt>
                <c:pt idx="337">
                  <c:v>1.9564145564922976E-3</c:v>
                </c:pt>
                <c:pt idx="338">
                  <c:v>1.9914928877420158E-3</c:v>
                </c:pt>
                <c:pt idx="339">
                  <c:v>2.028651592868835E-3</c:v>
                </c:pt>
                <c:pt idx="340">
                  <c:v>2.0678196988386604E-3</c:v>
                </c:pt>
                <c:pt idx="341">
                  <c:v>2.1089169672458014E-3</c:v>
                </c:pt>
                <c:pt idx="342">
                  <c:v>2.1518533222920971E-3</c:v>
                </c:pt>
                <c:pt idx="343">
                  <c:v>2.1965283682246319E-3</c:v>
                </c:pt>
                <c:pt idx="344">
                  <c:v>2.2430841874459479E-3</c:v>
                </c:pt>
                <c:pt idx="345">
                  <c:v>2.291685960078576E-3</c:v>
                </c:pt>
                <c:pt idx="346">
                  <c:v>2.3362184843846502E-3</c:v>
                </c:pt>
                <c:pt idx="347">
                  <c:v>2.3765932528453416E-3</c:v>
                </c:pt>
                <c:pt idx="348">
                  <c:v>2.4127180329648703E-3</c:v>
                </c:pt>
                <c:pt idx="349">
                  <c:v>2.4444986069352657E-3</c:v>
                </c:pt>
                <c:pt idx="350">
                  <c:v>2.4718406174249678E-3</c:v>
                </c:pt>
                <c:pt idx="351">
                  <c:v>2.4918997350512171E-3</c:v>
                </c:pt>
                <c:pt idx="352">
                  <c:v>2.5057309948088901E-3</c:v>
                </c:pt>
                <c:pt idx="353">
                  <c:v>2.5132606786702249E-3</c:v>
                </c:pt>
                <c:pt idx="354">
                  <c:v>2.5144264528502978E-3</c:v>
                </c:pt>
                <c:pt idx="355">
                  <c:v>2.5091797847707261E-3</c:v>
                </c:pt>
                <c:pt idx="356">
                  <c:v>2.4974683487628555E-3</c:v>
                </c:pt>
                <c:pt idx="357">
                  <c:v>2.4792951265874747E-3</c:v>
                </c:pt>
                <c:pt idx="358">
                  <c:v>2.4546654191944747E-3</c:v>
                </c:pt>
                <c:pt idx="359">
                  <c:v>2.4236752314640703E-3</c:v>
                </c:pt>
                <c:pt idx="360">
                  <c:v>2.3853520273116107E-3</c:v>
                </c:pt>
                <c:pt idx="361">
                  <c:v>2.3425402695163278E-3</c:v>
                </c:pt>
                <c:pt idx="362">
                  <c:v>2.2953832336101388E-3</c:v>
                </c:pt>
                <c:pt idx="363">
                  <c:v>2.2440320967565442E-3</c:v>
                </c:pt>
                <c:pt idx="364">
                  <c:v>2.1886444213267279E-3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999480"/>
        <c:axId val="215999872"/>
      </c:lineChart>
      <c:dateAx>
        <c:axId val="2159994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9872"/>
        <c:crosses val="autoZero"/>
        <c:auto val="1"/>
        <c:lblOffset val="100"/>
        <c:baseTimeUnit val="days"/>
        <c:majorUnit val="1"/>
        <c:majorTimeUnit val="months"/>
      </c:dateAx>
      <c:valAx>
        <c:axId val="2159998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999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22.72576745200146</c:v>
                </c:pt>
                <c:pt idx="1">
                  <c:v>22.86643759741866</c:v>
                </c:pt>
                <c:pt idx="2">
                  <c:v>23.016230493602396</c:v>
                </c:pt>
                <c:pt idx="3">
                  <c:v>23.174675941883343</c:v>
                </c:pt>
                <c:pt idx="4">
                  <c:v>23.341303857926707</c:v>
                </c:pt>
                <c:pt idx="5">
                  <c:v>23.515644268635185</c:v>
                </c:pt>
                <c:pt idx="6">
                  <c:v>23.697227325675268</c:v>
                </c:pt>
                <c:pt idx="7">
                  <c:v>23.8855833124829</c:v>
                </c:pt>
                <c:pt idx="8">
                  <c:v>24.083162580867548</c:v>
                </c:pt>
                <c:pt idx="9">
                  <c:v>24.292189567534113</c:v>
                </c:pt>
                <c:pt idx="10">
                  <c:v>24.511864741645102</c:v>
                </c:pt>
                <c:pt idx="11">
                  <c:v>24.741413423006268</c:v>
                </c:pt>
                <c:pt idx="12">
                  <c:v>24.980061205289267</c:v>
                </c:pt>
                <c:pt idx="13">
                  <c:v>25.227033971964477</c:v>
                </c:pt>
                <c:pt idx="14">
                  <c:v>25.481557892716854</c:v>
                </c:pt>
                <c:pt idx="15">
                  <c:v>25.742913361434045</c:v>
                </c:pt>
                <c:pt idx="16">
                  <c:v>26.010397760160661</c:v>
                </c:pt>
                <c:pt idx="17">
                  <c:v>26.283238103703361</c:v>
                </c:pt>
                <c:pt idx="18">
                  <c:v>26.56066171372365</c:v>
                </c:pt>
                <c:pt idx="19">
                  <c:v>26.841895998955597</c:v>
                </c:pt>
                <c:pt idx="20">
                  <c:v>27.12616857832267</c:v>
                </c:pt>
                <c:pt idx="21">
                  <c:v>27.412707562306</c:v>
                </c:pt>
                <c:pt idx="22">
                  <c:v>27.704612369077342</c:v>
                </c:pt>
                <c:pt idx="23">
                  <c:v>28.004891233984736</c:v>
                </c:pt>
                <c:pt idx="24">
                  <c:v>28.312666637772008</c:v>
                </c:pt>
                <c:pt idx="25">
                  <c:v>28.627039233903801</c:v>
                </c:pt>
                <c:pt idx="26">
                  <c:v>28.947110058092527</c:v>
                </c:pt>
                <c:pt idx="27">
                  <c:v>29.271980535818525</c:v>
                </c:pt>
                <c:pt idx="28">
                  <c:v>29.600752476430809</c:v>
                </c:pt>
                <c:pt idx="29">
                  <c:v>29.932512234606047</c:v>
                </c:pt>
                <c:pt idx="30">
                  <c:v>30.266308537311431</c:v>
                </c:pt>
                <c:pt idx="31">
                  <c:v>30.601244349660892</c:v>
                </c:pt>
                <c:pt idx="32">
                  <c:v>30.936423021312923</c:v>
                </c:pt>
                <c:pt idx="33">
                  <c:v>31.270948278543571</c:v>
                </c:pt>
                <c:pt idx="34">
                  <c:v>31.603924227618414</c:v>
                </c:pt>
                <c:pt idx="35">
                  <c:v>31.934455352301416</c:v>
                </c:pt>
                <c:pt idx="36">
                  <c:v>32.264102233415485</c:v>
                </c:pt>
                <c:pt idx="37">
                  <c:v>32.594975816101581</c:v>
                </c:pt>
                <c:pt idx="38">
                  <c:v>32.926981963783739</c:v>
                </c:pt>
                <c:pt idx="39">
                  <c:v>33.260021002473501</c:v>
                </c:pt>
                <c:pt idx="40">
                  <c:v>33.593993310763459</c:v>
                </c:pt>
                <c:pt idx="41">
                  <c:v>33.928799318013041</c:v>
                </c:pt>
                <c:pt idx="42">
                  <c:v>34.264339501637679</c:v>
                </c:pt>
                <c:pt idx="43">
                  <c:v>34.600526700021412</c:v>
                </c:pt>
                <c:pt idx="44">
                  <c:v>34.937277400617127</c:v>
                </c:pt>
                <c:pt idx="45">
                  <c:v>35.274492244943545</c:v>
                </c:pt>
                <c:pt idx="46">
                  <c:v>35.612071915926876</c:v>
                </c:pt>
                <c:pt idx="47">
                  <c:v>35.949917133661195</c:v>
                </c:pt>
                <c:pt idx="48">
                  <c:v>36.287928653631333</c:v>
                </c:pt>
                <c:pt idx="49">
                  <c:v>36.626007262804656</c:v>
                </c:pt>
                <c:pt idx="50">
                  <c:v>36.96430231960084</c:v>
                </c:pt>
                <c:pt idx="51">
                  <c:v>37.303018764598434</c:v>
                </c:pt>
                <c:pt idx="52">
                  <c:v>37.642136581194592</c:v>
                </c:pt>
                <c:pt idx="53">
                  <c:v>37.981655914192025</c:v>
                </c:pt>
                <c:pt idx="54">
                  <c:v>38.321576766817266</c:v>
                </c:pt>
                <c:pt idx="55">
                  <c:v>38.661899113321745</c:v>
                </c:pt>
                <c:pt idx="56">
                  <c:v>39.002622896755163</c:v>
                </c:pt>
                <c:pt idx="57">
                  <c:v>39.343727124517748</c:v>
                </c:pt>
                <c:pt idx="58">
                  <c:v>39.685199242716081</c:v>
                </c:pt>
                <c:pt idx="59">
                  <c:v>40.027039043513987</c:v>
                </c:pt>
                <c:pt idx="60">
                  <c:v>40.369246281649808</c:v>
                </c:pt>
                <c:pt idx="61">
                  <c:v>40.711820672967896</c:v>
                </c:pt>
                <c:pt idx="62">
                  <c:v>41.054761893777666</c:v>
                </c:pt>
                <c:pt idx="63">
                  <c:v>41.398069578594274</c:v>
                </c:pt>
                <c:pt idx="64">
                  <c:v>41.742818837659989</c:v>
                </c:pt>
                <c:pt idx="65">
                  <c:v>42.089743712127664</c:v>
                </c:pt>
                <c:pt idx="66">
                  <c:v>42.438357560162608</c:v>
                </c:pt>
                <c:pt idx="67">
                  <c:v>42.788163198762874</c:v>
                </c:pt>
                <c:pt idx="68">
                  <c:v>43.138663593847212</c:v>
                </c:pt>
                <c:pt idx="69">
                  <c:v>43.489361859519228</c:v>
                </c:pt>
                <c:pt idx="70">
                  <c:v>43.839761256452995</c:v>
                </c:pt>
                <c:pt idx="71">
                  <c:v>44.18936417497541</c:v>
                </c:pt>
                <c:pt idx="72">
                  <c:v>44.537695264560206</c:v>
                </c:pt>
                <c:pt idx="73">
                  <c:v>44.884258279126108</c:v>
                </c:pt>
                <c:pt idx="74">
                  <c:v>45.228557124782931</c:v>
                </c:pt>
                <c:pt idx="75">
                  <c:v>45.570095864274784</c:v>
                </c:pt>
                <c:pt idx="76">
                  <c:v>45.908378714134393</c:v>
                </c:pt>
                <c:pt idx="77">
                  <c:v>46.242910047756283</c:v>
                </c:pt>
                <c:pt idx="78">
                  <c:v>46.576152113339759</c:v>
                </c:pt>
                <c:pt idx="79">
                  <c:v>46.910364688449746</c:v>
                </c:pt>
                <c:pt idx="80">
                  <c:v>47.244763455932102</c:v>
                </c:pt>
                <c:pt idx="81">
                  <c:v>47.578554537425113</c:v>
                </c:pt>
                <c:pt idx="82">
                  <c:v>47.910944342393883</c:v>
                </c:pt>
                <c:pt idx="83">
                  <c:v>48.241139571235443</c:v>
                </c:pt>
                <c:pt idx="84">
                  <c:v>48.568347218974829</c:v>
                </c:pt>
                <c:pt idx="85">
                  <c:v>48.891771212151248</c:v>
                </c:pt>
                <c:pt idx="86">
                  <c:v>49.210620169805601</c:v>
                </c:pt>
                <c:pt idx="87">
                  <c:v>49.524101968755907</c:v>
                </c:pt>
                <c:pt idx="88">
                  <c:v>49.831424797277961</c:v>
                </c:pt>
                <c:pt idx="89">
                  <c:v>50.131797152251387</c:v>
                </c:pt>
                <c:pt idx="90">
                  <c:v>50.424427849964403</c:v>
                </c:pt>
                <c:pt idx="91">
                  <c:v>50.708526026871802</c:v>
                </c:pt>
                <c:pt idx="92">
                  <c:v>50.985495685077765</c:v>
                </c:pt>
                <c:pt idx="93">
                  <c:v>51.25720208150809</c:v>
                </c:pt>
                <c:pt idx="94">
                  <c:v>51.523550028050998</c:v>
                </c:pt>
                <c:pt idx="95">
                  <c:v>51.784441114835637</c:v>
                </c:pt>
                <c:pt idx="96">
                  <c:v>52.039776985629473</c:v>
                </c:pt>
                <c:pt idx="97">
                  <c:v>52.289459340310636</c:v>
                </c:pt>
                <c:pt idx="98">
                  <c:v>52.533389935207332</c:v>
                </c:pt>
                <c:pt idx="99">
                  <c:v>52.771470070888611</c:v>
                </c:pt>
                <c:pt idx="100">
                  <c:v>53.003605226052727</c:v>
                </c:pt>
                <c:pt idx="101">
                  <c:v>53.2296974169519</c:v>
                </c:pt>
                <c:pt idx="102">
                  <c:v>53.449648732968711</c:v>
                </c:pt>
                <c:pt idx="103">
                  <c:v>53.663361348283772</c:v>
                </c:pt>
                <c:pt idx="104">
                  <c:v>53.870737517877124</c:v>
                </c:pt>
                <c:pt idx="105">
                  <c:v>54.071679586735257</c:v>
                </c:pt>
                <c:pt idx="106">
                  <c:v>54.266337126381323</c:v>
                </c:pt>
                <c:pt idx="107">
                  <c:v>54.454923645486453</c:v>
                </c:pt>
                <c:pt idx="108">
                  <c:v>54.637440538189317</c:v>
                </c:pt>
                <c:pt idx="109">
                  <c:v>54.813889096528257</c:v>
                </c:pt>
                <c:pt idx="110">
                  <c:v>54.984270653989142</c:v>
                </c:pt>
                <c:pt idx="111">
                  <c:v>55.148586603139144</c:v>
                </c:pt>
                <c:pt idx="112">
                  <c:v>55.306838414762581</c:v>
                </c:pt>
                <c:pt idx="113">
                  <c:v>55.459026045090638</c:v>
                </c:pt>
                <c:pt idx="114">
                  <c:v>55.605151627325689</c:v>
                </c:pt>
                <c:pt idx="115">
                  <c:v>55.745216801049807</c:v>
                </c:pt>
                <c:pt idx="116">
                  <c:v>55.879223281394808</c:v>
                </c:pt>
                <c:pt idx="117">
                  <c:v>56.00717285986353</c:v>
                </c:pt>
                <c:pt idx="118">
                  <c:v>56.129067411659733</c:v>
                </c:pt>
                <c:pt idx="119">
                  <c:v>56.244908888390327</c:v>
                </c:pt>
                <c:pt idx="120">
                  <c:v>56.353843939761973</c:v>
                </c:pt>
                <c:pt idx="121">
                  <c:v>56.455280469125924</c:v>
                </c:pt>
                <c:pt idx="122">
                  <c:v>56.549618083535194</c:v>
                </c:pt>
                <c:pt idx="123">
                  <c:v>56.637254118583982</c:v>
                </c:pt>
                <c:pt idx="124">
                  <c:v>56.718585828558389</c:v>
                </c:pt>
                <c:pt idx="125">
                  <c:v>56.794010376058566</c:v>
                </c:pt>
                <c:pt idx="126">
                  <c:v>56.863924837892256</c:v>
                </c:pt>
                <c:pt idx="127">
                  <c:v>56.928726844562775</c:v>
                </c:pt>
                <c:pt idx="128">
                  <c:v>56.988815218220346</c:v>
                </c:pt>
                <c:pt idx="129">
                  <c:v>57.044586864947682</c:v>
                </c:pt>
                <c:pt idx="130">
                  <c:v>57.096438601490938</c:v>
                </c:pt>
                <c:pt idx="131">
                  <c:v>57.144767156959794</c:v>
                </c:pt>
                <c:pt idx="132">
                  <c:v>57.189969166361976</c:v>
                </c:pt>
                <c:pt idx="133">
                  <c:v>57.23244116935296</c:v>
                </c:pt>
                <c:pt idx="134">
                  <c:v>57.271167306055276</c:v>
                </c:pt>
                <c:pt idx="135">
                  <c:v>57.305001994252599</c:v>
                </c:pt>
                <c:pt idx="136">
                  <c:v>57.334148508219997</c:v>
                </c:pt>
                <c:pt idx="137">
                  <c:v>57.35880733090891</c:v>
                </c:pt>
                <c:pt idx="138">
                  <c:v>57.379178936526905</c:v>
                </c:pt>
                <c:pt idx="139">
                  <c:v>57.395463789292187</c:v>
                </c:pt>
                <c:pt idx="140">
                  <c:v>57.407862339554008</c:v>
                </c:pt>
                <c:pt idx="141">
                  <c:v>57.416572984907638</c:v>
                </c:pt>
                <c:pt idx="142">
                  <c:v>57.421795284140067</c:v>
                </c:pt>
                <c:pt idx="143">
                  <c:v>57.423729506643618</c:v>
                </c:pt>
                <c:pt idx="144">
                  <c:v>57.422575849885575</c:v>
                </c:pt>
                <c:pt idx="145">
                  <c:v>57.418534460616598</c:v>
                </c:pt>
                <c:pt idx="146">
                  <c:v>57.411805422545306</c:v>
                </c:pt>
                <c:pt idx="147">
                  <c:v>57.402588748665316</c:v>
                </c:pt>
                <c:pt idx="148">
                  <c:v>57.38974011750328</c:v>
                </c:pt>
                <c:pt idx="149">
                  <c:v>57.372246471999844</c:v>
                </c:pt>
                <c:pt idx="150">
                  <c:v>57.350503926917298</c:v>
                </c:pt>
                <c:pt idx="151">
                  <c:v>57.324909596908157</c:v>
                </c:pt>
                <c:pt idx="152">
                  <c:v>57.295860381453977</c:v>
                </c:pt>
                <c:pt idx="153">
                  <c:v>57.263752955291217</c:v>
                </c:pt>
                <c:pt idx="154">
                  <c:v>57.22898375757368</c:v>
                </c:pt>
                <c:pt idx="155">
                  <c:v>57.191946427248482</c:v>
                </c:pt>
                <c:pt idx="156">
                  <c:v>57.1530392476865</c:v>
                </c:pt>
                <c:pt idx="157">
                  <c:v>57.112657897477575</c:v>
                </c:pt>
                <c:pt idx="158">
                  <c:v>57.071197789542857</c:v>
                </c:pt>
                <c:pt idx="159">
                  <c:v>57.029054067345633</c:v>
                </c:pt>
                <c:pt idx="160">
                  <c:v>56.986621597521349</c:v>
                </c:pt>
                <c:pt idx="161">
                  <c:v>56.94429496538379</c:v>
                </c:pt>
                <c:pt idx="162">
                  <c:v>56.901486565643211</c:v>
                </c:pt>
                <c:pt idx="163">
                  <c:v>56.857345046895219</c:v>
                </c:pt>
                <c:pt idx="164">
                  <c:v>56.811872721351378</c:v>
                </c:pt>
                <c:pt idx="165">
                  <c:v>56.765071266206625</c:v>
                </c:pt>
                <c:pt idx="166">
                  <c:v>56.71694223830012</c:v>
                </c:pt>
                <c:pt idx="167">
                  <c:v>56.667487067483272</c:v>
                </c:pt>
                <c:pt idx="168">
                  <c:v>56.616707056277747</c:v>
                </c:pt>
                <c:pt idx="169">
                  <c:v>56.564601132875993</c:v>
                </c:pt>
                <c:pt idx="170">
                  <c:v>56.511173277880708</c:v>
                </c:pt>
                <c:pt idx="171">
                  <c:v>56.456424416764442</c:v>
                </c:pt>
                <c:pt idx="172">
                  <c:v>56.400355338218361</c:v>
                </c:pt>
                <c:pt idx="173">
                  <c:v>56.342966728371721</c:v>
                </c:pt>
                <c:pt idx="174">
                  <c:v>56.284259141078522</c:v>
                </c:pt>
                <c:pt idx="175">
                  <c:v>56.224232966704534</c:v>
                </c:pt>
                <c:pt idx="176">
                  <c:v>56.162888467641302</c:v>
                </c:pt>
                <c:pt idx="177">
                  <c:v>56.100222605465191</c:v>
                </c:pt>
                <c:pt idx="178">
                  <c:v>56.036237727153022</c:v>
                </c:pt>
                <c:pt idx="179">
                  <c:v>55.970933710605387</c:v>
                </c:pt>
                <c:pt idx="180">
                  <c:v>55.904310321413107</c:v>
                </c:pt>
                <c:pt idx="181">
                  <c:v>55.836367220158245</c:v>
                </c:pt>
                <c:pt idx="182">
                  <c:v>55.767103966446157</c:v>
                </c:pt>
                <c:pt idx="183">
                  <c:v>55.696519414698656</c:v>
                </c:pt>
                <c:pt idx="184">
                  <c:v>55.624615419070373</c:v>
                </c:pt>
                <c:pt idx="185">
                  <c:v>55.551391309130864</c:v>
                </c:pt>
                <c:pt idx="186">
                  <c:v>55.476846342600766</c:v>
                </c:pt>
                <c:pt idx="187">
                  <c:v>55.400979710705442</c:v>
                </c:pt>
                <c:pt idx="188">
                  <c:v>55.323790549485196</c:v>
                </c:pt>
                <c:pt idx="189">
                  <c:v>55.245277945615626</c:v>
                </c:pt>
                <c:pt idx="190">
                  <c:v>55.165865135980646</c:v>
                </c:pt>
                <c:pt idx="191">
                  <c:v>55.085841542640587</c:v>
                </c:pt>
                <c:pt idx="192">
                  <c:v>55.005013605918499</c:v>
                </c:pt>
                <c:pt idx="193">
                  <c:v>54.923184441561084</c:v>
                </c:pt>
                <c:pt idx="194">
                  <c:v>54.840157236538168</c:v>
                </c:pt>
                <c:pt idx="195">
                  <c:v>54.755735255469943</c:v>
                </c:pt>
                <c:pt idx="196">
                  <c:v>54.669721847267731</c:v>
                </c:pt>
                <c:pt idx="197">
                  <c:v>54.581922187889006</c:v>
                </c:pt>
                <c:pt idx="198">
                  <c:v>54.492140468965637</c:v>
                </c:pt>
                <c:pt idx="199">
                  <c:v>54.400180345023124</c:v>
                </c:pt>
                <c:pt idx="200">
                  <c:v>54.305845576486597</c:v>
                </c:pt>
                <c:pt idx="201">
                  <c:v>54.2089400334619</c:v>
                </c:pt>
                <c:pt idx="202">
                  <c:v>54.109267704466227</c:v>
                </c:pt>
                <c:pt idx="203">
                  <c:v>54.006632697464021</c:v>
                </c:pt>
                <c:pt idx="204">
                  <c:v>53.901328048725645</c:v>
                </c:pt>
                <c:pt idx="205">
                  <c:v>53.793778265384297</c:v>
                </c:pt>
                <c:pt idx="206">
                  <c:v>53.683986235526731</c:v>
                </c:pt>
                <c:pt idx="207">
                  <c:v>53.571951709754664</c:v>
                </c:pt>
                <c:pt idx="208">
                  <c:v>53.457674498712763</c:v>
                </c:pt>
                <c:pt idx="209">
                  <c:v>53.341154477832887</c:v>
                </c:pt>
                <c:pt idx="210">
                  <c:v>53.222391585851959</c:v>
                </c:pt>
                <c:pt idx="211">
                  <c:v>53.101380581186739</c:v>
                </c:pt>
                <c:pt idx="212">
                  <c:v>52.978119735491362</c:v>
                </c:pt>
                <c:pt idx="213">
                  <c:v>52.852609157185015</c:v>
                </c:pt>
                <c:pt idx="214">
                  <c:v>52.724849017754835</c:v>
                </c:pt>
                <c:pt idx="215">
                  <c:v>52.594839551414303</c:v>
                </c:pt>
                <c:pt idx="216">
                  <c:v>52.462581054397702</c:v>
                </c:pt>
                <c:pt idx="217">
                  <c:v>52.328073879628761</c:v>
                </c:pt>
                <c:pt idx="218">
                  <c:v>52.191741516650822</c:v>
                </c:pt>
                <c:pt idx="219">
                  <c:v>52.053873115250241</c:v>
                </c:pt>
                <c:pt idx="220">
                  <c:v>51.914272544539635</c:v>
                </c:pt>
                <c:pt idx="221">
                  <c:v>51.772744993844874</c:v>
                </c:pt>
                <c:pt idx="222">
                  <c:v>51.629095764731005</c:v>
                </c:pt>
                <c:pt idx="223">
                  <c:v>51.483130270610026</c:v>
                </c:pt>
                <c:pt idx="224">
                  <c:v>51.33465403086462</c:v>
                </c:pt>
                <c:pt idx="225">
                  <c:v>51.183468029435787</c:v>
                </c:pt>
                <c:pt idx="226">
                  <c:v>51.029383293696732</c:v>
                </c:pt>
                <c:pt idx="227">
                  <c:v>50.87220564437839</c:v>
                </c:pt>
                <c:pt idx="228">
                  <c:v>50.711740993493159</c:v>
                </c:pt>
                <c:pt idx="229">
                  <c:v>50.547795340887063</c:v>
                </c:pt>
                <c:pt idx="230">
                  <c:v>50.380174775168598</c:v>
                </c:pt>
                <c:pt idx="231">
                  <c:v>50.208685464137261</c:v>
                </c:pt>
                <c:pt idx="232">
                  <c:v>50.033621229661861</c:v>
                </c:pt>
                <c:pt idx="233">
                  <c:v>49.855404733084136</c:v>
                </c:pt>
                <c:pt idx="234">
                  <c:v>49.674041195149044</c:v>
                </c:pt>
                <c:pt idx="235">
                  <c:v>49.489531731929873</c:v>
                </c:pt>
                <c:pt idx="236">
                  <c:v>49.301877462202881</c:v>
                </c:pt>
                <c:pt idx="237">
                  <c:v>49.111079520177384</c:v>
                </c:pt>
                <c:pt idx="238">
                  <c:v>48.917139044763907</c:v>
                </c:pt>
                <c:pt idx="239">
                  <c:v>48.720056267415053</c:v>
                </c:pt>
                <c:pt idx="240">
                  <c:v>48.519836975898386</c:v>
                </c:pt>
                <c:pt idx="241">
                  <c:v>48.3164823206506</c:v>
                </c:pt>
                <c:pt idx="242">
                  <c:v>48.109993461599373</c:v>
                </c:pt>
                <c:pt idx="243">
                  <c:v>47.900371563951346</c:v>
                </c:pt>
                <c:pt idx="244">
                  <c:v>47.687617801623681</c:v>
                </c:pt>
                <c:pt idx="245">
                  <c:v>47.471733355712587</c:v>
                </c:pt>
                <c:pt idx="246">
                  <c:v>47.252719419952975</c:v>
                </c:pt>
                <c:pt idx="247">
                  <c:v>47.030567461272447</c:v>
                </c:pt>
                <c:pt idx="248">
                  <c:v>46.805279781461579</c:v>
                </c:pt>
                <c:pt idx="249">
                  <c:v>46.576857629188758</c:v>
                </c:pt>
                <c:pt idx="250">
                  <c:v>46.345302271368084</c:v>
                </c:pt>
                <c:pt idx="251">
                  <c:v>46.110614989393383</c:v>
                </c:pt>
                <c:pt idx="252">
                  <c:v>45.872797080893406</c:v>
                </c:pt>
                <c:pt idx="253">
                  <c:v>45.631840614116065</c:v>
                </c:pt>
                <c:pt idx="254">
                  <c:v>45.387747863250915</c:v>
                </c:pt>
                <c:pt idx="255">
                  <c:v>45.140520210871408</c:v>
                </c:pt>
                <c:pt idx="256">
                  <c:v>44.890159056728422</c:v>
                </c:pt>
                <c:pt idx="257">
                  <c:v>44.636665816533764</c:v>
                </c:pt>
                <c:pt idx="258">
                  <c:v>44.38004191902813</c:v>
                </c:pt>
                <c:pt idx="259">
                  <c:v>44.120288807923863</c:v>
                </c:pt>
                <c:pt idx="260">
                  <c:v>43.857197138837535</c:v>
                </c:pt>
                <c:pt idx="261">
                  <c:v>43.59061890174204</c:v>
                </c:pt>
                <c:pt idx="262">
                  <c:v>43.320662455842779</c:v>
                </c:pt>
                <c:pt idx="263">
                  <c:v>43.047426545955901</c:v>
                </c:pt>
                <c:pt idx="264">
                  <c:v>42.771009877773515</c:v>
                </c:pt>
                <c:pt idx="265">
                  <c:v>42.491510981555052</c:v>
                </c:pt>
                <c:pt idx="266">
                  <c:v>42.209028394375217</c:v>
                </c:pt>
                <c:pt idx="267">
                  <c:v>41.923627854532533</c:v>
                </c:pt>
                <c:pt idx="268">
                  <c:v>41.635417128611891</c:v>
                </c:pt>
                <c:pt idx="269">
                  <c:v>41.344494907056564</c:v>
                </c:pt>
                <c:pt idx="270">
                  <c:v>41.050959831944184</c:v>
                </c:pt>
                <c:pt idx="271">
                  <c:v>40.754910497600683</c:v>
                </c:pt>
                <c:pt idx="272">
                  <c:v>40.456445441052203</c:v>
                </c:pt>
                <c:pt idx="273">
                  <c:v>40.155663141654706</c:v>
                </c:pt>
                <c:pt idx="274">
                  <c:v>39.851155508857502</c:v>
                </c:pt>
                <c:pt idx="275">
                  <c:v>39.541785647038381</c:v>
                </c:pt>
                <c:pt idx="276">
                  <c:v>39.22814233359545</c:v>
                </c:pt>
                <c:pt idx="277">
                  <c:v>38.910810707188588</c:v>
                </c:pt>
                <c:pt idx="278">
                  <c:v>38.590375735870495</c:v>
                </c:pt>
                <c:pt idx="279">
                  <c:v>38.267422222139125</c:v>
                </c:pt>
                <c:pt idx="280">
                  <c:v>37.94253480041499</c:v>
                </c:pt>
                <c:pt idx="281">
                  <c:v>37.616268183820054</c:v>
                </c:pt>
                <c:pt idx="282">
                  <c:v>37.28923809763085</c:v>
                </c:pt>
                <c:pt idx="283">
                  <c:v>36.962028676094526</c:v>
                </c:pt>
                <c:pt idx="284">
                  <c:v>36.635223885447118</c:v>
                </c:pt>
                <c:pt idx="285">
                  <c:v>36.309407525828014</c:v>
                </c:pt>
                <c:pt idx="286">
                  <c:v>35.985163229805075</c:v>
                </c:pt>
                <c:pt idx="287">
                  <c:v>35.663074462033748</c:v>
                </c:pt>
                <c:pt idx="288">
                  <c:v>35.34121575435141</c:v>
                </c:pt>
                <c:pt idx="289">
                  <c:v>35.017629504272108</c:v>
                </c:pt>
                <c:pt idx="290">
                  <c:v>34.692850550761186</c:v>
                </c:pt>
                <c:pt idx="291">
                  <c:v>34.367363598191901</c:v>
                </c:pt>
                <c:pt idx="292">
                  <c:v>34.041653096119262</c:v>
                </c:pt>
                <c:pt idx="293">
                  <c:v>33.716203242393469</c:v>
                </c:pt>
                <c:pt idx="294">
                  <c:v>33.391497988324943</c:v>
                </c:pt>
                <c:pt idx="295">
                  <c:v>33.06808218918669</c:v>
                </c:pt>
                <c:pt idx="296">
                  <c:v>32.746463986274975</c:v>
                </c:pt>
                <c:pt idx="297">
                  <c:v>32.427123847225729</c:v>
                </c:pt>
                <c:pt idx="298">
                  <c:v>32.110542454542333</c:v>
                </c:pt>
                <c:pt idx="299">
                  <c:v>31.797200238219592</c:v>
                </c:pt>
                <c:pt idx="300">
                  <c:v>31.487577396028382</c:v>
                </c:pt>
                <c:pt idx="301">
                  <c:v>31.182153911503637</c:v>
                </c:pt>
                <c:pt idx="302">
                  <c:v>30.879565650670951</c:v>
                </c:pt>
                <c:pt idx="303">
                  <c:v>30.578276511357686</c:v>
                </c:pt>
                <c:pt idx="304">
                  <c:v>30.278545078843596</c:v>
                </c:pt>
                <c:pt idx="305">
                  <c:v>29.980659130893471</c:v>
                </c:pt>
                <c:pt idx="306">
                  <c:v>29.684906360829782</c:v>
                </c:pt>
                <c:pt idx="307">
                  <c:v>29.391574392893983</c:v>
                </c:pt>
                <c:pt idx="308">
                  <c:v>29.100950797240653</c:v>
                </c:pt>
                <c:pt idx="309">
                  <c:v>28.813319236984661</c:v>
                </c:pt>
                <c:pt idx="310">
                  <c:v>28.528914008168773</c:v>
                </c:pt>
                <c:pt idx="311">
                  <c:v>28.248024269267752</c:v>
                </c:pt>
                <c:pt idx="312">
                  <c:v>27.97093914465875</c:v>
                </c:pt>
                <c:pt idx="313">
                  <c:v>27.697947729581827</c:v>
                </c:pt>
                <c:pt idx="314">
                  <c:v>27.429339091011375</c:v>
                </c:pt>
                <c:pt idx="315">
                  <c:v>27.165402272840058</c:v>
                </c:pt>
                <c:pt idx="316">
                  <c:v>26.904648176826925</c:v>
                </c:pt>
                <c:pt idx="317">
                  <c:v>26.645823361931118</c:v>
                </c:pt>
                <c:pt idx="318">
                  <c:v>26.389445153597489</c:v>
                </c:pt>
                <c:pt idx="319">
                  <c:v>26.135992969984827</c:v>
                </c:pt>
                <c:pt idx="320">
                  <c:v>25.885946363171023</c:v>
                </c:pt>
                <c:pt idx="321">
                  <c:v>25.639785042898662</c:v>
                </c:pt>
                <c:pt idx="322">
                  <c:v>25.397988882716518</c:v>
                </c:pt>
                <c:pt idx="323">
                  <c:v>25.160966323112188</c:v>
                </c:pt>
                <c:pt idx="324">
                  <c:v>24.929202830306675</c:v>
                </c:pt>
                <c:pt idx="325">
                  <c:v>24.703180533458614</c:v>
                </c:pt>
                <c:pt idx="326">
                  <c:v>24.483382091125222</c:v>
                </c:pt>
                <c:pt idx="327">
                  <c:v>24.27028995230026</c:v>
                </c:pt>
                <c:pt idx="328">
                  <c:v>24.064386284737076</c:v>
                </c:pt>
                <c:pt idx="329">
                  <c:v>23.866153339619501</c:v>
                </c:pt>
                <c:pt idx="330">
                  <c:v>23.67360198489045</c:v>
                </c:pt>
                <c:pt idx="331">
                  <c:v>23.484690610607878</c:v>
                </c:pt>
                <c:pt idx="332">
                  <c:v>23.299908638456913</c:v>
                </c:pt>
                <c:pt idx="333">
                  <c:v>23.119840542470737</c:v>
                </c:pt>
                <c:pt idx="334">
                  <c:v>22.945070454262083</c:v>
                </c:pt>
                <c:pt idx="335">
                  <c:v>22.77618215646736</c:v>
                </c:pt>
                <c:pt idx="336">
                  <c:v>22.61375907568879</c:v>
                </c:pt>
                <c:pt idx="337">
                  <c:v>22.458456766414592</c:v>
                </c:pt>
                <c:pt idx="338">
                  <c:v>22.310920954788873</c:v>
                </c:pt>
                <c:pt idx="339">
                  <c:v>22.171731894128108</c:v>
                </c:pt>
                <c:pt idx="340">
                  <c:v>22.041469723217329</c:v>
                </c:pt>
                <c:pt idx="341">
                  <c:v>21.920714445785116</c:v>
                </c:pt>
                <c:pt idx="342">
                  <c:v>21.810045921254829</c:v>
                </c:pt>
                <c:pt idx="343">
                  <c:v>21.710043871379632</c:v>
                </c:pt>
                <c:pt idx="344">
                  <c:v>21.61883838601171</c:v>
                </c:pt>
                <c:pt idx="345">
                  <c:v>21.534479491288881</c:v>
                </c:pt>
                <c:pt idx="346">
                  <c:v>21.457615799793331</c:v>
                </c:pt>
                <c:pt idx="347">
                  <c:v>21.388704819050936</c:v>
                </c:pt>
                <c:pt idx="348">
                  <c:v>21.328204207049637</c:v>
                </c:pt>
                <c:pt idx="349">
                  <c:v>21.276571748772273</c:v>
                </c:pt>
                <c:pt idx="350">
                  <c:v>21.234265312275038</c:v>
                </c:pt>
                <c:pt idx="351">
                  <c:v>21.201822106741112</c:v>
                </c:pt>
                <c:pt idx="352">
                  <c:v>21.179631039132659</c:v>
                </c:pt>
                <c:pt idx="353">
                  <c:v>21.16815009493579</c:v>
                </c:pt>
                <c:pt idx="354">
                  <c:v>21.16783726122592</c:v>
                </c:pt>
                <c:pt idx="355">
                  <c:v>21.179150508977866</c:v>
                </c:pt>
                <c:pt idx="356">
                  <c:v>21.202548163717388</c:v>
                </c:pt>
                <c:pt idx="357">
                  <c:v>21.238487799669148</c:v>
                </c:pt>
                <c:pt idx="358">
                  <c:v>21.287336146975598</c:v>
                </c:pt>
                <c:pt idx="359">
                  <c:v>21.348851245448099</c:v>
                </c:pt>
                <c:pt idx="360">
                  <c:v>21.422646207527688</c:v>
                </c:pt>
                <c:pt idx="361">
                  <c:v>21.508188089312</c:v>
                </c:pt>
                <c:pt idx="362">
                  <c:v>21.605022438689943</c:v>
                </c:pt>
                <c:pt idx="363">
                  <c:v>21.712694880165532</c:v>
                </c:pt>
                <c:pt idx="364">
                  <c:v>21.830751120029895</c:v>
                </c:pt>
                <c:pt idx="365">
                  <c:v>21.958736924111204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23.121336396864198</c:v>
                </c:pt>
                <c:pt idx="1">
                  <c:v>15.945145834143121</c:v>
                </c:pt>
                <c:pt idx="2">
                  <c:v>17.215723170396195</c:v>
                </c:pt>
                <c:pt idx="3">
                  <c:v>18.292595418114502</c:v>
                </c:pt>
                <c:pt idx="4">
                  <c:v>14.464764017359416</c:v>
                </c:pt>
                <c:pt idx="5">
                  <c:v>20.755486270860946</c:v>
                </c:pt>
                <c:pt idx="6">
                  <c:v>10.177114904558572</c:v>
                </c:pt>
                <c:pt idx="7">
                  <c:v>7.2423549937832297</c:v>
                </c:pt>
                <c:pt idx="8">
                  <c:v>2.1620115612813433</c:v>
                </c:pt>
                <c:pt idx="9">
                  <c:v>1.7728620109444055</c:v>
                </c:pt>
                <c:pt idx="10">
                  <c:v>24.850164473832532</c:v>
                </c:pt>
                <c:pt idx="11">
                  <c:v>21.599986638267108</c:v>
                </c:pt>
                <c:pt idx="12">
                  <c:v>5.5365878288639285</c:v>
                </c:pt>
                <c:pt idx="13">
                  <c:v>26.272159008846319</c:v>
                </c:pt>
                <c:pt idx="14">
                  <c:v>26.578657372135059</c:v>
                </c:pt>
                <c:pt idx="15">
                  <c:v>26.001479103527206</c:v>
                </c:pt>
                <c:pt idx="16">
                  <c:v>12.005830020334063</c:v>
                </c:pt>
                <c:pt idx="17">
                  <c:v>3.8137425339962987</c:v>
                </c:pt>
                <c:pt idx="18">
                  <c:v>10.405123462951977</c:v>
                </c:pt>
                <c:pt idx="19">
                  <c:v>6.515739892432352</c:v>
                </c:pt>
                <c:pt idx="20">
                  <c:v>20.772821325125811</c:v>
                </c:pt>
                <c:pt idx="21">
                  <c:v>27.72691364036373</c:v>
                </c:pt>
                <c:pt idx="22">
                  <c:v>27.848087002663355</c:v>
                </c:pt>
                <c:pt idx="23">
                  <c:v>28.386338111562285</c:v>
                </c:pt>
                <c:pt idx="24">
                  <c:v>27.44666935800953</c:v>
                </c:pt>
                <c:pt idx="25">
                  <c:v>28.112777097968923</c:v>
                </c:pt>
                <c:pt idx="26">
                  <c:v>26.861842802781918</c:v>
                </c:pt>
                <c:pt idx="27">
                  <c:v>4.2448211460893255</c:v>
                </c:pt>
                <c:pt idx="28">
                  <c:v>8.9587735727744349</c:v>
                </c:pt>
                <c:pt idx="29">
                  <c:v>4.6263057912744801</c:v>
                </c:pt>
                <c:pt idx="30">
                  <c:v>7.6709946214097799</c:v>
                </c:pt>
                <c:pt idx="31">
                  <c:v>12.728884411632199</c:v>
                </c:pt>
                <c:pt idx="32">
                  <c:v>5.3732130101507929</c:v>
                </c:pt>
                <c:pt idx="33">
                  <c:v>10.544702877132611</c:v>
                </c:pt>
                <c:pt idx="34">
                  <c:v>10.385298534973479</c:v>
                </c:pt>
                <c:pt idx="35">
                  <c:v>9.1251708697743705</c:v>
                </c:pt>
                <c:pt idx="36">
                  <c:v>21.257964582811333</c:v>
                </c:pt>
                <c:pt idx="37">
                  <c:v>8.9585550757237318</c:v>
                </c:pt>
                <c:pt idx="38">
                  <c:v>33.222163835372996</c:v>
                </c:pt>
                <c:pt idx="39">
                  <c:v>33.504307865293995</c:v>
                </c:pt>
                <c:pt idx="40">
                  <c:v>31.242868397299112</c:v>
                </c:pt>
                <c:pt idx="41">
                  <c:v>17.306156299123565</c:v>
                </c:pt>
                <c:pt idx="42">
                  <c:v>26.517943874528395</c:v>
                </c:pt>
                <c:pt idx="43">
                  <c:v>32.441804663024868</c:v>
                </c:pt>
                <c:pt idx="44">
                  <c:v>15.229749317139344</c:v>
                </c:pt>
                <c:pt idx="45">
                  <c:v>18.367661498264692</c:v>
                </c:pt>
                <c:pt idx="46">
                  <c:v>9.0340812593049069</c:v>
                </c:pt>
                <c:pt idx="47">
                  <c:v>11.254799641063908</c:v>
                </c:pt>
                <c:pt idx="48">
                  <c:v>29.05389438518862</c:v>
                </c:pt>
                <c:pt idx="49">
                  <c:v>19.712694326873823</c:v>
                </c:pt>
                <c:pt idx="50">
                  <c:v>19.592344954185574</c:v>
                </c:pt>
                <c:pt idx="51">
                  <c:v>21.690695211793859</c:v>
                </c:pt>
                <c:pt idx="52">
                  <c:v>33.144652847084977</c:v>
                </c:pt>
                <c:pt idx="53">
                  <c:v>34.826791130128363</c:v>
                </c:pt>
                <c:pt idx="54">
                  <c:v>21.677819588784409</c:v>
                </c:pt>
                <c:pt idx="55">
                  <c:v>31.041239092247917</c:v>
                </c:pt>
                <c:pt idx="56">
                  <c:v>39.33920092431088</c:v>
                </c:pt>
                <c:pt idx="57">
                  <c:v>28.118711309042535</c:v>
                </c:pt>
                <c:pt idx="58">
                  <c:v>33.944496255432682</c:v>
                </c:pt>
                <c:pt idx="59">
                  <c:v>39.381521337246703</c:v>
                </c:pt>
                <c:pt idx="60">
                  <c:v>11.474300217046766</c:v>
                </c:pt>
                <c:pt idx="61">
                  <c:v>35.206084827162009</c:v>
                </c:pt>
                <c:pt idx="62">
                  <c:v>3.7829931873757534</c:v>
                </c:pt>
                <c:pt idx="63">
                  <c:v>13.025326669388869</c:v>
                </c:pt>
                <c:pt idx="64">
                  <c:v>15.702917520609363</c:v>
                </c:pt>
                <c:pt idx="65">
                  <c:v>38.679871479443889</c:v>
                </c:pt>
                <c:pt idx="66">
                  <c:v>31.522312043293422</c:v>
                </c:pt>
                <c:pt idx="67">
                  <c:v>30.731784366296818</c:v>
                </c:pt>
                <c:pt idx="68">
                  <c:v>24.463221259466884</c:v>
                </c:pt>
                <c:pt idx="69">
                  <c:v>15.171137559734944</c:v>
                </c:pt>
                <c:pt idx="70">
                  <c:v>15.789712379077356</c:v>
                </c:pt>
                <c:pt idx="71">
                  <c:v>8.8536484847648769</c:v>
                </c:pt>
                <c:pt idx="72">
                  <c:v>14.264828584008651</c:v>
                </c:pt>
                <c:pt idx="73">
                  <c:v>13.57739368609932</c:v>
                </c:pt>
                <c:pt idx="74">
                  <c:v>13.550030844323482</c:v>
                </c:pt>
                <c:pt idx="75">
                  <c:v>11.379573458939872</c:v>
                </c:pt>
                <c:pt idx="76">
                  <c:v>14.710744498245607</c:v>
                </c:pt>
                <c:pt idx="77">
                  <c:v>28.105100848703522</c:v>
                </c:pt>
                <c:pt idx="78">
                  <c:v>31.206603435229535</c:v>
                </c:pt>
                <c:pt idx="79">
                  <c:v>44.173880436097136</c:v>
                </c:pt>
                <c:pt idx="80">
                  <c:v>41.937855335074076</c:v>
                </c:pt>
                <c:pt idx="81">
                  <c:v>47.800835506074179</c:v>
                </c:pt>
                <c:pt idx="82">
                  <c:v>47.014605580997461</c:v>
                </c:pt>
                <c:pt idx="83">
                  <c:v>41.837972321097965</c:v>
                </c:pt>
                <c:pt idx="84">
                  <c:v>46.312493728190795</c:v>
                </c:pt>
                <c:pt idx="85">
                  <c:v>44.773853996765858</c:v>
                </c:pt>
                <c:pt idx="86">
                  <c:v>14.417455925515092</c:v>
                </c:pt>
                <c:pt idx="87">
                  <c:v>27.670722497835651</c:v>
                </c:pt>
                <c:pt idx="88">
                  <c:v>7.7584120480390766</c:v>
                </c:pt>
                <c:pt idx="89">
                  <c:v>27.634136899151802</c:v>
                </c:pt>
                <c:pt idx="90">
                  <c:v>32.359188324462878</c:v>
                </c:pt>
                <c:pt idx="91">
                  <c:v>20.200497023891376</c:v>
                </c:pt>
                <c:pt idx="92">
                  <c:v>22.472952971557621</c:v>
                </c:pt>
                <c:pt idx="93">
                  <c:v>45.237474130152627</c:v>
                </c:pt>
                <c:pt idx="94">
                  <c:v>51.909054276153299</c:v>
                </c:pt>
                <c:pt idx="95">
                  <c:v>11.235868051005507</c:v>
                </c:pt>
                <c:pt idx="96">
                  <c:v>37.717399927109945</c:v>
                </c:pt>
                <c:pt idx="97">
                  <c:v>30.642272184320195</c:v>
                </c:pt>
                <c:pt idx="98">
                  <c:v>35.948822327704647</c:v>
                </c:pt>
                <c:pt idx="99">
                  <c:v>52.565673586624293</c:v>
                </c:pt>
                <c:pt idx="100">
                  <c:v>43.56618396625808</c:v>
                </c:pt>
                <c:pt idx="101">
                  <c:v>37.208421278123218</c:v>
                </c:pt>
                <c:pt idx="102">
                  <c:v>7.951335640006727</c:v>
                </c:pt>
                <c:pt idx="103">
                  <c:v>40.244705596792564</c:v>
                </c:pt>
                <c:pt idx="104">
                  <c:v>43.9147294788145</c:v>
                </c:pt>
                <c:pt idx="105">
                  <c:v>45.563761070402585</c:v>
                </c:pt>
                <c:pt idx="106">
                  <c:v>53.478243961353634</c:v>
                </c:pt>
                <c:pt idx="107">
                  <c:v>39.560395022024679</c:v>
                </c:pt>
                <c:pt idx="108">
                  <c:v>9.2473196486353437</c:v>
                </c:pt>
                <c:pt idx="109">
                  <c:v>9.6477870993006114</c:v>
                </c:pt>
                <c:pt idx="110">
                  <c:v>9.2867003737222475</c:v>
                </c:pt>
                <c:pt idx="111">
                  <c:v>26.991130620933184</c:v>
                </c:pt>
                <c:pt idx="112">
                  <c:v>8.9890829403950825</c:v>
                </c:pt>
                <c:pt idx="113">
                  <c:v>31.061205771966296</c:v>
                </c:pt>
                <c:pt idx="114">
                  <c:v>47.008851379042831</c:v>
                </c:pt>
                <c:pt idx="115">
                  <c:v>53.896086653329348</c:v>
                </c:pt>
                <c:pt idx="116">
                  <c:v>39.123207320497173</c:v>
                </c:pt>
                <c:pt idx="117">
                  <c:v>23.573246375608054</c:v>
                </c:pt>
                <c:pt idx="118">
                  <c:v>43.112597779373026</c:v>
                </c:pt>
                <c:pt idx="119">
                  <c:v>45.636659879009642</c:v>
                </c:pt>
                <c:pt idx="120">
                  <c:v>46.175681797452768</c:v>
                </c:pt>
                <c:pt idx="121">
                  <c:v>27.377391661368797</c:v>
                </c:pt>
                <c:pt idx="122">
                  <c:v>38.212622938520148</c:v>
                </c:pt>
                <c:pt idx="123">
                  <c:v>20.69258615135189</c:v>
                </c:pt>
                <c:pt idx="124">
                  <c:v>42.447469249978113</c:v>
                </c:pt>
                <c:pt idx="125">
                  <c:v>37.249422537496216</c:v>
                </c:pt>
                <c:pt idx="126">
                  <c:v>50.960414307213931</c:v>
                </c:pt>
                <c:pt idx="127">
                  <c:v>46.991399200363823</c:v>
                </c:pt>
                <c:pt idx="128">
                  <c:v>53.960659705187709</c:v>
                </c:pt>
                <c:pt idx="129">
                  <c:v>50.40530267440527</c:v>
                </c:pt>
                <c:pt idx="130">
                  <c:v>54.353350390546879</c:v>
                </c:pt>
                <c:pt idx="131">
                  <c:v>40.523698142335753</c:v>
                </c:pt>
                <c:pt idx="132">
                  <c:v>42.445799169635968</c:v>
                </c:pt>
                <c:pt idx="133">
                  <c:v>48.367776919999905</c:v>
                </c:pt>
                <c:pt idx="134">
                  <c:v>50.899317205021738</c:v>
                </c:pt>
                <c:pt idx="135">
                  <c:v>49.376228654441938</c:v>
                </c:pt>
                <c:pt idx="136">
                  <c:v>52.660977010866439</c:v>
                </c:pt>
                <c:pt idx="137">
                  <c:v>50.933784380815062</c:v>
                </c:pt>
                <c:pt idx="138">
                  <c:v>53.543206060711832</c:v>
                </c:pt>
                <c:pt idx="139">
                  <c:v>47.778055232667512</c:v>
                </c:pt>
                <c:pt idx="140">
                  <c:v>47.870822116685389</c:v>
                </c:pt>
                <c:pt idx="141">
                  <c:v>36.362751796015587</c:v>
                </c:pt>
                <c:pt idx="142">
                  <c:v>19.198973882553698</c:v>
                </c:pt>
                <c:pt idx="143">
                  <c:v>15.871593804952131</c:v>
                </c:pt>
                <c:pt idx="144">
                  <c:v>39.924794287879543</c:v>
                </c:pt>
                <c:pt idx="145">
                  <c:v>24.269333694777973</c:v>
                </c:pt>
                <c:pt idx="146">
                  <c:v>44.682538263911034</c:v>
                </c:pt>
                <c:pt idx="147">
                  <c:v>53.743521738399735</c:v>
                </c:pt>
                <c:pt idx="148">
                  <c:v>58.109821826257011</c:v>
                </c:pt>
                <c:pt idx="149">
                  <c:v>49.305780284017146</c:v>
                </c:pt>
                <c:pt idx="150">
                  <c:v>53.449464875884608</c:v>
                </c:pt>
                <c:pt idx="151">
                  <c:v>54.464297064792007</c:v>
                </c:pt>
                <c:pt idx="152">
                  <c:v>43.437696103165848</c:v>
                </c:pt>
                <c:pt idx="153">
                  <c:v>53.130443220637218</c:v>
                </c:pt>
                <c:pt idx="154">
                  <c:v>25.328726860559577</c:v>
                </c:pt>
                <c:pt idx="155">
                  <c:v>34.901833493330933</c:v>
                </c:pt>
                <c:pt idx="156">
                  <c:v>45.525977423144226</c:v>
                </c:pt>
                <c:pt idx="157">
                  <c:v>27.616375523440123</c:v>
                </c:pt>
                <c:pt idx="158">
                  <c:v>20.588722341316441</c:v>
                </c:pt>
                <c:pt idx="159">
                  <c:v>44.8565401814162</c:v>
                </c:pt>
                <c:pt idx="160">
                  <c:v>55.959531152967799</c:v>
                </c:pt>
                <c:pt idx="161">
                  <c:v>54.077550326726701</c:v>
                </c:pt>
                <c:pt idx="162">
                  <c:v>41.977613294937846</c:v>
                </c:pt>
                <c:pt idx="163">
                  <c:v>52.79043089941861</c:v>
                </c:pt>
                <c:pt idx="164">
                  <c:v>46.928871848658829</c:v>
                </c:pt>
                <c:pt idx="165">
                  <c:v>52.904150853071805</c:v>
                </c:pt>
                <c:pt idx="166">
                  <c:v>50.812591826666107</c:v>
                </c:pt>
                <c:pt idx="167">
                  <c:v>50.949288521136808</c:v>
                </c:pt>
                <c:pt idx="168">
                  <c:v>53.274395173595906</c:v>
                </c:pt>
                <c:pt idx="169">
                  <c:v>54.569841940224322</c:v>
                </c:pt>
                <c:pt idx="170">
                  <c:v>30.784381062400655</c:v>
                </c:pt>
                <c:pt idx="171">
                  <c:v>22.154297998804559</c:v>
                </c:pt>
                <c:pt idx="172">
                  <c:v>42.910030129878166</c:v>
                </c:pt>
                <c:pt idx="173">
                  <c:v>40.47520600595017</c:v>
                </c:pt>
                <c:pt idx="174">
                  <c:v>38.177658442447822</c:v>
                </c:pt>
                <c:pt idx="175">
                  <c:v>33.131209652624769</c:v>
                </c:pt>
                <c:pt idx="176">
                  <c:v>11.76286587453709</c:v>
                </c:pt>
                <c:pt idx="177">
                  <c:v>14.292997429677165</c:v>
                </c:pt>
                <c:pt idx="178">
                  <c:v>56.702338871254838</c:v>
                </c:pt>
                <c:pt idx="179">
                  <c:v>55.07669416105734</c:v>
                </c:pt>
                <c:pt idx="180">
                  <c:v>13.582877563509173</c:v>
                </c:pt>
                <c:pt idx="181">
                  <c:v>48.992769440186251</c:v>
                </c:pt>
                <c:pt idx="182">
                  <c:v>54.120627855396116</c:v>
                </c:pt>
                <c:pt idx="183">
                  <c:v>44.5833318420949</c:v>
                </c:pt>
                <c:pt idx="184">
                  <c:v>43.133812923473968</c:v>
                </c:pt>
                <c:pt idx="185">
                  <c:v>54.071245187620789</c:v>
                </c:pt>
                <c:pt idx="186">
                  <c:v>45.96156273253888</c:v>
                </c:pt>
                <c:pt idx="187">
                  <c:v>53.535834979214201</c:v>
                </c:pt>
                <c:pt idx="188">
                  <c:v>55.842640780805667</c:v>
                </c:pt>
                <c:pt idx="189">
                  <c:v>55.190388486088416</c:v>
                </c:pt>
                <c:pt idx="190">
                  <c:v>54.666190243002305</c:v>
                </c:pt>
                <c:pt idx="191">
                  <c:v>53.230734664470184</c:v>
                </c:pt>
                <c:pt idx="192">
                  <c:v>53.00069007181424</c:v>
                </c:pt>
                <c:pt idx="193">
                  <c:v>52.731678311079008</c:v>
                </c:pt>
                <c:pt idx="194">
                  <c:v>52.180555397641974</c:v>
                </c:pt>
                <c:pt idx="195">
                  <c:v>50.459172680590662</c:v>
                </c:pt>
                <c:pt idx="196">
                  <c:v>51.927459231691699</c:v>
                </c:pt>
                <c:pt idx="197">
                  <c:v>51.470994275827344</c:v>
                </c:pt>
                <c:pt idx="198">
                  <c:v>52.399238686893511</c:v>
                </c:pt>
                <c:pt idx="199">
                  <c:v>43.301126288650487</c:v>
                </c:pt>
                <c:pt idx="200">
                  <c:v>42.878824587417434</c:v>
                </c:pt>
                <c:pt idx="201">
                  <c:v>50.707795631233658</c:v>
                </c:pt>
                <c:pt idx="202">
                  <c:v>40.943588020365972</c:v>
                </c:pt>
                <c:pt idx="203">
                  <c:v>47.049218874628629</c:v>
                </c:pt>
                <c:pt idx="204">
                  <c:v>50.933909658489775</c:v>
                </c:pt>
                <c:pt idx="205">
                  <c:v>25.956238188804083</c:v>
                </c:pt>
                <c:pt idx="206">
                  <c:v>55.043717732897512</c:v>
                </c:pt>
                <c:pt idx="207">
                  <c:v>55.082086717794404</c:v>
                </c:pt>
                <c:pt idx="208">
                  <c:v>42.946765849349234</c:v>
                </c:pt>
                <c:pt idx="209">
                  <c:v>30.674436560706543</c:v>
                </c:pt>
                <c:pt idx="210">
                  <c:v>47.442808003189668</c:v>
                </c:pt>
                <c:pt idx="211">
                  <c:v>52.677991470401331</c:v>
                </c:pt>
                <c:pt idx="212">
                  <c:v>52.321773537402237</c:v>
                </c:pt>
                <c:pt idx="213">
                  <c:v>52.311839349708627</c:v>
                </c:pt>
                <c:pt idx="214">
                  <c:v>49.400580996471334</c:v>
                </c:pt>
                <c:pt idx="215">
                  <c:v>48.669185608670745</c:v>
                </c:pt>
                <c:pt idx="216">
                  <c:v>44.198817835215799</c:v>
                </c:pt>
                <c:pt idx="217">
                  <c:v>48.53404737073361</c:v>
                </c:pt>
                <c:pt idx="218">
                  <c:v>51.073742492006126</c:v>
                </c:pt>
                <c:pt idx="219">
                  <c:v>51.504863924500626</c:v>
                </c:pt>
                <c:pt idx="220">
                  <c:v>49.57283779099189</c:v>
                </c:pt>
                <c:pt idx="221">
                  <c:v>46.84586352964002</c:v>
                </c:pt>
                <c:pt idx="222">
                  <c:v>45.299945800115239</c:v>
                </c:pt>
                <c:pt idx="223">
                  <c:v>46.201812241503831</c:v>
                </c:pt>
                <c:pt idx="224">
                  <c:v>34.771306271726665</c:v>
                </c:pt>
                <c:pt idx="225">
                  <c:v>33.005835379275418</c:v>
                </c:pt>
                <c:pt idx="226">
                  <c:v>37.390082620250894</c:v>
                </c:pt>
                <c:pt idx="227">
                  <c:v>34.583509351055476</c:v>
                </c:pt>
                <c:pt idx="228">
                  <c:v>27.747002786636877</c:v>
                </c:pt>
                <c:pt idx="229">
                  <c:v>35.204737535878024</c:v>
                </c:pt>
                <c:pt idx="230">
                  <c:v>40.102193474383334</c:v>
                </c:pt>
                <c:pt idx="231">
                  <c:v>48.159717338699551</c:v>
                </c:pt>
                <c:pt idx="232">
                  <c:v>32.532402797612491</c:v>
                </c:pt>
                <c:pt idx="233">
                  <c:v>25.928140269221132</c:v>
                </c:pt>
                <c:pt idx="234">
                  <c:v>47.022805559165235</c:v>
                </c:pt>
                <c:pt idx="235">
                  <c:v>44.829966227251553</c:v>
                </c:pt>
                <c:pt idx="236">
                  <c:v>31.431320109278367</c:v>
                </c:pt>
                <c:pt idx="237">
                  <c:v>41.741713498401097</c:v>
                </c:pt>
                <c:pt idx="238">
                  <c:v>47.470931907638004</c:v>
                </c:pt>
                <c:pt idx="239">
                  <c:v>46.439164188407339</c:v>
                </c:pt>
                <c:pt idx="240">
                  <c:v>31.777527451383914</c:v>
                </c:pt>
                <c:pt idx="241">
                  <c:v>46.134196543809104</c:v>
                </c:pt>
                <c:pt idx="242">
                  <c:v>23.830052563258864</c:v>
                </c:pt>
                <c:pt idx="243">
                  <c:v>39.008648803088924</c:v>
                </c:pt>
                <c:pt idx="244">
                  <c:v>37.543577620210591</c:v>
                </c:pt>
                <c:pt idx="245">
                  <c:v>36.655442545883034</c:v>
                </c:pt>
                <c:pt idx="246">
                  <c:v>44.302795134400085</c:v>
                </c:pt>
                <c:pt idx="247">
                  <c:v>38.725077390462395</c:v>
                </c:pt>
                <c:pt idx="248">
                  <c:v>43.824053303821337</c:v>
                </c:pt>
                <c:pt idx="249">
                  <c:v>34.887634428664533</c:v>
                </c:pt>
                <c:pt idx="250">
                  <c:v>33.907352533203024</c:v>
                </c:pt>
                <c:pt idx="251">
                  <c:v>22.709990759166207</c:v>
                </c:pt>
                <c:pt idx="252">
                  <c:v>44.923259773378298</c:v>
                </c:pt>
                <c:pt idx="253">
                  <c:v>44.371696990276334</c:v>
                </c:pt>
                <c:pt idx="254">
                  <c:v>32.207992704288806</c:v>
                </c:pt>
                <c:pt idx="255">
                  <c:v>13.672159830089692</c:v>
                </c:pt>
                <c:pt idx="256">
                  <c:v>34.285633007733729</c:v>
                </c:pt>
                <c:pt idx="257">
                  <c:v>39.268022886790298</c:v>
                </c:pt>
                <c:pt idx="258">
                  <c:v>31.375706834919662</c:v>
                </c:pt>
                <c:pt idx="259">
                  <c:v>43.845617914023478</c:v>
                </c:pt>
                <c:pt idx="260">
                  <c:v>43.840190917502348</c:v>
                </c:pt>
                <c:pt idx="261">
                  <c:v>43.246797122019686</c:v>
                </c:pt>
                <c:pt idx="262">
                  <c:v>44.894826868529776</c:v>
                </c:pt>
                <c:pt idx="263">
                  <c:v>43.740867353968092</c:v>
                </c:pt>
                <c:pt idx="264">
                  <c:v>42.328379995892291</c:v>
                </c:pt>
                <c:pt idx="265">
                  <c:v>26.866865821873024</c:v>
                </c:pt>
                <c:pt idx="266">
                  <c:v>16.275469519659278</c:v>
                </c:pt>
                <c:pt idx="267">
                  <c:v>34.276203640192286</c:v>
                </c:pt>
                <c:pt idx="268">
                  <c:v>31.384749638579052</c:v>
                </c:pt>
                <c:pt idx="269">
                  <c:v>16.642979561576823</c:v>
                </c:pt>
                <c:pt idx="270">
                  <c:v>18.864499793688921</c:v>
                </c:pt>
                <c:pt idx="271">
                  <c:v>22.667276403102615</c:v>
                </c:pt>
                <c:pt idx="272">
                  <c:v>26.900131074404293</c:v>
                </c:pt>
                <c:pt idx="273">
                  <c:v>35.15056292440525</c:v>
                </c:pt>
                <c:pt idx="274">
                  <c:v>37.483307770924661</c:v>
                </c:pt>
                <c:pt idx="275">
                  <c:v>36.186720955931733</c:v>
                </c:pt>
                <c:pt idx="276">
                  <c:v>39.86412588095537</c:v>
                </c:pt>
                <c:pt idx="277">
                  <c:v>40.64504455126044</c:v>
                </c:pt>
                <c:pt idx="278">
                  <c:v>11.228512488177111</c:v>
                </c:pt>
                <c:pt idx="279">
                  <c:v>28.206490556376409</c:v>
                </c:pt>
                <c:pt idx="280">
                  <c:v>16.279571955457623</c:v>
                </c:pt>
                <c:pt idx="281">
                  <c:v>37.172948763068177</c:v>
                </c:pt>
                <c:pt idx="282">
                  <c:v>29.845065917383419</c:v>
                </c:pt>
                <c:pt idx="283">
                  <c:v>21.709373812702122</c:v>
                </c:pt>
                <c:pt idx="284">
                  <c:v>26.94701291497077</c:v>
                </c:pt>
                <c:pt idx="285">
                  <c:v>22.563913794744074</c:v>
                </c:pt>
                <c:pt idx="286">
                  <c:v>17.540754154793383</c:v>
                </c:pt>
                <c:pt idx="287">
                  <c:v>36.045508035359155</c:v>
                </c:pt>
                <c:pt idx="288">
                  <c:v>31.816725839627182</c:v>
                </c:pt>
                <c:pt idx="289">
                  <c:v>18.889683474999</c:v>
                </c:pt>
                <c:pt idx="290">
                  <c:v>33.32293685782372</c:v>
                </c:pt>
                <c:pt idx="291">
                  <c:v>15.4898084145134</c:v>
                </c:pt>
                <c:pt idx="292">
                  <c:v>6.5232010396922835</c:v>
                </c:pt>
                <c:pt idx="293">
                  <c:v>15.87651842758066</c:v>
                </c:pt>
                <c:pt idx="294">
                  <c:v>32.078335590205661</c:v>
                </c:pt>
                <c:pt idx="295">
                  <c:v>16.487769817118668</c:v>
                </c:pt>
                <c:pt idx="296">
                  <c:v>24.396089090008001</c:v>
                </c:pt>
                <c:pt idx="297">
                  <c:v>21.571422520488927</c:v>
                </c:pt>
                <c:pt idx="298">
                  <c:v>12.025890276928669</c:v>
                </c:pt>
                <c:pt idx="299">
                  <c:v>13.913253357489777</c:v>
                </c:pt>
                <c:pt idx="300">
                  <c:v>16.738148593604613</c:v>
                </c:pt>
                <c:pt idx="301">
                  <c:v>25.997245416645068</c:v>
                </c:pt>
                <c:pt idx="302">
                  <c:v>22.352633601789496</c:v>
                </c:pt>
                <c:pt idx="303">
                  <c:v>21.261874492230383</c:v>
                </c:pt>
                <c:pt idx="304">
                  <c:v>18.849500749411376</c:v>
                </c:pt>
                <c:pt idx="305">
                  <c:v>27.965730674369315</c:v>
                </c:pt>
                <c:pt idx="306">
                  <c:v>9.8174514597381215</c:v>
                </c:pt>
                <c:pt idx="307">
                  <c:v>16.956345079889278</c:v>
                </c:pt>
                <c:pt idx="308">
                  <c:v>28.885811033611311</c:v>
                </c:pt>
                <c:pt idx="309">
                  <c:v>28.846734374859704</c:v>
                </c:pt>
                <c:pt idx="310">
                  <c:v>27.060485434881812</c:v>
                </c:pt>
                <c:pt idx="311">
                  <c:v>19.515619725071002</c:v>
                </c:pt>
                <c:pt idx="312">
                  <c:v>9.6134646532479611</c:v>
                </c:pt>
                <c:pt idx="313">
                  <c:v>19.411906082142334</c:v>
                </c:pt>
                <c:pt idx="314">
                  <c:v>26.5556938319117</c:v>
                </c:pt>
                <c:pt idx="315">
                  <c:v>26.152675745255834</c:v>
                </c:pt>
                <c:pt idx="316">
                  <c:v>25.153611399528057</c:v>
                </c:pt>
                <c:pt idx="317">
                  <c:v>9.3143966015146908</c:v>
                </c:pt>
                <c:pt idx="318">
                  <c:v>11.952927591029583</c:v>
                </c:pt>
                <c:pt idx="319">
                  <c:v>25.736570014258373</c:v>
                </c:pt>
                <c:pt idx="320">
                  <c:v>13.176385056346524</c:v>
                </c:pt>
                <c:pt idx="321">
                  <c:v>15.08403187676994</c:v>
                </c:pt>
                <c:pt idx="322">
                  <c:v>6.8939491779342417</c:v>
                </c:pt>
                <c:pt idx="323">
                  <c:v>15.171328441376254</c:v>
                </c:pt>
                <c:pt idx="324">
                  <c:v>3.0474724867708618</c:v>
                </c:pt>
                <c:pt idx="325">
                  <c:v>7.5397229772029348</c:v>
                </c:pt>
                <c:pt idx="326">
                  <c:v>12.645489389908441</c:v>
                </c:pt>
                <c:pt idx="327">
                  <c:v>13.271332646518006</c:v>
                </c:pt>
                <c:pt idx="328">
                  <c:v>4.5991229574073005</c:v>
                </c:pt>
                <c:pt idx="329">
                  <c:v>10.568756955426515</c:v>
                </c:pt>
                <c:pt idx="330">
                  <c:v>13.913420495488094</c:v>
                </c:pt>
                <c:pt idx="331">
                  <c:v>10.09460838460916</c:v>
                </c:pt>
                <c:pt idx="332">
                  <c:v>14.702482532500076</c:v>
                </c:pt>
                <c:pt idx="333">
                  <c:v>3.8421806342975859</c:v>
                </c:pt>
                <c:pt idx="334">
                  <c:v>3.6369849235802989</c:v>
                </c:pt>
                <c:pt idx="335">
                  <c:v>5.4641355937452918</c:v>
                </c:pt>
                <c:pt idx="336">
                  <c:v>9.1577398565064758</c:v>
                </c:pt>
                <c:pt idx="337">
                  <c:v>16.794482487703409</c:v>
                </c:pt>
                <c:pt idx="338">
                  <c:v>22.264773598227173</c:v>
                </c:pt>
                <c:pt idx="339">
                  <c:v>10.945163303854827</c:v>
                </c:pt>
                <c:pt idx="340">
                  <c:v>19.722960684497505</c:v>
                </c:pt>
                <c:pt idx="341">
                  <c:v>3.9611656254850822</c:v>
                </c:pt>
                <c:pt idx="342">
                  <c:v>4.8344209203652992</c:v>
                </c:pt>
                <c:pt idx="343">
                  <c:v>11.703056394359317</c:v>
                </c:pt>
                <c:pt idx="344">
                  <c:v>16.745370953441107</c:v>
                </c:pt>
                <c:pt idx="345">
                  <c:v>5.1177726538913673</c:v>
                </c:pt>
                <c:pt idx="346">
                  <c:v>5.1813902045756892</c:v>
                </c:pt>
                <c:pt idx="347">
                  <c:v>16.544728491188206</c:v>
                </c:pt>
                <c:pt idx="348">
                  <c:v>5.6541684822135299</c:v>
                </c:pt>
                <c:pt idx="349">
                  <c:v>4.9939424227790123</c:v>
                </c:pt>
                <c:pt idx="350">
                  <c:v>3.3856926454516749</c:v>
                </c:pt>
                <c:pt idx="351">
                  <c:v>20.195794744004985</c:v>
                </c:pt>
                <c:pt idx="352">
                  <c:v>17.185740517561339</c:v>
                </c:pt>
                <c:pt idx="353">
                  <c:v>4.3805498006260057</c:v>
                </c:pt>
                <c:pt idx="354">
                  <c:v>20.056435844052938</c:v>
                </c:pt>
                <c:pt idx="355">
                  <c:v>16.957523407823654</c:v>
                </c:pt>
                <c:pt idx="356">
                  <c:v>17.185627271892738</c:v>
                </c:pt>
                <c:pt idx="357">
                  <c:v>20.425147992726544</c:v>
                </c:pt>
                <c:pt idx="358">
                  <c:v>11.539533812375508</c:v>
                </c:pt>
                <c:pt idx="359">
                  <c:v>19.950130490092327</c:v>
                </c:pt>
                <c:pt idx="360">
                  <c:v>6.7600114073286823</c:v>
                </c:pt>
                <c:pt idx="361">
                  <c:v>20.986339950289103</c:v>
                </c:pt>
                <c:pt idx="362">
                  <c:v>9.9677835248032949</c:v>
                </c:pt>
                <c:pt idx="363">
                  <c:v>13.5052519183856</c:v>
                </c:pt>
                <c:pt idx="364">
                  <c:v>11.173736534120433</c:v>
                </c:pt>
                <c:pt idx="365">
                  <c:v>15.019257658291654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23.121336396864198</c:v>
                </c:pt>
                <c:pt idx="1">
                  <c:v>15.945145834143121</c:v>
                </c:pt>
                <c:pt idx="2">
                  <c:v>17.215723170396195</c:v>
                </c:pt>
                <c:pt idx="3">
                  <c:v>18.292595418114502</c:v>
                </c:pt>
                <c:pt idx="4">
                  <c:v>14.464764017359416</c:v>
                </c:pt>
                <c:pt idx="5">
                  <c:v>20.755486270860946</c:v>
                </c:pt>
                <c:pt idx="6">
                  <c:v>10.177114904558572</c:v>
                </c:pt>
                <c:pt idx="7">
                  <c:v>7.2423549937832297</c:v>
                </c:pt>
                <c:pt idx="8">
                  <c:v>2.1620115612813433</c:v>
                </c:pt>
                <c:pt idx="9">
                  <c:v>1.7728620109444055</c:v>
                </c:pt>
                <c:pt idx="10">
                  <c:v>24.850164473832532</c:v>
                </c:pt>
                <c:pt idx="11">
                  <c:v>21.599986638267108</c:v>
                </c:pt>
                <c:pt idx="12">
                  <c:v>5.5365878288639285</c:v>
                </c:pt>
                <c:pt idx="13">
                  <c:v>26.272159008846319</c:v>
                </c:pt>
                <c:pt idx="14">
                  <c:v>26.578657372135059</c:v>
                </c:pt>
                <c:pt idx="15">
                  <c:v>26.001479103527206</c:v>
                </c:pt>
                <c:pt idx="16">
                  <c:v>12.005830020334063</c:v>
                </c:pt>
                <c:pt idx="17">
                  <c:v>3.8137425339962987</c:v>
                </c:pt>
                <c:pt idx="18">
                  <c:v>10.405123462951977</c:v>
                </c:pt>
                <c:pt idx="19">
                  <c:v>6.515739892432352</c:v>
                </c:pt>
                <c:pt idx="20">
                  <c:v>20.772821325125811</c:v>
                </c:pt>
                <c:pt idx="21">
                  <c:v>27.72691364036373</c:v>
                </c:pt>
                <c:pt idx="22">
                  <c:v>27.848087002663355</c:v>
                </c:pt>
                <c:pt idx="23">
                  <c:v>28.386338111562285</c:v>
                </c:pt>
                <c:pt idx="24">
                  <c:v>27.44666935800953</c:v>
                </c:pt>
                <c:pt idx="25">
                  <c:v>28.112777097968923</c:v>
                </c:pt>
                <c:pt idx="26">
                  <c:v>26.861842802781918</c:v>
                </c:pt>
                <c:pt idx="27">
                  <c:v>4.2448211460893255</c:v>
                </c:pt>
                <c:pt idx="28">
                  <c:v>8.9587735727744349</c:v>
                </c:pt>
                <c:pt idx="29">
                  <c:v>4.6263057912744801</c:v>
                </c:pt>
                <c:pt idx="30">
                  <c:v>7.6709946214097799</c:v>
                </c:pt>
                <c:pt idx="31">
                  <c:v>12.728884411632199</c:v>
                </c:pt>
                <c:pt idx="32">
                  <c:v>5.3732130101507929</c:v>
                </c:pt>
                <c:pt idx="33">
                  <c:v>10.544702877132611</c:v>
                </c:pt>
                <c:pt idx="34">
                  <c:v>10.385298534973479</c:v>
                </c:pt>
                <c:pt idx="35">
                  <c:v>9.1251708697743705</c:v>
                </c:pt>
                <c:pt idx="36">
                  <c:v>21.257964582811333</c:v>
                </c:pt>
                <c:pt idx="37">
                  <c:v>8.9585550757237318</c:v>
                </c:pt>
                <c:pt idx="38">
                  <c:v>33.222163835372996</c:v>
                </c:pt>
                <c:pt idx="39">
                  <c:v>33.504307865293995</c:v>
                </c:pt>
                <c:pt idx="40">
                  <c:v>31.242868397299112</c:v>
                </c:pt>
                <c:pt idx="41">
                  <c:v>17.306156299123565</c:v>
                </c:pt>
                <c:pt idx="42">
                  <c:v>26.517943874528395</c:v>
                </c:pt>
                <c:pt idx="43">
                  <c:v>32.441804663024868</c:v>
                </c:pt>
                <c:pt idx="44">
                  <c:v>15.229749317139344</c:v>
                </c:pt>
                <c:pt idx="45">
                  <c:v>18.367661498264692</c:v>
                </c:pt>
                <c:pt idx="46">
                  <c:v>9.0340812593049069</c:v>
                </c:pt>
                <c:pt idx="47">
                  <c:v>11.254799641063908</c:v>
                </c:pt>
                <c:pt idx="48">
                  <c:v>29.05389438518862</c:v>
                </c:pt>
                <c:pt idx="49">
                  <c:v>19.712694326873823</c:v>
                </c:pt>
                <c:pt idx="50">
                  <c:v>19.592344954185574</c:v>
                </c:pt>
                <c:pt idx="51">
                  <c:v>21.690695211793859</c:v>
                </c:pt>
                <c:pt idx="52">
                  <c:v>33.144652847084977</c:v>
                </c:pt>
                <c:pt idx="53">
                  <c:v>34.826791130128363</c:v>
                </c:pt>
                <c:pt idx="54">
                  <c:v>21.677819588784409</c:v>
                </c:pt>
                <c:pt idx="55">
                  <c:v>31.041239092247917</c:v>
                </c:pt>
                <c:pt idx="56">
                  <c:v>39.33920092431088</c:v>
                </c:pt>
                <c:pt idx="57">
                  <c:v>28.118711309042535</c:v>
                </c:pt>
                <c:pt idx="58">
                  <c:v>33.944496255432682</c:v>
                </c:pt>
                <c:pt idx="59">
                  <c:v>39.381521337246703</c:v>
                </c:pt>
                <c:pt idx="60">
                  <c:v>11.474300217046766</c:v>
                </c:pt>
                <c:pt idx="61">
                  <c:v>35.206084827162009</c:v>
                </c:pt>
                <c:pt idx="62">
                  <c:v>3.7829931873757534</c:v>
                </c:pt>
                <c:pt idx="63">
                  <c:v>13.025326669388869</c:v>
                </c:pt>
                <c:pt idx="64">
                  <c:v>15.702917520609363</c:v>
                </c:pt>
                <c:pt idx="65">
                  <c:v>38.679871479443889</c:v>
                </c:pt>
                <c:pt idx="66">
                  <c:v>31.522312043293422</c:v>
                </c:pt>
                <c:pt idx="67">
                  <c:v>30.731784366296818</c:v>
                </c:pt>
                <c:pt idx="68">
                  <c:v>24.463221259466884</c:v>
                </c:pt>
                <c:pt idx="69">
                  <c:v>15.171137559734944</c:v>
                </c:pt>
                <c:pt idx="70">
                  <c:v>15.789712379077356</c:v>
                </c:pt>
                <c:pt idx="71">
                  <c:v>8.8536484847648769</c:v>
                </c:pt>
                <c:pt idx="72">
                  <c:v>14.264828584008651</c:v>
                </c:pt>
                <c:pt idx="73">
                  <c:v>13.57739368609932</c:v>
                </c:pt>
                <c:pt idx="74">
                  <c:v>13.550030844323482</c:v>
                </c:pt>
                <c:pt idx="75">
                  <c:v>11.379573458939872</c:v>
                </c:pt>
                <c:pt idx="76">
                  <c:v>14.710744498245607</c:v>
                </c:pt>
                <c:pt idx="77">
                  <c:v>28.105100848703522</c:v>
                </c:pt>
                <c:pt idx="78">
                  <c:v>31.206603435229535</c:v>
                </c:pt>
                <c:pt idx="79">
                  <c:v>44.173880436097136</c:v>
                </c:pt>
                <c:pt idx="80">
                  <c:v>41.937855335074076</c:v>
                </c:pt>
                <c:pt idx="81">
                  <c:v>47.800835506074179</c:v>
                </c:pt>
                <c:pt idx="82">
                  <c:v>47.014605580997461</c:v>
                </c:pt>
                <c:pt idx="83">
                  <c:v>41.837972321097965</c:v>
                </c:pt>
                <c:pt idx="84">
                  <c:v>46.312493728190795</c:v>
                </c:pt>
                <c:pt idx="85">
                  <c:v>44.773853996765858</c:v>
                </c:pt>
                <c:pt idx="86">
                  <c:v>14.417455925515092</c:v>
                </c:pt>
                <c:pt idx="87">
                  <c:v>27.670722497835651</c:v>
                </c:pt>
                <c:pt idx="88">
                  <c:v>7.7584120480390766</c:v>
                </c:pt>
                <c:pt idx="89">
                  <c:v>27.634136899151802</c:v>
                </c:pt>
                <c:pt idx="90">
                  <c:v>32.359188324462878</c:v>
                </c:pt>
                <c:pt idx="91">
                  <c:v>20.200497023891376</c:v>
                </c:pt>
                <c:pt idx="92">
                  <c:v>22.472952971557621</c:v>
                </c:pt>
                <c:pt idx="93">
                  <c:v>45.237474130152627</c:v>
                </c:pt>
                <c:pt idx="94">
                  <c:v>51.909054276153299</c:v>
                </c:pt>
                <c:pt idx="95">
                  <c:v>11.235868051005507</c:v>
                </c:pt>
                <c:pt idx="96">
                  <c:v>37.717399927109945</c:v>
                </c:pt>
                <c:pt idx="97">
                  <c:v>30.642272184320195</c:v>
                </c:pt>
                <c:pt idx="98">
                  <c:v>35.948822327704647</c:v>
                </c:pt>
                <c:pt idx="99">
                  <c:v>52.565673586624293</c:v>
                </c:pt>
                <c:pt idx="100">
                  <c:v>43.56618396625808</c:v>
                </c:pt>
                <c:pt idx="101">
                  <c:v>37.208421278123218</c:v>
                </c:pt>
                <c:pt idx="102">
                  <c:v>7.951335640006727</c:v>
                </c:pt>
                <c:pt idx="103">
                  <c:v>40.244705596792564</c:v>
                </c:pt>
                <c:pt idx="104">
                  <c:v>43.9147294788145</c:v>
                </c:pt>
                <c:pt idx="105">
                  <c:v>45.563761070402585</c:v>
                </c:pt>
                <c:pt idx="106">
                  <c:v>53.478243961353634</c:v>
                </c:pt>
                <c:pt idx="107">
                  <c:v>39.560395022024679</c:v>
                </c:pt>
                <c:pt idx="108">
                  <c:v>9.2473196486353437</c:v>
                </c:pt>
                <c:pt idx="109">
                  <c:v>9.6477870993006114</c:v>
                </c:pt>
                <c:pt idx="110">
                  <c:v>9.2867003737222475</c:v>
                </c:pt>
                <c:pt idx="111">
                  <c:v>26.991130620933184</c:v>
                </c:pt>
                <c:pt idx="112">
                  <c:v>8.9890829403950825</c:v>
                </c:pt>
                <c:pt idx="113">
                  <c:v>31.061205771966296</c:v>
                </c:pt>
                <c:pt idx="114">
                  <c:v>47.008851379042831</c:v>
                </c:pt>
                <c:pt idx="115">
                  <c:v>53.896086653329348</c:v>
                </c:pt>
                <c:pt idx="116">
                  <c:v>39.123207320497173</c:v>
                </c:pt>
                <c:pt idx="117">
                  <c:v>23.573246375608054</c:v>
                </c:pt>
                <c:pt idx="118">
                  <c:v>43.112597779373026</c:v>
                </c:pt>
                <c:pt idx="119">
                  <c:v>45.636659879009642</c:v>
                </c:pt>
                <c:pt idx="120">
                  <c:v>46.175681797452768</c:v>
                </c:pt>
                <c:pt idx="121">
                  <c:v>27.377391661368797</c:v>
                </c:pt>
                <c:pt idx="122">
                  <c:v>38.212622938520148</c:v>
                </c:pt>
                <c:pt idx="123">
                  <c:v>20.69258615135189</c:v>
                </c:pt>
                <c:pt idx="124">
                  <c:v>42.447469249978113</c:v>
                </c:pt>
                <c:pt idx="125">
                  <c:v>37.249422537496216</c:v>
                </c:pt>
                <c:pt idx="126">
                  <c:v>50.960414307213931</c:v>
                </c:pt>
                <c:pt idx="127">
                  <c:v>46.991399200363823</c:v>
                </c:pt>
                <c:pt idx="128">
                  <c:v>53.960659705187709</c:v>
                </c:pt>
                <c:pt idx="129">
                  <c:v>50.40530267440527</c:v>
                </c:pt>
                <c:pt idx="130">
                  <c:v>54.353350390546879</c:v>
                </c:pt>
                <c:pt idx="131">
                  <c:v>40.523698142335753</c:v>
                </c:pt>
                <c:pt idx="132">
                  <c:v>42.445799169635968</c:v>
                </c:pt>
                <c:pt idx="133">
                  <c:v>48.367776919999905</c:v>
                </c:pt>
                <c:pt idx="134">
                  <c:v>50.899317205021738</c:v>
                </c:pt>
                <c:pt idx="135">
                  <c:v>49.376228654441938</c:v>
                </c:pt>
                <c:pt idx="136">
                  <c:v>52.660977010866439</c:v>
                </c:pt>
                <c:pt idx="137">
                  <c:v>50.933784380815062</c:v>
                </c:pt>
                <c:pt idx="138">
                  <c:v>53.543206060711832</c:v>
                </c:pt>
                <c:pt idx="139">
                  <c:v>47.778055232667512</c:v>
                </c:pt>
                <c:pt idx="140">
                  <c:v>47.870822116685389</c:v>
                </c:pt>
                <c:pt idx="141">
                  <c:v>36.362751796015587</c:v>
                </c:pt>
                <c:pt idx="142">
                  <c:v>19.198973882553698</c:v>
                </c:pt>
                <c:pt idx="143">
                  <c:v>15.871593804952131</c:v>
                </c:pt>
                <c:pt idx="144">
                  <c:v>39.924794287879543</c:v>
                </c:pt>
                <c:pt idx="145">
                  <c:v>24.269333694777973</c:v>
                </c:pt>
                <c:pt idx="146">
                  <c:v>44.682538263911034</c:v>
                </c:pt>
                <c:pt idx="147">
                  <c:v>53.743521738399735</c:v>
                </c:pt>
                <c:pt idx="148">
                  <c:v>58.109821826257011</c:v>
                </c:pt>
                <c:pt idx="149">
                  <c:v>49.305780284017146</c:v>
                </c:pt>
                <c:pt idx="150">
                  <c:v>53.449464875884608</c:v>
                </c:pt>
                <c:pt idx="151">
                  <c:v>54.464297064792007</c:v>
                </c:pt>
                <c:pt idx="152">
                  <c:v>43.437696103165848</c:v>
                </c:pt>
                <c:pt idx="153">
                  <c:v>53.130443220637218</c:v>
                </c:pt>
                <c:pt idx="154">
                  <c:v>25.328726860559577</c:v>
                </c:pt>
                <c:pt idx="155">
                  <c:v>34.901833493330933</c:v>
                </c:pt>
                <c:pt idx="156">
                  <c:v>45.525977423144226</c:v>
                </c:pt>
                <c:pt idx="157">
                  <c:v>27.616375523440123</c:v>
                </c:pt>
                <c:pt idx="158">
                  <c:v>20.588722341316441</c:v>
                </c:pt>
                <c:pt idx="159">
                  <c:v>44.8565401814162</c:v>
                </c:pt>
                <c:pt idx="160">
                  <c:v>55.959531152967799</c:v>
                </c:pt>
                <c:pt idx="161">
                  <c:v>54.077550326726701</c:v>
                </c:pt>
                <c:pt idx="162">
                  <c:v>41.977613294937846</c:v>
                </c:pt>
                <c:pt idx="163">
                  <c:v>52.79043089941861</c:v>
                </c:pt>
                <c:pt idx="164">
                  <c:v>46.928871848658829</c:v>
                </c:pt>
                <c:pt idx="165">
                  <c:v>52.904150853071805</c:v>
                </c:pt>
                <c:pt idx="166">
                  <c:v>50.812591826666107</c:v>
                </c:pt>
                <c:pt idx="167">
                  <c:v>50.949288521136808</c:v>
                </c:pt>
                <c:pt idx="168">
                  <c:v>53.274395173595906</c:v>
                </c:pt>
                <c:pt idx="169">
                  <c:v>54.569841940224322</c:v>
                </c:pt>
                <c:pt idx="170">
                  <c:v>30.784381062400655</c:v>
                </c:pt>
                <c:pt idx="171">
                  <c:v>22.154297998804559</c:v>
                </c:pt>
                <c:pt idx="172">
                  <c:v>42.910030129878166</c:v>
                </c:pt>
                <c:pt idx="173">
                  <c:v>40.47520600595017</c:v>
                </c:pt>
                <c:pt idx="174">
                  <c:v>38.177658442447822</c:v>
                </c:pt>
                <c:pt idx="175">
                  <c:v>33.131209652624769</c:v>
                </c:pt>
                <c:pt idx="176">
                  <c:v>11.76286587453709</c:v>
                </c:pt>
                <c:pt idx="177">
                  <c:v>14.292997429677165</c:v>
                </c:pt>
                <c:pt idx="178">
                  <c:v>56.702338871254838</c:v>
                </c:pt>
                <c:pt idx="179">
                  <c:v>55.07669416105734</c:v>
                </c:pt>
                <c:pt idx="180">
                  <c:v>13.582877563509173</c:v>
                </c:pt>
                <c:pt idx="181">
                  <c:v>48.992769440186251</c:v>
                </c:pt>
                <c:pt idx="182">
                  <c:v>54.120627855396116</c:v>
                </c:pt>
                <c:pt idx="183">
                  <c:v>44.5833318420949</c:v>
                </c:pt>
                <c:pt idx="184">
                  <c:v>43.133812923473968</c:v>
                </c:pt>
                <c:pt idx="185">
                  <c:v>54.071245187620789</c:v>
                </c:pt>
                <c:pt idx="186">
                  <c:v>45.96156273253888</c:v>
                </c:pt>
                <c:pt idx="187">
                  <c:v>53.535834979214201</c:v>
                </c:pt>
                <c:pt idx="188">
                  <c:v>55.842640780805667</c:v>
                </c:pt>
                <c:pt idx="189">
                  <c:v>55.190388486088416</c:v>
                </c:pt>
                <c:pt idx="190">
                  <c:v>54.666190243002305</c:v>
                </c:pt>
                <c:pt idx="191">
                  <c:v>53.230734664470184</c:v>
                </c:pt>
                <c:pt idx="192">
                  <c:v>53.00069007181424</c:v>
                </c:pt>
                <c:pt idx="193">
                  <c:v>52.731678311079008</c:v>
                </c:pt>
                <c:pt idx="194">
                  <c:v>52.180555397641974</c:v>
                </c:pt>
                <c:pt idx="195">
                  <c:v>50.459172680590662</c:v>
                </c:pt>
                <c:pt idx="196">
                  <c:v>51.927459231691699</c:v>
                </c:pt>
                <c:pt idx="197">
                  <c:v>51.470994275827344</c:v>
                </c:pt>
                <c:pt idx="198">
                  <c:v>52.399238686893511</c:v>
                </c:pt>
                <c:pt idx="199">
                  <c:v>43.301126288650487</c:v>
                </c:pt>
                <c:pt idx="200">
                  <c:v>42.878824587417434</c:v>
                </c:pt>
                <c:pt idx="201">
                  <c:v>50.707795631233658</c:v>
                </c:pt>
                <c:pt idx="202">
                  <c:v>40.943588020365972</c:v>
                </c:pt>
                <c:pt idx="203">
                  <c:v>47.049218874628629</c:v>
                </c:pt>
                <c:pt idx="204">
                  <c:v>50.933909658489775</c:v>
                </c:pt>
                <c:pt idx="205">
                  <c:v>25.956238188804083</c:v>
                </c:pt>
                <c:pt idx="206">
                  <c:v>55.043717732897512</c:v>
                </c:pt>
                <c:pt idx="207">
                  <c:v>55.082086717794404</c:v>
                </c:pt>
                <c:pt idx="208">
                  <c:v>42.946765849349234</c:v>
                </c:pt>
                <c:pt idx="209">
                  <c:v>30.674436560706543</c:v>
                </c:pt>
                <c:pt idx="210">
                  <c:v>47.442808003189668</c:v>
                </c:pt>
                <c:pt idx="211">
                  <c:v>52.677991470401331</c:v>
                </c:pt>
                <c:pt idx="212">
                  <c:v>52.321773537402237</c:v>
                </c:pt>
                <c:pt idx="213">
                  <c:v>52.311839349708627</c:v>
                </c:pt>
                <c:pt idx="214">
                  <c:v>49.400580996471334</c:v>
                </c:pt>
                <c:pt idx="215">
                  <c:v>48.669185608670745</c:v>
                </c:pt>
                <c:pt idx="216">
                  <c:v>44.198817835215799</c:v>
                </c:pt>
                <c:pt idx="217">
                  <c:v>48.53404737073361</c:v>
                </c:pt>
                <c:pt idx="218">
                  <c:v>51.073742492006126</c:v>
                </c:pt>
                <c:pt idx="219">
                  <c:v>51.504863924500626</c:v>
                </c:pt>
                <c:pt idx="220">
                  <c:v>49.57283779099189</c:v>
                </c:pt>
                <c:pt idx="221">
                  <c:v>46.84586352964002</c:v>
                </c:pt>
                <c:pt idx="222">
                  <c:v>45.299945800115239</c:v>
                </c:pt>
                <c:pt idx="223">
                  <c:v>46.201812241503831</c:v>
                </c:pt>
                <c:pt idx="224">
                  <c:v>34.771306271726665</c:v>
                </c:pt>
                <c:pt idx="225">
                  <c:v>33.005835379275418</c:v>
                </c:pt>
                <c:pt idx="226">
                  <c:v>37.390082620250894</c:v>
                </c:pt>
                <c:pt idx="227">
                  <c:v>34.583509351055476</c:v>
                </c:pt>
                <c:pt idx="228">
                  <c:v>27.747002786636877</c:v>
                </c:pt>
                <c:pt idx="229">
                  <c:v>35.204737535878024</c:v>
                </c:pt>
                <c:pt idx="230">
                  <c:v>40.102193474383334</c:v>
                </c:pt>
                <c:pt idx="231">
                  <c:v>48.159717338699551</c:v>
                </c:pt>
                <c:pt idx="232">
                  <c:v>32.532402797612491</c:v>
                </c:pt>
                <c:pt idx="233">
                  <c:v>25.928140269221132</c:v>
                </c:pt>
                <c:pt idx="234">
                  <c:v>47.022805559165235</c:v>
                </c:pt>
                <c:pt idx="235">
                  <c:v>44.829966227251553</c:v>
                </c:pt>
                <c:pt idx="236">
                  <c:v>31.431320109278367</c:v>
                </c:pt>
                <c:pt idx="237">
                  <c:v>41.741713498401097</c:v>
                </c:pt>
                <c:pt idx="238">
                  <c:v>47.470931907638004</c:v>
                </c:pt>
                <c:pt idx="239">
                  <c:v>46.439164188407339</c:v>
                </c:pt>
                <c:pt idx="240">
                  <c:v>31.777527451383914</c:v>
                </c:pt>
                <c:pt idx="241">
                  <c:v>46.134196543809104</c:v>
                </c:pt>
                <c:pt idx="242">
                  <c:v>23.830052563258864</c:v>
                </c:pt>
                <c:pt idx="243">
                  <c:v>39.008648803088924</c:v>
                </c:pt>
                <c:pt idx="244">
                  <c:v>37.543577620210591</c:v>
                </c:pt>
                <c:pt idx="245">
                  <c:v>36.655442545883034</c:v>
                </c:pt>
                <c:pt idx="246">
                  <c:v>44.302795134400085</c:v>
                </c:pt>
                <c:pt idx="247">
                  <c:v>38.725077390462395</c:v>
                </c:pt>
                <c:pt idx="248">
                  <c:v>43.824053303821337</c:v>
                </c:pt>
                <c:pt idx="249">
                  <c:v>34.887634428664533</c:v>
                </c:pt>
                <c:pt idx="250">
                  <c:v>33.907352533203024</c:v>
                </c:pt>
                <c:pt idx="251">
                  <c:v>22.709990759166207</c:v>
                </c:pt>
                <c:pt idx="252">
                  <c:v>44.923259773378298</c:v>
                </c:pt>
                <c:pt idx="253">
                  <c:v>44.371696990276334</c:v>
                </c:pt>
                <c:pt idx="254">
                  <c:v>32.207992704288806</c:v>
                </c:pt>
                <c:pt idx="255">
                  <c:v>13.672159830089692</c:v>
                </c:pt>
                <c:pt idx="256">
                  <c:v>34.285633007733729</c:v>
                </c:pt>
                <c:pt idx="257">
                  <c:v>39.268022886790298</c:v>
                </c:pt>
                <c:pt idx="258">
                  <c:v>31.375706834919662</c:v>
                </c:pt>
                <c:pt idx="259">
                  <c:v>43.845617914023478</c:v>
                </c:pt>
                <c:pt idx="260">
                  <c:v>43.840190917502348</c:v>
                </c:pt>
                <c:pt idx="261">
                  <c:v>43.246797122019686</c:v>
                </c:pt>
                <c:pt idx="262">
                  <c:v>44.894826868529776</c:v>
                </c:pt>
                <c:pt idx="263">
                  <c:v>43.740867353968092</c:v>
                </c:pt>
                <c:pt idx="264">
                  <c:v>42.328379995892291</c:v>
                </c:pt>
                <c:pt idx="265">
                  <c:v>26.866865821873024</c:v>
                </c:pt>
                <c:pt idx="266">
                  <c:v>16.275469519659278</c:v>
                </c:pt>
                <c:pt idx="267">
                  <c:v>34.276203640192286</c:v>
                </c:pt>
                <c:pt idx="268">
                  <c:v>31.384749638579052</c:v>
                </c:pt>
                <c:pt idx="269">
                  <c:v>16.642979561576823</c:v>
                </c:pt>
                <c:pt idx="270">
                  <c:v>18.864499793688921</c:v>
                </c:pt>
                <c:pt idx="271">
                  <c:v>22.667276403102615</c:v>
                </c:pt>
                <c:pt idx="272">
                  <c:v>26.900131074404293</c:v>
                </c:pt>
                <c:pt idx="273">
                  <c:v>35.15056292440525</c:v>
                </c:pt>
                <c:pt idx="274">
                  <c:v>37.483307770924661</c:v>
                </c:pt>
                <c:pt idx="275">
                  <c:v>36.186720955931733</c:v>
                </c:pt>
                <c:pt idx="276">
                  <c:v>39.86412588095537</c:v>
                </c:pt>
                <c:pt idx="277">
                  <c:v>40.64504455126044</c:v>
                </c:pt>
                <c:pt idx="278">
                  <c:v>11.228512488177111</c:v>
                </c:pt>
                <c:pt idx="279">
                  <c:v>28.206490556376409</c:v>
                </c:pt>
                <c:pt idx="280">
                  <c:v>16.279571955457623</c:v>
                </c:pt>
                <c:pt idx="281">
                  <c:v>37.172948763068177</c:v>
                </c:pt>
                <c:pt idx="282">
                  <c:v>29.845065917383419</c:v>
                </c:pt>
                <c:pt idx="283">
                  <c:v>21.709373812702122</c:v>
                </c:pt>
                <c:pt idx="284">
                  <c:v>26.94701291497077</c:v>
                </c:pt>
                <c:pt idx="285">
                  <c:v>22.563913794744074</c:v>
                </c:pt>
                <c:pt idx="286">
                  <c:v>17.540754154793383</c:v>
                </c:pt>
                <c:pt idx="287">
                  <c:v>36.045508035359155</c:v>
                </c:pt>
                <c:pt idx="288">
                  <c:v>31.816725839627182</c:v>
                </c:pt>
                <c:pt idx="289">
                  <c:v>18.889683474999</c:v>
                </c:pt>
                <c:pt idx="290">
                  <c:v>33.32293685782372</c:v>
                </c:pt>
                <c:pt idx="291">
                  <c:v>15.4898084145134</c:v>
                </c:pt>
                <c:pt idx="292">
                  <c:v>6.5232010396922835</c:v>
                </c:pt>
                <c:pt idx="293">
                  <c:v>15.87651842758066</c:v>
                </c:pt>
                <c:pt idx="294">
                  <c:v>32.078335590205661</c:v>
                </c:pt>
                <c:pt idx="295">
                  <c:v>16.487769817118668</c:v>
                </c:pt>
                <c:pt idx="296">
                  <c:v>24.396089090008001</c:v>
                </c:pt>
                <c:pt idx="297">
                  <c:v>21.571422520488927</c:v>
                </c:pt>
                <c:pt idx="298">
                  <c:v>12.025890276928669</c:v>
                </c:pt>
                <c:pt idx="299">
                  <c:v>13.913253357489777</c:v>
                </c:pt>
                <c:pt idx="300">
                  <c:v>16.738148593604613</c:v>
                </c:pt>
                <c:pt idx="301">
                  <c:v>25.997245416645068</c:v>
                </c:pt>
                <c:pt idx="302">
                  <c:v>22.352633601789496</c:v>
                </c:pt>
                <c:pt idx="303">
                  <c:v>21.261874492230383</c:v>
                </c:pt>
                <c:pt idx="304">
                  <c:v>18.849500749411376</c:v>
                </c:pt>
                <c:pt idx="305">
                  <c:v>27.965730674369315</c:v>
                </c:pt>
                <c:pt idx="306">
                  <c:v>9.8174514597381215</c:v>
                </c:pt>
                <c:pt idx="307">
                  <c:v>16.956345079889278</c:v>
                </c:pt>
                <c:pt idx="308">
                  <c:v>28.885811033611311</c:v>
                </c:pt>
                <c:pt idx="309">
                  <c:v>28.846734374859704</c:v>
                </c:pt>
                <c:pt idx="310">
                  <c:v>27.060485434881812</c:v>
                </c:pt>
                <c:pt idx="311">
                  <c:v>19.515619725071002</c:v>
                </c:pt>
                <c:pt idx="312">
                  <c:v>9.6134646532479611</c:v>
                </c:pt>
                <c:pt idx="313">
                  <c:v>19.411906082142334</c:v>
                </c:pt>
                <c:pt idx="314">
                  <c:v>26.5556938319117</c:v>
                </c:pt>
                <c:pt idx="315">
                  <c:v>26.152675745255834</c:v>
                </c:pt>
                <c:pt idx="316">
                  <c:v>25.153611399528057</c:v>
                </c:pt>
                <c:pt idx="317">
                  <c:v>9.3143966015146908</c:v>
                </c:pt>
                <c:pt idx="318">
                  <c:v>11.952927591029583</c:v>
                </c:pt>
                <c:pt idx="319">
                  <c:v>25.736570014258373</c:v>
                </c:pt>
                <c:pt idx="320">
                  <c:v>13.176385056346524</c:v>
                </c:pt>
                <c:pt idx="321">
                  <c:v>15.08403187676994</c:v>
                </c:pt>
                <c:pt idx="322">
                  <c:v>6.8939491779342417</c:v>
                </c:pt>
                <c:pt idx="323">
                  <c:v>15.171328441376254</c:v>
                </c:pt>
                <c:pt idx="324">
                  <c:v>3.0474724867708618</c:v>
                </c:pt>
                <c:pt idx="325">
                  <c:v>7.5397229772029348</c:v>
                </c:pt>
                <c:pt idx="326">
                  <c:v>12.645489389908441</c:v>
                </c:pt>
                <c:pt idx="327">
                  <c:v>13.271332646518006</c:v>
                </c:pt>
                <c:pt idx="328">
                  <c:v>4.5991229574073005</c:v>
                </c:pt>
                <c:pt idx="329">
                  <c:v>10.568756955426515</c:v>
                </c:pt>
                <c:pt idx="330">
                  <c:v>13.913420495488094</c:v>
                </c:pt>
                <c:pt idx="331">
                  <c:v>10.09460838460916</c:v>
                </c:pt>
                <c:pt idx="332">
                  <c:v>14.702482532500076</c:v>
                </c:pt>
                <c:pt idx="333">
                  <c:v>3.8421806342975859</c:v>
                </c:pt>
                <c:pt idx="334">
                  <c:v>3.6369849235802989</c:v>
                </c:pt>
                <c:pt idx="335">
                  <c:v>5.4641355937452918</c:v>
                </c:pt>
                <c:pt idx="336">
                  <c:v>9.1577398565064758</c:v>
                </c:pt>
                <c:pt idx="337">
                  <c:v>16.794482487703409</c:v>
                </c:pt>
                <c:pt idx="338">
                  <c:v>22.264773598227173</c:v>
                </c:pt>
                <c:pt idx="339">
                  <c:v>10.945163303854827</c:v>
                </c:pt>
                <c:pt idx="340">
                  <c:v>19.722960684497505</c:v>
                </c:pt>
                <c:pt idx="341">
                  <c:v>3.9611656254850822</c:v>
                </c:pt>
                <c:pt idx="342">
                  <c:v>4.8344209203652992</c:v>
                </c:pt>
                <c:pt idx="343">
                  <c:v>11.703056394359317</c:v>
                </c:pt>
                <c:pt idx="344">
                  <c:v>16.745370953441107</c:v>
                </c:pt>
                <c:pt idx="345">
                  <c:v>5.1177726538913673</c:v>
                </c:pt>
                <c:pt idx="346">
                  <c:v>5.1813902045756892</c:v>
                </c:pt>
                <c:pt idx="347">
                  <c:v>16.544728491188206</c:v>
                </c:pt>
                <c:pt idx="348">
                  <c:v>5.6541684822135299</c:v>
                </c:pt>
                <c:pt idx="349">
                  <c:v>4.9939424227790123</c:v>
                </c:pt>
                <c:pt idx="350">
                  <c:v>3.3856926454516749</c:v>
                </c:pt>
                <c:pt idx="351">
                  <c:v>20.195794744004985</c:v>
                </c:pt>
                <c:pt idx="352">
                  <c:v>17.185740517561339</c:v>
                </c:pt>
                <c:pt idx="353">
                  <c:v>4.3805498006260057</c:v>
                </c:pt>
                <c:pt idx="354">
                  <c:v>20.056435844052938</c:v>
                </c:pt>
                <c:pt idx="355">
                  <c:v>16.957523407823654</c:v>
                </c:pt>
                <c:pt idx="356">
                  <c:v>17.185627271892738</c:v>
                </c:pt>
                <c:pt idx="357">
                  <c:v>20.425147992726544</c:v>
                </c:pt>
                <c:pt idx="358">
                  <c:v>11.539533812375508</c:v>
                </c:pt>
                <c:pt idx="359">
                  <c:v>19.950130490092327</c:v>
                </c:pt>
                <c:pt idx="360">
                  <c:v>6.7600114073286823</c:v>
                </c:pt>
                <c:pt idx="361">
                  <c:v>20.986339950289103</c:v>
                </c:pt>
                <c:pt idx="362">
                  <c:v>9.9677835248032949</c:v>
                </c:pt>
                <c:pt idx="363">
                  <c:v>13.5052519183856</c:v>
                </c:pt>
                <c:pt idx="364">
                  <c:v>11.173736534120433</c:v>
                </c:pt>
                <c:pt idx="365">
                  <c:v>15.019257658291654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001048"/>
        <c:axId val="216001440"/>
      </c:lineChart>
      <c:dateAx>
        <c:axId val="216001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001440"/>
        <c:crosses val="autoZero"/>
        <c:auto val="1"/>
        <c:lblOffset val="100"/>
        <c:baseTimeUnit val="days"/>
        <c:majorUnit val="1"/>
        <c:majorTimeUnit val="months"/>
      </c:dateAx>
      <c:valAx>
        <c:axId val="2160014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0010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6.0782065354107573E-2</c:v>
                </c:pt>
                <c:pt idx="1">
                  <c:v>6.0800065251555013E-2</c:v>
                </c:pt>
                <c:pt idx="2">
                  <c:v>6.0818064804038507E-2</c:v>
                </c:pt>
                <c:pt idx="3">
                  <c:v>6.0836064011564717E-2</c:v>
                </c:pt>
                <c:pt idx="4">
                  <c:v>6.0854062874140191E-2</c:v>
                </c:pt>
                <c:pt idx="5">
                  <c:v>6.0872061391771592E-2</c:v>
                </c:pt>
                <c:pt idx="6">
                  <c:v>6.0890059564465471E-2</c:v>
                </c:pt>
                <c:pt idx="7">
                  <c:v>6.0908057392228598E-2</c:v>
                </c:pt>
                <c:pt idx="8">
                  <c:v>6.0926054875067304E-2</c:v>
                </c:pt>
                <c:pt idx="9">
                  <c:v>6.094405201298847E-2</c:v>
                </c:pt>
                <c:pt idx="10">
                  <c:v>6.0962048805998537E-2</c:v>
                </c:pt>
                <c:pt idx="11">
                  <c:v>6.0980045254104165E-2</c:v>
                </c:pt>
                <c:pt idx="12">
                  <c:v>6.0998041357312016E-2</c:v>
                </c:pt>
                <c:pt idx="13">
                  <c:v>6.1016037115628641E-2</c:v>
                </c:pt>
                <c:pt idx="14">
                  <c:v>6.10340325290607E-2</c:v>
                </c:pt>
                <c:pt idx="15">
                  <c:v>6.1052027597614633E-2</c:v>
                </c:pt>
                <c:pt idx="16">
                  <c:v>6.1070022321297324E-2</c:v>
                </c:pt>
                <c:pt idx="17">
                  <c:v>6.1088016700115211E-2</c:v>
                </c:pt>
                <c:pt idx="18">
                  <c:v>6.1106010734074845E-2</c:v>
                </c:pt>
                <c:pt idx="19">
                  <c:v>6.1124004423182998E-2</c:v>
                </c:pt>
                <c:pt idx="20">
                  <c:v>6.1141997767446221E-2</c:v>
                </c:pt>
                <c:pt idx="21">
                  <c:v>6.1159990766871064E-2</c:v>
                </c:pt>
                <c:pt idx="22">
                  <c:v>6.1177983421464188E-2</c:v>
                </c:pt>
                <c:pt idx="23">
                  <c:v>6.1195975731232144E-2</c:v>
                </c:pt>
                <c:pt idx="24">
                  <c:v>6.1213967696181704E-2</c:v>
                </c:pt>
                <c:pt idx="25">
                  <c:v>6.1231959316319307E-2</c:v>
                </c:pt>
                <c:pt idx="26">
                  <c:v>6.1249950591651614E-2</c:v>
                </c:pt>
                <c:pt idx="27">
                  <c:v>6.1267941522185176E-2</c:v>
                </c:pt>
                <c:pt idx="28">
                  <c:v>6.1285932107926655E-2</c:v>
                </c:pt>
                <c:pt idx="29">
                  <c:v>6.1303922348882822E-2</c:v>
                </c:pt>
                <c:pt idx="30">
                  <c:v>6.1321912245060006E-2</c:v>
                </c:pt>
                <c:pt idx="31">
                  <c:v>6.1339901796464869E-2</c:v>
                </c:pt>
                <c:pt idx="32">
                  <c:v>6.1357891003104181E-2</c:v>
                </c:pt>
                <c:pt idx="33">
                  <c:v>6.1375879864984384E-2</c:v>
                </c:pt>
                <c:pt idx="34">
                  <c:v>6.1393868382112249E-2</c:v>
                </c:pt>
                <c:pt idx="35">
                  <c:v>6.1411856554494215E-2</c:v>
                </c:pt>
                <c:pt idx="36">
                  <c:v>6.1429844382136944E-2</c:v>
                </c:pt>
                <c:pt idx="37">
                  <c:v>6.1447831865047098E-2</c:v>
                </c:pt>
                <c:pt idx="38">
                  <c:v>6.1465819003231337E-2</c:v>
                </c:pt>
                <c:pt idx="39">
                  <c:v>6.14838057966961E-2</c:v>
                </c:pt>
                <c:pt idx="40">
                  <c:v>6.150179224544805E-2</c:v>
                </c:pt>
                <c:pt idx="41">
                  <c:v>6.1519778349493737E-2</c:v>
                </c:pt>
                <c:pt idx="42">
                  <c:v>6.1537764108839932E-2</c:v>
                </c:pt>
                <c:pt idx="43">
                  <c:v>6.1555749523493186E-2</c:v>
                </c:pt>
                <c:pt idx="44">
                  <c:v>6.157373459346005E-2</c:v>
                </c:pt>
                <c:pt idx="45">
                  <c:v>6.1591719318747074E-2</c:v>
                </c:pt>
                <c:pt idx="46">
                  <c:v>6.1609703699361029E-2</c:v>
                </c:pt>
                <c:pt idx="47">
                  <c:v>6.1627687735308356E-2</c:v>
                </c:pt>
                <c:pt idx="48">
                  <c:v>6.1645671426595827E-2</c:v>
                </c:pt>
                <c:pt idx="49">
                  <c:v>6.1663654773229881E-2</c:v>
                </c:pt>
                <c:pt idx="50">
                  <c:v>6.1681637775217291E-2</c:v>
                </c:pt>
                <c:pt idx="51">
                  <c:v>6.1699620432564495E-2</c:v>
                </c:pt>
                <c:pt idx="52">
                  <c:v>6.1717602745278155E-2</c:v>
                </c:pt>
                <c:pt idx="53">
                  <c:v>6.1735584713364933E-2</c:v>
                </c:pt>
                <c:pt idx="54">
                  <c:v>6.1753566336831378E-2</c:v>
                </c:pt>
                <c:pt idx="55">
                  <c:v>6.1771547615684153E-2</c:v>
                </c:pt>
                <c:pt idx="56">
                  <c:v>6.1789528549929806E-2</c:v>
                </c:pt>
                <c:pt idx="57">
                  <c:v>6.180750913957489E-2</c:v>
                </c:pt>
                <c:pt idx="58">
                  <c:v>6.1825489384626175E-2</c:v>
                </c:pt>
                <c:pt idx="59">
                  <c:v>6.1843469285090102E-2</c:v>
                </c:pt>
                <c:pt idx="60">
                  <c:v>6.1861448840973332E-2</c:v>
                </c:pt>
                <c:pt idx="61">
                  <c:v>6.1879428052282526E-2</c:v>
                </c:pt>
                <c:pt idx="62">
                  <c:v>6.1897406919024234E-2</c:v>
                </c:pt>
                <c:pt idx="63">
                  <c:v>6.1915385441205006E-2</c:v>
                </c:pt>
                <c:pt idx="64">
                  <c:v>6.1933363618831505E-2</c:v>
                </c:pt>
                <c:pt idx="65">
                  <c:v>6.1951341451910391E-2</c:v>
                </c:pt>
                <c:pt idx="66">
                  <c:v>6.1969318940448104E-2</c:v>
                </c:pt>
                <c:pt idx="67">
                  <c:v>6.1987296084451526E-2</c:v>
                </c:pt>
                <c:pt idx="68">
                  <c:v>6.2005272883926987E-2</c:v>
                </c:pt>
                <c:pt idx="69">
                  <c:v>6.2023249338881148E-2</c:v>
                </c:pt>
                <c:pt idx="70">
                  <c:v>6.2041225449320669E-2</c:v>
                </c:pt>
                <c:pt idx="71">
                  <c:v>6.2059201215252102E-2</c:v>
                </c:pt>
                <c:pt idx="72">
                  <c:v>6.2077176636682219E-2</c:v>
                </c:pt>
                <c:pt idx="73">
                  <c:v>6.2095151713617347E-2</c:v>
                </c:pt>
                <c:pt idx="74">
                  <c:v>6.211312644606426E-2</c:v>
                </c:pt>
                <c:pt idx="75">
                  <c:v>6.2131100834029507E-2</c:v>
                </c:pt>
                <c:pt idx="76">
                  <c:v>6.214907487751975E-2</c:v>
                </c:pt>
                <c:pt idx="77">
                  <c:v>6.2167048576541539E-2</c:v>
                </c:pt>
                <c:pt idx="78">
                  <c:v>6.2185021931101536E-2</c:v>
                </c:pt>
                <c:pt idx="79">
                  <c:v>6.2202994941206291E-2</c:v>
                </c:pt>
                <c:pt idx="80">
                  <c:v>6.2220967606862354E-2</c:v>
                </c:pt>
                <c:pt idx="81">
                  <c:v>6.2238939928076387E-2</c:v>
                </c:pt>
                <c:pt idx="82">
                  <c:v>6.2256911904854939E-2</c:v>
                </c:pt>
                <c:pt idx="83">
                  <c:v>6.2274883537204673E-2</c:v>
                </c:pt>
                <c:pt idx="84">
                  <c:v>6.2292854825132249E-2</c:v>
                </c:pt>
                <c:pt idx="85">
                  <c:v>6.2310825768644107E-2</c:v>
                </c:pt>
                <c:pt idx="86">
                  <c:v>6.2328796367747019E-2</c:v>
                </c:pt>
                <c:pt idx="87">
                  <c:v>6.2346766622447425E-2</c:v>
                </c:pt>
                <c:pt idx="88">
                  <c:v>6.2364736532752096E-2</c:v>
                </c:pt>
                <c:pt idx="89">
                  <c:v>6.2382706098667473E-2</c:v>
                </c:pt>
                <c:pt idx="90">
                  <c:v>6.2400675320200216E-2</c:v>
                </c:pt>
                <c:pt idx="91">
                  <c:v>6.2418644197356876E-2</c:v>
                </c:pt>
                <c:pt idx="92">
                  <c:v>6.2436612730144114E-2</c:v>
                </c:pt>
                <c:pt idx="93">
                  <c:v>6.2454580918568592E-2</c:v>
                </c:pt>
                <c:pt idx="94">
                  <c:v>6.2472548762636748E-2</c:v>
                </c:pt>
                <c:pt idx="95">
                  <c:v>6.2490516262355356E-2</c:v>
                </c:pt>
                <c:pt idx="96">
                  <c:v>6.2508483417730965E-2</c:v>
                </c:pt>
                <c:pt idx="97">
                  <c:v>6.2526450228770014E-2</c:v>
                </c:pt>
                <c:pt idx="98">
                  <c:v>6.2544416695479277E-2</c:v>
                </c:pt>
                <c:pt idx="99">
                  <c:v>6.2562382817865414E-2</c:v>
                </c:pt>
                <c:pt idx="100">
                  <c:v>6.2580348595934754E-2</c:v>
                </c:pt>
                <c:pt idx="101">
                  <c:v>6.259831402969418E-2</c:v>
                </c:pt>
                <c:pt idx="102">
                  <c:v>6.261627911915002E-2</c:v>
                </c:pt>
                <c:pt idx="103">
                  <c:v>6.2634243864309158E-2</c:v>
                </c:pt>
                <c:pt idx="104">
                  <c:v>6.2652208265178033E-2</c:v>
                </c:pt>
                <c:pt idx="105">
                  <c:v>6.2670172321763196E-2</c:v>
                </c:pt>
                <c:pt idx="106">
                  <c:v>6.2688136034071418E-2</c:v>
                </c:pt>
                <c:pt idx="107">
                  <c:v>6.2706099402109028E-2</c:v>
                </c:pt>
                <c:pt idx="108">
                  <c:v>6.2724062425882909E-2</c:v>
                </c:pt>
                <c:pt idx="109">
                  <c:v>6.2742025105399502E-2</c:v>
                </c:pt>
                <c:pt idx="110">
                  <c:v>6.2759987440665466E-2</c:v>
                </c:pt>
                <c:pt idx="111">
                  <c:v>6.2777949431687352E-2</c:v>
                </c:pt>
                <c:pt idx="112">
                  <c:v>6.2795911078471822E-2</c:v>
                </c:pt>
                <c:pt idx="113">
                  <c:v>6.2813872381025426E-2</c:v>
                </c:pt>
                <c:pt idx="114">
                  <c:v>6.2831833339354715E-2</c:v>
                </c:pt>
                <c:pt idx="115">
                  <c:v>6.2849793953466349E-2</c:v>
                </c:pt>
                <c:pt idx="116">
                  <c:v>6.2867754223366878E-2</c:v>
                </c:pt>
                <c:pt idx="117">
                  <c:v>6.2885714149062966E-2</c:v>
                </c:pt>
                <c:pt idx="118">
                  <c:v>6.290367373056116E-2</c:v>
                </c:pt>
                <c:pt idx="119">
                  <c:v>6.2921632967868124E-2</c:v>
                </c:pt>
                <c:pt idx="120">
                  <c:v>6.2939591860990296E-2</c:v>
                </c:pt>
                <c:pt idx="121">
                  <c:v>6.2957550409934449E-2</c:v>
                </c:pt>
                <c:pt idx="122">
                  <c:v>6.2975508614707132E-2</c:v>
                </c:pt>
                <c:pt idx="123">
                  <c:v>6.2993466475314897E-2</c:v>
                </c:pt>
                <c:pt idx="124">
                  <c:v>6.3011423991764404E-2</c:v>
                </c:pt>
                <c:pt idx="125">
                  <c:v>6.3029381164062093E-2</c:v>
                </c:pt>
                <c:pt idx="126">
                  <c:v>6.3047337992214736E-2</c:v>
                </c:pt>
                <c:pt idx="127">
                  <c:v>6.3065294476228884E-2</c:v>
                </c:pt>
                <c:pt idx="128">
                  <c:v>6.3083250616111086E-2</c:v>
                </c:pt>
                <c:pt idx="129">
                  <c:v>6.3101206411868005E-2</c:v>
                </c:pt>
                <c:pt idx="130">
                  <c:v>6.3119161863506079E-2</c:v>
                </c:pt>
                <c:pt idx="131">
                  <c:v>6.3137116971032192E-2</c:v>
                </c:pt>
                <c:pt idx="132">
                  <c:v>6.3155071734452672E-2</c:v>
                </c:pt>
                <c:pt idx="133">
                  <c:v>6.3173026153774181E-2</c:v>
                </c:pt>
                <c:pt idx="134">
                  <c:v>6.319098022900338E-2</c:v>
                </c:pt>
                <c:pt idx="135">
                  <c:v>6.3208933960146818E-2</c:v>
                </c:pt>
                <c:pt idx="136">
                  <c:v>6.3226887347211047E-2</c:v>
                </c:pt>
                <c:pt idx="137">
                  <c:v>6.3244840390202728E-2</c:v>
                </c:pt>
                <c:pt idx="138">
                  <c:v>6.3262793089128411E-2</c:v>
                </c:pt>
                <c:pt idx="139">
                  <c:v>6.3280745443994757E-2</c:v>
                </c:pt>
                <c:pt idx="140">
                  <c:v>6.3298697454808317E-2</c:v>
                </c:pt>
                <c:pt idx="141">
                  <c:v>6.3316649121575752E-2</c:v>
                </c:pt>
                <c:pt idx="142">
                  <c:v>6.3334600444303502E-2</c:v>
                </c:pt>
                <c:pt idx="143">
                  <c:v>6.3352551422998338E-2</c:v>
                </c:pt>
                <c:pt idx="144">
                  <c:v>6.3370502057666589E-2</c:v>
                </c:pt>
                <c:pt idx="145">
                  <c:v>6.3388452348315139E-2</c:v>
                </c:pt>
                <c:pt idx="146">
                  <c:v>6.3406402294950537E-2</c:v>
                </c:pt>
                <c:pt idx="147">
                  <c:v>6.3424351897579223E-2</c:v>
                </c:pt>
                <c:pt idx="148">
                  <c:v>6.3442301156207859E-2</c:v>
                </c:pt>
                <c:pt idx="149">
                  <c:v>6.3460250070842994E-2</c:v>
                </c:pt>
                <c:pt idx="150">
                  <c:v>6.347819864149129E-2</c:v>
                </c:pt>
                <c:pt idx="151">
                  <c:v>6.3496146868159409E-2</c:v>
                </c:pt>
                <c:pt idx="152">
                  <c:v>6.3514094750853789E-2</c:v>
                </c:pt>
                <c:pt idx="153">
                  <c:v>6.3532042289581203E-2</c:v>
                </c:pt>
                <c:pt idx="154">
                  <c:v>6.354998948434798E-2</c:v>
                </c:pt>
                <c:pt idx="155">
                  <c:v>6.3567936335161002E-2</c:v>
                </c:pt>
                <c:pt idx="156">
                  <c:v>6.3585882842026598E-2</c:v>
                </c:pt>
                <c:pt idx="157">
                  <c:v>6.360382900495154E-2</c:v>
                </c:pt>
                <c:pt idx="158">
                  <c:v>6.3621774823942379E-2</c:v>
                </c:pt>
                <c:pt idx="159">
                  <c:v>6.3639720299005664E-2</c:v>
                </c:pt>
                <c:pt idx="160">
                  <c:v>6.3657665430148058E-2</c:v>
                </c:pt>
                <c:pt idx="161">
                  <c:v>6.3675610217376E-2</c:v>
                </c:pt>
                <c:pt idx="162">
                  <c:v>6.3693554660696372E-2</c:v>
                </c:pt>
                <c:pt idx="163">
                  <c:v>6.3711498760115393E-2</c:v>
                </c:pt>
                <c:pt idx="164">
                  <c:v>6.3729442515639945E-2</c:v>
                </c:pt>
                <c:pt idx="165">
                  <c:v>6.3747385927276468E-2</c:v>
                </c:pt>
                <c:pt idx="166">
                  <c:v>6.3765328995031623E-2</c:v>
                </c:pt>
                <c:pt idx="167">
                  <c:v>6.378327171891196E-2</c:v>
                </c:pt>
                <c:pt idx="168">
                  <c:v>6.3801214098924142E-2</c:v>
                </c:pt>
                <c:pt idx="169">
                  <c:v>6.3819156135074717E-2</c:v>
                </c:pt>
                <c:pt idx="170">
                  <c:v>6.3837097827370126E-2</c:v>
                </c:pt>
                <c:pt idx="171">
                  <c:v>6.3855039175817252E-2</c:v>
                </c:pt>
                <c:pt idx="172">
                  <c:v>6.3872980180422423E-2</c:v>
                </c:pt>
                <c:pt idx="173">
                  <c:v>6.3890920841192411E-2</c:v>
                </c:pt>
                <c:pt idx="174">
                  <c:v>6.3908861158133656E-2</c:v>
                </c:pt>
                <c:pt idx="175">
                  <c:v>6.3926801131252931E-2</c:v>
                </c:pt>
                <c:pt idx="176">
                  <c:v>6.3944740760556562E-2</c:v>
                </c:pt>
                <c:pt idx="177">
                  <c:v>6.3962680046051434E-2</c:v>
                </c:pt>
                <c:pt idx="178">
                  <c:v>6.3980618987743876E-2</c:v>
                </c:pt>
                <c:pt idx="179">
                  <c:v>6.3998557585640659E-2</c:v>
                </c:pt>
                <c:pt idx="180">
                  <c:v>6.4016495839748222E-2</c:v>
                </c:pt>
                <c:pt idx="181">
                  <c:v>6.4034433750073338E-2</c:v>
                </c:pt>
                <c:pt idx="182">
                  <c:v>6.4052371316622447E-2</c:v>
                </c:pt>
                <c:pt idx="183">
                  <c:v>6.407030853940221E-2</c:v>
                </c:pt>
                <c:pt idx="184">
                  <c:v>6.4088245418419176E-2</c:v>
                </c:pt>
                <c:pt idx="185">
                  <c:v>6.4106181953679897E-2</c:v>
                </c:pt>
                <c:pt idx="186">
                  <c:v>6.4124118145191145E-2</c:v>
                </c:pt>
                <c:pt idx="187">
                  <c:v>6.4142053992959247E-2</c:v>
                </c:pt>
                <c:pt idx="188">
                  <c:v>6.4159989496990977E-2</c:v>
                </c:pt>
                <c:pt idx="189">
                  <c:v>6.4177924657292884E-2</c:v>
                </c:pt>
                <c:pt idx="190">
                  <c:v>6.4195859473871408E-2</c:v>
                </c:pt>
                <c:pt idx="191">
                  <c:v>6.4213793946733433E-2</c:v>
                </c:pt>
                <c:pt idx="192">
                  <c:v>6.4231728075885286E-2</c:v>
                </c:pt>
                <c:pt idx="193">
                  <c:v>6.4249661861333629E-2</c:v>
                </c:pt>
                <c:pt idx="194">
                  <c:v>6.4267595303085123E-2</c:v>
                </c:pt>
                <c:pt idx="195">
                  <c:v>6.4285528401146319E-2</c:v>
                </c:pt>
                <c:pt idx="196">
                  <c:v>6.4303461155523656E-2</c:v>
                </c:pt>
                <c:pt idx="197">
                  <c:v>6.4321393566224017E-2</c:v>
                </c:pt>
                <c:pt idx="198">
                  <c:v>6.4339325633253619E-2</c:v>
                </c:pt>
                <c:pt idx="199">
                  <c:v>6.4357257356619457E-2</c:v>
                </c:pt>
                <c:pt idx="200">
                  <c:v>6.4375188736327749E-2</c:v>
                </c:pt>
                <c:pt idx="201">
                  <c:v>6.4393119772385266E-2</c:v>
                </c:pt>
                <c:pt idx="202">
                  <c:v>6.4411050464798669E-2</c:v>
                </c:pt>
                <c:pt idx="203">
                  <c:v>6.4428980813574399E-2</c:v>
                </c:pt>
                <c:pt idx="204">
                  <c:v>6.4446910818719005E-2</c:v>
                </c:pt>
                <c:pt idx="205">
                  <c:v>6.4464840480239149E-2</c:v>
                </c:pt>
                <c:pt idx="206">
                  <c:v>6.4482769798141493E-2</c:v>
                </c:pt>
                <c:pt idx="207">
                  <c:v>6.4500698772432585E-2</c:v>
                </c:pt>
                <c:pt idx="208">
                  <c:v>6.4518627403118867E-2</c:v>
                </c:pt>
                <c:pt idx="209">
                  <c:v>6.4536555690207109E-2</c:v>
                </c:pt>
                <c:pt idx="210">
                  <c:v>6.4554483633703863E-2</c:v>
                </c:pt>
                <c:pt idx="211">
                  <c:v>6.4572411233615568E-2</c:v>
                </c:pt>
                <c:pt idx="212">
                  <c:v>6.4590338489948995E-2</c:v>
                </c:pt>
                <c:pt idx="213">
                  <c:v>6.4608265402710585E-2</c:v>
                </c:pt>
                <c:pt idx="214">
                  <c:v>6.4626191971906999E-2</c:v>
                </c:pt>
                <c:pt idx="215">
                  <c:v>6.4644118197544786E-2</c:v>
                </c:pt>
                <c:pt idx="216">
                  <c:v>6.4662044079630498E-2</c:v>
                </c:pt>
                <c:pt idx="217">
                  <c:v>6.4679969618170907E-2</c:v>
                </c:pt>
                <c:pt idx="218">
                  <c:v>6.4697894813172341E-2</c:v>
                </c:pt>
                <c:pt idx="219">
                  <c:v>6.4715819664641572E-2</c:v>
                </c:pt>
                <c:pt idx="220">
                  <c:v>6.4733744172585039E-2</c:v>
                </c:pt>
                <c:pt idx="221">
                  <c:v>6.4751668337009516E-2</c:v>
                </c:pt>
                <c:pt idx="222">
                  <c:v>6.476959215792133E-2</c:v>
                </c:pt>
                <c:pt idx="223">
                  <c:v>6.4787515635327364E-2</c:v>
                </c:pt>
                <c:pt idx="224">
                  <c:v>6.4805438769233947E-2</c:v>
                </c:pt>
                <c:pt idx="225">
                  <c:v>6.4823361559647741E-2</c:v>
                </c:pt>
                <c:pt idx="226">
                  <c:v>6.4841284006575406E-2</c:v>
                </c:pt>
                <c:pt idx="227">
                  <c:v>6.4859206110023382E-2</c:v>
                </c:pt>
                <c:pt idx="228">
                  <c:v>6.4877127869998441E-2</c:v>
                </c:pt>
                <c:pt idx="229">
                  <c:v>6.4895049286506912E-2</c:v>
                </c:pt>
                <c:pt idx="230">
                  <c:v>6.4912970359555677E-2</c:v>
                </c:pt>
                <c:pt idx="231">
                  <c:v>6.4930891089151066E-2</c:v>
                </c:pt>
                <c:pt idx="232">
                  <c:v>6.494881147529985E-2</c:v>
                </c:pt>
                <c:pt idx="233">
                  <c:v>6.4966731518008469E-2</c:v>
                </c:pt>
                <c:pt idx="234">
                  <c:v>6.4984651217283473E-2</c:v>
                </c:pt>
                <c:pt idx="235">
                  <c:v>6.5002570573131635E-2</c:v>
                </c:pt>
                <c:pt idx="236">
                  <c:v>6.5020489585559393E-2</c:v>
                </c:pt>
                <c:pt idx="237">
                  <c:v>6.503840825457341E-2</c:v>
                </c:pt>
                <c:pt idx="238">
                  <c:v>6.5056326580180235E-2</c:v>
                </c:pt>
                <c:pt idx="239">
                  <c:v>6.5074244562386419E-2</c:v>
                </c:pt>
                <c:pt idx="240">
                  <c:v>6.5092162201198511E-2</c:v>
                </c:pt>
                <c:pt idx="241">
                  <c:v>6.5110079496623174E-2</c:v>
                </c:pt>
                <c:pt idx="242">
                  <c:v>6.5127996448666958E-2</c:v>
                </c:pt>
                <c:pt idx="243">
                  <c:v>6.5145913057336413E-2</c:v>
                </c:pt>
                <c:pt idx="244">
                  <c:v>6.51638293226382E-2</c:v>
                </c:pt>
                <c:pt idx="245">
                  <c:v>6.5181745244578759E-2</c:v>
                </c:pt>
                <c:pt idx="246">
                  <c:v>6.5199660823164862E-2</c:v>
                </c:pt>
                <c:pt idx="247">
                  <c:v>6.5217576058402948E-2</c:v>
                </c:pt>
                <c:pt idx="248">
                  <c:v>6.5235490950299679E-2</c:v>
                </c:pt>
                <c:pt idx="249">
                  <c:v>6.5253405498861605E-2</c:v>
                </c:pt>
                <c:pt idx="250">
                  <c:v>6.5271319704095165E-2</c:v>
                </c:pt>
                <c:pt idx="251">
                  <c:v>6.5289233566007243E-2</c:v>
                </c:pt>
                <c:pt idx="252">
                  <c:v>6.5307147084604056E-2</c:v>
                </c:pt>
                <c:pt idx="253">
                  <c:v>6.5325060259892487E-2</c:v>
                </c:pt>
                <c:pt idx="254">
                  <c:v>6.5342973091878975E-2</c:v>
                </c:pt>
                <c:pt idx="255">
                  <c:v>6.5360885580570183E-2</c:v>
                </c:pt>
                <c:pt idx="256">
                  <c:v>6.5378797725972548E-2</c:v>
                </c:pt>
                <c:pt idx="257">
                  <c:v>6.5396709528092845E-2</c:v>
                </c:pt>
                <c:pt idx="258">
                  <c:v>6.54146209869374E-2</c:v>
                </c:pt>
                <c:pt idx="259">
                  <c:v>6.5432532102512986E-2</c:v>
                </c:pt>
                <c:pt idx="260">
                  <c:v>6.5450442874826154E-2</c:v>
                </c:pt>
                <c:pt idx="261">
                  <c:v>6.5468353303883453E-2</c:v>
                </c:pt>
                <c:pt idx="262">
                  <c:v>6.5486263389691435E-2</c:v>
                </c:pt>
                <c:pt idx="263">
                  <c:v>6.550417313225676E-2</c:v>
                </c:pt>
                <c:pt idx="264">
                  <c:v>6.5522082531585868E-2</c:v>
                </c:pt>
                <c:pt idx="265">
                  <c:v>6.5539991587685531E-2</c:v>
                </c:pt>
                <c:pt idx="266">
                  <c:v>6.5557900300562189E-2</c:v>
                </c:pt>
                <c:pt idx="267">
                  <c:v>6.5575808670222391E-2</c:v>
                </c:pt>
                <c:pt idx="268">
                  <c:v>6.5593716696672799E-2</c:v>
                </c:pt>
                <c:pt idx="269">
                  <c:v>6.5611624379919964E-2</c:v>
                </c:pt>
                <c:pt idx="270">
                  <c:v>6.5629531719970546E-2</c:v>
                </c:pt>
                <c:pt idx="271">
                  <c:v>6.5647438716830986E-2</c:v>
                </c:pt>
                <c:pt idx="272">
                  <c:v>6.5665345370507833E-2</c:v>
                </c:pt>
                <c:pt idx="273">
                  <c:v>6.5683251681007859E-2</c:v>
                </c:pt>
                <c:pt idx="274">
                  <c:v>6.5701157648337505E-2</c:v>
                </c:pt>
                <c:pt idx="275">
                  <c:v>6.571906327250332E-2</c:v>
                </c:pt>
                <c:pt idx="276">
                  <c:v>6.5736968553511965E-2</c:v>
                </c:pt>
                <c:pt idx="277">
                  <c:v>6.5754873491369992E-2</c:v>
                </c:pt>
                <c:pt idx="278">
                  <c:v>6.5772778086083949E-2</c:v>
                </c:pt>
                <c:pt idx="279">
                  <c:v>6.57906823376605E-2</c:v>
                </c:pt>
                <c:pt idx="280">
                  <c:v>6.5808586246106082E-2</c:v>
                </c:pt>
                <c:pt idx="281">
                  <c:v>6.5826489811427358E-2</c:v>
                </c:pt>
                <c:pt idx="282">
                  <c:v>6.5844393033630877E-2</c:v>
                </c:pt>
                <c:pt idx="283">
                  <c:v>6.5862295912723301E-2</c:v>
                </c:pt>
                <c:pt idx="284">
                  <c:v>6.5880198448711069E-2</c:v>
                </c:pt>
                <c:pt idx="285">
                  <c:v>6.5898100641600732E-2</c:v>
                </c:pt>
                <c:pt idx="286">
                  <c:v>6.5916002491399062E-2</c:v>
                </c:pt>
                <c:pt idx="287">
                  <c:v>6.5933903998112497E-2</c:v>
                </c:pt>
                <c:pt idx="288">
                  <c:v>6.5951805161747701E-2</c:v>
                </c:pt>
                <c:pt idx="289">
                  <c:v>6.5969705982311111E-2</c:v>
                </c:pt>
                <c:pt idx="290">
                  <c:v>6.5987606459809389E-2</c:v>
                </c:pt>
                <c:pt idx="291">
                  <c:v>6.6005506594249197E-2</c:v>
                </c:pt>
                <c:pt idx="292">
                  <c:v>6.6023406385636862E-2</c:v>
                </c:pt>
                <c:pt idx="293">
                  <c:v>6.6041305833979158E-2</c:v>
                </c:pt>
                <c:pt idx="294">
                  <c:v>6.6059204939282634E-2</c:v>
                </c:pt>
                <c:pt idx="295">
                  <c:v>6.6077103701553841E-2</c:v>
                </c:pt>
                <c:pt idx="296">
                  <c:v>6.609500212079944E-2</c:v>
                </c:pt>
                <c:pt idx="297">
                  <c:v>6.6112900197025759E-2</c:v>
                </c:pt>
                <c:pt idx="298">
                  <c:v>6.6130797930239571E-2</c:v>
                </c:pt>
                <c:pt idx="299">
                  <c:v>6.6148695320447537E-2</c:v>
                </c:pt>
                <c:pt idx="300">
                  <c:v>6.6166592367655985E-2</c:v>
                </c:pt>
                <c:pt idx="301">
                  <c:v>6.6184489071871577E-2</c:v>
                </c:pt>
                <c:pt idx="302">
                  <c:v>6.6202385433100974E-2</c:v>
                </c:pt>
                <c:pt idx="303">
                  <c:v>6.6220281451350727E-2</c:v>
                </c:pt>
                <c:pt idx="304">
                  <c:v>6.6238177126627273E-2</c:v>
                </c:pt>
                <c:pt idx="305">
                  <c:v>6.6256072458937387E-2</c:v>
                </c:pt>
                <c:pt idx="306">
                  <c:v>6.6273967448287396E-2</c:v>
                </c:pt>
                <c:pt idx="307">
                  <c:v>6.6291862094684184E-2</c:v>
                </c:pt>
                <c:pt idx="308">
                  <c:v>6.6309756398134079E-2</c:v>
                </c:pt>
                <c:pt idx="309">
                  <c:v>6.6327650358643742E-2</c:v>
                </c:pt>
                <c:pt idx="310">
                  <c:v>6.6345543976219723E-2</c:v>
                </c:pt>
                <c:pt idx="311">
                  <c:v>6.6363437250868573E-2</c:v>
                </c:pt>
                <c:pt idx="312">
                  <c:v>6.6381330182596954E-2</c:v>
                </c:pt>
                <c:pt idx="313">
                  <c:v>6.6399222771411304E-2</c:v>
                </c:pt>
                <c:pt idx="314">
                  <c:v>6.6417115017318396E-2</c:v>
                </c:pt>
                <c:pt idx="315">
                  <c:v>6.6435006920324557E-2</c:v>
                </c:pt>
                <c:pt idx="316">
                  <c:v>6.6452898480436562E-2</c:v>
                </c:pt>
                <c:pt idx="317">
                  <c:v>6.6470789697660848E-2</c:v>
                </c:pt>
                <c:pt idx="318">
                  <c:v>6.6488680572004077E-2</c:v>
                </c:pt>
                <c:pt idx="319">
                  <c:v>6.6506571103472689E-2</c:v>
                </c:pt>
                <c:pt idx="320">
                  <c:v>6.6524461292073456E-2</c:v>
                </c:pt>
                <c:pt idx="321">
                  <c:v>6.6542351137812816E-2</c:v>
                </c:pt>
                <c:pt idx="322">
                  <c:v>6.6560240640697321E-2</c:v>
                </c:pt>
                <c:pt idx="323">
                  <c:v>6.6578129800733632E-2</c:v>
                </c:pt>
                <c:pt idx="324">
                  <c:v>6.6596018617928299E-2</c:v>
                </c:pt>
                <c:pt idx="325">
                  <c:v>6.6613907092287761E-2</c:v>
                </c:pt>
                <c:pt idx="326">
                  <c:v>6.663179522381879E-2</c:v>
                </c:pt>
                <c:pt idx="327">
                  <c:v>6.6649683012527827E-2</c:v>
                </c:pt>
                <c:pt idx="328">
                  <c:v>6.6667570458421421E-2</c:v>
                </c:pt>
                <c:pt idx="329">
                  <c:v>6.6685457561506234E-2</c:v>
                </c:pt>
                <c:pt idx="330">
                  <c:v>6.6703344321788816E-2</c:v>
                </c:pt>
                <c:pt idx="331">
                  <c:v>6.6721230739275716E-2</c:v>
                </c:pt>
                <c:pt idx="332">
                  <c:v>6.6739116813973487E-2</c:v>
                </c:pt>
                <c:pt idx="333">
                  <c:v>6.6757002545888677E-2</c:v>
                </c:pt>
                <c:pt idx="334">
                  <c:v>6.6774887935027949E-2</c:v>
                </c:pt>
                <c:pt idx="335">
                  <c:v>6.6792772981397852E-2</c:v>
                </c:pt>
                <c:pt idx="336">
                  <c:v>6.6810657685004826E-2</c:v>
                </c:pt>
                <c:pt idx="337">
                  <c:v>6.6828542045855643E-2</c:v>
                </c:pt>
                <c:pt idx="338">
                  <c:v>6.6846426063956743E-2</c:v>
                </c:pt>
                <c:pt idx="339">
                  <c:v>6.6864309739314676E-2</c:v>
                </c:pt>
                <c:pt idx="340">
                  <c:v>6.6882193071935991E-2</c:v>
                </c:pt>
                <c:pt idx="341">
                  <c:v>6.6900076061827463E-2</c:v>
                </c:pt>
                <c:pt idx="342">
                  <c:v>6.6917958708995418E-2</c:v>
                </c:pt>
                <c:pt idx="343">
                  <c:v>6.6935841013446518E-2</c:v>
                </c:pt>
                <c:pt idx="344">
                  <c:v>6.6953722975187313E-2</c:v>
                </c:pt>
                <c:pt idx="345">
                  <c:v>6.6971604594224465E-2</c:v>
                </c:pt>
                <c:pt idx="346">
                  <c:v>6.6989485870564414E-2</c:v>
                </c:pt>
                <c:pt idx="347">
                  <c:v>6.7007366804213819E-2</c:v>
                </c:pt>
                <c:pt idx="348">
                  <c:v>6.7025247395179233E-2</c:v>
                </c:pt>
                <c:pt idx="349">
                  <c:v>6.7043127643467093E-2</c:v>
                </c:pt>
                <c:pt idx="350">
                  <c:v>6.7061007549084173E-2</c:v>
                </c:pt>
                <c:pt idx="351">
                  <c:v>6.7078887112036911E-2</c:v>
                </c:pt>
                <c:pt idx="352">
                  <c:v>6.7096766332331859E-2</c:v>
                </c:pt>
                <c:pt idx="353">
                  <c:v>6.7114645209975676E-2</c:v>
                </c:pt>
                <c:pt idx="354">
                  <c:v>6.7132523744974915E-2</c:v>
                </c:pt>
                <c:pt idx="355">
                  <c:v>6.7150401937336013E-2</c:v>
                </c:pt>
                <c:pt idx="356">
                  <c:v>6.7168279787065743E-2</c:v>
                </c:pt>
                <c:pt idx="357">
                  <c:v>6.7186157294170545E-2</c:v>
                </c:pt>
                <c:pt idx="358">
                  <c:v>6.7204034458656969E-2</c:v>
                </c:pt>
                <c:pt idx="359">
                  <c:v>6.7221911280531566E-2</c:v>
                </c:pt>
                <c:pt idx="360">
                  <c:v>6.7239787759800995E-2</c:v>
                </c:pt>
                <c:pt idx="361">
                  <c:v>6.7257663896471809E-2</c:v>
                </c:pt>
                <c:pt idx="362">
                  <c:v>6.7275539690550445E-2</c:v>
                </c:pt>
                <c:pt idx="363">
                  <c:v>6.7293415142043678E-2</c:v>
                </c:pt>
                <c:pt idx="364">
                  <c:v>6.7311290250957945E-2</c:v>
                </c:pt>
                <c:pt idx="365">
                  <c:v>6.7329165017299797E-2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4.0337899547294519E-2</c:v>
                </c:pt>
                <c:pt idx="120">
                  <c:v>4.0431441165800761E-2</c:v>
                </c:pt>
                <c:pt idx="121">
                  <c:v>4.052552280346456E-2</c:v>
                </c:pt>
                <c:pt idx="122">
                  <c:v>4.0620138666331199E-2</c:v>
                </c:pt>
                <c:pt idx="123">
                  <c:v>4.0715281642443139E-2</c:v>
                </c:pt>
                <c:pt idx="124">
                  <c:v>4.0810943265112351E-2</c:v>
                </c:pt>
                <c:pt idx="125">
                  <c:v>4.0907113679274923E-2</c:v>
                </c:pt>
                <c:pt idx="126">
                  <c:v>4.1003781611444003E-2</c:v>
                </c:pt>
                <c:pt idx="127">
                  <c:v>4.1100934343779164E-2</c:v>
                </c:pt>
                <c:pt idx="128">
                  <c:v>4.1198557692786728E-2</c:v>
                </c:pt>
                <c:pt idx="129">
                  <c:v>4.1296635993156493E-2</c:v>
                </c:pt>
                <c:pt idx="130">
                  <c:v>4.13951520872234E-2</c:v>
                </c:pt>
                <c:pt idx="131">
                  <c:v>4.1494087320521608E-2</c:v>
                </c:pt>
                <c:pt idx="132">
                  <c:v>4.1593421543868879E-2</c:v>
                </c:pt>
                <c:pt idx="133">
                  <c:v>4.1693133122385727E-2</c:v>
                </c:pt>
                <c:pt idx="134">
                  <c:v>4.179319895181241E-2</c:v>
                </c:pt>
                <c:pt idx="135">
                  <c:v>4.1893594482441475E-2</c:v>
                </c:pt>
                <c:pt idx="136">
                  <c:v>4.1994293750931805E-2</c:v>
                </c:pt>
                <c:pt idx="137">
                  <c:v>4.2095269420214118E-2</c:v>
                </c:pt>
                <c:pt idx="138">
                  <c:v>4.219649282763701E-2</c:v>
                </c:pt>
                <c:pt idx="139">
                  <c:v>4.2297934041438341E-2</c:v>
                </c:pt>
                <c:pt idx="140">
                  <c:v>4.2399561925558667E-2</c:v>
                </c:pt>
                <c:pt idx="141">
                  <c:v>4.2501344212743083E-2</c:v>
                </c:pt>
                <c:pt idx="142">
                  <c:v>4.2603247585805366E-2</c:v>
                </c:pt>
                <c:pt idx="143">
                  <c:v>4.2705237766854337E-2</c:v>
                </c:pt>
                <c:pt idx="144">
                  <c:v>4.2807279614208278E-2</c:v>
                </c:pt>
                <c:pt idx="145">
                  <c:v>4.2909337226648803E-2</c:v>
                </c:pt>
                <c:pt idx="146">
                  <c:v>4.301137405459303E-2</c:v>
                </c:pt>
                <c:pt idx="147">
                  <c:v>4.3113353017690599E-2</c:v>
                </c:pt>
                <c:pt idx="148">
                  <c:v>4.3215236628284331E-2</c:v>
                </c:pt>
                <c:pt idx="149">
                  <c:v>4.3316987120106835E-2</c:v>
                </c:pt>
                <c:pt idx="150">
                  <c:v>4.3418566581524431E-2</c:v>
                </c:pt>
                <c:pt idx="151">
                  <c:v>4.3519937092582575E-2</c:v>
                </c:pt>
                <c:pt idx="152">
                  <c:v>4.3621060865055995E-2</c:v>
                </c:pt>
                <c:pt idx="153">
                  <c:v>4.3721900384660672E-2</c:v>
                </c:pt>
                <c:pt idx="154">
                  <c:v>4.3822418554546869E-2</c:v>
                </c:pt>
                <c:pt idx="155">
                  <c:v>4.3922578839159919E-2</c:v>
                </c:pt>
                <c:pt idx="156">
                  <c:v>4.4022345407531936E-2</c:v>
                </c:pt>
                <c:pt idx="157">
                  <c:v>4.4121683275050887E-2</c:v>
                </c:pt>
                <c:pt idx="158">
                  <c:v>4.4220558442745903E-2</c:v>
                </c:pt>
                <c:pt idx="159">
                  <c:v>4.4318938033127891E-2</c:v>
                </c:pt>
                <c:pt idx="160">
                  <c:v>4.4416790421633344E-2</c:v>
                </c:pt>
                <c:pt idx="161">
                  <c:v>4.4514085362737432E-2</c:v>
                </c:pt>
                <c:pt idx="162">
                  <c:v>4.4610794109827948E-2</c:v>
                </c:pt>
                <c:pt idx="163">
                  <c:v>4.4706889527966837E-2</c:v>
                </c:pt>
                <c:pt idx="164">
                  <c:v>4.4802346198708737E-2</c:v>
                </c:pt>
                <c:pt idx="165">
                  <c:v>4.4897140516196657E-2</c:v>
                </c:pt>
                <c:pt idx="166">
                  <c:v>4.4991250773813558E-2</c:v>
                </c:pt>
                <c:pt idx="167">
                  <c:v>4.5084657240733753E-2</c:v>
                </c:pt>
                <c:pt idx="168">
                  <c:v>4.5177342227790129E-2</c:v>
                </c:pt>
                <c:pt idx="169">
                  <c:v>4.5269290142151315E-2</c:v>
                </c:pt>
                <c:pt idx="170">
                  <c:v>4.5360487530385338E-2</c:v>
                </c:pt>
                <c:pt idx="171">
                  <c:v>4.5450923109575075E-2</c:v>
                </c:pt>
                <c:pt idx="172">
                  <c:v>4.5540587786240726E-2</c:v>
                </c:pt>
                <c:pt idx="173">
                  <c:v>4.5629474662920201E-2</c:v>
                </c:pt>
                <c:pt idx="174">
                  <c:v>4.5717579032353198E-2</c:v>
                </c:pt>
                <c:pt idx="175">
                  <c:v>4.5804898359312694E-2</c:v>
                </c:pt>
                <c:pt idx="176">
                  <c:v>4.5891432250225052E-2</c:v>
                </c:pt>
                <c:pt idx="177">
                  <c:v>4.5977182410816018E-2</c:v>
                </c:pt>
                <c:pt idx="178">
                  <c:v>4.6062152592115498E-2</c:v>
                </c:pt>
                <c:pt idx="179">
                  <c:v>4.6146348525245823E-2</c:v>
                </c:pt>
                <c:pt idx="180">
                  <c:v>4.6229777845507282E-2</c:v>
                </c:pt>
                <c:pt idx="181">
                  <c:v>4.6312450006359147E-2</c:v>
                </c:pt>
                <c:pt idx="182">
                  <c:v>4.6394376183973407E-2</c:v>
                </c:pt>
                <c:pt idx="183">
                  <c:v>4.6475569173111846E-2</c:v>
                </c:pt>
                <c:pt idx="184">
                  <c:v>4.6556043275143642E-2</c:v>
                </c:pt>
                <c:pt idx="185">
                  <c:v>4.6635814179079305E-2</c:v>
                </c:pt>
                <c:pt idx="186">
                  <c:v>4.6714898836548668E-2</c:v>
                </c:pt>
                <c:pt idx="187">
                  <c:v>4.6793315331692446E-2</c:v>
                </c:pt>
                <c:pt idx="188">
                  <c:v>4.6871082746971153E-2</c:v>
                </c:pt>
                <c:pt idx="189">
                  <c:v>4.6948221025919376E-2</c:v>
                </c:pt>
                <c:pt idx="190">
                  <c:v>4.7024750833888351E-2</c:v>
                </c:pt>
                <c:pt idx="191">
                  <c:v>4.71006934178251E-2</c:v>
                </c:pt>
                <c:pt idx="192">
                  <c:v>4.7176070466131884E-2</c:v>
                </c:pt>
                <c:pt idx="193">
                  <c:v>4.7250903969635688E-2</c:v>
                </c:pt>
                <c:pt idx="194">
                  <c:v>4.7325216084673785E-2</c:v>
                </c:pt>
                <c:pt idx="195">
                  <c:v>4.7399028999268372E-2</c:v>
                </c:pt>
                <c:pt idx="196">
                  <c:v>4.747236480332169E-2</c:v>
                </c:pt>
                <c:pt idx="197">
                  <c:v>4.7545245363712428E-2</c:v>
                </c:pt>
                <c:pt idx="198">
                  <c:v>4.7617692205115844E-2</c:v>
                </c:pt>
                <c:pt idx="199">
                  <c:v>4.7689726397304531E-2</c:v>
                </c:pt>
                <c:pt idx="200">
                  <c:v>4.7761368449613914E-2</c:v>
                </c:pt>
                <c:pt idx="201">
                  <c:v>4.7832638213178631E-2</c:v>
                </c:pt>
                <c:pt idx="202">
                  <c:v>4.7903554791461959E-2</c:v>
                </c:pt>
                <c:pt idx="203">
                  <c:v>4.7974136459512991E-2</c:v>
                </c:pt>
                <c:pt idx="204">
                  <c:v>4.8044400592294825E-2</c:v>
                </c:pt>
                <c:pt idx="205">
                  <c:v>4.811436360233394E-2</c:v>
                </c:pt>
                <c:pt idx="206">
                  <c:v>4.8184040886845386E-2</c:v>
                </c:pt>
                <c:pt idx="207">
                  <c:v>4.8253446784393618E-2</c:v>
                </c:pt>
                <c:pt idx="208">
                  <c:v>4.8322594541053733E-2</c:v>
                </c:pt>
                <c:pt idx="209">
                  <c:v>4.8391496285944677E-2</c:v>
                </c:pt>
                <c:pt idx="210">
                  <c:v>4.8460163015915568E-2</c:v>
                </c:pt>
                <c:pt idx="211">
                  <c:v>4.8528604589078907E-2</c:v>
                </c:pt>
                <c:pt idx="212">
                  <c:v>4.8596829726802189E-2</c:v>
                </c:pt>
                <c:pt idx="213">
                  <c:v>4.8664846023691415E-2</c:v>
                </c:pt>
                <c:pt idx="214">
                  <c:v>4.873265996502972E-2</c:v>
                </c:pt>
                <c:pt idx="215">
                  <c:v>4.8800276951068977E-2</c:v>
                </c:pt>
                <c:pt idx="216">
                  <c:v>4.8867701327516271E-2</c:v>
                </c:pt>
                <c:pt idx="217">
                  <c:v>4.8934936421508084E-2</c:v>
                </c:pt>
                <c:pt idx="218">
                  <c:v>4.900198458232502E-2</c:v>
                </c:pt>
                <c:pt idx="219">
                  <c:v>4.9068847226069419E-2</c:v>
                </c:pt>
                <c:pt idx="220">
                  <c:v>4.9135524883506136E-2</c:v>
                </c:pt>
                <c:pt idx="221">
                  <c:v>4.9202017250255498E-2</c:v>
                </c:pt>
                <c:pt idx="222">
                  <c:v>4.9268323238524606E-2</c:v>
                </c:pt>
                <c:pt idx="223">
                  <c:v>4.933444102957156E-2</c:v>
                </c:pt>
                <c:pt idx="224">
                  <c:v>4.9400368126113446E-2</c:v>
                </c:pt>
                <c:pt idx="225">
                  <c:v>4.946610140391642E-2</c:v>
                </c:pt>
                <c:pt idx="226">
                  <c:v>4.9531637161841141E-2</c:v>
                </c:pt>
                <c:pt idx="227">
                  <c:v>4.9596971169662073E-2</c:v>
                </c:pt>
                <c:pt idx="228">
                  <c:v>4.9662098713030602E-2</c:v>
                </c:pt>
                <c:pt idx="229">
                  <c:v>4.9727014635013465E-2</c:v>
                </c:pt>
                <c:pt idx="230">
                  <c:v>4.9791713373703625E-2</c:v>
                </c:pt>
                <c:pt idx="231">
                  <c:v>4.9856188995474761E-2</c:v>
                </c:pt>
                <c:pt idx="232">
                  <c:v>4.992043522352866E-2</c:v>
                </c:pt>
                <c:pt idx="233">
                  <c:v>4.9984445461467332E-2</c:v>
                </c:pt>
                <c:pt idx="234">
                  <c:v>5.0048212811707911E-2</c:v>
                </c:pt>
                <c:pt idx="235">
                  <c:v>5.0111730088647159E-2</c:v>
                </c:pt>
                <c:pt idx="236">
                  <c:v>5.0174989826571779E-2</c:v>
                </c:pt>
                <c:pt idx="237">
                  <c:v>5.0237984282401303E-2</c:v>
                </c:pt>
                <c:pt idx="238">
                  <c:v>5.0300705433439445E-2</c:v>
                </c:pt>
                <c:pt idx="239">
                  <c:v>5.0363144970397684E-2</c:v>
                </c:pt>
                <c:pt idx="240">
                  <c:v>5.0425294286039167E-2</c:v>
                </c:pt>
                <c:pt idx="241">
                  <c:v>5.0487144459871972E-2</c:v>
                </c:pt>
                <c:pt idx="242">
                  <c:v>5.0548686239396748E-2</c:v>
                </c:pt>
                <c:pt idx="243">
                  <c:v>5.0609910018483702E-2</c:v>
                </c:pt>
                <c:pt idx="244">
                  <c:v>5.0670805813516927E-2</c:v>
                </c:pt>
                <c:pt idx="245">
                  <c:v>5.0731363238000551E-2</c:v>
                </c:pt>
                <c:pt idx="246">
                  <c:v>5.0791571476367751E-2</c:v>
                </c:pt>
                <c:pt idx="247">
                  <c:v>5.0851419257773055E-2</c:v>
                </c:pt>
                <c:pt idx="248">
                  <c:v>5.0910894830676928E-2</c:v>
                </c:pt>
                <c:pt idx="249">
                  <c:v>5.0969985939050846E-2</c:v>
                </c:pt>
                <c:pt idx="250">
                  <c:v>5.1028679801039811E-2</c:v>
                </c:pt>
                <c:pt idx="251">
                  <c:v>5.1086963090917863E-2</c:v>
                </c:pt>
                <c:pt idx="252">
                  <c:v>5.1144821925158804E-2</c:v>
                </c:pt>
                <c:pt idx="253">
                  <c:v>5.1202241853422516E-2</c:v>
                </c:pt>
                <c:pt idx="254">
                  <c:v>5.1259207855222123E-2</c:v>
                </c:pt>
                <c:pt idx="255">
                  <c:v>5.1315704342994338E-2</c:v>
                </c:pt>
                <c:pt idx="256">
                  <c:v>5.1371715172240387E-2</c:v>
                </c:pt>
                <c:pt idx="257">
                  <c:v>5.1427223659341929E-2</c:v>
                </c:pt>
                <c:pt idx="258">
                  <c:v>5.1482212607582796E-2</c:v>
                </c:pt>
                <c:pt idx="259">
                  <c:v>5.1536664341827583E-2</c:v>
                </c:pt>
                <c:pt idx="260">
                  <c:v>5.1590560752218406E-2</c:v>
                </c:pt>
                <c:pt idx="261">
                  <c:v>5.1643883347156312E-2</c:v>
                </c:pt>
                <c:pt idx="262">
                  <c:v>5.1696613315733386E-2</c:v>
                </c:pt>
                <c:pt idx="263">
                  <c:v>5.1748731599674261E-2</c:v>
                </c:pt>
                <c:pt idx="264">
                  <c:v>5.1800218974738223E-2</c:v>
                </c:pt>
                <c:pt idx="265">
                  <c:v>5.1851056141419487E-2</c:v>
                </c:pt>
                <c:pt idx="266">
                  <c:v>5.1901223824670772E-2</c:v>
                </c:pt>
                <c:pt idx="267">
                  <c:v>5.1950702882261474E-2</c:v>
                </c:pt>
                <c:pt idx="268">
                  <c:v>5.199947442126937E-2</c:v>
                </c:pt>
                <c:pt idx="269">
                  <c:v>5.2047519922094838E-2</c:v>
                </c:pt>
                <c:pt idx="270">
                  <c:v>5.209482136927928E-2</c:v>
                </c:pt>
                <c:pt idx="271">
                  <c:v>5.2141361388308577E-2</c:v>
                </c:pt>
                <c:pt idx="272">
                  <c:v>5.2187123387485178E-2</c:v>
                </c:pt>
                <c:pt idx="273">
                  <c:v>5.2232091703864204E-2</c:v>
                </c:pt>
                <c:pt idx="274">
                  <c:v>5.2276251752167532E-2</c:v>
                </c:pt>
                <c:pt idx="275">
                  <c:v>5.2319590175517905E-2</c:v>
                </c:pt>
                <c:pt idx="276">
                  <c:v>5.2362094996772524E-2</c:v>
                </c:pt>
                <c:pt idx="277">
                  <c:v>5.240375576918558E-2</c:v>
                </c:pt>
                <c:pt idx="278">
                  <c:v>5.2444563725087198E-2</c:v>
                </c:pt>
                <c:pt idx="279">
                  <c:v>5.2484511921240748E-2</c:v>
                </c:pt>
                <c:pt idx="280">
                  <c:v>5.2523595379523141E-2</c:v>
                </c:pt>
                <c:pt idx="281">
                  <c:v>5.2561811221571914E-2</c:v>
                </c:pt>
                <c:pt idx="282">
                  <c:v>5.2599158796052592E-2</c:v>
                </c:pt>
                <c:pt idx="283">
                  <c:v>5.2635639797224978E-2</c:v>
                </c:pt>
                <c:pt idx="284">
                  <c:v>5.26712583735231E-2</c:v>
                </c:pt>
                <c:pt idx="285">
                  <c:v>5.2706021224915037E-2</c:v>
                </c:pt>
                <c:pt idx="286">
                  <c:v>5.2739937687871725E-2</c:v>
                </c:pt>
                <c:pt idx="287">
                  <c:v>5.2773019806849043E-2</c:v>
                </c:pt>
                <c:pt idx="288">
                  <c:v>5.2805282391275632E-2</c:v>
                </c:pt>
                <c:pt idx="289">
                  <c:v>5.2836743057137051E-2</c:v>
                </c:pt>
                <c:pt idx="290">
                  <c:v>5.2867422252355953E-2</c:v>
                </c:pt>
                <c:pt idx="291">
                  <c:v>5.2897343265286639E-2</c:v>
                </c:pt>
                <c:pt idx="292">
                  <c:v>5.292653221576895E-2</c:v>
                </c:pt>
                <c:pt idx="293">
                  <c:v>5.2955018028321039E-2</c:v>
                </c:pt>
                <c:pt idx="294">
                  <c:v>5.2982832387191044E-2</c:v>
                </c:pt>
                <c:pt idx="295">
                  <c:v>5.3010009673132755E-2</c:v>
                </c:pt>
                <c:pt idx="296">
                  <c:v>5.3036586881919999E-2</c:v>
                </c:pt>
                <c:pt idx="297">
                  <c:v>5.3062603524765446E-2</c:v>
                </c:pt>
                <c:pt idx="298">
                  <c:v>5.3088101510961272E-2</c:v>
                </c:pt>
                <c:pt idx="299">
                  <c:v>5.3113125013211922E-2</c:v>
                </c:pt>
                <c:pt idx="300">
                  <c:v>5.3137720316277559E-2</c:v>
                </c:pt>
                <c:pt idx="301">
                  <c:v>5.3161935649693695E-2</c:v>
                </c:pt>
                <c:pt idx="302">
                  <c:v>5.3185821005473942E-2</c:v>
                </c:pt>
                <c:pt idx="303">
                  <c:v>5.3209427941837917E-2</c:v>
                </c:pt>
                <c:pt idx="304">
                  <c:v>5.323280937413416E-2</c:v>
                </c:pt>
                <c:pt idx="305">
                  <c:v>5.3256019354247133E-2</c:v>
                </c:pt>
                <c:pt idx="306">
                  <c:v>5.3279112839886608E-2</c:v>
                </c:pt>
                <c:pt idx="307">
                  <c:v>5.3302145455255794E-2</c:v>
                </c:pt>
                <c:pt idx="308">
                  <c:v>5.3325173244680814E-2</c:v>
                </c:pt>
                <c:pt idx="309">
                  <c:v>5.3348252420857958E-2</c:v>
                </c:pt>
                <c:pt idx="310">
                  <c:v>5.337143910943417E-2</c:v>
                </c:pt>
                <c:pt idx="311">
                  <c:v>5.3394789091682285E-2</c:v>
                </c:pt>
                <c:pt idx="312">
                  <c:v>5.3418357547063068E-2</c:v>
                </c:pt>
                <c:pt idx="313">
                  <c:v>5.344219879748157E-2</c:v>
                </c:pt>
                <c:pt idx="314">
                  <c:v>5.3466366055045511E-2</c:v>
                </c:pt>
                <c:pt idx="315">
                  <c:v>5.3490911175118214E-2</c:v>
                </c:pt>
                <c:pt idx="316">
                  <c:v>5.351588441642767E-2</c:v>
                </c:pt>
                <c:pt idx="317">
                  <c:v>5.3541334209947493E-2</c:v>
                </c:pt>
                <c:pt idx="318">
                  <c:v>5.3567306938204606E-2</c:v>
                </c:pt>
                <c:pt idx="319">
                  <c:v>5.3593846726593626E-2</c:v>
                </c:pt>
                <c:pt idx="320">
                  <c:v>5.3620995248188225E-2</c:v>
                </c:pt>
                <c:pt idx="321">
                  <c:v>5.3648791543438733E-2</c:v>
                </c:pt>
                <c:pt idx="322">
                  <c:v>5.367727185603044E-2</c:v>
                </c:pt>
                <c:pt idx="323">
                  <c:v>5.3706469486052275E-2</c:v>
                </c:pt>
                <c:pt idx="324">
                  <c:v>5.3736414661490046E-2</c:v>
                </c:pt>
                <c:pt idx="325">
                  <c:v>5.3767134428914905E-2</c:v>
                </c:pt>
                <c:pt idx="326">
                  <c:v>5.3798652564085267E-2</c:v>
                </c:pt>
                <c:pt idx="327">
                  <c:v>5.383098950302391E-2</c:v>
                </c:pt>
                <c:pt idx="328">
                  <c:v>5.3864162293968232E-2</c:v>
                </c:pt>
                <c:pt idx="329">
                  <c:v>5.3898184570426694E-2</c:v>
                </c:pt>
                <c:pt idx="330">
                  <c:v>5.3933066545406784E-2</c:v>
                </c:pt>
                <c:pt idx="331">
                  <c:v>5.39688150267114E-2</c:v>
                </c:pt>
                <c:pt idx="332">
                  <c:v>5.4005433453034643E-2</c:v>
                </c:pt>
                <c:pt idx="333">
                  <c:v>5.404292195042338E-2</c:v>
                </c:pt>
                <c:pt idx="334">
                  <c:v>5.4081277408511701E-2</c:v>
                </c:pt>
                <c:pt idx="335">
                  <c:v>5.4120493575780707E-2</c:v>
                </c:pt>
                <c:pt idx="336">
                  <c:v>5.4160561172949477E-2</c:v>
                </c:pt>
                <c:pt idx="337">
                  <c:v>5.4201468023463713E-2</c:v>
                </c:pt>
                <c:pt idx="338">
                  <c:v>5.4243199199919719E-2</c:v>
                </c:pt>
                <c:pt idx="339">
                  <c:v>5.4285737185142263E-2</c:v>
                </c:pt>
                <c:pt idx="340">
                  <c:v>5.4329062046528501E-2</c:v>
                </c:pt>
                <c:pt idx="341">
                  <c:v>5.4373151622175493E-2</c:v>
                </c:pt>
                <c:pt idx="342">
                  <c:v>5.4417981717228073E-2</c:v>
                </c:pt>
                <c:pt idx="343">
                  <c:v>5.4463526308817484E-2</c:v>
                </c:pt>
                <c:pt idx="344">
                  <c:v>5.4509757757908471E-2</c:v>
                </c:pt>
                <c:pt idx="345">
                  <c:v>5.4556647026336322E-2</c:v>
                </c:pt>
                <c:pt idx="346">
                  <c:v>5.4604163897292828E-2</c:v>
                </c:pt>
                <c:pt idx="347">
                  <c:v>5.4652277197514476E-2</c:v>
                </c:pt>
                <c:pt idx="348">
                  <c:v>5.4700955019435019E-2</c:v>
                </c:pt>
                <c:pt idx="349">
                  <c:v>5.4750164941588624E-2</c:v>
                </c:pt>
                <c:pt idx="350">
                  <c:v>5.4799874245589277E-2</c:v>
                </c:pt>
                <c:pt idx="351">
                  <c:v>5.4850050128065431E-2</c:v>
                </c:pt>
                <c:pt idx="352">
                  <c:v>5.4900659905996289E-2</c:v>
                </c:pt>
                <c:pt idx="353">
                  <c:v>5.4951671213976226E-2</c:v>
                </c:pt>
                <c:pt idx="354">
                  <c:v>5.5003052192027092E-2</c:v>
                </c:pt>
                <c:pt idx="355">
                  <c:v>5.5054771662681169E-2</c:v>
                </c:pt>
                <c:pt idx="356">
                  <c:v>5.5106799296172321E-2</c:v>
                </c:pt>
                <c:pt idx="357">
                  <c:v>5.5159105762695719E-2</c:v>
                </c:pt>
                <c:pt idx="358">
                  <c:v>5.5211662870827419E-2</c:v>
                </c:pt>
                <c:pt idx="359">
                  <c:v>5.5264443691332606E-2</c:v>
                </c:pt>
                <c:pt idx="360">
                  <c:v>5.5317422665734299E-2</c:v>
                </c:pt>
                <c:pt idx="361">
                  <c:v>5.5370575699160339E-2</c:v>
                </c:pt>
                <c:pt idx="362">
                  <c:v>5.5423880237135272E-2</c:v>
                </c:pt>
                <c:pt idx="363">
                  <c:v>5.547731532613439E-2</c:v>
                </c:pt>
                <c:pt idx="364">
                  <c:v>5.553086165786543E-2</c:v>
                </c:pt>
                <c:pt idx="365">
                  <c:v>5.5584501597391658E-2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2.1293860658118452E-3</c:v>
                </c:pt>
                <c:pt idx="1">
                  <c:v>2.0721874026987364E-3</c:v>
                </c:pt>
                <c:pt idx="2">
                  <c:v>2.0170211217809477E-3</c:v>
                </c:pt>
                <c:pt idx="3">
                  <c:v>1.963930857141096E-3</c:v>
                </c:pt>
                <c:pt idx="4">
                  <c:v>1.9129528685673961E-3</c:v>
                </c:pt>
                <c:pt idx="5">
                  <c:v>1.8641162983717881E-3</c:v>
                </c:pt>
                <c:pt idx="6">
                  <c:v>1.8174434796683347E-3</c:v>
                </c:pt>
                <c:pt idx="7">
                  <c:v>1.7729502892125529E-3</c:v>
                </c:pt>
                <c:pt idx="8">
                  <c:v>1.7304370689113736E-3</c:v>
                </c:pt>
                <c:pt idx="9">
                  <c:v>1.6906517595672863E-3</c:v>
                </c:pt>
                <c:pt idx="10">
                  <c:v>1.6546257540502648E-3</c:v>
                </c:pt>
                <c:pt idx="11">
                  <c:v>1.6223500234174278E-3</c:v>
                </c:pt>
                <c:pt idx="12">
                  <c:v>1.5938036066477966E-3</c:v>
                </c:pt>
                <c:pt idx="13">
                  <c:v>1.5689551845513349E-3</c:v>
                </c:pt>
                <c:pt idx="14">
                  <c:v>1.5477646273145476E-3</c:v>
                </c:pt>
                <c:pt idx="15">
                  <c:v>1.5280927888760868E-3</c:v>
                </c:pt>
                <c:pt idx="16">
                  <c:v>1.5072399051951164E-3</c:v>
                </c:pt>
                <c:pt idx="17">
                  <c:v>1.4852985310491648E-3</c:v>
                </c:pt>
                <c:pt idx="18">
                  <c:v>1.4623565001718071E-3</c:v>
                </c:pt>
                <c:pt idx="19">
                  <c:v>1.4385046846605819E-3</c:v>
                </c:pt>
                <c:pt idx="20">
                  <c:v>1.4138317988150843E-3</c:v>
                </c:pt>
                <c:pt idx="21">
                  <c:v>1.3884144303373163E-3</c:v>
                </c:pt>
                <c:pt idx="22">
                  <c:v>1.3621332982423093E-3</c:v>
                </c:pt>
                <c:pt idx="23">
                  <c:v>1.3350901804337935E-3</c:v>
                </c:pt>
                <c:pt idx="24">
                  <c:v>1.3065940542756817E-3</c:v>
                </c:pt>
                <c:pt idx="25">
                  <c:v>1.2767562656962291E-3</c:v>
                </c:pt>
                <c:pt idx="26">
                  <c:v>1.2456811040366369E-3</c:v>
                </c:pt>
                <c:pt idx="27">
                  <c:v>1.2134655305770779E-3</c:v>
                </c:pt>
                <c:pt idx="28">
                  <c:v>1.1801990177474676E-3</c:v>
                </c:pt>
                <c:pt idx="29">
                  <c:v>1.1464922503185663E-3</c:v>
                </c:pt>
                <c:pt idx="30">
                  <c:v>1.1141798808752671E-3</c:v>
                </c:pt>
                <c:pt idx="31">
                  <c:v>1.0832542561878538E-3</c:v>
                </c:pt>
                <c:pt idx="32">
                  <c:v>1.0537038830215021E-3</c:v>
                </c:pt>
                <c:pt idx="33">
                  <c:v>1.0255140621873698E-3</c:v>
                </c:pt>
                <c:pt idx="34">
                  <c:v>9.9866747568300098E-4</c:v>
                </c:pt>
                <c:pt idx="35">
                  <c:v>9.7314472767621345E-4</c:v>
                </c:pt>
                <c:pt idx="36">
                  <c:v>9.4885268303180823E-4</c:v>
                </c:pt>
                <c:pt idx="37">
                  <c:v>9.2507684301477316E-4</c:v>
                </c:pt>
                <c:pt idx="38">
                  <c:v>9.0163588728257263E-4</c:v>
                </c:pt>
                <c:pt idx="39">
                  <c:v>8.7852326296576481E-4</c:v>
                </c:pt>
                <c:pt idx="40">
                  <c:v>8.5573228707758447E-4</c:v>
                </c:pt>
                <c:pt idx="41">
                  <c:v>8.3325619329010505E-4</c:v>
                </c:pt>
                <c:pt idx="42">
                  <c:v>8.1108817451545207E-4</c:v>
                </c:pt>
                <c:pt idx="43">
                  <c:v>7.8886575701260346E-4</c:v>
                </c:pt>
                <c:pt idx="44">
                  <c:v>7.6613705584223748E-4</c:v>
                </c:pt>
                <c:pt idx="45">
                  <c:v>7.4291724234937869E-4</c:v>
                </c:pt>
                <c:pt idx="46">
                  <c:v>7.1922068605556329E-4</c:v>
                </c:pt>
                <c:pt idx="47">
                  <c:v>6.950609932000444E-4</c:v>
                </c:pt>
                <c:pt idx="48">
                  <c:v>6.7045103858830678E-4</c:v>
                </c:pt>
                <c:pt idx="49">
                  <c:v>6.4540299050155361E-4</c:v>
                </c:pt>
                <c:pt idx="50">
                  <c:v>6.1992416260381431E-4</c:v>
                </c:pt>
                <c:pt idx="51">
                  <c:v>5.9430540906323928E-4</c:v>
                </c:pt>
                <c:pt idx="52">
                  <c:v>5.6908315900811479E-4</c:v>
                </c:pt>
                <c:pt idx="53">
                  <c:v>5.4424373899585087E-4</c:v>
                </c:pt>
                <c:pt idx="54">
                  <c:v>5.1977710322805232E-4</c:v>
                </c:pt>
                <c:pt idx="55">
                  <c:v>4.9567371548923619E-4</c:v>
                </c:pt>
                <c:pt idx="56">
                  <c:v>4.719245022639606E-4</c:v>
                </c:pt>
                <c:pt idx="57">
                  <c:v>4.4905187808250786E-4</c:v>
                </c:pt>
                <c:pt idx="58">
                  <c:v>4.2734700281004968E-4</c:v>
                </c:pt>
                <c:pt idx="59">
                  <c:v>4.0678194700078291E-4</c:v>
                </c:pt>
                <c:pt idx="60">
                  <c:v>3.8732974801469207E-4</c:v>
                </c:pt>
                <c:pt idx="61">
                  <c:v>3.6896435554157611E-4</c:v>
                </c:pt>
                <c:pt idx="62">
                  <c:v>3.5166058305132684E-4</c:v>
                </c:pt>
                <c:pt idx="63">
                  <c:v>3.3539406520194419E-4</c:v>
                </c:pt>
                <c:pt idx="64">
                  <c:v>3.2013297521714835E-4</c:v>
                </c:pt>
                <c:pt idx="65">
                  <c:v>3.0608086820953505E-4</c:v>
                </c:pt>
                <c:pt idx="66">
                  <c:v>2.9296361136408829E-4</c:v>
                </c:pt>
                <c:pt idx="67">
                  <c:v>2.8076496212558669E-4</c:v>
                </c:pt>
                <c:pt idx="68">
                  <c:v>2.6946853664038721E-4</c:v>
                </c:pt>
                <c:pt idx="69">
                  <c:v>2.5905793912365404E-4</c:v>
                </c:pt>
                <c:pt idx="70">
                  <c:v>2.4951688548733713E-4</c:v>
                </c:pt>
                <c:pt idx="71">
                  <c:v>2.408523043247178E-4</c:v>
                </c:pt>
                <c:pt idx="72">
                  <c:v>2.3257433710581279E-4</c:v>
                </c:pt>
                <c:pt idx="73">
                  <c:v>2.2467686061852275E-4</c:v>
                </c:pt>
                <c:pt idx="74">
                  <c:v>2.1715368152067893E-4</c:v>
                </c:pt>
                <c:pt idx="75">
                  <c:v>2.0999858295352815E-4</c:v>
                </c:pt>
                <c:pt idx="76">
                  <c:v>2.0320536936268633E-4</c:v>
                </c:pt>
                <c:pt idx="77">
                  <c:v>1.9676790957314069E-4</c:v>
                </c:pt>
                <c:pt idx="78">
                  <c:v>1.9066807818216377E-4</c:v>
                </c:pt>
                <c:pt idx="79">
                  <c:v>1.849585236101479E-4</c:v>
                </c:pt>
                <c:pt idx="80">
                  <c:v>1.7942618237903058E-4</c:v>
                </c:pt>
                <c:pt idx="81">
                  <c:v>1.7407041614410943E-4</c:v>
                </c:pt>
                <c:pt idx="82">
                  <c:v>1.6889020166657831E-4</c:v>
                </c:pt>
                <c:pt idx="83">
                  <c:v>1.6388417518900904E-4</c:v>
                </c:pt>
                <c:pt idx="84">
                  <c:v>1.5905067517920512E-4</c:v>
                </c:pt>
                <c:pt idx="85">
                  <c:v>1.5445662209969766E-4</c:v>
                </c:pt>
                <c:pt idx="86">
                  <c:v>1.500777553769218E-4</c:v>
                </c:pt>
                <c:pt idx="87">
                  <c:v>1.4591133894944146E-4</c:v>
                </c:pt>
                <c:pt idx="88">
                  <c:v>1.4195459959315249E-4</c:v>
                </c:pt>
                <c:pt idx="89">
                  <c:v>1.3820476811596206E-4</c:v>
                </c:pt>
                <c:pt idx="90">
                  <c:v>1.3465911853359236E-4</c:v>
                </c:pt>
                <c:pt idx="91">
                  <c:v>1.3131500544048087E-4</c:v>
                </c:pt>
                <c:pt idx="92">
                  <c:v>1.2816438365822075E-4</c:v>
                </c:pt>
                <c:pt idx="93">
                  <c:v>1.2520148085209777E-4</c:v>
                </c:pt>
                <c:pt idx="94">
                  <c:v>1.2235907911303741E-4</c:v>
                </c:pt>
                <c:pt idx="95">
                  <c:v>1.1963459024103266E-4</c:v>
                </c:pt>
                <c:pt idx="96">
                  <c:v>1.1702554533212441E-4</c:v>
                </c:pt>
                <c:pt idx="97">
                  <c:v>1.1452959756896054E-4</c:v>
                </c:pt>
                <c:pt idx="98">
                  <c:v>1.1214452512836763E-4</c:v>
                </c:pt>
                <c:pt idx="99">
                  <c:v>1.0987812448049955E-4</c:v>
                </c:pt>
                <c:pt idx="100">
                  <c:v>1.0766050412022226E-4</c:v>
                </c:pt>
                <c:pt idx="101">
                  <c:v>1.0548941642802515E-4</c:v>
                </c:pt>
                <c:pt idx="102">
                  <c:v>1.0336260599018233E-4</c:v>
                </c:pt>
                <c:pt idx="103">
                  <c:v>1.0127780950477923E-4</c:v>
                </c:pt>
                <c:pt idx="104">
                  <c:v>9.9232755686426752E-5</c:v>
                </c:pt>
                <c:pt idx="105">
                  <c:v>9.7225165106538242E-5</c:v>
                </c:pt>
                <c:pt idx="106">
                  <c:v>9.525231626432582E-5</c:v>
                </c:pt>
                <c:pt idx="107">
                  <c:v>9.3347148214319059E-5</c:v>
                </c:pt>
                <c:pt idx="108">
                  <c:v>9.1504728968397971E-5</c:v>
                </c:pt>
                <c:pt idx="109">
                  <c:v>8.9723107537234198E-5</c:v>
                </c:pt>
                <c:pt idx="110">
                  <c:v>8.8000659902728501E-5</c:v>
                </c:pt>
                <c:pt idx="111">
                  <c:v>8.6335825142891547E-5</c:v>
                </c:pt>
                <c:pt idx="112">
                  <c:v>8.4726861836789897E-5</c:v>
                </c:pt>
                <c:pt idx="113">
                  <c:v>8.3200645676897598E-5</c:v>
                </c:pt>
                <c:pt idx="114">
                  <c:v>8.1745916332459846E-5</c:v>
                </c:pt>
                <c:pt idx="115">
                  <c:v>8.0361739119896091E-5</c:v>
                </c:pt>
                <c:pt idx="116">
                  <c:v>7.9047312988950787E-5</c:v>
                </c:pt>
                <c:pt idx="117">
                  <c:v>7.780197184772855E-5</c:v>
                </c:pt>
                <c:pt idx="118">
                  <c:v>7.6625185933241235E-5</c:v>
                </c:pt>
                <c:pt idx="119">
                  <c:v>7.5516563244957144E-5</c:v>
                </c:pt>
                <c:pt idx="120">
                  <c:v>7.4476981357518492E-5</c:v>
                </c:pt>
                <c:pt idx="121">
                  <c:v>7.3549553966596306E-5</c:v>
                </c:pt>
                <c:pt idx="122">
                  <c:v>7.2695281321101649E-5</c:v>
                </c:pt>
                <c:pt idx="123">
                  <c:v>7.1914025943524486E-5</c:v>
                </c:pt>
                <c:pt idx="124">
                  <c:v>7.1205841973570136E-5</c:v>
                </c:pt>
                <c:pt idx="125">
                  <c:v>7.0570971013826593E-5</c:v>
                </c:pt>
                <c:pt idx="126">
                  <c:v>7.0009837911746105E-5</c:v>
                </c:pt>
                <c:pt idx="127">
                  <c:v>6.9511634344067717E-5</c:v>
                </c:pt>
                <c:pt idx="128">
                  <c:v>6.9043406995378313E-5</c:v>
                </c:pt>
                <c:pt idx="129">
                  <c:v>6.8604421727689346E-5</c:v>
                </c:pt>
                <c:pt idx="130">
                  <c:v>6.8194010552310075E-5</c:v>
                </c:pt>
                <c:pt idx="131">
                  <c:v>6.7811570248720103E-5</c:v>
                </c:pt>
                <c:pt idx="132">
                  <c:v>6.7456561066482255E-5</c:v>
                </c:pt>
                <c:pt idx="133">
                  <c:v>6.7128505461383468E-5</c:v>
                </c:pt>
                <c:pt idx="134">
                  <c:v>6.6828634677601129E-5</c:v>
                </c:pt>
                <c:pt idx="135">
                  <c:v>6.6540190812528955E-5</c:v>
                </c:pt>
                <c:pt idx="136">
                  <c:v>6.6211593025317959E-5</c:v>
                </c:pt>
                <c:pt idx="137">
                  <c:v>6.584005870118918E-5</c:v>
                </c:pt>
                <c:pt idx="138">
                  <c:v>6.5422752511801446E-5</c:v>
                </c:pt>
                <c:pt idx="139">
                  <c:v>6.4956793165531755E-5</c:v>
                </c:pt>
                <c:pt idx="140">
                  <c:v>6.44392608554807E-5</c:v>
                </c:pt>
                <c:pt idx="141">
                  <c:v>6.3902530183256549E-5</c:v>
                </c:pt>
                <c:pt idx="142">
                  <c:v>6.3358196154751783E-5</c:v>
                </c:pt>
                <c:pt idx="143">
                  <c:v>6.2804887004021343E-5</c:v>
                </c:pt>
                <c:pt idx="144">
                  <c:v>6.2241658998786492E-5</c:v>
                </c:pt>
                <c:pt idx="145">
                  <c:v>6.1667611798452181E-5</c:v>
                </c:pt>
                <c:pt idx="146">
                  <c:v>6.1081891858792825E-5</c:v>
                </c:pt>
                <c:pt idx="147">
                  <c:v>6.0483695836472613E-5</c:v>
                </c:pt>
                <c:pt idx="148">
                  <c:v>5.9873676285178968E-5</c:v>
                </c:pt>
                <c:pt idx="149">
                  <c:v>5.9260236009961416E-5</c:v>
                </c:pt>
                <c:pt idx="150">
                  <c:v>5.86646150286106E-5</c:v>
                </c:pt>
                <c:pt idx="151">
                  <c:v>5.8087069448969905E-5</c:v>
                </c:pt>
                <c:pt idx="152">
                  <c:v>5.7527938199055059E-5</c:v>
                </c:pt>
                <c:pt idx="153">
                  <c:v>5.6987640553518364E-5</c:v>
                </c:pt>
                <c:pt idx="154">
                  <c:v>5.6466673350482845E-5</c:v>
                </c:pt>
                <c:pt idx="155">
                  <c:v>5.6010387211151591E-5</c:v>
                </c:pt>
                <c:pt idx="156">
                  <c:v>5.5578644286066144E-5</c:v>
                </c:pt>
                <c:pt idx="157">
                  <c:v>5.5172398074893225E-5</c:v>
                </c:pt>
                <c:pt idx="158">
                  <c:v>5.4792665924240467E-5</c:v>
                </c:pt>
                <c:pt idx="159">
                  <c:v>5.4440523385390434E-5</c:v>
                </c:pt>
                <c:pt idx="160">
                  <c:v>5.4117098189756893E-5</c:v>
                </c:pt>
                <c:pt idx="161">
                  <c:v>5.3823563856174482E-5</c:v>
                </c:pt>
                <c:pt idx="162">
                  <c:v>5.3562057174306041E-5</c:v>
                </c:pt>
                <c:pt idx="163">
                  <c:v>5.3372235154818235E-5</c:v>
                </c:pt>
                <c:pt idx="164">
                  <c:v>5.3247534986722173E-5</c:v>
                </c:pt>
                <c:pt idx="165">
                  <c:v>5.3190502715767971E-5</c:v>
                </c:pt>
                <c:pt idx="166">
                  <c:v>5.3203683141764307E-5</c:v>
                </c:pt>
                <c:pt idx="167">
                  <c:v>5.3289613005887368E-5</c:v>
                </c:pt>
                <c:pt idx="168">
                  <c:v>5.3450814518363704E-5</c:v>
                </c:pt>
                <c:pt idx="169">
                  <c:v>5.372941534832902E-5</c:v>
                </c:pt>
                <c:pt idx="170">
                  <c:v>5.4075911086279046E-5</c:v>
                </c:pt>
                <c:pt idx="171">
                  <c:v>5.4492308469514234E-5</c:v>
                </c:pt>
                <c:pt idx="172">
                  <c:v>5.4980588499912815E-5</c:v>
                </c:pt>
                <c:pt idx="173">
                  <c:v>5.5542135551952053E-5</c:v>
                </c:pt>
                <c:pt idx="174">
                  <c:v>5.6178246487474335E-5</c:v>
                </c:pt>
                <c:pt idx="175">
                  <c:v>5.6890716232203706E-5</c:v>
                </c:pt>
                <c:pt idx="176">
                  <c:v>5.7681293060944136E-5</c:v>
                </c:pt>
                <c:pt idx="177">
                  <c:v>5.860821599155152E-5</c:v>
                </c:pt>
                <c:pt idx="178">
                  <c:v>5.9631676800992439E-5</c:v>
                </c:pt>
                <c:pt idx="179">
                  <c:v>6.0753613872261779E-5</c:v>
                </c:pt>
                <c:pt idx="180">
                  <c:v>6.1975900094496565E-5</c:v>
                </c:pt>
                <c:pt idx="181">
                  <c:v>6.3300343416481145E-5</c:v>
                </c:pt>
                <c:pt idx="182">
                  <c:v>6.4728688060679282E-5</c:v>
                </c:pt>
                <c:pt idx="183">
                  <c:v>6.6273609506937753E-5</c:v>
                </c:pt>
                <c:pt idx="184">
                  <c:v>6.7892308485893087E-5</c:v>
                </c:pt>
                <c:pt idx="185">
                  <c:v>6.958571383858608E-5</c:v>
                </c:pt>
                <c:pt idx="186">
                  <c:v>7.1354733157573112E-5</c:v>
                </c:pt>
                <c:pt idx="187">
                  <c:v>7.3200255623189815E-5</c:v>
                </c:pt>
                <c:pt idx="188">
                  <c:v>7.5123154945499335E-5</c:v>
                </c:pt>
                <c:pt idx="189">
                  <c:v>7.7124292380194141E-5</c:v>
                </c:pt>
                <c:pt idx="190">
                  <c:v>7.9203910785265682E-5</c:v>
                </c:pt>
                <c:pt idx="191">
                  <c:v>8.1418794655689205E-5</c:v>
                </c:pt>
                <c:pt idx="192">
                  <c:v>8.3708465583053521E-5</c:v>
                </c:pt>
                <c:pt idx="193">
                  <c:v>8.6073800715434821E-5</c:v>
                </c:pt>
                <c:pt idx="194">
                  <c:v>8.8515719887634871E-5</c:v>
                </c:pt>
                <c:pt idx="195">
                  <c:v>9.1035190993096554E-5</c:v>
                </c:pt>
                <c:pt idx="196">
                  <c:v>9.3633235209016749E-5</c:v>
                </c:pt>
                <c:pt idx="197">
                  <c:v>9.6279144500105611E-5</c:v>
                </c:pt>
                <c:pt idx="198">
                  <c:v>9.8961859716508788E-5</c:v>
                </c:pt>
                <c:pt idx="199">
                  <c:v>1.0168210002080194E-4</c:v>
                </c:pt>
                <c:pt idx="200">
                  <c:v>1.0444067027797452E-4</c:v>
                </c:pt>
                <c:pt idx="201">
                  <c:v>1.0723846140024938E-4</c:v>
                </c:pt>
                <c:pt idx="202">
                  <c:v>1.1007645057201874E-4</c:v>
                </c:pt>
                <c:pt idx="203">
                  <c:v>1.1295570142683683E-4</c:v>
                </c:pt>
                <c:pt idx="204">
                  <c:v>1.1587612638511376E-4</c:v>
                </c:pt>
                <c:pt idx="205">
                  <c:v>1.1881513591782178E-4</c:v>
                </c:pt>
                <c:pt idx="206">
                  <c:v>1.217132168597834E-4</c:v>
                </c:pt>
                <c:pt idx="207">
                  <c:v>1.2457008593226863E-4</c:v>
                </c:pt>
                <c:pt idx="208">
                  <c:v>1.2738548504207209E-4</c:v>
                </c:pt>
                <c:pt idx="209">
                  <c:v>1.3015917558456718E-4</c:v>
                </c:pt>
                <c:pt idx="210">
                  <c:v>1.3289093304575639E-4</c:v>
                </c:pt>
                <c:pt idx="211">
                  <c:v>1.356793061028847E-4</c:v>
                </c:pt>
                <c:pt idx="212">
                  <c:v>1.3855864472131716E-4</c:v>
                </c:pt>
                <c:pt idx="213">
                  <c:v>1.4153012861546819E-4</c:v>
                </c:pt>
                <c:pt idx="214">
                  <c:v>1.4459492959727164E-4</c:v>
                </c:pt>
                <c:pt idx="215">
                  <c:v>1.4775421121514969E-4</c:v>
                </c:pt>
                <c:pt idx="216">
                  <c:v>1.5100912840067981E-4</c:v>
                </c:pt>
                <c:pt idx="217">
                  <c:v>1.5436082714522827E-4</c:v>
                </c:pt>
                <c:pt idx="218">
                  <c:v>1.5780916513342773E-4</c:v>
                </c:pt>
                <c:pt idx="219">
                  <c:v>1.6143251625846939E-4</c:v>
                </c:pt>
                <c:pt idx="220">
                  <c:v>1.6525647633853312E-4</c:v>
                </c:pt>
                <c:pt idx="221">
                  <c:v>1.6928372021786999E-4</c:v>
                </c:pt>
                <c:pt idx="222">
                  <c:v>1.7351697185614517E-4</c:v>
                </c:pt>
                <c:pt idx="223">
                  <c:v>1.7795901382457744E-4</c:v>
                </c:pt>
                <c:pt idx="224">
                  <c:v>1.8261269699867855E-4</c:v>
                </c:pt>
                <c:pt idx="225">
                  <c:v>1.8757156101084491E-4</c:v>
                </c:pt>
                <c:pt idx="226">
                  <c:v>1.927354567626213E-4</c:v>
                </c:pt>
                <c:pt idx="227">
                  <c:v>1.981073375193626E-4</c:v>
                </c:pt>
                <c:pt idx="228">
                  <c:v>2.0369026731300636E-4</c:v>
                </c:pt>
                <c:pt idx="229">
                  <c:v>2.0948743125953105E-4</c:v>
                </c:pt>
                <c:pt idx="230">
                  <c:v>2.1550214621386793E-4</c:v>
                </c:pt>
                <c:pt idx="231">
                  <c:v>2.2173787184278588E-4</c:v>
                </c:pt>
                <c:pt idx="232">
                  <c:v>2.2819599877812227E-4</c:v>
                </c:pt>
                <c:pt idx="233">
                  <c:v>2.3489873680974067E-4</c:v>
                </c:pt>
                <c:pt idx="234">
                  <c:v>2.4176615915938514E-4</c:v>
                </c:pt>
                <c:pt idx="235">
                  <c:v>2.4880025980781705E-4</c:v>
                </c:pt>
                <c:pt idx="236">
                  <c:v>2.5600315251135091E-4</c:v>
                </c:pt>
                <c:pt idx="237">
                  <c:v>2.6337682683480419E-4</c:v>
                </c:pt>
                <c:pt idx="238">
                  <c:v>2.7092329806442965E-4</c:v>
                </c:pt>
                <c:pt idx="239">
                  <c:v>2.7866335925291551E-4</c:v>
                </c:pt>
                <c:pt idx="240">
                  <c:v>2.8650384104076027E-4</c:v>
                </c:pt>
                <c:pt idx="241">
                  <c:v>2.9444601293561852E-4</c:v>
                </c:pt>
                <c:pt idx="242">
                  <c:v>3.0249114027687681E-4</c:v>
                </c:pt>
                <c:pt idx="243">
                  <c:v>3.1064048036024485E-4</c:v>
                </c:pt>
                <c:pt idx="244">
                  <c:v>3.1889527803557419E-4</c:v>
                </c:pt>
                <c:pt idx="245">
                  <c:v>3.2725676085390635E-4</c:v>
                </c:pt>
                <c:pt idx="246">
                  <c:v>3.3572613369996457E-4</c:v>
                </c:pt>
                <c:pt idx="247">
                  <c:v>3.4451147554088671E-4</c:v>
                </c:pt>
                <c:pt idx="248">
                  <c:v>3.5359365787985647E-4</c:v>
                </c:pt>
                <c:pt idx="249">
                  <c:v>3.6297599759666139E-4</c:v>
                </c:pt>
                <c:pt idx="250">
                  <c:v>3.7266179787885396E-4</c:v>
                </c:pt>
                <c:pt idx="251">
                  <c:v>3.8265433993682073E-4</c:v>
                </c:pt>
                <c:pt idx="252">
                  <c:v>3.9295687412024908E-4</c:v>
                </c:pt>
                <c:pt idx="253">
                  <c:v>4.0377514543007547E-4</c:v>
                </c:pt>
                <c:pt idx="254">
                  <c:v>4.1509473334345857E-4</c:v>
                </c:pt>
                <c:pt idx="255">
                  <c:v>4.2692094282976181E-4</c:v>
                </c:pt>
                <c:pt idx="256">
                  <c:v>4.3925903731097224E-4</c:v>
                </c:pt>
                <c:pt idx="257">
                  <c:v>4.5211422565575752E-4</c:v>
                </c:pt>
                <c:pt idx="258">
                  <c:v>4.6549164895595305E-4</c:v>
                </c:pt>
                <c:pt idx="259">
                  <c:v>4.7939636721239042E-4</c:v>
                </c:pt>
                <c:pt idx="260">
                  <c:v>4.9383571866915118E-4</c:v>
                </c:pt>
                <c:pt idx="261">
                  <c:v>5.0889886756583377E-4</c:v>
                </c:pt>
                <c:pt idx="262">
                  <c:v>5.2437119910469945E-4</c:v>
                </c:pt>
                <c:pt idx="263">
                  <c:v>5.4025483626542854E-4</c:v>
                </c:pt>
                <c:pt idx="264">
                  <c:v>5.5655162634529471E-4</c:v>
                </c:pt>
                <c:pt idx="265">
                  <c:v>5.7326616966624298E-4</c:v>
                </c:pt>
                <c:pt idx="266">
                  <c:v>5.9040154377918981E-4</c:v>
                </c:pt>
                <c:pt idx="267">
                  <c:v>6.0874118161641168E-4</c:v>
                </c:pt>
                <c:pt idx="268">
                  <c:v>6.2807948471373435E-4</c:v>
                </c:pt>
                <c:pt idx="269">
                  <c:v>6.4842293501493435E-4</c:v>
                </c:pt>
                <c:pt idx="270">
                  <c:v>6.6977746689607419E-4</c:v>
                </c:pt>
                <c:pt idx="271">
                  <c:v>6.9214841892890314E-4</c:v>
                </c:pt>
                <c:pt idx="272">
                  <c:v>7.1554048890672215E-4</c:v>
                </c:pt>
                <c:pt idx="273">
                  <c:v>7.3995769252489145E-4</c:v>
                </c:pt>
                <c:pt idx="274">
                  <c:v>7.6543223936884465E-4</c:v>
                </c:pt>
                <c:pt idx="275">
                  <c:v>7.9333551815478258E-4</c:v>
                </c:pt>
                <c:pt idx="276">
                  <c:v>8.2359413671672602E-4</c:v>
                </c:pt>
                <c:pt idx="277">
                  <c:v>8.5621921686579146E-4</c:v>
                </c:pt>
                <c:pt idx="278">
                  <c:v>8.9121954772132604E-4</c:v>
                </c:pt>
                <c:pt idx="279">
                  <c:v>9.2860116743080548E-4</c:v>
                </c:pt>
                <c:pt idx="280">
                  <c:v>9.6836693748889729E-4</c:v>
                </c:pt>
                <c:pt idx="281">
                  <c:v>1.0113063742821309E-3</c:v>
                </c:pt>
                <c:pt idx="282">
                  <c:v>1.0565935879256773E-3</c:v>
                </c:pt>
                <c:pt idx="283">
                  <c:v>1.1042186181175425E-3</c:v>
                </c:pt>
                <c:pt idx="284">
                  <c:v>1.1541665554022252E-3</c:v>
                </c:pt>
                <c:pt idx="285">
                  <c:v>1.2064171105051252E-3</c:v>
                </c:pt>
                <c:pt idx="286">
                  <c:v>1.2609441896257324E-3</c:v>
                </c:pt>
                <c:pt idx="287">
                  <c:v>1.317715478865202E-3</c:v>
                </c:pt>
                <c:pt idx="288">
                  <c:v>1.3767896341003146E-3</c:v>
                </c:pt>
                <c:pt idx="289">
                  <c:v>1.437322411240359E-3</c:v>
                </c:pt>
                <c:pt idx="290">
                  <c:v>1.4978858438411441E-3</c:v>
                </c:pt>
                <c:pt idx="291">
                  <c:v>1.558446302951729E-3</c:v>
                </c:pt>
                <c:pt idx="292">
                  <c:v>1.618967840965331E-3</c:v>
                </c:pt>
                <c:pt idx="293">
                  <c:v>1.6794122610202635E-3</c:v>
                </c:pt>
                <c:pt idx="294">
                  <c:v>1.7397391890369665E-3</c:v>
                </c:pt>
                <c:pt idx="295">
                  <c:v>1.7980604020987733E-3</c:v>
                </c:pt>
                <c:pt idx="296">
                  <c:v>1.8535253787266412E-3</c:v>
                </c:pt>
                <c:pt idx="297">
                  <c:v>1.9060955472625352E-3</c:v>
                </c:pt>
                <c:pt idx="298">
                  <c:v>1.9557185853008546E-3</c:v>
                </c:pt>
                <c:pt idx="299">
                  <c:v>2.0023431408413544E-3</c:v>
                </c:pt>
                <c:pt idx="300">
                  <c:v>2.0459191477667348E-3</c:v>
                </c:pt>
                <c:pt idx="301">
                  <c:v>2.0863981324536103E-3</c:v>
                </c:pt>
                <c:pt idx="302">
                  <c:v>2.1238600568758191E-3</c:v>
                </c:pt>
                <c:pt idx="303">
                  <c:v>2.1598036441129974E-3</c:v>
                </c:pt>
                <c:pt idx="304">
                  <c:v>2.1951606673425482E-3</c:v>
                </c:pt>
                <c:pt idx="305">
                  <c:v>2.2299268865102317E-3</c:v>
                </c:pt>
                <c:pt idx="306">
                  <c:v>2.2640991916126159E-3</c:v>
                </c:pt>
                <c:pt idx="307">
                  <c:v>2.2976755451278486E-3</c:v>
                </c:pt>
                <c:pt idx="308">
                  <c:v>2.3306549012489098E-3</c:v>
                </c:pt>
                <c:pt idx="309">
                  <c:v>2.3631708163213676E-3</c:v>
                </c:pt>
                <c:pt idx="310">
                  <c:v>2.3970882223877999E-3</c:v>
                </c:pt>
                <c:pt idx="311">
                  <c:v>2.4324083901267023E-3</c:v>
                </c:pt>
                <c:pt idx="312">
                  <c:v>2.4691324029399368E-3</c:v>
                </c:pt>
                <c:pt idx="313">
                  <c:v>2.5072610097151764E-3</c:v>
                </c:pt>
                <c:pt idx="314">
                  <c:v>2.5467944501393436E-3</c:v>
                </c:pt>
                <c:pt idx="315">
                  <c:v>2.587732249883094E-3</c:v>
                </c:pt>
                <c:pt idx="316">
                  <c:v>2.630246348166972E-3</c:v>
                </c:pt>
                <c:pt idx="317">
                  <c:v>2.6705438665976153E-3</c:v>
                </c:pt>
                <c:pt idx="318">
                  <c:v>2.7072324096364137E-3</c:v>
                </c:pt>
                <c:pt idx="319">
                  <c:v>2.7403111383687184E-3</c:v>
                </c:pt>
                <c:pt idx="320">
                  <c:v>2.769774147972609E-3</c:v>
                </c:pt>
                <c:pt idx="321">
                  <c:v>2.7956101717778021E-3</c:v>
                </c:pt>
                <c:pt idx="322">
                  <c:v>2.8178023354505353E-3</c:v>
                </c:pt>
                <c:pt idx="323">
                  <c:v>2.8391661713871785E-3</c:v>
                </c:pt>
                <c:pt idx="324">
                  <c:v>2.859543096075676E-3</c:v>
                </c:pt>
                <c:pt idx="325">
                  <c:v>2.8789025690356554E-3</c:v>
                </c:pt>
                <c:pt idx="326">
                  <c:v>2.8971904277250017E-3</c:v>
                </c:pt>
                <c:pt idx="327">
                  <c:v>2.9143583730260238E-3</c:v>
                </c:pt>
                <c:pt idx="328">
                  <c:v>2.9303671086538486E-3</c:v>
                </c:pt>
                <c:pt idx="329">
                  <c:v>2.9451715829687452E-3</c:v>
                </c:pt>
                <c:pt idx="330">
                  <c:v>2.9590289539323153E-3</c:v>
                </c:pt>
                <c:pt idx="331">
                  <c:v>2.977195526903459E-3</c:v>
                </c:pt>
                <c:pt idx="332">
                  <c:v>3.0036214408574475E-3</c:v>
                </c:pt>
                <c:pt idx="333">
                  <c:v>3.0382706394919321E-3</c:v>
                </c:pt>
                <c:pt idx="334">
                  <c:v>3.0811034724858052E-3</c:v>
                </c:pt>
                <c:pt idx="335">
                  <c:v>3.1320745414299615E-3</c:v>
                </c:pt>
                <c:pt idx="336">
                  <c:v>3.1911303827860172E-3</c:v>
                </c:pt>
                <c:pt idx="337">
                  <c:v>3.254989393922179E-3</c:v>
                </c:pt>
                <c:pt idx="338">
                  <c:v>3.3206958100904242E-3</c:v>
                </c:pt>
                <c:pt idx="339">
                  <c:v>3.3881396671081553E-3</c:v>
                </c:pt>
                <c:pt idx="340">
                  <c:v>3.4571963982305458E-3</c:v>
                </c:pt>
                <c:pt idx="341">
                  <c:v>3.5277263173017297E-3</c:v>
                </c:pt>
                <c:pt idx="342">
                  <c:v>3.5995742630937069E-3</c:v>
                </c:pt>
                <c:pt idx="343">
                  <c:v>3.6725694297148454E-3</c:v>
                </c:pt>
                <c:pt idx="344">
                  <c:v>3.7469483162112997E-3</c:v>
                </c:pt>
                <c:pt idx="345">
                  <c:v>3.8229865937398863E-3</c:v>
                </c:pt>
                <c:pt idx="346">
                  <c:v>3.8917687394399792E-3</c:v>
                </c:pt>
                <c:pt idx="347">
                  <c:v>3.9531488199266327E-3</c:v>
                </c:pt>
                <c:pt idx="348">
                  <c:v>4.0069757403960928E-3</c:v>
                </c:pt>
                <c:pt idx="349">
                  <c:v>4.0530963051370501E-3</c:v>
                </c:pt>
                <c:pt idx="350">
                  <c:v>4.0913584471694723E-3</c:v>
                </c:pt>
                <c:pt idx="351">
                  <c:v>4.1178913245400323E-3</c:v>
                </c:pt>
                <c:pt idx="352">
                  <c:v>4.1357919169441107E-3</c:v>
                </c:pt>
                <c:pt idx="353">
                  <c:v>4.1449374744606986E-3</c:v>
                </c:pt>
                <c:pt idx="354">
                  <c:v>4.1452215182915756E-3</c:v>
                </c:pt>
                <c:pt idx="355">
                  <c:v>4.1365573231941198E-3</c:v>
                </c:pt>
                <c:pt idx="356">
                  <c:v>4.1188624675068189E-3</c:v>
                </c:pt>
                <c:pt idx="357">
                  <c:v>4.092113042487429E-3</c:v>
                </c:pt>
                <c:pt idx="358">
                  <c:v>4.0562993662672546E-3</c:v>
                </c:pt>
                <c:pt idx="359">
                  <c:v>4.0115571202941971E-3</c:v>
                </c:pt>
                <c:pt idx="360">
                  <c:v>3.9549327662137508E-3</c:v>
                </c:pt>
                <c:pt idx="361">
                  <c:v>3.8903135327497547E-3</c:v>
                </c:pt>
                <c:pt idx="362">
                  <c:v>3.8179364698001546E-3</c:v>
                </c:pt>
                <c:pt idx="363">
                  <c:v>3.7380534165540056E-3</c:v>
                </c:pt>
                <c:pt idx="364">
                  <c:v>3.6509283970503803E-3</c:v>
                </c:pt>
                <c:pt idx="365">
                  <c:v>3.5568350264609232E-3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001832"/>
        <c:axId val="216002224"/>
      </c:lineChart>
      <c:dateAx>
        <c:axId val="2160018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002224"/>
        <c:crosses val="autoZero"/>
        <c:auto val="1"/>
        <c:lblOffset val="100"/>
        <c:baseTimeUnit val="days"/>
        <c:majorUnit val="1"/>
        <c:majorTimeUnit val="months"/>
      </c:dateAx>
      <c:valAx>
        <c:axId val="2160022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001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MdS 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35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74.763756532073515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29.235398562617139</c:v>
                </c:pt>
                <c:pt idx="2">
                  <c:v>27.409937676557814</c:v>
                </c:pt>
                <c:pt idx="3">
                  <c:v>14.494619497832094</c:v>
                </c:pt>
                <c:pt idx="4">
                  <c:v>15.842791207801648</c:v>
                </c:pt>
                <c:pt idx="5">
                  <c:v>14.572201591223537</c:v>
                </c:pt>
                <c:pt idx="6">
                  <c:v>10.286217417999911</c:v>
                </c:pt>
                <c:pt idx="7">
                  <c:v>16.243219775958767</c:v>
                </c:pt>
                <c:pt idx="8">
                  <c:v>13.18413337685951</c:v>
                </c:pt>
                <c:pt idx="9">
                  <c:v>8.5295935498968518</c:v>
                </c:pt>
                <c:pt idx="10">
                  <c:v>18.592524934417035</c:v>
                </c:pt>
                <c:pt idx="11">
                  <c:v>8.9836149961715765</c:v>
                </c:pt>
                <c:pt idx="12">
                  <c:v>8.6078443237818387</c:v>
                </c:pt>
                <c:pt idx="13">
                  <c:v>6.4862223413349502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26.727612995043803</c:v>
                </c:pt>
                <c:pt idx="2">
                  <c:v>25.12813399552757</c:v>
                </c:pt>
                <c:pt idx="3">
                  <c:v>12.242160093635551</c:v>
                </c:pt>
                <c:pt idx="4">
                  <c:v>14.379186717455978</c:v>
                </c:pt>
                <c:pt idx="5">
                  <c:v>13.305297946106647</c:v>
                </c:pt>
                <c:pt idx="6">
                  <c:v>9.063736636615161</c:v>
                </c:pt>
                <c:pt idx="7">
                  <c:v>15.177589379210136</c:v>
                </c:pt>
                <c:pt idx="8">
                  <c:v>12.198273732069719</c:v>
                </c:pt>
                <c:pt idx="9">
                  <c:v>7.4842039257269892</c:v>
                </c:pt>
                <c:pt idx="10">
                  <c:v>17.559493201417762</c:v>
                </c:pt>
                <c:pt idx="11">
                  <c:v>8.0734430180152206</c:v>
                </c:pt>
                <c:pt idx="12">
                  <c:v>7.7718320021128653</c:v>
                </c:pt>
                <c:pt idx="13">
                  <c:v>5.7248682520681049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24.104267544664051</c:v>
                </c:pt>
                <c:pt idx="2">
                  <c:v>22.757827906674404</c:v>
                </c:pt>
                <c:pt idx="3">
                  <c:v>9.9506275369114316</c:v>
                </c:pt>
                <c:pt idx="4">
                  <c:v>12.896162213358712</c:v>
                </c:pt>
                <c:pt idx="5">
                  <c:v>12.025006891732028</c:v>
                </c:pt>
                <c:pt idx="6">
                  <c:v>7.8328782520511204</c:v>
                </c:pt>
                <c:pt idx="7">
                  <c:v>14.101097671014408</c:v>
                </c:pt>
                <c:pt idx="8">
                  <c:v>11.205025784979858</c:v>
                </c:pt>
                <c:pt idx="9">
                  <c:v>6.4337792377982321</c:v>
                </c:pt>
                <c:pt idx="10">
                  <c:v>16.514539086304591</c:v>
                </c:pt>
                <c:pt idx="11">
                  <c:v>7.1591509856834037</c:v>
                </c:pt>
                <c:pt idx="12">
                  <c:v>6.9324768782167627</c:v>
                </c:pt>
                <c:pt idx="13">
                  <c:v>4.9614803771211218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21.368936287867662</c:v>
                </c:pt>
                <c:pt idx="2">
                  <c:v>20.302345429391476</c:v>
                </c:pt>
                <c:pt idx="3">
                  <c:v>7.6264974923427529</c:v>
                </c:pt>
                <c:pt idx="4">
                  <c:v>11.395353164829478</c:v>
                </c:pt>
                <c:pt idx="5">
                  <c:v>10.732412840874471</c:v>
                </c:pt>
                <c:pt idx="6">
                  <c:v>6.5947026379824685</c:v>
                </c:pt>
                <c:pt idx="7">
                  <c:v>13.014348961138849</c:v>
                </c:pt>
                <c:pt idx="8">
                  <c:v>10.20490955001871</c:v>
                </c:pt>
                <c:pt idx="9">
                  <c:v>5.378993793432425</c:v>
                </c:pt>
                <c:pt idx="10">
                  <c:v>15.458161862633416</c:v>
                </c:pt>
                <c:pt idx="11">
                  <c:v>6.2411794276542878</c:v>
                </c:pt>
                <c:pt idx="12">
                  <c:v>6.0901211422970185</c:v>
                </c:pt>
                <c:pt idx="13">
                  <c:v>4.1963225809158153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18.52753717732752</c:v>
                </c:pt>
                <c:pt idx="2">
                  <c:v>17.766502169192133</c:v>
                </c:pt>
                <c:pt idx="3">
                  <c:v>5.2768576923973152</c:v>
                </c:pt>
                <c:pt idx="4">
                  <c:v>9.87853189000867</c:v>
                </c:pt>
                <c:pt idx="5">
                  <c:v>9.4286711511033925</c:v>
                </c:pt>
                <c:pt idx="6">
                  <c:v>5.3503101019173247</c:v>
                </c:pt>
                <c:pt idx="7">
                  <c:v>11.917988614828911</c:v>
                </c:pt>
                <c:pt idx="8">
                  <c:v>9.1984689813794116</c:v>
                </c:pt>
                <c:pt idx="9">
                  <c:v>4.3205393179722922</c:v>
                </c:pt>
                <c:pt idx="10">
                  <c:v>14.390902810963546</c:v>
                </c:pt>
                <c:pt idx="11">
                  <c:v>5.3199799739348199</c:v>
                </c:pt>
                <c:pt idx="12">
                  <c:v>5.2451146197583292</c:v>
                </c:pt>
                <c:pt idx="13">
                  <c:v>3.4296624763006438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15.588530155134666</c:v>
                </c:pt>
                <c:pt idx="2">
                  <c:v>15.15668690214536</c:v>
                </c:pt>
                <c:pt idx="3">
                  <c:v>2.9092933441902238</c:v>
                </c:pt>
                <c:pt idx="4">
                  <c:v>8.3475982790696062</c:v>
                </c:pt>
                <c:pt idx="5">
                  <c:v>8.115003282847157</c:v>
                </c:pt>
                <c:pt idx="6">
                  <c:v>4.1008354462587926</c:v>
                </c:pt>
                <c:pt idx="7">
                  <c:v>10.812701582405586</c:v>
                </c:pt>
                <c:pt idx="8">
                  <c:v>8.1862705280202093</c:v>
                </c:pt>
                <c:pt idx="9">
                  <c:v>3.2591223611509572</c:v>
                </c:pt>
                <c:pt idx="10">
                  <c:v>13.313344592336636</c:v>
                </c:pt>
                <c:pt idx="11">
                  <c:v>4.3960141049156878</c:v>
                </c:pt>
                <c:pt idx="12">
                  <c:v>4.3978139498266886</c:v>
                </c:pt>
                <c:pt idx="13">
                  <c:v>2.6617708783365406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12.563005633828151</c:v>
                </c:pt>
                <c:pt idx="2">
                  <c:v>12.48088688292923</c:v>
                </c:pt>
                <c:pt idx="3">
                  <c:v>1</c:v>
                </c:pt>
                <c:pt idx="4">
                  <c:v>6.8045681320773364</c:v>
                </c:pt>
                <c:pt idx="5">
                  <c:v>6.7926910298553551</c:v>
                </c:pt>
                <c:pt idx="6">
                  <c:v>2.8474420606450921</c:v>
                </c:pt>
                <c:pt idx="7">
                  <c:v>9.6992105541247948</c:v>
                </c:pt>
                <c:pt idx="8">
                  <c:v>7.1689014981018468</c:v>
                </c:pt>
                <c:pt idx="9">
                  <c:v>2.1954615557595156</c:v>
                </c:pt>
                <c:pt idx="10">
                  <c:v>12.226110275653891</c:v>
                </c:pt>
                <c:pt idx="11">
                  <c:v>3.4697518263924239</c:v>
                </c:pt>
                <c:pt idx="12">
                  <c:v>3.5485817211058195</c:v>
                </c:pt>
                <c:pt idx="13">
                  <c:v>1.8929212411571676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9.4646295706585235</c:v>
                </c:pt>
                <c:pt idx="2">
                  <c:v>9.7486416115272423</c:v>
                </c:pt>
                <c:pt idx="3">
                  <c:v>1</c:v>
                </c:pt>
                <c:pt idx="4">
                  <c:v>5.2515592256561723</c:v>
                </c:pt>
                <c:pt idx="5">
                  <c:v>5.4630698704110552</c:v>
                </c:pt>
                <c:pt idx="6">
                  <c:v>1.5913156179506658</c:v>
                </c:pt>
                <c:pt idx="7">
                  <c:v>8.5782737425869211</c:v>
                </c:pt>
                <c:pt idx="8">
                  <c:v>6.1469682417091773</c:v>
                </c:pt>
                <c:pt idx="9">
                  <c:v>1.1302847542569425</c:v>
                </c:pt>
                <c:pt idx="10">
                  <c:v>11.12986200891574</c:v>
                </c:pt>
                <c:pt idx="11">
                  <c:v>2.5416702797559783</c:v>
                </c:pt>
                <c:pt idx="12">
                  <c:v>2.6977855690427721</c:v>
                </c:pt>
                <c:pt idx="13">
                  <c:v>1.1233890807709623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6.3094212410263646</c:v>
                </c:pt>
                <c:pt idx="2">
                  <c:v>6.970916118876672</c:v>
                </c:pt>
                <c:pt idx="3">
                  <c:v>1</c:v>
                </c:pt>
                <c:pt idx="4">
                  <c:v>3.6907753013635962</c:v>
                </c:pt>
                <c:pt idx="5">
                  <c:v>4.1275215104574192</c:v>
                </c:pt>
                <c:pt idx="6">
                  <c:v>1</c:v>
                </c:pt>
                <c:pt idx="7">
                  <c:v>7.4506823012939725</c:v>
                </c:pt>
                <c:pt idx="8">
                  <c:v>5.1210941635331837</c:v>
                </c:pt>
                <c:pt idx="9">
                  <c:v>1</c:v>
                </c:pt>
                <c:pt idx="10">
                  <c:v>10.025299329344318</c:v>
                </c:pt>
                <c:pt idx="11">
                  <c:v>1.6122522972635236</c:v>
                </c:pt>
                <c:pt idx="12">
                  <c:v>1.8457972407247192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3.1153565609650027</c:v>
                </c:pt>
                <c:pt idx="2">
                  <c:v>4.159891369684682</c:v>
                </c:pt>
                <c:pt idx="3">
                  <c:v>1</c:v>
                </c:pt>
                <c:pt idx="4">
                  <c:v>2.1244882448346103</c:v>
                </c:pt>
                <c:pt idx="5">
                  <c:v>2.7874657117450767</c:v>
                </c:pt>
                <c:pt idx="6">
                  <c:v>1</c:v>
                </c:pt>
                <c:pt idx="7">
                  <c:v>6.3172573944711345</c:v>
                </c:pt>
                <c:pt idx="8">
                  <c:v>4.0919175799302465</c:v>
                </c:pt>
                <c:pt idx="9">
                  <c:v>1</c:v>
                </c:pt>
                <c:pt idx="10">
                  <c:v>8.9131571129603504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</c:v>
                </c:pt>
                <c:pt idx="2">
                  <c:v>1.3286775130524502</c:v>
                </c:pt>
                <c:pt idx="3">
                  <c:v>1</c:v>
                </c:pt>
                <c:pt idx="4">
                  <c:v>1</c:v>
                </c:pt>
                <c:pt idx="5">
                  <c:v>1.4443515182571298</c:v>
                </c:pt>
                <c:pt idx="6">
                  <c:v>1</c:v>
                </c:pt>
                <c:pt idx="7">
                  <c:v>5.1788469398262409</c:v>
                </c:pt>
                <c:pt idx="8">
                  <c:v>3.0600894373597263</c:v>
                </c:pt>
                <c:pt idx="9">
                  <c:v>1</c:v>
                </c:pt>
                <c:pt idx="10">
                  <c:v>7.7942031701176582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-145</c:v>
                </c:pt>
                <c:pt idx="1">
                  <c:v>215</c:v>
                </c:pt>
                <c:pt idx="2">
                  <c:v>216</c:v>
                </c:pt>
                <c:pt idx="3">
                  <c:v>216</c:v>
                </c:pt>
                <c:pt idx="4">
                  <c:v>216</c:v>
                </c:pt>
                <c:pt idx="5">
                  <c:v>216</c:v>
                </c:pt>
                <c:pt idx="6">
                  <c:v>216</c:v>
                </c:pt>
                <c:pt idx="7">
                  <c:v>216</c:v>
                </c:pt>
                <c:pt idx="8">
                  <c:v>216</c:v>
                </c:pt>
                <c:pt idx="9">
                  <c:v>216</c:v>
                </c:pt>
                <c:pt idx="10">
                  <c:v>216</c:v>
                </c:pt>
                <c:pt idx="11">
                  <c:v>216</c:v>
                </c:pt>
                <c:pt idx="12">
                  <c:v>216</c:v>
                </c:pt>
                <c:pt idx="13">
                  <c:v>216</c:v>
                </c:pt>
                <c:pt idx="14">
                  <c:v>216</c:v>
                </c:pt>
                <c:pt idx="15">
                  <c:v>216</c:v>
                </c:pt>
                <c:pt idx="16">
                  <c:v>216</c:v>
                </c:pt>
                <c:pt idx="17">
                  <c:v>216</c:v>
                </c:pt>
                <c:pt idx="18">
                  <c:v>216</c:v>
                </c:pt>
                <c:pt idx="19">
                  <c:v>216</c:v>
                </c:pt>
                <c:pt idx="20">
                  <c:v>216</c:v>
                </c:pt>
                <c:pt idx="21">
                  <c:v>216</c:v>
                </c:pt>
                <c:pt idx="22">
                  <c:v>216</c:v>
                </c:pt>
                <c:pt idx="23">
                  <c:v>216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14.036243467926479</c:v>
                </c:pt>
                <c:pt idx="3">
                  <c:v>14.036243467926479</c:v>
                </c:pt>
                <c:pt idx="4">
                  <c:v>14.036243467926479</c:v>
                </c:pt>
                <c:pt idx="5">
                  <c:v>14.036243467926479</c:v>
                </c:pt>
                <c:pt idx="6">
                  <c:v>14.036243467926479</c:v>
                </c:pt>
                <c:pt idx="7">
                  <c:v>14.036243467926479</c:v>
                </c:pt>
                <c:pt idx="8">
                  <c:v>14.036243467926479</c:v>
                </c:pt>
                <c:pt idx="9">
                  <c:v>14.036243467926479</c:v>
                </c:pt>
                <c:pt idx="10">
                  <c:v>14.036243467926479</c:v>
                </c:pt>
                <c:pt idx="11">
                  <c:v>14.036243467926479</c:v>
                </c:pt>
                <c:pt idx="12">
                  <c:v>14.036243467926479</c:v>
                </c:pt>
                <c:pt idx="13">
                  <c:v>14.036243467926479</c:v>
                </c:pt>
                <c:pt idx="14">
                  <c:v>14.036243467926479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04528"/>
        <c:axId val="320104920"/>
      </c:scatterChart>
      <c:valAx>
        <c:axId val="320104528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20104920"/>
        <c:crosses val="autoZero"/>
        <c:crossBetween val="midCat"/>
        <c:majorUnit val="30"/>
      </c:valAx>
      <c:valAx>
        <c:axId val="320104920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04528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0.50572287428576723</c:v>
                </c:pt>
                <c:pt idx="1">
                  <c:v>0.50532281581379923</c:v>
                </c:pt>
                <c:pt idx="2">
                  <c:v>0.50494526823035868</c:v>
                </c:pt>
                <c:pt idx="3">
                  <c:v>0.50458789025208151</c:v>
                </c:pt>
                <c:pt idx="4">
                  <c:v>0.5042486426105478</c:v>
                </c:pt>
                <c:pt idx="5">
                  <c:v>0.50392577826410012</c:v>
                </c:pt>
                <c:pt idx="6">
                  <c:v>0.50361783040899966</c:v>
                </c:pt>
                <c:pt idx="7">
                  <c:v>0.50332359848109409</c:v>
                </c:pt>
                <c:pt idx="8">
                  <c:v>0.50304213235334938</c:v>
                </c:pt>
                <c:pt idx="9">
                  <c:v>0.50277271494657316</c:v>
                </c:pt>
                <c:pt idx="10">
                  <c:v>0.50251484348034037</c:v>
                </c:pt>
                <c:pt idx="11">
                  <c:v>0.5022682095984794</c:v>
                </c:pt>
                <c:pt idx="12">
                  <c:v>0.50203267860843537</c:v>
                </c:pt>
                <c:pt idx="13">
                  <c:v>0.50180826807640544</c:v>
                </c:pt>
                <c:pt idx="14">
                  <c:v>0.5015951260203303</c:v>
                </c:pt>
                <c:pt idx="15">
                  <c:v>0.50139350894068246</c:v>
                </c:pt>
                <c:pt idx="16">
                  <c:v>0.50120375992456212</c:v>
                </c:pt>
                <c:pt idx="17">
                  <c:v>0.50102628705197882</c:v>
                </c:pt>
                <c:pt idx="18">
                  <c:v>0.50086154232446534</c:v>
                </c:pt>
                <c:pt idx="19">
                  <c:v>0.50071000132545829</c:v>
                </c:pt>
                <c:pt idx="20">
                  <c:v>0.50057214380933035</c:v>
                </c:pt>
                <c:pt idx="21">
                  <c:v>0.5004484354017199</c:v>
                </c:pt>
                <c:pt idx="22">
                  <c:v>0.50033931057805758</c:v>
                </c:pt>
                <c:pt idx="23">
                  <c:v>0.50024515707010664</c:v>
                </c:pt>
                <c:pt idx="24">
                  <c:v>0.50016630183211808</c:v>
                </c:pt>
                <c:pt idx="25">
                  <c:v>0.50010299867905028</c:v>
                </c:pt>
                <c:pt idx="26">
                  <c:v>0.50005541768942652</c:v>
                </c:pt>
                <c:pt idx="27">
                  <c:v>0.50002363644501702</c:v>
                </c:pt>
                <c:pt idx="28">
                  <c:v>0.50000763315884711</c:v>
                </c:pt>
                <c:pt idx="29">
                  <c:v>0.50000728172226783</c:v>
                </c:pt>
                <c:pt idx="30">
                  <c:v>0.50002234868118989</c:v>
                </c:pt>
                <c:pt idx="31">
                  <c:v>0.50005249213128744</c:v>
                </c:pt>
                <c:pt idx="32">
                  <c:v>0.50009726250221709</c:v>
                </c:pt>
                <c:pt idx="33">
                  <c:v>0.50015610518187903</c:v>
                </c:pt>
                <c:pt idx="34">
                  <c:v>0.50022836491362632</c:v>
                </c:pt>
                <c:pt idx="35">
                  <c:v>0.50031329188230567</c:v>
                </c:pt>
                <c:pt idx="36">
                  <c:v>0.5004100493892133</c:v>
                </c:pt>
                <c:pt idx="37">
                  <c:v>0.50051772300163511</c:v>
                </c:pt>
                <c:pt idx="38">
                  <c:v>0.50063533104971769</c:v>
                </c:pt>
                <c:pt idx="39">
                  <c:v>0.50076183633210347</c:v>
                </c:pt>
                <c:pt idx="40">
                  <c:v>0.50089615888213179</c:v>
                </c:pt>
                <c:pt idx="41">
                  <c:v>0.50103718963853894</c:v>
                </c:pt>
                <c:pt idx="42">
                  <c:v>0.50118380485851821</c:v>
                </c:pt>
                <c:pt idx="43">
                  <c:v>0.50133488110675972</c:v>
                </c:pt>
                <c:pt idx="44">
                  <c:v>0.50148931065168578</c:v>
                </c:pt>
                <c:pt idx="45">
                  <c:v>0.50164601709951107</c:v>
                </c:pt>
                <c:pt idx="46">
                  <c:v>0.50180397109796426</c:v>
                </c:pt>
                <c:pt idx="47">
                  <c:v>0.5019622059444524</c:v>
                </c:pt>
                <c:pt idx="48">
                  <c:v>0.50211983293805695</c:v>
                </c:pt>
                <c:pt idx="49">
                  <c:v>0.50227605632094996</c:v>
                </c:pt>
                <c:pt idx="50">
                  <c:v>0.50243018766248881</c:v>
                </c:pt>
                <c:pt idx="51">
                  <c:v>0.50258165954828615</c:v>
                </c:pt>
                <c:pt idx="52">
                  <c:v>0.50273003844682362</c:v>
                </c:pt>
                <c:pt idx="53">
                  <c:v>0.50287503663753919</c:v>
                </c:pt>
                <c:pt idx="54">
                  <c:v>0.50301652309662848</c:v>
                </c:pt>
                <c:pt idx="55">
                  <c:v>0.5031545332498869</c:v>
                </c:pt>
                <c:pt idx="56">
                  <c:v>0.50328927751563424</c:v>
                </c:pt>
                <c:pt idx="57">
                  <c:v>0.50342114857492537</c:v>
                </c:pt>
                <c:pt idx="58">
                  <c:v>0.50355072732069706</c:v>
                </c:pt>
                <c:pt idx="59">
                  <c:v>0.50367878745206141</c:v>
                </c:pt>
                <c:pt idx="60">
                  <c:v>0.50380629869445648</c:v>
                </c:pt>
                <c:pt idx="61">
                  <c:v>0.50393442864065063</c:v>
                </c:pt>
                <c:pt idx="62">
                  <c:v>0.50406454322149952</c:v>
                </c:pt>
                <c:pt idx="63">
                  <c:v>0.50419820582872832</c:v>
                </c:pt>
                <c:pt idx="64">
                  <c:v>0.50433717512471332</c:v>
                </c:pt>
                <c:pt idx="65">
                  <c:v>0.50448340158613203</c:v>
                </c:pt>
                <c:pt idx="66">
                  <c:v>0.5046390228393236</c:v>
                </c:pt>
                <c:pt idx="67">
                  <c:v>0.50480635785513883</c:v>
                </c:pt>
                <c:pt idx="68">
                  <c:v>0.50498790007987349</c:v>
                </c:pt>
                <c:pt idx="69">
                  <c:v>0.50518630958649502</c:v>
                </c:pt>
                <c:pt idx="70">
                  <c:v>0.50540440433671407</c:v>
                </c:pt>
                <c:pt idx="71">
                  <c:v>0.50564515064949966</c:v>
                </c:pt>
                <c:pt idx="72">
                  <c:v>0.50591165297533158</c:v>
                </c:pt>
                <c:pt idx="73">
                  <c:v>0.50620714307783987</c:v>
                </c:pt>
                <c:pt idx="74">
                  <c:v>0.5065349687254842</c:v>
                </c:pt>
                <c:pt idx="75">
                  <c:v>0.50689858199561411</c:v>
                </c:pt>
                <c:pt idx="76">
                  <c:v>0.50730152729164557</c:v>
                </c:pt>
                <c:pt idx="77">
                  <c:v>0.50774742917125781</c:v>
                </c:pt>
                <c:pt idx="78">
                  <c:v>0.5082399800795161</c:v>
                </c:pt>
                <c:pt idx="79">
                  <c:v>0.50878292807574432</c:v>
                </c:pt>
                <c:pt idx="80">
                  <c:v>0.50938006463690155</c:v>
                </c:pt>
                <c:pt idx="81">
                  <c:v>0.51003521261326679</c:v>
                </c:pt>
                <c:pt idx="82">
                  <c:v>0.51075221440451068</c:v>
                </c:pt>
                <c:pt idx="83">
                  <c:v>0.51153492041587412</c:v>
                </c:pt>
                <c:pt idx="84">
                  <c:v>0.51238717784529242</c:v>
                </c:pt>
                <c:pt idx="85">
                  <c:v>0.51331281984304977</c:v>
                </c:pt>
                <c:pt idx="86">
                  <c:v>0.51431565507605703</c:v>
                </c:pt>
                <c:pt idx="87">
                  <c:v>0.51539945771925288</c:v>
                </c:pt>
                <c:pt idx="88">
                  <c:v>0.51656795788708476</c:v>
                </c:pt>
                <c:pt idx="89">
                  <c:v>0.51782483250866063</c:v>
                </c:pt>
                <c:pt idx="90">
                  <c:v>0.51917369664111657</c:v>
                </c:pt>
                <c:pt idx="91">
                  <c:v>0.52061809520715085</c:v>
                </c:pt>
                <c:pt idx="92">
                  <c:v>0.52216149513464727</c:v>
                </c:pt>
                <c:pt idx="93">
                  <c:v>0.52380727786897496</c:v>
                </c:pt>
                <c:pt idx="94">
                  <c:v>0.52555873222200544</c:v>
                </c:pt>
                <c:pt idx="95">
                  <c:v>0.5274190475162287</c:v>
                </c:pt>
                <c:pt idx="96">
                  <c:v>0.5293913069776609</c:v>
                </c:pt>
                <c:pt idx="97">
                  <c:v>0.53147848132757958</c:v>
                </c:pt>
                <c:pt idx="98">
                  <c:v>0.53368342252056578</c:v>
                </c:pt>
                <c:pt idx="99">
                  <c:v>0.53600885757489669</c:v>
                </c:pt>
                <c:pt idx="100">
                  <c:v>0.5384573824410599</c:v>
                </c:pt>
                <c:pt idx="101">
                  <c:v>0.54103145585505263</c:v>
                </c:pt>
                <c:pt idx="102">
                  <c:v>0.54373339312516933</c:v>
                </c:pt>
                <c:pt idx="103">
                  <c:v>0.54656535980417187</c:v>
                </c:pt>
                <c:pt idx="104">
                  <c:v>0.54952936520300688</c:v>
                </c:pt>
                <c:pt idx="105">
                  <c:v>0.55262725570755977</c:v>
                </c:pt>
                <c:pt idx="106">
                  <c:v>0.55586070786623254</c:v>
                </c:pt>
                <c:pt idx="107">
                  <c:v>0.55923122122331848</c:v>
                </c:pt>
                <c:pt idx="108">
                  <c:v>0.56274011088114417</c:v>
                </c:pt>
                <c:pt idx="109">
                  <c:v>0.56638849978262629</c:v>
                </c:pt>
                <c:pt idx="110">
                  <c:v>0.57017731071516031</c:v>
                </c:pt>
                <c:pt idx="111">
                  <c:v>0.57410725804646978</c:v>
                </c:pt>
                <c:pt idx="112">
                  <c:v>0.57817883921308411</c:v>
                </c:pt>
                <c:pt idx="113">
                  <c:v>0.5823923259923296</c:v>
                </c:pt>
                <c:pt idx="114">
                  <c:v>0.58674775559897863</c:v>
                </c:pt>
                <c:pt idx="115">
                  <c:v>0.59124492165785514</c:v>
                </c:pt>
                <c:pt idx="116">
                  <c:v>0.59588336511359419</c:v>
                </c:pt>
                <c:pt idx="117">
                  <c:v>0.60066236514825999</c:v>
                </c:pt>
                <c:pt idx="118">
                  <c:v>0.60558093018649406</c:v>
                </c:pt>
                <c:pt idx="119">
                  <c:v>0.61063778907615396</c:v>
                </c:pt>
                <c:pt idx="120">
                  <c:v>0.6158313825398869</c:v>
                </c:pt>
                <c:pt idx="121">
                  <c:v>0.62115985499963711</c:v>
                </c:pt>
                <c:pt idx="122">
                  <c:v>0.62662104688158959</c:v>
                </c:pt>
                <c:pt idx="123">
                  <c:v>0.63221248751341552</c:v>
                </c:pt>
                <c:pt idx="124">
                  <c:v>0.63793138872880584</c:v>
                </c:pt>
                <c:pt idx="125">
                  <c:v>0.64377463929608303</c:v>
                </c:pt>
                <c:pt idx="126">
                  <c:v>0.64973880028810904</c:v>
                </c:pt>
                <c:pt idx="127">
                  <c:v>0.65582010150971071</c:v>
                </c:pt>
                <c:pt idx="128">
                  <c:v>0.6620144390963838</c:v>
                </c:pt>
                <c:pt idx="129">
                  <c:v>0.66831737439411343</c:v>
                </c:pt>
                <c:pt idx="130">
                  <c:v>0.67472413422475319</c:v>
                </c:pt>
                <c:pt idx="131">
                  <c:v>0.68122961263456139</c:v>
                </c:pt>
                <c:pt idx="132">
                  <c:v>0.68782837421524001</c:v>
                </c:pt>
                <c:pt idx="133">
                  <c:v>0.69451465907721122</c:v>
                </c:pt>
                <c:pt idx="134">
                  <c:v>0.70128238954397093</c:v>
                </c:pt>
                <c:pt idx="135">
                  <c:v>0.70812517862426905</c:v>
                </c:pt>
                <c:pt idx="136">
                  <c:v>0.71503634030567198</c:v>
                </c:pt>
                <c:pt idx="137">
                  <c:v>0.72200890169890197</c:v>
                </c:pt>
                <c:pt idx="138">
                  <c:v>0.72903561704732533</c:v>
                </c:pt>
                <c:pt idx="139">
                  <c:v>0.73610898360023957</c:v>
                </c:pt>
                <c:pt idx="140">
                  <c:v>0.74322125933233163</c:v>
                </c:pt>
                <c:pt idx="141">
                  <c:v>0.75036448247499921</c:v>
                </c:pt>
                <c:pt idx="142">
                  <c:v>0.7575304928083314</c:v>
                </c:pt>
                <c:pt idx="143">
                  <c:v>0.7647109546455817</c:v>
                </c:pt>
                <c:pt idx="144">
                  <c:v>0.77189738142514019</c:v>
                </c:pt>
                <c:pt idx="145">
                  <c:v>0.77908116180847387</c:v>
                </c:pt>
                <c:pt idx="146">
                  <c:v>0.78625358716645866</c:v>
                </c:pt>
                <c:pt idx="147">
                  <c:v>0.79340588032111792</c:v>
                </c:pt>
                <c:pt idx="148">
                  <c:v>0.80052922539522431</c:v>
                </c:pt>
                <c:pt idx="149">
                  <c:v>0.80761479860862817</c:v>
                </c:pt>
                <c:pt idx="150">
                  <c:v>0.81465379984775699</c:v>
                </c:pt>
                <c:pt idx="151">
                  <c:v>0.82163748482358545</c:v>
                </c:pt>
                <c:pt idx="152">
                  <c:v>0.82855719762368418</c:v>
                </c:pt>
                <c:pt idx="153">
                  <c:v>0.83540440345579769</c:v>
                </c:pt>
                <c:pt idx="154">
                  <c:v>0.84217072137392845</c:v>
                </c:pt>
                <c:pt idx="155">
                  <c:v>0.84884795677317237</c:v>
                </c:pt>
                <c:pt idx="156">
                  <c:v>0.8554281334366628</c:v>
                </c:pt>
                <c:pt idx="157">
                  <c:v>0.86190352491696698</c:v>
                </c:pt>
                <c:pt idx="158">
                  <c:v>0.86826668503521454</c:v>
                </c:pt>
                <c:pt idx="159">
                  <c:v>0.87451047728410136</c:v>
                </c:pt>
                <c:pt idx="160">
                  <c:v>0.8806281029257399</c:v>
                </c:pt>
                <c:pt idx="161">
                  <c:v>0.88661312758207367</c:v>
                </c:pt>
                <c:pt idx="162">
                  <c:v>0.89245950612421099</c:v>
                </c:pt>
                <c:pt idx="163">
                  <c:v>0.89816160567750636</c:v>
                </c:pt>
                <c:pt idx="164">
                  <c:v>0.90371422657142475</c:v>
                </c:pt>
                <c:pt idx="165">
                  <c:v>0.90911262107710678</c:v>
                </c:pt>
                <c:pt idx="166">
                  <c:v>0.91435250979095462</c:v>
                </c:pt>
                <c:pt idx="167">
                  <c:v>0.91943009553937594</c:v>
                </c:pt>
                <c:pt idx="168">
                  <c:v>0.92434207469790586</c:v>
                </c:pt>
                <c:pt idx="169">
                  <c:v>0.92908564583709452</c:v>
                </c:pt>
                <c:pt idx="170">
                  <c:v>0.933658515627666</c:v>
                </c:pt>
                <c:pt idx="171">
                  <c:v>0.93805890195828834</c:v>
                </c:pt>
                <c:pt idx="172">
                  <c:v>0.94228553424070394</c:v>
                </c:pt>
                <c:pt idx="173">
                  <c:v>0.94633765089871835</c:v>
                </c:pt>
                <c:pt idx="174">
                  <c:v>0.95021499405944543</c:v>
                </c:pt>
                <c:pt idx="175">
                  <c:v>0.95391780148704419</c:v>
                </c:pt>
                <c:pt idx="176">
                  <c:v>0.95744679582076797</c:v>
                </c:pt>
                <c:pt idx="177">
                  <c:v>0.96080317120023606</c:v>
                </c:pt>
                <c:pt idx="178">
                  <c:v>0.96398857738127686</c:v>
                </c:pt>
                <c:pt idx="179">
                  <c:v>0.96700510146524432</c:v>
                </c:pt>
                <c:pt idx="180">
                  <c:v>0.96985524738320317</c:v>
                </c:pt>
                <c:pt idx="181">
                  <c:v>0.97254191329364881</c:v>
                </c:pt>
                <c:pt idx="182">
                  <c:v>0.97506836706826228</c:v>
                </c:pt>
                <c:pt idx="183">
                  <c:v>0.97743822005450909</c:v>
                </c:pt>
                <c:pt idx="184">
                  <c:v>0.97965539931646983</c:v>
                </c:pt>
                <c:pt idx="185">
                  <c:v>0.98172411856607344</c:v>
                </c:pt>
                <c:pt idx="186">
                  <c:v>0.98364884800573926</c:v>
                </c:pt>
                <c:pt idx="187">
                  <c:v>0.98543428331027694</c:v>
                </c:pt>
                <c:pt idx="188">
                  <c:v>0.98708531398064359</c:v>
                </c:pt>
                <c:pt idx="189">
                  <c:v>0.98860699130480645</c:v>
                </c:pt>
                <c:pt idx="190">
                  <c:v>0.99000449616144037</c:v>
                </c:pt>
                <c:pt idx="191">
                  <c:v>0.99128310690055033</c:v>
                </c:pt>
                <c:pt idx="192">
                  <c:v>0.9924481675313197</c:v>
                </c:pt>
                <c:pt idx="193">
                  <c:v>0.99350505644163523</c:v>
                </c:pt>
                <c:pt idx="194">
                  <c:v>0.99445915586584843</c:v>
                </c:pt>
                <c:pt idx="195">
                  <c:v>0.99531582230751603</c:v>
                </c:pt>
                <c:pt idx="196">
                  <c:v>0.9960803581122053</c:v>
                </c:pt>
                <c:pt idx="197">
                  <c:v>0.9967579843720783</c:v>
                </c:pt>
                <c:pt idx="198">
                  <c:v>0.99735381532902678</c:v>
                </c:pt>
                <c:pt idx="199">
                  <c:v>0.99787283442676245</c:v>
                </c:pt>
                <c:pt idx="200">
                  <c:v>0.9983198721446559</c:v>
                </c:pt>
                <c:pt idx="201">
                  <c:v>0.99869958572743278</c:v>
                </c:pt>
                <c:pt idx="202">
                  <c:v>0.99901644090528263</c:v>
                </c:pt>
                <c:pt idx="203">
                  <c:v>0.99927469567870597</c:v>
                </c:pt>
                <c:pt idx="204">
                  <c:v>0.99947838622173213</c:v>
                </c:pt>
                <c:pt idx="205">
                  <c:v>0.99963131493620416</c:v>
                </c:pt>
                <c:pt idx="206">
                  <c:v>0.99973704066884461</c:v>
                </c:pt>
                <c:pt idx="207">
                  <c:v>0.99979887108202736</c:v>
                </c:pt>
                <c:pt idx="208">
                  <c:v>0.99981985714877841</c:v>
                </c:pt>
                <c:pt idx="209">
                  <c:v>0.99980278972274117</c:v>
                </c:pt>
                <c:pt idx="210">
                  <c:v>0.99975019811484467</c:v>
                </c:pt>
                <c:pt idx="211">
                  <c:v>0.99966435059044079</c:v>
                </c:pt>
                <c:pt idx="212">
                  <c:v>0.99954725668386502</c:v>
                </c:pt>
                <c:pt idx="213">
                  <c:v>0.9994006712119361</c:v>
                </c:pt>
                <c:pt idx="214">
                  <c:v>0.99922609985397437</c:v>
                </c:pt>
                <c:pt idx="215">
                  <c:v>0.99902480615362221</c:v>
                </c:pt>
                <c:pt idx="216">
                  <c:v>0.99879781978725124</c:v>
                </c:pt>
                <c:pt idx="217">
                  <c:v>0.9985459459350885</c:v>
                </c:pt>
                <c:pt idx="218">
                  <c:v>0.99826977558451058</c:v>
                </c:pt>
                <c:pt idx="219">
                  <c:v>0.99796969659029156</c:v>
                </c:pt>
                <c:pt idx="220">
                  <c:v>0.99764590531397745</c:v>
                </c:pt>
                <c:pt idx="221">
                  <c:v>0.99729841866402535</c:v>
                </c:pt>
                <c:pt idx="222">
                  <c:v>0.99692708635987759</c:v>
                </c:pt>
                <c:pt idx="223">
                  <c:v>0.99653160324671708</c:v>
                </c:pt>
                <c:pt idx="224">
                  <c:v>0.99611152149321724</c:v>
                </c:pt>
                <c:pt idx="225">
                  <c:v>0.99566626251208401</c:v>
                </c:pt>
                <c:pt idx="226">
                  <c:v>0.99519512845250613</c:v>
                </c:pt>
                <c:pt idx="227">
                  <c:v>0.99469731312465792</c:v>
                </c:pt>
                <c:pt idx="228">
                  <c:v>0.99417191222901158</c:v>
                </c:pt>
                <c:pt idx="229">
                  <c:v>0.99361793277727073</c:v>
                </c:pt>
                <c:pt idx="230">
                  <c:v>0.99303430160705308</c:v>
                </c:pt>
                <c:pt idx="231">
                  <c:v>0.9924198729088658</c:v>
                </c:pt>
                <c:pt idx="232">
                  <c:v>0.99177343470123258</c:v>
                </c:pt>
                <c:pt idx="233">
                  <c:v>0.99109371420784087</c:v>
                </c:pt>
                <c:pt idx="234">
                  <c:v>0.9903793821090876</c:v>
                </c:pt>
                <c:pt idx="235">
                  <c:v>0.98962905565918069</c:v>
                </c:pt>
                <c:pt idx="236">
                  <c:v>0.98884130067878195</c:v>
                </c:pt>
                <c:pt idx="237">
                  <c:v>0.98801463245186594</c:v>
                </c:pt>
                <c:pt idx="238">
                  <c:v>0.98714751557373748</c:v>
                </c:pt>
                <c:pt idx="239">
                  <c:v>0.98623836281486477</c:v>
                </c:pt>
                <c:pt idx="240">
                  <c:v>0.98528553308204958</c:v>
                </c:pt>
                <c:pt idx="241">
                  <c:v>0.98428732857434864</c:v>
                </c:pt>
                <c:pt idx="242">
                  <c:v>0.98324199124582012</c:v>
                </c:pt>
                <c:pt idx="243">
                  <c:v>0.9821476987004818</c:v>
                </c:pt>
                <c:pt idx="244">
                  <c:v>0.98100255965661098</c:v>
                </c:pt>
                <c:pt idx="245">
                  <c:v>0.97980460912758693</c:v>
                </c:pt>
                <c:pt idx="246">
                  <c:v>0.9785518034747176</c:v>
                </c:pt>
                <c:pt idx="247">
                  <c:v>0.97724201549381062</c:v>
                </c:pt>
                <c:pt idx="248">
                  <c:v>0.975873029701537</c:v>
                </c:pt>
                <c:pt idx="249">
                  <c:v>0.97444253798984359</c:v>
                </c:pt>
                <c:pt idx="250">
                  <c:v>0.97294813581674267</c:v>
                </c:pt>
                <c:pt idx="251">
                  <c:v>0.97138731909971887</c:v>
                </c:pt>
                <c:pt idx="252">
                  <c:v>0.96975748197375844</c:v>
                </c:pt>
                <c:pt idx="253">
                  <c:v>0.96805591556963244</c:v>
                </c:pt>
                <c:pt idx="254">
                  <c:v>0.96627980795962354</c:v>
                </c:pt>
                <c:pt idx="255">
                  <c:v>0.96442624540742083</c:v>
                </c:pt>
                <c:pt idx="256">
                  <c:v>0.96249221504654114</c:v>
                </c:pt>
                <c:pt idx="257">
                  <c:v>0.96047460909746163</c:v>
                </c:pt>
                <c:pt idx="258">
                  <c:v>0.95837023071782013</c:v>
                </c:pt>
                <c:pt idx="259">
                  <c:v>0.95617580156270332</c:v>
                </c:pt>
                <c:pt idx="260">
                  <c:v>0.95388797111337031</c:v>
                </c:pt>
                <c:pt idx="261">
                  <c:v>0.95150332781295988</c:v>
                </c:pt>
                <c:pt idx="262">
                  <c:v>0.94901841202696879</c:v>
                </c:pt>
                <c:pt idx="263">
                  <c:v>0.94642973082482862</c:v>
                </c:pt>
                <c:pt idx="264">
                  <c:v>0.94373377455694141</c:v>
                </c:pt>
                <c:pt idx="265">
                  <c:v>0.94092703517929532</c:v>
                </c:pt>
                <c:pt idx="266">
                  <c:v>0.93800602625553786</c:v>
                </c:pt>
                <c:pt idx="267">
                  <c:v>0.93496730454433918</c:v>
                </c:pt>
                <c:pt idx="268">
                  <c:v>0.93180749305828814</c:v>
                </c:pt>
                <c:pt idx="269">
                  <c:v>0.92852330545969419</c:v>
                </c:pt>
                <c:pt idx="270">
                  <c:v>0.92511157163868418</c:v>
                </c:pt>
                <c:pt idx="271">
                  <c:v>0.92156926430020425</c:v>
                </c:pt>
                <c:pt idx="272">
                  <c:v>0.91789352636908417</c:v>
                </c:pt>
                <c:pt idx="273">
                  <c:v>0.91408169900647795</c:v>
                </c:pt>
                <c:pt idx="274">
                  <c:v>0.91013135001690548</c:v>
                </c:pt>
                <c:pt idx="275">
                  <c:v>0.90604030241295674</c:v>
                </c:pt>
                <c:pt idx="276">
                  <c:v>0.90180666289468681</c:v>
                </c:pt>
                <c:pt idx="277">
                  <c:v>0.89742884999288841</c:v>
                </c:pt>
                <c:pt idx="278">
                  <c:v>0.89290562161996168</c:v>
                </c:pt>
                <c:pt idx="279">
                  <c:v>0.88823610176906076</c:v>
                </c:pt>
                <c:pt idx="280">
                  <c:v>0.88341980610164639</c:v>
                </c:pt>
                <c:pt idx="281">
                  <c:v>0.87845666616559814</c:v>
                </c:pt>
                <c:pt idx="282">
                  <c:v>0.8733470519905957</c:v>
                </c:pt>
                <c:pt idx="283">
                  <c:v>0.86809179281460946</c:v>
                </c:pt>
                <c:pt idx="284">
                  <c:v>0.86269219570498645</c:v>
                </c:pt>
                <c:pt idx="285">
                  <c:v>0.85715006184970932</c:v>
                </c:pt>
                <c:pt idx="286">
                  <c:v>0.85146770030889862</c:v>
                </c:pt>
                <c:pt idx="287">
                  <c:v>0.84564793903334845</c:v>
                </c:pt>
                <c:pt idx="288">
                  <c:v>0.839694132975772</c:v>
                </c:pt>
                <c:pt idx="289">
                  <c:v>0.83361016914127317</c:v>
                </c:pt>
                <c:pt idx="290">
                  <c:v>0.82740046844619153</c:v>
                </c:pt>
                <c:pt idx="291">
                  <c:v>0.82106998427873479</c:v>
                </c:pt>
                <c:pt idx="292">
                  <c:v>0.81462419768042005</c:v>
                </c:pt>
                <c:pt idx="293">
                  <c:v>0.80806910909415341</c:v>
                </c:pt>
                <c:pt idx="294">
                  <c:v>0.80141122665248798</c:v>
                </c:pt>
                <c:pt idx="295">
                  <c:v>0.79465755100796143</c:v>
                </c:pt>
                <c:pt idx="296">
                  <c:v>0.7878155567362094</c:v>
                </c:pt>
                <c:pt idx="297">
                  <c:v>0.78089317037145478</c:v>
                </c:pt>
                <c:pt idx="298">
                  <c:v>0.77389874516275903</c:v>
                </c:pt>
                <c:pt idx="299">
                  <c:v>0.76684103266780501</c:v>
                </c:pt>
                <c:pt idx="300">
                  <c:v>0.75972915132866659</c:v>
                </c:pt>
                <c:pt idx="301">
                  <c:v>0.7525725522008142</c:v>
                </c:pt>
                <c:pt idx="302">
                  <c:v>0.74538098203215064</c:v>
                </c:pt>
                <c:pt idx="303">
                  <c:v>0.73816444391302316</c:v>
                </c:pt>
                <c:pt idx="304">
                  <c:v>0.73093315574060769</c:v>
                </c:pt>
                <c:pt idx="305">
                  <c:v>0.72369750676161737</c:v>
                </c:pt>
                <c:pt idx="306">
                  <c:v>0.7164680124757643</c:v>
                </c:pt>
                <c:pt idx="307">
                  <c:v>0.7092552681985711</c:v>
                </c:pt>
                <c:pt idx="308">
                  <c:v>0.70206990159587879</c:v>
                </c:pt>
                <c:pt idx="309">
                  <c:v>0.69492252451354586</c:v>
                </c:pt>
                <c:pt idx="310">
                  <c:v>0.68782368443427799</c:v>
                </c:pt>
                <c:pt idx="311">
                  <c:v>0.68078381589920012</c:v>
                </c:pt>
                <c:pt idx="312">
                  <c:v>0.6738131922345636</c:v>
                </c:pt>
                <c:pt idx="313">
                  <c:v>0.66692187792389579</c:v>
                </c:pt>
                <c:pt idx="314">
                  <c:v>0.66011968196288662</c:v>
                </c:pt>
                <c:pt idx="315">
                  <c:v>0.65341611252840293</c:v>
                </c:pt>
                <c:pt idx="316">
                  <c:v>0.64682033328426958</c:v>
                </c:pt>
                <c:pt idx="317">
                  <c:v>0.64034112163493384</c:v>
                </c:pt>
                <c:pt idx="318">
                  <c:v>0.63398682922389349</c:v>
                </c:pt>
                <c:pt idx="319">
                  <c:v>0.62776534495701308</c:v>
                </c:pt>
                <c:pt idx="320">
                  <c:v>0.62168406081163563</c:v>
                </c:pt>
                <c:pt idx="321">
                  <c:v>0.61574984067096328</c:v>
                </c:pt>
                <c:pt idx="322">
                  <c:v>0.60996899239967906</c:v>
                </c:pt>
                <c:pt idx="323">
                  <c:v>0.60434724335141232</c:v>
                </c:pt>
                <c:pt idx="324">
                  <c:v>0.598889719471694</c:v>
                </c:pt>
                <c:pt idx="325">
                  <c:v>0.59360092813166976</c:v>
                </c:pt>
                <c:pt idx="326">
                  <c:v>0.58848474479836355</c:v>
                </c:pt>
                <c:pt idx="327">
                  <c:v>0.58354440361693261</c:v>
                </c:pt>
                <c:pt idx="328">
                  <c:v>0.57878249194941001</c:v>
                </c:pt>
                <c:pt idx="329">
                  <c:v>0.57420094888319018</c:v>
                </c:pt>
                <c:pt idx="330">
                  <c:v>0.56980106769121786</c:v>
                </c:pt>
                <c:pt idx="331">
                  <c:v>0.56558350219481845</c:v>
                </c:pt>
                <c:pt idx="332">
                  <c:v>0.56154827694959564</c:v>
                </c:pt>
                <c:pt idx="333">
                  <c:v>0.55769480114511016</c:v>
                </c:pt>
                <c:pt idx="334">
                  <c:v>0.55402188608041736</c:v>
                </c:pt>
                <c:pt idx="335">
                  <c:v>0.55052776605019982</c:v>
                </c:pt>
                <c:pt idx="336">
                  <c:v>0.54721012245046285</c:v>
                </c:pt>
                <c:pt idx="337">
                  <c:v>0.54406611088876966</c:v>
                </c:pt>
                <c:pt idx="338">
                  <c:v>0.54109239106197982</c:v>
                </c:pt>
                <c:pt idx="339">
                  <c:v>0.53828515914463693</c:v>
                </c:pt>
                <c:pt idx="340">
                  <c:v>0.53564018241365929</c:v>
                </c:pt>
                <c:pt idx="341">
                  <c:v>0.53315283581999529</c:v>
                </c:pt>
                <c:pt idx="342">
                  <c:v>0.53081814020552298</c:v>
                </c:pt>
                <c:pt idx="343">
                  <c:v>0.52863080185378175</c:v>
                </c:pt>
                <c:pt idx="344">
                  <c:v>0.52658525305622883</c:v>
                </c:pt>
                <c:pt idx="345">
                  <c:v>0.52467569337161468</c:v>
                </c:pt>
                <c:pt idx="346">
                  <c:v>0.52289613125482126</c:v>
                </c:pt>
                <c:pt idx="347">
                  <c:v>0.52124042573307883</c:v>
                </c:pt>
                <c:pt idx="348">
                  <c:v>0.51970232781182812</c:v>
                </c:pt>
                <c:pt idx="349">
                  <c:v>0.51827552129958876</c:v>
                </c:pt>
                <c:pt idx="350">
                  <c:v>0.51695366275090715</c:v>
                </c:pt>
                <c:pt idx="351">
                  <c:v>0.51573042023871185</c:v>
                </c:pt>
                <c:pt idx="352">
                  <c:v>0.51459951068204202</c:v>
                </c:pt>
                <c:pt idx="353">
                  <c:v>0.51355473547198693</c:v>
                </c:pt>
                <c:pt idx="354">
                  <c:v>0.51259001415760874</c:v>
                </c:pt>
                <c:pt idx="355">
                  <c:v>0.51169941597441659</c:v>
                </c:pt>
                <c:pt idx="356">
                  <c:v>0.51087718902040757</c:v>
                </c:pt>
                <c:pt idx="357">
                  <c:v>0.51011778690856846</c:v>
                </c:pt>
                <c:pt idx="358">
                  <c:v>0.5094158927498017</c:v>
                </c:pt>
                <c:pt idx="359">
                  <c:v>0.50876644034625396</c:v>
                </c:pt>
                <c:pt idx="360">
                  <c:v>0.5081646325017376</c:v>
                </c:pt>
                <c:pt idx="361">
                  <c:v>0.50760595638308248</c:v>
                </c:pt>
                <c:pt idx="362">
                  <c:v>0.50708619589358506</c:v>
                </c:pt>
                <c:pt idx="363">
                  <c:v>0.50660144104696869</c:v>
                </c:pt>
                <c:pt idx="364">
                  <c:v>0.50614809435719088</c:v>
                </c:pt>
                <c:pt idx="365">
                  <c:v>0.50572287428576723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104136"/>
        <c:axId val="320103352"/>
      </c:lineChart>
      <c:dateAx>
        <c:axId val="320104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0335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20103352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04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2.1816213513607811E-3</c:v>
                </c:pt>
                <c:pt idx="1">
                  <c:v>2.0481784304246286E-3</c:v>
                </c:pt>
                <c:pt idx="2">
                  <c:v>1.9313346128055509E-3</c:v>
                </c:pt>
                <c:pt idx="3">
                  <c:v>1.8311070502717473E-3</c:v>
                </c:pt>
                <c:pt idx="4">
                  <c:v>1.7475143578902183E-3</c:v>
                </c:pt>
                <c:pt idx="5">
                  <c:v>1.6805761876168999E-3</c:v>
                </c:pt>
                <c:pt idx="6">
                  <c:v>1.6303128019081014E-3</c:v>
                </c:pt>
                <c:pt idx="7">
                  <c:v>1.5967446472931171E-3</c:v>
                </c:pt>
                <c:pt idx="8">
                  <c:v>1.5798919279720342E-3</c:v>
                </c:pt>
                <c:pt idx="9">
                  <c:v>1.5835359634533352E-3</c:v>
                </c:pt>
                <c:pt idx="10">
                  <c:v>1.6005949803159392E-3</c:v>
                </c:pt>
                <c:pt idx="11">
                  <c:v>1.6310815444466726E-3</c:v>
                </c:pt>
                <c:pt idx="12">
                  <c:v>1.6750066251920712E-3</c:v>
                </c:pt>
                <c:pt idx="13">
                  <c:v>1.7323792538887217E-3</c:v>
                </c:pt>
                <c:pt idx="14">
                  <c:v>1.8032061823636599E-3</c:v>
                </c:pt>
                <c:pt idx="15">
                  <c:v>1.8813832955790937E-3</c:v>
                </c:pt>
                <c:pt idx="16">
                  <c:v>1.9572139035004808E-3</c:v>
                </c:pt>
                <c:pt idx="17">
                  <c:v>2.0306841380529801E-3</c:v>
                </c:pt>
                <c:pt idx="18">
                  <c:v>2.1017798293220757E-3</c:v>
                </c:pt>
                <c:pt idx="19">
                  <c:v>2.1704986716390173E-3</c:v>
                </c:pt>
                <c:pt idx="20">
                  <c:v>2.2368452921726588E-3</c:v>
                </c:pt>
                <c:pt idx="21">
                  <c:v>2.3008162505959405E-3</c:v>
                </c:pt>
                <c:pt idx="22">
                  <c:v>2.362408778067134E-3</c:v>
                </c:pt>
                <c:pt idx="23">
                  <c:v>2.4134462260325131E-3</c:v>
                </c:pt>
                <c:pt idx="24">
                  <c:v>2.4501488790861239E-3</c:v>
                </c:pt>
                <c:pt idx="25">
                  <c:v>2.4725142663558591E-3</c:v>
                </c:pt>
                <c:pt idx="26">
                  <c:v>2.4805417541164799E-3</c:v>
                </c:pt>
                <c:pt idx="27">
                  <c:v>2.4742323670643666E-3</c:v>
                </c:pt>
                <c:pt idx="28">
                  <c:v>2.4535886096455073E-3</c:v>
                </c:pt>
                <c:pt idx="29">
                  <c:v>2.4187375329779016E-3</c:v>
                </c:pt>
                <c:pt idx="30">
                  <c:v>2.3758024536699673E-3</c:v>
                </c:pt>
                <c:pt idx="31">
                  <c:v>2.3247885730536934E-3</c:v>
                </c:pt>
                <c:pt idx="32">
                  <c:v>2.2657014476869658E-3</c:v>
                </c:pt>
                <c:pt idx="33">
                  <c:v>2.1985468886790253E-3</c:v>
                </c:pt>
                <c:pt idx="34">
                  <c:v>2.1233308610265102E-3</c:v>
                </c:pt>
                <c:pt idx="35">
                  <c:v>2.0400593829468633E-3</c:v>
                </c:pt>
                <c:pt idx="36">
                  <c:v>1.948738425206791E-3</c:v>
                </c:pt>
                <c:pt idx="37">
                  <c:v>1.8483389857101068E-3</c:v>
                </c:pt>
                <c:pt idx="38">
                  <c:v>1.7470384988443224E-3</c:v>
                </c:pt>
                <c:pt idx="39">
                  <c:v>1.6448403065454475E-3</c:v>
                </c:pt>
                <c:pt idx="40">
                  <c:v>1.5417472544990423E-3</c:v>
                </c:pt>
                <c:pt idx="41">
                  <c:v>1.4377616807489061E-3</c:v>
                </c:pt>
                <c:pt idx="42">
                  <c:v>1.332885404292816E-3</c:v>
                </c:pt>
                <c:pt idx="43">
                  <c:v>1.2299566980778843E-3</c:v>
                </c:pt>
                <c:pt idx="44">
                  <c:v>1.1288525086155536E-3</c:v>
                </c:pt>
                <c:pt idx="45">
                  <c:v>1.0295724618243299E-3</c:v>
                </c:pt>
                <c:pt idx="46">
                  <c:v>9.3211573984749681E-4</c:v>
                </c:pt>
                <c:pt idx="47">
                  <c:v>8.3648110361926088E-4</c:v>
                </c:pt>
                <c:pt idx="48">
                  <c:v>7.4266691541694299E-4</c:v>
                </c:pt>
                <c:pt idx="49">
                  <c:v>6.5067116142231054E-4</c:v>
                </c:pt>
                <c:pt idx="50">
                  <c:v>5.6049147427761673E-4</c:v>
                </c:pt>
                <c:pt idx="51">
                  <c:v>4.7686757123503986E-4</c:v>
                </c:pt>
                <c:pt idx="52">
                  <c:v>4.0082803643436371E-4</c:v>
                </c:pt>
                <c:pt idx="53">
                  <c:v>3.3236894926335253E-4</c:v>
                </c:pt>
                <c:pt idx="54">
                  <c:v>2.7148942144306358E-4</c:v>
                </c:pt>
                <c:pt idx="55">
                  <c:v>2.1818879100410886E-4</c:v>
                </c:pt>
                <c:pt idx="56">
                  <c:v>1.7246659425045548E-4</c:v>
                </c:pt>
                <c:pt idx="57">
                  <c:v>1.3434132525875762E-4</c:v>
                </c:pt>
                <c:pt idx="58">
                  <c:v>1.0097707137500104E-4</c:v>
                </c:pt>
                <c:pt idx="59">
                  <c:v>7.2373742129453112E-5</c:v>
                </c:pt>
                <c:pt idx="60">
                  <c:v>4.8531322120571848E-5</c:v>
                </c:pt>
                <c:pt idx="61">
                  <c:v>2.9449853400569381E-5</c:v>
                </c:pt>
                <c:pt idx="62">
                  <c:v>1.5129417860922779E-5</c:v>
                </c:pt>
                <c:pt idx="63">
                  <c:v>5.5701196179925097E-6</c:v>
                </c:pt>
                <c:pt idx="64">
                  <c:v>7.7206739852696237E-7</c:v>
                </c:pt>
                <c:pt idx="65">
                  <c:v>7.3458444601994343E-7</c:v>
                </c:pt>
                <c:pt idx="66">
                  <c:v>7.1511610730572026E-7</c:v>
                </c:pt>
                <c:pt idx="67">
                  <c:v>7.1366237869103864E-7</c:v>
                </c:pt>
                <c:pt idx="68">
                  <c:v>7.3022306259899822E-7</c:v>
                </c:pt>
                <c:pt idx="69">
                  <c:v>7.6479770091781874E-7</c:v>
                </c:pt>
                <c:pt idx="70">
                  <c:v>8.173855083529536E-7</c:v>
                </c:pt>
                <c:pt idx="71">
                  <c:v>8.8280671021464422E-7</c:v>
                </c:pt>
                <c:pt idx="72">
                  <c:v>9.4227200120254647E-7</c:v>
                </c:pt>
                <c:pt idx="73">
                  <c:v>9.9578058803715886E-7</c:v>
                </c:pt>
                <c:pt idx="74">
                  <c:v>1.043331742242205E-6</c:v>
                </c:pt>
                <c:pt idx="75">
                  <c:v>1.0849248221620247E-6</c:v>
                </c:pt>
                <c:pt idx="76">
                  <c:v>1.1205592949758661E-6</c:v>
                </c:pt>
                <c:pt idx="77">
                  <c:v>1.1502347587155602E-6</c:v>
                </c:pt>
                <c:pt idx="78">
                  <c:v>1.1739510032559589E-6</c:v>
                </c:pt>
                <c:pt idx="79">
                  <c:v>1.1854504106742412E-6</c:v>
                </c:pt>
                <c:pt idx="80">
                  <c:v>1.1855096550887639E-6</c:v>
                </c:pt>
                <c:pt idx="81">
                  <c:v>1.1741299727963941E-6</c:v>
                </c:pt>
                <c:pt idx="82">
                  <c:v>1.1513126329950972E-6</c:v>
                </c:pt>
                <c:pt idx="83">
                  <c:v>1.1170589744280704E-6</c:v>
                </c:pt>
                <c:pt idx="84">
                  <c:v>1.0713704420316337E-6</c:v>
                </c:pt>
                <c:pt idx="85">
                  <c:v>1.0168365248920012E-6</c:v>
                </c:pt>
                <c:pt idx="86">
                  <c:v>9.5863409345510204E-7</c:v>
                </c:pt>
                <c:pt idx="87">
                  <c:v>8.9676380076707993E-7</c:v>
                </c:pt>
                <c:pt idx="88">
                  <c:v>8.3122642738344813E-7</c:v>
                </c:pt>
                <c:pt idx="89">
                  <c:v>7.6202289313732448E-7</c:v>
                </c:pt>
                <c:pt idx="90">
                  <c:v>6.891542689060303E-7</c:v>
                </c:pt>
                <c:pt idx="91">
                  <c:v>6.1262178838073137E-7</c:v>
                </c:pt>
                <c:pt idx="92">
                  <c:v>5.3242685983366391E-7</c:v>
                </c:pt>
                <c:pt idx="93">
                  <c:v>4.5312410608945884E-7</c:v>
                </c:pt>
                <c:pt idx="94">
                  <c:v>3.8097086122024524E-7</c:v>
                </c:pt>
                <c:pt idx="95">
                  <c:v>3.159662623046051E-7</c:v>
                </c:pt>
                <c:pt idx="96">
                  <c:v>2.5810932599586634E-7</c:v>
                </c:pt>
                <c:pt idx="97">
                  <c:v>2.0739892563497066E-7</c:v>
                </c:pt>
                <c:pt idx="98">
                  <c:v>1.6383376836005633E-7</c:v>
                </c:pt>
                <c:pt idx="99">
                  <c:v>1.2741237221703406E-7</c:v>
                </c:pt>
                <c:pt idx="100">
                  <c:v>9.5548241845898655E-8</c:v>
                </c:pt>
                <c:pt idx="101">
                  <c:v>6.8240396861432443E-8</c:v>
                </c:pt>
                <c:pt idx="102">
                  <c:v>4.54877094238087E-8</c:v>
                </c:pt>
                <c:pt idx="103">
                  <c:v>2.7288889641176414E-8</c:v>
                </c:pt>
                <c:pt idx="104">
                  <c:v>1.36424709736016E-8</c:v>
                </c:pt>
                <c:pt idx="105">
                  <c:v>4.5467956357114859E-9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4.327002988972297E-10</c:v>
                </c:pt>
                <c:pt idx="136">
                  <c:v>1.2976083127066588E-9</c:v>
                </c:pt>
                <c:pt idx="137">
                  <c:v>2.5942054941865392E-9</c:v>
                </c:pt>
                <c:pt idx="138">
                  <c:v>4.3219463808180894E-9</c:v>
                </c:pt>
                <c:pt idx="139">
                  <c:v>6.4802576428935485E-9</c:v>
                </c:pt>
                <c:pt idx="140">
                  <c:v>9.0685371314245895E-9</c:v>
                </c:pt>
                <c:pt idx="141">
                  <c:v>1.2572681772960947E-8</c:v>
                </c:pt>
                <c:pt idx="142">
                  <c:v>1.6991287552255346E-8</c:v>
                </c:pt>
                <c:pt idx="143">
                  <c:v>2.2322791310391425E-8</c:v>
                </c:pt>
                <c:pt idx="144">
                  <c:v>2.8565593335451347E-8</c:v>
                </c:pt>
                <c:pt idx="145">
                  <c:v>3.5718015091285565E-8</c:v>
                </c:pt>
                <c:pt idx="146">
                  <c:v>4.3778311549290847E-8</c:v>
                </c:pt>
                <c:pt idx="147">
                  <c:v>5.2744683521156445E-8</c:v>
                </c:pt>
                <c:pt idx="148">
                  <c:v>6.2615289990973741E-8</c:v>
                </c:pt>
                <c:pt idx="149">
                  <c:v>7.2528517388213261E-8</c:v>
                </c:pt>
                <c:pt idx="150">
                  <c:v>8.2054365737866906E-8</c:v>
                </c:pt>
                <c:pt idx="151">
                  <c:v>9.1193272811732567E-8</c:v>
                </c:pt>
                <c:pt idx="152">
                  <c:v>9.9945750903118857E-8</c:v>
                </c:pt>
                <c:pt idx="153">
                  <c:v>1.0831238176602682E-7</c:v>
                </c:pt>
                <c:pt idx="154">
                  <c:v>1.1629381155476768E-7</c:v>
                </c:pt>
                <c:pt idx="155">
                  <c:v>1.2292522079515149E-7</c:v>
                </c:pt>
                <c:pt idx="156">
                  <c:v>1.2772673696910245E-7</c:v>
                </c:pt>
                <c:pt idx="157">
                  <c:v>1.3070192618535757E-7</c:v>
                </c:pt>
                <c:pt idx="158">
                  <c:v>1.3185440367785097E-7</c:v>
                </c:pt>
                <c:pt idx="159">
                  <c:v>1.3118780914049023E-7</c:v>
                </c:pt>
                <c:pt idx="160">
                  <c:v>1.2870578206354578E-7</c:v>
                </c:pt>
                <c:pt idx="161">
                  <c:v>1.2441193706854746E-7</c:v>
                </c:pt>
                <c:pt idx="162">
                  <c:v>1.1830983924388682E-7</c:v>
                </c:pt>
                <c:pt idx="163">
                  <c:v>1.1130945897328216E-7</c:v>
                </c:pt>
                <c:pt idx="164">
                  <c:v>1.0426428705473088E-7</c:v>
                </c:pt>
                <c:pt idx="165">
                  <c:v>9.717440968405041E-8</c:v>
                </c:pt>
                <c:pt idx="166">
                  <c:v>9.003987220869885E-8</c:v>
                </c:pt>
                <c:pt idx="167">
                  <c:v>8.2860678389110048E-8</c:v>
                </c:pt>
                <c:pt idx="168">
                  <c:v>7.5636789663129594E-8</c:v>
                </c:pt>
                <c:pt idx="169">
                  <c:v>6.9271392908478906E-8</c:v>
                </c:pt>
                <c:pt idx="170">
                  <c:v>6.4719613861710055E-8</c:v>
                </c:pt>
                <c:pt idx="171">
                  <c:v>6.1978365456753267E-8</c:v>
                </c:pt>
                <c:pt idx="172">
                  <c:v>6.1044720453795074E-8</c:v>
                </c:pt>
                <c:pt idx="173">
                  <c:v>6.1915302950144722E-8</c:v>
                </c:pt>
                <c:pt idx="174">
                  <c:v>6.4586801886220636E-8</c:v>
                </c:pt>
                <c:pt idx="175">
                  <c:v>6.9056524524872914E-8</c:v>
                </c:pt>
                <c:pt idx="176">
                  <c:v>7.5321790006238381E-8</c:v>
                </c:pt>
                <c:pt idx="177">
                  <c:v>8.2426612255457139E-8</c:v>
                </c:pt>
                <c:pt idx="178">
                  <c:v>8.9470690253994749E-8</c:v>
                </c:pt>
                <c:pt idx="179">
                  <c:v>9.645420573269426E-8</c:v>
                </c:pt>
                <c:pt idx="180">
                  <c:v>1.0337735614552728E-7</c:v>
                </c:pt>
                <c:pt idx="181">
                  <c:v>1.1024035435345361E-7</c:v>
                </c:pt>
                <c:pt idx="182">
                  <c:v>1.1704342830907265E-7</c:v>
                </c:pt>
                <c:pt idx="183">
                  <c:v>1.2294352833799458E-7</c:v>
                </c:pt>
                <c:pt idx="184">
                  <c:v>1.270456477619177E-7</c:v>
                </c:pt>
                <c:pt idx="185">
                  <c:v>1.2935250430246949E-7</c:v>
                </c:pt>
                <c:pt idx="186">
                  <c:v>1.2986675657562278E-7</c:v>
                </c:pt>
                <c:pt idx="187">
                  <c:v>1.2859099353069663E-7</c:v>
                </c:pt>
                <c:pt idx="188">
                  <c:v>1.2552772389015329E-7</c:v>
                </c:pt>
                <c:pt idx="189">
                  <c:v>1.2067936558545058E-7</c:v>
                </c:pt>
                <c:pt idx="190">
                  <c:v>1.1404823519833493E-7</c:v>
                </c:pt>
                <c:pt idx="191">
                  <c:v>1.0611007401272711E-7</c:v>
                </c:pt>
                <c:pt idx="192">
                  <c:v>9.7813059182873546E-8</c:v>
                </c:pt>
                <c:pt idx="193">
                  <c:v>8.9157441237841141E-8</c:v>
                </c:pt>
                <c:pt idx="194">
                  <c:v>8.014342665035751E-8</c:v>
                </c:pt>
                <c:pt idx="195">
                  <c:v>7.077117567200929E-8</c:v>
                </c:pt>
                <c:pt idx="196">
                  <c:v>6.1040800164839348E-8</c:v>
                </c:pt>
                <c:pt idx="197">
                  <c:v>5.1371515550159327E-8</c:v>
                </c:pt>
                <c:pt idx="198">
                  <c:v>4.26009274268487E-8</c:v>
                </c:pt>
                <c:pt idx="199">
                  <c:v>3.4727782408584456E-8</c:v>
                </c:pt>
                <c:pt idx="200">
                  <c:v>2.7750885177974789E-8</c:v>
                </c:pt>
                <c:pt idx="201">
                  <c:v>2.166910376685927E-8</c:v>
                </c:pt>
                <c:pt idx="202">
                  <c:v>1.6481374837093876E-8</c:v>
                </c:pt>
                <c:pt idx="203">
                  <c:v>1.2186708961671581E-8</c:v>
                </c:pt>
                <c:pt idx="204">
                  <c:v>8.7841817200886729E-9</c:v>
                </c:pt>
                <c:pt idx="205">
                  <c:v>6.2729655960521622E-9</c:v>
                </c:pt>
                <c:pt idx="206">
                  <c:v>4.1810689451379523E-9</c:v>
                </c:pt>
                <c:pt idx="207">
                  <c:v>2.5081308134461674E-9</c:v>
                </c:pt>
                <c:pt idx="208">
                  <c:v>1.2538268996220248E-9</c:v>
                </c:pt>
                <c:pt idx="209">
                  <c:v>4.1786825769829718E-10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4.3537689615883029E-9</c:v>
                </c:pt>
                <c:pt idx="240">
                  <c:v>1.3062473769765242E-8</c:v>
                </c:pt>
                <c:pt idx="241">
                  <c:v>2.612747748390842E-8</c:v>
                </c:pt>
                <c:pt idx="242">
                  <c:v>4.3550347021079855E-8</c:v>
                </c:pt>
                <c:pt idx="243">
                  <c:v>6.533286083945612E-8</c:v>
                </c:pt>
                <c:pt idx="244">
                  <c:v>9.1477016622207226E-8</c:v>
                </c:pt>
                <c:pt idx="245">
                  <c:v>1.2198503896086072E-7</c:v>
                </c:pt>
                <c:pt idx="246">
                  <c:v>1.5685938703731817E-7</c:v>
                </c:pt>
                <c:pt idx="247">
                  <c:v>1.9857844498019713E-7</c:v>
                </c:pt>
                <c:pt idx="248">
                  <c:v>2.4714630956263104E-7</c:v>
                </c:pt>
                <c:pt idx="249">
                  <c:v>3.0256746759969833E-7</c:v>
                </c:pt>
                <c:pt idx="250">
                  <c:v>3.6484680799134746E-7</c:v>
                </c:pt>
                <c:pt idx="251">
                  <c:v>4.3398963377800747E-7</c:v>
                </c:pt>
                <c:pt idx="252">
                  <c:v>5.1000167418515698E-7</c:v>
                </c:pt>
                <c:pt idx="253">
                  <c:v>5.8689381550365686E-7</c:v>
                </c:pt>
                <c:pt idx="254">
                  <c:v>6.6030551033985178E-7</c:v>
                </c:pt>
                <c:pt idx="255">
                  <c:v>7.3023682114687918E-7</c:v>
                </c:pt>
                <c:pt idx="256">
                  <c:v>7.966876505776443E-7</c:v>
                </c:pt>
                <c:pt idx="257">
                  <c:v>8.5965773528435711E-7</c:v>
                </c:pt>
                <c:pt idx="258">
                  <c:v>9.1914663972370697E-7</c:v>
                </c:pt>
                <c:pt idx="259">
                  <c:v>9.7515374997612123E-7</c:v>
                </c:pt>
                <c:pt idx="260">
                  <c:v>1.0276782675385276E-6</c:v>
                </c:pt>
                <c:pt idx="261">
                  <c:v>1.0717528139373238E-6</c:v>
                </c:pt>
                <c:pt idx="262">
                  <c:v>1.1048878952777455E-6</c:v>
                </c:pt>
                <c:pt idx="263">
                  <c:v>1.1270751255718151E-6</c:v>
                </c:pt>
                <c:pt idx="264">
                  <c:v>1.1383054455842267E-6</c:v>
                </c:pt>
                <c:pt idx="265">
                  <c:v>1.1385751499942561E-6</c:v>
                </c:pt>
                <c:pt idx="266">
                  <c:v>1.1278765654627452E-6</c:v>
                </c:pt>
                <c:pt idx="267">
                  <c:v>1.1054538611452359E-6</c:v>
                </c:pt>
                <c:pt idx="268">
                  <c:v>1.0773127616936351E-6</c:v>
                </c:pt>
                <c:pt idx="269">
                  <c:v>1.0434438870413912E-6</c:v>
                </c:pt>
                <c:pt idx="270">
                  <c:v>1.0038374199696513E-6</c:v>
                </c:pt>
                <c:pt idx="271">
                  <c:v>9.584831690871716E-7</c:v>
                </c:pt>
                <c:pt idx="272">
                  <c:v>9.0737063184036115E-7</c:v>
                </c:pt>
                <c:pt idx="273">
                  <c:v>8.5048905751070958E-7</c:v>
                </c:pt>
                <c:pt idx="274">
                  <c:v>7.8782751022459253E-7</c:v>
                </c:pt>
                <c:pt idx="275">
                  <c:v>7.3749260825378865E-7</c:v>
                </c:pt>
                <c:pt idx="276">
                  <c:v>7.0449623431316374E-7</c:v>
                </c:pt>
                <c:pt idx="277">
                  <c:v>6.8886237893332272E-7</c:v>
                </c:pt>
                <c:pt idx="278">
                  <c:v>6.9061596806304806E-7</c:v>
                </c:pt>
                <c:pt idx="279">
                  <c:v>7.09782672338077E-7</c:v>
                </c:pt>
                <c:pt idx="280">
                  <c:v>7.4638871635663158E-7</c:v>
                </c:pt>
                <c:pt idx="281">
                  <c:v>5.3876887452349672E-6</c:v>
                </c:pt>
                <c:pt idx="282">
                  <c:v>1.4641636471938141E-5</c:v>
                </c:pt>
                <c:pt idx="283">
                  <c:v>2.8515476192412807E-5</c:v>
                </c:pt>
                <c:pt idx="284">
                  <c:v>4.7016438776507483E-5</c:v>
                </c:pt>
                <c:pt idx="285">
                  <c:v>7.0151691260670232E-5</c:v>
                </c:pt>
                <c:pt idx="286">
                  <c:v>9.7928286441059919E-5</c:v>
                </c:pt>
                <c:pt idx="287">
                  <c:v>1.3035311246638889E-4</c:v>
                </c:pt>
                <c:pt idx="288">
                  <c:v>1.6743284243084057E-4</c:v>
                </c:pt>
                <c:pt idx="289">
                  <c:v>2.1192824719493602E-4</c:v>
                </c:pt>
                <c:pt idx="290">
                  <c:v>2.6383129032928477E-4</c:v>
                </c:pt>
                <c:pt idx="291">
                  <c:v>3.2315167765457008E-4</c:v>
                </c:pt>
                <c:pt idx="292">
                  <c:v>3.8989854722318572E-4</c:v>
                </c:pt>
                <c:pt idx="293">
                  <c:v>4.6408038908935309E-4</c:v>
                </c:pt>
                <c:pt idx="294">
                  <c:v>5.4570496507861635E-4</c:v>
                </c:pt>
                <c:pt idx="295">
                  <c:v>6.3377225475930805E-4</c:v>
                </c:pt>
                <c:pt idx="296">
                  <c:v>7.2367430293378146E-4</c:v>
                </c:pt>
                <c:pt idx="297">
                  <c:v>8.1541931050451994E-4</c:v>
                </c:pt>
                <c:pt idx="298">
                  <c:v>9.0901069942173713E-4</c:v>
                </c:pt>
                <c:pt idx="299">
                  <c:v>1.0044516123408924E-3</c:v>
                </c:pt>
                <c:pt idx="300">
                  <c:v>1.1017448964035996E-3</c:v>
                </c:pt>
                <c:pt idx="301">
                  <c:v>1.2008930870159239E-3</c:v>
                </c:pt>
                <c:pt idx="302">
                  <c:v>1.3018983916288605E-3</c:v>
                </c:pt>
                <c:pt idx="303">
                  <c:v>1.4048830031591459E-3</c:v>
                </c:pt>
                <c:pt idx="304">
                  <c:v>1.5070746898605898E-3</c:v>
                </c:pt>
                <c:pt idx="305">
                  <c:v>1.6084707901144598E-3</c:v>
                </c:pt>
                <c:pt idx="306">
                  <c:v>1.7090682735558323E-3</c:v>
                </c:pt>
                <c:pt idx="307">
                  <c:v>1.8088637492757931E-3</c:v>
                </c:pt>
                <c:pt idx="308">
                  <c:v>1.9078534740087363E-3</c:v>
                </c:pt>
                <c:pt idx="309">
                  <c:v>1.998028153121435E-3</c:v>
                </c:pt>
                <c:pt idx="310">
                  <c:v>2.0803864994480689E-3</c:v>
                </c:pt>
                <c:pt idx="311">
                  <c:v>2.1549144350305159E-3</c:v>
                </c:pt>
                <c:pt idx="312">
                  <c:v>2.2215978873210253E-3</c:v>
                </c:pt>
                <c:pt idx="313">
                  <c:v>2.2804228615782894E-3</c:v>
                </c:pt>
                <c:pt idx="314">
                  <c:v>2.3313755132437657E-3</c:v>
                </c:pt>
                <c:pt idx="315">
                  <c:v>2.3744422203463506E-3</c:v>
                </c:pt>
                <c:pt idx="316">
                  <c:v>2.4096096558717506E-3</c:v>
                </c:pt>
                <c:pt idx="317">
                  <c:v>2.4308535611656406E-3</c:v>
                </c:pt>
                <c:pt idx="318">
                  <c:v>2.4380333997133458E-3</c:v>
                </c:pt>
                <c:pt idx="319">
                  <c:v>2.4311306293033075E-3</c:v>
                </c:pt>
                <c:pt idx="320">
                  <c:v>2.4101278419116092E-3</c:v>
                </c:pt>
                <c:pt idx="321">
                  <c:v>2.3750088922040607E-3</c:v>
                </c:pt>
                <c:pt idx="322">
                  <c:v>2.3257590260479131E-3</c:v>
                </c:pt>
                <c:pt idx="323">
                  <c:v>2.2660832470075007E-3</c:v>
                </c:pt>
                <c:pt idx="324">
                  <c:v>2.2040248552888204E-3</c:v>
                </c:pt>
                <c:pt idx="325">
                  <c:v>2.1395831677732216E-3</c:v>
                </c:pt>
                <c:pt idx="326">
                  <c:v>2.0727451195904226E-3</c:v>
                </c:pt>
                <c:pt idx="327">
                  <c:v>2.003508212025982E-3</c:v>
                </c:pt>
                <c:pt idx="328">
                  <c:v>1.9318810878658696E-3</c:v>
                </c:pt>
                <c:pt idx="329">
                  <c:v>1.8578721750378987E-3</c:v>
                </c:pt>
                <c:pt idx="330">
                  <c:v>1.7814896385625466E-3</c:v>
                </c:pt>
                <c:pt idx="331">
                  <c:v>1.7123123510838351E-3</c:v>
                </c:pt>
                <c:pt idx="332">
                  <c:v>1.6563846526207473E-3</c:v>
                </c:pt>
                <c:pt idx="333">
                  <c:v>1.6137169539707701E-3</c:v>
                </c:pt>
                <c:pt idx="334">
                  <c:v>1.5843179261284385E-3</c:v>
                </c:pt>
                <c:pt idx="335">
                  <c:v>1.5681947768517047E-3</c:v>
                </c:pt>
                <c:pt idx="336">
                  <c:v>1.5653535272064617E-3</c:v>
                </c:pt>
                <c:pt idx="337">
                  <c:v>1.5828330623634981E-3</c:v>
                </c:pt>
                <c:pt idx="338">
                  <c:v>1.6169127309087006E-3</c:v>
                </c:pt>
                <c:pt idx="339">
                  <c:v>1.6675968127266632E-3</c:v>
                </c:pt>
                <c:pt idx="340">
                  <c:v>1.7348895242067046E-3</c:v>
                </c:pt>
                <c:pt idx="341">
                  <c:v>1.8187953635873607E-3</c:v>
                </c:pt>
                <c:pt idx="342">
                  <c:v>1.919319456300958E-3</c:v>
                </c:pt>
                <c:pt idx="343">
                  <c:v>2.0364679002960497E-3</c:v>
                </c:pt>
                <c:pt idx="344">
                  <c:v>2.1702481113877771E-3</c:v>
                </c:pt>
                <c:pt idx="345">
                  <c:v>2.3206691685886366E-3</c:v>
                </c:pt>
                <c:pt idx="346">
                  <c:v>2.4653281489152011E-3</c:v>
                </c:pt>
                <c:pt idx="347">
                  <c:v>2.6042340278431483E-3</c:v>
                </c:pt>
                <c:pt idx="348">
                  <c:v>2.7373965248373849E-3</c:v>
                </c:pt>
                <c:pt idx="349">
                  <c:v>2.8648259827487674E-3</c:v>
                </c:pt>
                <c:pt idx="350">
                  <c:v>2.9865332472742961E-3</c:v>
                </c:pt>
                <c:pt idx="351">
                  <c:v>3.0896865283321744E-3</c:v>
                </c:pt>
                <c:pt idx="352">
                  <c:v>3.1672507373637264E-3</c:v>
                </c:pt>
                <c:pt idx="353">
                  <c:v>3.2192255258168272E-3</c:v>
                </c:pt>
                <c:pt idx="354">
                  <c:v>3.2456072383249515E-3</c:v>
                </c:pt>
                <c:pt idx="355">
                  <c:v>3.2463883788770094E-3</c:v>
                </c:pt>
                <c:pt idx="356">
                  <c:v>3.2215593034311484E-3</c:v>
                </c:pt>
                <c:pt idx="357">
                  <c:v>3.1710960627275003E-3</c:v>
                </c:pt>
                <c:pt idx="358">
                  <c:v>3.0949623940032382E-3</c:v>
                </c:pt>
                <c:pt idx="359">
                  <c:v>2.993118204596881E-3</c:v>
                </c:pt>
                <c:pt idx="360">
                  <c:v>2.8725767842786112E-3</c:v>
                </c:pt>
                <c:pt idx="361">
                  <c:v>2.7461806316361908E-3</c:v>
                </c:pt>
                <c:pt idx="362">
                  <c:v>2.6139078261299825E-3</c:v>
                </c:pt>
                <c:pt idx="363">
                  <c:v>2.4757371252697434E-3</c:v>
                </c:pt>
                <c:pt idx="364">
                  <c:v>2.3316481135526815E-3</c:v>
                </c:pt>
                <c:pt idx="365" formatCode="0.0000">
                  <c:v>2.1816213513607811E-3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4.8995464731651159E-3</c:v>
                </c:pt>
                <c:pt idx="1">
                  <c:v>4.799491295343147E-3</c:v>
                </c:pt>
                <c:pt idx="2">
                  <c:v>4.6950814604287986E-3</c:v>
                </c:pt>
                <c:pt idx="3">
                  <c:v>4.5862972119483343E-3</c:v>
                </c:pt>
                <c:pt idx="4">
                  <c:v>4.4731198153421282E-3</c:v>
                </c:pt>
                <c:pt idx="5">
                  <c:v>4.3555316673038547E-3</c:v>
                </c:pt>
                <c:pt idx="6">
                  <c:v>4.2335164051754927E-3</c:v>
                </c:pt>
                <c:pt idx="7">
                  <c:v>4.1070590162420881E-3</c:v>
                </c:pt>
                <c:pt idx="8">
                  <c:v>3.976145947091096E-3</c:v>
                </c:pt>
                <c:pt idx="9">
                  <c:v>3.8540069369215981E-3</c:v>
                </c:pt>
                <c:pt idx="10">
                  <c:v>3.7466011549163801E-3</c:v>
                </c:pt>
                <c:pt idx="11">
                  <c:v>3.6539433242501807E-3</c:v>
                </c:pt>
                <c:pt idx="12">
                  <c:v>3.5760476912618674E-3</c:v>
                </c:pt>
                <c:pt idx="13">
                  <c:v>3.5129276468200076E-3</c:v>
                </c:pt>
                <c:pt idx="14">
                  <c:v>3.4645953476288419E-3</c:v>
                </c:pt>
                <c:pt idx="15">
                  <c:v>3.4287944223707462E-3</c:v>
                </c:pt>
                <c:pt idx="16">
                  <c:v>3.4038778706684705E-3</c:v>
                </c:pt>
                <c:pt idx="17">
                  <c:v>3.3898490361277019E-3</c:v>
                </c:pt>
                <c:pt idx="18">
                  <c:v>3.3867093508979811E-3</c:v>
                </c:pt>
                <c:pt idx="19">
                  <c:v>3.3944769904658174E-3</c:v>
                </c:pt>
                <c:pt idx="20">
                  <c:v>3.4131766772564731E-3</c:v>
                </c:pt>
                <c:pt idx="21">
                  <c:v>3.4428168430577538E-3</c:v>
                </c:pt>
                <c:pt idx="22">
                  <c:v>3.4834044037884708E-3</c:v>
                </c:pt>
                <c:pt idx="23">
                  <c:v>3.5232440002128471E-3</c:v>
                </c:pt>
                <c:pt idx="24">
                  <c:v>3.5490443163783279E-3</c:v>
                </c:pt>
                <c:pt idx="25">
                  <c:v>3.5608050061107163E-3</c:v>
                </c:pt>
                <c:pt idx="26">
                  <c:v>3.5585274683143614E-3</c:v>
                </c:pt>
                <c:pt idx="27">
                  <c:v>3.5422146722458602E-3</c:v>
                </c:pt>
                <c:pt idx="28">
                  <c:v>3.5118709828644394E-3</c:v>
                </c:pt>
                <c:pt idx="29">
                  <c:v>3.4677294784745544E-3</c:v>
                </c:pt>
                <c:pt idx="30">
                  <c:v>3.4120674581723178E-3</c:v>
                </c:pt>
                <c:pt idx="31">
                  <c:v>3.3448921510859583E-3</c:v>
                </c:pt>
                <c:pt idx="32">
                  <c:v>3.2662113201732648E-3</c:v>
                </c:pt>
                <c:pt idx="33">
                  <c:v>3.1760331187559638E-3</c:v>
                </c:pt>
                <c:pt idx="34">
                  <c:v>3.0743659470693035E-3</c:v>
                </c:pt>
                <c:pt idx="35">
                  <c:v>2.9612183088079465E-3</c:v>
                </c:pt>
                <c:pt idx="36">
                  <c:v>2.8365986676647248E-3</c:v>
                </c:pt>
                <c:pt idx="37">
                  <c:v>2.6996079353593127E-3</c:v>
                </c:pt>
                <c:pt idx="38">
                  <c:v>2.5619510047102203E-3</c:v>
                </c:pt>
                <c:pt idx="39">
                  <c:v>2.4236325084235266E-3</c:v>
                </c:pt>
                <c:pt idx="40">
                  <c:v>2.2846563989315327E-3</c:v>
                </c:pt>
                <c:pt idx="41">
                  <c:v>2.1450259399036476E-3</c:v>
                </c:pt>
                <c:pt idx="42">
                  <c:v>2.0047436977383916E-3</c:v>
                </c:pt>
                <c:pt idx="43">
                  <c:v>1.8672174919536185E-3</c:v>
                </c:pt>
                <c:pt idx="44">
                  <c:v>1.7322203953009574E-3</c:v>
                </c:pt>
                <c:pt idx="45">
                  <c:v>1.5997521679208526E-3</c:v>
                </c:pt>
                <c:pt idx="46">
                  <c:v>1.4698119806604746E-3</c:v>
                </c:pt>
                <c:pt idx="47">
                  <c:v>1.3423984463581645E-3</c:v>
                </c:pt>
                <c:pt idx="48">
                  <c:v>1.2175096511063065E-3</c:v>
                </c:pt>
                <c:pt idx="49">
                  <c:v>1.095143185528449E-3</c:v>
                </c:pt>
                <c:pt idx="50">
                  <c:v>9.7529617604796826E-4</c:v>
                </c:pt>
                <c:pt idx="51">
                  <c:v>8.6378903796258089E-4</c:v>
                </c:pt>
                <c:pt idx="52">
                  <c:v>7.6152032640593636E-4</c:v>
                </c:pt>
                <c:pt idx="53">
                  <c:v>6.6848361368556503E-4</c:v>
                </c:pt>
                <c:pt idx="54">
                  <c:v>5.8467763004686985E-4</c:v>
                </c:pt>
                <c:pt idx="55">
                  <c:v>5.1010139563085046E-4</c:v>
                </c:pt>
                <c:pt idx="56">
                  <c:v>4.4475418633334985E-4</c:v>
                </c:pt>
                <c:pt idx="57">
                  <c:v>3.8890237140489192E-4</c:v>
                </c:pt>
                <c:pt idx="58">
                  <c:v>3.3914114909867362E-4</c:v>
                </c:pt>
                <c:pt idx="59">
                  <c:v>2.9547029903382325E-4</c:v>
                </c:pt>
                <c:pt idx="60">
                  <c:v>2.5788970733848252E-4</c:v>
                </c:pt>
                <c:pt idx="61">
                  <c:v>2.2639934411724282E-4</c:v>
                </c:pt>
                <c:pt idx="62">
                  <c:v>2.0099924091822869E-4</c:v>
                </c:pt>
                <c:pt idx="63">
                  <c:v>1.8168946820089102E-4</c:v>
                </c:pt>
                <c:pt idx="64">
                  <c:v>1.6847011280290869E-4</c:v>
                </c:pt>
                <c:pt idx="65">
                  <c:v>1.6179065986652349E-4</c:v>
                </c:pt>
                <c:pt idx="66">
                  <c:v>1.5582719308897752E-4</c:v>
                </c:pt>
                <c:pt idx="67">
                  <c:v>1.5057969151058357E-4</c:v>
                </c:pt>
                <c:pt idx="68">
                  <c:v>1.4604813414315144E-4</c:v>
                </c:pt>
                <c:pt idx="69">
                  <c:v>1.4223249731962391E-4</c:v>
                </c:pt>
                <c:pt idx="70">
                  <c:v>1.3913275204444273E-4</c:v>
                </c:pt>
                <c:pt idx="71">
                  <c:v>1.3667374969069987E-4</c:v>
                </c:pt>
                <c:pt idx="72">
                  <c:v>1.3458856912889627E-4</c:v>
                </c:pt>
                <c:pt idx="73">
                  <c:v>1.3287716909233884E-4</c:v>
                </c:pt>
                <c:pt idx="74">
                  <c:v>1.3153950178564818E-4</c:v>
                </c:pt>
                <c:pt idx="75">
                  <c:v>1.3057551150029396E-4</c:v>
                </c:pt>
                <c:pt idx="76">
                  <c:v>1.2998513322971678E-4</c:v>
                </c:pt>
                <c:pt idx="77">
                  <c:v>1.2976829128487905E-4</c:v>
                </c:pt>
                <c:pt idx="78">
                  <c:v>1.299249022230181E-4</c:v>
                </c:pt>
                <c:pt idx="79">
                  <c:v>1.3016742409099324E-4</c:v>
                </c:pt>
                <c:pt idx="80">
                  <c:v>1.3004688615642415E-4</c:v>
                </c:pt>
                <c:pt idx="81">
                  <c:v>1.2956329810353829E-4</c:v>
                </c:pt>
                <c:pt idx="82">
                  <c:v>1.2871667081204168E-4</c:v>
                </c:pt>
                <c:pt idx="83">
                  <c:v>1.2750701751998195E-4</c:v>
                </c:pt>
                <c:pt idx="84">
                  <c:v>1.2593435498703805E-4</c:v>
                </c:pt>
                <c:pt idx="85">
                  <c:v>1.2389030938777967E-4</c:v>
                </c:pt>
                <c:pt idx="86">
                  <c:v>1.2144999267656044E-4</c:v>
                </c:pt>
                <c:pt idx="87">
                  <c:v>1.1861344553559485E-4</c:v>
                </c:pt>
                <c:pt idx="88">
                  <c:v>1.153807174826813E-4</c:v>
                </c:pt>
                <c:pt idx="89">
                  <c:v>1.117518681410129E-4</c:v>
                </c:pt>
                <c:pt idx="90">
                  <c:v>1.0772696850875437E-4</c:v>
                </c:pt>
                <c:pt idx="91">
                  <c:v>1.033061022290519E-4</c:v>
                </c:pt>
                <c:pt idx="92">
                  <c:v>9.8489366859723682E-5</c:v>
                </c:pt>
                <c:pt idx="93">
                  <c:v>9.3358396328612178E-5</c:v>
                </c:pt>
                <c:pt idx="94">
                  <c:v>8.8200996887438147E-5</c:v>
                </c:pt>
                <c:pt idx="95">
                  <c:v>8.3017218658364467E-5</c:v>
                </c:pt>
                <c:pt idx="96">
                  <c:v>7.7807119167574228E-5</c:v>
                </c:pt>
                <c:pt idx="97">
                  <c:v>7.2570763431744435E-5</c:v>
                </c:pt>
                <c:pt idx="98">
                  <c:v>6.7308224043743803E-5</c:v>
                </c:pt>
                <c:pt idx="99">
                  <c:v>6.2214891389543962E-5</c:v>
                </c:pt>
                <c:pt idx="100">
                  <c:v>5.739905122541397E-5</c:v>
                </c:pt>
                <c:pt idx="101">
                  <c:v>5.2860684029735718E-5</c:v>
                </c:pt>
                <c:pt idx="102">
                  <c:v>4.8599764996707291E-5</c:v>
                </c:pt>
                <c:pt idx="103">
                  <c:v>4.4616263147964093E-5</c:v>
                </c:pt>
                <c:pt idx="104">
                  <c:v>4.0910140445391902E-5</c:v>
                </c:pt>
                <c:pt idx="105">
                  <c:v>3.748135090282761E-5</c:v>
                </c:pt>
                <c:pt idx="106">
                  <c:v>3.4329839698355983E-5</c:v>
                </c:pt>
                <c:pt idx="107">
                  <c:v>3.1573942904805135E-5</c:v>
                </c:pt>
                <c:pt idx="108">
                  <c:v>2.913215370992366E-5</c:v>
                </c:pt>
                <c:pt idx="109">
                  <c:v>2.7004361209289771E-5</c:v>
                </c:pt>
                <c:pt idx="110">
                  <c:v>2.5190511550665452E-5</c:v>
                </c:pt>
                <c:pt idx="111">
                  <c:v>2.3690519773665947E-5</c:v>
                </c:pt>
                <c:pt idx="112">
                  <c:v>2.2504212430797762E-5</c:v>
                </c:pt>
                <c:pt idx="113">
                  <c:v>2.1576055208912472E-5</c:v>
                </c:pt>
                <c:pt idx="114">
                  <c:v>2.0711076814668465E-5</c:v>
                </c:pt>
                <c:pt idx="115">
                  <c:v>1.9909245222645092E-5</c:v>
                </c:pt>
                <c:pt idx="116">
                  <c:v>1.9170527196835813E-5</c:v>
                </c:pt>
                <c:pt idx="117">
                  <c:v>1.8494888153257908E-5</c:v>
                </c:pt>
                <c:pt idx="118">
                  <c:v>1.788229202234962E-5</c:v>
                </c:pt>
                <c:pt idx="119">
                  <c:v>1.7332701111428513E-5</c:v>
                </c:pt>
                <c:pt idx="120">
                  <c:v>1.6846075967122442E-5</c:v>
                </c:pt>
                <c:pt idx="121">
                  <c:v>1.638127915058171E-5</c:v>
                </c:pt>
                <c:pt idx="122">
                  <c:v>1.5820289504954424E-5</c:v>
                </c:pt>
                <c:pt idx="123">
                  <c:v>1.5163190410042323E-5</c:v>
                </c:pt>
                <c:pt idx="124">
                  <c:v>1.4410069758721536E-5</c:v>
                </c:pt>
                <c:pt idx="125">
                  <c:v>1.3561020168118885E-5</c:v>
                </c:pt>
                <c:pt idx="126">
                  <c:v>1.261613919057152E-5</c:v>
                </c:pt>
                <c:pt idx="127">
                  <c:v>1.1629677868741174E-5</c:v>
                </c:pt>
                <c:pt idx="128">
                  <c:v>1.065683528116371E-5</c:v>
                </c:pt>
                <c:pt idx="129">
                  <c:v>9.6976204978087693E-6</c:v>
                </c:pt>
                <c:pt idx="130">
                  <c:v>8.7520427869594226E-6</c:v>
                </c:pt>
                <c:pt idx="131">
                  <c:v>7.8201115863011916E-6</c:v>
                </c:pt>
                <c:pt idx="132">
                  <c:v>6.9018364741370632E-6</c:v>
                </c:pt>
                <c:pt idx="133">
                  <c:v>5.9972271406441852E-6</c:v>
                </c:pt>
                <c:pt idx="134">
                  <c:v>5.1062933590745904E-6</c:v>
                </c:pt>
                <c:pt idx="135">
                  <c:v>4.2650015846098117E-6</c:v>
                </c:pt>
                <c:pt idx="136">
                  <c:v>3.5142218514610683E-6</c:v>
                </c:pt>
                <c:pt idx="137">
                  <c:v>2.8538731120878443E-6</c:v>
                </c:pt>
                <c:pt idx="138">
                  <c:v>2.2838695410910194E-6</c:v>
                </c:pt>
                <c:pt idx="139">
                  <c:v>1.8041203373566566E-6</c:v>
                </c:pt>
                <c:pt idx="140">
                  <c:v>1.4145295260520613E-6</c:v>
                </c:pt>
                <c:pt idx="141">
                  <c:v>1.1167118216140578E-6</c:v>
                </c:pt>
                <c:pt idx="142">
                  <c:v>8.5670608418618063E-7</c:v>
                </c:pt>
                <c:pt idx="143">
                  <c:v>6.3447162707616765E-7</c:v>
                </c:pt>
                <c:pt idx="144">
                  <c:v>4.4997018109117041E-7</c:v>
                </c:pt>
                <c:pt idx="145">
                  <c:v>3.0315788215358022E-7</c:v>
                </c:pt>
                <c:pt idx="146">
                  <c:v>1.939857761104291E-7</c:v>
                </c:pt>
                <c:pt idx="147">
                  <c:v>1.2240032355793908E-7</c:v>
                </c:pt>
                <c:pt idx="148">
                  <c:v>8.8343904654748603E-8</c:v>
                </c:pt>
                <c:pt idx="149">
                  <c:v>9.0895580880132686E-8</c:v>
                </c:pt>
                <c:pt idx="150">
                  <c:v>9.4291916033231334E-8</c:v>
                </c:pt>
                <c:pt idx="151">
                  <c:v>9.8531429822644664E-8</c:v>
                </c:pt>
                <c:pt idx="152">
                  <c:v>1.0361260880629013E-7</c:v>
                </c:pt>
                <c:pt idx="153">
                  <c:v>1.0953391784469156E-7</c:v>
                </c:pt>
                <c:pt idx="154">
                  <c:v>1.1629381155476771E-7</c:v>
                </c:pt>
                <c:pt idx="155">
                  <c:v>1.2292522079515149E-7</c:v>
                </c:pt>
                <c:pt idx="156">
                  <c:v>1.2772673696910248E-7</c:v>
                </c:pt>
                <c:pt idx="157">
                  <c:v>1.3070192618535757E-7</c:v>
                </c:pt>
                <c:pt idx="158">
                  <c:v>1.31854403677851E-7</c:v>
                </c:pt>
                <c:pt idx="159">
                  <c:v>1.3118780914049023E-7</c:v>
                </c:pt>
                <c:pt idx="160">
                  <c:v>1.2870578206354581E-7</c:v>
                </c:pt>
                <c:pt idx="161">
                  <c:v>1.2441193706854746E-7</c:v>
                </c:pt>
                <c:pt idx="162">
                  <c:v>1.1830983924388682E-7</c:v>
                </c:pt>
                <c:pt idx="163">
                  <c:v>1.1130945897328219E-7</c:v>
                </c:pt>
                <c:pt idx="164">
                  <c:v>1.0426428705473091E-7</c:v>
                </c:pt>
                <c:pt idx="165">
                  <c:v>9.7174409684050396E-8</c:v>
                </c:pt>
                <c:pt idx="166">
                  <c:v>9.003987220869885E-8</c:v>
                </c:pt>
                <c:pt idx="167">
                  <c:v>8.2860678389110048E-8</c:v>
                </c:pt>
                <c:pt idx="168">
                  <c:v>7.5636789663129594E-8</c:v>
                </c:pt>
                <c:pt idx="169">
                  <c:v>6.9271392908478919E-8</c:v>
                </c:pt>
                <c:pt idx="170">
                  <c:v>6.4719613861710042E-8</c:v>
                </c:pt>
                <c:pt idx="171">
                  <c:v>6.1978365456753267E-8</c:v>
                </c:pt>
                <c:pt idx="172">
                  <c:v>6.1044720453795074E-8</c:v>
                </c:pt>
                <c:pt idx="173">
                  <c:v>6.1915302950144722E-8</c:v>
                </c:pt>
                <c:pt idx="174">
                  <c:v>6.4586801886220649E-8</c:v>
                </c:pt>
                <c:pt idx="175">
                  <c:v>6.9056524524872914E-8</c:v>
                </c:pt>
                <c:pt idx="176">
                  <c:v>7.5321790006238381E-8</c:v>
                </c:pt>
                <c:pt idx="177">
                  <c:v>8.2426612255457126E-8</c:v>
                </c:pt>
                <c:pt idx="178">
                  <c:v>8.9470690253994735E-8</c:v>
                </c:pt>
                <c:pt idx="179">
                  <c:v>9.6454205732694286E-8</c:v>
                </c:pt>
                <c:pt idx="180">
                  <c:v>1.0337735614552727E-7</c:v>
                </c:pt>
                <c:pt idx="181">
                  <c:v>1.102403543534536E-7</c:v>
                </c:pt>
                <c:pt idx="182">
                  <c:v>1.1704342830907266E-7</c:v>
                </c:pt>
                <c:pt idx="183">
                  <c:v>1.2294352833799458E-7</c:v>
                </c:pt>
                <c:pt idx="184">
                  <c:v>1.270456477619177E-7</c:v>
                </c:pt>
                <c:pt idx="185">
                  <c:v>1.2935250430246952E-7</c:v>
                </c:pt>
                <c:pt idx="186">
                  <c:v>1.2986675657562278E-7</c:v>
                </c:pt>
                <c:pt idx="187">
                  <c:v>1.2859099353069663E-7</c:v>
                </c:pt>
                <c:pt idx="188">
                  <c:v>1.2552772389015329E-7</c:v>
                </c:pt>
                <c:pt idx="189">
                  <c:v>1.2067936558545056E-7</c:v>
                </c:pt>
                <c:pt idx="190">
                  <c:v>1.1404823519833493E-7</c:v>
                </c:pt>
                <c:pt idx="191">
                  <c:v>1.0730677268745787E-7</c:v>
                </c:pt>
                <c:pt idx="192">
                  <c:v>1.0140167186382434E-7</c:v>
                </c:pt>
                <c:pt idx="193">
                  <c:v>9.6331778580082832E-8</c:v>
                </c:pt>
                <c:pt idx="194">
                  <c:v>9.2095980370774511E-8</c:v>
                </c:pt>
                <c:pt idx="195">
                  <c:v>8.8693211359130902E-8</c:v>
                </c:pt>
                <c:pt idx="196">
                  <c:v>8.6122457160056138E-8</c:v>
                </c:pt>
                <c:pt idx="197">
                  <c:v>1.1921372364437568E-7</c:v>
                </c:pt>
                <c:pt idx="198">
                  <c:v>1.8876867739900711E-7</c:v>
                </c:pt>
                <c:pt idx="199">
                  <c:v>2.9475324818498754E-7</c:v>
                </c:pt>
                <c:pt idx="200">
                  <c:v>4.3713675687865035E-7</c:v>
                </c:pt>
                <c:pt idx="201">
                  <c:v>6.1589213163684918E-7</c:v>
                </c:pt>
                <c:pt idx="202">
                  <c:v>8.3099612405871927E-7</c:v>
                </c:pt>
                <c:pt idx="203">
                  <c:v>1.0824295253647879E-6</c:v>
                </c:pt>
                <c:pt idx="204">
                  <c:v>1.3701751699527171E-6</c:v>
                </c:pt>
                <c:pt idx="205">
                  <c:v>1.7464097002049133E-6</c:v>
                </c:pt>
                <c:pt idx="206">
                  <c:v>2.2094249145207164E-6</c:v>
                </c:pt>
                <c:pt idx="207">
                  <c:v>2.7591827656419005E-6</c:v>
                </c:pt>
                <c:pt idx="208">
                  <c:v>3.3956517120413116E-6</c:v>
                </c:pt>
                <c:pt idx="209">
                  <c:v>4.1188064482124816E-6</c:v>
                </c:pt>
                <c:pt idx="210">
                  <c:v>4.9286276350692112E-6</c:v>
                </c:pt>
                <c:pt idx="211">
                  <c:v>5.7856000277353977E-6</c:v>
                </c:pt>
                <c:pt idx="212">
                  <c:v>6.6550237215901556E-6</c:v>
                </c:pt>
                <c:pt idx="213">
                  <c:v>7.5369227703693182E-6</c:v>
                </c:pt>
                <c:pt idx="214">
                  <c:v>8.4313210355384354E-6</c:v>
                </c:pt>
                <c:pt idx="215">
                  <c:v>9.3382421470794427E-6</c:v>
                </c:pt>
                <c:pt idx="216">
                  <c:v>1.0257709464257518E-5</c:v>
                </c:pt>
                <c:pt idx="217">
                  <c:v>1.1189746036428722E-5</c:v>
                </c:pt>
                <c:pt idx="218">
                  <c:v>1.2134374563799142E-5</c:v>
                </c:pt>
                <c:pt idx="219">
                  <c:v>1.3038553442156307E-5</c:v>
                </c:pt>
                <c:pt idx="220">
                  <c:v>1.3850223118379783E-5</c:v>
                </c:pt>
                <c:pt idx="221">
                  <c:v>1.4569417607241895E-5</c:v>
                </c:pt>
                <c:pt idx="222">
                  <c:v>1.5196164778579165E-5</c:v>
                </c:pt>
                <c:pt idx="223">
                  <c:v>1.5730486645095098E-5</c:v>
                </c:pt>
                <c:pt idx="224">
                  <c:v>1.6172399649831587E-5</c:v>
                </c:pt>
                <c:pt idx="225">
                  <c:v>1.6635263037967935E-5</c:v>
                </c:pt>
                <c:pt idx="226">
                  <c:v>1.7158544299765796E-5</c:v>
                </c:pt>
                <c:pt idx="227">
                  <c:v>1.7742249704688632E-5</c:v>
                </c:pt>
                <c:pt idx="228">
                  <c:v>1.8386387543485048E-5</c:v>
                </c:pt>
                <c:pt idx="229">
                  <c:v>1.9090967940580876E-5</c:v>
                </c:pt>
                <c:pt idx="230">
                  <c:v>1.9856002666740009E-5</c:v>
                </c:pt>
                <c:pt idx="231">
                  <c:v>2.0681504951812125E-5</c:v>
                </c:pt>
                <c:pt idx="232">
                  <c:v>2.1567489297058317E-5</c:v>
                </c:pt>
                <c:pt idx="233">
                  <c:v>2.2700767329693759E-5</c:v>
                </c:pt>
                <c:pt idx="234">
                  <c:v>2.4134448331159832E-5</c:v>
                </c:pt>
                <c:pt idx="235">
                  <c:v>2.5868611777983619E-5</c:v>
                </c:pt>
                <c:pt idx="236">
                  <c:v>2.7903359813371393E-5</c:v>
                </c:pt>
                <c:pt idx="237">
                  <c:v>3.0238793217211926E-5</c:v>
                </c:pt>
                <c:pt idx="238">
                  <c:v>3.2875026568996751E-5</c:v>
                </c:pt>
                <c:pt idx="239">
                  <c:v>3.5890142261385184E-5</c:v>
                </c:pt>
                <c:pt idx="240">
                  <c:v>3.9170883157412747E-5</c:v>
                </c:pt>
                <c:pt idx="241">
                  <c:v>4.2717399870151406E-5</c:v>
                </c:pt>
                <c:pt idx="242">
                  <c:v>4.6529857351790902E-5</c:v>
                </c:pt>
                <c:pt idx="243">
                  <c:v>5.0608435361328105E-5</c:v>
                </c:pt>
                <c:pt idx="244">
                  <c:v>5.4953328932148223E-5</c:v>
                </c:pt>
                <c:pt idx="245">
                  <c:v>5.9564748839081816E-5</c:v>
                </c:pt>
                <c:pt idx="246">
                  <c:v>6.4442922065181645E-5</c:v>
                </c:pt>
                <c:pt idx="247">
                  <c:v>6.9484397323568632E-5</c:v>
                </c:pt>
                <c:pt idx="248">
                  <c:v>7.4502315194429624E-5</c:v>
                </c:pt>
                <c:pt idx="249">
                  <c:v>7.949680903721492E-5</c:v>
                </c:pt>
                <c:pt idx="250">
                  <c:v>8.4468014359326301E-5</c:v>
                </c:pt>
                <c:pt idx="251">
                  <c:v>8.9416068772905704E-5</c:v>
                </c:pt>
                <c:pt idx="252">
                  <c:v>9.4341111948385752E-5</c:v>
                </c:pt>
                <c:pt idx="253">
                  <c:v>9.8967607179421897E-5</c:v>
                </c:pt>
                <c:pt idx="254">
                  <c:v>1.0321739866961132E-4</c:v>
                </c:pt>
                <c:pt idx="255">
                  <c:v>1.0709039017521006E-4</c:v>
                </c:pt>
                <c:pt idx="256">
                  <c:v>1.105864656187551E-4</c:v>
                </c:pt>
                <c:pt idx="257">
                  <c:v>1.1370548841978538E-4</c:v>
                </c:pt>
                <c:pt idx="258">
                  <c:v>1.1644730082652494E-4</c:v>
                </c:pt>
                <c:pt idx="259">
                  <c:v>1.1881172324924767E-4</c:v>
                </c:pt>
                <c:pt idx="260">
                  <c:v>1.2079855359015015E-4</c:v>
                </c:pt>
                <c:pt idx="261">
                  <c:v>1.223355328162182E-4</c:v>
                </c:pt>
                <c:pt idx="262">
                  <c:v>1.2352638842388244E-4</c:v>
                </c:pt>
                <c:pt idx="263">
                  <c:v>1.2437087363654806E-4</c:v>
                </c:pt>
                <c:pt idx="264">
                  <c:v>1.2486872465163163E-4</c:v>
                </c:pt>
                <c:pt idx="265">
                  <c:v>1.2502032398341718E-4</c:v>
                </c:pt>
                <c:pt idx="266">
                  <c:v>1.2482569722326853E-4</c:v>
                </c:pt>
                <c:pt idx="267">
                  <c:v>1.2471615691328939E-4</c:v>
                </c:pt>
                <c:pt idx="268">
                  <c:v>1.2496852552710056E-4</c:v>
                </c:pt>
                <c:pt idx="269">
                  <c:v>1.2558309708572327E-4</c:v>
                </c:pt>
                <c:pt idx="270">
                  <c:v>1.2656020012659106E-4</c:v>
                </c:pt>
                <c:pt idx="271">
                  <c:v>1.2790019373846669E-4</c:v>
                </c:pt>
                <c:pt idx="272">
                  <c:v>1.2960346359981243E-4</c:v>
                </c:pt>
                <c:pt idx="273">
                  <c:v>1.3167041801555361E-4</c:v>
                </c:pt>
                <c:pt idx="274">
                  <c:v>1.34101483955521E-4</c:v>
                </c:pt>
                <c:pt idx="275">
                  <c:v>1.371544596705985E-4</c:v>
                </c:pt>
                <c:pt idx="276">
                  <c:v>1.4090264441403463E-4</c:v>
                </c:pt>
                <c:pt idx="277">
                  <c:v>1.4534699825886863E-4</c:v>
                </c:pt>
                <c:pt idx="278">
                  <c:v>1.5048849649205897E-4</c:v>
                </c:pt>
                <c:pt idx="279">
                  <c:v>1.563281220308934E-4</c:v>
                </c:pt>
                <c:pt idx="280">
                  <c:v>1.6286685784081673E-4</c:v>
                </c:pt>
                <c:pt idx="281">
                  <c:v>1.7573882969975813E-4</c:v>
                </c:pt>
                <c:pt idx="282">
                  <c:v>1.9451890639239178E-4</c:v>
                </c:pt>
                <c:pt idx="283">
                  <c:v>2.1921620523341191E-4</c:v>
                </c:pt>
                <c:pt idx="284">
                  <c:v>2.4983979637001335E-4</c:v>
                </c:pt>
                <c:pt idx="285">
                  <c:v>2.8639863829955746E-4</c:v>
                </c:pt>
                <c:pt idx="286">
                  <c:v>3.289015133895765E-4</c:v>
                </c:pt>
                <c:pt idx="287">
                  <c:v>3.7735696339561363E-4</c:v>
                </c:pt>
                <c:pt idx="288">
                  <c:v>4.3177322497983846E-4</c:v>
                </c:pt>
                <c:pt idx="289">
                  <c:v>4.9546493277787581E-4</c:v>
                </c:pt>
                <c:pt idx="290">
                  <c:v>5.6818513495666436E-4</c:v>
                </c:pt>
                <c:pt idx="291">
                  <c:v>6.4994519411593738E-4</c:v>
                </c:pt>
                <c:pt idx="292">
                  <c:v>7.4075574051123355E-4</c:v>
                </c:pt>
                <c:pt idx="293">
                  <c:v>8.4062657435603162E-4</c:v>
                </c:pt>
                <c:pt idx="294">
                  <c:v>9.4956656812222818E-4</c:v>
                </c:pt>
                <c:pt idx="295">
                  <c:v>1.0667006732855298E-3</c:v>
                </c:pt>
                <c:pt idx="296">
                  <c:v>1.1863736350566497E-3</c:v>
                </c:pt>
                <c:pt idx="297">
                  <c:v>1.3085981390560471E-3</c:v>
                </c:pt>
                <c:pt idx="298">
                  <c:v>1.4333786668780232E-3</c:v>
                </c:pt>
                <c:pt idx="299">
                  <c:v>1.5607193315628036E-3</c:v>
                </c:pt>
                <c:pt idx="300">
                  <c:v>1.6906238551125106E-3</c:v>
                </c:pt>
                <c:pt idx="301">
                  <c:v>1.8230955460029708E-3</c:v>
                </c:pt>
                <c:pt idx="302">
                  <c:v>1.9581372766989446E-3</c:v>
                </c:pt>
                <c:pt idx="303">
                  <c:v>2.0959735710416338E-3</c:v>
                </c:pt>
                <c:pt idx="304">
                  <c:v>2.2332764490484067E-3</c:v>
                </c:pt>
                <c:pt idx="305">
                  <c:v>2.3700429034101901E-3</c:v>
                </c:pt>
                <c:pt idx="306">
                  <c:v>2.506269428779712E-3</c:v>
                </c:pt>
                <c:pt idx="307">
                  <c:v>2.6419520278920376E-3</c:v>
                </c:pt>
                <c:pt idx="308">
                  <c:v>2.777086217663319E-3</c:v>
                </c:pt>
                <c:pt idx="309">
                  <c:v>2.9002084929461245E-3</c:v>
                </c:pt>
                <c:pt idx="310">
                  <c:v>3.0121869031535741E-3</c:v>
                </c:pt>
                <c:pt idx="311">
                  <c:v>3.1130014324390457E-3</c:v>
                </c:pt>
                <c:pt idx="312">
                  <c:v>3.2026320925242564E-3</c:v>
                </c:pt>
                <c:pt idx="313">
                  <c:v>3.2810590258669642E-3</c:v>
                </c:pt>
                <c:pt idx="314">
                  <c:v>3.3482626088001672E-3</c:v>
                </c:pt>
                <c:pt idx="315">
                  <c:v>3.404223554712101E-3</c:v>
                </c:pt>
                <c:pt idx="316">
                  <c:v>3.4489230171754789E-3</c:v>
                </c:pt>
                <c:pt idx="317">
                  <c:v>3.4801117571096854E-3</c:v>
                </c:pt>
                <c:pt idx="318">
                  <c:v>3.4975459724272784E-3</c:v>
                </c:pt>
                <c:pt idx="319">
                  <c:v>3.501206133823933E-3</c:v>
                </c:pt>
                <c:pt idx="320">
                  <c:v>3.4910737841661169E-3</c:v>
                </c:pt>
                <c:pt idx="321">
                  <c:v>3.4671316641124907E-3</c:v>
                </c:pt>
                <c:pt idx="322">
                  <c:v>3.4293638377497857E-3</c:v>
                </c:pt>
                <c:pt idx="323">
                  <c:v>3.39084425735766E-3</c:v>
                </c:pt>
                <c:pt idx="324">
                  <c:v>3.3630963475612188E-3</c:v>
                </c:pt>
                <c:pt idx="325">
                  <c:v>3.3461277480118456E-3</c:v>
                </c:pt>
                <c:pt idx="326">
                  <c:v>3.3399241826434574E-3</c:v>
                </c:pt>
                <c:pt idx="327">
                  <c:v>3.3444838880368594E-3</c:v>
                </c:pt>
                <c:pt idx="328">
                  <c:v>3.3598204427163405E-3</c:v>
                </c:pt>
                <c:pt idx="329">
                  <c:v>3.3859457380198397E-3</c:v>
                </c:pt>
                <c:pt idx="330">
                  <c:v>3.4228702041839087E-3</c:v>
                </c:pt>
                <c:pt idx="331">
                  <c:v>3.4722358771101716E-3</c:v>
                </c:pt>
                <c:pt idx="332">
                  <c:v>3.5362907965613539E-3</c:v>
                </c:pt>
                <c:pt idx="333">
                  <c:v>3.6150432277689305E-3</c:v>
                </c:pt>
                <c:pt idx="334">
                  <c:v>3.7085005543475292E-3</c:v>
                </c:pt>
                <c:pt idx="335">
                  <c:v>3.8166695849776895E-3</c:v>
                </c:pt>
                <c:pt idx="336">
                  <c:v>3.9395568600416927E-3</c:v>
                </c:pt>
                <c:pt idx="337">
                  <c:v>4.0712764003978654E-3</c:v>
                </c:pt>
                <c:pt idx="338">
                  <c:v>4.1987197573542401E-3</c:v>
                </c:pt>
                <c:pt idx="339">
                  <c:v>4.3218931576231977E-3</c:v>
                </c:pt>
                <c:pt idx="340">
                  <c:v>4.440803975726766E-3</c:v>
                </c:pt>
                <c:pt idx="341">
                  <c:v>4.5554606454534371E-3</c:v>
                </c:pt>
                <c:pt idx="342">
                  <c:v>4.6658725713140748E-3</c:v>
                </c:pt>
                <c:pt idx="343">
                  <c:v>4.7720500399422144E-3</c:v>
                </c:pt>
                <c:pt idx="344">
                  <c:v>4.8740041315651688E-3</c:v>
                </c:pt>
                <c:pt idx="345">
                  <c:v>4.9717466314269767E-3</c:v>
                </c:pt>
                <c:pt idx="346">
                  <c:v>5.0595113552722752E-3</c:v>
                </c:pt>
                <c:pt idx="347">
                  <c:v>5.1373100813381185E-3</c:v>
                </c:pt>
                <c:pt idx="348">
                  <c:v>5.2051545231471949E-3</c:v>
                </c:pt>
                <c:pt idx="349">
                  <c:v>5.2630561207862815E-3</c:v>
                </c:pt>
                <c:pt idx="350">
                  <c:v>5.3110258323060683E-3</c:v>
                </c:pt>
                <c:pt idx="351">
                  <c:v>5.3449272011691215E-3</c:v>
                </c:pt>
                <c:pt idx="352">
                  <c:v>5.3706657328233169E-3</c:v>
                </c:pt>
                <c:pt idx="353">
                  <c:v>5.3882503470033503E-3</c:v>
                </c:pt>
                <c:pt idx="354">
                  <c:v>5.3976888958491365E-3</c:v>
                </c:pt>
                <c:pt idx="355">
                  <c:v>5.3989879913262937E-3</c:v>
                </c:pt>
                <c:pt idx="356">
                  <c:v>5.3921565592085384E-3</c:v>
                </c:pt>
                <c:pt idx="357">
                  <c:v>5.3771862008491498E-3</c:v>
                </c:pt>
                <c:pt idx="358">
                  <c:v>5.3540540551966715E-3</c:v>
                </c:pt>
                <c:pt idx="359">
                  <c:v>5.3227360245421025E-3</c:v>
                </c:pt>
                <c:pt idx="360">
                  <c:v>5.2772953463721614E-3</c:v>
                </c:pt>
                <c:pt idx="361">
                  <c:v>5.2218574862805062E-3</c:v>
                </c:pt>
                <c:pt idx="362">
                  <c:v>5.1563933514791457E-3</c:v>
                </c:pt>
                <c:pt idx="363">
                  <c:v>5.0808733528975173E-3</c:v>
                </c:pt>
                <c:pt idx="364">
                  <c:v>4.9952676629382515E-3</c:v>
                </c:pt>
                <c:pt idx="365">
                  <c:v>4.8995464731651159E-3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8.3861086155112702E-3</c:v>
                </c:pt>
                <c:pt idx="1">
                  <c:v>8.3848945825296776E-3</c:v>
                </c:pt>
                <c:pt idx="2">
                  <c:v>8.3702328658795348E-3</c:v>
                </c:pt>
                <c:pt idx="3">
                  <c:v>8.3420825293156944E-3</c:v>
                </c:pt>
                <c:pt idx="4">
                  <c:v>8.3004026163909332E-3</c:v>
                </c:pt>
                <c:pt idx="5">
                  <c:v>8.2451524946637669E-3</c:v>
                </c:pt>
                <c:pt idx="6">
                  <c:v>8.1762922000118803E-3</c:v>
                </c:pt>
                <c:pt idx="7">
                  <c:v>8.0937827807587726E-3</c:v>
                </c:pt>
                <c:pt idx="8">
                  <c:v>7.9975866419177248E-3</c:v>
                </c:pt>
                <c:pt idx="9">
                  <c:v>7.8906725191928151E-3</c:v>
                </c:pt>
                <c:pt idx="10">
                  <c:v>7.7782658406590549E-3</c:v>
                </c:pt>
                <c:pt idx="11">
                  <c:v>7.6603452842328732E-3</c:v>
                </c:pt>
                <c:pt idx="12">
                  <c:v>7.5368912675496972E-3</c:v>
                </c:pt>
                <c:pt idx="13">
                  <c:v>7.4078860822296422E-3</c:v>
                </c:pt>
                <c:pt idx="14">
                  <c:v>7.273314028017233E-3</c:v>
                </c:pt>
                <c:pt idx="15">
                  <c:v>7.1428482338595804E-3</c:v>
                </c:pt>
                <c:pt idx="16">
                  <c:v>7.024791801634807E-3</c:v>
                </c:pt>
                <c:pt idx="17">
                  <c:v>6.9191489592750934E-3</c:v>
                </c:pt>
                <c:pt idx="18">
                  <c:v>6.8259226445784816E-3</c:v>
                </c:pt>
                <c:pt idx="19">
                  <c:v>6.7451518067189629E-3</c:v>
                </c:pt>
                <c:pt idx="20">
                  <c:v>6.6768887599544845E-3</c:v>
                </c:pt>
                <c:pt idx="21">
                  <c:v>6.6211535826210012E-3</c:v>
                </c:pt>
                <c:pt idx="22">
                  <c:v>6.5779641521822585E-3</c:v>
                </c:pt>
                <c:pt idx="23">
                  <c:v>6.5407165656227034E-3</c:v>
                </c:pt>
                <c:pt idx="24">
                  <c:v>6.5064070118107525E-3</c:v>
                </c:pt>
                <c:pt idx="25">
                  <c:v>6.4750464785831184E-3</c:v>
                </c:pt>
                <c:pt idx="26">
                  <c:v>6.4466454230041013E-3</c:v>
                </c:pt>
                <c:pt idx="27">
                  <c:v>6.4212138098289273E-3</c:v>
                </c:pt>
                <c:pt idx="28">
                  <c:v>6.398761150106673E-3</c:v>
                </c:pt>
                <c:pt idx="29">
                  <c:v>6.3672279496683219E-3</c:v>
                </c:pt>
                <c:pt idx="30">
                  <c:v>6.3169209874199212E-3</c:v>
                </c:pt>
                <c:pt idx="31">
                  <c:v>6.2478514079495522E-3</c:v>
                </c:pt>
                <c:pt idx="32">
                  <c:v>6.1600314270999976E-3</c:v>
                </c:pt>
                <c:pt idx="33">
                  <c:v>6.0534740983134473E-3</c:v>
                </c:pt>
                <c:pt idx="34">
                  <c:v>5.928193079004729E-3</c:v>
                </c:pt>
                <c:pt idx="35">
                  <c:v>5.784202396928298E-3</c:v>
                </c:pt>
                <c:pt idx="36">
                  <c:v>5.6215162165319894E-3</c:v>
                </c:pt>
                <c:pt idx="37">
                  <c:v>5.4391385615450809E-3</c:v>
                </c:pt>
                <c:pt idx="38">
                  <c:v>5.243700796526328E-3</c:v>
                </c:pt>
                <c:pt idx="39">
                  <c:v>5.0352146163844926E-3</c:v>
                </c:pt>
                <c:pt idx="40">
                  <c:v>4.8136908809090426E-3</c:v>
                </c:pt>
                <c:pt idx="41">
                  <c:v>4.5791394512966948E-3</c:v>
                </c:pt>
                <c:pt idx="42">
                  <c:v>4.3315690266397706E-3</c:v>
                </c:pt>
                <c:pt idx="43">
                  <c:v>4.0778502663634825E-3</c:v>
                </c:pt>
                <c:pt idx="44">
                  <c:v>3.8300431578408597E-3</c:v>
                </c:pt>
                <c:pt idx="45">
                  <c:v>3.5881477708681604E-3</c:v>
                </c:pt>
                <c:pt idx="46">
                  <c:v>3.3521631372096638E-3</c:v>
                </c:pt>
                <c:pt idx="47">
                  <c:v>3.1220873238764026E-3</c:v>
                </c:pt>
                <c:pt idx="48">
                  <c:v>2.8979175063567984E-3</c:v>
                </c:pt>
                <c:pt idx="49">
                  <c:v>2.6796500418793524E-3</c:v>
                </c:pt>
                <c:pt idx="50">
                  <c:v>2.4672805426557815E-3</c:v>
                </c:pt>
                <c:pt idx="51">
                  <c:v>2.2678563153152049E-3</c:v>
                </c:pt>
                <c:pt idx="52">
                  <c:v>2.0823692701868435E-3</c:v>
                </c:pt>
                <c:pt idx="53">
                  <c:v>1.9108041025096443E-3</c:v>
                </c:pt>
                <c:pt idx="54">
                  <c:v>1.7531582710479466E-3</c:v>
                </c:pt>
                <c:pt idx="55">
                  <c:v>1.6094297179333049E-3</c:v>
                </c:pt>
                <c:pt idx="56">
                  <c:v>1.4796168171926597E-3</c:v>
                </c:pt>
                <c:pt idx="57">
                  <c:v>1.3665658945937343E-3</c:v>
                </c:pt>
                <c:pt idx="58">
                  <c:v>1.2634157508560741E-3</c:v>
                </c:pt>
                <c:pt idx="59">
                  <c:v>1.1701656794865592E-3</c:v>
                </c:pt>
                <c:pt idx="60">
                  <c:v>1.0868151800726966E-3</c:v>
                </c:pt>
                <c:pt idx="61">
                  <c:v>1.0133639216572561E-3</c:v>
                </c:pt>
                <c:pt idx="62">
                  <c:v>9.4981170611135705E-4</c:v>
                </c:pt>
                <c:pt idx="63">
                  <c:v>8.9615843151066648E-4</c:v>
                </c:pt>
                <c:pt idx="64">
                  <c:v>8.5240405550758905E-4</c:v>
                </c:pt>
                <c:pt idx="65">
                  <c:v>8.1942587507214542E-4</c:v>
                </c:pt>
                <c:pt idx="66">
                  <c:v>7.901711955768647E-4</c:v>
                </c:pt>
                <c:pt idx="67">
                  <c:v>7.6463990658015362E-4</c:v>
                </c:pt>
                <c:pt idx="68">
                  <c:v>7.4283189489053917E-4</c:v>
                </c:pt>
                <c:pt idx="69">
                  <c:v>7.2474703078363679E-4</c:v>
                </c:pt>
                <c:pt idx="70">
                  <c:v>7.103851542228256E-4</c:v>
                </c:pt>
                <c:pt idx="71">
                  <c:v>6.9939773769584672E-4</c:v>
                </c:pt>
                <c:pt idx="72">
                  <c:v>6.88936909717474E-4</c:v>
                </c:pt>
                <c:pt idx="73">
                  <c:v>6.7900251551505279E-4</c:v>
                </c:pt>
                <c:pt idx="74">
                  <c:v>6.6959440219716872E-4</c:v>
                </c:pt>
                <c:pt idx="75">
                  <c:v>6.6071241679772181E-4</c:v>
                </c:pt>
                <c:pt idx="76">
                  <c:v>6.5235640431789707E-4</c:v>
                </c:pt>
                <c:pt idx="77">
                  <c:v>6.4452620577030452E-4</c:v>
                </c:pt>
                <c:pt idx="78">
                  <c:v>6.3722167737733282E-4</c:v>
                </c:pt>
                <c:pt idx="79">
                  <c:v>6.3006719328116245E-4</c:v>
                </c:pt>
                <c:pt idx="80">
                  <c:v>6.2218721158358275E-4</c:v>
                </c:pt>
                <c:pt idx="81">
                  <c:v>6.1358163935082042E-4</c:v>
                </c:pt>
                <c:pt idx="82">
                  <c:v>6.0425039580669262E-4</c:v>
                </c:pt>
                <c:pt idx="83">
                  <c:v>5.9419341465826684E-4</c:v>
                </c:pt>
                <c:pt idx="84">
                  <c:v>5.8341064642352617E-4</c:v>
                </c:pt>
                <c:pt idx="85">
                  <c:v>5.718215394273676E-4</c:v>
                </c:pt>
                <c:pt idx="86">
                  <c:v>5.5977421454761348E-4</c:v>
                </c:pt>
                <c:pt idx="87">
                  <c:v>5.4726864200125181E-4</c:v>
                </c:pt>
                <c:pt idx="88">
                  <c:v>5.343048140193415E-4</c:v>
                </c:pt>
                <c:pt idx="89">
                  <c:v>5.2088274631594748E-4</c:v>
                </c:pt>
                <c:pt idx="90">
                  <c:v>5.0700247955598368E-4</c:v>
                </c:pt>
                <c:pt idx="91">
                  <c:v>4.9266408082505994E-4</c:v>
                </c:pt>
                <c:pt idx="92">
                  <c:v>4.7786764509786866E-4</c:v>
                </c:pt>
                <c:pt idx="93">
                  <c:v>4.624117564193193E-4</c:v>
                </c:pt>
                <c:pt idx="94">
                  <c:v>4.4667421157238097E-4</c:v>
                </c:pt>
                <c:pt idx="95">
                  <c:v>4.3065515535791431E-4</c:v>
                </c:pt>
                <c:pt idx="96">
                  <c:v>4.1435476112045775E-4</c:v>
                </c:pt>
                <c:pt idx="97">
                  <c:v>3.9777323165489207E-4</c:v>
                </c:pt>
                <c:pt idx="98">
                  <c:v>3.809108001091573E-4</c:v>
                </c:pt>
                <c:pt idx="99">
                  <c:v>3.6439055124459627E-4</c:v>
                </c:pt>
                <c:pt idx="100">
                  <c:v>3.4829299069392538E-4</c:v>
                </c:pt>
                <c:pt idx="101">
                  <c:v>3.3261817739202925E-4</c:v>
                </c:pt>
                <c:pt idx="102">
                  <c:v>3.1736617343823119E-4</c:v>
                </c:pt>
                <c:pt idx="103">
                  <c:v>3.0253704274126953E-4</c:v>
                </c:pt>
                <c:pt idx="104">
                  <c:v>2.8813084967189826E-4</c:v>
                </c:pt>
                <c:pt idx="105">
                  <c:v>2.7414765770840063E-4</c:v>
                </c:pt>
                <c:pt idx="106">
                  <c:v>2.605875280859465E-4</c:v>
                </c:pt>
                <c:pt idx="107">
                  <c:v>2.4809664337394901E-4</c:v>
                </c:pt>
                <c:pt idx="108">
                  <c:v>2.3687587101816289E-4</c:v>
                </c:pt>
                <c:pt idx="109">
                  <c:v>2.2692476039647507E-4</c:v>
                </c:pt>
                <c:pt idx="110">
                  <c:v>2.1824342471450295E-4</c:v>
                </c:pt>
                <c:pt idx="111">
                  <c:v>2.108318458672842E-4</c:v>
                </c:pt>
                <c:pt idx="112">
                  <c:v>2.0468931415753376E-4</c:v>
                </c:pt>
                <c:pt idx="113">
                  <c:v>1.9945583191718043E-4</c:v>
                </c:pt>
                <c:pt idx="114">
                  <c:v>1.9450960923800571E-4</c:v>
                </c:pt>
                <c:pt idx="115">
                  <c:v>1.898504933404131E-4</c:v>
                </c:pt>
                <c:pt idx="116">
                  <c:v>1.8547832680512231E-4</c:v>
                </c:pt>
                <c:pt idx="117">
                  <c:v>1.8139294694905037E-4</c:v>
                </c:pt>
                <c:pt idx="118">
                  <c:v>1.7759418519920785E-4</c:v>
                </c:pt>
                <c:pt idx="119">
                  <c:v>1.740818664671608E-4</c:v>
                </c:pt>
                <c:pt idx="120">
                  <c:v>1.7085580852321811E-4</c:v>
                </c:pt>
                <c:pt idx="121">
                  <c:v>1.6777032845564972E-4</c:v>
                </c:pt>
                <c:pt idx="122">
                  <c:v>1.6418134870161791E-4</c:v>
                </c:pt>
                <c:pt idx="123">
                  <c:v>1.6008930046397304E-4</c:v>
                </c:pt>
                <c:pt idx="124">
                  <c:v>1.5549463911180886E-4</c:v>
                </c:pt>
                <c:pt idx="125">
                  <c:v>1.5039784528600005E-4</c:v>
                </c:pt>
                <c:pt idx="126">
                  <c:v>1.4479942600247359E-4</c:v>
                </c:pt>
                <c:pt idx="127">
                  <c:v>1.3891796305137168E-4</c:v>
                </c:pt>
                <c:pt idx="128">
                  <c:v>1.3311169763725181E-4</c:v>
                </c:pt>
                <c:pt idx="129">
                  <c:v>1.2738067319192599E-4</c:v>
                </c:pt>
                <c:pt idx="130">
                  <c:v>1.2172493458694599E-4</c:v>
                </c:pt>
                <c:pt idx="131">
                  <c:v>1.1614452797242049E-4</c:v>
                </c:pt>
                <c:pt idx="132">
                  <c:v>1.1063950061725437E-4</c:v>
                </c:pt>
                <c:pt idx="133">
                  <c:v>1.0520990075007178E-4</c:v>
                </c:pt>
                <c:pt idx="134">
                  <c:v>9.9855777399445746E-5</c:v>
                </c:pt>
                <c:pt idx="135">
                  <c:v>9.460144393855669E-5</c:v>
                </c:pt>
                <c:pt idx="136">
                  <c:v>8.9591725544285421E-5</c:v>
                </c:pt>
                <c:pt idx="137">
                  <c:v>8.4826474357021996E-5</c:v>
                </c:pt>
                <c:pt idx="138">
                  <c:v>8.0305532284899545E-5</c:v>
                </c:pt>
                <c:pt idx="139">
                  <c:v>7.6028730474013144E-5</c:v>
                </c:pt>
                <c:pt idx="140">
                  <c:v>7.1995888773963E-5</c:v>
                </c:pt>
                <c:pt idx="141">
                  <c:v>6.8298345943898408E-5</c:v>
                </c:pt>
                <c:pt idx="142">
                  <c:v>6.4718584766070093E-5</c:v>
                </c:pt>
                <c:pt idx="143">
                  <c:v>6.1256339381084133E-5</c:v>
                </c:pt>
                <c:pt idx="144">
                  <c:v>5.7911743869497258E-5</c:v>
                </c:pt>
                <c:pt idx="145">
                  <c:v>5.4684900303105409E-5</c:v>
                </c:pt>
                <c:pt idx="146">
                  <c:v>5.1575880298439788E-5</c:v>
                </c:pt>
                <c:pt idx="147">
                  <c:v>4.858472657222086E-5</c:v>
                </c:pt>
                <c:pt idx="148">
                  <c:v>4.5711454495403372E-5</c:v>
                </c:pt>
                <c:pt idx="149">
                  <c:v>4.3018716581118709E-5</c:v>
                </c:pt>
                <c:pt idx="150">
                  <c:v>4.0482277278334905E-5</c:v>
                </c:pt>
                <c:pt idx="151">
                  <c:v>3.8102008398863638E-5</c:v>
                </c:pt>
                <c:pt idx="152">
                  <c:v>3.587775882230427E-5</c:v>
                </c:pt>
                <c:pt idx="153">
                  <c:v>3.3809356570377941E-5</c:v>
                </c:pt>
                <c:pt idx="154">
                  <c:v>3.1896610881488434E-5</c:v>
                </c:pt>
                <c:pt idx="155">
                  <c:v>3.0181493736141684E-5</c:v>
                </c:pt>
                <c:pt idx="156">
                  <c:v>2.8572938345711242E-5</c:v>
                </c:pt>
                <c:pt idx="157">
                  <c:v>2.7070802081633499E-5</c:v>
                </c:pt>
                <c:pt idx="158">
                  <c:v>2.5674932400826526E-5</c:v>
                </c:pt>
                <c:pt idx="159">
                  <c:v>2.4385168261605205E-5</c:v>
                </c:pt>
                <c:pt idx="160">
                  <c:v>2.3201341539924635E-5</c:v>
                </c:pt>
                <c:pt idx="161">
                  <c:v>2.2123278445322641E-5</c:v>
                </c:pt>
                <c:pt idx="162">
                  <c:v>2.1150800937008057E-5</c:v>
                </c:pt>
                <c:pt idx="163">
                  <c:v>2.0323868635874453E-5</c:v>
                </c:pt>
                <c:pt idx="164">
                  <c:v>1.9580143041936076E-5</c:v>
                </c:pt>
                <c:pt idx="165">
                  <c:v>1.8919482918079362E-5</c:v>
                </c:pt>
                <c:pt idx="166">
                  <c:v>1.8341747379843509E-5</c:v>
                </c:pt>
                <c:pt idx="167">
                  <c:v>1.7846797012155141E-5</c:v>
                </c:pt>
                <c:pt idx="168">
                  <c:v>1.7434494986667505E-5</c:v>
                </c:pt>
                <c:pt idx="169">
                  <c:v>1.7144706486216419E-5</c:v>
                </c:pt>
                <c:pt idx="170">
                  <c:v>1.6935442124867126E-5</c:v>
                </c:pt>
                <c:pt idx="171">
                  <c:v>1.6806584421491993E-5</c:v>
                </c:pt>
                <c:pt idx="172">
                  <c:v>1.6758022972382305E-5</c:v>
                </c:pt>
                <c:pt idx="173">
                  <c:v>1.6789483852070116E-5</c:v>
                </c:pt>
                <c:pt idx="174">
                  <c:v>1.6900688680120107E-5</c:v>
                </c:pt>
                <c:pt idx="175">
                  <c:v>1.7091526447308296E-5</c:v>
                </c:pt>
                <c:pt idx="176">
                  <c:v>1.7361886670485235E-5</c:v>
                </c:pt>
                <c:pt idx="177">
                  <c:v>1.7753306464795914E-5</c:v>
                </c:pt>
                <c:pt idx="178">
                  <c:v>1.8225801062170481E-5</c:v>
                </c:pt>
                <c:pt idx="179">
                  <c:v>1.877926198543343E-5</c:v>
                </c:pt>
                <c:pt idx="180">
                  <c:v>1.9413583287286776E-5</c:v>
                </c:pt>
                <c:pt idx="181">
                  <c:v>2.0128662028531074E-5</c:v>
                </c:pt>
                <c:pt idx="182">
                  <c:v>2.0924398756446484E-5</c:v>
                </c:pt>
                <c:pt idx="183">
                  <c:v>2.1862161899892894E-5</c:v>
                </c:pt>
                <c:pt idx="184">
                  <c:v>2.2902074931100487E-5</c:v>
                </c:pt>
                <c:pt idx="185">
                  <c:v>2.4044022101914824E-5</c:v>
                </c:pt>
                <c:pt idx="186">
                  <c:v>2.5287894095218669E-5</c:v>
                </c:pt>
                <c:pt idx="187">
                  <c:v>2.6633588631382261E-5</c:v>
                </c:pt>
                <c:pt idx="188">
                  <c:v>2.8081011074904764E-5</c:v>
                </c:pt>
                <c:pt idx="189">
                  <c:v>2.9630075040243414E-5</c:v>
                </c:pt>
                <c:pt idx="190">
                  <c:v>3.1280702998788474E-5</c:v>
                </c:pt>
                <c:pt idx="191">
                  <c:v>3.3121913390798885E-5</c:v>
                </c:pt>
                <c:pt idx="192">
                  <c:v>3.5112181511714478E-5</c:v>
                </c:pt>
                <c:pt idx="193">
                  <c:v>3.7251405395644063E-5</c:v>
                </c:pt>
                <c:pt idx="194">
                  <c:v>3.953949787461985E-5</c:v>
                </c:pt>
                <c:pt idx="195">
                  <c:v>4.1976387467717598E-5</c:v>
                </c:pt>
                <c:pt idx="196">
                  <c:v>4.4562019268780762E-5</c:v>
                </c:pt>
                <c:pt idx="197">
                  <c:v>4.7319859936290286E-5</c:v>
                </c:pt>
                <c:pt idx="198">
                  <c:v>5.0188786543213814E-5</c:v>
                </c:pt>
                <c:pt idx="199">
                  <c:v>5.3168836899470219E-5</c:v>
                </c:pt>
                <c:pt idx="200">
                  <c:v>5.626006558681243E-5</c:v>
                </c:pt>
                <c:pt idx="201">
                  <c:v>5.9462544624012109E-5</c:v>
                </c:pt>
                <c:pt idx="202">
                  <c:v>6.2776364132231498E-5</c:v>
                </c:pt>
                <c:pt idx="203">
                  <c:v>6.6201633001789777E-5</c:v>
                </c:pt>
                <c:pt idx="204">
                  <c:v>6.9738366941045368E-5</c:v>
                </c:pt>
                <c:pt idx="205">
                  <c:v>7.3596705078233813E-5</c:v>
                </c:pt>
                <c:pt idx="206">
                  <c:v>7.768790669161681E-5</c:v>
                </c:pt>
                <c:pt idx="207">
                  <c:v>8.2011966518312309E-5</c:v>
                </c:pt>
                <c:pt idx="208">
                  <c:v>8.656889322531106E-5</c:v>
                </c:pt>
                <c:pt idx="209">
                  <c:v>9.1358708683806058E-5</c:v>
                </c:pt>
                <c:pt idx="210">
                  <c:v>9.6381447246387763E-5</c:v>
                </c:pt>
                <c:pt idx="211">
                  <c:v>1.014973070758615E-4</c:v>
                </c:pt>
                <c:pt idx="212">
                  <c:v>1.0668298269769961E-4</c:v>
                </c:pt>
                <c:pt idx="213">
                  <c:v>1.1193859932415259E-4</c:v>
                </c:pt>
                <c:pt idx="214">
                  <c:v>1.1726428063876148E-4</c:v>
                </c:pt>
                <c:pt idx="215">
                  <c:v>1.2266014857902229E-4</c:v>
                </c:pt>
                <c:pt idx="216">
                  <c:v>1.2812632311868862E-4</c:v>
                </c:pt>
                <c:pt idx="217">
                  <c:v>1.3366292205057404E-4</c:v>
                </c:pt>
                <c:pt idx="218">
                  <c:v>1.3927006076868881E-4</c:v>
                </c:pt>
                <c:pt idx="219">
                  <c:v>1.4460345306150258E-4</c:v>
                </c:pt>
                <c:pt idx="220">
                  <c:v>1.4945350587959729E-4</c:v>
                </c:pt>
                <c:pt idx="221">
                  <c:v>1.5382039068546774E-4</c:v>
                </c:pt>
                <c:pt idx="222">
                  <c:v>1.5770424603530909E-4</c:v>
                </c:pt>
                <c:pt idx="223">
                  <c:v>1.6110517908615819E-4</c:v>
                </c:pt>
                <c:pt idx="224">
                  <c:v>1.6402326709942831E-4</c:v>
                </c:pt>
                <c:pt idx="225">
                  <c:v>1.6707711165181219E-4</c:v>
                </c:pt>
                <c:pt idx="226">
                  <c:v>1.7040643840917594E-4</c:v>
                </c:pt>
                <c:pt idx="227">
                  <c:v>1.7401126910153694E-4</c:v>
                </c:pt>
                <c:pt idx="228">
                  <c:v>1.7789163347156316E-4</c:v>
                </c:pt>
                <c:pt idx="229">
                  <c:v>1.820475684202637E-4</c:v>
                </c:pt>
                <c:pt idx="230">
                  <c:v>1.8647911715536855E-4</c:v>
                </c:pt>
                <c:pt idx="231">
                  <c:v>1.9118632834045726E-4</c:v>
                </c:pt>
                <c:pt idx="232">
                  <c:v>1.9616925524010973E-4</c:v>
                </c:pt>
                <c:pt idx="233">
                  <c:v>2.0202362482747951E-4</c:v>
                </c:pt>
                <c:pt idx="234">
                  <c:v>2.0909399345835837E-4</c:v>
                </c:pt>
                <c:pt idx="235">
                  <c:v>2.1738075876014237E-4</c:v>
                </c:pt>
                <c:pt idx="236">
                  <c:v>2.2688444959955117E-4</c:v>
                </c:pt>
                <c:pt idx="237">
                  <c:v>2.376055191930904E-4</c:v>
                </c:pt>
                <c:pt idx="238">
                  <c:v>2.4954447747639602E-4</c:v>
                </c:pt>
                <c:pt idx="239">
                  <c:v>2.625091731962564E-4</c:v>
                </c:pt>
                <c:pt idx="240">
                  <c:v>2.7588122953548265E-4</c:v>
                </c:pt>
                <c:pt idx="241">
                  <c:v>2.8966109930480855E-4</c:v>
                </c:pt>
                <c:pt idx="242">
                  <c:v>3.0384926304407244E-4</c:v>
                </c:pt>
                <c:pt idx="243">
                  <c:v>3.1844622973622652E-4</c:v>
                </c:pt>
                <c:pt idx="244">
                  <c:v>3.33452537520177E-4</c:v>
                </c:pt>
                <c:pt idx="245">
                  <c:v>3.4886875440028075E-4</c:v>
                </c:pt>
                <c:pt idx="246">
                  <c:v>3.64695478954656E-4</c:v>
                </c:pt>
                <c:pt idx="247">
                  <c:v>3.8085631135717626E-4</c:v>
                </c:pt>
                <c:pt idx="248">
                  <c:v>3.9675532709060953E-4</c:v>
                </c:pt>
                <c:pt idx="249">
                  <c:v>4.1239288908567637E-4</c:v>
                </c:pt>
                <c:pt idx="250">
                  <c:v>4.2776935690632978E-4</c:v>
                </c:pt>
                <c:pt idx="251">
                  <c:v>4.4288508628460735E-4</c:v>
                </c:pt>
                <c:pt idx="252">
                  <c:v>4.5774042863834871E-4</c:v>
                </c:pt>
                <c:pt idx="253">
                  <c:v>4.7197391219348236E-4</c:v>
                </c:pt>
                <c:pt idx="254">
                  <c:v>4.8577879599906036E-4</c:v>
                </c:pt>
                <c:pt idx="255">
                  <c:v>4.9915529347681635E-4</c:v>
                </c:pt>
                <c:pt idx="256">
                  <c:v>5.1210360131756147E-4</c:v>
                </c:pt>
                <c:pt idx="257">
                  <c:v>5.2462389870388767E-4</c:v>
                </c:pt>
                <c:pt idx="258">
                  <c:v>5.3671634653740176E-4</c:v>
                </c:pt>
                <c:pt idx="259">
                  <c:v>5.4838108667363259E-4</c:v>
                </c:pt>
                <c:pt idx="260">
                  <c:v>5.5961824114087236E-4</c:v>
                </c:pt>
                <c:pt idx="261">
                  <c:v>5.7009386143563087E-4</c:v>
                </c:pt>
                <c:pt idx="262">
                  <c:v>5.7988501898636286E-4</c:v>
                </c:pt>
                <c:pt idx="263">
                  <c:v>5.8899152499517057E-4</c:v>
                </c:pt>
                <c:pt idx="264">
                  <c:v>5.9741317844048156E-4</c:v>
                </c:pt>
                <c:pt idx="265">
                  <c:v>6.0515298036679607E-4</c:v>
                </c:pt>
                <c:pt idx="266">
                  <c:v>6.1221243043825264E-4</c:v>
                </c:pt>
                <c:pt idx="267">
                  <c:v>6.1943353509304254E-4</c:v>
                </c:pt>
                <c:pt idx="268">
                  <c:v>6.2717955461641113E-4</c:v>
                </c:pt>
                <c:pt idx="269">
                  <c:v>6.3545078729608767E-4</c:v>
                </c:pt>
                <c:pt idx="270">
                  <c:v>6.4424754841944292E-4</c:v>
                </c:pt>
                <c:pt idx="271">
                  <c:v>6.5357016466035308E-4</c:v>
                </c:pt>
                <c:pt idx="272">
                  <c:v>6.6341896848330195E-4</c:v>
                </c:pt>
                <c:pt idx="273">
                  <c:v>6.7379429253934563E-4</c:v>
                </c:pt>
                <c:pt idx="274">
                  <c:v>6.8469646407067917E-4</c:v>
                </c:pt>
                <c:pt idx="275">
                  <c:v>6.9887184207716039E-4</c:v>
                </c:pt>
                <c:pt idx="276">
                  <c:v>7.16660838970898E-4</c:v>
                </c:pt>
                <c:pt idx="277">
                  <c:v>7.3806842114931359E-4</c:v>
                </c:pt>
                <c:pt idx="278">
                  <c:v>7.6309964157408872E-4</c:v>
                </c:pt>
                <c:pt idx="279">
                  <c:v>7.9175960033311737E-4</c:v>
                </c:pt>
                <c:pt idx="280">
                  <c:v>8.2405340520964648E-4</c:v>
                </c:pt>
                <c:pt idx="281">
                  <c:v>8.6680772165132565E-4</c:v>
                </c:pt>
                <c:pt idx="282">
                  <c:v>9.1918921438432913E-4</c:v>
                </c:pt>
                <c:pt idx="283">
                  <c:v>9.8121217750132784E-4</c:v>
                </c:pt>
                <c:pt idx="284">
                  <c:v>1.0528907341184307E-3</c:v>
                </c:pt>
                <c:pt idx="285">
                  <c:v>1.1342387315601673E-3</c:v>
                </c:pt>
                <c:pt idx="286">
                  <c:v>1.225269636554451E-3</c:v>
                </c:pt>
                <c:pt idx="287">
                  <c:v>1.3259964304177944E-3</c:v>
                </c:pt>
                <c:pt idx="288">
                  <c:v>1.4364315042441104E-3</c:v>
                </c:pt>
                <c:pt idx="289">
                  <c:v>1.5632499613539837E-3</c:v>
                </c:pt>
                <c:pt idx="290">
                  <c:v>1.7037054568958241E-3</c:v>
                </c:pt>
                <c:pt idx="291">
                  <c:v>1.8578135916841217E-3</c:v>
                </c:pt>
                <c:pt idx="292">
                  <c:v>2.0255887298966627E-3</c:v>
                </c:pt>
                <c:pt idx="293">
                  <c:v>2.2070438517856014E-3</c:v>
                </c:pt>
                <c:pt idx="294">
                  <c:v>2.4021904063829436E-3</c:v>
                </c:pt>
                <c:pt idx="295">
                  <c:v>2.6100555083699152E-3</c:v>
                </c:pt>
                <c:pt idx="296">
                  <c:v>2.8238075344920841E-3</c:v>
                </c:pt>
                <c:pt idx="297">
                  <c:v>3.0434761549962865E-3</c:v>
                </c:pt>
                <c:pt idx="298">
                  <c:v>3.2690705967793922E-3</c:v>
                </c:pt>
                <c:pt idx="299">
                  <c:v>3.5005994695892066E-3</c:v>
                </c:pt>
                <c:pt idx="300">
                  <c:v>3.7380707133581621E-3</c:v>
                </c:pt>
                <c:pt idx="301">
                  <c:v>3.9814915455274463E-3</c:v>
                </c:pt>
                <c:pt idx="302">
                  <c:v>4.23086840837882E-3</c:v>
                </c:pt>
                <c:pt idx="303">
                  <c:v>4.4744238703533267E-3</c:v>
                </c:pt>
                <c:pt idx="304">
                  <c:v>4.7054351290464732E-3</c:v>
                </c:pt>
                <c:pt idx="305">
                  <c:v>4.9238796010669531E-3</c:v>
                </c:pt>
                <c:pt idx="306">
                  <c:v>5.1297339316167959E-3</c:v>
                </c:pt>
                <c:pt idx="307">
                  <c:v>5.3229741120712762E-3</c:v>
                </c:pt>
                <c:pt idx="308">
                  <c:v>5.5035755975145354E-3</c:v>
                </c:pt>
                <c:pt idx="309">
                  <c:v>5.6650307971531462E-3</c:v>
                </c:pt>
                <c:pt idx="310">
                  <c:v>5.8082953881811146E-3</c:v>
                </c:pt>
                <c:pt idx="311">
                  <c:v>5.933336597781988E-3</c:v>
                </c:pt>
                <c:pt idx="312">
                  <c:v>6.0401218431702375E-3</c:v>
                </c:pt>
                <c:pt idx="313">
                  <c:v>6.1286188996177611E-3</c:v>
                </c:pt>
                <c:pt idx="314">
                  <c:v>6.1987960684260837E-3</c:v>
                </c:pt>
                <c:pt idx="315">
                  <c:v>6.2506223449751716E-3</c:v>
                </c:pt>
                <c:pt idx="316">
                  <c:v>6.2840675866773429E-3</c:v>
                </c:pt>
                <c:pt idx="317">
                  <c:v>6.3086356255004769E-3</c:v>
                </c:pt>
                <c:pt idx="318">
                  <c:v>6.3361710526784916E-3</c:v>
                </c:pt>
                <c:pt idx="319">
                  <c:v>6.3666705727231229E-3</c:v>
                </c:pt>
                <c:pt idx="320">
                  <c:v>6.4001305487293237E-3</c:v>
                </c:pt>
                <c:pt idx="321">
                  <c:v>6.4365469746874128E-3</c:v>
                </c:pt>
                <c:pt idx="322">
                  <c:v>6.4759154478229537E-3</c:v>
                </c:pt>
                <c:pt idx="323">
                  <c:v>6.5212009892380123E-3</c:v>
                </c:pt>
                <c:pt idx="324">
                  <c:v>6.5789211414994586E-3</c:v>
                </c:pt>
                <c:pt idx="325">
                  <c:v>6.6490772182012346E-3</c:v>
                </c:pt>
                <c:pt idx="326">
                  <c:v>6.7316270005385549E-3</c:v>
                </c:pt>
                <c:pt idx="327">
                  <c:v>6.8265524413019312E-3</c:v>
                </c:pt>
                <c:pt idx="328">
                  <c:v>6.9338677819024393E-3</c:v>
                </c:pt>
                <c:pt idx="329">
                  <c:v>7.0535860584015758E-3</c:v>
                </c:pt>
                <c:pt idx="330">
                  <c:v>7.1857193623525197E-3</c:v>
                </c:pt>
                <c:pt idx="331">
                  <c:v>7.3220773139313078E-3</c:v>
                </c:pt>
                <c:pt idx="332">
                  <c:v>7.4530994900447768E-3</c:v>
                </c:pt>
                <c:pt idx="333">
                  <c:v>7.5787927958133961E-3</c:v>
                </c:pt>
                <c:pt idx="334">
                  <c:v>7.6991657209347026E-3</c:v>
                </c:pt>
                <c:pt idx="335">
                  <c:v>7.8142282310155464E-3</c:v>
                </c:pt>
                <c:pt idx="336">
                  <c:v>7.9239916588059126E-3</c:v>
                </c:pt>
                <c:pt idx="337">
                  <c:v>8.0232659659710756E-3</c:v>
                </c:pt>
                <c:pt idx="338">
                  <c:v>8.1090885959772627E-3</c:v>
                </c:pt>
                <c:pt idx="339">
                  <c:v>8.1814737837288213E-3</c:v>
                </c:pt>
                <c:pt idx="340">
                  <c:v>8.2404367557014409E-3</c:v>
                </c:pt>
                <c:pt idx="341">
                  <c:v>8.2859934511916259E-3</c:v>
                </c:pt>
                <c:pt idx="342">
                  <c:v>8.318160243560949E-3</c:v>
                </c:pt>
                <c:pt idx="343">
                  <c:v>8.3369536613798964E-3</c:v>
                </c:pt>
                <c:pt idx="344">
                  <c:v>8.3423901097016365E-3</c:v>
                </c:pt>
                <c:pt idx="345">
                  <c:v>8.3344855912484573E-3</c:v>
                </c:pt>
                <c:pt idx="346">
                  <c:v>8.3240955568233445E-3</c:v>
                </c:pt>
                <c:pt idx="347">
                  <c:v>8.3112365280338385E-3</c:v>
                </c:pt>
                <c:pt idx="348">
                  <c:v>8.2959247334735576E-3</c:v>
                </c:pt>
                <c:pt idx="349">
                  <c:v>8.2781760552041051E-3</c:v>
                </c:pt>
                <c:pt idx="350">
                  <c:v>8.2580059754312173E-3</c:v>
                </c:pt>
                <c:pt idx="351">
                  <c:v>8.2380637173211559E-3</c:v>
                </c:pt>
                <c:pt idx="352">
                  <c:v>8.2235726112766302E-3</c:v>
                </c:pt>
                <c:pt idx="353">
                  <c:v>8.2145511613058511E-3</c:v>
                </c:pt>
                <c:pt idx="354">
                  <c:v>8.211018549875871E-3</c:v>
                </c:pt>
                <c:pt idx="355">
                  <c:v>8.2129947469607393E-3</c:v>
                </c:pt>
                <c:pt idx="356">
                  <c:v>8.2205063003472807E-3</c:v>
                </c:pt>
                <c:pt idx="357">
                  <c:v>8.2335567631374017E-3</c:v>
                </c:pt>
                <c:pt idx="358">
                  <c:v>8.2521308135018491E-3</c:v>
                </c:pt>
                <c:pt idx="359">
                  <c:v>8.2762139150104903E-3</c:v>
                </c:pt>
                <c:pt idx="360">
                  <c:v>8.3005727033842649E-3</c:v>
                </c:pt>
                <c:pt idx="361">
                  <c:v>8.3225457539185307E-3</c:v>
                </c:pt>
                <c:pt idx="362">
                  <c:v>8.3421098001079889E-3</c:v>
                </c:pt>
                <c:pt idx="363">
                  <c:v>8.3592411068638319E-3</c:v>
                </c:pt>
                <c:pt idx="364">
                  <c:v>8.3739155366488998E-3</c:v>
                </c:pt>
                <c:pt idx="365">
                  <c:v>8.3861086155112702E-3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1.4344351466631365E-2</c:v>
                </c:pt>
                <c:pt idx="1">
                  <c:v>1.4456424154434369E-2</c:v>
                </c:pt>
                <c:pt idx="2">
                  <c:v>1.4554801716448866E-2</c:v>
                </c:pt>
                <c:pt idx="3">
                  <c:v>1.463942858569646E-2</c:v>
                </c:pt>
                <c:pt idx="4">
                  <c:v>1.4710248045011391E-2</c:v>
                </c:pt>
                <c:pt idx="5">
                  <c:v>1.4767202581152002E-2</c:v>
                </c:pt>
                <c:pt idx="6">
                  <c:v>1.481023423910096E-2</c:v>
                </c:pt>
                <c:pt idx="7">
                  <c:v>1.4839284976034026E-2</c:v>
                </c:pt>
                <c:pt idx="8">
                  <c:v>1.4854297015493947E-2</c:v>
                </c:pt>
                <c:pt idx="9">
                  <c:v>1.484232641181771E-2</c:v>
                </c:pt>
                <c:pt idx="10">
                  <c:v>1.480144433327682E-2</c:v>
                </c:pt>
                <c:pt idx="11">
                  <c:v>1.4731578211426906E-2</c:v>
                </c:pt>
                <c:pt idx="12">
                  <c:v>1.4632659011678586E-2</c:v>
                </c:pt>
                <c:pt idx="13">
                  <c:v>1.4504621962315833E-2</c:v>
                </c:pt>
                <c:pt idx="14">
                  <c:v>1.4347407283266757E-2</c:v>
                </c:pt>
                <c:pt idx="15">
                  <c:v>1.4174742757457691E-2</c:v>
                </c:pt>
                <c:pt idx="16">
                  <c:v>1.4002416435865963E-2</c:v>
                </c:pt>
                <c:pt idx="17">
                  <c:v>1.3830409646796172E-2</c:v>
                </c:pt>
                <c:pt idx="18">
                  <c:v>1.3658705337533038E-2</c:v>
                </c:pt>
                <c:pt idx="19">
                  <c:v>1.3487363283290527E-2</c:v>
                </c:pt>
                <c:pt idx="20">
                  <c:v>1.331647457269639E-2</c:v>
                </c:pt>
                <c:pt idx="21">
                  <c:v>1.3146069573162123E-2</c:v>
                </c:pt>
                <c:pt idx="22">
                  <c:v>1.2976177659738596E-2</c:v>
                </c:pt>
                <c:pt idx="23">
                  <c:v>1.2806427708869526E-2</c:v>
                </c:pt>
                <c:pt idx="24">
                  <c:v>1.2649783684170588E-2</c:v>
                </c:pt>
                <c:pt idx="25">
                  <c:v>1.2506274194424927E-2</c:v>
                </c:pt>
                <c:pt idx="26">
                  <c:v>1.2375925508613016E-2</c:v>
                </c:pt>
                <c:pt idx="27">
                  <c:v>1.2258761723370143E-2</c:v>
                </c:pt>
                <c:pt idx="28">
                  <c:v>1.2154804930713442E-2</c:v>
                </c:pt>
                <c:pt idx="29">
                  <c:v>1.2046152354050899E-2</c:v>
                </c:pt>
                <c:pt idx="30">
                  <c:v>1.1919019087222961E-2</c:v>
                </c:pt>
                <c:pt idx="31">
                  <c:v>1.1773426253391688E-2</c:v>
                </c:pt>
                <c:pt idx="32">
                  <c:v>1.1609395637499471E-2</c:v>
                </c:pt>
                <c:pt idx="33">
                  <c:v>1.1426949457190026E-2</c:v>
                </c:pt>
                <c:pt idx="34">
                  <c:v>1.1226110133782963E-2</c:v>
                </c:pt>
                <c:pt idx="35">
                  <c:v>1.1006900063236664E-2</c:v>
                </c:pt>
                <c:pt idx="36">
                  <c:v>1.0769341387086601E-2</c:v>
                </c:pt>
                <c:pt idx="37">
                  <c:v>1.0512363310040643E-2</c:v>
                </c:pt>
                <c:pt idx="38">
                  <c:v>1.023638643306961E-2</c:v>
                </c:pt>
                <c:pt idx="39">
                  <c:v>9.9414309507258689E-3</c:v>
                </c:pt>
                <c:pt idx="40">
                  <c:v>9.6275158853732241E-3</c:v>
                </c:pt>
                <c:pt idx="41">
                  <c:v>9.294658849524946E-3</c:v>
                </c:pt>
                <c:pt idx="42">
                  <c:v>8.9428758081082863E-3</c:v>
                </c:pt>
                <c:pt idx="43">
                  <c:v>8.5756619305276446E-3</c:v>
                </c:pt>
                <c:pt idx="44">
                  <c:v>8.2109323120563432E-3</c:v>
                </c:pt>
                <c:pt idx="45">
                  <c:v>7.8486917759726417E-3</c:v>
                </c:pt>
                <c:pt idx="46">
                  <c:v>7.4889434051745975E-3</c:v>
                </c:pt>
                <c:pt idx="47">
                  <c:v>7.1316885721366477E-3</c:v>
                </c:pt>
                <c:pt idx="48">
                  <c:v>6.776926968761865E-3</c:v>
                </c:pt>
                <c:pt idx="49">
                  <c:v>6.424656636304509E-3</c:v>
                </c:pt>
                <c:pt idx="50">
                  <c:v>6.0748739952483505E-3</c:v>
                </c:pt>
                <c:pt idx="51">
                  <c:v>5.7360854784975291E-3</c:v>
                </c:pt>
                <c:pt idx="52">
                  <c:v>5.4093459517951274E-3</c:v>
                </c:pt>
                <c:pt idx="53">
                  <c:v>5.0946195711408038E-3</c:v>
                </c:pt>
                <c:pt idx="54">
                  <c:v>4.7919013095543694E-3</c:v>
                </c:pt>
                <c:pt idx="55">
                  <c:v>4.5011868035584003E-3</c:v>
                </c:pt>
                <c:pt idx="56">
                  <c:v>4.2224723088141666E-3</c:v>
                </c:pt>
                <c:pt idx="57">
                  <c:v>3.9657688296134913E-3</c:v>
                </c:pt>
                <c:pt idx="58">
                  <c:v>3.7275942965243176E-3</c:v>
                </c:pt>
                <c:pt idx="59">
                  <c:v>3.507946711134404E-3</c:v>
                </c:pt>
                <c:pt idx="60">
                  <c:v>3.3068245274958676E-3</c:v>
                </c:pt>
                <c:pt idx="61">
                  <c:v>3.1242265835883035E-3</c:v>
                </c:pt>
                <c:pt idx="62">
                  <c:v>2.960152032777118E-3</c:v>
                </c:pt>
                <c:pt idx="63">
                  <c:v>2.8146002752814235E-3</c:v>
                </c:pt>
                <c:pt idx="64">
                  <c:v>2.6875708896295816E-3</c:v>
                </c:pt>
                <c:pt idx="65">
                  <c:v>2.5806240979517887E-3</c:v>
                </c:pt>
                <c:pt idx="66">
                  <c:v>2.4852476747126177E-3</c:v>
                </c:pt>
                <c:pt idx="67">
                  <c:v>2.4014412883449519E-3</c:v>
                </c:pt>
                <c:pt idx="68">
                  <c:v>2.3292046053514964E-3</c:v>
                </c:pt>
                <c:pt idx="69">
                  <c:v>2.2685372474751026E-3</c:v>
                </c:pt>
                <c:pt idx="70">
                  <c:v>2.2194387488807463E-3</c:v>
                </c:pt>
                <c:pt idx="71">
                  <c:v>2.1812646345138642E-3</c:v>
                </c:pt>
                <c:pt idx="72">
                  <c:v>2.1439998023550146E-3</c:v>
                </c:pt>
                <c:pt idx="73">
                  <c:v>2.1076438570127531E-3</c:v>
                </c:pt>
                <c:pt idx="74">
                  <c:v>2.0721964346554649E-3</c:v>
                </c:pt>
                <c:pt idx="75">
                  <c:v>2.037657199623494E-3</c:v>
                </c:pt>
                <c:pt idx="76">
                  <c:v>2.004025841034734E-3</c:v>
                </c:pt>
                <c:pt idx="77">
                  <c:v>1.9713020693969412E-3</c:v>
                </c:pt>
                <c:pt idx="78">
                  <c:v>1.9394856776061727E-3</c:v>
                </c:pt>
                <c:pt idx="79">
                  <c:v>1.9082875413308428E-3</c:v>
                </c:pt>
                <c:pt idx="80">
                  <c:v>1.8761521850029484E-3</c:v>
                </c:pt>
                <c:pt idx="81">
                  <c:v>1.8430791558970889E-3</c:v>
                </c:pt>
                <c:pt idx="82">
                  <c:v>1.8090680450679455E-3</c:v>
                </c:pt>
                <c:pt idx="83">
                  <c:v>1.7741184903601482E-3</c:v>
                </c:pt>
                <c:pt idx="84">
                  <c:v>1.7382301794241423E-3</c:v>
                </c:pt>
                <c:pt idx="85">
                  <c:v>1.7016624910311804E-3</c:v>
                </c:pt>
                <c:pt idx="86">
                  <c:v>1.6650586761371761E-3</c:v>
                </c:pt>
                <c:pt idx="87">
                  <c:v>1.6284184353909346E-3</c:v>
                </c:pt>
                <c:pt idx="88">
                  <c:v>1.591741516769886E-3</c:v>
                </c:pt>
                <c:pt idx="89">
                  <c:v>1.5550277156982943E-3</c:v>
                </c:pt>
                <c:pt idx="90">
                  <c:v>1.518276875162209E-3</c:v>
                </c:pt>
                <c:pt idx="91">
                  <c:v>1.4814888858303938E-3</c:v>
                </c:pt>
                <c:pt idx="92">
                  <c:v>1.444663686170909E-3</c:v>
                </c:pt>
                <c:pt idx="93">
                  <c:v>1.4072838399489509E-3</c:v>
                </c:pt>
                <c:pt idx="94">
                  <c:v>1.3696456054299521E-3</c:v>
                </c:pt>
                <c:pt idx="95">
                  <c:v>1.3317491300359899E-3</c:v>
                </c:pt>
                <c:pt idx="96">
                  <c:v>1.2935946169997466E-3</c:v>
                </c:pt>
                <c:pt idx="97">
                  <c:v>1.2551823261991208E-3</c:v>
                </c:pt>
                <c:pt idx="98">
                  <c:v>1.2165125749797221E-3</c:v>
                </c:pt>
                <c:pt idx="99">
                  <c:v>1.178531018549023E-3</c:v>
                </c:pt>
                <c:pt idx="100">
                  <c:v>1.1409784368219919E-3</c:v>
                </c:pt>
                <c:pt idx="101">
                  <c:v>1.1038550536024325E-3</c:v>
                </c:pt>
                <c:pt idx="102">
                  <c:v>1.067161122993096E-3</c:v>
                </c:pt>
                <c:pt idx="103">
                  <c:v>1.0308969280113146E-3</c:v>
                </c:pt>
                <c:pt idx="104">
                  <c:v>9.950627792300762E-4</c:v>
                </c:pt>
                <c:pt idx="105">
                  <c:v>9.5965901339547816E-4</c:v>
                </c:pt>
                <c:pt idx="106">
                  <c:v>9.2468599205706721E-4</c:v>
                </c:pt>
                <c:pt idx="107">
                  <c:v>8.914660083540381E-4</c:v>
                </c:pt>
                <c:pt idx="108">
                  <c:v>8.6051521018100418E-4</c:v>
                </c:pt>
                <c:pt idx="109">
                  <c:v>8.3183294911527825E-4</c:v>
                </c:pt>
                <c:pt idx="110">
                  <c:v>8.0542078133839822E-4</c:v>
                </c:pt>
                <c:pt idx="111">
                  <c:v>7.8127994681432764E-4</c:v>
                </c:pt>
                <c:pt idx="112">
                  <c:v>7.5940922933142533E-4</c:v>
                </c:pt>
                <c:pt idx="113">
                  <c:v>7.3934820403789197E-4</c:v>
                </c:pt>
                <c:pt idx="114">
                  <c:v>7.2015296406488603E-4</c:v>
                </c:pt>
                <c:pt idx="115">
                  <c:v>7.018230840361195E-4</c:v>
                </c:pt>
                <c:pt idx="116">
                  <c:v>6.8435812835063463E-4</c:v>
                </c:pt>
                <c:pt idx="117">
                  <c:v>6.6775764930517923E-4</c:v>
                </c:pt>
                <c:pt idx="118">
                  <c:v>6.5202118520923079E-4</c:v>
                </c:pt>
                <c:pt idx="119">
                  <c:v>6.3714825850211623E-4</c:v>
                </c:pt>
                <c:pt idx="120">
                  <c:v>6.2313837386913289E-4</c:v>
                </c:pt>
                <c:pt idx="121">
                  <c:v>6.1006745107680053E-4</c:v>
                </c:pt>
                <c:pt idx="122">
                  <c:v>5.9661734670414187E-4</c:v>
                </c:pt>
                <c:pt idx="123">
                  <c:v>5.8278849856317836E-4</c:v>
                </c:pt>
                <c:pt idx="124">
                  <c:v>5.6858137206597609E-4</c:v>
                </c:pt>
                <c:pt idx="125">
                  <c:v>5.5399646106601952E-4</c:v>
                </c:pt>
                <c:pt idx="126">
                  <c:v>5.3903428869134099E-4</c:v>
                </c:pt>
                <c:pt idx="127">
                  <c:v>5.2395694211069502E-4</c:v>
                </c:pt>
                <c:pt idx="128">
                  <c:v>5.09222167554663E-4</c:v>
                </c:pt>
                <c:pt idx="129">
                  <c:v>4.9482989551230213E-4</c:v>
                </c:pt>
                <c:pt idx="130">
                  <c:v>4.8078005246532293E-4</c:v>
                </c:pt>
                <c:pt idx="131">
                  <c:v>4.6707256014132857E-4</c:v>
                </c:pt>
                <c:pt idx="132">
                  <c:v>4.5370733477230826E-4</c:v>
                </c:pt>
                <c:pt idx="133">
                  <c:v>4.4068428635594617E-4</c:v>
                </c:pt>
                <c:pt idx="134">
                  <c:v>4.280033179142882E-4</c:v>
                </c:pt>
                <c:pt idx="135">
                  <c:v>4.1534246034725426E-4</c:v>
                </c:pt>
                <c:pt idx="136">
                  <c:v>4.0262589482279511E-4</c:v>
                </c:pt>
                <c:pt idx="137">
                  <c:v>3.8985397362245117E-4</c:v>
                </c:pt>
                <c:pt idx="138">
                  <c:v>3.7702706377055442E-4</c:v>
                </c:pt>
                <c:pt idx="139">
                  <c:v>3.641455471779681E-4</c:v>
                </c:pt>
                <c:pt idx="140">
                  <c:v>3.5120982076415012E-4</c:v>
                </c:pt>
                <c:pt idx="141">
                  <c:v>3.3858942463719697E-4</c:v>
                </c:pt>
                <c:pt idx="142">
                  <c:v>3.2602242033489707E-4</c:v>
                </c:pt>
                <c:pt idx="143">
                  <c:v>3.1350789396118484E-4</c:v>
                </c:pt>
                <c:pt idx="144">
                  <c:v>3.0104697359075681E-4</c:v>
                </c:pt>
                <c:pt idx="145">
                  <c:v>2.8864071520247504E-4</c:v>
                </c:pt>
                <c:pt idx="146">
                  <c:v>2.7629010331961886E-4</c:v>
                </c:pt>
                <c:pt idx="147">
                  <c:v>2.63996051660312E-4</c:v>
                </c:pt>
                <c:pt idx="148">
                  <c:v>2.5175940378065084E-4</c:v>
                </c:pt>
                <c:pt idx="149">
                  <c:v>2.3984836464613401E-4</c:v>
                </c:pt>
                <c:pt idx="150">
                  <c:v>2.2858274365270762E-4</c:v>
                </c:pt>
                <c:pt idx="151">
                  <c:v>2.1796212066116727E-4</c:v>
                </c:pt>
                <c:pt idx="152">
                  <c:v>2.0798597676729554E-4</c:v>
                </c:pt>
                <c:pt idx="153">
                  <c:v>1.98653702865589E-4</c:v>
                </c:pt>
                <c:pt idx="154">
                  <c:v>1.8996460821426477E-4</c:v>
                </c:pt>
                <c:pt idx="155">
                  <c:v>1.8211987124928261E-4</c:v>
                </c:pt>
                <c:pt idx="156">
                  <c:v>1.7475224213468223E-4</c:v>
                </c:pt>
                <c:pt idx="157">
                  <c:v>1.6786114707978753E-4</c:v>
                </c:pt>
                <c:pt idx="158">
                  <c:v>1.6144596716665958E-4</c:v>
                </c:pt>
                <c:pt idx="159">
                  <c:v>1.5550604468945705E-4</c:v>
                </c:pt>
                <c:pt idx="160">
                  <c:v>1.5004068949584076E-4</c:v>
                </c:pt>
                <c:pt idx="161">
                  <c:v>1.4504918532650413E-4</c:v>
                </c:pt>
                <c:pt idx="162">
                  <c:v>1.405307961556066E-4</c:v>
                </c:pt>
                <c:pt idx="163">
                  <c:v>1.3666830667668763E-4</c:v>
                </c:pt>
                <c:pt idx="164">
                  <c:v>1.3319566943688336E-4</c:v>
                </c:pt>
                <c:pt idx="165">
                  <c:v>1.3011228041035153E-4</c:v>
                </c:pt>
                <c:pt idx="166">
                  <c:v>1.2741753741517039E-4</c:v>
                </c:pt>
                <c:pt idx="167">
                  <c:v>1.2511084534166508E-4</c:v>
                </c:pt>
                <c:pt idx="168">
                  <c:v>1.2319162138489084E-4</c:v>
                </c:pt>
                <c:pt idx="169">
                  <c:v>1.2184218429251688E-4</c:v>
                </c:pt>
                <c:pt idx="170">
                  <c:v>1.2086158770672848E-4</c:v>
                </c:pt>
                <c:pt idx="171">
                  <c:v>1.2024935379332371E-4</c:v>
                </c:pt>
                <c:pt idx="172">
                  <c:v>1.2000503707824148E-4</c:v>
                </c:pt>
                <c:pt idx="173">
                  <c:v>1.2012700100759955E-4</c:v>
                </c:pt>
                <c:pt idx="174">
                  <c:v>1.2061356604426278E-4</c:v>
                </c:pt>
                <c:pt idx="175">
                  <c:v>1.2146425002420289E-4</c:v>
                </c:pt>
                <c:pt idx="176">
                  <c:v>1.2267857318915245E-4</c:v>
                </c:pt>
                <c:pt idx="177">
                  <c:v>1.2445545146882612E-4</c:v>
                </c:pt>
                <c:pt idx="178">
                  <c:v>1.2661207466594022E-4</c:v>
                </c:pt>
                <c:pt idx="179">
                  <c:v>1.2914795884898399E-4</c:v>
                </c:pt>
                <c:pt idx="180">
                  <c:v>1.3206263185006677E-4</c:v>
                </c:pt>
                <c:pt idx="181">
                  <c:v>1.3535563550390556E-4</c:v>
                </c:pt>
                <c:pt idx="182">
                  <c:v>1.3902652788792068E-4</c:v>
                </c:pt>
                <c:pt idx="183">
                  <c:v>1.433371993618803E-4</c:v>
                </c:pt>
                <c:pt idx="184">
                  <c:v>1.4810536311595066E-4</c:v>
                </c:pt>
                <c:pt idx="185">
                  <c:v>1.5333053007396115E-4</c:v>
                </c:pt>
                <c:pt idx="186">
                  <c:v>1.5901224026900306E-4</c:v>
                </c:pt>
                <c:pt idx="187">
                  <c:v>1.6515006555894564E-4</c:v>
                </c:pt>
                <c:pt idx="188">
                  <c:v>1.7174361234307625E-4</c:v>
                </c:pt>
                <c:pt idx="189">
                  <c:v>1.787925242737026E-4</c:v>
                </c:pt>
                <c:pt idx="190">
                  <c:v>1.8629648497484316E-4</c:v>
                </c:pt>
                <c:pt idx="191">
                  <c:v>1.9461449162390808E-4</c:v>
                </c:pt>
                <c:pt idx="192">
                  <c:v>2.0354786942835811E-4</c:v>
                </c:pt>
                <c:pt idx="193">
                  <c:v>2.1309625552141725E-4</c:v>
                </c:pt>
                <c:pt idx="194">
                  <c:v>2.2325934988019902E-4</c:v>
                </c:pt>
                <c:pt idx="195">
                  <c:v>2.3403691899779862E-4</c:v>
                </c:pt>
                <c:pt idx="196">
                  <c:v>2.4542879954734875E-4</c:v>
                </c:pt>
                <c:pt idx="197">
                  <c:v>2.5712311398377375E-4</c:v>
                </c:pt>
                <c:pt idx="198">
                  <c:v>2.6885949283410126E-4</c:v>
                </c:pt>
                <c:pt idx="199">
                  <c:v>2.806385496560069E-4</c:v>
                </c:pt>
                <c:pt idx="200">
                  <c:v>2.9246093015424142E-4</c:v>
                </c:pt>
                <c:pt idx="201">
                  <c:v>3.0432731245451529E-4</c:v>
                </c:pt>
                <c:pt idx="202">
                  <c:v>3.162384073785385E-4</c:v>
                </c:pt>
                <c:pt idx="203">
                  <c:v>3.2819495872610347E-4</c:v>
                </c:pt>
                <c:pt idx="204">
                  <c:v>3.4019719418488219E-4</c:v>
                </c:pt>
                <c:pt idx="205">
                  <c:v>3.5249717145243234E-4</c:v>
                </c:pt>
                <c:pt idx="206">
                  <c:v>3.6473755315521127E-4</c:v>
                </c:pt>
                <c:pt idx="207">
                  <c:v>3.7691877770596876E-4</c:v>
                </c:pt>
                <c:pt idx="208">
                  <c:v>3.8904126343041585E-4</c:v>
                </c:pt>
                <c:pt idx="209">
                  <c:v>4.0110540874540245E-4</c:v>
                </c:pt>
                <c:pt idx="210">
                  <c:v>4.1311159235002723E-4</c:v>
                </c:pt>
                <c:pt idx="211">
                  <c:v>4.2513364252694469E-4</c:v>
                </c:pt>
                <c:pt idx="212">
                  <c:v>4.3748255799506996E-4</c:v>
                </c:pt>
                <c:pt idx="213">
                  <c:v>4.5015851437599772E-4</c:v>
                </c:pt>
                <c:pt idx="214">
                  <c:v>4.631616947597704E-4</c:v>
                </c:pt>
                <c:pt idx="215">
                  <c:v>4.7649228869618086E-4</c:v>
                </c:pt>
                <c:pt idx="216">
                  <c:v>4.9015049118454634E-4</c:v>
                </c:pt>
                <c:pt idx="217">
                  <c:v>5.0413650166537967E-4</c:v>
                </c:pt>
                <c:pt idx="218">
                  <c:v>5.184505230094457E-4</c:v>
                </c:pt>
                <c:pt idx="219">
                  <c:v>5.3265258622329343E-4</c:v>
                </c:pt>
                <c:pt idx="220">
                  <c:v>5.4649137692772327E-4</c:v>
                </c:pt>
                <c:pt idx="221">
                  <c:v>5.5996718254234081E-4</c:v>
                </c:pt>
                <c:pt idx="222">
                  <c:v>5.7308025288889668E-4</c:v>
                </c:pt>
                <c:pt idx="223">
                  <c:v>5.8583080134068973E-4</c:v>
                </c:pt>
                <c:pt idx="224">
                  <c:v>5.9821900595876244E-4</c:v>
                </c:pt>
                <c:pt idx="225">
                  <c:v>6.1151050873295431E-4</c:v>
                </c:pt>
                <c:pt idx="226">
                  <c:v>6.2563201500208962E-4</c:v>
                </c:pt>
                <c:pt idx="227">
                  <c:v>6.4058364981793244E-4</c:v>
                </c:pt>
                <c:pt idx="228">
                  <c:v>6.5636555725320431E-4</c:v>
                </c:pt>
                <c:pt idx="229">
                  <c:v>6.7297789782876907E-4</c:v>
                </c:pt>
                <c:pt idx="230">
                  <c:v>6.9042084595068848E-4</c:v>
                </c:pt>
                <c:pt idx="231">
                  <c:v>7.0869458735009364E-4</c:v>
                </c:pt>
                <c:pt idx="232">
                  <c:v>7.2779931650832769E-4</c:v>
                </c:pt>
                <c:pt idx="233">
                  <c:v>7.4863930641582116E-4</c:v>
                </c:pt>
                <c:pt idx="234">
                  <c:v>7.7165508103945E-4</c:v>
                </c:pt>
                <c:pt idx="235">
                  <c:v>7.9684771870833226E-4</c:v>
                </c:pt>
                <c:pt idx="236">
                  <c:v>8.2421868886337079E-4</c:v>
                </c:pt>
                <c:pt idx="237">
                  <c:v>8.5376908319830414E-4</c:v>
                </c:pt>
                <c:pt idx="238">
                  <c:v>8.855001020675017E-4</c:v>
                </c:pt>
                <c:pt idx="239">
                  <c:v>9.1891828025296516E-4</c:v>
                </c:pt>
                <c:pt idx="240">
                  <c:v>9.5275859322800627E-4</c:v>
                </c:pt>
                <c:pt idx="241">
                  <c:v>9.8702206755250151E-4</c:v>
                </c:pt>
                <c:pt idx="242">
                  <c:v>1.0217097722100075E-3</c:v>
                </c:pt>
                <c:pt idx="243">
                  <c:v>1.0568228193393932E-3</c:v>
                </c:pt>
                <c:pt idx="244">
                  <c:v>1.0923623649619829E-3</c:v>
                </c:pt>
                <c:pt idx="245">
                  <c:v>1.1283296096975537E-3</c:v>
                </c:pt>
                <c:pt idx="246">
                  <c:v>1.1647257994770769E-3</c:v>
                </c:pt>
                <c:pt idx="247">
                  <c:v>1.2018006059584926E-3</c:v>
                </c:pt>
                <c:pt idx="248">
                  <c:v>1.238650073677278E-3</c:v>
                </c:pt>
                <c:pt idx="249">
                  <c:v>1.2752752740564292E-3</c:v>
                </c:pt>
                <c:pt idx="250">
                  <c:v>1.3116772910661109E-3</c:v>
                </c:pt>
                <c:pt idx="251">
                  <c:v>1.3478572208219164E-3</c:v>
                </c:pt>
                <c:pt idx="252">
                  <c:v>1.3838161711297629E-3</c:v>
                </c:pt>
                <c:pt idx="253">
                  <c:v>1.4192715331419132E-3</c:v>
                </c:pt>
                <c:pt idx="254">
                  <c:v>1.4547201288945039E-3</c:v>
                </c:pt>
                <c:pt idx="255">
                  <c:v>1.490163230177626E-3</c:v>
                </c:pt>
                <c:pt idx="256">
                  <c:v>1.5256021314362124E-3</c:v>
                </c:pt>
                <c:pt idx="257">
                  <c:v>1.5610381496956344E-3</c:v>
                </c:pt>
                <c:pt idx="258">
                  <c:v>1.5964726245008803E-3</c:v>
                </c:pt>
                <c:pt idx="259">
                  <c:v>1.6319069178784736E-3</c:v>
                </c:pt>
                <c:pt idx="260">
                  <c:v>1.6673424142506276E-3</c:v>
                </c:pt>
                <c:pt idx="261">
                  <c:v>1.7021630261510976E-3</c:v>
                </c:pt>
                <c:pt idx="262">
                  <c:v>1.7361204311026259E-3</c:v>
                </c:pt>
                <c:pt idx="263">
                  <c:v>1.7692152650903585E-3</c:v>
                </c:pt>
                <c:pt idx="264">
                  <c:v>1.8014482123924144E-3</c:v>
                </c:pt>
                <c:pt idx="265">
                  <c:v>1.8328297447441641E-3</c:v>
                </c:pt>
                <c:pt idx="266">
                  <c:v>1.8633660508450443E-3</c:v>
                </c:pt>
                <c:pt idx="267">
                  <c:v>1.8945554093078229E-3</c:v>
                </c:pt>
                <c:pt idx="268">
                  <c:v>1.9266830617446593E-3</c:v>
                </c:pt>
                <c:pt idx="269">
                  <c:v>1.9597495655007571E-3</c:v>
                </c:pt>
                <c:pt idx="270">
                  <c:v>1.9937554264039194E-3</c:v>
                </c:pt>
                <c:pt idx="271">
                  <c:v>2.0287010890207356E-3</c:v>
                </c:pt>
                <c:pt idx="272">
                  <c:v>2.0645869269655857E-3</c:v>
                </c:pt>
                <c:pt idx="273">
                  <c:v>2.1014132331845124E-3</c:v>
                </c:pt>
                <c:pt idx="274">
                  <c:v>2.1391802102658166E-3</c:v>
                </c:pt>
                <c:pt idx="275">
                  <c:v>2.1875450848682127E-3</c:v>
                </c:pt>
                <c:pt idx="276">
                  <c:v>2.2471433147765651E-3</c:v>
                </c:pt>
                <c:pt idx="277">
                  <c:v>2.3179904225751218E-3</c:v>
                </c:pt>
                <c:pt idx="278">
                  <c:v>2.4001021809096717E-3</c:v>
                </c:pt>
                <c:pt idx="279">
                  <c:v>2.4934944899371466E-3</c:v>
                </c:pt>
                <c:pt idx="280">
                  <c:v>2.5981832547978265E-3</c:v>
                </c:pt>
                <c:pt idx="281">
                  <c:v>2.7224173384869238E-3</c:v>
                </c:pt>
                <c:pt idx="282">
                  <c:v>2.8647149787260746E-3</c:v>
                </c:pt>
                <c:pt idx="283">
                  <c:v>3.0251019437092688E-3</c:v>
                </c:pt>
                <c:pt idx="284">
                  <c:v>3.2036034904509383E-3</c:v>
                </c:pt>
                <c:pt idx="285">
                  <c:v>3.4002441686407769E-3</c:v>
                </c:pt>
                <c:pt idx="286">
                  <c:v>3.6150476245290185E-3</c:v>
                </c:pt>
                <c:pt idx="287">
                  <c:v>3.8480364047816123E-3</c:v>
                </c:pt>
                <c:pt idx="288">
                  <c:v>4.0992317603465557E-3</c:v>
                </c:pt>
                <c:pt idx="289">
                  <c:v>4.3720331607554706E-3</c:v>
                </c:pt>
                <c:pt idx="290">
                  <c:v>4.6567321073151145E-3</c:v>
                </c:pt>
                <c:pt idx="291">
                  <c:v>4.9533353373557272E-3</c:v>
                </c:pt>
                <c:pt idx="292">
                  <c:v>5.2618478158224097E-3</c:v>
                </c:pt>
                <c:pt idx="293">
                  <c:v>5.5822726083398664E-3</c:v>
                </c:pt>
                <c:pt idx="294">
                  <c:v>5.9146107542610042E-3</c:v>
                </c:pt>
                <c:pt idx="295">
                  <c:v>6.257798660608424E-3</c:v>
                </c:pt>
                <c:pt idx="296">
                  <c:v>6.6036170433128247E-3</c:v>
                </c:pt>
                <c:pt idx="297">
                  <c:v>6.952119483707519E-3</c:v>
                </c:pt>
                <c:pt idx="298">
                  <c:v>7.3033094407153202E-3</c:v>
                </c:pt>
                <c:pt idx="299">
                  <c:v>7.6571891745950416E-3</c:v>
                </c:pt>
                <c:pt idx="300">
                  <c:v>8.0137597254561679E-3</c:v>
                </c:pt>
                <c:pt idx="301">
                  <c:v>8.3730208917518791E-3</c:v>
                </c:pt>
                <c:pt idx="302">
                  <c:v>8.7349712087889889E-3</c:v>
                </c:pt>
                <c:pt idx="303">
                  <c:v>9.0821089563735535E-3</c:v>
                </c:pt>
                <c:pt idx="304">
                  <c:v>9.4110013653251282E-3</c:v>
                </c:pt>
                <c:pt idx="305">
                  <c:v>9.7216132365859909E-3</c:v>
                </c:pt>
                <c:pt idx="306">
                  <c:v>1.0013908279748537E-2</c:v>
                </c:pt>
                <c:pt idx="307">
                  <c:v>1.0287849284012116E-2</c:v>
                </c:pt>
                <c:pt idx="308">
                  <c:v>1.0543398289054082E-2</c:v>
                </c:pt>
                <c:pt idx="309">
                  <c:v>1.078012551437272E-2</c:v>
                </c:pt>
                <c:pt idx="310">
                  <c:v>1.0999062083216072E-2</c:v>
                </c:pt>
                <c:pt idx="311">
                  <c:v>1.1200169739594701E-2</c:v>
                </c:pt>
                <c:pt idx="312">
                  <c:v>1.13834101344963E-2</c:v>
                </c:pt>
                <c:pt idx="313">
                  <c:v>1.1548744990635478E-2</c:v>
                </c:pt>
                <c:pt idx="314">
                  <c:v>1.1696136267100929E-2</c:v>
                </c:pt>
                <c:pt idx="315">
                  <c:v>1.1825546324146924E-2</c:v>
                </c:pt>
                <c:pt idx="316">
                  <c:v>1.1936938087806102E-2</c:v>
                </c:pt>
                <c:pt idx="317">
                  <c:v>1.2043838318262591E-2</c:v>
                </c:pt>
                <c:pt idx="318">
                  <c:v>1.2163842713911464E-2</c:v>
                </c:pt>
                <c:pt idx="319">
                  <c:v>1.2296950786594979E-2</c:v>
                </c:pt>
                <c:pt idx="320">
                  <c:v>1.2443160540819976E-2</c:v>
                </c:pt>
                <c:pt idx="321">
                  <c:v>1.2602468353286553E-2</c:v>
                </c:pt>
                <c:pt idx="322">
                  <c:v>1.2774868852472872E-2</c:v>
                </c:pt>
                <c:pt idx="323">
                  <c:v>1.2947617184128337E-2</c:v>
                </c:pt>
                <c:pt idx="324">
                  <c:v>1.3121086668688104E-2</c:v>
                </c:pt>
                <c:pt idx="325">
                  <c:v>1.3295255986855702E-2</c:v>
                </c:pt>
                <c:pt idx="326">
                  <c:v>1.3470019282384555E-2</c:v>
                </c:pt>
                <c:pt idx="327">
                  <c:v>1.3645322176794671E-2</c:v>
                </c:pt>
                <c:pt idx="328">
                  <c:v>1.3821178895413988E-2</c:v>
                </c:pt>
                <c:pt idx="329">
                  <c:v>1.399760496400851E-2</c:v>
                </c:pt>
                <c:pt idx="330">
                  <c:v>1.4174617226451925E-2</c:v>
                </c:pt>
                <c:pt idx="331">
                  <c:v>1.433660861391879E-2</c:v>
                </c:pt>
                <c:pt idx="332">
                  <c:v>1.4469979670198503E-2</c:v>
                </c:pt>
                <c:pt idx="333">
                  <c:v>1.4574744959541926E-2</c:v>
                </c:pt>
                <c:pt idx="334">
                  <c:v>1.4650922861930924E-2</c:v>
                </c:pt>
                <c:pt idx="335">
                  <c:v>1.4698534982799929E-2</c:v>
                </c:pt>
                <c:pt idx="336">
                  <c:v>1.4717605562566967E-2</c:v>
                </c:pt>
                <c:pt idx="337">
                  <c:v>1.470999819646731E-2</c:v>
                </c:pt>
                <c:pt idx="338">
                  <c:v>1.4688504108484665E-2</c:v>
                </c:pt>
                <c:pt idx="339">
                  <c:v>1.4653152971385345E-2</c:v>
                </c:pt>
                <c:pt idx="340">
                  <c:v>1.460397456338134E-2</c:v>
                </c:pt>
                <c:pt idx="341">
                  <c:v>1.4540998481373068E-2</c:v>
                </c:pt>
                <c:pt idx="342">
                  <c:v>1.4464253854179465E-2</c:v>
                </c:pt>
                <c:pt idx="343">
                  <c:v>1.4373769055592756E-2</c:v>
                </c:pt>
                <c:pt idx="344">
                  <c:v>1.4269571417662113E-2</c:v>
                </c:pt>
                <c:pt idx="345">
                  <c:v>1.4151686943824087E-2</c:v>
                </c:pt>
                <c:pt idx="346">
                  <c:v>1.4042941383620514E-2</c:v>
                </c:pt>
                <c:pt idx="347">
                  <c:v>1.3943361765976827E-2</c:v>
                </c:pt>
                <c:pt idx="348">
                  <c:v>1.3852974919870002E-2</c:v>
                </c:pt>
                <c:pt idx="349">
                  <c:v>1.3771807661367945E-2</c:v>
                </c:pt>
                <c:pt idx="350">
                  <c:v>1.3699886980993883E-2</c:v>
                </c:pt>
                <c:pt idx="351">
                  <c:v>1.3644409514252458E-2</c:v>
                </c:pt>
                <c:pt idx="352">
                  <c:v>1.3603567552693116E-2</c:v>
                </c:pt>
                <c:pt idx="353">
                  <c:v>1.3577393222704391E-2</c:v>
                </c:pt>
                <c:pt idx="354">
                  <c:v>1.3565920496978447E-2</c:v>
                </c:pt>
                <c:pt idx="355">
                  <c:v>1.3569185491738451E-2</c:v>
                </c:pt>
                <c:pt idx="356">
                  <c:v>1.3587236154213811E-2</c:v>
                </c:pt>
                <c:pt idx="357">
                  <c:v>1.3620083499072436E-2</c:v>
                </c:pt>
                <c:pt idx="358">
                  <c:v>1.3667708341204015E-2</c:v>
                </c:pt>
                <c:pt idx="359">
                  <c:v>1.3730093633197204E-2</c:v>
                </c:pt>
                <c:pt idx="360">
                  <c:v>1.3809067358303541E-2</c:v>
                </c:pt>
                <c:pt idx="361">
                  <c:v>1.3897428111095027E-2</c:v>
                </c:pt>
                <c:pt idx="362">
                  <c:v>1.3995156369580914E-2</c:v>
                </c:pt>
                <c:pt idx="363">
                  <c:v>1.4102232737947785E-2</c:v>
                </c:pt>
                <c:pt idx="364">
                  <c:v>1.4218637715699574E-2</c:v>
                </c:pt>
                <c:pt idx="365">
                  <c:v>1.4344351466631365E-2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2.8533885933822417E-2</c:v>
                </c:pt>
                <c:pt idx="1">
                  <c:v>2.8305867036990187E-2</c:v>
                </c:pt>
                <c:pt idx="2">
                  <c:v>2.8106395841936069E-2</c:v>
                </c:pt>
                <c:pt idx="3">
                  <c:v>2.7935438258636827E-2</c:v>
                </c:pt>
                <c:pt idx="4">
                  <c:v>2.7792962817212774E-2</c:v>
                </c:pt>
                <c:pt idx="5">
                  <c:v>2.7678939938067887E-2</c:v>
                </c:pt>
                <c:pt idx="6">
                  <c:v>2.7593341202383454E-2</c:v>
                </c:pt>
                <c:pt idx="7">
                  <c:v>2.7536138621986946E-2</c:v>
                </c:pt>
                <c:pt idx="8">
                  <c:v>2.750730390961106E-2</c:v>
                </c:pt>
                <c:pt idx="9">
                  <c:v>2.7481253923241838E-2</c:v>
                </c:pt>
                <c:pt idx="10">
                  <c:v>2.744126459504562E-2</c:v>
                </c:pt>
                <c:pt idx="11">
                  <c:v>2.7387251065297036E-2</c:v>
                </c:pt>
                <c:pt idx="12">
                  <c:v>2.7319130439771067E-2</c:v>
                </c:pt>
                <c:pt idx="13">
                  <c:v>2.723682213319277E-2</c:v>
                </c:pt>
                <c:pt idx="14">
                  <c:v>2.714024821222108E-2</c:v>
                </c:pt>
                <c:pt idx="15">
                  <c:v>2.7024738152906413E-2</c:v>
                </c:pt>
                <c:pt idx="16">
                  <c:v>2.6878136634361866E-2</c:v>
                </c:pt>
                <c:pt idx="17">
                  <c:v>2.6700363181226618E-2</c:v>
                </c:pt>
                <c:pt idx="18">
                  <c:v>2.6491344853355036E-2</c:v>
                </c:pt>
                <c:pt idx="19">
                  <c:v>2.6251163438027664E-2</c:v>
                </c:pt>
                <c:pt idx="20">
                  <c:v>2.5979969196759725E-2</c:v>
                </c:pt>
                <c:pt idx="21">
                  <c:v>2.5677800512280014E-2</c:v>
                </c:pt>
                <c:pt idx="22">
                  <c:v>2.5344698799171114E-2</c:v>
                </c:pt>
                <c:pt idx="23">
                  <c:v>2.4986957688481113E-2</c:v>
                </c:pt>
                <c:pt idx="24">
                  <c:v>2.4630277612315413E-2</c:v>
                </c:pt>
                <c:pt idx="25">
                  <c:v>2.427471184243998E-2</c:v>
                </c:pt>
                <c:pt idx="26">
                  <c:v>2.3920311666760317E-2</c:v>
                </c:pt>
                <c:pt idx="27">
                  <c:v>2.356712640966804E-2</c:v>
                </c:pt>
                <c:pt idx="28">
                  <c:v>2.3215203452909977E-2</c:v>
                </c:pt>
                <c:pt idx="29">
                  <c:v>2.2848203293791728E-2</c:v>
                </c:pt>
                <c:pt idx="30">
                  <c:v>2.2470773861736192E-2</c:v>
                </c:pt>
                <c:pt idx="31">
                  <c:v>2.2082958690050256E-2</c:v>
                </c:pt>
                <c:pt idx="32">
                  <c:v>2.1684800144206217E-2</c:v>
                </c:pt>
                <c:pt idx="33">
                  <c:v>2.1276339295108138E-2</c:v>
                </c:pt>
                <c:pt idx="34">
                  <c:v>2.0857615792458012E-2</c:v>
                </c:pt>
                <c:pt idx="35">
                  <c:v>2.0428667738099249E-2</c:v>
                </c:pt>
                <c:pt idx="36">
                  <c:v>1.9989531559314679E-2</c:v>
                </c:pt>
                <c:pt idx="37">
                  <c:v>1.9538874229783103E-2</c:v>
                </c:pt>
                <c:pt idx="38">
                  <c:v>1.9070481475583528E-2</c:v>
                </c:pt>
                <c:pt idx="39">
                  <c:v>1.8584385964947856E-2</c:v>
                </c:pt>
                <c:pt idx="40">
                  <c:v>1.8080618221520652E-2</c:v>
                </c:pt>
                <c:pt idx="41">
                  <c:v>1.7559206402536092E-2</c:v>
                </c:pt>
                <c:pt idx="42">
                  <c:v>1.7020176076858667E-2</c:v>
                </c:pt>
                <c:pt idx="43">
                  <c:v>1.6463415116742562E-2</c:v>
                </c:pt>
                <c:pt idx="44">
                  <c:v>1.5905310826548287E-2</c:v>
                </c:pt>
                <c:pt idx="45">
                  <c:v>1.5345876011469617E-2</c:v>
                </c:pt>
                <c:pt idx="46">
                  <c:v>1.4785120637990729E-2</c:v>
                </c:pt>
                <c:pt idx="47">
                  <c:v>1.4223051815208195E-2</c:v>
                </c:pt>
                <c:pt idx="48">
                  <c:v>1.3659673775949559E-2</c:v>
                </c:pt>
                <c:pt idx="49">
                  <c:v>1.3094987858029804E-2</c:v>
                </c:pt>
                <c:pt idx="50">
                  <c:v>1.2528992485419714E-2</c:v>
                </c:pt>
                <c:pt idx="51">
                  <c:v>1.1972969355463428E-2</c:v>
                </c:pt>
                <c:pt idx="52">
                  <c:v>1.142821442971014E-2</c:v>
                </c:pt>
                <c:pt idx="53">
                  <c:v>1.0894655389088228E-2</c:v>
                </c:pt>
                <c:pt idx="54">
                  <c:v>1.0372283027199123E-2</c:v>
                </c:pt>
                <c:pt idx="55">
                  <c:v>9.8610891110865427E-3</c:v>
                </c:pt>
                <c:pt idx="56">
                  <c:v>9.3610663399774901E-3</c:v>
                </c:pt>
                <c:pt idx="57">
                  <c:v>8.8909251275828948E-3</c:v>
                </c:pt>
                <c:pt idx="58">
                  <c:v>8.4507950394342845E-3</c:v>
                </c:pt>
                <c:pt idx="59">
                  <c:v>8.0406717388102206E-3</c:v>
                </c:pt>
                <c:pt idx="60">
                  <c:v>7.6605517022904348E-3</c:v>
                </c:pt>
                <c:pt idx="61">
                  <c:v>7.3104321087590551E-3</c:v>
                </c:pt>
                <c:pt idx="62">
                  <c:v>6.9903107283966837E-3</c:v>
                </c:pt>
                <c:pt idx="63">
                  <c:v>6.7001858116947461E-3</c:v>
                </c:pt>
                <c:pt idx="64">
                  <c:v>6.4400559784409291E-3</c:v>
                </c:pt>
                <c:pt idx="65">
                  <c:v>6.2119746848571114E-3</c:v>
                </c:pt>
                <c:pt idx="66">
                  <c:v>6.004654283754649E-3</c:v>
                </c:pt>
                <c:pt idx="67">
                  <c:v>5.8180937920443146E-3</c:v>
                </c:pt>
                <c:pt idx="68">
                  <c:v>5.652292276695222E-3</c:v>
                </c:pt>
                <c:pt idx="69">
                  <c:v>5.507248777869643E-3</c:v>
                </c:pt>
                <c:pt idx="70">
                  <c:v>5.3829622320860646E-3</c:v>
                </c:pt>
                <c:pt idx="71">
                  <c:v>5.2787799456709373E-3</c:v>
                </c:pt>
                <c:pt idx="72">
                  <c:v>5.175983273867325E-3</c:v>
                </c:pt>
                <c:pt idx="73">
                  <c:v>5.0745714470886725E-3</c:v>
                </c:pt>
                <c:pt idx="74">
                  <c:v>4.9745438117248311E-3</c:v>
                </c:pt>
                <c:pt idx="75">
                  <c:v>4.8758998249589973E-3</c:v>
                </c:pt>
                <c:pt idx="76">
                  <c:v>4.7786390495689274E-3</c:v>
                </c:pt>
                <c:pt idx="77">
                  <c:v>4.6827611487442909E-3</c:v>
                </c:pt>
                <c:pt idx="78">
                  <c:v>4.5882660332229137E-3</c:v>
                </c:pt>
                <c:pt idx="79">
                  <c:v>4.4957380609150178E-3</c:v>
                </c:pt>
                <c:pt idx="80">
                  <c:v>4.4031340900069727E-3</c:v>
                </c:pt>
                <c:pt idx="81">
                  <c:v>4.310452766541884E-3</c:v>
                </c:pt>
                <c:pt idx="82">
                  <c:v>4.2176928552010683E-3</c:v>
                </c:pt>
                <c:pt idx="83">
                  <c:v>4.1248532395708774E-3</c:v>
                </c:pt>
                <c:pt idx="84">
                  <c:v>4.0319329224234382E-3</c:v>
                </c:pt>
                <c:pt idx="85">
                  <c:v>3.9401172639242261E-3</c:v>
                </c:pt>
                <c:pt idx="86">
                  <c:v>3.8500563768005393E-3</c:v>
                </c:pt>
                <c:pt idx="87">
                  <c:v>3.7617493041882479E-3</c:v>
                </c:pt>
                <c:pt idx="88">
                  <c:v>3.6751951791019811E-3</c:v>
                </c:pt>
                <c:pt idx="89">
                  <c:v>3.590393218820083E-3</c:v>
                </c:pt>
                <c:pt idx="90">
                  <c:v>3.5073427192620315E-3</c:v>
                </c:pt>
                <c:pt idx="91">
                  <c:v>3.4260430493796581E-3</c:v>
                </c:pt>
                <c:pt idx="92">
                  <c:v>3.3464936455383384E-3</c:v>
                </c:pt>
                <c:pt idx="93">
                  <c:v>3.2679499625442223E-3</c:v>
                </c:pt>
                <c:pt idx="94">
                  <c:v>3.1898453789318232E-3</c:v>
                </c:pt>
                <c:pt idx="95">
                  <c:v>3.1121798497800034E-3</c:v>
                </c:pt>
                <c:pt idx="96">
                  <c:v>3.0349534168155096E-3</c:v>
                </c:pt>
                <c:pt idx="97">
                  <c:v>2.9581662070153124E-3</c:v>
                </c:pt>
                <c:pt idx="98">
                  <c:v>2.8818184311806979E-3</c:v>
                </c:pt>
                <c:pt idx="99">
                  <c:v>2.8071707279086213E-3</c:v>
                </c:pt>
                <c:pt idx="100">
                  <c:v>2.733038217663812E-3</c:v>
                </c:pt>
                <c:pt idx="101">
                  <c:v>2.6594213008951785E-3</c:v>
                </c:pt>
                <c:pt idx="102">
                  <c:v>2.5863204513898869E-3</c:v>
                </c:pt>
                <c:pt idx="103">
                  <c:v>2.5137362145893822E-3</c:v>
                </c:pt>
                <c:pt idx="104">
                  <c:v>2.44166920596682E-3</c:v>
                </c:pt>
                <c:pt idx="105">
                  <c:v>2.3701201093475235E-3</c:v>
                </c:pt>
                <c:pt idx="106">
                  <c:v>2.2990896752605968E-3</c:v>
                </c:pt>
                <c:pt idx="107">
                  <c:v>2.2305822454043518E-3</c:v>
                </c:pt>
                <c:pt idx="108">
                  <c:v>2.1653402686312956E-3</c:v>
                </c:pt>
                <c:pt idx="109">
                  <c:v>2.1033630772633741E-3</c:v>
                </c:pt>
                <c:pt idx="110">
                  <c:v>2.0446557247235063E-3</c:v>
                </c:pt>
                <c:pt idx="111">
                  <c:v>1.9892226612027546E-3</c:v>
                </c:pt>
                <c:pt idx="112">
                  <c:v>1.9370622128247587E-3</c:v>
                </c:pt>
                <c:pt idx="113">
                  <c:v>1.8879459256447859E-3</c:v>
                </c:pt>
                <c:pt idx="114">
                  <c:v>1.840615011633093E-3</c:v>
                </c:pt>
                <c:pt idx="115">
                  <c:v>1.795068631450138E-3</c:v>
                </c:pt>
                <c:pt idx="116">
                  <c:v>1.7513059314247584E-3</c:v>
                </c:pt>
                <c:pt idx="117">
                  <c:v>1.7093260396880544E-3</c:v>
                </c:pt>
                <c:pt idx="118">
                  <c:v>1.6691280622884595E-3</c:v>
                </c:pt>
                <c:pt idx="119">
                  <c:v>1.6307110793121907E-3</c:v>
                </c:pt>
                <c:pt idx="120">
                  <c:v>1.5940741410011264E-3</c:v>
                </c:pt>
                <c:pt idx="121">
                  <c:v>1.5598365025915101E-3</c:v>
                </c:pt>
                <c:pt idx="122">
                  <c:v>1.5259997403593189E-3</c:v>
                </c:pt>
                <c:pt idx="123">
                  <c:v>1.4925638874505396E-3</c:v>
                </c:pt>
                <c:pt idx="124">
                  <c:v>1.4595289898452692E-3</c:v>
                </c:pt>
                <c:pt idx="125">
                  <c:v>1.4268951055072855E-3</c:v>
                </c:pt>
                <c:pt idx="126">
                  <c:v>1.3946623035125101E-3</c:v>
                </c:pt>
                <c:pt idx="127">
                  <c:v>1.3628668196305519E-3</c:v>
                </c:pt>
                <c:pt idx="128">
                  <c:v>1.3317345769299669E-3</c:v>
                </c:pt>
                <c:pt idx="129">
                  <c:v>1.3012654242583403E-3</c:v>
                </c:pt>
                <c:pt idx="130">
                  <c:v>1.271459204837266E-3</c:v>
                </c:pt>
                <c:pt idx="131">
                  <c:v>1.2423157548101204E-3</c:v>
                </c:pt>
                <c:pt idx="132">
                  <c:v>1.2138349018034071E-3</c:v>
                </c:pt>
                <c:pt idx="133">
                  <c:v>1.1860164634956488E-3</c:v>
                </c:pt>
                <c:pt idx="134">
                  <c:v>1.1588602461793695E-3</c:v>
                </c:pt>
                <c:pt idx="135">
                  <c:v>1.1317419004343149E-3</c:v>
                </c:pt>
                <c:pt idx="136">
                  <c:v>1.1040446198818414E-3</c:v>
                </c:pt>
                <c:pt idx="137">
                  <c:v>1.075769637510897E-3</c:v>
                </c:pt>
                <c:pt idx="138">
                  <c:v>1.0469182458536326E-3</c:v>
                </c:pt>
                <c:pt idx="139">
                  <c:v>1.0174917983054063E-3</c:v>
                </c:pt>
                <c:pt idx="140">
                  <c:v>9.8749171038483912E-4</c:v>
                </c:pt>
                <c:pt idx="141">
                  <c:v>9.5780592069479248E-4</c:v>
                </c:pt>
                <c:pt idx="142">
                  <c:v>9.2839372630660992E-4</c:v>
                </c:pt>
                <c:pt idx="143">
                  <c:v>8.9925200511499026E-4</c:v>
                </c:pt>
                <c:pt idx="144">
                  <c:v>8.703833921247583E-4</c:v>
                </c:pt>
                <c:pt idx="145">
                  <c:v>8.4179033708895118E-4</c:v>
                </c:pt>
                <c:pt idx="146">
                  <c:v>8.1347510803778621E-4</c:v>
                </c:pt>
                <c:pt idx="147">
                  <c:v>7.854397948370463E-4</c:v>
                </c:pt>
                <c:pt idx="148">
                  <c:v>7.576863127254132E-4</c:v>
                </c:pt>
                <c:pt idx="149">
                  <c:v>7.3058053163827788E-4</c:v>
                </c:pt>
                <c:pt idx="150">
                  <c:v>7.0474308959717297E-4</c:v>
                </c:pt>
                <c:pt idx="151">
                  <c:v>6.8017363012934547E-4</c:v>
                </c:pt>
                <c:pt idx="152">
                  <c:v>6.5687158358857835E-4</c:v>
                </c:pt>
                <c:pt idx="153">
                  <c:v>6.3483618396953617E-4</c:v>
                </c:pt>
                <c:pt idx="154">
                  <c:v>6.1406648572603321E-4</c:v>
                </c:pt>
                <c:pt idx="155">
                  <c:v>5.9512878191035959E-4</c:v>
                </c:pt>
                <c:pt idx="156">
                  <c:v>5.7714170250903346E-4</c:v>
                </c:pt>
                <c:pt idx="157">
                  <c:v>5.6010445270879413E-4</c:v>
                </c:pt>
                <c:pt idx="158">
                  <c:v>5.4401613069519829E-4</c:v>
                </c:pt>
                <c:pt idx="159">
                  <c:v>5.2887574024081487E-4</c:v>
                </c:pt>
                <c:pt idx="160">
                  <c:v>5.1468220330025936E-4</c:v>
                </c:pt>
                <c:pt idx="161">
                  <c:v>5.0143437259895379E-4</c:v>
                </c:pt>
                <c:pt idx="162">
                  <c:v>4.8913104422489866E-4</c:v>
                </c:pt>
                <c:pt idx="163">
                  <c:v>4.7828219667243616E-4</c:v>
                </c:pt>
                <c:pt idx="164">
                  <c:v>4.6852485575771225E-4</c:v>
                </c:pt>
                <c:pt idx="165">
                  <c:v>4.5985746219467401E-4</c:v>
                </c:pt>
                <c:pt idx="166">
                  <c:v>4.5227846195875968E-4</c:v>
                </c:pt>
                <c:pt idx="167">
                  <c:v>4.4578632091495053E-4</c:v>
                </c:pt>
                <c:pt idx="168">
                  <c:v>4.4037953946051859E-4</c:v>
                </c:pt>
                <c:pt idx="169">
                  <c:v>4.3656608270808349E-4</c:v>
                </c:pt>
                <c:pt idx="170">
                  <c:v>4.3378149245031734E-4</c:v>
                </c:pt>
                <c:pt idx="171">
                  <c:v>4.3202457037961158E-4</c:v>
                </c:pt>
                <c:pt idx="172">
                  <c:v>4.3129420832636374E-4</c:v>
                </c:pt>
                <c:pt idx="173">
                  <c:v>4.3158498872682306E-4</c:v>
                </c:pt>
                <c:pt idx="174">
                  <c:v>4.328913237131216E-4</c:v>
                </c:pt>
                <c:pt idx="175">
                  <c:v>4.3521192705175634E-4</c:v>
                </c:pt>
                <c:pt idx="176">
                  <c:v>4.3854551921124852E-4</c:v>
                </c:pt>
                <c:pt idx="177">
                  <c:v>4.4345106674473672E-4</c:v>
                </c:pt>
                <c:pt idx="178">
                  <c:v>4.4941940926650838E-4</c:v>
                </c:pt>
                <c:pt idx="179">
                  <c:v>4.5644924842306466E-4</c:v>
                </c:pt>
                <c:pt idx="180">
                  <c:v>4.6453931873405687E-4</c:v>
                </c:pt>
                <c:pt idx="181">
                  <c:v>4.7368839385674745E-4</c:v>
                </c:pt>
                <c:pt idx="182">
                  <c:v>4.8389529285440953E-4</c:v>
                </c:pt>
                <c:pt idx="183">
                  <c:v>4.9551604492177983E-4</c:v>
                </c:pt>
                <c:pt idx="184">
                  <c:v>5.0804348383919886E-4</c:v>
                </c:pt>
                <c:pt idx="185">
                  <c:v>5.2147681947877747E-4</c:v>
                </c:pt>
                <c:pt idx="186">
                  <c:v>5.3581532696335172E-4</c:v>
                </c:pt>
                <c:pt idx="187">
                  <c:v>5.5105835206015316E-4</c:v>
                </c:pt>
                <c:pt idx="188">
                  <c:v>5.6720531657809576E-4</c:v>
                </c:pt>
                <c:pt idx="189">
                  <c:v>5.8425572374824601E-4</c:v>
                </c:pt>
                <c:pt idx="190">
                  <c:v>6.0220916362790325E-4</c:v>
                </c:pt>
                <c:pt idx="191">
                  <c:v>6.2192810617422501E-4</c:v>
                </c:pt>
                <c:pt idx="192">
                  <c:v>6.4285493380682093E-4</c:v>
                </c:pt>
                <c:pt idx="193">
                  <c:v>6.6498918823740434E-4</c:v>
                </c:pt>
                <c:pt idx="194">
                  <c:v>6.8833054281245126E-4</c:v>
                </c:pt>
                <c:pt idx="195">
                  <c:v>7.1287880972905444E-4</c:v>
                </c:pt>
                <c:pt idx="196">
                  <c:v>7.3863394722555791E-4</c:v>
                </c:pt>
                <c:pt idx="197">
                  <c:v>7.6499146341452162E-4</c:v>
                </c:pt>
                <c:pt idx="198">
                  <c:v>7.9159731873275037E-4</c:v>
                </c:pt>
                <c:pt idx="199">
                  <c:v>8.1845286154230972E-4</c:v>
                </c:pt>
                <c:pt idx="200">
                  <c:v>8.4555952652641553E-4</c:v>
                </c:pt>
                <c:pt idx="201">
                  <c:v>8.7291883619958037E-4</c:v>
                </c:pt>
                <c:pt idx="202">
                  <c:v>9.0053240242141477E-4</c:v>
                </c:pt>
                <c:pt idx="203">
                  <c:v>9.2840192793047815E-4</c:v>
                </c:pt>
                <c:pt idx="204">
                  <c:v>9.5652766321517406E-4</c:v>
                </c:pt>
                <c:pt idx="205">
                  <c:v>9.8494402487754704E-4</c:v>
                </c:pt>
                <c:pt idx="206">
                  <c:v>1.0127930751904345E-3</c:v>
                </c:pt>
                <c:pt idx="207">
                  <c:v>1.0400760394877492E-3</c:v>
                </c:pt>
                <c:pt idx="208">
                  <c:v>1.0667940619950092E-3</c:v>
                </c:pt>
                <c:pt idx="209">
                  <c:v>1.092948207579051E-3</c:v>
                </c:pt>
                <c:pt idx="210">
                  <c:v>1.1185394635332619E-3</c:v>
                </c:pt>
                <c:pt idx="211">
                  <c:v>1.1441649154142273E-3</c:v>
                </c:pt>
                <c:pt idx="212">
                  <c:v>1.1704276239905751E-3</c:v>
                </c:pt>
                <c:pt idx="213">
                  <c:v>1.1973279149646548E-3</c:v>
                </c:pt>
                <c:pt idx="214">
                  <c:v>1.2248661256028563E-3</c:v>
                </c:pt>
                <c:pt idx="215">
                  <c:v>1.2530426027799453E-3</c:v>
                </c:pt>
                <c:pt idx="216">
                  <c:v>1.2818577010192647E-3</c:v>
                </c:pt>
                <c:pt idx="217">
                  <c:v>1.3113117805378988E-3</c:v>
                </c:pt>
                <c:pt idx="218">
                  <c:v>1.3414052052849205E-3</c:v>
                </c:pt>
                <c:pt idx="219">
                  <c:v>1.3719209807862675E-3</c:v>
                </c:pt>
                <c:pt idx="220">
                  <c:v>1.4028247257349778E-3</c:v>
                </c:pt>
                <c:pt idx="221">
                  <c:v>1.4341168312015293E-3</c:v>
                </c:pt>
                <c:pt idx="222">
                  <c:v>1.4657976707257512E-3</c:v>
                </c:pt>
                <c:pt idx="223">
                  <c:v>1.4978675991658599E-3</c:v>
                </c:pt>
                <c:pt idx="224">
                  <c:v>1.5303269515135514E-3</c:v>
                </c:pt>
                <c:pt idx="225">
                  <c:v>1.5650940709639419E-3</c:v>
                </c:pt>
                <c:pt idx="226">
                  <c:v>1.6015736552654552E-3</c:v>
                </c:pt>
                <c:pt idx="227">
                  <c:v>1.6397660354344867E-3</c:v>
                </c:pt>
                <c:pt idx="228">
                  <c:v>1.679671572500857E-3</c:v>
                </c:pt>
                <c:pt idx="229">
                  <c:v>1.7212906522030367E-3</c:v>
                </c:pt>
                <c:pt idx="230">
                  <c:v>1.7646236797086313E-3</c:v>
                </c:pt>
                <c:pt idx="231">
                  <c:v>1.8096710743420558E-3</c:v>
                </c:pt>
                <c:pt idx="232">
                  <c:v>1.8564332642745632E-3</c:v>
                </c:pt>
                <c:pt idx="233">
                  <c:v>1.9061160848447792E-3</c:v>
                </c:pt>
                <c:pt idx="234">
                  <c:v>1.9589375088353866E-3</c:v>
                </c:pt>
                <c:pt idx="235">
                  <c:v>2.0148998323705298E-3</c:v>
                </c:pt>
                <c:pt idx="236">
                  <c:v>2.0740062418872786E-3</c:v>
                </c:pt>
                <c:pt idx="237">
                  <c:v>2.1362588599126613E-3</c:v>
                </c:pt>
                <c:pt idx="238">
                  <c:v>2.2016599792721368E-3</c:v>
                </c:pt>
                <c:pt idx="239">
                  <c:v>2.2695005876811982E-3</c:v>
                </c:pt>
                <c:pt idx="240">
                  <c:v>2.3378638678506988E-3</c:v>
                </c:pt>
                <c:pt idx="241">
                  <c:v>2.4067518763412001E-3</c:v>
                </c:pt>
                <c:pt idx="242">
                  <c:v>2.4761667402577801E-3</c:v>
                </c:pt>
                <c:pt idx="243">
                  <c:v>2.5461106581440083E-3</c:v>
                </c:pt>
                <c:pt idx="244">
                  <c:v>2.6165859008643981E-3</c:v>
                </c:pt>
                <c:pt idx="245">
                  <c:v>2.687594812459981E-3</c:v>
                </c:pt>
                <c:pt idx="246">
                  <c:v>2.7591398109967449E-3</c:v>
                </c:pt>
                <c:pt idx="247">
                  <c:v>2.8323581888556287E-3</c:v>
                </c:pt>
                <c:pt idx="248">
                  <c:v>2.9060458538893059E-3</c:v>
                </c:pt>
                <c:pt idx="249">
                  <c:v>2.9802054466022674E-3</c:v>
                </c:pt>
                <c:pt idx="250">
                  <c:v>3.0548396818632592E-3</c:v>
                </c:pt>
                <c:pt idx="251">
                  <c:v>3.1299513497289378E-3</c:v>
                </c:pt>
                <c:pt idx="252">
                  <c:v>3.2055433161425006E-3</c:v>
                </c:pt>
                <c:pt idx="253">
                  <c:v>3.2821612215995651E-3</c:v>
                </c:pt>
                <c:pt idx="254">
                  <c:v>3.3605214807061819E-3</c:v>
                </c:pt>
                <c:pt idx="255">
                  <c:v>3.4406280367563799E-3</c:v>
                </c:pt>
                <c:pt idx="256">
                  <c:v>3.5224849886808904E-3</c:v>
                </c:pt>
                <c:pt idx="257">
                  <c:v>3.6060965939747028E-3</c:v>
                </c:pt>
                <c:pt idx="258">
                  <c:v>3.6914672716559138E-3</c:v>
                </c:pt>
                <c:pt idx="259">
                  <c:v>3.7786016052771599E-3</c:v>
                </c:pt>
                <c:pt idx="260">
                  <c:v>3.8675043458267495E-3</c:v>
                </c:pt>
                <c:pt idx="261">
                  <c:v>3.9575556598092912E-3</c:v>
                </c:pt>
                <c:pt idx="262">
                  <c:v>4.0476215131836748E-3</c:v>
                </c:pt>
                <c:pt idx="263">
                  <c:v>4.1377055400016044E-3</c:v>
                </c:pt>
                <c:pt idx="264">
                  <c:v>4.2278116342436781E-3</c:v>
                </c:pt>
                <c:pt idx="265">
                  <c:v>4.3179669018207608E-3</c:v>
                </c:pt>
                <c:pt idx="266">
                  <c:v>4.4081888602062183E-3</c:v>
                </c:pt>
                <c:pt idx="267">
                  <c:v>4.5004520629169974E-3</c:v>
                </c:pt>
                <c:pt idx="268">
                  <c:v>4.5942136705394284E-3</c:v>
                </c:pt>
                <c:pt idx="269">
                  <c:v>4.6894750329713108E-3</c:v>
                </c:pt>
                <c:pt idx="270">
                  <c:v>4.786237227630134E-3</c:v>
                </c:pt>
                <c:pt idx="271">
                  <c:v>4.8845010445045167E-3</c:v>
                </c:pt>
                <c:pt idx="272">
                  <c:v>4.9842669713313368E-3</c:v>
                </c:pt>
                <c:pt idx="273">
                  <c:v>5.0855351787125972E-3</c:v>
                </c:pt>
                <c:pt idx="274">
                  <c:v>5.1883055052967097E-3</c:v>
                </c:pt>
                <c:pt idx="275">
                  <c:v>5.3106269286889588E-3</c:v>
                </c:pt>
                <c:pt idx="276">
                  <c:v>5.4531537390731348E-3</c:v>
                </c:pt>
                <c:pt idx="277">
                  <c:v>5.6159131406027856E-3</c:v>
                </c:pt>
                <c:pt idx="278">
                  <c:v>5.798932633028068E-3</c:v>
                </c:pt>
                <c:pt idx="279">
                  <c:v>6.0022397917674662E-3</c:v>
                </c:pt>
                <c:pt idx="280">
                  <c:v>6.2258620480340268E-3</c:v>
                </c:pt>
                <c:pt idx="281">
                  <c:v>6.4807433528080742E-3</c:v>
                </c:pt>
                <c:pt idx="282">
                  <c:v>6.7649389720029094E-3</c:v>
                </c:pt>
                <c:pt idx="283">
                  <c:v>7.0784886402707409E-3</c:v>
                </c:pt>
                <c:pt idx="284">
                  <c:v>7.4214310339659187E-3</c:v>
                </c:pt>
                <c:pt idx="285">
                  <c:v>7.7938034534745905E-3</c:v>
                </c:pt>
                <c:pt idx="286">
                  <c:v>8.1956415056150221E-3</c:v>
                </c:pt>
                <c:pt idx="287">
                  <c:v>8.6269787859674565E-3</c:v>
                </c:pt>
                <c:pt idx="288">
                  <c:v>9.0878465612302603E-3</c:v>
                </c:pt>
                <c:pt idx="289">
                  <c:v>9.5781424936090594E-3</c:v>
                </c:pt>
                <c:pt idx="290">
                  <c:v>1.0079703290761133E-2</c:v>
                </c:pt>
                <c:pt idx="291">
                  <c:v>1.0592524284399071E-2</c:v>
                </c:pt>
                <c:pt idx="292">
                  <c:v>1.1116598138036398E-2</c:v>
                </c:pt>
                <c:pt idx="293">
                  <c:v>1.1651914728962987E-2</c:v>
                </c:pt>
                <c:pt idx="294">
                  <c:v>1.219846103018459E-2</c:v>
                </c:pt>
                <c:pt idx="295">
                  <c:v>1.2754891368918053E-2</c:v>
                </c:pt>
                <c:pt idx="296">
                  <c:v>1.331034773854642E-2</c:v>
                </c:pt>
                <c:pt idx="297">
                  <c:v>1.3864928991517358E-2</c:v>
                </c:pt>
                <c:pt idx="298">
                  <c:v>1.4418630946381834E-2</c:v>
                </c:pt>
                <c:pt idx="299">
                  <c:v>1.4971447347369044E-2</c:v>
                </c:pt>
                <c:pt idx="300">
                  <c:v>1.5523369877924765E-2</c:v>
                </c:pt>
                <c:pt idx="301">
                  <c:v>1.6074388174206814E-2</c:v>
                </c:pt>
                <c:pt idx="302">
                  <c:v>1.6624489838613594E-2</c:v>
                </c:pt>
                <c:pt idx="303">
                  <c:v>1.7157663160863156E-2</c:v>
                </c:pt>
                <c:pt idx="304">
                  <c:v>1.7674000728180244E-2</c:v>
                </c:pt>
                <c:pt idx="305">
                  <c:v>1.8173461495245652E-2</c:v>
                </c:pt>
                <c:pt idx="306">
                  <c:v>1.8656002642708974E-2</c:v>
                </c:pt>
                <c:pt idx="307">
                  <c:v>1.9121579736811785E-2</c:v>
                </c:pt>
                <c:pt idx="308">
                  <c:v>1.9570146888851357E-2</c:v>
                </c:pt>
                <c:pt idx="309">
                  <c:v>2.0007777034669303E-2</c:v>
                </c:pt>
                <c:pt idx="310">
                  <c:v>2.0435770563013884E-2</c:v>
                </c:pt>
                <c:pt idx="311">
                  <c:v>2.0854088174204574E-2</c:v>
                </c:pt>
                <c:pt idx="312">
                  <c:v>2.1262689414145237E-2</c:v>
                </c:pt>
                <c:pt idx="313">
                  <c:v>2.1661532765507304E-2</c:v>
                </c:pt>
                <c:pt idx="314">
                  <c:v>2.2050575738721431E-2</c:v>
                </c:pt>
                <c:pt idx="315">
                  <c:v>2.2429774963239585E-2</c:v>
                </c:pt>
                <c:pt idx="316">
                  <c:v>2.2799086278461816E-2</c:v>
                </c:pt>
                <c:pt idx="317">
                  <c:v>2.3153942176964509E-2</c:v>
                </c:pt>
                <c:pt idx="318">
                  <c:v>2.351039593602261E-2</c:v>
                </c:pt>
                <c:pt idx="319">
                  <c:v>2.3868414544943126E-2</c:v>
                </c:pt>
                <c:pt idx="320">
                  <c:v>2.4227963587908557E-2</c:v>
                </c:pt>
                <c:pt idx="321">
                  <c:v>2.4589007229229156E-2</c:v>
                </c:pt>
                <c:pt idx="322">
                  <c:v>2.4951508198706351E-2</c:v>
                </c:pt>
                <c:pt idx="323">
                  <c:v>2.5290169758583253E-2</c:v>
                </c:pt>
                <c:pt idx="324">
                  <c:v>2.5598774331719188E-2</c:v>
                </c:pt>
                <c:pt idx="325">
                  <c:v>2.5877254918591833E-2</c:v>
                </c:pt>
                <c:pt idx="326">
                  <c:v>2.6125384300547571E-2</c:v>
                </c:pt>
                <c:pt idx="327">
                  <c:v>2.6343041684933895E-2</c:v>
                </c:pt>
                <c:pt idx="328">
                  <c:v>2.6530244726000501E-2</c:v>
                </c:pt>
                <c:pt idx="329">
                  <c:v>2.668701756306156E-2</c:v>
                </c:pt>
                <c:pt idx="330">
                  <c:v>2.6813390199621989E-2</c:v>
                </c:pt>
                <c:pt idx="331">
                  <c:v>2.6921326169341963E-2</c:v>
                </c:pt>
                <c:pt idx="332">
                  <c:v>2.7015408597677759E-2</c:v>
                </c:pt>
                <c:pt idx="333">
                  <c:v>2.7095684772594653E-2</c:v>
                </c:pt>
                <c:pt idx="334">
                  <c:v>2.7162204023020765E-2</c:v>
                </c:pt>
                <c:pt idx="335">
                  <c:v>2.7215017440955804E-2</c:v>
                </c:pt>
                <c:pt idx="336">
                  <c:v>2.7254177603223979E-2</c:v>
                </c:pt>
                <c:pt idx="337">
                  <c:v>2.7296230924959159E-2</c:v>
                </c:pt>
                <c:pt idx="338">
                  <c:v>2.7366542559331731E-2</c:v>
                </c:pt>
                <c:pt idx="339">
                  <c:v>2.7465170791112426E-2</c:v>
                </c:pt>
                <c:pt idx="340">
                  <c:v>2.7592173890040237E-2</c:v>
                </c:pt>
                <c:pt idx="341">
                  <c:v>2.7747610701979054E-2</c:v>
                </c:pt>
                <c:pt idx="342">
                  <c:v>2.7931541240055174E-2</c:v>
                </c:pt>
                <c:pt idx="343">
                  <c:v>2.8144027275459515E-2</c:v>
                </c:pt>
                <c:pt idx="344">
                  <c:v>2.8385132928684619E-2</c:v>
                </c:pt>
                <c:pt idx="345">
                  <c:v>2.8654925260467961E-2</c:v>
                </c:pt>
                <c:pt idx="346">
                  <c:v>2.8917035039523493E-2</c:v>
                </c:pt>
                <c:pt idx="347">
                  <c:v>2.9171529719716451E-2</c:v>
                </c:pt>
                <c:pt idx="348">
                  <c:v>2.9418478289725835E-2</c:v>
                </c:pt>
                <c:pt idx="349">
                  <c:v>2.9657951106374831E-2</c:v>
                </c:pt>
                <c:pt idx="350">
                  <c:v>2.9890019728648853E-2</c:v>
                </c:pt>
                <c:pt idx="351">
                  <c:v>3.009024094307583E-2</c:v>
                </c:pt>
                <c:pt idx="352">
                  <c:v>3.024216824312892E-2</c:v>
                </c:pt>
                <c:pt idx="353">
                  <c:v>3.0345851226961634E-2</c:v>
                </c:pt>
                <c:pt idx="354">
                  <c:v>3.0401333180974859E-2</c:v>
                </c:pt>
                <c:pt idx="355">
                  <c:v>3.0408650059586619E-2</c:v>
                </c:pt>
                <c:pt idx="356">
                  <c:v>3.0367850452462639E-2</c:v>
                </c:pt>
                <c:pt idx="357">
                  <c:v>3.0278884937272817E-2</c:v>
                </c:pt>
                <c:pt idx="358">
                  <c:v>3.014162222974354E-2</c:v>
                </c:pt>
                <c:pt idx="359">
                  <c:v>2.9955923734393309E-2</c:v>
                </c:pt>
                <c:pt idx="360">
                  <c:v>2.9738190846656288E-2</c:v>
                </c:pt>
                <c:pt idx="361">
                  <c:v>2.9512880051695875E-2</c:v>
                </c:pt>
                <c:pt idx="362">
                  <c:v>2.9279891522538223E-2</c:v>
                </c:pt>
                <c:pt idx="363">
                  <c:v>2.9039126994747519E-2</c:v>
                </c:pt>
                <c:pt idx="364">
                  <c:v>2.8790489972423366E-2</c:v>
                </c:pt>
                <c:pt idx="365">
                  <c:v>2.8533885933822417E-2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5.4688520359780314E-2</c:v>
                </c:pt>
                <c:pt idx="1">
                  <c:v>5.3994519121528591E-2</c:v>
                </c:pt>
                <c:pt idx="2">
                  <c:v>5.3323156796465265E-2</c:v>
                </c:pt>
                <c:pt idx="3">
                  <c:v>5.267431945777909E-2</c:v>
                </c:pt>
                <c:pt idx="4">
                  <c:v>5.2047900651836676E-2</c:v>
                </c:pt>
                <c:pt idx="5">
                  <c:v>5.1443800811362135E-2</c:v>
                </c:pt>
                <c:pt idx="6">
                  <c:v>5.0861926669274297E-2</c:v>
                </c:pt>
                <c:pt idx="7">
                  <c:v>5.0302190671355336E-2</c:v>
                </c:pt>
                <c:pt idx="8">
                  <c:v>4.9764510389657041E-2</c:v>
                </c:pt>
                <c:pt idx="9">
                  <c:v>4.9255584955280103E-2</c:v>
                </c:pt>
                <c:pt idx="10">
                  <c:v>4.8795301113735416E-2</c:v>
                </c:pt>
                <c:pt idx="11">
                  <c:v>4.8383621247938276E-2</c:v>
                </c:pt>
                <c:pt idx="12">
                  <c:v>4.8020507334313033E-2</c:v>
                </c:pt>
                <c:pt idx="13">
                  <c:v>4.7705919676739601E-2</c:v>
                </c:pt>
                <c:pt idx="14">
                  <c:v>4.74398156396863E-2</c:v>
                </c:pt>
                <c:pt idx="15">
                  <c:v>4.7190780238837486E-2</c:v>
                </c:pt>
                <c:pt idx="16">
                  <c:v>4.6915605541636089E-2</c:v>
                </c:pt>
                <c:pt idx="17">
                  <c:v>4.6614177430626902E-2</c:v>
                </c:pt>
                <c:pt idx="18">
                  <c:v>4.6286389574552951E-2</c:v>
                </c:pt>
                <c:pt idx="19">
                  <c:v>4.5932400257266102E-2</c:v>
                </c:pt>
                <c:pt idx="20">
                  <c:v>4.5552483089625485E-2</c:v>
                </c:pt>
                <c:pt idx="21">
                  <c:v>4.5146712365456865E-2</c:v>
                </c:pt>
                <c:pt idx="22">
                  <c:v>4.4715164028151115E-2</c:v>
                </c:pt>
                <c:pt idx="23">
                  <c:v>4.426196447951835E-2</c:v>
                </c:pt>
                <c:pt idx="24">
                  <c:v>4.3780389730538723E-2</c:v>
                </c:pt>
                <c:pt idx="25">
                  <c:v>4.3270518117411061E-2</c:v>
                </c:pt>
                <c:pt idx="26">
                  <c:v>4.2732428719313903E-2</c:v>
                </c:pt>
                <c:pt idx="27">
                  <c:v>4.2166201015790682E-2</c:v>
                </c:pt>
                <c:pt idx="28">
                  <c:v>4.157191454506616E-2</c:v>
                </c:pt>
                <c:pt idx="29">
                  <c:v>4.0945236145118413E-2</c:v>
                </c:pt>
                <c:pt idx="30">
                  <c:v>4.031766502973403E-2</c:v>
                </c:pt>
                <c:pt idx="31">
                  <c:v>3.968927614083282E-2</c:v>
                </c:pt>
                <c:pt idx="32">
                  <c:v>3.9060141312506597E-2</c:v>
                </c:pt>
                <c:pt idx="33">
                  <c:v>3.8430329266409026E-2</c:v>
                </c:pt>
                <c:pt idx="34">
                  <c:v>3.779990560732506E-2</c:v>
                </c:pt>
                <c:pt idx="35">
                  <c:v>3.7168932818700449E-2</c:v>
                </c:pt>
                <c:pt idx="36">
                  <c:v>3.6537470258090156E-2</c:v>
                </c:pt>
                <c:pt idx="37">
                  <c:v>3.5887319808403276E-2</c:v>
                </c:pt>
                <c:pt idx="38">
                  <c:v>3.5214491605288722E-2</c:v>
                </c:pt>
                <c:pt idx="39">
                  <c:v>3.4519041625522343E-2</c:v>
                </c:pt>
                <c:pt idx="40">
                  <c:v>3.3801022738261542E-2</c:v>
                </c:pt>
                <c:pt idx="41">
                  <c:v>3.3060484421789403E-2</c:v>
                </c:pt>
                <c:pt idx="42">
                  <c:v>3.2297472480009005E-2</c:v>
                </c:pt>
                <c:pt idx="43">
                  <c:v>3.1505174892227358E-2</c:v>
                </c:pt>
                <c:pt idx="44">
                  <c:v>3.0688038645337312E-2</c:v>
                </c:pt>
                <c:pt idx="45">
                  <c:v>2.9846097262282083E-2</c:v>
                </c:pt>
                <c:pt idx="46">
                  <c:v>2.8979379327143284E-2</c:v>
                </c:pt>
                <c:pt idx="47">
                  <c:v>2.8087908171291007E-2</c:v>
                </c:pt>
                <c:pt idx="48">
                  <c:v>2.7171701559139599E-2</c:v>
                </c:pt>
                <c:pt idx="49">
                  <c:v>2.6230771374171662E-2</c:v>
                </c:pt>
                <c:pt idx="50">
                  <c:v>2.5265123304788917E-2</c:v>
                </c:pt>
                <c:pt idx="51">
                  <c:v>2.4292158576002493E-2</c:v>
                </c:pt>
                <c:pt idx="52">
                  <c:v>2.332997808167965E-2</c:v>
                </c:pt>
                <c:pt idx="53">
                  <c:v>2.2378437622398245E-2</c:v>
                </c:pt>
                <c:pt idx="54">
                  <c:v>2.1437519842367771E-2</c:v>
                </c:pt>
                <c:pt idx="55">
                  <c:v>2.0507208967795464E-2</c:v>
                </c:pt>
                <c:pt idx="56">
                  <c:v>1.9587490767844291E-2</c:v>
                </c:pt>
                <c:pt idx="57">
                  <c:v>1.8705677377258652E-2</c:v>
                </c:pt>
                <c:pt idx="58">
                  <c:v>1.786860888116058E-2</c:v>
                </c:pt>
                <c:pt idx="59">
                  <c:v>1.7076276175511183E-2</c:v>
                </c:pt>
                <c:pt idx="60">
                  <c:v>1.632867163651127E-2</c:v>
                </c:pt>
                <c:pt idx="61">
                  <c:v>1.5625788955134962E-2</c:v>
                </c:pt>
                <c:pt idx="62">
                  <c:v>1.4967622971639482E-2</c:v>
                </c:pt>
                <c:pt idx="63">
                  <c:v>1.4354169510122548E-2</c:v>
                </c:pt>
                <c:pt idx="64">
                  <c:v>1.3785425213017876E-2</c:v>
                </c:pt>
                <c:pt idx="65">
                  <c:v>1.327107971078415E-2</c:v>
                </c:pt>
                <c:pt idx="66">
                  <c:v>1.2793728082124631E-2</c:v>
                </c:pt>
                <c:pt idx="67">
                  <c:v>1.2353368347939693E-2</c:v>
                </c:pt>
                <c:pt idx="68">
                  <c:v>1.1949998777996936E-2</c:v>
                </c:pt>
                <c:pt idx="69">
                  <c:v>1.1583617753942413E-2</c:v>
                </c:pt>
                <c:pt idx="70">
                  <c:v>1.1254223632371876E-2</c:v>
                </c:pt>
                <c:pt idx="71">
                  <c:v>1.0962017886442778E-2</c:v>
                </c:pt>
                <c:pt idx="72">
                  <c:v>1.0679673034487141E-2</c:v>
                </c:pt>
                <c:pt idx="73">
                  <c:v>1.0407188014945596E-2</c:v>
                </c:pt>
                <c:pt idx="74">
                  <c:v>1.0144561929732889E-2</c:v>
                </c:pt>
                <c:pt idx="75">
                  <c:v>9.8917940076454752E-3</c:v>
                </c:pt>
                <c:pt idx="76">
                  <c:v>9.648883567736917E-3</c:v>
                </c:pt>
                <c:pt idx="77">
                  <c:v>9.4158299827261805E-3</c:v>
                </c:pt>
                <c:pt idx="78">
                  <c:v>9.1926329475778244E-3</c:v>
                </c:pt>
                <c:pt idx="79">
                  <c:v>8.9816072061913842E-3</c:v>
                </c:pt>
                <c:pt idx="80">
                  <c:v>8.7730839914054864E-3</c:v>
                </c:pt>
                <c:pt idx="81">
                  <c:v>8.5670602425162272E-3</c:v>
                </c:pt>
                <c:pt idx="82">
                  <c:v>8.3635331583110876E-3</c:v>
                </c:pt>
                <c:pt idx="83">
                  <c:v>8.1625001891065651E-3</c:v>
                </c:pt>
                <c:pt idx="84">
                  <c:v>7.9639590288134738E-3</c:v>
                </c:pt>
                <c:pt idx="85">
                  <c:v>7.7708729805529642E-3</c:v>
                </c:pt>
                <c:pt idx="86">
                  <c:v>7.583036562679845E-3</c:v>
                </c:pt>
                <c:pt idx="87">
                  <c:v>7.4004476646965149E-3</c:v>
                </c:pt>
                <c:pt idx="88">
                  <c:v>7.2231043406740273E-3</c:v>
                </c:pt>
                <c:pt idx="89">
                  <c:v>7.0510047924498007E-3</c:v>
                </c:pt>
                <c:pt idx="90">
                  <c:v>6.8841473528104928E-3</c:v>
                </c:pt>
                <c:pt idx="91">
                  <c:v>6.7225304687019731E-3</c:v>
                </c:pt>
                <c:pt idx="92">
                  <c:v>6.5661526844195788E-3</c:v>
                </c:pt>
                <c:pt idx="93">
                  <c:v>6.4145989197892392E-3</c:v>
                </c:pt>
                <c:pt idx="94">
                  <c:v>6.2655898687050187E-3</c:v>
                </c:pt>
                <c:pt idx="95">
                  <c:v>6.119124969756134E-3</c:v>
                </c:pt>
                <c:pt idx="96">
                  <c:v>5.9752037758951659E-3</c:v>
                </c:pt>
                <c:pt idx="97">
                  <c:v>5.8338259462978404E-3</c:v>
                </c:pt>
                <c:pt idx="98">
                  <c:v>5.6949912381673495E-3</c:v>
                </c:pt>
                <c:pt idx="99">
                  <c:v>5.5600425583576555E-3</c:v>
                </c:pt>
                <c:pt idx="100">
                  <c:v>5.4260175486802453E-3</c:v>
                </c:pt>
                <c:pt idx="101">
                  <c:v>5.2929167780301567E-3</c:v>
                </c:pt>
                <c:pt idx="102">
                  <c:v>5.1607409480116289E-3</c:v>
                </c:pt>
                <c:pt idx="103">
                  <c:v>5.0294908899034966E-3</c:v>
                </c:pt>
                <c:pt idx="104">
                  <c:v>4.8991675617469557E-3</c:v>
                </c:pt>
                <c:pt idx="105">
                  <c:v>4.7697720453198141E-3</c:v>
                </c:pt>
                <c:pt idx="106">
                  <c:v>4.6413055431729138E-3</c:v>
                </c:pt>
                <c:pt idx="107">
                  <c:v>4.5164867938115036E-3</c:v>
                </c:pt>
                <c:pt idx="108">
                  <c:v>4.3957287009929631E-3</c:v>
                </c:pt>
                <c:pt idx="109">
                  <c:v>4.2790309661642307E-3</c:v>
                </c:pt>
                <c:pt idx="110">
                  <c:v>4.1664050802145188E-3</c:v>
                </c:pt>
                <c:pt idx="111">
                  <c:v>4.0578614952472662E-3</c:v>
                </c:pt>
                <c:pt idx="112">
                  <c:v>3.9533982920092635E-3</c:v>
                </c:pt>
                <c:pt idx="113">
                  <c:v>3.8536118426757086E-3</c:v>
                </c:pt>
                <c:pt idx="114">
                  <c:v>3.7571601256114174E-3</c:v>
                </c:pt>
                <c:pt idx="115">
                  <c:v>3.6640416236635859E-3</c:v>
                </c:pt>
                <c:pt idx="116">
                  <c:v>3.5742547999419697E-3</c:v>
                </c:pt>
                <c:pt idx="117">
                  <c:v>3.4877980906039148E-3</c:v>
                </c:pt>
                <c:pt idx="118">
                  <c:v>3.4046698976010112E-3</c:v>
                </c:pt>
                <c:pt idx="119">
                  <c:v>3.324868581436722E-3</c:v>
                </c:pt>
                <c:pt idx="120">
                  <c:v>3.2483924539187651E-3</c:v>
                </c:pt>
                <c:pt idx="121">
                  <c:v>3.1767990527580372E-3</c:v>
                </c:pt>
                <c:pt idx="122">
                  <c:v>3.1073768947507251E-3</c:v>
                </c:pt>
                <c:pt idx="123">
                  <c:v>3.0401249955088598E-3</c:v>
                </c:pt>
                <c:pt idx="124">
                  <c:v>2.9750423406524657E-3</c:v>
                </c:pt>
                <c:pt idx="125">
                  <c:v>2.9121278811111494E-3</c:v>
                </c:pt>
                <c:pt idx="126">
                  <c:v>2.8513805283827153E-3</c:v>
                </c:pt>
                <c:pt idx="127">
                  <c:v>2.7926767816315741E-3</c:v>
                </c:pt>
                <c:pt idx="128">
                  <c:v>2.7354195643449933E-3</c:v>
                </c:pt>
                <c:pt idx="129">
                  <c:v>2.6796083229499762E-3</c:v>
                </c:pt>
                <c:pt idx="130">
                  <c:v>2.6252424820596958E-3</c:v>
                </c:pt>
                <c:pt idx="131">
                  <c:v>2.5723214412971601E-3</c:v>
                </c:pt>
                <c:pt idx="132">
                  <c:v>2.5208445721465835E-3</c:v>
                </c:pt>
                <c:pt idx="133">
                  <c:v>2.4708112148204391E-3</c:v>
                </c:pt>
                <c:pt idx="134">
                  <c:v>2.4222206751123329E-3</c:v>
                </c:pt>
                <c:pt idx="135">
                  <c:v>2.3741970502619146E-3</c:v>
                </c:pt>
                <c:pt idx="136">
                  <c:v>2.3251886799677498E-3</c:v>
                </c:pt>
                <c:pt idx="137">
                  <c:v>2.2751976105712447E-3</c:v>
                </c:pt>
                <c:pt idx="138">
                  <c:v>2.2242259910231926E-3</c:v>
                </c:pt>
                <c:pt idx="139">
                  <c:v>2.1722760751331591E-3</c:v>
                </c:pt>
                <c:pt idx="140">
                  <c:v>2.1193502236918535E-3</c:v>
                </c:pt>
                <c:pt idx="141">
                  <c:v>2.0668114225738266E-3</c:v>
                </c:pt>
                <c:pt idx="142">
                  <c:v>2.0147710378245758E-3</c:v>
                </c:pt>
                <c:pt idx="143">
                  <c:v>1.9632217657121953E-3</c:v>
                </c:pt>
                <c:pt idx="144">
                  <c:v>1.9121687278504705E-3</c:v>
                </c:pt>
                <c:pt idx="145">
                  <c:v>1.8616167166711607E-3</c:v>
                </c:pt>
                <c:pt idx="146">
                  <c:v>1.8115702019391616E-3</c:v>
                </c:pt>
                <c:pt idx="147">
                  <c:v>1.762033337332313E-3</c:v>
                </c:pt>
                <c:pt idx="148">
                  <c:v>1.7130099669750108E-3</c:v>
                </c:pt>
                <c:pt idx="149">
                  <c:v>1.6649685772898353E-3</c:v>
                </c:pt>
                <c:pt idx="150">
                  <c:v>1.6187805387140443E-3</c:v>
                </c:pt>
                <c:pt idx="151">
                  <c:v>1.5744464083173265E-3</c:v>
                </c:pt>
                <c:pt idx="152">
                  <c:v>1.5319663881711027E-3</c:v>
                </c:pt>
                <c:pt idx="153">
                  <c:v>1.4913403498861149E-3</c:v>
                </c:pt>
                <c:pt idx="154">
                  <c:v>1.4525678591590218E-3</c:v>
                </c:pt>
                <c:pt idx="155">
                  <c:v>1.4168472526022954E-3</c:v>
                </c:pt>
                <c:pt idx="156">
                  <c:v>1.3828261574855413E-3</c:v>
                </c:pt>
                <c:pt idx="157">
                  <c:v>1.3505036465085631E-3</c:v>
                </c:pt>
                <c:pt idx="158">
                  <c:v>1.3198785921914086E-3</c:v>
                </c:pt>
                <c:pt idx="159">
                  <c:v>1.290949689368042E-3</c:v>
                </c:pt>
                <c:pt idx="160">
                  <c:v>1.2637154776965404E-3</c:v>
                </c:pt>
                <c:pt idx="161">
                  <c:v>1.2381743641541305E-3</c:v>
                </c:pt>
                <c:pt idx="162">
                  <c:v>1.2143246455394853E-3</c:v>
                </c:pt>
                <c:pt idx="163">
                  <c:v>1.1931142833941045E-3</c:v>
                </c:pt>
                <c:pt idx="164">
                  <c:v>1.1740790318549017E-3</c:v>
                </c:pt>
                <c:pt idx="165">
                  <c:v>1.1572161251688065E-3</c:v>
                </c:pt>
                <c:pt idx="166">
                  <c:v>1.1425228110478458E-3</c:v>
                </c:pt>
                <c:pt idx="167">
                  <c:v>1.1299963798021082E-3</c:v>
                </c:pt>
                <c:pt idx="168">
                  <c:v>1.1196341935096707E-3</c:v>
                </c:pt>
                <c:pt idx="169">
                  <c:v>1.112380103301042E-3</c:v>
                </c:pt>
                <c:pt idx="170">
                  <c:v>1.1070420133603338E-3</c:v>
                </c:pt>
                <c:pt idx="171">
                  <c:v>1.1036181088861703E-3</c:v>
                </c:pt>
                <c:pt idx="172">
                  <c:v>1.1021067425355483E-3</c:v>
                </c:pt>
                <c:pt idx="173">
                  <c:v>1.1024951860118409E-3</c:v>
                </c:pt>
                <c:pt idx="174">
                  <c:v>1.1047702378046526E-3</c:v>
                </c:pt>
                <c:pt idx="175">
                  <c:v>1.1089296845247438E-3</c:v>
                </c:pt>
                <c:pt idx="176">
                  <c:v>1.114971325236572E-3</c:v>
                </c:pt>
                <c:pt idx="177">
                  <c:v>1.1240768873581875E-3</c:v>
                </c:pt>
                <c:pt idx="178">
                  <c:v>1.1353004177799065E-3</c:v>
                </c:pt>
                <c:pt idx="179">
                  <c:v>1.1486394677069356E-3</c:v>
                </c:pt>
                <c:pt idx="180">
                  <c:v>1.1640916525458838E-3</c:v>
                </c:pt>
                <c:pt idx="181">
                  <c:v>1.181654664381256E-3</c:v>
                </c:pt>
                <c:pt idx="182">
                  <c:v>1.2013262844618791E-3</c:v>
                </c:pt>
                <c:pt idx="183">
                  <c:v>1.2235604445487403E-3</c:v>
                </c:pt>
                <c:pt idx="184">
                  <c:v>1.2474152200205762E-3</c:v>
                </c:pt>
                <c:pt idx="185">
                  <c:v>1.2728894273203598E-3</c:v>
                </c:pt>
                <c:pt idx="186">
                  <c:v>1.2999820033336561E-3</c:v>
                </c:pt>
                <c:pt idx="187">
                  <c:v>1.3286920150287736E-3</c:v>
                </c:pt>
                <c:pt idx="188">
                  <c:v>1.3590186691054117E-3</c:v>
                </c:pt>
                <c:pt idx="189">
                  <c:v>1.3909613216027494E-3</c:v>
                </c:pt>
                <c:pt idx="190">
                  <c:v>1.4245194875644124E-3</c:v>
                </c:pt>
                <c:pt idx="191">
                  <c:v>1.4610170353969393E-3</c:v>
                </c:pt>
                <c:pt idx="192">
                  <c:v>1.4992765339029242E-3</c:v>
                </c:pt>
                <c:pt idx="193">
                  <c:v>1.5392978977899149E-3</c:v>
                </c:pt>
                <c:pt idx="194">
                  <c:v>1.581081252664958E-3</c:v>
                </c:pt>
                <c:pt idx="195">
                  <c:v>1.6246269455785589E-3</c:v>
                </c:pt>
                <c:pt idx="196">
                  <c:v>1.6699355555100518E-3</c:v>
                </c:pt>
                <c:pt idx="197">
                  <c:v>1.7161601311411455E-3</c:v>
                </c:pt>
                <c:pt idx="198">
                  <c:v>1.7628494103652107E-3</c:v>
                </c:pt>
                <c:pt idx="199">
                  <c:v>1.8100059619637898E-3</c:v>
                </c:pt>
                <c:pt idx="200">
                  <c:v>1.8576325086038716E-3</c:v>
                </c:pt>
                <c:pt idx="201">
                  <c:v>1.9057319296252606E-3</c:v>
                </c:pt>
                <c:pt idx="202">
                  <c:v>1.9543072638365101E-3</c:v>
                </c:pt>
                <c:pt idx="203">
                  <c:v>2.0033617123543716E-3</c:v>
                </c:pt>
                <c:pt idx="204">
                  <c:v>2.0528953262934136E-3</c:v>
                </c:pt>
                <c:pt idx="205">
                  <c:v>2.1027887833103198E-3</c:v>
                </c:pt>
                <c:pt idx="206">
                  <c:v>2.151725495556808E-3</c:v>
                </c:pt>
                <c:pt idx="207">
                  <c:v>2.1997074813621142E-3</c:v>
                </c:pt>
                <c:pt idx="208">
                  <c:v>2.2467366192800062E-3</c:v>
                </c:pt>
                <c:pt idx="209">
                  <c:v>2.2928146510502322E-3</c:v>
                </c:pt>
                <c:pt idx="210">
                  <c:v>2.3379431846348516E-3</c:v>
                </c:pt>
                <c:pt idx="211">
                  <c:v>2.3836224804816325E-3</c:v>
                </c:pt>
                <c:pt idx="212">
                  <c:v>2.4306980452148195E-3</c:v>
                </c:pt>
                <c:pt idx="213">
                  <c:v>2.4791702560336176E-3</c:v>
                </c:pt>
                <c:pt idx="214">
                  <c:v>2.5290395283897814E-3</c:v>
                </c:pt>
                <c:pt idx="215">
                  <c:v>2.5803063117071216E-3</c:v>
                </c:pt>
                <c:pt idx="216">
                  <c:v>2.6329710850924218E-3</c:v>
                </c:pt>
                <c:pt idx="217">
                  <c:v>2.6870343530564986E-3</c:v>
                </c:pt>
                <c:pt idx="218">
                  <c:v>2.7424966412210299E-3</c:v>
                </c:pt>
                <c:pt idx="219">
                  <c:v>2.7999320506525093E-3</c:v>
                </c:pt>
                <c:pt idx="220">
                  <c:v>2.8594587600607973E-3</c:v>
                </c:pt>
                <c:pt idx="221">
                  <c:v>2.921077256172197E-3</c:v>
                </c:pt>
                <c:pt idx="222">
                  <c:v>2.98478806642532E-3</c:v>
                </c:pt>
                <c:pt idx="223">
                  <c:v>3.050591752585236E-3</c:v>
                </c:pt>
                <c:pt idx="224">
                  <c:v>3.1184889042884349E-3</c:v>
                </c:pt>
                <c:pt idx="225">
                  <c:v>3.1910815898397887E-3</c:v>
                </c:pt>
                <c:pt idx="226">
                  <c:v>3.2668731273962329E-3</c:v>
                </c:pt>
                <c:pt idx="227">
                  <c:v>3.3458642263878937E-3</c:v>
                </c:pt>
                <c:pt idx="228">
                  <c:v>3.4280556427129295E-3</c:v>
                </c:pt>
                <c:pt idx="229">
                  <c:v>3.5134481688312864E-3</c:v>
                </c:pt>
                <c:pt idx="230">
                  <c:v>3.6020426239099777E-3</c:v>
                </c:pt>
                <c:pt idx="231">
                  <c:v>3.693839843983077E-3</c:v>
                </c:pt>
                <c:pt idx="232">
                  <c:v>3.7888406720348322E-3</c:v>
                </c:pt>
                <c:pt idx="233">
                  <c:v>3.8883304604454866E-3</c:v>
                </c:pt>
                <c:pt idx="234">
                  <c:v>3.9917366478594936E-3</c:v>
                </c:pt>
                <c:pt idx="235">
                  <c:v>4.0990634805904329E-3</c:v>
                </c:pt>
                <c:pt idx="236">
                  <c:v>4.2103169167334352E-3</c:v>
                </c:pt>
                <c:pt idx="237">
                  <c:v>4.3255006395020107E-3</c:v>
                </c:pt>
                <c:pt idx="238">
                  <c:v>4.4446185705303036E-3</c:v>
                </c:pt>
                <c:pt idx="239">
                  <c:v>4.5672792772256214E-3</c:v>
                </c:pt>
                <c:pt idx="240">
                  <c:v>4.6908839236554862E-3</c:v>
                </c:pt>
                <c:pt idx="241">
                  <c:v>4.8154363079395404E-3</c:v>
                </c:pt>
                <c:pt idx="242">
                  <c:v>4.940940355509872E-3</c:v>
                </c:pt>
                <c:pt idx="243">
                  <c:v>5.0674001207238585E-3</c:v>
                </c:pt>
                <c:pt idx="244">
                  <c:v>5.194819788453456E-3</c:v>
                </c:pt>
                <c:pt idx="245">
                  <c:v>5.3232036756209666E-3</c:v>
                </c:pt>
                <c:pt idx="246">
                  <c:v>5.4525562327212085E-3</c:v>
                </c:pt>
                <c:pt idx="247">
                  <c:v>5.5857188322175969E-3</c:v>
                </c:pt>
                <c:pt idx="248">
                  <c:v>5.7214110974077642E-3</c:v>
                </c:pt>
                <c:pt idx="249">
                  <c:v>5.8596387238341223E-3</c:v>
                </c:pt>
                <c:pt idx="250">
                  <c:v>6.0004076334289266E-3</c:v>
                </c:pt>
                <c:pt idx="251">
                  <c:v>6.143723978972164E-3</c:v>
                </c:pt>
                <c:pt idx="252">
                  <c:v>6.2895941483033652E-3</c:v>
                </c:pt>
                <c:pt idx="253">
                  <c:v>6.4402076965700402E-3</c:v>
                </c:pt>
                <c:pt idx="254">
                  <c:v>6.595969344089043E-3</c:v>
                </c:pt>
                <c:pt idx="255">
                  <c:v>6.7568879779075948E-3</c:v>
                </c:pt>
                <c:pt idx="256">
                  <c:v>6.9229728958005972E-3</c:v>
                </c:pt>
                <c:pt idx="257">
                  <c:v>7.0942338150598539E-3</c:v>
                </c:pt>
                <c:pt idx="258">
                  <c:v>7.2706808813446716E-3</c:v>
                </c:pt>
                <c:pt idx="259">
                  <c:v>7.4523246776360477E-3</c:v>
                </c:pt>
                <c:pt idx="260">
                  <c:v>7.6391762329739458E-3</c:v>
                </c:pt>
                <c:pt idx="261">
                  <c:v>7.8314419799706009E-3</c:v>
                </c:pt>
                <c:pt idx="262">
                  <c:v>8.0262878071028047E-3</c:v>
                </c:pt>
                <c:pt idx="263">
                  <c:v>8.2237237123063255E-3</c:v>
                </c:pt>
                <c:pt idx="264">
                  <c:v>8.4237603963140586E-3</c:v>
                </c:pt>
                <c:pt idx="265">
                  <c:v>8.6264551261680637E-3</c:v>
                </c:pt>
                <c:pt idx="266">
                  <c:v>8.8318466850129309E-3</c:v>
                </c:pt>
                <c:pt idx="267">
                  <c:v>9.0492532341093241E-3</c:v>
                </c:pt>
                <c:pt idx="268">
                  <c:v>9.2764974153758343E-3</c:v>
                </c:pt>
                <c:pt idx="269">
                  <c:v>9.5135918897880072E-3</c:v>
                </c:pt>
                <c:pt idx="270">
                  <c:v>9.7605492691905035E-3</c:v>
                </c:pt>
                <c:pt idx="271">
                  <c:v>1.0017382011346108E-2</c:v>
                </c:pt>
                <c:pt idx="272">
                  <c:v>1.0284102315238007E-2</c:v>
                </c:pt>
                <c:pt idx="273">
                  <c:v>1.0560722016249129E-2</c:v>
                </c:pt>
                <c:pt idx="274">
                  <c:v>1.0847252481473805E-2</c:v>
                </c:pt>
                <c:pt idx="275">
                  <c:v>1.1170055114074999E-2</c:v>
                </c:pt>
                <c:pt idx="276">
                  <c:v>1.1528982814075946E-2</c:v>
                </c:pt>
                <c:pt idx="277">
                  <c:v>1.1924084780270348E-2</c:v>
                </c:pt>
                <c:pt idx="278">
                  <c:v>1.235541028136093E-2</c:v>
                </c:pt>
                <c:pt idx="279">
                  <c:v>1.2823008264016897E-2</c:v>
                </c:pt>
                <c:pt idx="280">
                  <c:v>1.3326926961047468E-2</c:v>
                </c:pt>
                <c:pt idx="281">
                  <c:v>1.388404609248845E-2</c:v>
                </c:pt>
                <c:pt idx="282">
                  <c:v>1.4485057945673617E-2</c:v>
                </c:pt>
                <c:pt idx="283">
                  <c:v>1.5130018030215501E-2</c:v>
                </c:pt>
                <c:pt idx="284">
                  <c:v>1.5818979511672954E-2</c:v>
                </c:pt>
                <c:pt idx="285">
                  <c:v>1.6551992737969697E-2</c:v>
                </c:pt>
                <c:pt idx="286">
                  <c:v>1.732910476596344E-2</c:v>
                </c:pt>
                <c:pt idx="287">
                  <c:v>1.8150358887864475E-2</c:v>
                </c:pt>
                <c:pt idx="288">
                  <c:v>1.9015794157710368E-2</c:v>
                </c:pt>
                <c:pt idx="289">
                  <c:v>1.9918790655581036E-2</c:v>
                </c:pt>
                <c:pt idx="290">
                  <c:v>2.0832813637483395E-2</c:v>
                </c:pt>
                <c:pt idx="291">
                  <c:v>2.1757837719179232E-2</c:v>
                </c:pt>
                <c:pt idx="292">
                  <c:v>2.2693833100382949E-2</c:v>
                </c:pt>
                <c:pt idx="293">
                  <c:v>2.3640765453130343E-2</c:v>
                </c:pt>
                <c:pt idx="294">
                  <c:v>2.4598595810072555E-2</c:v>
                </c:pt>
                <c:pt idx="295">
                  <c:v>2.5549518871476256E-2</c:v>
                </c:pt>
                <c:pt idx="296">
                  <c:v>2.6476825313129459E-2</c:v>
                </c:pt>
                <c:pt idx="297">
                  <c:v>2.7380681542536423E-2</c:v>
                </c:pt>
                <c:pt idx="298">
                  <c:v>2.8261046074905097E-2</c:v>
                </c:pt>
                <c:pt idx="299">
                  <c:v>2.9117873320020356E-2</c:v>
                </c:pt>
                <c:pt idx="300">
                  <c:v>2.9951113808129402E-2</c:v>
                </c:pt>
                <c:pt idx="301">
                  <c:v>3.0760714415742556E-2</c:v>
                </c:pt>
                <c:pt idx="302">
                  <c:v>3.1546618591498772E-2</c:v>
                </c:pt>
                <c:pt idx="303">
                  <c:v>3.230445856380499E-2</c:v>
                </c:pt>
                <c:pt idx="304">
                  <c:v>3.3040866920037652E-2</c:v>
                </c:pt>
                <c:pt idx="305">
                  <c:v>3.3755781601685672E-2</c:v>
                </c:pt>
                <c:pt idx="306">
                  <c:v>3.4449138019459341E-2</c:v>
                </c:pt>
                <c:pt idx="307">
                  <c:v>3.5120869257187812E-2</c:v>
                </c:pt>
                <c:pt idx="308">
                  <c:v>3.5770906275423321E-2</c:v>
                </c:pt>
                <c:pt idx="309">
                  <c:v>3.6403143366330666E-2</c:v>
                </c:pt>
                <c:pt idx="310">
                  <c:v>3.7035402606955557E-2</c:v>
                </c:pt>
                <c:pt idx="311">
                  <c:v>3.7667639341964869E-2</c:v>
                </c:pt>
                <c:pt idx="312">
                  <c:v>3.8299806669989146E-2</c:v>
                </c:pt>
                <c:pt idx="313">
                  <c:v>3.893185544703661E-2</c:v>
                </c:pt>
                <c:pt idx="314">
                  <c:v>3.9563734289561329E-2</c:v>
                </c:pt>
                <c:pt idx="315">
                  <c:v>4.0195389578017895E-2</c:v>
                </c:pt>
                <c:pt idx="316">
                  <c:v>4.0826765459813369E-2</c:v>
                </c:pt>
                <c:pt idx="317">
                  <c:v>4.1426933567147252E-2</c:v>
                </c:pt>
                <c:pt idx="318">
                  <c:v>4.2000134968768171E-2</c:v>
                </c:pt>
                <c:pt idx="319">
                  <c:v>4.2546279053874335E-2</c:v>
                </c:pt>
                <c:pt idx="320">
                  <c:v>4.306527538794655E-2</c:v>
                </c:pt>
                <c:pt idx="321">
                  <c:v>4.3557033958899649E-2</c:v>
                </c:pt>
                <c:pt idx="322">
                  <c:v>4.4021465423428129E-2</c:v>
                </c:pt>
                <c:pt idx="323">
                  <c:v>4.446517992139945E-2</c:v>
                </c:pt>
                <c:pt idx="324">
                  <c:v>4.4884107676548525E-2</c:v>
                </c:pt>
                <c:pt idx="325">
                  <c:v>4.5278161986460584E-2</c:v>
                </c:pt>
                <c:pt idx="326">
                  <c:v>4.5646973462991521E-2</c:v>
                </c:pt>
                <c:pt idx="327">
                  <c:v>4.5990356416848427E-2</c:v>
                </c:pt>
                <c:pt idx="328">
                  <c:v>4.6308362570672744E-2</c:v>
                </c:pt>
                <c:pt idx="329">
                  <c:v>4.6601050264495993E-2</c:v>
                </c:pt>
                <c:pt idx="330">
                  <c:v>4.6868483950425151E-2</c:v>
                </c:pt>
                <c:pt idx="331">
                  <c:v>4.7153321248178448E-2</c:v>
                </c:pt>
                <c:pt idx="332">
                  <c:v>4.7486636866583921E-2</c:v>
                </c:pt>
                <c:pt idx="333">
                  <c:v>4.786852635794208E-2</c:v>
                </c:pt>
                <c:pt idx="334">
                  <c:v>4.8299083288432181E-2</c:v>
                </c:pt>
                <c:pt idx="335">
                  <c:v>4.8778400263924215E-2</c:v>
                </c:pt>
                <c:pt idx="336">
                  <c:v>4.9306569955164158E-2</c:v>
                </c:pt>
                <c:pt idx="337">
                  <c:v>4.9863934498800284E-2</c:v>
                </c:pt>
                <c:pt idx="338">
                  <c:v>5.0443875956713569E-2</c:v>
                </c:pt>
                <c:pt idx="339">
                  <c:v>5.1046491613820716E-2</c:v>
                </c:pt>
                <c:pt idx="340">
                  <c:v>5.1671883089326492E-2</c:v>
                </c:pt>
                <c:pt idx="341">
                  <c:v>5.2320156812082762E-2</c:v>
                </c:pt>
                <c:pt idx="342">
                  <c:v>5.2991424495920099E-2</c:v>
                </c:pt>
                <c:pt idx="343">
                  <c:v>5.3685803614345155E-2</c:v>
                </c:pt>
                <c:pt idx="344">
                  <c:v>5.4403417876055384E-2</c:v>
                </c:pt>
                <c:pt idx="345">
                  <c:v>5.5144397699900281E-2</c:v>
                </c:pt>
                <c:pt idx="346">
                  <c:v>5.5824924444662354E-2</c:v>
                </c:pt>
                <c:pt idx="347">
                  <c:v>5.6445126646965431E-2</c:v>
                </c:pt>
                <c:pt idx="348">
                  <c:v>5.7005133655658451E-2</c:v>
                </c:pt>
                <c:pt idx="349">
                  <c:v>5.7505074361307799E-2</c:v>
                </c:pt>
                <c:pt idx="350">
                  <c:v>5.7945075927020508E-2</c:v>
                </c:pt>
                <c:pt idx="351">
                  <c:v>5.8283901577034357E-2</c:v>
                </c:pt>
                <c:pt idx="352">
                  <c:v>5.8541421665157932E-2</c:v>
                </c:pt>
                <c:pt idx="353">
                  <c:v>5.8717735489456052E-2</c:v>
                </c:pt>
                <c:pt idx="354">
                  <c:v>5.8812931699528941E-2</c:v>
                </c:pt>
                <c:pt idx="355">
                  <c:v>5.8827086574891996E-2</c:v>
                </c:pt>
                <c:pt idx="356">
                  <c:v>5.8760302913064631E-2</c:v>
                </c:pt>
                <c:pt idx="357">
                  <c:v>5.8612496181268937E-2</c:v>
                </c:pt>
                <c:pt idx="358">
                  <c:v>5.8383425600810279E-2</c:v>
                </c:pt>
                <c:pt idx="359">
                  <c:v>5.8072838058040345E-2</c:v>
                </c:pt>
                <c:pt idx="360">
                  <c:v>5.7660654637742524E-2</c:v>
                </c:pt>
                <c:pt idx="361">
                  <c:v>5.7188058992769152E-2</c:v>
                </c:pt>
                <c:pt idx="362">
                  <c:v>5.6654800110878256E-2</c:v>
                </c:pt>
                <c:pt idx="363">
                  <c:v>5.6060625448114694E-2</c:v>
                </c:pt>
                <c:pt idx="364">
                  <c:v>5.5405282497965141E-2</c:v>
                </c:pt>
                <c:pt idx="365">
                  <c:v>5.4688520359780314E-2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9.2116916468655663E-2</c:v>
                </c:pt>
                <c:pt idx="1">
                  <c:v>9.1377718671103614E-2</c:v>
                </c:pt>
                <c:pt idx="2">
                  <c:v>9.062408093576485E-2</c:v>
                </c:pt>
                <c:pt idx="3">
                  <c:v>8.9855739372856069E-2</c:v>
                </c:pt>
                <c:pt idx="4">
                  <c:v>8.9072438006023949E-2</c:v>
                </c:pt>
                <c:pt idx="5">
                  <c:v>8.8273929135574483E-2</c:v>
                </c:pt>
                <c:pt idx="6">
                  <c:v>8.745997370283122E-2</c:v>
                </c:pt>
                <c:pt idx="7">
                  <c:v>8.6630341652492018E-2</c:v>
                </c:pt>
                <c:pt idx="8">
                  <c:v>8.5784812296245169E-2</c:v>
                </c:pt>
                <c:pt idx="9">
                  <c:v>8.4956815205179823E-2</c:v>
                </c:pt>
                <c:pt idx="10">
                  <c:v>8.4190591768373249E-2</c:v>
                </c:pt>
                <c:pt idx="11">
                  <c:v>8.3486047092747429E-2</c:v>
                </c:pt>
                <c:pt idx="12">
                  <c:v>8.2843087662286721E-2</c:v>
                </c:pt>
                <c:pt idx="13">
                  <c:v>8.2261619717757958E-2</c:v>
                </c:pt>
                <c:pt idx="14">
                  <c:v>8.1741547635026862E-2</c:v>
                </c:pt>
                <c:pt idx="15">
                  <c:v>8.1227493327885494E-2</c:v>
                </c:pt>
                <c:pt idx="16">
                  <c:v>8.0689139710330038E-2</c:v>
                </c:pt>
                <c:pt idx="17">
                  <c:v>8.0126314536970319E-2</c:v>
                </c:pt>
                <c:pt idx="18">
                  <c:v>7.9538855523301893E-2</c:v>
                </c:pt>
                <c:pt idx="19">
                  <c:v>7.8927051138373477E-2</c:v>
                </c:pt>
                <c:pt idx="20">
                  <c:v>7.8291383980146179E-2</c:v>
                </c:pt>
                <c:pt idx="21">
                  <c:v>7.7631990843944371E-2</c:v>
                </c:pt>
                <c:pt idx="22">
                  <c:v>7.6949008428125229E-2</c:v>
                </c:pt>
                <c:pt idx="23">
                  <c:v>7.6225866259871697E-2</c:v>
                </c:pt>
                <c:pt idx="24">
                  <c:v>7.5428925569949054E-2</c:v>
                </c:pt>
                <c:pt idx="25">
                  <c:v>7.4558313578696689E-2</c:v>
                </c:pt>
                <c:pt idx="26">
                  <c:v>7.3614161835228453E-2</c:v>
                </c:pt>
                <c:pt idx="27">
                  <c:v>7.2596605315556381E-2</c:v>
                </c:pt>
                <c:pt idx="28">
                  <c:v>7.1505781522318845E-2</c:v>
                </c:pt>
                <c:pt idx="29">
                  <c:v>7.0359116706215419E-2</c:v>
                </c:pt>
                <c:pt idx="30">
                  <c:v>6.9212120357457843E-2</c:v>
                </c:pt>
                <c:pt idx="31">
                  <c:v>6.806492376933039E-2</c:v>
                </c:pt>
                <c:pt idx="32">
                  <c:v>6.6917652466791183E-2</c:v>
                </c:pt>
                <c:pt idx="33">
                  <c:v>6.5770426213554958E-2</c:v>
                </c:pt>
                <c:pt idx="34">
                  <c:v>6.4623359019483378E-2</c:v>
                </c:pt>
                <c:pt idx="35">
                  <c:v>6.3476559147906439E-2</c:v>
                </c:pt>
                <c:pt idx="36">
                  <c:v>6.2330129122804341E-2</c:v>
                </c:pt>
                <c:pt idx="37">
                  <c:v>6.1163476473807148E-2</c:v>
                </c:pt>
                <c:pt idx="38">
                  <c:v>5.9993398423948276E-2</c:v>
                </c:pt>
                <c:pt idx="39">
                  <c:v>5.8819981514414449E-2</c:v>
                </c:pt>
                <c:pt idx="40">
                  <c:v>5.7643306494959336E-2</c:v>
                </c:pt>
                <c:pt idx="41">
                  <c:v>5.6463448281614342E-2</c:v>
                </c:pt>
                <c:pt idx="42">
                  <c:v>5.528047591397417E-2</c:v>
                </c:pt>
                <c:pt idx="43">
                  <c:v>5.4081845093843679E-2</c:v>
                </c:pt>
                <c:pt idx="44">
                  <c:v>5.2850347278585515E-2</c:v>
                </c:pt>
                <c:pt idx="45">
                  <c:v>5.1586040166514975E-2</c:v>
                </c:pt>
                <c:pt idx="46">
                  <c:v>5.0288974171024355E-2</c:v>
                </c:pt>
                <c:pt idx="47">
                  <c:v>4.8959192004443763E-2</c:v>
                </c:pt>
                <c:pt idx="48">
                  <c:v>4.759672826122141E-2</c:v>
                </c:pt>
                <c:pt idx="49">
                  <c:v>4.6201609001568202E-2</c:v>
                </c:pt>
                <c:pt idx="50">
                  <c:v>4.4773851334800524E-2</c:v>
                </c:pt>
                <c:pt idx="51">
                  <c:v>4.3324823769602942E-2</c:v>
                </c:pt>
                <c:pt idx="52">
                  <c:v>4.1874963511944113E-2</c:v>
                </c:pt>
                <c:pt idx="53">
                  <c:v>4.0424018015305006E-2</c:v>
                </c:pt>
                <c:pt idx="54">
                  <c:v>3.8971958769487933E-2</c:v>
                </c:pt>
                <c:pt idx="55">
                  <c:v>3.7518759390675865E-2</c:v>
                </c:pt>
                <c:pt idx="56">
                  <c:v>3.6064395626011068E-2</c:v>
                </c:pt>
                <c:pt idx="57">
                  <c:v>3.4644716469282431E-2</c:v>
                </c:pt>
                <c:pt idx="58">
                  <c:v>3.3272304498508022E-2</c:v>
                </c:pt>
                <c:pt idx="59">
                  <c:v>3.1947142910844162E-2</c:v>
                </c:pt>
                <c:pt idx="60">
                  <c:v>3.0669217189552411E-2</c:v>
                </c:pt>
                <c:pt idx="61">
                  <c:v>2.9438514929270312E-2</c:v>
                </c:pt>
                <c:pt idx="62">
                  <c:v>2.8255025661237162E-2</c:v>
                </c:pt>
                <c:pt idx="63">
                  <c:v>2.7118740678609528E-2</c:v>
                </c:pt>
                <c:pt idx="64">
                  <c:v>2.6029652861660067E-2</c:v>
                </c:pt>
                <c:pt idx="65">
                  <c:v>2.5013780271902503E-2</c:v>
                </c:pt>
                <c:pt idx="66">
                  <c:v>2.4059757427802319E-2</c:v>
                </c:pt>
                <c:pt idx="67">
                  <c:v>2.3167580823593058E-2</c:v>
                </c:pt>
                <c:pt idx="68">
                  <c:v>2.2337247600294735E-2</c:v>
                </c:pt>
                <c:pt idx="69">
                  <c:v>2.1568755316654118E-2</c:v>
                </c:pt>
                <c:pt idx="70">
                  <c:v>2.0862101720197646E-2</c:v>
                </c:pt>
                <c:pt idx="71">
                  <c:v>2.021994314477071E-2</c:v>
                </c:pt>
                <c:pt idx="72">
                  <c:v>1.9606405139687016E-2</c:v>
                </c:pt>
                <c:pt idx="73">
                  <c:v>1.9021486425628946E-2</c:v>
                </c:pt>
                <c:pt idx="74">
                  <c:v>1.8465185894232881E-2</c:v>
                </c:pt>
                <c:pt idx="75">
                  <c:v>1.7937502502009369E-2</c:v>
                </c:pt>
                <c:pt idx="76">
                  <c:v>1.7438435164204416E-2</c:v>
                </c:pt>
                <c:pt idx="77">
                  <c:v>1.6967982648720632E-2</c:v>
                </c:pt>
                <c:pt idx="78">
                  <c:v>1.6526144018663577E-2</c:v>
                </c:pt>
                <c:pt idx="79">
                  <c:v>1.611777459883516E-2</c:v>
                </c:pt>
                <c:pt idx="80">
                  <c:v>1.5716894126524262E-2</c:v>
                </c:pt>
                <c:pt idx="81">
                  <c:v>1.5323496707464057E-2</c:v>
                </c:pt>
                <c:pt idx="82">
                  <c:v>1.4937576938586203E-2</c:v>
                </c:pt>
                <c:pt idx="83">
                  <c:v>1.455912988413678E-2</c:v>
                </c:pt>
                <c:pt idx="84">
                  <c:v>1.4188151051841439E-2</c:v>
                </c:pt>
                <c:pt idx="85">
                  <c:v>1.3829724350933327E-2</c:v>
                </c:pt>
                <c:pt idx="86">
                  <c:v>1.3481188230259754E-2</c:v>
                </c:pt>
                <c:pt idx="87">
                  <c:v>1.3142538938650547E-2</c:v>
                </c:pt>
                <c:pt idx="88">
                  <c:v>1.2813773028195667E-2</c:v>
                </c:pt>
                <c:pt idx="89">
                  <c:v>1.2494887322591691E-2</c:v>
                </c:pt>
                <c:pt idx="90">
                  <c:v>1.2185878885462053E-2</c:v>
                </c:pt>
                <c:pt idx="91">
                  <c:v>1.1886744988725308E-2</c:v>
                </c:pt>
                <c:pt idx="92">
                  <c:v>1.159748308092841E-2</c:v>
                </c:pt>
                <c:pt idx="93">
                  <c:v>1.1319153052656161E-2</c:v>
                </c:pt>
                <c:pt idx="94">
                  <c:v>1.1046962696678158E-2</c:v>
                </c:pt>
                <c:pt idx="95">
                  <c:v>1.0780910751206478E-2</c:v>
                </c:pt>
                <c:pt idx="96">
                  <c:v>1.0520996118984554E-2</c:v>
                </c:pt>
                <c:pt idx="97">
                  <c:v>1.0267217847640491E-2</c:v>
                </c:pt>
                <c:pt idx="98">
                  <c:v>1.0019575109942594E-2</c:v>
                </c:pt>
                <c:pt idx="99">
                  <c:v>9.7801752811360367E-3</c:v>
                </c:pt>
                <c:pt idx="100">
                  <c:v>9.5439351073390594E-3</c:v>
                </c:pt>
                <c:pt idx="101">
                  <c:v>9.3108550667921532E-3</c:v>
                </c:pt>
                <c:pt idx="102">
                  <c:v>9.0809358082871525E-3</c:v>
                </c:pt>
                <c:pt idx="103">
                  <c:v>8.8541781409065771E-3</c:v>
                </c:pt>
                <c:pt idx="104">
                  <c:v>8.6305830239781986E-3</c:v>
                </c:pt>
                <c:pt idx="105">
                  <c:v>8.4101515568299635E-3</c:v>
                </c:pt>
                <c:pt idx="106">
                  <c:v>8.1928849686542949E-3</c:v>
                </c:pt>
                <c:pt idx="107">
                  <c:v>7.9822509208222325E-3</c:v>
                </c:pt>
                <c:pt idx="108">
                  <c:v>7.7771887083645545E-3</c:v>
                </c:pt>
                <c:pt idx="109">
                  <c:v>7.5776984319586259E-3</c:v>
                </c:pt>
                <c:pt idx="110">
                  <c:v>7.3838011664884018E-3</c:v>
                </c:pt>
                <c:pt idx="111">
                  <c:v>7.1955162785165465E-3</c:v>
                </c:pt>
                <c:pt idx="112">
                  <c:v>7.0128412834885639E-3</c:v>
                </c:pt>
                <c:pt idx="113">
                  <c:v>6.8376585165756225E-3</c:v>
                </c:pt>
                <c:pt idx="114">
                  <c:v>6.6678615079937475E-3</c:v>
                </c:pt>
                <c:pt idx="115">
                  <c:v>6.5034478857981535E-3</c:v>
                </c:pt>
                <c:pt idx="116">
                  <c:v>6.3444152584050603E-3</c:v>
                </c:pt>
                <c:pt idx="117">
                  <c:v>6.1907612029498274E-3</c:v>
                </c:pt>
                <c:pt idx="118">
                  <c:v>6.0424832535769558E-3</c:v>
                </c:pt>
                <c:pt idx="119">
                  <c:v>5.8995788897495882E-3</c:v>
                </c:pt>
                <c:pt idx="120">
                  <c:v>5.7620455245497E-3</c:v>
                </c:pt>
                <c:pt idx="121">
                  <c:v>5.6327214540679129E-3</c:v>
                </c:pt>
                <c:pt idx="122">
                  <c:v>5.5081468188915581E-3</c:v>
                </c:pt>
                <c:pt idx="123">
                  <c:v>5.3883191990149555E-3</c:v>
                </c:pt>
                <c:pt idx="124">
                  <c:v>5.273236085009971E-3</c:v>
                </c:pt>
                <c:pt idx="125">
                  <c:v>5.1628948677268282E-3</c:v>
                </c:pt>
                <c:pt idx="126">
                  <c:v>5.0572928279187593E-3</c:v>
                </c:pt>
                <c:pt idx="127">
                  <c:v>4.956224981710524E-3</c:v>
                </c:pt>
                <c:pt idx="128">
                  <c:v>4.8578109827920402E-3</c:v>
                </c:pt>
                <c:pt idx="129">
                  <c:v>4.762049688993829E-3</c:v>
                </c:pt>
                <c:pt idx="130">
                  <c:v>4.6689399122158441E-3</c:v>
                </c:pt>
                <c:pt idx="131">
                  <c:v>4.5784804125960192E-3</c:v>
                </c:pt>
                <c:pt idx="132">
                  <c:v>4.4906698927279342E-3</c:v>
                </c:pt>
                <c:pt idx="133">
                  <c:v>4.4055069919064086E-3</c:v>
                </c:pt>
                <c:pt idx="134">
                  <c:v>4.3229902803479459E-3</c:v>
                </c:pt>
                <c:pt idx="135">
                  <c:v>4.2423637700582479E-3</c:v>
                </c:pt>
                <c:pt idx="136">
                  <c:v>4.1607992520120186E-3</c:v>
                </c:pt>
                <c:pt idx="137">
                  <c:v>4.0782992635230737E-3</c:v>
                </c:pt>
                <c:pt idx="138">
                  <c:v>3.9948664700524507E-3</c:v>
                </c:pt>
                <c:pt idx="139">
                  <c:v>3.9105036674112895E-3</c:v>
                </c:pt>
                <c:pt idx="140">
                  <c:v>3.8252137837358948E-3</c:v>
                </c:pt>
                <c:pt idx="141">
                  <c:v>3.7410456825065987E-3</c:v>
                </c:pt>
                <c:pt idx="142">
                  <c:v>3.6581807203842566E-3</c:v>
                </c:pt>
                <c:pt idx="143">
                  <c:v>3.5766044498095947E-3</c:v>
                </c:pt>
                <c:pt idx="144">
                  <c:v>3.4963248574698823E-3</c:v>
                </c:pt>
                <c:pt idx="145">
                  <c:v>3.4173493492121727E-3</c:v>
                </c:pt>
                <c:pt idx="146">
                  <c:v>3.3396847673530512E-3</c:v>
                </c:pt>
                <c:pt idx="147">
                  <c:v>3.2633374081066039E-3</c:v>
                </c:pt>
                <c:pt idx="148">
                  <c:v>3.1883130389279879E-3</c:v>
                </c:pt>
                <c:pt idx="149">
                  <c:v>3.1152188242315362E-3</c:v>
                </c:pt>
                <c:pt idx="150">
                  <c:v>3.0448075830606298E-3</c:v>
                </c:pt>
                <c:pt idx="151">
                  <c:v>2.9770811682934342E-3</c:v>
                </c:pt>
                <c:pt idx="152">
                  <c:v>2.9120409016833077E-3</c:v>
                </c:pt>
                <c:pt idx="153">
                  <c:v>2.8496876094421092E-3</c:v>
                </c:pt>
                <c:pt idx="154">
                  <c:v>2.790021657840383E-3</c:v>
                </c:pt>
                <c:pt idx="155">
                  <c:v>2.7349289723425552E-3</c:v>
                </c:pt>
                <c:pt idx="156">
                  <c:v>2.6823768555101005E-3</c:v>
                </c:pt>
                <c:pt idx="157">
                  <c:v>2.6323647664420555E-3</c:v>
                </c:pt>
                <c:pt idx="158">
                  <c:v>2.584891857910067E-3</c:v>
                </c:pt>
                <c:pt idx="159">
                  <c:v>2.5399570099906028E-3</c:v>
                </c:pt>
                <c:pt idx="160">
                  <c:v>2.4975588637294209E-3</c:v>
                </c:pt>
                <c:pt idx="161">
                  <c:v>2.4576958547764334E-3</c:v>
                </c:pt>
                <c:pt idx="162">
                  <c:v>2.4203662470347366E-3</c:v>
                </c:pt>
                <c:pt idx="163">
                  <c:v>2.3870370213534501E-3</c:v>
                </c:pt>
                <c:pt idx="164">
                  <c:v>2.3571071569105308E-3</c:v>
                </c:pt>
                <c:pt idx="165">
                  <c:v>2.3305730516884602E-3</c:v>
                </c:pt>
                <c:pt idx="166">
                  <c:v>2.3074311253013075E-3</c:v>
                </c:pt>
                <c:pt idx="167">
                  <c:v>2.2876778644695169E-3</c:v>
                </c:pt>
                <c:pt idx="168">
                  <c:v>2.2713098685691441E-3</c:v>
                </c:pt>
                <c:pt idx="169">
                  <c:v>2.2597875470919161E-3</c:v>
                </c:pt>
                <c:pt idx="170">
                  <c:v>2.2512366462728883E-3</c:v>
                </c:pt>
                <c:pt idx="171">
                  <c:v>2.2456550958645139E-3</c:v>
                </c:pt>
                <c:pt idx="172">
                  <c:v>2.2430410846059783E-3</c:v>
                </c:pt>
                <c:pt idx="173">
                  <c:v>2.2433701592050868E-3</c:v>
                </c:pt>
                <c:pt idx="174">
                  <c:v>2.2466168537796168E-3</c:v>
                </c:pt>
                <c:pt idx="175">
                  <c:v>2.2527780605326067E-3</c:v>
                </c:pt>
                <c:pt idx="176">
                  <c:v>2.261850690932449E-3</c:v>
                </c:pt>
                <c:pt idx="177">
                  <c:v>2.2756938510028325E-3</c:v>
                </c:pt>
                <c:pt idx="178">
                  <c:v>2.2928448300742342E-3</c:v>
                </c:pt>
                <c:pt idx="179">
                  <c:v>2.3133001099108095E-3</c:v>
                </c:pt>
                <c:pt idx="180">
                  <c:v>2.3370562722517061E-3</c:v>
                </c:pt>
                <c:pt idx="181">
                  <c:v>2.3641100182867714E-3</c:v>
                </c:pt>
                <c:pt idx="182">
                  <c:v>2.3944581881523187E-3</c:v>
                </c:pt>
                <c:pt idx="183">
                  <c:v>2.428688171629367E-3</c:v>
                </c:pt>
                <c:pt idx="184">
                  <c:v>2.4653436588370306E-3</c:v>
                </c:pt>
                <c:pt idx="185">
                  <c:v>2.5044232556018218E-3</c:v>
                </c:pt>
                <c:pt idx="186">
                  <c:v>2.5459257508432059E-3</c:v>
                </c:pt>
                <c:pt idx="187">
                  <c:v>2.5898501309914567E-3</c:v>
                </c:pt>
                <c:pt idx="188">
                  <c:v>2.636195594421718E-3</c:v>
                </c:pt>
                <c:pt idx="189">
                  <c:v>2.6849615658090069E-3</c:v>
                </c:pt>
                <c:pt idx="190">
                  <c:v>2.7361477105940068E-3</c:v>
                </c:pt>
                <c:pt idx="191">
                  <c:v>2.7917451192629767E-3</c:v>
                </c:pt>
                <c:pt idx="192">
                  <c:v>2.8499023368727268E-3</c:v>
                </c:pt>
                <c:pt idx="193">
                  <c:v>2.9106197325583449E-3</c:v>
                </c:pt>
                <c:pt idx="194">
                  <c:v>2.9738979882804645E-3</c:v>
                </c:pt>
                <c:pt idx="195">
                  <c:v>3.0397381141320391E-3</c:v>
                </c:pt>
                <c:pt idx="196">
                  <c:v>3.108141463534064E-3</c:v>
                </c:pt>
                <c:pt idx="197">
                  <c:v>3.1783788851197079E-3</c:v>
                </c:pt>
                <c:pt idx="198">
                  <c:v>3.2498665062121166E-3</c:v>
                </c:pt>
                <c:pt idx="199">
                  <c:v>3.3226080539540581E-3</c:v>
                </c:pt>
                <c:pt idx="200">
                  <c:v>3.3966075384869198E-3</c:v>
                </c:pt>
                <c:pt idx="201">
                  <c:v>3.4718692603580028E-3</c:v>
                </c:pt>
                <c:pt idx="202">
                  <c:v>3.5483978179440671E-3</c:v>
                </c:pt>
                <c:pt idx="203">
                  <c:v>3.6261981149538765E-3</c:v>
                </c:pt>
                <c:pt idx="204">
                  <c:v>3.705269384417858E-3</c:v>
                </c:pt>
                <c:pt idx="205">
                  <c:v>3.7854135314832247E-3</c:v>
                </c:pt>
                <c:pt idx="206">
                  <c:v>3.8646504760078827E-3</c:v>
                </c:pt>
                <c:pt idx="207">
                  <c:v>3.9429829565234545E-3</c:v>
                </c:pt>
                <c:pt idx="208">
                  <c:v>4.0204135369771047E-3</c:v>
                </c:pt>
                <c:pt idx="209">
                  <c:v>4.096944609547553E-3</c:v>
                </c:pt>
                <c:pt idx="210">
                  <c:v>4.1725783975952004E-3</c:v>
                </c:pt>
                <c:pt idx="211">
                  <c:v>4.2500476931784823E-3</c:v>
                </c:pt>
                <c:pt idx="212">
                  <c:v>4.3300815332156508E-3</c:v>
                </c:pt>
                <c:pt idx="213">
                  <c:v>4.4126804195266621E-3</c:v>
                </c:pt>
                <c:pt idx="214">
                  <c:v>4.4978449321779962E-3</c:v>
                </c:pt>
                <c:pt idx="215">
                  <c:v>4.5855757216212772E-3</c:v>
                </c:pt>
                <c:pt idx="216">
                  <c:v>4.6758735008165268E-3</c:v>
                </c:pt>
                <c:pt idx="217">
                  <c:v>4.7687390373734699E-3</c:v>
                </c:pt>
                <c:pt idx="218">
                  <c:v>4.864173145667494E-3</c:v>
                </c:pt>
                <c:pt idx="219">
                  <c:v>4.9639835214866897E-3</c:v>
                </c:pt>
                <c:pt idx="220">
                  <c:v>5.0683652165580727E-3</c:v>
                </c:pt>
                <c:pt idx="221">
                  <c:v>5.1773189209294483E-3</c:v>
                </c:pt>
                <c:pt idx="222">
                  <c:v>5.2908454461765521E-3</c:v>
                </c:pt>
                <c:pt idx="223">
                  <c:v>5.4089457113982156E-3</c:v>
                </c:pt>
                <c:pt idx="224">
                  <c:v>5.531620729088923E-3</c:v>
                </c:pt>
                <c:pt idx="225">
                  <c:v>5.6621899848902845E-3</c:v>
                </c:pt>
                <c:pt idx="226">
                  <c:v>5.797926600097556E-3</c:v>
                </c:pt>
                <c:pt idx="227">
                  <c:v>5.9388318661168131E-3</c:v>
                </c:pt>
                <c:pt idx="228">
                  <c:v>6.0849071327098948E-3</c:v>
                </c:pt>
                <c:pt idx="229">
                  <c:v>6.2361537919977368E-3</c:v>
                </c:pt>
                <c:pt idx="230">
                  <c:v>6.3925732625552184E-3</c:v>
                </c:pt>
                <c:pt idx="231">
                  <c:v>6.5541669735320893E-3</c:v>
                </c:pt>
                <c:pt idx="232">
                  <c:v>6.7209363486374898E-3</c:v>
                </c:pt>
                <c:pt idx="233">
                  <c:v>6.8948989898144249E-3</c:v>
                </c:pt>
                <c:pt idx="234">
                  <c:v>7.0742496587158201E-3</c:v>
                </c:pt>
                <c:pt idx="235">
                  <c:v>7.2589955891842568E-3</c:v>
                </c:pt>
                <c:pt idx="236">
                  <c:v>7.4491469812636079E-3</c:v>
                </c:pt>
                <c:pt idx="237">
                  <c:v>7.644709934719906E-3</c:v>
                </c:pt>
                <c:pt idx="238">
                  <c:v>7.8456909029535147E-3</c:v>
                </c:pt>
                <c:pt idx="239">
                  <c:v>8.0531125091242786E-3</c:v>
                </c:pt>
                <c:pt idx="240">
                  <c:v>8.2636616626594883E-3</c:v>
                </c:pt>
                <c:pt idx="241">
                  <c:v>8.477345288024617E-3</c:v>
                </c:pt>
                <c:pt idx="242">
                  <c:v>8.6941705954544906E-3</c:v>
                </c:pt>
                <c:pt idx="243">
                  <c:v>8.9141450863817213E-3</c:v>
                </c:pt>
                <c:pt idx="244">
                  <c:v>9.1372765588234369E-3</c:v>
                </c:pt>
                <c:pt idx="245">
                  <c:v>9.3635731126739605E-3</c:v>
                </c:pt>
                <c:pt idx="246">
                  <c:v>9.5930431549735816E-3</c:v>
                </c:pt>
                <c:pt idx="247">
                  <c:v>9.8305627582942201E-3</c:v>
                </c:pt>
                <c:pt idx="248">
                  <c:v>1.0074124031347239E-2</c:v>
                </c:pt>
                <c:pt idx="249">
                  <c:v>1.0323737859285248E-2</c:v>
                </c:pt>
                <c:pt idx="250">
                  <c:v>1.0579415614551285E-2</c:v>
                </c:pt>
                <c:pt idx="251">
                  <c:v>1.0841169167525207E-2</c:v>
                </c:pt>
                <c:pt idx="252">
                  <c:v>1.1109010896736786E-2</c:v>
                </c:pt>
                <c:pt idx="253">
                  <c:v>1.1387543265138286E-2</c:v>
                </c:pt>
                <c:pt idx="254">
                  <c:v>1.167576454133786E-2</c:v>
                </c:pt>
                <c:pt idx="255">
                  <c:v>1.1973691185933326E-2</c:v>
                </c:pt>
                <c:pt idx="256">
                  <c:v>1.2281340429710781E-2</c:v>
                </c:pt>
                <c:pt idx="257">
                  <c:v>1.2598730290208608E-2</c:v>
                </c:pt>
                <c:pt idx="258">
                  <c:v>1.2925879588389984E-2</c:v>
                </c:pt>
                <c:pt idx="259">
                  <c:v>1.3262807965499753E-2</c:v>
                </c:pt>
                <c:pt idx="260">
                  <c:v>1.3609535899536071E-2</c:v>
                </c:pt>
                <c:pt idx="261">
                  <c:v>1.3968634404277218E-2</c:v>
                </c:pt>
                <c:pt idx="262">
                  <c:v>1.4335244373449152E-2</c:v>
                </c:pt>
                <c:pt idx="263">
                  <c:v>1.4709386844653243E-2</c:v>
                </c:pt>
                <c:pt idx="264">
                  <c:v>1.5091084324027525E-2</c:v>
                </c:pt>
                <c:pt idx="265">
                  <c:v>1.5480443100951645E-2</c:v>
                </c:pt>
                <c:pt idx="266">
                  <c:v>1.5877537055989863E-2</c:v>
                </c:pt>
                <c:pt idx="267">
                  <c:v>1.6307385768640357E-2</c:v>
                </c:pt>
                <c:pt idx="268">
                  <c:v>1.6765421366451715E-2</c:v>
                </c:pt>
                <c:pt idx="269">
                  <c:v>1.7251681362781227E-2</c:v>
                </c:pt>
                <c:pt idx="270">
                  <c:v>1.7766203995184946E-2</c:v>
                </c:pt>
                <c:pt idx="271">
                  <c:v>1.8309027921425101E-2</c:v>
                </c:pt>
                <c:pt idx="272">
                  <c:v>1.8880191915934673E-2</c:v>
                </c:pt>
                <c:pt idx="273">
                  <c:v>1.9479734566058025E-2</c:v>
                </c:pt>
                <c:pt idx="274">
                  <c:v>2.0107693968533655E-2</c:v>
                </c:pt>
                <c:pt idx="275">
                  <c:v>2.0798699572681222E-2</c:v>
                </c:pt>
                <c:pt idx="276">
                  <c:v>2.1550273642850004E-2</c:v>
                </c:pt>
                <c:pt idx="277">
                  <c:v>2.2362499855382578E-2</c:v>
                </c:pt>
                <c:pt idx="278">
                  <c:v>2.3235461343426651E-2</c:v>
                </c:pt>
                <c:pt idx="279">
                  <c:v>2.4169240041581847E-2</c:v>
                </c:pt>
                <c:pt idx="280">
                  <c:v>2.5163916030764382E-2</c:v>
                </c:pt>
                <c:pt idx="281">
                  <c:v>2.6230555887370291E-2</c:v>
                </c:pt>
                <c:pt idx="282">
                  <c:v>2.7344066905948077E-2</c:v>
                </c:pt>
                <c:pt idx="283">
                  <c:v>2.8504497465150935E-2</c:v>
                </c:pt>
                <c:pt idx="284">
                  <c:v>2.9711891399405613E-2</c:v>
                </c:pt>
                <c:pt idx="285">
                  <c:v>3.0966287498763956E-2</c:v>
                </c:pt>
                <c:pt idx="286">
                  <c:v>3.2267719009037535E-2</c:v>
                </c:pt>
                <c:pt idx="287">
                  <c:v>3.3616213131648635E-2</c:v>
                </c:pt>
                <c:pt idx="288">
                  <c:v>3.5011790523586918E-2</c:v>
                </c:pt>
                <c:pt idx="289">
                  <c:v>3.644222454326148E-2</c:v>
                </c:pt>
                <c:pt idx="290">
                  <c:v>3.7872643855370314E-2</c:v>
                </c:pt>
                <c:pt idx="291">
                  <c:v>3.9302977212934055E-2</c:v>
                </c:pt>
                <c:pt idx="292">
                  <c:v>4.0733147270761098E-2</c:v>
                </c:pt>
                <c:pt idx="293">
                  <c:v>4.2163070598723894E-2</c:v>
                </c:pt>
                <c:pt idx="294">
                  <c:v>4.3592657694897306E-2</c:v>
                </c:pt>
                <c:pt idx="295">
                  <c:v>4.5001683871197636E-2</c:v>
                </c:pt>
                <c:pt idx="296">
                  <c:v>4.6379512041451881E-2</c:v>
                </c:pt>
                <c:pt idx="297">
                  <c:v>4.7726446436611038E-2</c:v>
                </c:pt>
                <c:pt idx="298">
                  <c:v>4.9042424272208611E-2</c:v>
                </c:pt>
                <c:pt idx="299">
                  <c:v>5.0327376790677052E-2</c:v>
                </c:pt>
                <c:pt idx="300">
                  <c:v>5.1581229560937865E-2</c:v>
                </c:pt>
                <c:pt idx="301">
                  <c:v>5.2803902777844254E-2</c:v>
                </c:pt>
                <c:pt idx="302">
                  <c:v>5.3995311561735919E-2</c:v>
                </c:pt>
                <c:pt idx="303">
                  <c:v>5.5172244366171082E-2</c:v>
                </c:pt>
                <c:pt idx="304">
                  <c:v>5.634695830002126E-2</c:v>
                </c:pt>
                <c:pt idx="305">
                  <c:v>5.7519396724726383E-2</c:v>
                </c:pt>
                <c:pt idx="306">
                  <c:v>5.8689498792951968E-2</c:v>
                </c:pt>
                <c:pt idx="307">
                  <c:v>5.9857199479373395E-2</c:v>
                </c:pt>
                <c:pt idx="308">
                  <c:v>6.1022429610960487E-2</c:v>
                </c:pt>
                <c:pt idx="309">
                  <c:v>6.2168755135741292E-2</c:v>
                </c:pt>
                <c:pt idx="310">
                  <c:v>6.331635173810074E-2</c:v>
                </c:pt>
                <c:pt idx="311">
                  <c:v>6.4465143579837778E-2</c:v>
                </c:pt>
                <c:pt idx="312">
                  <c:v>6.561505069278907E-2</c:v>
                </c:pt>
                <c:pt idx="313">
                  <c:v>6.6765988973905566E-2</c:v>
                </c:pt>
                <c:pt idx="314">
                  <c:v>6.7917870179737036E-2</c:v>
                </c:pt>
                <c:pt idx="315">
                  <c:v>6.9070601921750754E-2</c:v>
                </c:pt>
                <c:pt idx="316">
                  <c:v>7.0224087660616108E-2</c:v>
                </c:pt>
                <c:pt idx="317">
                  <c:v>7.1323825081650374E-2</c:v>
                </c:pt>
                <c:pt idx="318">
                  <c:v>7.2352656409976651E-2</c:v>
                </c:pt>
                <c:pt idx="319">
                  <c:v>7.3310395930505062E-2</c:v>
                </c:pt>
                <c:pt idx="320">
                  <c:v>7.4196860098321646E-2</c:v>
                </c:pt>
                <c:pt idx="321">
                  <c:v>7.5011868186829839E-2</c:v>
                </c:pt>
                <c:pt idx="322">
                  <c:v>7.5755242936226305E-2</c:v>
                </c:pt>
                <c:pt idx="323">
                  <c:v>7.6460062309511412E-2</c:v>
                </c:pt>
                <c:pt idx="324">
                  <c:v>7.7142642296731442E-2</c:v>
                </c:pt>
                <c:pt idx="325">
                  <c:v>7.7802853465982549E-2</c:v>
                </c:pt>
                <c:pt idx="326">
                  <c:v>7.8440078405790079E-2</c:v>
                </c:pt>
                <c:pt idx="327">
                  <c:v>7.9054012470948135E-2</c:v>
                </c:pt>
                <c:pt idx="328">
                  <c:v>7.9644755600682487E-2</c:v>
                </c:pt>
                <c:pt idx="329">
                  <c:v>8.0212416075217938E-2</c:v>
                </c:pt>
                <c:pt idx="330">
                  <c:v>8.0757110072118804E-2</c:v>
                </c:pt>
                <c:pt idx="331">
                  <c:v>8.1308747577466894E-2</c:v>
                </c:pt>
                <c:pt idx="332">
                  <c:v>8.1922075361219565E-2</c:v>
                </c:pt>
                <c:pt idx="333">
                  <c:v>8.2597249703583647E-2</c:v>
                </c:pt>
                <c:pt idx="334">
                  <c:v>8.3334425879348029E-2</c:v>
                </c:pt>
                <c:pt idx="335">
                  <c:v>8.4133759470909897E-2</c:v>
                </c:pt>
                <c:pt idx="336">
                  <c:v>8.4995407680219889E-2</c:v>
                </c:pt>
                <c:pt idx="337">
                  <c:v>8.587557766601267E-2</c:v>
                </c:pt>
                <c:pt idx="338">
                  <c:v>8.6741111742198937E-2</c:v>
                </c:pt>
                <c:pt idx="339">
                  <c:v>8.7592174611306542E-2</c:v>
                </c:pt>
                <c:pt idx="340">
                  <c:v>8.8428938448762096E-2</c:v>
                </c:pt>
                <c:pt idx="341">
                  <c:v>8.9251582608898275E-2</c:v>
                </c:pt>
                <c:pt idx="342">
                  <c:v>9.0060293330909355E-2</c:v>
                </c:pt>
                <c:pt idx="343">
                  <c:v>9.0855263443725368E-2</c:v>
                </c:pt>
                <c:pt idx="344">
                  <c:v>9.163669207228288E-2</c:v>
                </c:pt>
                <c:pt idx="345">
                  <c:v>9.2404784342852375E-2</c:v>
                </c:pt>
                <c:pt idx="346">
                  <c:v>9.3096588468731478E-2</c:v>
                </c:pt>
                <c:pt idx="347">
                  <c:v>9.3712308111017648E-2</c:v>
                </c:pt>
                <c:pt idx="348">
                  <c:v>9.4252146539839085E-2</c:v>
                </c:pt>
                <c:pt idx="349">
                  <c:v>9.4716305026277814E-2</c:v>
                </c:pt>
                <c:pt idx="350">
                  <c:v>9.51049812364958E-2</c:v>
                </c:pt>
                <c:pt idx="351">
                  <c:v>9.5384994558828221E-2</c:v>
                </c:pt>
                <c:pt idx="352">
                  <c:v>9.5600509131033393E-2</c:v>
                </c:pt>
                <c:pt idx="353">
                  <c:v>9.5751705543882196E-2</c:v>
                </c:pt>
                <c:pt idx="354">
                  <c:v>9.5838755797309202E-2</c:v>
                </c:pt>
                <c:pt idx="355">
                  <c:v>9.5861821908860848E-2</c:v>
                </c:pt>
                <c:pt idx="356">
                  <c:v>9.5821120744879876E-2</c:v>
                </c:pt>
                <c:pt idx="357">
                  <c:v>9.5716576690262123E-2</c:v>
                </c:pt>
                <c:pt idx="358">
                  <c:v>9.5547871411775231E-2</c:v>
                </c:pt>
                <c:pt idx="359">
                  <c:v>9.5314676622669403E-2</c:v>
                </c:pt>
                <c:pt idx="360">
                  <c:v>9.4972560479949189E-2</c:v>
                </c:pt>
                <c:pt idx="361">
                  <c:v>9.4554594838326581E-2</c:v>
                </c:pt>
                <c:pt idx="362">
                  <c:v>9.4060415829435862E-2</c:v>
                </c:pt>
                <c:pt idx="363">
                  <c:v>9.3489655894050061E-2</c:v>
                </c:pt>
                <c:pt idx="364">
                  <c:v>9.2841945768292286E-2</c:v>
                </c:pt>
                <c:pt idx="365">
                  <c:v>9.2116916468655663E-2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0.12914029908778735</c:v>
                </c:pt>
                <c:pt idx="1">
                  <c:v>0.1292120664191091</c:v>
                </c:pt>
                <c:pt idx="2">
                  <c:v>0.12922480944512119</c:v>
                </c:pt>
                <c:pt idx="3">
                  <c:v>0.12917811221564748</c:v>
                </c:pt>
                <c:pt idx="4">
                  <c:v>0.12907155834636308</c:v>
                </c:pt>
                <c:pt idx="5">
                  <c:v>0.12890473254434756</c:v>
                </c:pt>
                <c:pt idx="6">
                  <c:v>0.12867722213528612</c:v>
                </c:pt>
                <c:pt idx="7">
                  <c:v>0.12838861858776546</c:v>
                </c:pt>
                <c:pt idx="8">
                  <c:v>0.12803851903937991</c:v>
                </c:pt>
                <c:pt idx="9">
                  <c:v>0.12761744540735623</c:v>
                </c:pt>
                <c:pt idx="10">
                  <c:v>0.12716285331568261</c:v>
                </c:pt>
                <c:pt idx="11">
                  <c:v>0.1266744023573512</c:v>
                </c:pt>
                <c:pt idx="12">
                  <c:v>0.12615176063594594</c:v>
                </c:pt>
                <c:pt idx="13">
                  <c:v>0.12559460556052079</c:v>
                </c:pt>
                <c:pt idx="14">
                  <c:v>0.12500262463833259</c:v>
                </c:pt>
                <c:pt idx="15">
                  <c:v>0.12432541535002038</c:v>
                </c:pt>
                <c:pt idx="16">
                  <c:v>0.12358487101544698</c:v>
                </c:pt>
                <c:pt idx="17">
                  <c:v>0.12278069729009787</c:v>
                </c:pt>
                <c:pt idx="18">
                  <c:v>0.12191261940579845</c:v>
                </c:pt>
                <c:pt idx="19">
                  <c:v>0.12098105849058095</c:v>
                </c:pt>
                <c:pt idx="20">
                  <c:v>0.11998673837698261</c:v>
                </c:pt>
                <c:pt idx="21">
                  <c:v>0.11892985705665264</c:v>
                </c:pt>
                <c:pt idx="22">
                  <c:v>0.11781061609107983</c:v>
                </c:pt>
                <c:pt idx="23">
                  <c:v>0.11661095684941351</c:v>
                </c:pt>
                <c:pt idx="24">
                  <c:v>0.11534019917361628</c:v>
                </c:pt>
                <c:pt idx="25">
                  <c:v>0.11399855040780148</c:v>
                </c:pt>
                <c:pt idx="26">
                  <c:v>0.11258621941988507</c:v>
                </c:pt>
                <c:pt idx="27">
                  <c:v>0.1111034157446899</c:v>
                </c:pt>
                <c:pt idx="28">
                  <c:v>0.10955034872950332</c:v>
                </c:pt>
                <c:pt idx="29">
                  <c:v>0.10794482945465511</c:v>
                </c:pt>
                <c:pt idx="30">
                  <c:v>0.10633724727857942</c:v>
                </c:pt>
                <c:pt idx="31">
                  <c:v>0.10472779797619175</c:v>
                </c:pt>
                <c:pt idx="32">
                  <c:v>0.10311666934302222</c:v>
                </c:pt>
                <c:pt idx="33">
                  <c:v>0.10150404118671391</c:v>
                </c:pt>
                <c:pt idx="34">
                  <c:v>9.9890085318994307E-2</c:v>
                </c:pt>
                <c:pt idx="35">
                  <c:v>9.8274965547542517E-2</c:v>
                </c:pt>
                <c:pt idx="36">
                  <c:v>9.6658837667641995E-2</c:v>
                </c:pt>
                <c:pt idx="37">
                  <c:v>9.5021575778193756E-2</c:v>
                </c:pt>
                <c:pt idx="38">
                  <c:v>9.3381581331322475E-2</c:v>
                </c:pt>
                <c:pt idx="39">
                  <c:v>9.1738986702530279E-2</c:v>
                </c:pt>
                <c:pt idx="40">
                  <c:v>9.0093916131393045E-2</c:v>
                </c:pt>
                <c:pt idx="41">
                  <c:v>8.8446485688615309E-2</c:v>
                </c:pt>
                <c:pt idx="42">
                  <c:v>8.6796803242424989E-2</c:v>
                </c:pt>
                <c:pt idx="43">
                  <c:v>8.5125686064377273E-2</c:v>
                </c:pt>
                <c:pt idx="44">
                  <c:v>8.3415646110030606E-2</c:v>
                </c:pt>
                <c:pt idx="45">
                  <c:v>8.1666774454801971E-2</c:v>
                </c:pt>
                <c:pt idx="46">
                  <c:v>7.9879152291358099E-2</c:v>
                </c:pt>
                <c:pt idx="47">
                  <c:v>7.8052850435369844E-2</c:v>
                </c:pt>
                <c:pt idx="48">
                  <c:v>7.6187928830191029E-2</c:v>
                </c:pt>
                <c:pt idx="49">
                  <c:v>7.4284436052272196E-2</c:v>
                </c:pt>
                <c:pt idx="50">
                  <c:v>7.2342408816094203E-2</c:v>
                </c:pt>
                <c:pt idx="51">
                  <c:v>7.035633111041735E-2</c:v>
                </c:pt>
                <c:pt idx="52">
                  <c:v>6.8346093141977246E-2</c:v>
                </c:pt>
                <c:pt idx="53">
                  <c:v>6.6311290685769242E-2</c:v>
                </c:pt>
                <c:pt idx="54">
                  <c:v>6.4251880580076456E-2</c:v>
                </c:pt>
                <c:pt idx="55">
                  <c:v>6.216782226453265E-2</c:v>
                </c:pt>
                <c:pt idx="56">
                  <c:v>6.0059077871903205E-2</c:v>
                </c:pt>
                <c:pt idx="57">
                  <c:v>5.7968994779919993E-2</c:v>
                </c:pt>
                <c:pt idx="58">
                  <c:v>5.5916815522661534E-2</c:v>
                </c:pt>
                <c:pt idx="59">
                  <c:v>5.3902512184805788E-2</c:v>
                </c:pt>
                <c:pt idx="60">
                  <c:v>5.1926060092594373E-2</c:v>
                </c:pt>
                <c:pt idx="61">
                  <c:v>4.9987437673848278E-2</c:v>
                </c:pt>
                <c:pt idx="62">
                  <c:v>4.8086626317907603E-2</c:v>
                </c:pt>
                <c:pt idx="63">
                  <c:v>4.6223610235723071E-2</c:v>
                </c:pt>
                <c:pt idx="64">
                  <c:v>4.4398376319749772E-2</c:v>
                </c:pt>
                <c:pt idx="65">
                  <c:v>4.2660234726833814E-2</c:v>
                </c:pt>
                <c:pt idx="66">
                  <c:v>4.1014718362308758E-2</c:v>
                </c:pt>
                <c:pt idx="67">
                  <c:v>3.9461821231922441E-2</c:v>
                </c:pt>
                <c:pt idx="68">
                  <c:v>3.8001538630746214E-2</c:v>
                </c:pt>
                <c:pt idx="69">
                  <c:v>3.6633866800085874E-2</c:v>
                </c:pt>
                <c:pt idx="70">
                  <c:v>3.5358802584585243E-2</c:v>
                </c:pt>
                <c:pt idx="71">
                  <c:v>3.4182792428340471E-2</c:v>
                </c:pt>
                <c:pt idx="72">
                  <c:v>3.3062449816903212E-2</c:v>
                </c:pt>
                <c:pt idx="73">
                  <c:v>3.1997773283828086E-2</c:v>
                </c:pt>
                <c:pt idx="74">
                  <c:v>3.0988761587716587E-2</c:v>
                </c:pt>
                <c:pt idx="75">
                  <c:v>3.003541350594786E-2</c:v>
                </c:pt>
                <c:pt idx="76">
                  <c:v>2.9137727628310277E-2</c:v>
                </c:pt>
                <c:pt idx="77">
                  <c:v>2.8295702150733681E-2</c:v>
                </c:pt>
                <c:pt idx="78">
                  <c:v>2.7509335582259608E-2</c:v>
                </c:pt>
                <c:pt idx="79">
                  <c:v>2.67874978669977E-2</c:v>
                </c:pt>
                <c:pt idx="80">
                  <c:v>2.6080941449995548E-2</c:v>
                </c:pt>
                <c:pt idx="81">
                  <c:v>2.5389656167531392E-2</c:v>
                </c:pt>
                <c:pt idx="82">
                  <c:v>2.4713632715709508E-2</c:v>
                </c:pt>
                <c:pt idx="83">
                  <c:v>2.4052862601696853E-2</c:v>
                </c:pt>
                <c:pt idx="84">
                  <c:v>2.3407338095041346E-2</c:v>
                </c:pt>
                <c:pt idx="85">
                  <c:v>2.2786127640312973E-2</c:v>
                </c:pt>
                <c:pt idx="86">
                  <c:v>2.2182777901337991E-2</c:v>
                </c:pt>
                <c:pt idx="87">
                  <c:v>2.1597282635089424E-2</c:v>
                </c:pt>
                <c:pt idx="88">
                  <c:v>2.102963611296409E-2</c:v>
                </c:pt>
                <c:pt idx="89">
                  <c:v>2.0479833063625705E-2</c:v>
                </c:pt>
                <c:pt idx="90">
                  <c:v>1.9947868615804918E-2</c:v>
                </c:pt>
                <c:pt idx="91">
                  <c:v>1.9433738241178132E-2</c:v>
                </c:pt>
                <c:pt idx="92">
                  <c:v>1.8937437697188756E-2</c:v>
                </c:pt>
                <c:pt idx="93">
                  <c:v>1.846241955737004E-2</c:v>
                </c:pt>
                <c:pt idx="94">
                  <c:v>1.7999918894298039E-2</c:v>
                </c:pt>
                <c:pt idx="95">
                  <c:v>1.7549933302758704E-2</c:v>
                </c:pt>
                <c:pt idx="96">
                  <c:v>1.7112460595119696E-2</c:v>
                </c:pt>
                <c:pt idx="97">
                  <c:v>1.6687498761269872E-2</c:v>
                </c:pt>
                <c:pt idx="98">
                  <c:v>1.6275045928399512E-2</c:v>
                </c:pt>
                <c:pt idx="99">
                  <c:v>1.5878300398250386E-2</c:v>
                </c:pt>
                <c:pt idx="100">
                  <c:v>1.5488194752809888E-2</c:v>
                </c:pt>
                <c:pt idx="101">
                  <c:v>1.5104729376984425E-2</c:v>
                </c:pt>
                <c:pt idx="102">
                  <c:v>1.4727904878568008E-2</c:v>
                </c:pt>
                <c:pt idx="103">
                  <c:v>1.4357722066745059E-2</c:v>
                </c:pt>
                <c:pt idx="104">
                  <c:v>1.3994181930942423E-2</c:v>
                </c:pt>
                <c:pt idx="105">
                  <c:v>1.3637285619357483E-2</c:v>
                </c:pt>
                <c:pt idx="106">
                  <c:v>1.3287034417663724E-2</c:v>
                </c:pt>
                <c:pt idx="107">
                  <c:v>1.2948054875960227E-2</c:v>
                </c:pt>
                <c:pt idx="108">
                  <c:v>1.2616895911720107E-2</c:v>
                </c:pt>
                <c:pt idx="109">
                  <c:v>1.2293558301169646E-2</c:v>
                </c:pt>
                <c:pt idx="110">
                  <c:v>1.1978076912390655E-2</c:v>
                </c:pt>
                <c:pt idx="111">
                  <c:v>1.1670483888696964E-2</c:v>
                </c:pt>
                <c:pt idx="112">
                  <c:v>1.1370775956823112E-2</c:v>
                </c:pt>
                <c:pt idx="113">
                  <c:v>1.1082858369620696E-2</c:v>
                </c:pt>
                <c:pt idx="114">
                  <c:v>1.0803533420302021E-2</c:v>
                </c:pt>
                <c:pt idx="115">
                  <c:v>1.0532797415532126E-2</c:v>
                </c:pt>
                <c:pt idx="116">
                  <c:v>1.0270646638063366E-2</c:v>
                </c:pt>
                <c:pt idx="117">
                  <c:v>1.0017077328168665E-2</c:v>
                </c:pt>
                <c:pt idx="118">
                  <c:v>9.7720856649643681E-3</c:v>
                </c:pt>
                <c:pt idx="119">
                  <c:v>9.5356677477646829E-3</c:v>
                </c:pt>
                <c:pt idx="120">
                  <c:v>9.3078195774210816E-3</c:v>
                </c:pt>
                <c:pt idx="121">
                  <c:v>9.0932848730774975E-3</c:v>
                </c:pt>
                <c:pt idx="122">
                  <c:v>8.8874457699447944E-3</c:v>
                </c:pt>
                <c:pt idx="123">
                  <c:v>8.6902976534882059E-3</c:v>
                </c:pt>
                <c:pt idx="124">
                  <c:v>8.501835726110997E-3</c:v>
                </c:pt>
                <c:pt idx="125">
                  <c:v>8.322054988281237E-3</c:v>
                </c:pt>
                <c:pt idx="126">
                  <c:v>8.1509502195356836E-3</c:v>
                </c:pt>
                <c:pt idx="127">
                  <c:v>7.9885447858236147E-3</c:v>
                </c:pt>
                <c:pt idx="128">
                  <c:v>7.8309394958212767E-3</c:v>
                </c:pt>
                <c:pt idx="129">
                  <c:v>7.6781320024447283E-3</c:v>
                </c:pt>
                <c:pt idx="130">
                  <c:v>7.5301198576602181E-3</c:v>
                </c:pt>
                <c:pt idx="131">
                  <c:v>7.3869005019371985E-3</c:v>
                </c:pt>
                <c:pt idx="132">
                  <c:v>7.2484712537804761E-3</c:v>
                </c:pt>
                <c:pt idx="133">
                  <c:v>7.1148292993074335E-3</c:v>
                </c:pt>
                <c:pt idx="134">
                  <c:v>6.985971681784703E-3</c:v>
                </c:pt>
                <c:pt idx="135">
                  <c:v>6.8613266124519122E-3</c:v>
                </c:pt>
                <c:pt idx="136">
                  <c:v>6.7361661547241545E-3</c:v>
                </c:pt>
                <c:pt idx="137">
                  <c:v>6.6104930651116707E-3</c:v>
                </c:pt>
                <c:pt idx="138">
                  <c:v>6.4843102406047818E-3</c:v>
                </c:pt>
                <c:pt idx="139">
                  <c:v>6.3576207200230087E-3</c:v>
                </c:pt>
                <c:pt idx="140">
                  <c:v>6.2304276849946992E-3</c:v>
                </c:pt>
                <c:pt idx="141">
                  <c:v>6.105499447601183E-3</c:v>
                </c:pt>
                <c:pt idx="142">
                  <c:v>5.9827741955744184E-3</c:v>
                </c:pt>
                <c:pt idx="143">
                  <c:v>5.862227490320681E-3</c:v>
                </c:pt>
                <c:pt idx="144">
                  <c:v>5.7438714880661797E-3</c:v>
                </c:pt>
                <c:pt idx="145">
                  <c:v>5.627717454596691E-3</c:v>
                </c:pt>
                <c:pt idx="146">
                  <c:v>5.5137757946785377E-3</c:v>
                </c:pt>
                <c:pt idx="147">
                  <c:v>5.4020560816737499E-3</c:v>
                </c:pt>
                <c:pt idx="148">
                  <c:v>5.2925670870167052E-3</c:v>
                </c:pt>
                <c:pt idx="149">
                  <c:v>5.1862568898319037E-3</c:v>
                </c:pt>
                <c:pt idx="150">
                  <c:v>5.0836957280848789E-3</c:v>
                </c:pt>
                <c:pt idx="151">
                  <c:v>4.9848874269986226E-3</c:v>
                </c:pt>
                <c:pt idx="152">
                  <c:v>4.8898350493938999E-3</c:v>
                </c:pt>
                <c:pt idx="153">
                  <c:v>4.798540945484776E-3</c:v>
                </c:pt>
                <c:pt idx="154">
                  <c:v>4.7110068027023154E-3</c:v>
                </c:pt>
                <c:pt idx="155">
                  <c:v>4.6299834851072355E-3</c:v>
                </c:pt>
                <c:pt idx="156">
                  <c:v>4.5527244516542853E-3</c:v>
                </c:pt>
                <c:pt idx="157">
                  <c:v>4.4792296677027494E-3</c:v>
                </c:pt>
                <c:pt idx="158">
                  <c:v>4.4094986499493656E-3</c:v>
                </c:pt>
                <c:pt idx="159">
                  <c:v>4.3435305163038321E-3</c:v>
                </c:pt>
                <c:pt idx="160">
                  <c:v>4.2813240358192629E-3</c:v>
                </c:pt>
                <c:pt idx="161">
                  <c:v>4.2228776785722E-3</c:v>
                </c:pt>
                <c:pt idx="162">
                  <c:v>4.1681896655667607E-3</c:v>
                </c:pt>
                <c:pt idx="163">
                  <c:v>4.1193861435955461E-3</c:v>
                </c:pt>
                <c:pt idx="164">
                  <c:v>4.0755296882269091E-3</c:v>
                </c:pt>
                <c:pt idx="165">
                  <c:v>4.0366159461179864E-3</c:v>
                </c:pt>
                <c:pt idx="166">
                  <c:v>4.0026405957114186E-3</c:v>
                </c:pt>
                <c:pt idx="167">
                  <c:v>3.9735994133445933E-3</c:v>
                </c:pt>
                <c:pt idx="168">
                  <c:v>3.9494883394878355E-3</c:v>
                </c:pt>
                <c:pt idx="169">
                  <c:v>3.9324241314551414E-3</c:v>
                </c:pt>
                <c:pt idx="170">
                  <c:v>3.919675021710655E-3</c:v>
                </c:pt>
                <c:pt idx="171">
                  <c:v>3.9112389096802079E-3</c:v>
                </c:pt>
                <c:pt idx="172">
                  <c:v>3.9071140700195732E-3</c:v>
                </c:pt>
                <c:pt idx="173">
                  <c:v>3.9072592543961159E-3</c:v>
                </c:pt>
                <c:pt idx="174">
                  <c:v>3.9116314047629025E-3</c:v>
                </c:pt>
                <c:pt idx="175">
                  <c:v>3.9202264033410929E-3</c:v>
                </c:pt>
                <c:pt idx="176">
                  <c:v>3.9330401602700816E-3</c:v>
                </c:pt>
                <c:pt idx="177">
                  <c:v>3.9527836902830899E-3</c:v>
                </c:pt>
                <c:pt idx="178">
                  <c:v>3.9773381297887158E-3</c:v>
                </c:pt>
                <c:pt idx="179">
                  <c:v>4.0066987409200982E-3</c:v>
                </c:pt>
                <c:pt idx="180">
                  <c:v>4.0408609310332985E-3</c:v>
                </c:pt>
                <c:pt idx="181">
                  <c:v>4.0798202810210741E-3</c:v>
                </c:pt>
                <c:pt idx="182">
                  <c:v>4.1235725736613969E-3</c:v>
                </c:pt>
                <c:pt idx="183">
                  <c:v>4.1730359142095434E-3</c:v>
                </c:pt>
                <c:pt idx="184">
                  <c:v>4.2261006202563229E-3</c:v>
                </c:pt>
                <c:pt idx="185">
                  <c:v>4.2827649419498459E-3</c:v>
                </c:pt>
                <c:pt idx="186">
                  <c:v>4.3430273985585908E-3</c:v>
                </c:pt>
                <c:pt idx="187">
                  <c:v>4.4068867998564819E-3</c:v>
                </c:pt>
                <c:pt idx="188">
                  <c:v>4.4743422675352197E-3</c:v>
                </c:pt>
                <c:pt idx="189">
                  <c:v>4.5453932564820995E-3</c:v>
                </c:pt>
                <c:pt idx="190">
                  <c:v>4.6200395762462454E-3</c:v>
                </c:pt>
                <c:pt idx="191">
                  <c:v>4.7009725626604047E-3</c:v>
                </c:pt>
                <c:pt idx="192">
                  <c:v>4.7854933377255724E-3</c:v>
                </c:pt>
                <c:pt idx="193">
                  <c:v>4.8736029988464546E-3</c:v>
                </c:pt>
                <c:pt idx="194">
                  <c:v>4.9653030893941283E-3</c:v>
                </c:pt>
                <c:pt idx="195">
                  <c:v>5.0605956201458238E-3</c:v>
                </c:pt>
                <c:pt idx="196">
                  <c:v>5.1594830905384824E-3</c:v>
                </c:pt>
                <c:pt idx="197">
                  <c:v>5.2614176344659078E-3</c:v>
                </c:pt>
                <c:pt idx="198">
                  <c:v>5.3654870223248767E-3</c:v>
                </c:pt>
                <c:pt idx="199">
                  <c:v>5.4716967536057037E-3</c:v>
                </c:pt>
                <c:pt idx="200">
                  <c:v>5.5800527673460698E-3</c:v>
                </c:pt>
                <c:pt idx="201">
                  <c:v>5.690561454720979E-3</c:v>
                </c:pt>
                <c:pt idx="202">
                  <c:v>5.8032296716599638E-3</c:v>
                </c:pt>
                <c:pt idx="203">
                  <c:v>5.918064751593499E-3</c:v>
                </c:pt>
                <c:pt idx="204">
                  <c:v>6.0350647723782687E-3</c:v>
                </c:pt>
                <c:pt idx="205">
                  <c:v>6.1542516126943799E-3</c:v>
                </c:pt>
                <c:pt idx="206">
                  <c:v>6.2729487570599663E-3</c:v>
                </c:pt>
                <c:pt idx="207">
                  <c:v>6.3911596000523234E-3</c:v>
                </c:pt>
                <c:pt idx="208">
                  <c:v>6.5088873448253927E-3</c:v>
                </c:pt>
                <c:pt idx="209">
                  <c:v>6.6261350046472002E-3</c:v>
                </c:pt>
                <c:pt idx="210">
                  <c:v>6.7429054046544189E-3</c:v>
                </c:pt>
                <c:pt idx="211">
                  <c:v>6.8637648076447831E-3</c:v>
                </c:pt>
                <c:pt idx="212">
                  <c:v>6.9892626868133237E-3</c:v>
                </c:pt>
                <c:pt idx="213">
                  <c:v>7.119399509980179E-3</c:v>
                </c:pt>
                <c:pt idx="214">
                  <c:v>7.2541759108644792E-3</c:v>
                </c:pt>
                <c:pt idx="215">
                  <c:v>7.3935926748494541E-3</c:v>
                </c:pt>
                <c:pt idx="216">
                  <c:v>7.5376507247226837E-3</c:v>
                </c:pt>
                <c:pt idx="217">
                  <c:v>7.6863511064454689E-3</c:v>
                </c:pt>
                <c:pt idx="218">
                  <c:v>7.839694974881321E-3</c:v>
                </c:pt>
                <c:pt idx="219">
                  <c:v>8.0014303767767404E-3</c:v>
                </c:pt>
                <c:pt idx="220">
                  <c:v>8.1715303044373831E-3</c:v>
                </c:pt>
                <c:pt idx="221">
                  <c:v>8.3499957608558859E-3</c:v>
                </c:pt>
                <c:pt idx="222">
                  <c:v>8.5368279978993069E-3</c:v>
                </c:pt>
                <c:pt idx="223">
                  <c:v>8.7320284906390409E-3</c:v>
                </c:pt>
                <c:pt idx="224">
                  <c:v>8.9355989114830604E-3</c:v>
                </c:pt>
                <c:pt idx="225">
                  <c:v>9.1519688828038161E-3</c:v>
                </c:pt>
                <c:pt idx="226">
                  <c:v>9.3765812891230278E-3</c:v>
                </c:pt>
                <c:pt idx="227">
                  <c:v>9.609438337492027E-3</c:v>
                </c:pt>
                <c:pt idx="228">
                  <c:v>9.8505423179386428E-3</c:v>
                </c:pt>
                <c:pt idx="229">
                  <c:v>1.0099895577952092E-2</c:v>
                </c:pt>
                <c:pt idx="230">
                  <c:v>1.0357500497115783E-2</c:v>
                </c:pt>
                <c:pt idx="231">
                  <c:v>1.0623359461782547E-2</c:v>
                </c:pt>
                <c:pt idx="232">
                  <c:v>1.0897474839528827E-2</c:v>
                </c:pt>
                <c:pt idx="233">
                  <c:v>1.1182909531463331E-2</c:v>
                </c:pt>
                <c:pt idx="234">
                  <c:v>1.1475919326501891E-2</c:v>
                </c:pt>
                <c:pt idx="235">
                  <c:v>1.1776515822694745E-2</c:v>
                </c:pt>
                <c:pt idx="236">
                  <c:v>1.2084715392417284E-2</c:v>
                </c:pt>
                <c:pt idx="237">
                  <c:v>1.2400527711719142E-2</c:v>
                </c:pt>
                <c:pt idx="238">
                  <c:v>1.2723962982116329E-2</c:v>
                </c:pt>
                <c:pt idx="239">
                  <c:v>1.3058337257021295E-2</c:v>
                </c:pt>
                <c:pt idx="240">
                  <c:v>1.3399232056712923E-2</c:v>
                </c:pt>
                <c:pt idx="241">
                  <c:v>1.3746658986559072E-2</c:v>
                </c:pt>
                <c:pt idx="242">
                  <c:v>1.4100630180762056E-2</c:v>
                </c:pt>
                <c:pt idx="243">
                  <c:v>1.4461158313718714E-2</c:v>
                </c:pt>
                <c:pt idx="244">
                  <c:v>1.4828256611312922E-2</c:v>
                </c:pt>
                <c:pt idx="245">
                  <c:v>1.5201938862055604E-2</c:v>
                </c:pt>
                <c:pt idx="246">
                  <c:v>1.5582219428185724E-2</c:v>
                </c:pt>
                <c:pt idx="247">
                  <c:v>1.5977795181322689E-2</c:v>
                </c:pt>
                <c:pt idx="248">
                  <c:v>1.6385620578806635E-2</c:v>
                </c:pt>
                <c:pt idx="249">
                  <c:v>1.6805714753305542E-2</c:v>
                </c:pt>
                <c:pt idx="250">
                  <c:v>1.7238097768561816E-2</c:v>
                </c:pt>
                <c:pt idx="251">
                  <c:v>1.7682790640975218E-2</c:v>
                </c:pt>
                <c:pt idx="252">
                  <c:v>1.8139815360481017E-2</c:v>
                </c:pt>
                <c:pt idx="253">
                  <c:v>1.8617589191548736E-2</c:v>
                </c:pt>
                <c:pt idx="254">
                  <c:v>1.9112828811842428E-2</c:v>
                </c:pt>
                <c:pt idx="255">
                  <c:v>1.9625562865216589E-2</c:v>
                </c:pt>
                <c:pt idx="256">
                  <c:v>2.015582136876819E-2</c:v>
                </c:pt>
                <c:pt idx="257">
                  <c:v>2.0703635742762818E-2</c:v>
                </c:pt>
                <c:pt idx="258">
                  <c:v>2.126903884073789E-2</c:v>
                </c:pt>
                <c:pt idx="259">
                  <c:v>2.1852064979909862E-2</c:v>
                </c:pt>
                <c:pt idx="260">
                  <c:v>2.245274997094834E-2</c:v>
                </c:pt>
                <c:pt idx="261">
                  <c:v>2.3077316208676462E-2</c:v>
                </c:pt>
                <c:pt idx="262">
                  <c:v>2.3717097210070995E-2</c:v>
                </c:pt>
                <c:pt idx="263">
                  <c:v>2.4372131345128323E-2</c:v>
                </c:pt>
                <c:pt idx="264">
                  <c:v>2.5042459629964337E-2</c:v>
                </c:pt>
                <c:pt idx="265">
                  <c:v>2.5728262546672587E-2</c:v>
                </c:pt>
                <c:pt idx="266">
                  <c:v>2.6429667719203898E-2</c:v>
                </c:pt>
                <c:pt idx="267">
                  <c:v>2.7194094909176011E-2</c:v>
                </c:pt>
                <c:pt idx="268">
                  <c:v>2.8013194805017388E-2</c:v>
                </c:pt>
                <c:pt idx="269">
                  <c:v>2.8887041735377789E-2</c:v>
                </c:pt>
                <c:pt idx="270">
                  <c:v>2.981571174420047E-2</c:v>
                </c:pt>
                <c:pt idx="271">
                  <c:v>3.0799281999732964E-2</c:v>
                </c:pt>
                <c:pt idx="272">
                  <c:v>3.1837830204301108E-2</c:v>
                </c:pt>
                <c:pt idx="273">
                  <c:v>3.2931434003707294E-2</c:v>
                </c:pt>
                <c:pt idx="274">
                  <c:v>3.4080170397036154E-2</c:v>
                </c:pt>
                <c:pt idx="275">
                  <c:v>3.5325950829081187E-2</c:v>
                </c:pt>
                <c:pt idx="276">
                  <c:v>3.6662688751818759E-2</c:v>
                </c:pt>
                <c:pt idx="277">
                  <c:v>3.8090510110288585E-2</c:v>
                </c:pt>
                <c:pt idx="278">
                  <c:v>3.9609539118533231E-2</c:v>
                </c:pt>
                <c:pt idx="279">
                  <c:v>4.1219897278031513E-2</c:v>
                </c:pt>
                <c:pt idx="280">
                  <c:v>4.2921702396503177E-2</c:v>
                </c:pt>
                <c:pt idx="281">
                  <c:v>4.4709708536005789E-2</c:v>
                </c:pt>
                <c:pt idx="282">
                  <c:v>4.6536285016441074E-2</c:v>
                </c:pt>
                <c:pt idx="283">
                  <c:v>4.8401449389923988E-2</c:v>
                </c:pt>
                <c:pt idx="284">
                  <c:v>5.030521153294195E-2</c:v>
                </c:pt>
                <c:pt idx="285">
                  <c:v>5.2247573245548101E-2</c:v>
                </c:pt>
                <c:pt idx="286">
                  <c:v>5.4228527851034138E-2</c:v>
                </c:pt>
                <c:pt idx="287">
                  <c:v>5.6248059795121187E-2</c:v>
                </c:pt>
                <c:pt idx="288">
                  <c:v>5.8306144245330503E-2</c:v>
                </c:pt>
                <c:pt idx="289">
                  <c:v>6.0384025887932152E-2</c:v>
                </c:pt>
                <c:pt idx="290">
                  <c:v>6.243947358766521E-2</c:v>
                </c:pt>
                <c:pt idx="291">
                  <c:v>6.4472342798686758E-2</c:v>
                </c:pt>
                <c:pt idx="292">
                  <c:v>6.6482481269249064E-2</c:v>
                </c:pt>
                <c:pt idx="293">
                  <c:v>6.846972930463481E-2</c:v>
                </c:pt>
                <c:pt idx="294">
                  <c:v>7.0433920029863026E-2</c:v>
                </c:pt>
                <c:pt idx="295">
                  <c:v>7.2355157753512075E-2</c:v>
                </c:pt>
                <c:pt idx="296">
                  <c:v>7.4239534768023682E-2</c:v>
                </c:pt>
                <c:pt idx="297">
                  <c:v>7.6087554410423641E-2</c:v>
                </c:pt>
                <c:pt idx="298">
                  <c:v>7.789912882005702E-2</c:v>
                </c:pt>
                <c:pt idx="299">
                  <c:v>7.9674162157031575E-2</c:v>
                </c:pt>
                <c:pt idx="300">
                  <c:v>8.1412550958181701E-2</c:v>
                </c:pt>
                <c:pt idx="301">
                  <c:v>8.3114184492798435E-2</c:v>
                </c:pt>
                <c:pt idx="302">
                  <c:v>8.4778945118537105E-2</c:v>
                </c:pt>
                <c:pt idx="303">
                  <c:v>8.6423894931161968E-2</c:v>
                </c:pt>
                <c:pt idx="304">
                  <c:v>8.8067781742970253E-2</c:v>
                </c:pt>
                <c:pt idx="305">
                  <c:v>8.9710520734762711E-2</c:v>
                </c:pt>
                <c:pt idx="306">
                  <c:v>9.1352021202400699E-2</c:v>
                </c:pt>
                <c:pt idx="307">
                  <c:v>9.2992186581079481E-2</c:v>
                </c:pt>
                <c:pt idx="308">
                  <c:v>9.4630914468825336E-2</c:v>
                </c:pt>
                <c:pt idx="309">
                  <c:v>9.6250211906769467E-2</c:v>
                </c:pt>
                <c:pt idx="310">
                  <c:v>9.7869808582675202E-2</c:v>
                </c:pt>
                <c:pt idx="311">
                  <c:v>9.9489587733380111E-2</c:v>
                </c:pt>
                <c:pt idx="312">
                  <c:v>0.10110942683728628</c:v>
                </c:pt>
                <c:pt idx="313">
                  <c:v>0.1027291976207353</c:v>
                </c:pt>
                <c:pt idx="314">
                  <c:v>0.10434876606347086</c:v>
                </c:pt>
                <c:pt idx="315">
                  <c:v>0.10596799240538395</c:v>
                </c:pt>
                <c:pt idx="316">
                  <c:v>0.10758673115166907</c:v>
                </c:pt>
                <c:pt idx="317">
                  <c:v>0.10915552533212015</c:v>
                </c:pt>
                <c:pt idx="318">
                  <c:v>0.11065686067876844</c:v>
                </c:pt>
                <c:pt idx="319">
                  <c:v>0.11209050291995155</c:v>
                </c:pt>
                <c:pt idx="320">
                  <c:v>0.11345621798445486</c:v>
                </c:pt>
                <c:pt idx="321">
                  <c:v>0.1147537726171199</c:v>
                </c:pt>
                <c:pt idx="322">
                  <c:v>0.11598293499496476</c:v>
                </c:pt>
                <c:pt idx="323">
                  <c:v>0.11713449806140415</c:v>
                </c:pt>
                <c:pt idx="324">
                  <c:v>0.11822621556050554</c:v>
                </c:pt>
                <c:pt idx="325">
                  <c:v>0.11925786444751375</c:v>
                </c:pt>
                <c:pt idx="326">
                  <c:v>0.12022847653427106</c:v>
                </c:pt>
                <c:pt idx="327">
                  <c:v>0.12113756673888465</c:v>
                </c:pt>
                <c:pt idx="328">
                  <c:v>0.12198527439135692</c:v>
                </c:pt>
                <c:pt idx="329">
                  <c:v>0.12277175542676226</c:v>
                </c:pt>
                <c:pt idx="330">
                  <c:v>0.12349718116782826</c:v>
                </c:pt>
                <c:pt idx="331">
                  <c:v>0.12413978858730684</c:v>
                </c:pt>
                <c:pt idx="332">
                  <c:v>0.12474926192874382</c:v>
                </c:pt>
                <c:pt idx="333">
                  <c:v>0.12532581918675242</c:v>
                </c:pt>
                <c:pt idx="334">
                  <c:v>0.12586968628747666</c:v>
                </c:pt>
                <c:pt idx="335">
                  <c:v>0.12638109644604303</c:v>
                </c:pt>
                <c:pt idx="336">
                  <c:v>0.12686028952236841</c:v>
                </c:pt>
                <c:pt idx="337">
                  <c:v>0.12727003699457956</c:v>
                </c:pt>
                <c:pt idx="338">
                  <c:v>0.12761958220839578</c:v>
                </c:pt>
                <c:pt idx="339">
                  <c:v>0.1279091794351539</c:v>
                </c:pt>
                <c:pt idx="340">
                  <c:v>0.12813908706220034</c:v>
                </c:pt>
                <c:pt idx="341">
                  <c:v>0.12830956635764126</c:v>
                </c:pt>
                <c:pt idx="342">
                  <c:v>0.12842088023499648</c:v>
                </c:pt>
                <c:pt idx="343">
                  <c:v>0.12847329201630323</c:v>
                </c:pt>
                <c:pt idx="344">
                  <c:v>0.12846706419723461</c:v>
                </c:pt>
                <c:pt idx="345">
                  <c:v>0.12840245721086388</c:v>
                </c:pt>
                <c:pt idx="346">
                  <c:v>0.12832136598743735</c:v>
                </c:pt>
                <c:pt idx="347">
                  <c:v>0.1282240514240971</c:v>
                </c:pt>
                <c:pt idx="348">
                  <c:v>0.12811077228106879</c:v>
                </c:pt>
                <c:pt idx="349">
                  <c:v>0.1279817848103588</c:v>
                </c:pt>
                <c:pt idx="350">
                  <c:v>0.12783734238745167</c:v>
                </c:pt>
                <c:pt idx="351">
                  <c:v>0.1276973796050567</c:v>
                </c:pt>
                <c:pt idx="352">
                  <c:v>0.12759966220214322</c:v>
                </c:pt>
                <c:pt idx="353">
                  <c:v>0.12754446586316684</c:v>
                </c:pt>
                <c:pt idx="354">
                  <c:v>0.12753207134403058</c:v>
                </c:pt>
                <c:pt idx="355">
                  <c:v>0.12756276528365409</c:v>
                </c:pt>
                <c:pt idx="356">
                  <c:v>0.12763692922644321</c:v>
                </c:pt>
                <c:pt idx="357">
                  <c:v>0.12775457959206962</c:v>
                </c:pt>
                <c:pt idx="358">
                  <c:v>0.12791543221821505</c:v>
                </c:pt>
                <c:pt idx="359">
                  <c:v>0.12811920881054348</c:v>
                </c:pt>
                <c:pt idx="360">
                  <c:v>0.12832804019182825</c:v>
                </c:pt>
                <c:pt idx="361">
                  <c:v>0.12852187045248237</c:v>
                </c:pt>
                <c:pt idx="362">
                  <c:v>0.12870035792947851</c:v>
                </c:pt>
                <c:pt idx="363">
                  <c:v>0.12886315758014416</c:v>
                </c:pt>
                <c:pt idx="364">
                  <c:v>0.12900992144146062</c:v>
                </c:pt>
                <c:pt idx="365">
                  <c:v>0.12914029908778735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0.16322266407705069</c:v>
                </c:pt>
                <c:pt idx="1">
                  <c:v>0.16407065652031322</c:v>
                </c:pt>
                <c:pt idx="2">
                  <c:v>0.16489943336533844</c:v>
                </c:pt>
                <c:pt idx="3">
                  <c:v>0.16570855560257652</c:v>
                </c:pt>
                <c:pt idx="4">
                  <c:v>0.16649757623807551</c:v>
                </c:pt>
                <c:pt idx="5">
                  <c:v>0.16726604082712884</c:v>
                </c:pt>
                <c:pt idx="6">
                  <c:v>0.16801348801006064</c:v>
                </c:pt>
                <c:pt idx="7">
                  <c:v>0.16873945004425872</c:v>
                </c:pt>
                <c:pt idx="8">
                  <c:v>0.16944345333852687</c:v>
                </c:pt>
                <c:pt idx="9">
                  <c:v>0.17007089041870813</c:v>
                </c:pt>
                <c:pt idx="10">
                  <c:v>0.17060858932816492</c:v>
                </c:pt>
                <c:pt idx="11">
                  <c:v>0.17105598171597949</c:v>
                </c:pt>
                <c:pt idx="12">
                  <c:v>0.17141250385588513</c:v>
                </c:pt>
                <c:pt idx="13">
                  <c:v>0.17167759887764622</c:v>
                </c:pt>
                <c:pt idx="14">
                  <c:v>0.17185071899549928</c:v>
                </c:pt>
                <c:pt idx="15">
                  <c:v>0.17185653390971167</c:v>
                </c:pt>
                <c:pt idx="16">
                  <c:v>0.17172815669607</c:v>
                </c:pt>
                <c:pt idx="17">
                  <c:v>0.17146505536205225</c:v>
                </c:pt>
                <c:pt idx="18">
                  <c:v>0.17106672522032171</c:v>
                </c:pt>
                <c:pt idx="19">
                  <c:v>0.17053364337878088</c:v>
                </c:pt>
                <c:pt idx="20">
                  <c:v>0.16986673390095311</c:v>
                </c:pt>
                <c:pt idx="21">
                  <c:v>0.16906619746494037</c:v>
                </c:pt>
                <c:pt idx="22">
                  <c:v>0.16813225011278457</c:v>
                </c:pt>
                <c:pt idx="23">
                  <c:v>0.16700626657908557</c:v>
                </c:pt>
                <c:pt idx="24">
                  <c:v>0.16574281325379928</c:v>
                </c:pt>
                <c:pt idx="25">
                  <c:v>0.16434214527606814</c:v>
                </c:pt>
                <c:pt idx="26">
                  <c:v>0.16280452688838368</c:v>
                </c:pt>
                <c:pt idx="27">
                  <c:v>0.16113022976242039</c:v>
                </c:pt>
                <c:pt idx="28">
                  <c:v>0.15931953132840712</c:v>
                </c:pt>
                <c:pt idx="29">
                  <c:v>0.15737977915714577</c:v>
                </c:pt>
                <c:pt idx="30">
                  <c:v>0.15538617481828668</c:v>
                </c:pt>
                <c:pt idx="31">
                  <c:v>0.15333899397833514</c:v>
                </c:pt>
                <c:pt idx="32">
                  <c:v>0.15123850601714692</c:v>
                </c:pt>
                <c:pt idx="33">
                  <c:v>0.1490849733800616</c:v>
                </c:pt>
                <c:pt idx="34">
                  <c:v>0.14687865093073021</c:v>
                </c:pt>
                <c:pt idx="35">
                  <c:v>0.14461978530379244</c:v>
                </c:pt>
                <c:pt idx="36">
                  <c:v>0.14230861425723887</c:v>
                </c:pt>
                <c:pt idx="37">
                  <c:v>0.13994993230729894</c:v>
                </c:pt>
                <c:pt idx="38">
                  <c:v>0.13760279030324832</c:v>
                </c:pt>
                <c:pt idx="39">
                  <c:v>0.13526737867323022</c:v>
                </c:pt>
                <c:pt idx="40">
                  <c:v>0.13294387603698668</c:v>
                </c:pt>
                <c:pt idx="41">
                  <c:v>0.13063244935212978</c:v>
                </c:pt>
                <c:pt idx="42">
                  <c:v>0.12833325405944093</c:v>
                </c:pt>
                <c:pt idx="43">
                  <c:v>0.12601371647162146</c:v>
                </c:pt>
                <c:pt idx="44">
                  <c:v>0.12366691879248511</c:v>
                </c:pt>
                <c:pt idx="45">
                  <c:v>0.12129299124350669</c:v>
                </c:pt>
                <c:pt idx="46">
                  <c:v>0.11889205138304428</c:v>
                </c:pt>
                <c:pt idx="47">
                  <c:v>0.11646420375493673</c:v>
                </c:pt>
                <c:pt idx="48">
                  <c:v>0.1140095395355034</c:v>
                </c:pt>
                <c:pt idx="49">
                  <c:v>0.11152813618163732</c:v>
                </c:pt>
                <c:pt idx="50">
                  <c:v>0.10902005707818101</c:v>
                </c:pt>
                <c:pt idx="51">
                  <c:v>0.10645770156688539</c:v>
                </c:pt>
                <c:pt idx="52">
                  <c:v>0.10383597136216249</c:v>
                </c:pt>
                <c:pt idx="53">
                  <c:v>0.10115426185527315</c:v>
                </c:pt>
                <c:pt idx="54">
                  <c:v>9.8412511527094085E-2</c:v>
                </c:pt>
                <c:pt idx="55">
                  <c:v>9.5610661830681162E-2</c:v>
                </c:pt>
                <c:pt idx="56">
                  <c:v>9.274865741451678E-2</c:v>
                </c:pt>
                <c:pt idx="57">
                  <c:v>8.9874610342871739E-2</c:v>
                </c:pt>
                <c:pt idx="58">
                  <c:v>8.7021176745916237E-2</c:v>
                </c:pt>
                <c:pt idx="59">
                  <c:v>8.4188313879955748E-2</c:v>
                </c:pt>
                <c:pt idx="60">
                  <c:v>8.137598333533011E-2</c:v>
                </c:pt>
                <c:pt idx="61">
                  <c:v>7.8584150960543817E-2</c:v>
                </c:pt>
                <c:pt idx="62">
                  <c:v>7.581278678627755E-2</c:v>
                </c:pt>
                <c:pt idx="63">
                  <c:v>7.3061864949637637E-2</c:v>
                </c:pt>
                <c:pt idx="64">
                  <c:v>7.033136361809475E-2</c:v>
                </c:pt>
                <c:pt idx="65">
                  <c:v>6.7687843926433566E-2</c:v>
                </c:pt>
                <c:pt idx="66">
                  <c:v>6.5158943308572928E-2</c:v>
                </c:pt>
                <c:pt idx="67">
                  <c:v>6.2744651516382741E-2</c:v>
                </c:pt>
                <c:pt idx="68">
                  <c:v>6.0444960625984895E-2</c:v>
                </c:pt>
                <c:pt idx="69">
                  <c:v>5.8259864613051097E-2</c:v>
                </c:pt>
                <c:pt idx="70">
                  <c:v>5.6189358928406208E-2</c:v>
                </c:pt>
                <c:pt idx="71">
                  <c:v>5.4253649180445528E-2</c:v>
                </c:pt>
                <c:pt idx="72">
                  <c:v>5.2404566754285453E-2</c:v>
                </c:pt>
                <c:pt idx="73">
                  <c:v>5.0642110253984109E-2</c:v>
                </c:pt>
                <c:pt idx="74">
                  <c:v>4.8966278790099078E-2</c:v>
                </c:pt>
                <c:pt idx="75">
                  <c:v>4.737707165869659E-2</c:v>
                </c:pt>
                <c:pt idx="76">
                  <c:v>4.5874488020203469E-2</c:v>
                </c:pt>
                <c:pt idx="77">
                  <c:v>4.4458526578418617E-2</c:v>
                </c:pt>
                <c:pt idx="78">
                  <c:v>4.3129186691299275E-2</c:v>
                </c:pt>
                <c:pt idx="79">
                  <c:v>4.1901344552744385E-2</c:v>
                </c:pt>
                <c:pt idx="80">
                  <c:v>4.070853272840453E-2</c:v>
                </c:pt>
                <c:pt idx="81">
                  <c:v>3.9550733819720921E-2</c:v>
                </c:pt>
                <c:pt idx="82">
                  <c:v>3.8427931853226141E-2</c:v>
                </c:pt>
                <c:pt idx="83">
                  <c:v>3.734011216865183E-2</c:v>
                </c:pt>
                <c:pt idx="84">
                  <c:v>3.6287261307163178E-2</c:v>
                </c:pt>
                <c:pt idx="85">
                  <c:v>3.5283774239188277E-2</c:v>
                </c:pt>
                <c:pt idx="86">
                  <c:v>3.4309440120672892E-2</c:v>
                </c:pt>
                <c:pt idx="87">
                  <c:v>3.3364249305347073E-2</c:v>
                </c:pt>
                <c:pt idx="88">
                  <c:v>3.2448192973345641E-2</c:v>
                </c:pt>
                <c:pt idx="89">
                  <c:v>3.1561263037922248E-2</c:v>
                </c:pt>
                <c:pt idx="90">
                  <c:v>3.0703452052096802E-2</c:v>
                </c:pt>
                <c:pt idx="91">
                  <c:v>2.9874753115424414E-2</c:v>
                </c:pt>
                <c:pt idx="92">
                  <c:v>2.9075159780675663E-2</c:v>
                </c:pt>
                <c:pt idx="93">
                  <c:v>2.8312068629002804E-2</c:v>
                </c:pt>
                <c:pt idx="94">
                  <c:v>2.7570770162623343E-2</c:v>
                </c:pt>
                <c:pt idx="95">
                  <c:v>2.685126051645173E-2</c:v>
                </c:pt>
                <c:pt idx="96">
                  <c:v>2.6153536122879833E-2</c:v>
                </c:pt>
                <c:pt idx="97">
                  <c:v>2.547759364203454E-2</c:v>
                </c:pt>
                <c:pt idx="98">
                  <c:v>2.4823429891791534E-2</c:v>
                </c:pt>
                <c:pt idx="99">
                  <c:v>2.4196531070015476E-2</c:v>
                </c:pt>
                <c:pt idx="100">
                  <c:v>2.3582502116246584E-2</c:v>
                </c:pt>
                <c:pt idx="101">
                  <c:v>2.2981343056553073E-2</c:v>
                </c:pt>
                <c:pt idx="102">
                  <c:v>2.2393054168071441E-2</c:v>
                </c:pt>
                <c:pt idx="103">
                  <c:v>2.1817635937436672E-2</c:v>
                </c:pt>
                <c:pt idx="104">
                  <c:v>2.1255089019743545E-2</c:v>
                </c:pt>
                <c:pt idx="105">
                  <c:v>2.0705414197015323E-2</c:v>
                </c:pt>
                <c:pt idx="106">
                  <c:v>2.016861233694224E-2</c:v>
                </c:pt>
                <c:pt idx="107">
                  <c:v>1.9651019049975699E-2</c:v>
                </c:pt>
                <c:pt idx="108">
                  <c:v>1.9145243084594154E-2</c:v>
                </c:pt>
                <c:pt idx="109">
                  <c:v>1.8651285735724485E-2</c:v>
                </c:pt>
                <c:pt idx="110">
                  <c:v>1.8169200018326913E-2</c:v>
                </c:pt>
                <c:pt idx="111">
                  <c:v>1.7699034780359359E-2</c:v>
                </c:pt>
                <c:pt idx="112">
                  <c:v>1.7240785131900027E-2</c:v>
                </c:pt>
                <c:pt idx="113">
                  <c:v>1.6801061322052505E-2</c:v>
                </c:pt>
                <c:pt idx="114">
                  <c:v>1.637437889836987E-2</c:v>
                </c:pt>
                <c:pt idx="115">
                  <c:v>1.596073230209968E-2</c:v>
                </c:pt>
                <c:pt idx="116">
                  <c:v>1.5560115940636055E-2</c:v>
                </c:pt>
                <c:pt idx="117">
                  <c:v>1.5172524159342796E-2</c:v>
                </c:pt>
                <c:pt idx="118">
                  <c:v>1.4797951213209133E-2</c:v>
                </c:pt>
                <c:pt idx="119">
                  <c:v>1.4436391238553366E-2</c:v>
                </c:pt>
                <c:pt idx="120">
                  <c:v>1.4087838224703768E-2</c:v>
                </c:pt>
                <c:pt idx="121">
                  <c:v>1.3759176971786351E-2</c:v>
                </c:pt>
                <c:pt idx="122">
                  <c:v>1.3444081886618676E-2</c:v>
                </c:pt>
                <c:pt idx="123">
                  <c:v>1.3142545742206378E-2</c:v>
                </c:pt>
                <c:pt idx="124">
                  <c:v>1.2854561020755627E-2</c:v>
                </c:pt>
                <c:pt idx="125">
                  <c:v>1.2580119884224772E-2</c:v>
                </c:pt>
                <c:pt idx="126">
                  <c:v>1.2319214144690062E-2</c:v>
                </c:pt>
                <c:pt idx="127">
                  <c:v>1.2072226902553962E-2</c:v>
                </c:pt>
                <c:pt idx="128">
                  <c:v>1.1832559200713674E-2</c:v>
                </c:pt>
                <c:pt idx="129">
                  <c:v>1.1600207469341843E-2</c:v>
                </c:pt>
                <c:pt idx="130">
                  <c:v>1.1375167984152328E-2</c:v>
                </c:pt>
                <c:pt idx="131">
                  <c:v>1.1157436850319712E-2</c:v>
                </c:pt>
                <c:pt idx="132">
                  <c:v>1.0947009986518534E-2</c:v>
                </c:pt>
                <c:pt idx="133">
                  <c:v>1.0743883109030494E-2</c:v>
                </c:pt>
                <c:pt idx="134">
                  <c:v>1.0548051715790452E-2</c:v>
                </c:pt>
                <c:pt idx="135">
                  <c:v>1.0359685212139117E-2</c:v>
                </c:pt>
                <c:pt idx="136">
                  <c:v>1.0171920120184721E-2</c:v>
                </c:pt>
                <c:pt idx="137">
                  <c:v>9.9847589945641496E-3</c:v>
                </c:pt>
                <c:pt idx="138">
                  <c:v>9.7982045175449787E-3</c:v>
                </c:pt>
                <c:pt idx="139">
                  <c:v>9.6122594980264514E-3</c:v>
                </c:pt>
                <c:pt idx="140">
                  <c:v>9.4269268699823106E-3</c:v>
                </c:pt>
                <c:pt idx="141">
                  <c:v>9.2460036280837179E-3</c:v>
                </c:pt>
                <c:pt idx="142">
                  <c:v>9.0690484858008576E-3</c:v>
                </c:pt>
                <c:pt idx="143">
                  <c:v>8.8960230414897069E-3</c:v>
                </c:pt>
                <c:pt idx="144">
                  <c:v>8.7269442297131065E-3</c:v>
                </c:pt>
                <c:pt idx="145">
                  <c:v>8.5618276129275171E-3</c:v>
                </c:pt>
                <c:pt idx="146">
                  <c:v>8.4006874346265904E-3</c:v>
                </c:pt>
                <c:pt idx="147">
                  <c:v>8.2435366727797634E-3</c:v>
                </c:pt>
                <c:pt idx="148">
                  <c:v>8.090387093060477E-3</c:v>
                </c:pt>
                <c:pt idx="149">
                  <c:v>7.9427009609462657E-3</c:v>
                </c:pt>
                <c:pt idx="150">
                  <c:v>7.8003123291333345E-3</c:v>
                </c:pt>
                <c:pt idx="151">
                  <c:v>7.6632273165946852E-3</c:v>
                </c:pt>
                <c:pt idx="152">
                  <c:v>7.5314509799691053E-3</c:v>
                </c:pt>
                <c:pt idx="153">
                  <c:v>7.4049873840653759E-3</c:v>
                </c:pt>
                <c:pt idx="154">
                  <c:v>7.2838396724097783E-3</c:v>
                </c:pt>
                <c:pt idx="155">
                  <c:v>7.1717621563049394E-3</c:v>
                </c:pt>
                <c:pt idx="156">
                  <c:v>7.0649870593299151E-3</c:v>
                </c:pt>
                <c:pt idx="157">
                  <c:v>6.9635151797795454E-3</c:v>
                </c:pt>
                <c:pt idx="158">
                  <c:v>6.8673466972304234E-3</c:v>
                </c:pt>
                <c:pt idx="159">
                  <c:v>6.7764812428685985E-3</c:v>
                </c:pt>
                <c:pt idx="160">
                  <c:v>6.690917969902792E-3</c:v>
                </c:pt>
                <c:pt idx="161">
                  <c:v>6.6106556238991511E-3</c:v>
                </c:pt>
                <c:pt idx="162">
                  <c:v>6.5356926131534647E-3</c:v>
                </c:pt>
                <c:pt idx="163">
                  <c:v>6.468907027161898E-3</c:v>
                </c:pt>
                <c:pt idx="164">
                  <c:v>6.4088532884957186E-3</c:v>
                </c:pt>
                <c:pt idx="165">
                  <c:v>6.3555266622527728E-3</c:v>
                </c:pt>
                <c:pt idx="166">
                  <c:v>6.3089224573348182E-3</c:v>
                </c:pt>
                <c:pt idx="167">
                  <c:v>6.2690361163143206E-3</c:v>
                </c:pt>
                <c:pt idx="168">
                  <c:v>6.2358633055042715E-3</c:v>
                </c:pt>
                <c:pt idx="169">
                  <c:v>6.2122697514279497E-3</c:v>
                </c:pt>
                <c:pt idx="170">
                  <c:v>6.1945292692134274E-3</c:v>
                </c:pt>
                <c:pt idx="171">
                  <c:v>6.1826402321259778E-3</c:v>
                </c:pt>
                <c:pt idx="172">
                  <c:v>6.176601521223981E-3</c:v>
                </c:pt>
                <c:pt idx="173">
                  <c:v>6.1763494435964099E-3</c:v>
                </c:pt>
                <c:pt idx="174">
                  <c:v>6.1818173937805906E-3</c:v>
                </c:pt>
                <c:pt idx="175">
                  <c:v>6.1930003199358284E-3</c:v>
                </c:pt>
                <c:pt idx="176">
                  <c:v>6.2098932080106731E-3</c:v>
                </c:pt>
                <c:pt idx="177">
                  <c:v>6.2361957350666464E-3</c:v>
                </c:pt>
                <c:pt idx="178">
                  <c:v>6.2690409611903183E-3</c:v>
                </c:pt>
                <c:pt idx="179">
                  <c:v>6.3084229501748079E-3</c:v>
                </c:pt>
                <c:pt idx="180">
                  <c:v>6.3543359630079017E-3</c:v>
                </c:pt>
                <c:pt idx="181">
                  <c:v>6.4067744963619755E-3</c:v>
                </c:pt>
                <c:pt idx="182">
                  <c:v>6.4657333211387107E-3</c:v>
                </c:pt>
                <c:pt idx="183">
                  <c:v>6.5326314032211662E-3</c:v>
                </c:pt>
                <c:pt idx="184">
                  <c:v>6.6046139806559762E-3</c:v>
                </c:pt>
                <c:pt idx="185">
                  <c:v>6.6816789217438131E-3</c:v>
                </c:pt>
                <c:pt idx="186">
                  <c:v>6.7638244683020975E-3</c:v>
                </c:pt>
                <c:pt idx="187">
                  <c:v>6.851049265823716E-3</c:v>
                </c:pt>
                <c:pt idx="188">
                  <c:v>6.9433523936777942E-3</c:v>
                </c:pt>
                <c:pt idx="189">
                  <c:v>7.0407333951012958E-3</c:v>
                </c:pt>
                <c:pt idx="190">
                  <c:v>7.1431923074835105E-3</c:v>
                </c:pt>
                <c:pt idx="191">
                  <c:v>7.2544223160361113E-3</c:v>
                </c:pt>
                <c:pt idx="192">
                  <c:v>7.3707411648816822E-3</c:v>
                </c:pt>
                <c:pt idx="193">
                  <c:v>7.4921506609598029E-3</c:v>
                </c:pt>
                <c:pt idx="194">
                  <c:v>7.6186532353059383E-3</c:v>
                </c:pt>
                <c:pt idx="195">
                  <c:v>7.7502519734219113E-3</c:v>
                </c:pt>
                <c:pt idx="196">
                  <c:v>7.8869506453597797E-3</c:v>
                </c:pt>
                <c:pt idx="197">
                  <c:v>8.0289224259758978E-3</c:v>
                </c:pt>
                <c:pt idx="198">
                  <c:v>8.1747573872333161E-3</c:v>
                </c:pt>
                <c:pt idx="199">
                  <c:v>8.3244627564452757E-3</c:v>
                </c:pt>
                <c:pt idx="200">
                  <c:v>8.4780464536264293E-3</c:v>
                </c:pt>
                <c:pt idx="201">
                  <c:v>8.6355171142363431E-3</c:v>
                </c:pt>
                <c:pt idx="202">
                  <c:v>8.7968841119649335E-3</c:v>
                </c:pt>
                <c:pt idx="203">
                  <c:v>8.9621575817137155E-3</c:v>
                </c:pt>
                <c:pt idx="204">
                  <c:v>9.1313336966954584E-3</c:v>
                </c:pt>
                <c:pt idx="205">
                  <c:v>9.3047802192817927E-3</c:v>
                </c:pt>
                <c:pt idx="206">
                  <c:v>9.4788238947710376E-3</c:v>
                </c:pt>
                <c:pt idx="207">
                  <c:v>9.6534687615226263E-3</c:v>
                </c:pt>
                <c:pt idx="208">
                  <c:v>9.828718683907868E-3</c:v>
                </c:pt>
                <c:pt idx="209">
                  <c:v>1.0004577350494414E-2</c:v>
                </c:pt>
                <c:pt idx="210">
                  <c:v>1.0181048272558642E-2</c:v>
                </c:pt>
                <c:pt idx="211">
                  <c:v>1.0364758405151196E-2</c:v>
                </c:pt>
                <c:pt idx="212">
                  <c:v>1.0555540023841833E-2</c:v>
                </c:pt>
                <c:pt idx="213">
                  <c:v>1.0753393852261782E-2</c:v>
                </c:pt>
                <c:pt idx="214">
                  <c:v>1.0958320867725841E-2</c:v>
                </c:pt>
                <c:pt idx="215">
                  <c:v>1.1170322279527285E-2</c:v>
                </c:pt>
                <c:pt idx="216">
                  <c:v>1.1389399507195357E-2</c:v>
                </c:pt>
                <c:pt idx="217">
                  <c:v>1.1615554158796606E-2</c:v>
                </c:pt>
                <c:pt idx="218">
                  <c:v>1.184878800917461E-2</c:v>
                </c:pt>
                <c:pt idx="219">
                  <c:v>1.2095444397672543E-2</c:v>
                </c:pt>
                <c:pt idx="220">
                  <c:v>1.2355147560513187E-2</c:v>
                </c:pt>
                <c:pt idx="221">
                  <c:v>1.2627899021413742E-2</c:v>
                </c:pt>
                <c:pt idx="222">
                  <c:v>1.2913700699458691E-2</c:v>
                </c:pt>
                <c:pt idx="223">
                  <c:v>1.3212554869043871E-2</c:v>
                </c:pt>
                <c:pt idx="224">
                  <c:v>1.352446411952163E-2</c:v>
                </c:pt>
                <c:pt idx="225">
                  <c:v>1.3855495691551693E-2</c:v>
                </c:pt>
                <c:pt idx="226">
                  <c:v>1.4199035622518572E-2</c:v>
                </c:pt>
                <c:pt idx="227">
                  <c:v>1.4555087333040275E-2</c:v>
                </c:pt>
                <c:pt idx="228">
                  <c:v>1.4923654366339764E-2</c:v>
                </c:pt>
                <c:pt idx="229">
                  <c:v>1.5304740349523713E-2</c:v>
                </c:pt>
                <c:pt idx="230">
                  <c:v>1.5698348955085366E-2</c:v>
                </c:pt>
                <c:pt idx="231">
                  <c:v>1.6104483862471635E-2</c:v>
                </c:pt>
                <c:pt idx="232">
                  <c:v>1.6523148719315317E-2</c:v>
                </c:pt>
                <c:pt idx="233">
                  <c:v>1.6959597102454042E-2</c:v>
                </c:pt>
                <c:pt idx="234">
                  <c:v>1.7407491633461294E-2</c:v>
                </c:pt>
                <c:pt idx="235">
                  <c:v>1.7866849955025823E-2</c:v>
                </c:pt>
                <c:pt idx="236">
                  <c:v>1.8337696959285023E-2</c:v>
                </c:pt>
                <c:pt idx="237">
                  <c:v>1.8820047383732823E-2</c:v>
                </c:pt>
                <c:pt idx="238">
                  <c:v>1.9313916763454161E-2</c:v>
                </c:pt>
                <c:pt idx="239">
                  <c:v>1.982640014865961E-2</c:v>
                </c:pt>
                <c:pt idx="240">
                  <c:v>2.0351448306664605E-2</c:v>
                </c:pt>
                <c:pt idx="241">
                  <c:v>2.0889079739153268E-2</c:v>
                </c:pt>
                <c:pt idx="242">
                  <c:v>2.1439313876968E-2</c:v>
                </c:pt>
                <c:pt idx="243">
                  <c:v>2.2002171102058071E-2</c:v>
                </c:pt>
                <c:pt idx="244">
                  <c:v>2.2577672769326044E-2</c:v>
                </c:pt>
                <c:pt idx="245">
                  <c:v>2.3165841228242248E-2</c:v>
                </c:pt>
                <c:pt idx="246">
                  <c:v>2.3766699844399056E-2</c:v>
                </c:pt>
                <c:pt idx="247">
                  <c:v>2.4394055619059104E-2</c:v>
                </c:pt>
                <c:pt idx="248">
                  <c:v>2.5042682630096944E-2</c:v>
                </c:pt>
                <c:pt idx="249">
                  <c:v>2.5712611963901316E-2</c:v>
                </c:pt>
                <c:pt idx="250">
                  <c:v>2.6403876284598268E-2</c:v>
                </c:pt>
                <c:pt idx="251">
                  <c:v>2.7116509871520558E-2</c:v>
                </c:pt>
                <c:pt idx="252">
                  <c:v>2.7850548655599525E-2</c:v>
                </c:pt>
                <c:pt idx="253">
                  <c:v>2.8620117951542106E-2</c:v>
                </c:pt>
                <c:pt idx="254">
                  <c:v>2.941817165064875E-2</c:v>
                </c:pt>
                <c:pt idx="255">
                  <c:v>3.0244755898743699E-2</c:v>
                </c:pt>
                <c:pt idx="256">
                  <c:v>3.1099919075960224E-2</c:v>
                </c:pt>
                <c:pt idx="257">
                  <c:v>3.1983711845597791E-2</c:v>
                </c:pt>
                <c:pt idx="258">
                  <c:v>3.2896187203251402E-2</c:v>
                </c:pt>
                <c:pt idx="259">
                  <c:v>3.3837400526411765E-2</c:v>
                </c:pt>
                <c:pt idx="260">
                  <c:v>3.4807409623087412E-2</c:v>
                </c:pt>
                <c:pt idx="261">
                  <c:v>3.5825655767169888E-2</c:v>
                </c:pt>
                <c:pt idx="262">
                  <c:v>3.6878390394043802E-2</c:v>
                </c:pt>
                <c:pt idx="263">
                  <c:v>3.7965684650867394E-2</c:v>
                </c:pt>
                <c:pt idx="264">
                  <c:v>3.9087614586333357E-2</c:v>
                </c:pt>
                <c:pt idx="265">
                  <c:v>4.0244475204970785E-2</c:v>
                </c:pt>
                <c:pt idx="266">
                  <c:v>4.1436481438891982E-2</c:v>
                </c:pt>
                <c:pt idx="267">
                  <c:v>4.2727668847203061E-2</c:v>
                </c:pt>
                <c:pt idx="268">
                  <c:v>4.4104021627335115E-2</c:v>
                </c:pt>
                <c:pt idx="269">
                  <c:v>4.5565660217520704E-2</c:v>
                </c:pt>
                <c:pt idx="270">
                  <c:v>4.7112707278062278E-2</c:v>
                </c:pt>
                <c:pt idx="271">
                  <c:v>4.8745286771636996E-2</c:v>
                </c:pt>
                <c:pt idx="272">
                  <c:v>5.0463523044801929E-2</c:v>
                </c:pt>
                <c:pt idx="273">
                  <c:v>5.2267539908905848E-2</c:v>
                </c:pt>
                <c:pt idx="274">
                  <c:v>5.4157459721646005E-2</c:v>
                </c:pt>
                <c:pt idx="275">
                  <c:v>5.6179849205128023E-2</c:v>
                </c:pt>
                <c:pt idx="276">
                  <c:v>5.8315396110131333E-2</c:v>
                </c:pt>
                <c:pt idx="277">
                  <c:v>6.0564254470291672E-2</c:v>
                </c:pt>
                <c:pt idx="278">
                  <c:v>6.2926574092362617E-2</c:v>
                </c:pt>
                <c:pt idx="279">
                  <c:v>6.5402499341243009E-2</c:v>
                </c:pt>
                <c:pt idx="280">
                  <c:v>6.7992167925593386E-2</c:v>
                </c:pt>
                <c:pt idx="281">
                  <c:v>7.0668964850149299E-2</c:v>
                </c:pt>
                <c:pt idx="282">
                  <c:v>7.3368537656446797E-2</c:v>
                </c:pt>
                <c:pt idx="283">
                  <c:v>7.609085367375841E-2</c:v>
                </c:pt>
                <c:pt idx="284">
                  <c:v>7.8835868696473077E-2</c:v>
                </c:pt>
                <c:pt idx="285">
                  <c:v>8.1603526766644535E-2</c:v>
                </c:pt>
                <c:pt idx="286">
                  <c:v>8.4393759957292105E-2</c:v>
                </c:pt>
                <c:pt idx="287">
                  <c:v>8.7206488154943376E-2</c:v>
                </c:pt>
                <c:pt idx="288">
                  <c:v>9.004161884246048E-2</c:v>
                </c:pt>
                <c:pt idx="289">
                  <c:v>9.2867281961072204E-2</c:v>
                </c:pt>
                <c:pt idx="290">
                  <c:v>9.5636506802840707E-2</c:v>
                </c:pt>
                <c:pt idx="291">
                  <c:v>9.8349047024066993E-2</c:v>
                </c:pt>
                <c:pt idx="292">
                  <c:v>0.10100464713936014</c:v>
                </c:pt>
                <c:pt idx="293">
                  <c:v>0.10360304316094406</c:v>
                </c:pt>
                <c:pt idx="294">
                  <c:v>0.10614396323761066</c:v>
                </c:pt>
                <c:pt idx="295">
                  <c:v>0.10863158309096044</c:v>
                </c:pt>
                <c:pt idx="296">
                  <c:v>0.11109391348722865</c:v>
                </c:pt>
                <c:pt idx="297">
                  <c:v>0.11353174663887496</c:v>
                </c:pt>
                <c:pt idx="298">
                  <c:v>0.11594498640380028</c:v>
                </c:pt>
                <c:pt idx="299">
                  <c:v>0.11833352691301657</c:v>
                </c:pt>
                <c:pt idx="300">
                  <c:v>0.12069725282417791</c:v>
                </c:pt>
                <c:pt idx="301">
                  <c:v>0.12303603957476257</c:v>
                </c:pt>
                <c:pt idx="302">
                  <c:v>0.12534975363551934</c:v>
                </c:pt>
                <c:pt idx="303">
                  <c:v>0.12764515163616053</c:v>
                </c:pt>
                <c:pt idx="304">
                  <c:v>0.12995408304612677</c:v>
                </c:pt>
                <c:pt idx="305">
                  <c:v>0.13227644445812389</c:v>
                </c:pt>
                <c:pt idx="306">
                  <c:v>0.13461212412640364</c:v>
                </c:pt>
                <c:pt idx="307">
                  <c:v>0.13696100186244639</c:v>
                </c:pt>
                <c:pt idx="308">
                  <c:v>0.13932294892950117</c:v>
                </c:pt>
                <c:pt idx="309">
                  <c:v>0.1416401919232177</c:v>
                </c:pt>
                <c:pt idx="310">
                  <c:v>0.14390803056746118</c:v>
                </c:pt>
                <c:pt idx="311">
                  <c:v>0.14612622675328246</c:v>
                </c:pt>
                <c:pt idx="312">
                  <c:v>0.14829453624275693</c:v>
                </c:pt>
                <c:pt idx="313">
                  <c:v>0.15041270913522117</c:v>
                </c:pt>
                <c:pt idx="314">
                  <c:v>0.15248049033216979</c:v>
                </c:pt>
                <c:pt idx="315">
                  <c:v>0.15449762000403272</c:v>
                </c:pt>
                <c:pt idx="316">
                  <c:v>0.15646383405462452</c:v>
                </c:pt>
                <c:pt idx="317">
                  <c:v>0.15830525784210944</c:v>
                </c:pt>
                <c:pt idx="318">
                  <c:v>0.16001459097381132</c:v>
                </c:pt>
                <c:pt idx="319">
                  <c:v>0.16159147330418649</c:v>
                </c:pt>
                <c:pt idx="320">
                  <c:v>0.16303554948413276</c:v>
                </c:pt>
                <c:pt idx="321">
                  <c:v>0.16434647016402462</c:v>
                </c:pt>
                <c:pt idx="322">
                  <c:v>0.16552389319747177</c:v>
                </c:pt>
                <c:pt idx="323">
                  <c:v>0.16651398285774924</c:v>
                </c:pt>
                <c:pt idx="324">
                  <c:v>0.1673743396177326</c:v>
                </c:pt>
                <c:pt idx="325">
                  <c:v>0.16810464695504948</c:v>
                </c:pt>
                <c:pt idx="326">
                  <c:v>0.16870355061838516</c:v>
                </c:pt>
                <c:pt idx="327">
                  <c:v>0.16917039930333011</c:v>
                </c:pt>
                <c:pt idx="328">
                  <c:v>0.16950542686308015</c:v>
                </c:pt>
                <c:pt idx="329">
                  <c:v>0.16970889089935978</c:v>
                </c:pt>
                <c:pt idx="330">
                  <c:v>0.16978107010963164</c:v>
                </c:pt>
                <c:pt idx="331">
                  <c:v>0.1696889825381693</c:v>
                </c:pt>
                <c:pt idx="332">
                  <c:v>0.16950681650087529</c:v>
                </c:pt>
                <c:pt idx="333">
                  <c:v>0.16923490962975282</c:v>
                </c:pt>
                <c:pt idx="334">
                  <c:v>0.16887360622032122</c:v>
                </c:pt>
                <c:pt idx="335">
                  <c:v>0.16842325542611278</c:v>
                </c:pt>
                <c:pt idx="336">
                  <c:v>0.1678842094509401</c:v>
                </c:pt>
                <c:pt idx="337">
                  <c:v>0.16726931316655103</c:v>
                </c:pt>
                <c:pt idx="338">
                  <c:v>0.16663253052413726</c:v>
                </c:pt>
                <c:pt idx="339">
                  <c:v>0.16597421682873012</c:v>
                </c:pt>
                <c:pt idx="340">
                  <c:v>0.16529472248226912</c:v>
                </c:pt>
                <c:pt idx="341">
                  <c:v>0.16459439255176075</c:v>
                </c:pt>
                <c:pt idx="342">
                  <c:v>0.16387356633729139</c:v>
                </c:pt>
                <c:pt idx="343">
                  <c:v>0.16313257693805813</c:v>
                </c:pt>
                <c:pt idx="344">
                  <c:v>0.16237175082098843</c:v>
                </c:pt>
                <c:pt idx="345">
                  <c:v>0.16159140738762431</c:v>
                </c:pt>
                <c:pt idx="346">
                  <c:v>0.16087265925001926</c:v>
                </c:pt>
                <c:pt idx="347">
                  <c:v>0.1602158264811768</c:v>
                </c:pt>
                <c:pt idx="348">
                  <c:v>0.15962122784064217</c:v>
                </c:pt>
                <c:pt idx="349">
                  <c:v>0.15908918202025948</c:v>
                </c:pt>
                <c:pt idx="350">
                  <c:v>0.1586200088936717</c:v>
                </c:pt>
                <c:pt idx="351">
                  <c:v>0.15826155388514507</c:v>
                </c:pt>
                <c:pt idx="352">
                  <c:v>0.15800166252630085</c:v>
                </c:pt>
                <c:pt idx="353">
                  <c:v>0.15784068867355475</c:v>
                </c:pt>
                <c:pt idx="354">
                  <c:v>0.15777899842352708</c:v>
                </c:pt>
                <c:pt idx="355">
                  <c:v>0.15781697207988213</c:v>
                </c:pt>
                <c:pt idx="356">
                  <c:v>0.15795511528421047</c:v>
                </c:pt>
                <c:pt idx="357">
                  <c:v>0.15819349066079724</c:v>
                </c:pt>
                <c:pt idx="358">
                  <c:v>0.15853179706079901</c:v>
                </c:pt>
                <c:pt idx="359">
                  <c:v>0.15896974750449283</c:v>
                </c:pt>
                <c:pt idx="360">
                  <c:v>0.15951959862594844</c:v>
                </c:pt>
                <c:pt idx="361">
                  <c:v>0.16013344077727254</c:v>
                </c:pt>
                <c:pt idx="362">
                  <c:v>0.16081097099244826</c:v>
                </c:pt>
                <c:pt idx="363">
                  <c:v>0.16155188716820226</c:v>
                </c:pt>
                <c:pt idx="364">
                  <c:v>0.16235588652682462</c:v>
                </c:pt>
                <c:pt idx="365">
                  <c:v>0.16322266407705069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0.19550282615128889</c:v>
                </c:pt>
                <c:pt idx="1">
                  <c:v>0.19656844863568221</c:v>
                </c:pt>
                <c:pt idx="2">
                  <c:v>0.1977064276546838</c:v>
                </c:pt>
                <c:pt idx="3">
                  <c:v>0.19891637543184984</c:v>
                </c:pt>
                <c:pt idx="4">
                  <c:v>0.20019789463326967</c:v>
                </c:pt>
                <c:pt idx="5">
                  <c:v>0.20155057657489997</c:v>
                </c:pt>
                <c:pt idx="6">
                  <c:v>0.20297399943247355</c:v>
                </c:pt>
                <c:pt idx="7">
                  <c:v>0.20446772644689612</c:v>
                </c:pt>
                <c:pt idx="8">
                  <c:v>0.20603130413242224</c:v>
                </c:pt>
                <c:pt idx="9">
                  <c:v>0.20758097383926874</c:v>
                </c:pt>
                <c:pt idx="10">
                  <c:v>0.20906122953133729</c:v>
                </c:pt>
                <c:pt idx="11">
                  <c:v>0.2104713888466021</c:v>
                </c:pt>
                <c:pt idx="12">
                  <c:v>0.21181076249406791</c:v>
                </c:pt>
                <c:pt idx="13">
                  <c:v>0.21307865597520689</c:v>
                </c:pt>
                <c:pt idx="14">
                  <c:v>0.21427437130173987</c:v>
                </c:pt>
                <c:pt idx="15">
                  <c:v>0.21529790069194168</c:v>
                </c:pt>
                <c:pt idx="16">
                  <c:v>0.21613281582732047</c:v>
                </c:pt>
                <c:pt idx="17">
                  <c:v>0.21677833850294928</c:v>
                </c:pt>
                <c:pt idx="18">
                  <c:v>0.21723371879220824</c:v>
                </c:pt>
                <c:pt idx="19">
                  <c:v>0.21749945286974726</c:v>
                </c:pt>
                <c:pt idx="20">
                  <c:v>0.2175766243730409</c:v>
                </c:pt>
                <c:pt idx="21">
                  <c:v>0.21746541009968748</c:v>
                </c:pt>
                <c:pt idx="22">
                  <c:v>0.21716601374120437</c:v>
                </c:pt>
                <c:pt idx="23">
                  <c:v>0.21661293450570776</c:v>
                </c:pt>
                <c:pt idx="24">
                  <c:v>0.21589001675381433</c:v>
                </c:pt>
                <c:pt idx="25">
                  <c:v>0.21499753802210289</c:v>
                </c:pt>
                <c:pt idx="26">
                  <c:v>0.21393579127298198</c:v>
                </c:pt>
                <c:pt idx="27">
                  <c:v>0.21270508282708347</c:v>
                </c:pt>
                <c:pt idx="28">
                  <c:v>0.21130573030029021</c:v>
                </c:pt>
                <c:pt idx="29">
                  <c:v>0.20970097334135651</c:v>
                </c:pt>
                <c:pt idx="30">
                  <c:v>0.20799062162833101</c:v>
                </c:pt>
                <c:pt idx="31">
                  <c:v>0.20617500897169216</c:v>
                </c:pt>
                <c:pt idx="32">
                  <c:v>0.20425446792750671</c:v>
                </c:pt>
                <c:pt idx="33">
                  <c:v>0.20222932851153363</c:v>
                </c:pt>
                <c:pt idx="34">
                  <c:v>0.20009991691426268</c:v>
                </c:pt>
                <c:pt idx="35">
                  <c:v>0.19786655421576127</c:v>
                </c:pt>
                <c:pt idx="36">
                  <c:v>0.19552955510009698</c:v>
                </c:pt>
                <c:pt idx="37">
                  <c:v>0.19307597714044275</c:v>
                </c:pt>
                <c:pt idx="38">
                  <c:v>0.19057182732641806</c:v>
                </c:pt>
                <c:pt idx="39">
                  <c:v>0.18801737964105544</c:v>
                </c:pt>
                <c:pt idx="40">
                  <c:v>0.18541289616131185</c:v>
                </c:pt>
                <c:pt idx="41">
                  <c:v>0.18275862642986648</c:v>
                </c:pt>
                <c:pt idx="42">
                  <c:v>0.18005480682557795</c:v>
                </c:pt>
                <c:pt idx="43">
                  <c:v>0.17724600071040972</c:v>
                </c:pt>
                <c:pt idx="44">
                  <c:v>0.17436947746899514</c:v>
                </c:pt>
                <c:pt idx="45">
                  <c:v>0.1714254335275065</c:v>
                </c:pt>
                <c:pt idx="46">
                  <c:v>0.16841404861989287</c:v>
                </c:pt>
                <c:pt idx="47">
                  <c:v>0.16533548492694974</c:v>
                </c:pt>
                <c:pt idx="48">
                  <c:v>0.16218988621313143</c:v>
                </c:pt>
                <c:pt idx="49">
                  <c:v>0.15897737696491046</c:v>
                </c:pt>
                <c:pt idx="50">
                  <c:v>0.15569806152811858</c:v>
                </c:pt>
                <c:pt idx="51">
                  <c:v>0.15231559901933978</c:v>
                </c:pt>
                <c:pt idx="52">
                  <c:v>0.14884246985683586</c:v>
                </c:pt>
                <c:pt idx="53">
                  <c:v>0.14527781335148218</c:v>
                </c:pt>
                <c:pt idx="54">
                  <c:v>0.14162154392191462</c:v>
                </c:pt>
                <c:pt idx="55">
                  <c:v>0.13787357974222553</c:v>
                </c:pt>
                <c:pt idx="56">
                  <c:v>0.13403384308249597</c:v>
                </c:pt>
                <c:pt idx="57">
                  <c:v>0.13016240033655388</c:v>
                </c:pt>
                <c:pt idx="58">
                  <c:v>0.12631481917890761</c:v>
                </c:pt>
                <c:pt idx="59">
                  <c:v>0.1224910385918878</c:v>
                </c:pt>
                <c:pt idx="60">
                  <c:v>0.11869100338062882</c:v>
                </c:pt>
                <c:pt idx="61">
                  <c:v>0.11491466408536843</c:v>
                </c:pt>
                <c:pt idx="62">
                  <c:v>0.11116197689357393</c:v>
                </c:pt>
                <c:pt idx="63">
                  <c:v>0.10743290355241558</c:v>
                </c:pt>
                <c:pt idx="64">
                  <c:v>0.10372741128078578</c:v>
                </c:pt>
                <c:pt idx="65">
                  <c:v>0.10011573565606707</c:v>
                </c:pt>
                <c:pt idx="66">
                  <c:v>9.6634281030966732E-2</c:v>
                </c:pt>
                <c:pt idx="67">
                  <c:v>9.3283030484825946E-2</c:v>
                </c:pt>
                <c:pt idx="68">
                  <c:v>9.0061970637431751E-2</c:v>
                </c:pt>
                <c:pt idx="69">
                  <c:v>8.6971091166279615E-2</c:v>
                </c:pt>
                <c:pt idx="70">
                  <c:v>8.4010384324289478E-2</c:v>
                </c:pt>
                <c:pt idx="71">
                  <c:v>8.1213562381239182E-2</c:v>
                </c:pt>
                <c:pt idx="72">
                  <c:v>7.8520479069459651E-2</c:v>
                </c:pt>
                <c:pt idx="73">
                  <c:v>7.5931132496137865E-2</c:v>
                </c:pt>
                <c:pt idx="74">
                  <c:v>7.3445522081850095E-2</c:v>
                </c:pt>
                <c:pt idx="75">
                  <c:v>7.1063648176005134E-2</c:v>
                </c:pt>
                <c:pt idx="76">
                  <c:v>6.8785511672052255E-2</c:v>
                </c:pt>
                <c:pt idx="77">
                  <c:v>6.6611113622927501E-2</c:v>
                </c:pt>
                <c:pt idx="78">
                  <c:v>6.4540456999072571E-2</c:v>
                </c:pt>
                <c:pt idx="79">
                  <c:v>6.2598770826960123E-2</c:v>
                </c:pt>
                <c:pt idx="80">
                  <c:v>6.0715953431355968E-2</c:v>
                </c:pt>
                <c:pt idx="81">
                  <c:v>5.8891977978748435E-2</c:v>
                </c:pt>
                <c:pt idx="82">
                  <c:v>5.7126819874976309E-2</c:v>
                </c:pt>
                <c:pt idx="83">
                  <c:v>5.5420456577163789E-2</c:v>
                </c:pt>
                <c:pt idx="84">
                  <c:v>5.3772867405844187E-2</c:v>
                </c:pt>
                <c:pt idx="85">
                  <c:v>5.2207037811567443E-2</c:v>
                </c:pt>
                <c:pt idx="86">
                  <c:v>5.0689248629328838E-2</c:v>
                </c:pt>
                <c:pt idx="87">
                  <c:v>4.9219485290954122E-2</c:v>
                </c:pt>
                <c:pt idx="88">
                  <c:v>4.7797734477998545E-2</c:v>
                </c:pt>
                <c:pt idx="89">
                  <c:v>4.6423983968028021E-2</c:v>
                </c:pt>
                <c:pt idx="90">
                  <c:v>4.5098222480802565E-2</c:v>
                </c:pt>
                <c:pt idx="91">
                  <c:v>4.3820439524638516E-2</c:v>
                </c:pt>
                <c:pt idx="92">
                  <c:v>4.2590625242639728E-2</c:v>
                </c:pt>
                <c:pt idx="93">
                  <c:v>4.1421831475055688E-2</c:v>
                </c:pt>
                <c:pt idx="94">
                  <c:v>4.0289084994574238E-2</c:v>
                </c:pt>
                <c:pt idx="95">
                  <c:v>3.9192379817415191E-2</c:v>
                </c:pt>
                <c:pt idx="96">
                  <c:v>3.8131710332901678E-2</c:v>
                </c:pt>
                <c:pt idx="97">
                  <c:v>3.7107071188100721E-2</c:v>
                </c:pt>
                <c:pt idx="98">
                  <c:v>3.6118457172107543E-2</c:v>
                </c:pt>
                <c:pt idx="99">
                  <c:v>3.5174622475303889E-2</c:v>
                </c:pt>
                <c:pt idx="100">
                  <c:v>3.42525818898365E-2</c:v>
                </c:pt>
                <c:pt idx="101">
                  <c:v>3.3352334976061188E-2</c:v>
                </c:pt>
                <c:pt idx="102">
                  <c:v>3.2473881569676642E-2</c:v>
                </c:pt>
                <c:pt idx="103">
                  <c:v>3.161722171142077E-2</c:v>
                </c:pt>
                <c:pt idx="104">
                  <c:v>3.0782355577537567E-2</c:v>
                </c:pt>
                <c:pt idx="105">
                  <c:v>2.9969283409529132E-2</c:v>
                </c:pt>
                <c:pt idx="106">
                  <c:v>2.9178005444299271E-2</c:v>
                </c:pt>
                <c:pt idx="107">
                  <c:v>2.8417755143190355E-2</c:v>
                </c:pt>
                <c:pt idx="108">
                  <c:v>2.7675490881255611E-2</c:v>
                </c:pt>
                <c:pt idx="109">
                  <c:v>2.6951214352860908E-2</c:v>
                </c:pt>
                <c:pt idx="110">
                  <c:v>2.624500192394286E-2</c:v>
                </c:pt>
                <c:pt idx="111">
                  <c:v>2.5556923799088142E-2</c:v>
                </c:pt>
                <c:pt idx="112">
                  <c:v>2.4886972486688613E-2</c:v>
                </c:pt>
                <c:pt idx="113">
                  <c:v>2.4245056704572759E-2</c:v>
                </c:pt>
                <c:pt idx="114">
                  <c:v>2.3622425464119686E-2</c:v>
                </c:pt>
                <c:pt idx="115">
                  <c:v>2.3019070551985366E-2</c:v>
                </c:pt>
                <c:pt idx="116">
                  <c:v>2.2434983697593738E-2</c:v>
                </c:pt>
                <c:pt idx="117">
                  <c:v>2.1870156531465471E-2</c:v>
                </c:pt>
                <c:pt idx="118">
                  <c:v>2.1324580543305386E-2</c:v>
                </c:pt>
                <c:pt idx="119">
                  <c:v>2.0798247040158941E-2</c:v>
                </c:pt>
                <c:pt idx="120">
                  <c:v>2.0291147104535931E-2</c:v>
                </c:pt>
                <c:pt idx="121">
                  <c:v>1.9812405583916233E-2</c:v>
                </c:pt>
                <c:pt idx="122">
                  <c:v>1.9352802985760659E-2</c:v>
                </c:pt>
                <c:pt idx="123">
                  <c:v>1.8912329336598054E-2</c:v>
                </c:pt>
                <c:pt idx="124">
                  <c:v>1.8490974266028953E-2</c:v>
                </c:pt>
                <c:pt idx="125">
                  <c:v>1.8088726965194594E-2</c:v>
                </c:pt>
                <c:pt idx="126">
                  <c:v>1.7705576144978235E-2</c:v>
                </c:pt>
                <c:pt idx="127">
                  <c:v>1.7343039264972951E-2</c:v>
                </c:pt>
                <c:pt idx="128">
                  <c:v>1.6991224565637189E-2</c:v>
                </c:pt>
                <c:pt idx="129">
                  <c:v>1.6650126915941903E-2</c:v>
                </c:pt>
                <c:pt idx="130">
                  <c:v>1.631974095948897E-2</c:v>
                </c:pt>
                <c:pt idx="131">
                  <c:v>1.6000061090965998E-2</c:v>
                </c:pt>
                <c:pt idx="132">
                  <c:v>1.5691081432773278E-2</c:v>
                </c:pt>
                <c:pt idx="133">
                  <c:v>1.5392795811748137E-2</c:v>
                </c:pt>
                <c:pt idx="134">
                  <c:v>1.5105197735801384E-2</c:v>
                </c:pt>
                <c:pt idx="135">
                  <c:v>1.4830042714280308E-2</c:v>
                </c:pt>
                <c:pt idx="136">
                  <c:v>1.455823084434045E-2</c:v>
                </c:pt>
                <c:pt idx="137">
                  <c:v>1.4289763050384124E-2</c:v>
                </c:pt>
                <c:pt idx="138">
                  <c:v>1.402464029234027E-2</c:v>
                </c:pt>
                <c:pt idx="139">
                  <c:v>1.3762863558780069E-2</c:v>
                </c:pt>
                <c:pt idx="140">
                  <c:v>1.3504433859233821E-2</c:v>
                </c:pt>
                <c:pt idx="141">
                  <c:v>1.3254167534823088E-2</c:v>
                </c:pt>
                <c:pt idx="142">
                  <c:v>1.3010466814073087E-2</c:v>
                </c:pt>
                <c:pt idx="143">
                  <c:v>1.2773274859274411E-2</c:v>
                </c:pt>
                <c:pt idx="144">
                  <c:v>1.2542614045264444E-2</c:v>
                </c:pt>
                <c:pt idx="145">
                  <c:v>1.2318504734544551E-2</c:v>
                </c:pt>
                <c:pt idx="146">
                  <c:v>1.2100965365357439E-2</c:v>
                </c:pt>
                <c:pt idx="147">
                  <c:v>1.1890012540188635E-2</c:v>
                </c:pt>
                <c:pt idx="148">
                  <c:v>1.1685661113965537E-2</c:v>
                </c:pt>
                <c:pt idx="149">
                  <c:v>1.1489794330562179E-2</c:v>
                </c:pt>
                <c:pt idx="150">
                  <c:v>1.1300670735822164E-2</c:v>
                </c:pt>
                <c:pt idx="151">
                  <c:v>1.1118300199290573E-2</c:v>
                </c:pt>
                <c:pt idx="152">
                  <c:v>1.0942691199597523E-2</c:v>
                </c:pt>
                <c:pt idx="153">
                  <c:v>1.0773850914309475E-2</c:v>
                </c:pt>
                <c:pt idx="154">
                  <c:v>1.0611785309843165E-2</c:v>
                </c:pt>
                <c:pt idx="155">
                  <c:v>1.0461480594292062E-2</c:v>
                </c:pt>
                <c:pt idx="156">
                  <c:v>1.0318156132450662E-2</c:v>
                </c:pt>
                <c:pt idx="157">
                  <c:v>1.0181814372896942E-2</c:v>
                </c:pt>
                <c:pt idx="158">
                  <c:v>1.0052456938213541E-2</c:v>
                </c:pt>
                <c:pt idx="159">
                  <c:v>9.9300847175810801E-3</c:v>
                </c:pt>
                <c:pt idx="160">
                  <c:v>9.8146979594965923E-3</c:v>
                </c:pt>
                <c:pt idx="161">
                  <c:v>9.7062963643771583E-3</c:v>
                </c:pt>
                <c:pt idx="162">
                  <c:v>9.6048791772183669E-3</c:v>
                </c:pt>
                <c:pt idx="163">
                  <c:v>9.5143598476003666E-3</c:v>
                </c:pt>
                <c:pt idx="164">
                  <c:v>9.4328770430819105E-3</c:v>
                </c:pt>
                <c:pt idx="165">
                  <c:v>9.3604255410494591E-3</c:v>
                </c:pt>
                <c:pt idx="166">
                  <c:v>9.2970001754174303E-3</c:v>
                </c:pt>
                <c:pt idx="167">
                  <c:v>9.2425959571631588E-3</c:v>
                </c:pt>
                <c:pt idx="168">
                  <c:v>9.1972081951609431E-3</c:v>
                </c:pt>
                <c:pt idx="169">
                  <c:v>9.1647333176949064E-3</c:v>
                </c:pt>
                <c:pt idx="170">
                  <c:v>9.1402251788627441E-3</c:v>
                </c:pt>
                <c:pt idx="171">
                  <c:v>9.1236825515062254E-3</c:v>
                </c:pt>
                <c:pt idx="172">
                  <c:v>9.1151048986862337E-3</c:v>
                </c:pt>
                <c:pt idx="173">
                  <c:v>9.1143992752055585E-3</c:v>
                </c:pt>
                <c:pt idx="174">
                  <c:v>9.1214684018983902E-3</c:v>
                </c:pt>
                <c:pt idx="175">
                  <c:v>9.1363058333976763E-3</c:v>
                </c:pt>
                <c:pt idx="176">
                  <c:v>9.1589051757078998E-3</c:v>
                </c:pt>
                <c:pt idx="177">
                  <c:v>9.1941785658258314E-3</c:v>
                </c:pt>
                <c:pt idx="178">
                  <c:v>9.2382297151433045E-3</c:v>
                </c:pt>
                <c:pt idx="179">
                  <c:v>9.2910511503744089E-3</c:v>
                </c:pt>
                <c:pt idx="180">
                  <c:v>9.3526356637126263E-3</c:v>
                </c:pt>
                <c:pt idx="181">
                  <c:v>9.422976364457011E-3</c:v>
                </c:pt>
                <c:pt idx="182">
                  <c:v>9.5020667307191067E-3</c:v>
                </c:pt>
                <c:pt idx="183">
                  <c:v>9.5917349271178749E-3</c:v>
                </c:pt>
                <c:pt idx="184">
                  <c:v>9.6881013413692534E-3</c:v>
                </c:pt>
                <c:pt idx="185">
                  <c:v>9.791163787019495E-3</c:v>
                </c:pt>
                <c:pt idx="186">
                  <c:v>9.9009205742682672E-3</c:v>
                </c:pt>
                <c:pt idx="187">
                  <c:v>1.0017370549682256E-2</c:v>
                </c:pt>
                <c:pt idx="188">
                  <c:v>1.014051313596992E-2</c:v>
                </c:pt>
                <c:pt idx="189">
                  <c:v>1.0270348371450432E-2</c:v>
                </c:pt>
                <c:pt idx="190">
                  <c:v>1.0406876949950759E-2</c:v>
                </c:pt>
                <c:pt idx="191">
                  <c:v>1.055478698999532E-2</c:v>
                </c:pt>
                <c:pt idx="192">
                  <c:v>1.0709190658476924E-2</c:v>
                </c:pt>
                <c:pt idx="193">
                  <c:v>1.0870091248171456E-2</c:v>
                </c:pt>
                <c:pt idx="194">
                  <c:v>1.10374928630793E-2</c:v>
                </c:pt>
                <c:pt idx="195">
                  <c:v>1.1211400457161668E-2</c:v>
                </c:pt>
                <c:pt idx="196">
                  <c:v>1.1391819872660969E-2</c:v>
                </c:pt>
                <c:pt idx="197">
                  <c:v>1.1580465050186306E-2</c:v>
                </c:pt>
                <c:pt idx="198">
                  <c:v>1.1775519180176164E-2</c:v>
                </c:pt>
                <c:pt idx="199">
                  <c:v>1.197699118853761E-2</c:v>
                </c:pt>
                <c:pt idx="200">
                  <c:v>1.2184891037072099E-2</c:v>
                </c:pt>
                <c:pt idx="201">
                  <c:v>1.2399229761171774E-2</c:v>
                </c:pt>
                <c:pt idx="202">
                  <c:v>1.2620019507576789E-2</c:v>
                </c:pt>
                <c:pt idx="203">
                  <c:v>1.2847273572413415E-2</c:v>
                </c:pt>
                <c:pt idx="204">
                  <c:v>1.3080985315190877E-2</c:v>
                </c:pt>
                <c:pt idx="205">
                  <c:v>1.3322613754726853E-2</c:v>
                </c:pt>
                <c:pt idx="206">
                  <c:v>1.3567495481499915E-2</c:v>
                </c:pt>
                <c:pt idx="207">
                  <c:v>1.3815634537753302E-2</c:v>
                </c:pt>
                <c:pt idx="208">
                  <c:v>1.4067034917082534E-2</c:v>
                </c:pt>
                <c:pt idx="209">
                  <c:v>1.432170055440494E-2</c:v>
                </c:pt>
                <c:pt idx="210">
                  <c:v>1.4579635316398602E-2</c:v>
                </c:pt>
                <c:pt idx="211">
                  <c:v>1.4849622631736678E-2</c:v>
                </c:pt>
                <c:pt idx="212">
                  <c:v>1.5129961357939188E-2</c:v>
                </c:pt>
                <c:pt idx="213">
                  <c:v>1.5420652689284685E-2</c:v>
                </c:pt>
                <c:pt idx="214">
                  <c:v>1.572169819042676E-2</c:v>
                </c:pt>
                <c:pt idx="215">
                  <c:v>1.6033099764607494E-2</c:v>
                </c:pt>
                <c:pt idx="216">
                  <c:v>1.6354859621817219E-2</c:v>
                </c:pt>
                <c:pt idx="217">
                  <c:v>1.6686980247017352E-2</c:v>
                </c:pt>
                <c:pt idx="218">
                  <c:v>1.7029464368274783E-2</c:v>
                </c:pt>
                <c:pt idx="219">
                  <c:v>1.7391820844772008E-2</c:v>
                </c:pt>
                <c:pt idx="220">
                  <c:v>1.777258011577048E-2</c:v>
                </c:pt>
                <c:pt idx="221">
                  <c:v>1.8171744638127256E-2</c:v>
                </c:pt>
                <c:pt idx="222">
                  <c:v>1.8589317408312826E-2</c:v>
                </c:pt>
                <c:pt idx="223">
                  <c:v>1.902530190592196E-2</c:v>
                </c:pt>
                <c:pt idx="224">
                  <c:v>1.9479702036754615E-2</c:v>
                </c:pt>
                <c:pt idx="225">
                  <c:v>1.9961361360668329E-2</c:v>
                </c:pt>
                <c:pt idx="226">
                  <c:v>2.0461513516775262E-2</c:v>
                </c:pt>
                <c:pt idx="227">
                  <c:v>2.0980163548247027E-2</c:v>
                </c:pt>
                <c:pt idx="228">
                  <c:v>2.151731668932989E-2</c:v>
                </c:pt>
                <c:pt idx="229">
                  <c:v>2.2072978308091625E-2</c:v>
                </c:pt>
                <c:pt idx="230">
                  <c:v>2.2647153849491227E-2</c:v>
                </c:pt>
                <c:pt idx="231">
                  <c:v>2.3239848778541437E-2</c:v>
                </c:pt>
                <c:pt idx="232">
                  <c:v>2.3851068522988253E-2</c:v>
                </c:pt>
                <c:pt idx="233">
                  <c:v>2.4489195947094113E-2</c:v>
                </c:pt>
                <c:pt idx="234">
                  <c:v>2.5144731245755777E-2</c:v>
                </c:pt>
                <c:pt idx="235">
                  <c:v>2.5817700172057322E-2</c:v>
                </c:pt>
                <c:pt idx="236">
                  <c:v>2.6508139005469281E-2</c:v>
                </c:pt>
                <c:pt idx="237">
                  <c:v>2.7216069404544251E-2</c:v>
                </c:pt>
                <c:pt idx="238">
                  <c:v>2.7941514223196531E-2</c:v>
                </c:pt>
                <c:pt idx="239">
                  <c:v>2.8696987145109227E-2</c:v>
                </c:pt>
                <c:pt idx="240">
                  <c:v>2.9473671820979427E-2</c:v>
                </c:pt>
                <c:pt idx="241">
                  <c:v>3.0271596214835012E-2</c:v>
                </c:pt>
                <c:pt idx="242">
                  <c:v>3.1090789784649745E-2</c:v>
                </c:pt>
                <c:pt idx="243">
                  <c:v>3.1931283519446269E-2</c:v>
                </c:pt>
                <c:pt idx="244">
                  <c:v>3.2793109976252101E-2</c:v>
                </c:pt>
                <c:pt idx="245">
                  <c:v>3.3676303316718781E-2</c:v>
                </c:pt>
                <c:pt idx="246">
                  <c:v>3.4580899343652688E-2</c:v>
                </c:pt>
                <c:pt idx="247">
                  <c:v>3.5528942455910435E-2</c:v>
                </c:pt>
                <c:pt idx="248">
                  <c:v>3.6512092113397031E-2</c:v>
                </c:pt>
                <c:pt idx="249">
                  <c:v>3.7530396517869026E-2</c:v>
                </c:pt>
                <c:pt idx="250">
                  <c:v>3.8583906417621223E-2</c:v>
                </c:pt>
                <c:pt idx="251">
                  <c:v>3.9672675169315968E-2</c:v>
                </c:pt>
                <c:pt idx="252">
                  <c:v>4.0796758798241017E-2</c:v>
                </c:pt>
                <c:pt idx="253">
                  <c:v>4.198013429727903E-2</c:v>
                </c:pt>
                <c:pt idx="254">
                  <c:v>4.3210361096474581E-2</c:v>
                </c:pt>
                <c:pt idx="255">
                  <c:v>4.4487511836048245E-2</c:v>
                </c:pt>
                <c:pt idx="256">
                  <c:v>4.58116627789125E-2</c:v>
                </c:pt>
                <c:pt idx="257">
                  <c:v>4.7182893891223432E-2</c:v>
                </c:pt>
                <c:pt idx="258">
                  <c:v>4.8601288923331216E-2</c:v>
                </c:pt>
                <c:pt idx="259">
                  <c:v>5.0066935491427496E-2</c:v>
                </c:pt>
                <c:pt idx="260">
                  <c:v>5.1579925157749722E-2</c:v>
                </c:pt>
                <c:pt idx="261">
                  <c:v>5.3172689755863235E-2</c:v>
                </c:pt>
                <c:pt idx="262">
                  <c:v>5.4823277332910363E-2</c:v>
                </c:pt>
                <c:pt idx="263">
                  <c:v>5.6531802282063615E-2</c:v>
                </c:pt>
                <c:pt idx="264">
                  <c:v>5.8298386797681574E-2</c:v>
                </c:pt>
                <c:pt idx="265">
                  <c:v>6.0123480697285757E-2</c:v>
                </c:pt>
                <c:pt idx="266">
                  <c:v>6.2007416639720363E-2</c:v>
                </c:pt>
                <c:pt idx="267">
                  <c:v>6.4017812182859304E-2</c:v>
                </c:pt>
                <c:pt idx="268">
                  <c:v>6.6130824023484067E-2</c:v>
                </c:pt>
                <c:pt idx="269">
                  <c:v>6.8346605926432394E-2</c:v>
                </c:pt>
                <c:pt idx="270">
                  <c:v>7.0665312297047825E-2</c:v>
                </c:pt>
                <c:pt idx="271">
                  <c:v>7.3087097079020655E-2</c:v>
                </c:pt>
                <c:pt idx="272">
                  <c:v>7.5612112654028077E-2</c:v>
                </c:pt>
                <c:pt idx="273">
                  <c:v>7.8240508740484591E-2</c:v>
                </c:pt>
                <c:pt idx="274">
                  <c:v>8.0972431293260219E-2</c:v>
                </c:pt>
                <c:pt idx="275">
                  <c:v>8.386601684330873E-2</c:v>
                </c:pt>
                <c:pt idx="276">
                  <c:v>8.6888955469400217E-2</c:v>
                </c:pt>
                <c:pt idx="277">
                  <c:v>9.0041414837850386E-2</c:v>
                </c:pt>
                <c:pt idx="278">
                  <c:v>9.3323555238767467E-2</c:v>
                </c:pt>
                <c:pt idx="279">
                  <c:v>9.6735528205189547E-2</c:v>
                </c:pt>
                <c:pt idx="280">
                  <c:v>0.10027747513309671</c:v>
                </c:pt>
                <c:pt idx="281">
                  <c:v>0.10391429359390847</c:v>
                </c:pt>
                <c:pt idx="282">
                  <c:v>0.1075780489467178</c:v>
                </c:pt>
                <c:pt idx="283">
                  <c:v>0.11126868182719322</c:v>
                </c:pt>
                <c:pt idx="284">
                  <c:v>0.11498611721113818</c:v>
                </c:pt>
                <c:pt idx="285">
                  <c:v>0.11873026416302969</c:v>
                </c:pt>
                <c:pt idx="286">
                  <c:v>0.12250101558565453</c:v>
                </c:pt>
                <c:pt idx="287">
                  <c:v>0.12629824796863742</c:v>
                </c:pt>
                <c:pt idx="288">
                  <c:v>0.13012182113738402</c:v>
                </c:pt>
                <c:pt idx="289">
                  <c:v>0.13391753973608503</c:v>
                </c:pt>
                <c:pt idx="290">
                  <c:v>0.13762670557379406</c:v>
                </c:pt>
                <c:pt idx="291">
                  <c:v>0.14124896207834592</c:v>
                </c:pt>
                <c:pt idx="292">
                  <c:v>0.14478394096016339</c:v>
                </c:pt>
                <c:pt idx="293">
                  <c:v>0.14823126318739091</c:v>
                </c:pt>
                <c:pt idx="294">
                  <c:v>0.15159053996051716</c:v>
                </c:pt>
                <c:pt idx="295">
                  <c:v>0.15484849587390526</c:v>
                </c:pt>
                <c:pt idx="296">
                  <c:v>0.15804211876370269</c:v>
                </c:pt>
                <c:pt idx="297">
                  <c:v>0.1611724957536261</c:v>
                </c:pt>
                <c:pt idx="298">
                  <c:v>0.16423944536486682</c:v>
                </c:pt>
                <c:pt idx="299">
                  <c:v>0.1672427725949803</c:v>
                </c:pt>
                <c:pt idx="300">
                  <c:v>0.17018226953814908</c:v>
                </c:pt>
                <c:pt idx="301">
                  <c:v>0.1730577160049516</c:v>
                </c:pt>
                <c:pt idx="302">
                  <c:v>0.17586888014250313</c:v>
                </c:pt>
                <c:pt idx="303">
                  <c:v>0.17857930934582436</c:v>
                </c:pt>
                <c:pt idx="304">
                  <c:v>0.18124312020860903</c:v>
                </c:pt>
                <c:pt idx="305">
                  <c:v>0.1838600756456735</c:v>
                </c:pt>
                <c:pt idx="306">
                  <c:v>0.18642992935335675</c:v>
                </c:pt>
                <c:pt idx="307">
                  <c:v>0.18895242626242184</c:v>
                </c:pt>
                <c:pt idx="308">
                  <c:v>0.19142730298937738</c:v>
                </c:pt>
                <c:pt idx="309">
                  <c:v>0.19378992062140232</c:v>
                </c:pt>
                <c:pt idx="310">
                  <c:v>0.19605289657395278</c:v>
                </c:pt>
                <c:pt idx="311">
                  <c:v>0.19821587678663075</c:v>
                </c:pt>
                <c:pt idx="312">
                  <c:v>0.20027850310414017</c:v>
                </c:pt>
                <c:pt idx="313">
                  <c:v>0.20224041420144082</c:v>
                </c:pt>
                <c:pt idx="314">
                  <c:v>0.2041012465070888</c:v>
                </c:pt>
                <c:pt idx="315">
                  <c:v>0.20586063512910746</c:v>
                </c:pt>
                <c:pt idx="316">
                  <c:v>0.20751821477773116</c:v>
                </c:pt>
                <c:pt idx="317">
                  <c:v>0.20897588882556131</c:v>
                </c:pt>
                <c:pt idx="318">
                  <c:v>0.21026963309610172</c:v>
                </c:pt>
                <c:pt idx="319">
                  <c:v>0.2113990228580985</c:v>
                </c:pt>
                <c:pt idx="320">
                  <c:v>0.21236364231189322</c:v>
                </c:pt>
                <c:pt idx="321">
                  <c:v>0.21316308607513235</c:v>
                </c:pt>
                <c:pt idx="322">
                  <c:v>0.21379696066939446</c:v>
                </c:pt>
                <c:pt idx="323">
                  <c:v>0.21418256347193196</c:v>
                </c:pt>
                <c:pt idx="324">
                  <c:v>0.21438419980410794</c:v>
                </c:pt>
                <c:pt idx="325">
                  <c:v>0.21440149880791606</c:v>
                </c:pt>
                <c:pt idx="326">
                  <c:v>0.21423277745617231</c:v>
                </c:pt>
                <c:pt idx="327">
                  <c:v>0.21387727083761554</c:v>
                </c:pt>
                <c:pt idx="328">
                  <c:v>0.21333534296748113</c:v>
                </c:pt>
                <c:pt idx="329">
                  <c:v>0.21260738307794505</c:v>
                </c:pt>
                <c:pt idx="330">
                  <c:v>0.21169380186085063</c:v>
                </c:pt>
                <c:pt idx="331">
                  <c:v>0.21061047317421097</c:v>
                </c:pt>
                <c:pt idx="332">
                  <c:v>0.20945594541444978</c:v>
                </c:pt>
                <c:pt idx="333">
                  <c:v>0.20823069800765606</c:v>
                </c:pt>
                <c:pt idx="334">
                  <c:v>0.20693520701881182</c:v>
                </c:pt>
                <c:pt idx="335">
                  <c:v>0.20556994375967921</c:v>
                </c:pt>
                <c:pt idx="336">
                  <c:v>0.20413537339393459</c:v>
                </c:pt>
                <c:pt idx="337">
                  <c:v>0.20268630814268937</c:v>
                </c:pt>
                <c:pt idx="338">
                  <c:v>0.20130569013609553</c:v>
                </c:pt>
                <c:pt idx="339">
                  <c:v>0.19999396729292598</c:v>
                </c:pt>
                <c:pt idx="340">
                  <c:v>0.19875157454318129</c:v>
                </c:pt>
                <c:pt idx="341">
                  <c:v>0.19757893528035941</c:v>
                </c:pt>
                <c:pt idx="342">
                  <c:v>0.19647646281353989</c:v>
                </c:pt>
                <c:pt idx="343">
                  <c:v>0.19544456181709155</c:v>
                </c:pt>
                <c:pt idx="344">
                  <c:v>0.19448362978349013</c:v>
                </c:pt>
                <c:pt idx="345">
                  <c:v>0.19359405847405131</c:v>
                </c:pt>
                <c:pt idx="346">
                  <c:v>0.19279890457285778</c:v>
                </c:pt>
                <c:pt idx="347">
                  <c:v>0.19209855725051986</c:v>
                </c:pt>
                <c:pt idx="348">
                  <c:v>0.19149340627954692</c:v>
                </c:pt>
                <c:pt idx="349">
                  <c:v>0.19098384395542764</c:v>
                </c:pt>
                <c:pt idx="350">
                  <c:v>0.1905702670222007</c:v>
                </c:pt>
                <c:pt idx="351">
                  <c:v>0.19029122252638372</c:v>
                </c:pt>
                <c:pt idx="352">
                  <c:v>0.19009273420091657</c:v>
                </c:pt>
                <c:pt idx="353">
                  <c:v>0.18997521750634971</c:v>
                </c:pt>
                <c:pt idx="354">
                  <c:v>0.18993909772918535</c:v>
                </c:pt>
                <c:pt idx="355">
                  <c:v>0.1899848115573731</c:v>
                </c:pt>
                <c:pt idx="356">
                  <c:v>0.19011294004437532</c:v>
                </c:pt>
                <c:pt idx="357">
                  <c:v>0.19032352376350747</c:v>
                </c:pt>
                <c:pt idx="358">
                  <c:v>0.19061615870331472</c:v>
                </c:pt>
                <c:pt idx="359">
                  <c:v>0.19099045222403632</c:v>
                </c:pt>
                <c:pt idx="360">
                  <c:v>0.19150055173412658</c:v>
                </c:pt>
                <c:pt idx="361">
                  <c:v>0.19210789472386414</c:v>
                </c:pt>
                <c:pt idx="362">
                  <c:v>0.19281213470714054</c:v>
                </c:pt>
                <c:pt idx="363">
                  <c:v>0.19361292977261202</c:v>
                </c:pt>
                <c:pt idx="364">
                  <c:v>0.19450994021287124</c:v>
                </c:pt>
                <c:pt idx="365">
                  <c:v>0.19550282615128889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0.2314746598494026</c:v>
                </c:pt>
                <c:pt idx="1">
                  <c:v>0.23216601060689981</c:v>
                </c:pt>
                <c:pt idx="2">
                  <c:v>0.23302155752247505</c:v>
                </c:pt>
                <c:pt idx="3">
                  <c:v>0.234040949646177</c:v>
                </c:pt>
                <c:pt idx="4">
                  <c:v>0.23522383096264049</c:v>
                </c:pt>
                <c:pt idx="5">
                  <c:v>0.23656983625138056</c:v>
                </c:pt>
                <c:pt idx="6">
                  <c:v>0.23807858695010742</c:v>
                </c:pt>
                <c:pt idx="7">
                  <c:v>0.23974968701274241</c:v>
                </c:pt>
                <c:pt idx="8">
                  <c:v>0.24158271877070125</c:v>
                </c:pt>
                <c:pt idx="9">
                  <c:v>0.24353844327164931</c:v>
                </c:pt>
                <c:pt idx="10">
                  <c:v>0.24555247640874972</c:v>
                </c:pt>
                <c:pt idx="11">
                  <c:v>0.24762418489807558</c:v>
                </c:pt>
                <c:pt idx="12">
                  <c:v>0.24975290964453137</c:v>
                </c:pt>
                <c:pt idx="13">
                  <c:v>0.25193796421270354</c:v>
                </c:pt>
                <c:pt idx="14">
                  <c:v>0.25417863329338508</c:v>
                </c:pt>
                <c:pt idx="15">
                  <c:v>0.25633326217044194</c:v>
                </c:pt>
                <c:pt idx="16">
                  <c:v>0.2583017434103414</c:v>
                </c:pt>
                <c:pt idx="17">
                  <c:v>0.26008309224157244</c:v>
                </c:pt>
                <c:pt idx="18">
                  <c:v>0.26167634020095043</c:v>
                </c:pt>
                <c:pt idx="19">
                  <c:v>0.26308200713460628</c:v>
                </c:pt>
                <c:pt idx="20">
                  <c:v>0.26430133143648438</c:v>
                </c:pt>
                <c:pt idx="21">
                  <c:v>0.26533446287884638</c:v>
                </c:pt>
                <c:pt idx="22">
                  <c:v>0.26618158336835523</c:v>
                </c:pt>
                <c:pt idx="23">
                  <c:v>0.26676696898717295</c:v>
                </c:pt>
                <c:pt idx="24">
                  <c:v>0.26712978736589205</c:v>
                </c:pt>
                <c:pt idx="25">
                  <c:v>0.26727030150975212</c:v>
                </c:pt>
                <c:pt idx="26">
                  <c:v>0.26718880126548711</c:v>
                </c:pt>
                <c:pt idx="27">
                  <c:v>0.26688560060462901</c:v>
                </c:pt>
                <c:pt idx="28">
                  <c:v>0.2663610349125749</c:v>
                </c:pt>
                <c:pt idx="29">
                  <c:v>0.26553081632206144</c:v>
                </c:pt>
                <c:pt idx="30">
                  <c:v>0.26453646401902231</c:v>
                </c:pt>
                <c:pt idx="31">
                  <c:v>0.26337835841581453</c:v>
                </c:pt>
                <c:pt idx="32">
                  <c:v>0.26205688634343877</c:v>
                </c:pt>
                <c:pt idx="33">
                  <c:v>0.26057243904340899</c:v>
                </c:pt>
                <c:pt idx="34">
                  <c:v>0.25892541016081971</c:v>
                </c:pt>
                <c:pt idx="35">
                  <c:v>0.25711619373718114</c:v>
                </c:pt>
                <c:pt idx="36">
                  <c:v>0.25514518220271104</c:v>
                </c:pt>
                <c:pt idx="37">
                  <c:v>0.25295076754241314</c:v>
                </c:pt>
                <c:pt idx="38">
                  <c:v>0.25060925743698359</c:v>
                </c:pt>
                <c:pt idx="39">
                  <c:v>0.24812102416190779</c:v>
                </c:pt>
                <c:pt idx="40">
                  <c:v>0.24548642995971465</c:v>
                </c:pt>
                <c:pt idx="41">
                  <c:v>0.24270582520795891</c:v>
                </c:pt>
                <c:pt idx="42">
                  <c:v>0.23977954658544678</c:v>
                </c:pt>
                <c:pt idx="43">
                  <c:v>0.23661519104836964</c:v>
                </c:pt>
                <c:pt idx="44">
                  <c:v>0.23329763676126755</c:v>
                </c:pt>
                <c:pt idx="45">
                  <c:v>0.22982716867331049</c:v>
                </c:pt>
                <c:pt idx="46">
                  <c:v>0.2262040499145043</c:v>
                </c:pt>
                <c:pt idx="47">
                  <c:v>0.22242851986169498</c:v>
                </c:pt>
                <c:pt idx="48">
                  <c:v>0.21850079220155075</c:v>
                </c:pt>
                <c:pt idx="49">
                  <c:v>0.21442105299561706</c:v>
                </c:pt>
                <c:pt idx="50">
                  <c:v>0.21018945874400422</c:v>
                </c:pt>
                <c:pt idx="51">
                  <c:v>0.2057722258161308</c:v>
                </c:pt>
                <c:pt idx="52">
                  <c:v>0.20123027765749141</c:v>
                </c:pt>
                <c:pt idx="53">
                  <c:v>0.19656245384082302</c:v>
                </c:pt>
                <c:pt idx="54">
                  <c:v>0.19176864005935604</c:v>
                </c:pt>
                <c:pt idx="55">
                  <c:v>0.18684872682425396</c:v>
                </c:pt>
                <c:pt idx="56">
                  <c:v>0.18180260993288733</c:v>
                </c:pt>
                <c:pt idx="57">
                  <c:v>0.17671331307575081</c:v>
                </c:pt>
                <c:pt idx="58">
                  <c:v>0.17167342957556728</c:v>
                </c:pt>
                <c:pt idx="59">
                  <c:v>0.16668287748846805</c:v>
                </c:pt>
                <c:pt idx="60">
                  <c:v>0.16174158259576801</c:v>
                </c:pt>
                <c:pt idx="61">
                  <c:v>0.15684947822194731</c:v>
                </c:pt>
                <c:pt idx="62">
                  <c:v>0.1520065050523946</c:v>
                </c:pt>
                <c:pt idx="63">
                  <c:v>0.14721261095162624</c:v>
                </c:pt>
                <c:pt idx="64">
                  <c:v>0.14246775078088361</c:v>
                </c:pt>
                <c:pt idx="65">
                  <c:v>0.13783407701412959</c:v>
                </c:pt>
                <c:pt idx="66">
                  <c:v>0.13334546863694791</c:v>
                </c:pt>
                <c:pt idx="67">
                  <c:v>0.12900190038938864</c:v>
                </c:pt>
                <c:pt idx="68">
                  <c:v>0.12480335185822776</c:v>
                </c:pt>
                <c:pt idx="69">
                  <c:v>0.1207498069389481</c:v>
                </c:pt>
                <c:pt idx="70">
                  <c:v>0.1168412532983454</c:v>
                </c:pt>
                <c:pt idx="71">
                  <c:v>0.11312470680133714</c:v>
                </c:pt>
                <c:pt idx="72">
                  <c:v>0.10951703538173162</c:v>
                </c:pt>
                <c:pt idx="73">
                  <c:v>0.10601823617975725</c:v>
                </c:pt>
                <c:pt idx="74">
                  <c:v>0.10262830886733934</c:v>
                </c:pt>
                <c:pt idx="75">
                  <c:v>9.9347255244221916E-2</c:v>
                </c:pt>
                <c:pt idx="76">
                  <c:v>9.6175078833761293E-2</c:v>
                </c:pt>
                <c:pt idx="77">
                  <c:v>9.3111784479052939E-2</c:v>
                </c:pt>
                <c:pt idx="78">
                  <c:v>9.0157380932044229E-2</c:v>
                </c:pt>
                <c:pt idx="79">
                  <c:v>8.7350783363294229E-2</c:v>
                </c:pt>
                <c:pt idx="80">
                  <c:v>8.4630019860632621E-2</c:v>
                </c:pt>
                <c:pt idx="81">
                  <c:v>8.1995052535729945E-2</c:v>
                </c:pt>
                <c:pt idx="82">
                  <c:v>7.9445846734202213E-2</c:v>
                </c:pt>
                <c:pt idx="83">
                  <c:v>7.6982370761398189E-2</c:v>
                </c:pt>
                <c:pt idx="84">
                  <c:v>7.4604595608448412E-2</c:v>
                </c:pt>
                <c:pt idx="85">
                  <c:v>7.2345718976683709E-2</c:v>
                </c:pt>
                <c:pt idx="86">
                  <c:v>7.0158713955771709E-2</c:v>
                </c:pt>
                <c:pt idx="87">
                  <c:v>6.8043560048589399E-2</c:v>
                </c:pt>
                <c:pt idx="88">
                  <c:v>6.6000238520832907E-2</c:v>
                </c:pt>
                <c:pt idx="89">
                  <c:v>6.4028732171049471E-2</c:v>
                </c:pt>
                <c:pt idx="90">
                  <c:v>6.2129025100534363E-2</c:v>
                </c:pt>
                <c:pt idx="91">
                  <c:v>6.0301102483474554E-2</c:v>
                </c:pt>
                <c:pt idx="92">
                  <c:v>5.8544950336911199E-2</c:v>
                </c:pt>
                <c:pt idx="93">
                  <c:v>5.6881042122910321E-2</c:v>
                </c:pt>
                <c:pt idx="94">
                  <c:v>5.5270827939928241E-2</c:v>
                </c:pt>
                <c:pt idx="95">
                  <c:v>5.3714299327940862E-2</c:v>
                </c:pt>
                <c:pt idx="96">
                  <c:v>5.2211448284656292E-2</c:v>
                </c:pt>
                <c:pt idx="97">
                  <c:v>5.076226709368644E-2</c:v>
                </c:pt>
                <c:pt idx="98">
                  <c:v>4.9366748152229661E-2</c:v>
                </c:pt>
                <c:pt idx="99">
                  <c:v>4.8037956536424863E-2</c:v>
                </c:pt>
                <c:pt idx="100">
                  <c:v>4.6742695323126568E-2</c:v>
                </c:pt>
                <c:pt idx="101">
                  <c:v>4.5480963331202148E-2</c:v>
                </c:pt>
                <c:pt idx="102">
                  <c:v>4.4252759646274363E-2</c:v>
                </c:pt>
                <c:pt idx="103">
                  <c:v>4.3058083512654492E-2</c:v>
                </c:pt>
                <c:pt idx="104">
                  <c:v>4.1896934226326177E-2</c:v>
                </c:pt>
                <c:pt idx="105">
                  <c:v>4.0769311026954455E-2</c:v>
                </c:pt>
                <c:pt idx="106">
                  <c:v>3.9675212990428609E-2</c:v>
                </c:pt>
                <c:pt idx="107">
                  <c:v>3.8627608755616417E-2</c:v>
                </c:pt>
                <c:pt idx="108">
                  <c:v>3.7606041429587657E-2</c:v>
                </c:pt>
                <c:pt idx="109">
                  <c:v>3.6610512814948863E-2</c:v>
                </c:pt>
                <c:pt idx="110">
                  <c:v>3.5641126045541191E-2</c:v>
                </c:pt>
                <c:pt idx="111">
                  <c:v>3.4697975708835337E-2</c:v>
                </c:pt>
                <c:pt idx="112">
                  <c:v>3.3781050784325306E-2</c:v>
                </c:pt>
                <c:pt idx="113">
                  <c:v>3.2903803285622639E-2</c:v>
                </c:pt>
                <c:pt idx="114">
                  <c:v>3.2053173908877068E-2</c:v>
                </c:pt>
                <c:pt idx="115">
                  <c:v>3.1229151308147893E-2</c:v>
                </c:pt>
                <c:pt idx="116">
                  <c:v>3.0431724050898862E-2</c:v>
                </c:pt>
                <c:pt idx="117">
                  <c:v>2.9660880560474154E-2</c:v>
                </c:pt>
                <c:pt idx="118">
                  <c:v>2.891660905824666E-2</c:v>
                </c:pt>
                <c:pt idx="119">
                  <c:v>2.8198897505860191E-2</c:v>
                </c:pt>
                <c:pt idx="120">
                  <c:v>2.7507733547427048E-2</c:v>
                </c:pt>
                <c:pt idx="121">
                  <c:v>2.6854344408182729E-2</c:v>
                </c:pt>
                <c:pt idx="122">
                  <c:v>2.6225781063856028E-2</c:v>
                </c:pt>
                <c:pt idx="123">
                  <c:v>2.5622030987990929E-2</c:v>
                </c:pt>
                <c:pt idx="124">
                  <c:v>2.5043081167754996E-2</c:v>
                </c:pt>
                <c:pt idx="125">
                  <c:v>2.4488918050096564E-2</c:v>
                </c:pt>
                <c:pt idx="126">
                  <c:v>2.3959527487539246E-2</c:v>
                </c:pt>
                <c:pt idx="127">
                  <c:v>2.3458198624671793E-2</c:v>
                </c:pt>
                <c:pt idx="128">
                  <c:v>2.2971501759863917E-2</c:v>
                </c:pt>
                <c:pt idx="129">
                  <c:v>2.2499430104892873E-2</c:v>
                </c:pt>
                <c:pt idx="130">
                  <c:v>2.2041976570113503E-2</c:v>
                </c:pt>
                <c:pt idx="131">
                  <c:v>2.1599133732342162E-2</c:v>
                </c:pt>
                <c:pt idx="132">
                  <c:v>2.1170893802973455E-2</c:v>
                </c:pt>
                <c:pt idx="133">
                  <c:v>2.0757248596228472E-2</c:v>
                </c:pt>
                <c:pt idx="134">
                  <c:v>2.0358189497284164E-2</c:v>
                </c:pt>
                <c:pt idx="135">
                  <c:v>1.9977796147738962E-2</c:v>
                </c:pt>
                <c:pt idx="136">
                  <c:v>1.9604867694043841E-2</c:v>
                </c:pt>
                <c:pt idx="137">
                  <c:v>1.9239402218317193E-2</c:v>
                </c:pt>
                <c:pt idx="138">
                  <c:v>1.8881397677876981E-2</c:v>
                </c:pt>
                <c:pt idx="139">
                  <c:v>1.8530851889464763E-2</c:v>
                </c:pt>
                <c:pt idx="140">
                  <c:v>1.8187762512394349E-2</c:v>
                </c:pt>
                <c:pt idx="141">
                  <c:v>1.7858080308778088E-2</c:v>
                </c:pt>
                <c:pt idx="142">
                  <c:v>1.753841253048977E-2</c:v>
                </c:pt>
                <c:pt idx="143">
                  <c:v>1.722868049217793E-2</c:v>
                </c:pt>
                <c:pt idx="144">
                  <c:v>1.6928912090269369E-2</c:v>
                </c:pt>
                <c:pt idx="145">
                  <c:v>1.6639132425187334E-2</c:v>
                </c:pt>
                <c:pt idx="146">
                  <c:v>1.6359363935809307E-2</c:v>
                </c:pt>
                <c:pt idx="147">
                  <c:v>1.6089626534497276E-2</c:v>
                </c:pt>
                <c:pt idx="148">
                  <c:v>1.5829937741719837E-2</c:v>
                </c:pt>
                <c:pt idx="149">
                  <c:v>1.5582592322385274E-2</c:v>
                </c:pt>
                <c:pt idx="150">
                  <c:v>1.53435398065951E-2</c:v>
                </c:pt>
                <c:pt idx="151">
                  <c:v>1.5112794458075698E-2</c:v>
                </c:pt>
                <c:pt idx="152">
                  <c:v>1.4890368799007748E-2</c:v>
                </c:pt>
                <c:pt idx="153">
                  <c:v>1.4676273720667678E-2</c:v>
                </c:pt>
                <c:pt idx="154">
                  <c:v>1.4470518594154127E-2</c:v>
                </c:pt>
                <c:pt idx="155">
                  <c:v>1.4279338530942369E-2</c:v>
                </c:pt>
                <c:pt idx="156">
                  <c:v>1.4096824951539796E-2</c:v>
                </c:pt>
                <c:pt idx="157">
                  <c:v>1.3922982676073316E-2</c:v>
                </c:pt>
                <c:pt idx="158">
                  <c:v>1.3757815478806508E-2</c:v>
                </c:pt>
                <c:pt idx="159">
                  <c:v>1.3601326203097825E-2</c:v>
                </c:pt>
                <c:pt idx="160">
                  <c:v>1.3453516876529853E-2</c:v>
                </c:pt>
                <c:pt idx="161">
                  <c:v>1.3314388825881551E-2</c:v>
                </c:pt>
                <c:pt idx="162">
                  <c:v>1.3183942792175501E-2</c:v>
                </c:pt>
                <c:pt idx="163">
                  <c:v>1.3067271298774856E-2</c:v>
                </c:pt>
                <c:pt idx="164">
                  <c:v>1.2962106482397354E-2</c:v>
                </c:pt>
                <c:pt idx="165">
                  <c:v>1.2868442982835526E-2</c:v>
                </c:pt>
                <c:pt idx="166">
                  <c:v>1.2786275506986411E-2</c:v>
                </c:pt>
                <c:pt idx="167">
                  <c:v>1.2715598982215666E-2</c:v>
                </c:pt>
                <c:pt idx="168">
                  <c:v>1.2656408710132771E-2</c:v>
                </c:pt>
                <c:pt idx="169">
                  <c:v>1.2613774734985308E-2</c:v>
                </c:pt>
                <c:pt idx="170">
                  <c:v>1.2581514784045055E-2</c:v>
                </c:pt>
                <c:pt idx="171">
                  <c:v>1.2559628205556724E-2</c:v>
                </c:pt>
                <c:pt idx="172">
                  <c:v>1.2548115245636076E-2</c:v>
                </c:pt>
                <c:pt idx="173">
                  <c:v>1.2546848881176725E-2</c:v>
                </c:pt>
                <c:pt idx="174">
                  <c:v>1.2555696091172611E-2</c:v>
                </c:pt>
                <c:pt idx="175">
                  <c:v>1.2574648895664346E-2</c:v>
                </c:pt>
                <c:pt idx="176">
                  <c:v>1.2603699381525314E-2</c:v>
                </c:pt>
                <c:pt idx="177">
                  <c:v>1.2648988244835837E-2</c:v>
                </c:pt>
                <c:pt idx="178">
                  <c:v>1.2705447790243509E-2</c:v>
                </c:pt>
                <c:pt idx="179">
                  <c:v>1.2773069072006812E-2</c:v>
                </c:pt>
                <c:pt idx="180">
                  <c:v>1.285184348427613E-2</c:v>
                </c:pt>
                <c:pt idx="181">
                  <c:v>1.2941762826782135E-2</c:v>
                </c:pt>
                <c:pt idx="182">
                  <c:v>1.304281937063524E-2</c:v>
                </c:pt>
                <c:pt idx="183">
                  <c:v>1.3157241808846297E-2</c:v>
                </c:pt>
                <c:pt idx="184">
                  <c:v>1.3279984308791503E-2</c:v>
                </c:pt>
                <c:pt idx="185">
                  <c:v>1.3411044957091871E-2</c:v>
                </c:pt>
                <c:pt idx="186">
                  <c:v>1.355042246570509E-2</c:v>
                </c:pt>
                <c:pt idx="187">
                  <c:v>1.3698116221239892E-2</c:v>
                </c:pt>
                <c:pt idx="188">
                  <c:v>1.3854126334353699E-2</c:v>
                </c:pt>
                <c:pt idx="189">
                  <c:v>1.4018453688732148E-2</c:v>
                </c:pt>
                <c:pt idx="190">
                  <c:v>1.4191099990653891E-2</c:v>
                </c:pt>
                <c:pt idx="191">
                  <c:v>1.4377862118249082E-2</c:v>
                </c:pt>
                <c:pt idx="192">
                  <c:v>1.457263076650424E-2</c:v>
                </c:pt>
                <c:pt idx="193">
                  <c:v>1.4775410973758819E-2</c:v>
                </c:pt>
                <c:pt idx="194">
                  <c:v>1.4986208789609998E-2</c:v>
                </c:pt>
                <c:pt idx="195">
                  <c:v>1.5205031322645631E-2</c:v>
                </c:pt>
                <c:pt idx="196">
                  <c:v>1.5431886787611475E-2</c:v>
                </c:pt>
                <c:pt idx="197">
                  <c:v>1.5670745268224914E-2</c:v>
                </c:pt>
                <c:pt idx="198">
                  <c:v>1.5919391386169341E-2</c:v>
                </c:pt>
                <c:pt idx="199">
                  <c:v>1.6177835438299835E-2</c:v>
                </c:pt>
                <c:pt idx="200">
                  <c:v>1.6446089184573614E-2</c:v>
                </c:pt>
                <c:pt idx="201">
                  <c:v>1.6724165905599796E-2</c:v>
                </c:pt>
                <c:pt idx="202">
                  <c:v>1.7012080460272E-2</c:v>
                </c:pt>
                <c:pt idx="203">
                  <c:v>1.7309849343779521E-2</c:v>
                </c:pt>
                <c:pt idx="204">
                  <c:v>1.7617462295772816E-2</c:v>
                </c:pt>
                <c:pt idx="205">
                  <c:v>1.793808252294208E-2</c:v>
                </c:pt>
                <c:pt idx="206">
                  <c:v>1.826594282199959E-2</c:v>
                </c:pt>
                <c:pt idx="207">
                  <c:v>1.8601046695869834E-2</c:v>
                </c:pt>
                <c:pt idx="208">
                  <c:v>1.8943397817057492E-2</c:v>
                </c:pt>
                <c:pt idx="209">
                  <c:v>1.9293000005276586E-2</c:v>
                </c:pt>
                <c:pt idx="210">
                  <c:v>1.9649857205711864E-2</c:v>
                </c:pt>
                <c:pt idx="211">
                  <c:v>2.0024777324200244E-2</c:v>
                </c:pt>
                <c:pt idx="212">
                  <c:v>2.0413813192186679E-2</c:v>
                </c:pt>
                <c:pt idx="213">
                  <c:v>2.0816966746703375E-2</c:v>
                </c:pt>
                <c:pt idx="214">
                  <c:v>2.1234240421830433E-2</c:v>
                </c:pt>
                <c:pt idx="215">
                  <c:v>2.1665637105334562E-2</c:v>
                </c:pt>
                <c:pt idx="216">
                  <c:v>2.211116009523546E-2</c:v>
                </c:pt>
                <c:pt idx="217">
                  <c:v>2.2570813056457566E-2</c:v>
                </c:pt>
                <c:pt idx="218">
                  <c:v>2.304459997736218E-2</c:v>
                </c:pt>
                <c:pt idx="219">
                  <c:v>2.3545431153286313E-2</c:v>
                </c:pt>
                <c:pt idx="220">
                  <c:v>2.4070130648408086E-2</c:v>
                </c:pt>
                <c:pt idx="221">
                  <c:v>2.4618702219982917E-2</c:v>
                </c:pt>
                <c:pt idx="222">
                  <c:v>2.5191150286376869E-2</c:v>
                </c:pt>
                <c:pt idx="223">
                  <c:v>2.5787479853836792E-2</c:v>
                </c:pt>
                <c:pt idx="224">
                  <c:v>2.6407696442678416E-2</c:v>
                </c:pt>
                <c:pt idx="225">
                  <c:v>2.706422238374482E-2</c:v>
                </c:pt>
                <c:pt idx="226">
                  <c:v>2.7746270830652786E-2</c:v>
                </c:pt>
                <c:pt idx="227">
                  <c:v>2.8453848706956213E-2</c:v>
                </c:pt>
                <c:pt idx="228">
                  <c:v>2.9186963210306199E-2</c:v>
                </c:pt>
                <c:pt idx="229">
                  <c:v>2.9945621733428612E-2</c:v>
                </c:pt>
                <c:pt idx="230">
                  <c:v>3.0729831785539265E-2</c:v>
                </c:pt>
                <c:pt idx="231">
                  <c:v>3.153960091388535E-2</c:v>
                </c:pt>
                <c:pt idx="232">
                  <c:v>3.2374936624631388E-2</c:v>
                </c:pt>
                <c:pt idx="233">
                  <c:v>3.3248349166792049E-2</c:v>
                </c:pt>
                <c:pt idx="234">
                  <c:v>3.4146941132195685E-2</c:v>
                </c:pt>
                <c:pt idx="235">
                  <c:v>3.5070747856720534E-2</c:v>
                </c:pt>
                <c:pt idx="236">
                  <c:v>3.6019819049934766E-2</c:v>
                </c:pt>
                <c:pt idx="237">
                  <c:v>3.6994184640103595E-2</c:v>
                </c:pt>
                <c:pt idx="238">
                  <c:v>3.7993876250270051E-2</c:v>
                </c:pt>
                <c:pt idx="239">
                  <c:v>3.9038517486990318E-2</c:v>
                </c:pt>
                <c:pt idx="240">
                  <c:v>4.011572430126157E-2</c:v>
                </c:pt>
                <c:pt idx="241">
                  <c:v>4.122553618962968E-2</c:v>
                </c:pt>
                <c:pt idx="242">
                  <c:v>4.2367994863838111E-2</c:v>
                </c:pt>
                <c:pt idx="243">
                  <c:v>4.3543144307843111E-2</c:v>
                </c:pt>
                <c:pt idx="244">
                  <c:v>4.4751030834629175E-2</c:v>
                </c:pt>
                <c:pt idx="245">
                  <c:v>4.5991703142565746E-2</c:v>
                </c:pt>
                <c:pt idx="246">
                  <c:v>4.7265212371641656E-2</c:v>
                </c:pt>
                <c:pt idx="247">
                  <c:v>4.8603395761438774E-2</c:v>
                </c:pt>
                <c:pt idx="248">
                  <c:v>4.999380286119387E-2</c:v>
                </c:pt>
                <c:pt idx="249">
                  <c:v>5.1436502755092962E-2</c:v>
                </c:pt>
                <c:pt idx="250">
                  <c:v>5.2931568268324534E-2</c:v>
                </c:pt>
                <c:pt idx="251">
                  <c:v>5.4479076059042494E-2</c:v>
                </c:pt>
                <c:pt idx="252">
                  <c:v>5.6079106708176896E-2</c:v>
                </c:pt>
                <c:pt idx="253">
                  <c:v>5.776866704193856E-2</c:v>
                </c:pt>
                <c:pt idx="254">
                  <c:v>5.9528235515464323E-2</c:v>
                </c:pt>
                <c:pt idx="255">
                  <c:v>6.1357917542545722E-2</c:v>
                </c:pt>
                <c:pt idx="256">
                  <c:v>6.3257823900334686E-2</c:v>
                </c:pt>
                <c:pt idx="257">
                  <c:v>6.5228070849894251E-2</c:v>
                </c:pt>
                <c:pt idx="258">
                  <c:v>6.7268780257296948E-2</c:v>
                </c:pt>
                <c:pt idx="259">
                  <c:v>6.9380079715689519E-2</c:v>
                </c:pt>
                <c:pt idx="260">
                  <c:v>7.1562102665362629E-2</c:v>
                </c:pt>
                <c:pt idx="261">
                  <c:v>7.3860086509163592E-2</c:v>
                </c:pt>
                <c:pt idx="262">
                  <c:v>7.6242327123917569E-2</c:v>
                </c:pt>
                <c:pt idx="263">
                  <c:v>7.8708989868365289E-2</c:v>
                </c:pt>
                <c:pt idx="264">
                  <c:v>8.1260251279899012E-2</c:v>
                </c:pt>
                <c:pt idx="265">
                  <c:v>8.3896745384239108E-2</c:v>
                </c:pt>
                <c:pt idx="266">
                  <c:v>8.6618944806659465E-2</c:v>
                </c:pt>
                <c:pt idx="267">
                  <c:v>8.94867598901571E-2</c:v>
                </c:pt>
                <c:pt idx="268">
                  <c:v>9.2463326348771149E-2</c:v>
                </c:pt>
                <c:pt idx="269">
                  <c:v>9.5548819661389256E-2</c:v>
                </c:pt>
                <c:pt idx="270">
                  <c:v>9.874341268275362E-2</c:v>
                </c:pt>
                <c:pt idx="271">
                  <c:v>0.10204727448534473</c:v>
                </c:pt>
                <c:pt idx="272">
                  <c:v>0.1054605692037795</c:v>
                </c:pt>
                <c:pt idx="273">
                  <c:v>0.10898345487796744</c:v>
                </c:pt>
                <c:pt idx="274">
                  <c:v>0.11261608229761781</c:v>
                </c:pt>
                <c:pt idx="275">
                  <c:v>0.116438752311463</c:v>
                </c:pt>
                <c:pt idx="276">
                  <c:v>0.12040634693301301</c:v>
                </c:pt>
                <c:pt idx="277">
                  <c:v>0.12451904239669245</c:v>
                </c:pt>
                <c:pt idx="278">
                  <c:v>0.12877700413781459</c:v>
                </c:pt>
                <c:pt idx="279">
                  <c:v>0.13318038525373999</c:v>
                </c:pt>
                <c:pt idx="280">
                  <c:v>0.13772932496624091</c:v>
                </c:pt>
                <c:pt idx="281">
                  <c:v>0.14239114804981143</c:v>
                </c:pt>
                <c:pt idx="282">
                  <c:v>0.14710572533629815</c:v>
                </c:pt>
                <c:pt idx="283">
                  <c:v>0.1518729992029039</c:v>
                </c:pt>
                <c:pt idx="284">
                  <c:v>0.15669289200151207</c:v>
                </c:pt>
                <c:pt idx="285">
                  <c:v>0.16156530553713808</c:v>
                </c:pt>
                <c:pt idx="286">
                  <c:v>0.16649012054787485</c:v>
                </c:pt>
                <c:pt idx="287">
                  <c:v>0.17146719618332701</c:v>
                </c:pt>
                <c:pt idx="288">
                  <c:v>0.17649636948361258</c:v>
                </c:pt>
                <c:pt idx="289">
                  <c:v>0.18148743106479684</c:v>
                </c:pt>
                <c:pt idx="290">
                  <c:v>0.18635926027107724</c:v>
                </c:pt>
                <c:pt idx="291">
                  <c:v>0.19111137446305573</c:v>
                </c:pt>
                <c:pt idx="292">
                  <c:v>0.1957432758794109</c:v>
                </c:pt>
                <c:pt idx="293">
                  <c:v>0.20025445297781513</c:v>
                </c:pt>
                <c:pt idx="294">
                  <c:v>0.2046443817751587</c:v>
                </c:pt>
                <c:pt idx="295">
                  <c:v>0.2088522164219552</c:v>
                </c:pt>
                <c:pt idx="296">
                  <c:v>0.21291295627214485</c:v>
                </c:pt>
                <c:pt idx="297">
                  <c:v>0.21682798274510592</c:v>
                </c:pt>
                <c:pt idx="298">
                  <c:v>0.22059696326816125</c:v>
                </c:pt>
                <c:pt idx="299">
                  <c:v>0.22421954616443271</c:v>
                </c:pt>
                <c:pt idx="300">
                  <c:v>0.22769536204510846</c:v>
                </c:pt>
                <c:pt idx="301">
                  <c:v>0.23102402520104498</c:v>
                </c:pt>
                <c:pt idx="302">
                  <c:v>0.23420513499486972</c:v>
                </c:pt>
                <c:pt idx="303">
                  <c:v>0.23715563793908367</c:v>
                </c:pt>
                <c:pt idx="304">
                  <c:v>0.23996565209823129</c:v>
                </c:pt>
                <c:pt idx="305">
                  <c:v>0.24263475195103115</c:v>
                </c:pt>
                <c:pt idx="306">
                  <c:v>0.24516250284596672</c:v>
                </c:pt>
                <c:pt idx="307">
                  <c:v>0.24754846232016967</c:v>
                </c:pt>
                <c:pt idx="308">
                  <c:v>0.24979218141623055</c:v>
                </c:pt>
                <c:pt idx="309">
                  <c:v>0.2518188431202612</c:v>
                </c:pt>
                <c:pt idx="310">
                  <c:v>0.25368864436049748</c:v>
                </c:pt>
                <c:pt idx="311">
                  <c:v>0.25540110750293327</c:v>
                </c:pt>
                <c:pt idx="312">
                  <c:v>0.25695575454253111</c:v>
                </c:pt>
                <c:pt idx="313">
                  <c:v>0.25835210854785645</c:v>
                </c:pt>
                <c:pt idx="314">
                  <c:v>0.25958969510337593</c:v>
                </c:pt>
                <c:pt idx="315">
                  <c:v>0.26066804375499586</c:v>
                </c:pt>
                <c:pt idx="316">
                  <c:v>0.26158668945160435</c:v>
                </c:pt>
                <c:pt idx="317">
                  <c:v>0.26220650141414786</c:v>
                </c:pt>
                <c:pt idx="318">
                  <c:v>0.26261006106170159</c:v>
                </c:pt>
                <c:pt idx="319">
                  <c:v>0.26279687245694139</c:v>
                </c:pt>
                <c:pt idx="320">
                  <c:v>0.26276645612433175</c:v>
                </c:pt>
                <c:pt idx="321">
                  <c:v>0.26251835100233362</c:v>
                </c:pt>
                <c:pt idx="322">
                  <c:v>0.26205211639671816</c:v>
                </c:pt>
                <c:pt idx="323">
                  <c:v>0.26132898749639427</c:v>
                </c:pt>
                <c:pt idx="324">
                  <c:v>0.26042333182825039</c:v>
                </c:pt>
                <c:pt idx="325">
                  <c:v>0.25933479783433544</c:v>
                </c:pt>
                <c:pt idx="326">
                  <c:v>0.25806145320118967</c:v>
                </c:pt>
                <c:pt idx="327">
                  <c:v>0.2566024924066781</c:v>
                </c:pt>
                <c:pt idx="328">
                  <c:v>0.25495846527798716</c:v>
                </c:pt>
                <c:pt idx="329">
                  <c:v>0.25312993712776255</c:v>
                </c:pt>
                <c:pt idx="330">
                  <c:v>0.25111748505797499</c:v>
                </c:pt>
                <c:pt idx="331">
                  <c:v>0.24901965713336804</c:v>
                </c:pt>
                <c:pt idx="332">
                  <c:v>0.24697626878648374</c:v>
                </c:pt>
                <c:pt idx="333">
                  <c:v>0.24498796319761929</c:v>
                </c:pt>
                <c:pt idx="334">
                  <c:v>0.24305536064021777</c:v>
                </c:pt>
                <c:pt idx="335">
                  <c:v>0.24117905972171516</c:v>
                </c:pt>
                <c:pt idx="336">
                  <c:v>0.23935963862114104</c:v>
                </c:pt>
                <c:pt idx="337">
                  <c:v>0.23766087579400336</c:v>
                </c:pt>
                <c:pt idx="338">
                  <c:v>0.23612174163500321</c:v>
                </c:pt>
                <c:pt idx="339">
                  <c:v>0.23474276728833485</c:v>
                </c:pt>
                <c:pt idx="340">
                  <c:v>0.23352446767506932</c:v>
                </c:pt>
                <c:pt idx="341">
                  <c:v>0.23246734484631984</c:v>
                </c:pt>
                <c:pt idx="342">
                  <c:v>0.23157189133619493</c:v>
                </c:pt>
                <c:pt idx="343">
                  <c:v>0.23083859351195454</c:v>
                </c:pt>
                <c:pt idx="344">
                  <c:v>0.23026793492782319</c:v>
                </c:pt>
                <c:pt idx="345">
                  <c:v>0.22986039967634786</c:v>
                </c:pt>
                <c:pt idx="346">
                  <c:v>0.22952099215366886</c:v>
                </c:pt>
                <c:pt idx="347">
                  <c:v>0.22925018856121288</c:v>
                </c:pt>
                <c:pt idx="348">
                  <c:v>0.22904846736748072</c:v>
                </c:pt>
                <c:pt idx="349">
                  <c:v>0.22891631067353366</c:v>
                </c:pt>
                <c:pt idx="350">
                  <c:v>0.22885420558384612</c:v>
                </c:pt>
                <c:pt idx="351">
                  <c:v>0.22886519131019745</c:v>
                </c:pt>
                <c:pt idx="352">
                  <c:v>0.22888649107800468</c:v>
                </c:pt>
                <c:pt idx="353">
                  <c:v>0.2289185817321846</c:v>
                </c:pt>
                <c:pt idx="354">
                  <c:v>0.22896194077850168</c:v>
                </c:pt>
                <c:pt idx="355">
                  <c:v>0.22901704647789373</c:v>
                </c:pt>
                <c:pt idx="356">
                  <c:v>0.22908453626294498</c:v>
                </c:pt>
                <c:pt idx="357">
                  <c:v>0.22916437972735731</c:v>
                </c:pt>
                <c:pt idx="358">
                  <c:v>0.22925599535943106</c:v>
                </c:pt>
                <c:pt idx="359">
                  <c:v>0.22935880240299722</c:v>
                </c:pt>
                <c:pt idx="360">
                  <c:v>0.22953564493734543</c:v>
                </c:pt>
                <c:pt idx="361">
                  <c:v>0.22978346727750593</c:v>
                </c:pt>
                <c:pt idx="362">
                  <c:v>0.23010177104483337</c:v>
                </c:pt>
                <c:pt idx="363">
                  <c:v>0.23049006338309111</c:v>
                </c:pt>
                <c:pt idx="364">
                  <c:v>0.23094785527390504</c:v>
                </c:pt>
                <c:pt idx="365">
                  <c:v>0.2314746598494026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8539056"/>
        <c:axId val="328539448"/>
      </c:lineChart>
      <c:dateAx>
        <c:axId val="328539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8539448"/>
        <c:crosses val="autoZero"/>
        <c:auto val="1"/>
        <c:lblOffset val="100"/>
        <c:baseTimeUnit val="days"/>
      </c:dateAx>
      <c:valAx>
        <c:axId val="3285394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8539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540232"/>
        <c:axId val="328540624"/>
      </c:scatterChart>
      <c:valAx>
        <c:axId val="328540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8540624"/>
        <c:crosses val="autoZero"/>
        <c:crossBetween val="midCat"/>
      </c:valAx>
      <c:valAx>
        <c:axId val="32854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85402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25.131078508933044</c:v>
                </c:pt>
                <c:pt idx="1">
                  <c:v>25.280457316583089</c:v>
                </c:pt>
                <c:pt idx="2">
                  <c:v>25.440048491055599</c:v>
                </c:pt>
                <c:pt idx="3">
                  <c:v>25.609554258322923</c:v>
                </c:pt>
                <c:pt idx="4">
                  <c:v>25.788676832025423</c:v>
                </c:pt>
                <c:pt idx="5">
                  <c:v>25.977118434423002</c:v>
                </c:pt>
                <c:pt idx="6">
                  <c:v>26.174581281378352</c:v>
                </c:pt>
                <c:pt idx="7">
                  <c:v>26.380767593982405</c:v>
                </c:pt>
                <c:pt idx="8">
                  <c:v>26.597210735862319</c:v>
                </c:pt>
                <c:pt idx="9">
                  <c:v>26.825199316077281</c:v>
                </c:pt>
                <c:pt idx="10">
                  <c:v>27.064068425898419</c:v>
                </c:pt>
                <c:pt idx="11">
                  <c:v>27.313153160446017</c:v>
                </c:pt>
                <c:pt idx="12">
                  <c:v>27.57178860925886</c:v>
                </c:pt>
                <c:pt idx="13">
                  <c:v>27.839309864999553</c:v>
                </c:pt>
                <c:pt idx="14">
                  <c:v>28.115052020785818</c:v>
                </c:pt>
                <c:pt idx="15">
                  <c:v>28.398350168823313</c:v>
                </c:pt>
                <c:pt idx="16">
                  <c:v>28.688539400705011</c:v>
                </c:pt>
                <c:pt idx="17">
                  <c:v>28.984954807148981</c:v>
                </c:pt>
                <c:pt idx="18">
                  <c:v>29.286931482137966</c:v>
                </c:pt>
                <c:pt idx="19">
                  <c:v>29.593804516907543</c:v>
                </c:pt>
                <c:pt idx="20">
                  <c:v>29.904909004657092</c:v>
                </c:pt>
                <c:pt idx="21">
                  <c:v>30.219580035656691</c:v>
                </c:pt>
                <c:pt idx="22">
                  <c:v>30.539729625078117</c:v>
                </c:pt>
                <c:pt idx="23">
                  <c:v>30.867280590321336</c:v>
                </c:pt>
                <c:pt idx="24">
                  <c:v>31.201584228542302</c:v>
                </c:pt>
                <c:pt idx="25">
                  <c:v>31.541991836504476</c:v>
                </c:pt>
                <c:pt idx="26">
                  <c:v>31.887854713495887</c:v>
                </c:pt>
                <c:pt idx="27">
                  <c:v>32.238524157949726</c:v>
                </c:pt>
                <c:pt idx="28">
                  <c:v>32.593351465486919</c:v>
                </c:pt>
                <c:pt idx="29">
                  <c:v>32.951687936298548</c:v>
                </c:pt>
                <c:pt idx="30">
                  <c:v>33.312884867099847</c:v>
                </c:pt>
                <c:pt idx="31">
                  <c:v>33.676293555919877</c:v>
                </c:pt>
                <c:pt idx="32">
                  <c:v>34.041265299997761</c:v>
                </c:pt>
                <c:pt idx="33">
                  <c:v>34.40715139793631</c:v>
                </c:pt>
                <c:pt idx="34">
                  <c:v>34.773303147611607</c:v>
                </c:pt>
                <c:pt idx="35">
                  <c:v>35.139071846450676</c:v>
                </c:pt>
                <c:pt idx="36">
                  <c:v>35.506199168434669</c:v>
                </c:pt>
                <c:pt idx="37">
                  <c:v>35.87660635363676</c:v>
                </c:pt>
                <c:pt idx="38">
                  <c:v>36.24991404932932</c:v>
                </c:pt>
                <c:pt idx="39">
                  <c:v>36.625742902116123</c:v>
                </c:pt>
                <c:pt idx="40">
                  <c:v>37.003713560092734</c:v>
                </c:pt>
                <c:pt idx="41">
                  <c:v>37.383446670332759</c:v>
                </c:pt>
                <c:pt idx="42">
                  <c:v>37.764562879776349</c:v>
                </c:pt>
                <c:pt idx="43">
                  <c:v>38.146682835949051</c:v>
                </c:pt>
                <c:pt idx="44">
                  <c:v>38.529427186107824</c:v>
                </c:pt>
                <c:pt idx="45">
                  <c:v>38.912416577558702</c:v>
                </c:pt>
                <c:pt idx="46">
                  <c:v>39.295271657133711</c:v>
                </c:pt>
                <c:pt idx="47">
                  <c:v>39.677613072654438</c:v>
                </c:pt>
                <c:pt idx="48">
                  <c:v>40.05906147121236</c:v>
                </c:pt>
                <c:pt idx="49">
                  <c:v>40.439237499760928</c:v>
                </c:pt>
                <c:pt idx="50">
                  <c:v>40.819772571732344</c:v>
                </c:pt>
                <c:pt idx="51">
                  <c:v>41.202363483800681</c:v>
                </c:pt>
                <c:pt idx="52">
                  <c:v>41.58672895853524</c:v>
                </c:pt>
                <c:pt idx="53">
                  <c:v>41.972587718430447</c:v>
                </c:pt>
                <c:pt idx="54">
                  <c:v>42.359658486541178</c:v>
                </c:pt>
                <c:pt idx="55">
                  <c:v>42.74765998533195</c:v>
                </c:pt>
                <c:pt idx="56">
                  <c:v>43.13631093751755</c:v>
                </c:pt>
                <c:pt idx="57">
                  <c:v>43.525330065401178</c:v>
                </c:pt>
                <c:pt idx="58">
                  <c:v>43.914436092258882</c:v>
                </c:pt>
                <c:pt idx="59">
                  <c:v>44.303347740432116</c:v>
                </c:pt>
                <c:pt idx="60">
                  <c:v>44.691783732609068</c:v>
                </c:pt>
                <c:pt idx="61">
                  <c:v>45.079462791457942</c:v>
                </c:pt>
                <c:pt idx="62">
                  <c:v>45.466103639709758</c:v>
                </c:pt>
                <c:pt idx="63">
                  <c:v>45.851424999907607</c:v>
                </c:pt>
                <c:pt idx="64">
                  <c:v>46.236944168972386</c:v>
                </c:pt>
                <c:pt idx="65">
                  <c:v>46.624073250496963</c:v>
                </c:pt>
                <c:pt idx="66">
                  <c:v>47.012373177772886</c:v>
                </c:pt>
                <c:pt idx="67">
                  <c:v>47.401404883293438</c:v>
                </c:pt>
                <c:pt idx="68">
                  <c:v>47.790729300223759</c:v>
                </c:pt>
                <c:pt idx="69">
                  <c:v>48.179907361373935</c:v>
                </c:pt>
                <c:pt idx="70">
                  <c:v>48.568499999708727</c:v>
                </c:pt>
                <c:pt idx="71">
                  <c:v>48.956068148716753</c:v>
                </c:pt>
                <c:pt idx="72">
                  <c:v>49.342172740249325</c:v>
                </c:pt>
                <c:pt idx="73">
                  <c:v>49.726374708389628</c:v>
                </c:pt>
                <c:pt idx="74">
                  <c:v>50.108234985312023</c:v>
                </c:pt>
                <c:pt idx="75">
                  <c:v>50.487314503929312</c:v>
                </c:pt>
                <c:pt idx="76">
                  <c:v>50.863174198249808</c:v>
                </c:pt>
                <c:pt idx="77">
                  <c:v>51.235374999634224</c:v>
                </c:pt>
                <c:pt idx="78">
                  <c:v>51.605261552543794</c:v>
                </c:pt>
                <c:pt idx="79">
                  <c:v>51.974141909280192</c:v>
                </c:pt>
                <c:pt idx="80">
                  <c:v>52.341522121051511</c:v>
                </c:pt>
                <c:pt idx="81">
                  <c:v>52.706908236196199</c:v>
                </c:pt>
                <c:pt idx="82">
                  <c:v>53.069806304154504</c:v>
                </c:pt>
                <c:pt idx="83">
                  <c:v>53.429722376107904</c:v>
                </c:pt>
                <c:pt idx="84">
                  <c:v>53.786162499955395</c:v>
                </c:pt>
                <c:pt idx="85">
                  <c:v>54.138632726335025</c:v>
                </c:pt>
                <c:pt idx="86">
                  <c:v>54.486639103062245</c:v>
                </c:pt>
                <c:pt idx="87">
                  <c:v>54.829687682103497</c:v>
                </c:pt>
                <c:pt idx="88">
                  <c:v>55.167284511721149</c:v>
                </c:pt>
                <c:pt idx="89">
                  <c:v>55.498935641424865</c:v>
                </c:pt>
                <c:pt idx="90">
                  <c:v>55.824147120373837</c:v>
                </c:pt>
                <c:pt idx="91">
                  <c:v>56.142424999084326</c:v>
                </c:pt>
                <c:pt idx="92">
                  <c:v>56.454817779555121</c:v>
                </c:pt>
                <c:pt idx="93">
                  <c:v>56.762524891139137</c:v>
                </c:pt>
                <c:pt idx="94">
                  <c:v>57.065278776096449</c:v>
                </c:pt>
                <c:pt idx="95">
                  <c:v>57.362811880691773</c:v>
                </c:pt>
                <c:pt idx="96">
                  <c:v>57.65485664612082</c:v>
                </c:pt>
                <c:pt idx="97">
                  <c:v>57.941145517011833</c:v>
                </c:pt>
                <c:pt idx="98">
                  <c:v>58.221410937095058</c:v>
                </c:pt>
                <c:pt idx="99">
                  <c:v>58.495385349528597</c:v>
                </c:pt>
                <c:pt idx="100">
                  <c:v>58.762801197756616</c:v>
                </c:pt>
                <c:pt idx="101">
                  <c:v>59.023390925515976</c:v>
                </c:pt>
                <c:pt idx="102">
                  <c:v>59.27688697562553</c:v>
                </c:pt>
                <c:pt idx="103">
                  <c:v>59.523021792660337</c:v>
                </c:pt>
                <c:pt idx="104">
                  <c:v>59.761527819252969</c:v>
                </c:pt>
                <c:pt idx="105">
                  <c:v>59.992137499712406</c:v>
                </c:pt>
                <c:pt idx="106">
                  <c:v>60.215243021159303</c:v>
                </c:pt>
                <c:pt idx="107">
                  <c:v>60.43144238330423</c:v>
                </c:pt>
                <c:pt idx="108">
                  <c:v>60.640776749114906</c:v>
                </c:pt>
                <c:pt idx="109">
                  <c:v>60.843287281851687</c:v>
                </c:pt>
                <c:pt idx="110">
                  <c:v>61.039015142034202</c:v>
                </c:pt>
                <c:pt idx="111">
                  <c:v>61.228001493721138</c:v>
                </c:pt>
                <c:pt idx="112">
                  <c:v>61.410287500172856</c:v>
                </c:pt>
                <c:pt idx="113">
                  <c:v>61.585914322201695</c:v>
                </c:pt>
                <c:pt idx="114">
                  <c:v>61.754923123254315</c:v>
                </c:pt>
                <c:pt idx="115">
                  <c:v>61.91735506589923</c:v>
                </c:pt>
                <c:pt idx="116">
                  <c:v>62.073251311813614</c:v>
                </c:pt>
                <c:pt idx="117">
                  <c:v>62.222653025255667</c:v>
                </c:pt>
                <c:pt idx="118">
                  <c:v>62.365601366412434</c:v>
                </c:pt>
                <c:pt idx="119">
                  <c:v>62.502137499675158</c:v>
                </c:pt>
                <c:pt idx="120">
                  <c:v>62.631855516368525</c:v>
                </c:pt>
                <c:pt idx="121">
                  <c:v>62.75448214297316</c:v>
                </c:pt>
                <c:pt idx="122">
                  <c:v>62.870257493441123</c:v>
                </c:pt>
                <c:pt idx="123">
                  <c:v>62.979421683933047</c:v>
                </c:pt>
                <c:pt idx="124">
                  <c:v>63.082214827662604</c:v>
                </c:pt>
                <c:pt idx="125">
                  <c:v>63.178877040850267</c:v>
                </c:pt>
                <c:pt idx="126">
                  <c:v>63.269648437900472</c:v>
                </c:pt>
                <c:pt idx="127">
                  <c:v>63.354769132818497</c:v>
                </c:pt>
                <c:pt idx="128">
                  <c:v>63.434479241725057</c:v>
                </c:pt>
                <c:pt idx="129">
                  <c:v>63.509018878266218</c:v>
                </c:pt>
                <c:pt idx="130">
                  <c:v>63.578628157092524</c:v>
                </c:pt>
                <c:pt idx="131">
                  <c:v>63.643547193439943</c:v>
                </c:pt>
                <c:pt idx="132">
                  <c:v>63.70401610334271</c:v>
                </c:pt>
                <c:pt idx="133">
                  <c:v>63.760275000054392</c:v>
                </c:pt>
                <c:pt idx="134">
                  <c:v>63.811453753882752</c:v>
                </c:pt>
                <c:pt idx="135">
                  <c:v>63.856723396360351</c:v>
                </c:pt>
                <c:pt idx="136">
                  <c:v>63.896385787001677</c:v>
                </c:pt>
                <c:pt idx="137">
                  <c:v>63.930742784216989</c:v>
                </c:pt>
                <c:pt idx="138">
                  <c:v>63.960096246589501</c:v>
                </c:pt>
                <c:pt idx="139">
                  <c:v>63.984748032090387</c:v>
                </c:pt>
                <c:pt idx="140">
                  <c:v>64.005000000167627</c:v>
                </c:pt>
                <c:pt idx="141">
                  <c:v>64.021154009058534</c:v>
                </c:pt>
                <c:pt idx="142">
                  <c:v>64.033511916893929</c:v>
                </c:pt>
                <c:pt idx="143">
                  <c:v>64.042375583547567</c:v>
                </c:pt>
                <c:pt idx="144">
                  <c:v>64.048046865932918</c:v>
                </c:pt>
                <c:pt idx="145">
                  <c:v>64.050827624475858</c:v>
                </c:pt>
                <c:pt idx="146">
                  <c:v>64.051019715624193</c:v>
                </c:pt>
                <c:pt idx="147">
                  <c:v>64.048924999963504</c:v>
                </c:pt>
                <c:pt idx="148">
                  <c:v>64.043683636893661</c:v>
                </c:pt>
                <c:pt idx="149">
                  <c:v>64.03439919834824</c:v>
                </c:pt>
                <c:pt idx="150">
                  <c:v>64.021318658877036</c:v>
                </c:pt>
                <c:pt idx="151">
                  <c:v>64.004688994227237</c:v>
                </c:pt>
                <c:pt idx="152">
                  <c:v>63.984757179391039</c:v>
                </c:pt>
                <c:pt idx="153">
                  <c:v>63.961770189779678</c:v>
                </c:pt>
                <c:pt idx="154">
                  <c:v>63.935975000122561</c:v>
                </c:pt>
                <c:pt idx="155">
                  <c:v>63.907618585973978</c:v>
                </c:pt>
                <c:pt idx="156">
                  <c:v>63.876947922884888</c:v>
                </c:pt>
                <c:pt idx="157">
                  <c:v>63.844209985614626</c:v>
                </c:pt>
                <c:pt idx="158">
                  <c:v>63.809651749537863</c:v>
                </c:pt>
                <c:pt idx="159">
                  <c:v>63.773520189683353</c:v>
                </c:pt>
                <c:pt idx="160">
                  <c:v>63.736062281395846</c:v>
                </c:pt>
                <c:pt idx="161">
                  <c:v>63.697525000199676</c:v>
                </c:pt>
                <c:pt idx="162">
                  <c:v>63.657364085569441</c:v>
                </c:pt>
                <c:pt idx="163">
                  <c:v>63.614943804532025</c:v>
                </c:pt>
                <c:pt idx="164">
                  <c:v>63.570373924971292</c:v>
                </c:pt>
                <c:pt idx="165">
                  <c:v>63.52376421303488</c:v>
                </c:pt>
                <c:pt idx="166">
                  <c:v>63.475224435405934</c:v>
                </c:pt>
                <c:pt idx="167">
                  <c:v>63.42486435891395</c:v>
                </c:pt>
                <c:pt idx="168">
                  <c:v>63.372793749999261</c:v>
                </c:pt>
                <c:pt idx="169">
                  <c:v>63.319122376233075</c:v>
                </c:pt>
                <c:pt idx="170">
                  <c:v>63.263960003929341</c:v>
                </c:pt>
                <c:pt idx="171">
                  <c:v>63.207416399734619</c:v>
                </c:pt>
                <c:pt idx="172">
                  <c:v>63.149601330524973</c:v>
                </c:pt>
                <c:pt idx="173">
                  <c:v>63.090624562797267</c:v>
                </c:pt>
                <c:pt idx="174">
                  <c:v>63.03059586403625</c:v>
                </c:pt>
                <c:pt idx="175">
                  <c:v>62.969625000422823</c:v>
                </c:pt>
                <c:pt idx="176">
                  <c:v>62.907542748157212</c:v>
                </c:pt>
                <c:pt idx="177">
                  <c:v>62.84408841134448</c:v>
                </c:pt>
                <c:pt idx="178">
                  <c:v>62.779234548119291</c:v>
                </c:pt>
                <c:pt idx="179">
                  <c:v>62.712953717467769</c:v>
                </c:pt>
                <c:pt idx="180">
                  <c:v>62.645218476826059</c:v>
                </c:pt>
                <c:pt idx="181">
                  <c:v>62.576001385107105</c:v>
                </c:pt>
                <c:pt idx="182">
                  <c:v>62.505275000282566</c:v>
                </c:pt>
                <c:pt idx="183">
                  <c:v>62.433011880643399</c:v>
                </c:pt>
                <c:pt idx="184">
                  <c:v>62.359184584753322</c:v>
                </c:pt>
                <c:pt idx="185">
                  <c:v>62.283765670909943</c:v>
                </c:pt>
                <c:pt idx="186">
                  <c:v>62.206727696911955</c:v>
                </c:pt>
                <c:pt idx="187">
                  <c:v>62.128043221595831</c:v>
                </c:pt>
                <c:pt idx="188">
                  <c:v>62.047684803375574</c:v>
                </c:pt>
                <c:pt idx="189">
                  <c:v>61.965625000139696</c:v>
                </c:pt>
                <c:pt idx="190">
                  <c:v>61.882017028029075</c:v>
                </c:pt>
                <c:pt idx="191">
                  <c:v>61.796968367489583</c:v>
                </c:pt>
                <c:pt idx="192">
                  <c:v>61.710382972042346</c:v>
                </c:pt>
                <c:pt idx="193">
                  <c:v>61.622164795886988</c:v>
                </c:pt>
                <c:pt idx="194">
                  <c:v>61.532217793469314</c:v>
                </c:pt>
                <c:pt idx="195">
                  <c:v>61.440445918543261</c:v>
                </c:pt>
                <c:pt idx="196">
                  <c:v>61.346753125172114</c:v>
                </c:pt>
                <c:pt idx="197">
                  <c:v>61.25104336745239</c:v>
                </c:pt>
                <c:pt idx="198">
                  <c:v>61.153220599623666</c:v>
                </c:pt>
                <c:pt idx="199">
                  <c:v>61.053188775353405</c:v>
                </c:pt>
                <c:pt idx="200">
                  <c:v>60.950851849340168</c:v>
                </c:pt>
                <c:pt idx="201">
                  <c:v>60.84611377577032</c:v>
                </c:pt>
                <c:pt idx="202">
                  <c:v>60.738878507822363</c:v>
                </c:pt>
                <c:pt idx="203">
                  <c:v>60.629050000058484</c:v>
                </c:pt>
                <c:pt idx="204">
                  <c:v>60.516978134417769</c:v>
                </c:pt>
                <c:pt idx="205">
                  <c:v>60.403003644357831</c:v>
                </c:pt>
                <c:pt idx="206">
                  <c:v>60.28701676389403</c:v>
                </c:pt>
                <c:pt idx="207">
                  <c:v>60.168907726309925</c:v>
                </c:pt>
                <c:pt idx="208">
                  <c:v>60.048566763891301</c:v>
                </c:pt>
                <c:pt idx="209">
                  <c:v>59.925884110759938</c:v>
                </c:pt>
                <c:pt idx="210">
                  <c:v>59.800750000285916</c:v>
                </c:pt>
                <c:pt idx="211">
                  <c:v>59.67305466490798</c:v>
                </c:pt>
                <c:pt idx="212">
                  <c:v>59.542688338056081</c:v>
                </c:pt>
                <c:pt idx="213">
                  <c:v>59.409541253572598</c:v>
                </c:pt>
                <c:pt idx="214">
                  <c:v>59.273503644528269</c:v>
                </c:pt>
                <c:pt idx="215">
                  <c:v>59.134465743461618</c:v>
                </c:pt>
                <c:pt idx="216">
                  <c:v>58.99231778398223</c:v>
                </c:pt>
                <c:pt idx="217">
                  <c:v>58.84695000024513</c:v>
                </c:pt>
                <c:pt idx="218">
                  <c:v>58.698703124992818</c:v>
                </c:pt>
                <c:pt idx="219">
                  <c:v>58.547927041045796</c:v>
                </c:pt>
                <c:pt idx="220">
                  <c:v>58.394525701486103</c:v>
                </c:pt>
                <c:pt idx="221">
                  <c:v>58.238403061497962</c:v>
                </c:pt>
                <c:pt idx="222">
                  <c:v>58.079463073923918</c:v>
                </c:pt>
                <c:pt idx="223">
                  <c:v>57.917609693881658</c:v>
                </c:pt>
                <c:pt idx="224">
                  <c:v>57.752746875211599</c:v>
                </c:pt>
                <c:pt idx="225">
                  <c:v>57.584778571621115</c:v>
                </c:pt>
                <c:pt idx="226">
                  <c:v>57.413608737369742</c:v>
                </c:pt>
                <c:pt idx="227">
                  <c:v>57.239141326730277</c:v>
                </c:pt>
                <c:pt idx="228">
                  <c:v>57.06128029345669</c:v>
                </c:pt>
                <c:pt idx="229">
                  <c:v>56.87992959155568</c:v>
                </c:pt>
                <c:pt idx="230">
                  <c:v>56.694993175872206</c:v>
                </c:pt>
                <c:pt idx="231">
                  <c:v>56.506374999787653</c:v>
                </c:pt>
                <c:pt idx="232">
                  <c:v>56.314275159487238</c:v>
                </c:pt>
                <c:pt idx="233">
                  <c:v>56.118925765156739</c:v>
                </c:pt>
                <c:pt idx="234">
                  <c:v>55.920278795043544</c:v>
                </c:pt>
                <c:pt idx="235">
                  <c:v>55.718286224201854</c:v>
                </c:pt>
                <c:pt idx="236">
                  <c:v>55.512900031617448</c:v>
                </c:pt>
                <c:pt idx="237">
                  <c:v>55.304072193615141</c:v>
                </c:pt>
                <c:pt idx="238">
                  <c:v>55.091754687624046</c:v>
                </c:pt>
                <c:pt idx="239">
                  <c:v>54.875899489782746</c:v>
                </c:pt>
                <c:pt idx="240">
                  <c:v>54.656458578039221</c:v>
                </c:pt>
                <c:pt idx="241">
                  <c:v>54.433383928904576</c:v>
                </c:pt>
                <c:pt idx="242">
                  <c:v>54.206627519222508</c:v>
                </c:pt>
                <c:pt idx="243">
                  <c:v>53.976141326408836</c:v>
                </c:pt>
                <c:pt idx="244">
                  <c:v>53.741877327673137</c:v>
                </c:pt>
                <c:pt idx="245">
                  <c:v>53.50378750003874</c:v>
                </c:pt>
                <c:pt idx="246">
                  <c:v>53.26174492567911</c:v>
                </c:pt>
                <c:pt idx="247">
                  <c:v>53.015691290529702</c:v>
                </c:pt>
                <c:pt idx="248">
                  <c:v>52.765681477875589</c:v>
                </c:pt>
                <c:pt idx="249">
                  <c:v>52.511770371414187</c:v>
                </c:pt>
                <c:pt idx="250">
                  <c:v>52.254012855242145</c:v>
                </c:pt>
                <c:pt idx="251">
                  <c:v>51.992463811806275</c:v>
                </c:pt>
                <c:pt idx="252">
                  <c:v>51.727178124990317</c:v>
                </c:pt>
                <c:pt idx="253">
                  <c:v>51.458210678039386</c:v>
                </c:pt>
                <c:pt idx="254">
                  <c:v>51.185616354318327</c:v>
                </c:pt>
                <c:pt idx="255">
                  <c:v>50.909450036460264</c:v>
                </c:pt>
                <c:pt idx="256">
                  <c:v>50.629766608515226</c:v>
                </c:pt>
                <c:pt idx="257">
                  <c:v>50.346620954666292</c:v>
                </c:pt>
                <c:pt idx="258">
                  <c:v>50.060067957513297</c:v>
                </c:pt>
                <c:pt idx="259">
                  <c:v>49.770162499882282</c:v>
                </c:pt>
                <c:pt idx="260">
                  <c:v>49.476189955421226</c:v>
                </c:pt>
                <c:pt idx="261">
                  <c:v>49.177559183815688</c:v>
                </c:pt>
                <c:pt idx="262">
                  <c:v>48.87451030006175</c:v>
                </c:pt>
                <c:pt idx="263">
                  <c:v>48.567283418167577</c:v>
                </c:pt>
                <c:pt idx="264">
                  <c:v>48.256118654248496</c:v>
                </c:pt>
                <c:pt idx="265">
                  <c:v>47.941256122523924</c:v>
                </c:pt>
                <c:pt idx="266">
                  <c:v>47.622935937490546</c:v>
                </c:pt>
                <c:pt idx="267">
                  <c:v>47.301398214534856</c:v>
                </c:pt>
                <c:pt idx="268">
                  <c:v>46.976883067850054</c:v>
                </c:pt>
                <c:pt idx="269">
                  <c:v>46.649630612411841</c:v>
                </c:pt>
                <c:pt idx="270">
                  <c:v>46.319880963152642</c:v>
                </c:pt>
                <c:pt idx="271">
                  <c:v>45.987874234925087</c:v>
                </c:pt>
                <c:pt idx="272">
                  <c:v>45.65385054225127</c:v>
                </c:pt>
                <c:pt idx="273">
                  <c:v>45.318050000135557</c:v>
                </c:pt>
                <c:pt idx="274">
                  <c:v>44.979272034848272</c:v>
                </c:pt>
                <c:pt idx="275">
                  <c:v>44.636444132761767</c:v>
                </c:pt>
                <c:pt idx="276">
                  <c:v>44.289998501404099</c:v>
                </c:pt>
                <c:pt idx="277">
                  <c:v>43.940367347197437</c:v>
                </c:pt>
                <c:pt idx="278">
                  <c:v>43.587982876618796</c:v>
                </c:pt>
                <c:pt idx="279">
                  <c:v>43.233277296274906</c:v>
                </c:pt>
                <c:pt idx="280">
                  <c:v>42.876682812409129</c:v>
                </c:pt>
                <c:pt idx="281">
                  <c:v>42.51863163271004</c:v>
                </c:pt>
                <c:pt idx="282">
                  <c:v>42.159555963141614</c:v>
                </c:pt>
                <c:pt idx="283">
                  <c:v>41.799888010339679</c:v>
                </c:pt>
                <c:pt idx="284">
                  <c:v>41.440059981051931</c:v>
                </c:pt>
                <c:pt idx="285">
                  <c:v>41.080504081752487</c:v>
                </c:pt>
                <c:pt idx="286">
                  <c:v>40.721652519124163</c:v>
                </c:pt>
                <c:pt idx="287">
                  <c:v>40.363937499886376</c:v>
                </c:pt>
                <c:pt idx="288">
                  <c:v>40.005848587767105</c:v>
                </c:pt>
                <c:pt idx="289">
                  <c:v>39.645916508996329</c:v>
                </c:pt>
                <c:pt idx="290">
                  <c:v>39.28463521340953</c:v>
                </c:pt>
                <c:pt idx="291">
                  <c:v>38.922498651660447</c:v>
                </c:pt>
                <c:pt idx="292">
                  <c:v>38.560000774398631</c:v>
                </c:pt>
                <c:pt idx="293">
                  <c:v>38.197635532232894</c:v>
                </c:pt>
                <c:pt idx="294">
                  <c:v>37.835896875231995</c:v>
                </c:pt>
                <c:pt idx="295">
                  <c:v>37.475278753747368</c:v>
                </c:pt>
                <c:pt idx="296">
                  <c:v>37.116275118474732</c:v>
                </c:pt>
                <c:pt idx="297">
                  <c:v>36.759379919778027</c:v>
                </c:pt>
                <c:pt idx="298">
                  <c:v>36.40508710814008</c:v>
                </c:pt>
                <c:pt idx="299">
                  <c:v>36.053890634281558</c:v>
                </c:pt>
                <c:pt idx="300">
                  <c:v>35.706284447943574</c:v>
                </c:pt>
                <c:pt idx="301">
                  <c:v>35.362762499821841</c:v>
                </c:pt>
                <c:pt idx="302">
                  <c:v>35.021511352065545</c:v>
                </c:pt>
                <c:pt idx="303">
                  <c:v>34.680708418259329</c:v>
                </c:pt>
                <c:pt idx="304">
                  <c:v>34.340833928451005</c:v>
                </c:pt>
                <c:pt idx="305">
                  <c:v>34.002368111913427</c:v>
                </c:pt>
                <c:pt idx="306">
                  <c:v>33.665791199017889</c:v>
                </c:pt>
                <c:pt idx="307">
                  <c:v>33.331583418603984</c:v>
                </c:pt>
                <c:pt idx="308">
                  <c:v>33.000225000159119</c:v>
                </c:pt>
                <c:pt idx="309">
                  <c:v>32.672196173389338</c:v>
                </c:pt>
                <c:pt idx="310">
                  <c:v>32.347977168161641</c:v>
                </c:pt>
                <c:pt idx="311">
                  <c:v>32.028048214175008</c:v>
                </c:pt>
                <c:pt idx="312">
                  <c:v>31.712889541545053</c:v>
                </c:pt>
                <c:pt idx="313">
                  <c:v>31.402981377694857</c:v>
                </c:pt>
                <c:pt idx="314">
                  <c:v>31.098803954253423</c:v>
                </c:pt>
                <c:pt idx="315">
                  <c:v>30.800837500020862</c:v>
                </c:pt>
                <c:pt idx="316">
                  <c:v>30.507132636043906</c:v>
                </c:pt>
                <c:pt idx="317">
                  <c:v>30.21576791536063</c:v>
                </c:pt>
                <c:pt idx="318">
                  <c:v>29.927265464541108</c:v>
                </c:pt>
                <c:pt idx="319">
                  <c:v>29.642147409397044</c:v>
                </c:pt>
                <c:pt idx="320">
                  <c:v>29.360935877948734</c:v>
                </c:pt>
                <c:pt idx="321">
                  <c:v>29.084152995874838</c:v>
                </c:pt>
                <c:pt idx="322">
                  <c:v>28.812320890463887</c:v>
                </c:pt>
                <c:pt idx="323">
                  <c:v>28.545961687993263</c:v>
                </c:pt>
                <c:pt idx="324">
                  <c:v>28.285597516416708</c:v>
                </c:pt>
                <c:pt idx="325">
                  <c:v>28.031750501825343</c:v>
                </c:pt>
                <c:pt idx="326">
                  <c:v>27.784942769598484</c:v>
                </c:pt>
                <c:pt idx="327">
                  <c:v>27.545696447536884</c:v>
                </c:pt>
                <c:pt idx="328">
                  <c:v>27.314533663634208</c:v>
                </c:pt>
                <c:pt idx="329">
                  <c:v>27.091976541839539</c:v>
                </c:pt>
                <c:pt idx="330">
                  <c:v>26.876386223001674</c:v>
                </c:pt>
                <c:pt idx="331">
                  <c:v>26.666111982826674</c:v>
                </c:pt>
                <c:pt idx="332">
                  <c:v>26.461658151328034</c:v>
                </c:pt>
                <c:pt idx="333">
                  <c:v>26.263529057135539</c:v>
                </c:pt>
                <c:pt idx="334">
                  <c:v>26.072229031300438</c:v>
                </c:pt>
                <c:pt idx="335">
                  <c:v>25.888262406922877</c:v>
                </c:pt>
                <c:pt idx="336">
                  <c:v>25.712133509945126</c:v>
                </c:pt>
                <c:pt idx="337">
                  <c:v>25.54434667274888</c:v>
                </c:pt>
                <c:pt idx="338">
                  <c:v>25.385406224575959</c:v>
                </c:pt>
                <c:pt idx="339">
                  <c:v>25.235816498952254</c:v>
                </c:pt>
                <c:pt idx="340">
                  <c:v>25.096081821620466</c:v>
                </c:pt>
                <c:pt idx="341">
                  <c:v>24.966706526252835</c:v>
                </c:pt>
                <c:pt idx="342">
                  <c:v>24.848194941585618</c:v>
                </c:pt>
                <c:pt idx="343">
                  <c:v>24.74105139877647</c:v>
                </c:pt>
                <c:pt idx="344">
                  <c:v>24.644505135522323</c:v>
                </c:pt>
                <c:pt idx="345">
                  <c:v>24.557584813965732</c:v>
                </c:pt>
                <c:pt idx="346">
                  <c:v>24.480493904987874</c:v>
                </c:pt>
                <c:pt idx="347">
                  <c:v>24.413435877421001</c:v>
                </c:pt>
                <c:pt idx="348">
                  <c:v>24.356614199196784</c:v>
                </c:pt>
                <c:pt idx="349">
                  <c:v>24.310232337575243</c:v>
                </c:pt>
                <c:pt idx="350">
                  <c:v>24.274493761485893</c:v>
                </c:pt>
                <c:pt idx="351">
                  <c:v>24.249601943071546</c:v>
                </c:pt>
                <c:pt idx="352">
                  <c:v>24.235760345186563</c:v>
                </c:pt>
                <c:pt idx="353">
                  <c:v>24.233172441380368</c:v>
                </c:pt>
                <c:pt idx="354">
                  <c:v>24.24204169819177</c:v>
                </c:pt>
                <c:pt idx="355">
                  <c:v>24.262571583782766</c:v>
                </c:pt>
                <c:pt idx="356">
                  <c:v>24.294965566577748</c:v>
                </c:pt>
                <c:pt idx="357">
                  <c:v>24.339427117155545</c:v>
                </c:pt>
                <c:pt idx="358">
                  <c:v>24.39638684349584</c:v>
                </c:pt>
                <c:pt idx="359">
                  <c:v>24.46594118912672</c:v>
                </c:pt>
                <c:pt idx="360">
                  <c:v>24.54779237194051</c:v>
                </c:pt>
                <c:pt idx="361">
                  <c:v>24.641642609906608</c:v>
                </c:pt>
                <c:pt idx="362">
                  <c:v>24.747194124745398</c:v>
                </c:pt>
                <c:pt idx="363">
                  <c:v>24.86414913285909</c:v>
                </c:pt>
                <c:pt idx="364">
                  <c:v>24.992209855325775</c:v>
                </c:pt>
                <c:pt idx="365">
                  <c:v>25.131078508599053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25.01861829787493</c:v>
                </c:pt>
                <c:pt idx="1">
                  <c:v>25.174602641761304</c:v>
                </c:pt>
                <c:pt idx="2">
                  <c:v>25.340696224570273</c:v>
                </c:pt>
                <c:pt idx="3">
                  <c:v>25.516384682456653</c:v>
                </c:pt>
                <c:pt idx="4">
                  <c:v>25.701153655350208</c:v>
                </c:pt>
                <c:pt idx="5">
                  <c:v>25.894488776226837</c:v>
                </c:pt>
                <c:pt idx="6">
                  <c:v>26.09587567895651</c:v>
                </c:pt>
                <c:pt idx="7">
                  <c:v>26.304799999296666</c:v>
                </c:pt>
                <c:pt idx="8">
                  <c:v>26.523957671757255</c:v>
                </c:pt>
                <c:pt idx="9">
                  <c:v>26.755821793313537</c:v>
                </c:pt>
                <c:pt idx="10">
                  <c:v>26.999543751244033</c:v>
                </c:pt>
                <c:pt idx="11">
                  <c:v>27.254274938361981</c:v>
                </c:pt>
                <c:pt idx="12">
                  <c:v>27.519166741307295</c:v>
                </c:pt>
                <c:pt idx="13">
                  <c:v>27.79337055214814</c:v>
                </c:pt>
                <c:pt idx="14">
                  <c:v>28.07603775896132</c:v>
                </c:pt>
                <c:pt idx="15">
                  <c:v>28.366319750675132</c:v>
                </c:pt>
                <c:pt idx="16">
                  <c:v>28.663367918133737</c:v>
                </c:pt>
                <c:pt idx="17">
                  <c:v>28.966333647817372</c:v>
                </c:pt>
                <c:pt idx="18">
                  <c:v>29.274368331687789</c:v>
                </c:pt>
                <c:pt idx="19">
                  <c:v>29.586623360216617</c:v>
                </c:pt>
                <c:pt idx="20">
                  <c:v>29.902250118127892</c:v>
                </c:pt>
                <c:pt idx="21">
                  <c:v>30.220399998873472</c:v>
                </c:pt>
                <c:pt idx="22">
                  <c:v>30.544486369884442</c:v>
                </c:pt>
                <c:pt idx="23">
                  <c:v>30.877829737163019</c:v>
                </c:pt>
                <c:pt idx="24">
                  <c:v>31.2194422006474</c:v>
                </c:pt>
                <c:pt idx="25">
                  <c:v>31.568335859903264</c:v>
                </c:pt>
                <c:pt idx="26">
                  <c:v>31.923522812540511</c:v>
                </c:pt>
                <c:pt idx="27">
                  <c:v>32.284015160160401</c:v>
                </c:pt>
                <c:pt idx="28">
                  <c:v>32.648824999947102</c:v>
                </c:pt>
                <c:pt idx="29">
                  <c:v>33.01696443089417</c:v>
                </c:pt>
                <c:pt idx="30">
                  <c:v>33.387445553950968</c:v>
                </c:pt>
                <c:pt idx="31">
                  <c:v>33.759280465889191</c:v>
                </c:pt>
                <c:pt idx="32">
                  <c:v>34.131481268004116</c:v>
                </c:pt>
                <c:pt idx="33">
                  <c:v>34.503060058185035</c:v>
                </c:pt>
                <c:pt idx="34">
                  <c:v>34.873028935718217</c:v>
                </c:pt>
                <c:pt idx="35">
                  <c:v>35.240399999916555</c:v>
                </c:pt>
                <c:pt idx="36">
                  <c:v>35.606892929844818</c:v>
                </c:pt>
                <c:pt idx="37">
                  <c:v>35.97481282777818</c:v>
                </c:pt>
                <c:pt idx="38">
                  <c:v>36.34404992690709</c:v>
                </c:pt>
                <c:pt idx="39">
                  <c:v>36.71449446050184</c:v>
                </c:pt>
                <c:pt idx="40">
                  <c:v>37.086036661626508</c:v>
                </c:pt>
                <c:pt idx="41">
                  <c:v>37.458566763637847</c:v>
                </c:pt>
                <c:pt idx="42">
                  <c:v>37.831974999886008</c:v>
                </c:pt>
                <c:pt idx="43">
                  <c:v>38.206151603295332</c:v>
                </c:pt>
                <c:pt idx="44">
                  <c:v>38.580986807575179</c:v>
                </c:pt>
                <c:pt idx="45">
                  <c:v>38.95637084543705</c:v>
                </c:pt>
                <c:pt idx="46">
                  <c:v>39.332193950450574</c:v>
                </c:pt>
                <c:pt idx="47">
                  <c:v>39.708346355600021</c:v>
                </c:pt>
                <c:pt idx="48">
                  <c:v>40.08471829447496</c:v>
                </c:pt>
                <c:pt idx="49">
                  <c:v>40.461199999973175</c:v>
                </c:pt>
                <c:pt idx="50">
                  <c:v>40.837956122488585</c:v>
                </c:pt>
                <c:pt idx="51">
                  <c:v>41.215224489769234</c:v>
                </c:pt>
                <c:pt idx="52">
                  <c:v>41.593005101961481</c:v>
                </c:pt>
                <c:pt idx="53">
                  <c:v>41.971297959171764</c:v>
                </c:pt>
                <c:pt idx="54">
                  <c:v>42.350103061180562</c:v>
                </c:pt>
                <c:pt idx="55">
                  <c:v>42.729420408180786</c:v>
                </c:pt>
                <c:pt idx="56">
                  <c:v>43.109249999979511</c:v>
                </c:pt>
                <c:pt idx="57">
                  <c:v>43.48959183668984</c:v>
                </c:pt>
                <c:pt idx="58">
                  <c:v>43.870445918351678</c:v>
                </c:pt>
                <c:pt idx="59">
                  <c:v>44.251812244885201</c:v>
                </c:pt>
                <c:pt idx="60">
                  <c:v>44.633690816330322</c:v>
                </c:pt>
                <c:pt idx="61">
                  <c:v>45.016081632567307</c:v>
                </c:pt>
                <c:pt idx="62">
                  <c:v>45.398984693915452</c:v>
                </c:pt>
                <c:pt idx="63">
                  <c:v>45.782399999909103</c:v>
                </c:pt>
                <c:pt idx="64">
                  <c:v>46.167516691058083</c:v>
                </c:pt>
                <c:pt idx="65">
                  <c:v>46.555158017549132</c:v>
                </c:pt>
                <c:pt idx="66">
                  <c:v>46.94477514588673</c:v>
                </c:pt>
                <c:pt idx="67">
                  <c:v>47.3358192421762</c:v>
                </c:pt>
                <c:pt idx="68">
                  <c:v>47.727741472389816</c:v>
                </c:pt>
                <c:pt idx="69">
                  <c:v>48.119993002925597</c:v>
                </c:pt>
                <c:pt idx="70">
                  <c:v>48.51202500006184</c:v>
                </c:pt>
                <c:pt idx="71">
                  <c:v>48.903288629863937</c:v>
                </c:pt>
                <c:pt idx="72">
                  <c:v>49.293235058550323</c:v>
                </c:pt>
                <c:pt idx="73">
                  <c:v>49.68131545239261</c:v>
                </c:pt>
                <c:pt idx="74">
                  <c:v>50.066980976551505</c:v>
                </c:pt>
                <c:pt idx="75">
                  <c:v>50.449682798795408</c:v>
                </c:pt>
                <c:pt idx="76">
                  <c:v>50.828872084890364</c:v>
                </c:pt>
                <c:pt idx="77">
                  <c:v>51.204000000283123</c:v>
                </c:pt>
                <c:pt idx="78">
                  <c:v>51.577792420264871</c:v>
                </c:pt>
                <c:pt idx="79">
                  <c:v>51.952755685044188</c:v>
                </c:pt>
                <c:pt idx="80">
                  <c:v>52.32801166163491</c:v>
                </c:pt>
                <c:pt idx="81">
                  <c:v>52.702682215720415</c:v>
                </c:pt>
                <c:pt idx="82">
                  <c:v>53.075889212984052</c:v>
                </c:pt>
                <c:pt idx="83">
                  <c:v>53.446754519109206</c:v>
                </c:pt>
                <c:pt idx="84">
                  <c:v>53.814400000125168</c:v>
                </c:pt>
                <c:pt idx="85">
                  <c:v>54.177947521741899</c:v>
                </c:pt>
                <c:pt idx="86">
                  <c:v>54.536518951132891</c:v>
                </c:pt>
                <c:pt idx="87">
                  <c:v>54.889236151959224</c:v>
                </c:pt>
                <c:pt idx="88">
                  <c:v>55.235220992166013</c:v>
                </c:pt>
                <c:pt idx="89">
                  <c:v>55.573595335866727</c:v>
                </c:pt>
                <c:pt idx="90">
                  <c:v>55.903481050101774</c:v>
                </c:pt>
                <c:pt idx="91">
                  <c:v>56.224000000208619</c:v>
                </c:pt>
                <c:pt idx="92">
                  <c:v>56.536707215969045</c:v>
                </c:pt>
                <c:pt idx="93">
                  <c:v>56.843669970865754</c:v>
                </c:pt>
                <c:pt idx="94">
                  <c:v>57.144778498475048</c:v>
                </c:pt>
                <c:pt idx="95">
                  <c:v>57.439923031947444</c:v>
                </c:pt>
                <c:pt idx="96">
                  <c:v>57.728993804859257</c:v>
                </c:pt>
                <c:pt idx="97">
                  <c:v>58.011881050786805</c:v>
                </c:pt>
                <c:pt idx="98">
                  <c:v>58.288475000485775</c:v>
                </c:pt>
                <c:pt idx="99">
                  <c:v>58.558665889501569</c:v>
                </c:pt>
                <c:pt idx="100">
                  <c:v>58.822343950399329</c:v>
                </c:pt>
                <c:pt idx="101">
                  <c:v>59.079399417766503</c:v>
                </c:pt>
                <c:pt idx="102">
                  <c:v>59.329722521986277</c:v>
                </c:pt>
                <c:pt idx="103">
                  <c:v>59.573203498444386</c:v>
                </c:pt>
                <c:pt idx="104">
                  <c:v>59.809732579280229</c:v>
                </c:pt>
                <c:pt idx="105">
                  <c:v>60.039199999719855</c:v>
                </c:pt>
                <c:pt idx="106">
                  <c:v>60.261770408547349</c:v>
                </c:pt>
                <c:pt idx="107">
                  <c:v>60.477681633085012</c:v>
                </c:pt>
                <c:pt idx="108">
                  <c:v>60.686933673173186</c:v>
                </c:pt>
                <c:pt idx="109">
                  <c:v>60.889526530355212</c:v>
                </c:pt>
                <c:pt idx="110">
                  <c:v>61.08546020463109</c:v>
                </c:pt>
                <c:pt idx="111">
                  <c:v>61.274734694510698</c:v>
                </c:pt>
                <c:pt idx="112">
                  <c:v>61.457349999621513</c:v>
                </c:pt>
                <c:pt idx="113">
                  <c:v>61.633306121719741</c:v>
                </c:pt>
                <c:pt idx="114">
                  <c:v>61.802603061231117</c:v>
                </c:pt>
                <c:pt idx="115">
                  <c:v>61.96524081645267</c:v>
                </c:pt>
                <c:pt idx="116">
                  <c:v>62.121219387650491</c:v>
                </c:pt>
                <c:pt idx="117">
                  <c:v>62.27053877434561</c:v>
                </c:pt>
                <c:pt idx="118">
                  <c:v>62.413198979890772</c:v>
                </c:pt>
                <c:pt idx="119">
                  <c:v>62.549199999868868</c:v>
                </c:pt>
                <c:pt idx="120">
                  <c:v>62.677590524990634</c:v>
                </c:pt>
                <c:pt idx="121">
                  <c:v>62.797711952456403</c:v>
                </c:pt>
                <c:pt idx="122">
                  <c:v>62.910003353495689</c:v>
                </c:pt>
                <c:pt idx="123">
                  <c:v>63.014903790184427</c:v>
                </c:pt>
                <c:pt idx="124">
                  <c:v>63.112852332315278</c:v>
                </c:pt>
                <c:pt idx="125">
                  <c:v>63.20428804606199</c:v>
                </c:pt>
                <c:pt idx="126">
                  <c:v>63.28965000100434</c:v>
                </c:pt>
                <c:pt idx="127">
                  <c:v>63.369377259484352</c:v>
                </c:pt>
                <c:pt idx="128">
                  <c:v>63.443908891986517</c:v>
                </c:pt>
                <c:pt idx="129">
                  <c:v>63.513683965376444</c:v>
                </c:pt>
                <c:pt idx="130">
                  <c:v>63.579141545295712</c:v>
                </c:pt>
                <c:pt idx="131">
                  <c:v>63.640720700153295</c:v>
                </c:pt>
                <c:pt idx="132">
                  <c:v>63.69886049638901</c:v>
                </c:pt>
                <c:pt idx="133">
                  <c:v>63.75399999991059</c:v>
                </c:pt>
                <c:pt idx="134">
                  <c:v>63.805004956147499</c:v>
                </c:pt>
                <c:pt idx="135">
                  <c:v>63.85059475270765</c:v>
                </c:pt>
                <c:pt idx="136">
                  <c:v>63.890988920708857</c:v>
                </c:pt>
                <c:pt idx="137">
                  <c:v>63.926406996803621</c:v>
                </c:pt>
                <c:pt idx="138">
                  <c:v>63.957068513253965</c:v>
                </c:pt>
                <c:pt idx="139">
                  <c:v>63.983193002587974</c:v>
                </c:pt>
                <c:pt idx="140">
                  <c:v>64.004999999888241</c:v>
                </c:pt>
                <c:pt idx="141">
                  <c:v>64.022709038215027</c:v>
                </c:pt>
                <c:pt idx="142">
                  <c:v>64.036539649910168</c:v>
                </c:pt>
                <c:pt idx="143">
                  <c:v>64.046711370508575</c:v>
                </c:pt>
                <c:pt idx="144">
                  <c:v>64.053443731527253</c:v>
                </c:pt>
                <c:pt idx="145">
                  <c:v>64.056956267889063</c:v>
                </c:pt>
                <c:pt idx="146">
                  <c:v>64.057468513133273</c:v>
                </c:pt>
                <c:pt idx="147">
                  <c:v>64.055200000107291</c:v>
                </c:pt>
                <c:pt idx="148">
                  <c:v>64.048870116964508</c:v>
                </c:pt>
                <c:pt idx="149">
                  <c:v>64.037344606167508</c:v>
                </c:pt>
                <c:pt idx="150">
                  <c:v>64.021062536457819</c:v>
                </c:pt>
                <c:pt idx="151">
                  <c:v>64.000462973809675</c:v>
                </c:pt>
                <c:pt idx="152">
                  <c:v>63.975984985394668</c:v>
                </c:pt>
                <c:pt idx="153">
                  <c:v>63.948067638836804</c:v>
                </c:pt>
                <c:pt idx="154">
                  <c:v>63.917149999737738</c:v>
                </c:pt>
                <c:pt idx="155">
                  <c:v>63.88367113705192</c:v>
                </c:pt>
                <c:pt idx="156">
                  <c:v>63.84807011651408</c:v>
                </c:pt>
                <c:pt idx="157">
                  <c:v>63.810786005961042</c:v>
                </c:pt>
                <c:pt idx="158">
                  <c:v>63.772257871699651</c:v>
                </c:pt>
                <c:pt idx="159">
                  <c:v>63.732924781313969</c:v>
                </c:pt>
                <c:pt idx="160">
                  <c:v>63.693225801802647</c:v>
                </c:pt>
                <c:pt idx="161">
                  <c:v>63.653600000217558</c:v>
                </c:pt>
                <c:pt idx="162">
                  <c:v>63.613388775475322</c:v>
                </c:pt>
                <c:pt idx="163">
                  <c:v>63.571640816517174</c:v>
                </c:pt>
                <c:pt idx="164">
                  <c:v>63.528356122784317</c:v>
                </c:pt>
                <c:pt idx="165">
                  <c:v>63.483534693904218</c:v>
                </c:pt>
                <c:pt idx="166">
                  <c:v>63.437176530741681</c:v>
                </c:pt>
                <c:pt idx="167">
                  <c:v>63.38928163248513</c:v>
                </c:pt>
                <c:pt idx="168">
                  <c:v>63.339850000012667</c:v>
                </c:pt>
                <c:pt idx="169">
                  <c:v>63.288881632765495</c:v>
                </c:pt>
                <c:pt idx="170">
                  <c:v>63.236376530557344</c:v>
                </c:pt>
                <c:pt idx="171">
                  <c:v>63.182334693893793</c:v>
                </c:pt>
                <c:pt idx="172">
                  <c:v>63.126756122229359</c:v>
                </c:pt>
                <c:pt idx="173">
                  <c:v>63.069640816189349</c:v>
                </c:pt>
                <c:pt idx="174">
                  <c:v>63.010988775627425</c:v>
                </c:pt>
                <c:pt idx="175">
                  <c:v>62.950799999758601</c:v>
                </c:pt>
                <c:pt idx="176">
                  <c:v>62.889074489833526</c:v>
                </c:pt>
                <c:pt idx="177">
                  <c:v>62.825812244654763</c:v>
                </c:pt>
                <c:pt idx="178">
                  <c:v>62.761013265140356</c:v>
                </c:pt>
                <c:pt idx="179">
                  <c:v>62.69467755109072</c:v>
                </c:pt>
                <c:pt idx="180">
                  <c:v>62.626805101893844</c:v>
                </c:pt>
                <c:pt idx="181">
                  <c:v>62.557395918294787</c:v>
                </c:pt>
                <c:pt idx="182">
                  <c:v>62.486449999921021</c:v>
                </c:pt>
                <c:pt idx="183">
                  <c:v>62.413967346852381</c:v>
                </c:pt>
                <c:pt idx="184">
                  <c:v>62.339947959221902</c:v>
                </c:pt>
                <c:pt idx="185">
                  <c:v>62.264391836524013</c:v>
                </c:pt>
                <c:pt idx="186">
                  <c:v>62.187298979610205</c:v>
                </c:pt>
                <c:pt idx="187">
                  <c:v>62.10866938760239</c:v>
                </c:pt>
                <c:pt idx="188">
                  <c:v>62.028503061258888</c:v>
                </c:pt>
                <c:pt idx="189">
                  <c:v>61.946800000034273</c:v>
                </c:pt>
                <c:pt idx="190">
                  <c:v>61.864035860209597</c:v>
                </c:pt>
                <c:pt idx="191">
                  <c:v>61.780539941681283</c:v>
                </c:pt>
                <c:pt idx="192">
                  <c:v>61.696092711468893</c:v>
                </c:pt>
                <c:pt idx="193">
                  <c:v>61.610474635740481</c:v>
                </c:pt>
                <c:pt idx="194">
                  <c:v>61.523466180983391</c:v>
                </c:pt>
                <c:pt idx="195">
                  <c:v>61.434847813578585</c:v>
                </c:pt>
                <c:pt idx="196">
                  <c:v>61.344399999827147</c:v>
                </c:pt>
                <c:pt idx="197">
                  <c:v>61.251903207280805</c:v>
                </c:pt>
                <c:pt idx="198">
                  <c:v>61.157137900817077</c:v>
                </c:pt>
                <c:pt idx="199">
                  <c:v>61.059884547921158</c:v>
                </c:pt>
                <c:pt idx="200">
                  <c:v>60.959923615519486</c:v>
                </c:pt>
                <c:pt idx="201">
                  <c:v>60.857035568516167</c:v>
                </c:pt>
                <c:pt idx="202">
                  <c:v>60.751000874396411</c:v>
                </c:pt>
                <c:pt idx="203">
                  <c:v>60.64159999974072</c:v>
                </c:pt>
                <c:pt idx="204">
                  <c:v>60.52916224516396</c:v>
                </c:pt>
                <c:pt idx="205">
                  <c:v>60.414163265324063</c:v>
                </c:pt>
                <c:pt idx="206">
                  <c:v>60.296603060886262</c:v>
                </c:pt>
                <c:pt idx="207">
                  <c:v>60.176481632675447</c:v>
                </c:pt>
                <c:pt idx="208">
                  <c:v>60.053798979494182</c:v>
                </c:pt>
                <c:pt idx="209">
                  <c:v>59.928555101901296</c:v>
                </c:pt>
                <c:pt idx="210">
                  <c:v>59.80074999965727</c:v>
                </c:pt>
                <c:pt idx="211">
                  <c:v>59.6703836732677</c:v>
                </c:pt>
                <c:pt idx="212">
                  <c:v>59.537456121934305</c:v>
                </c:pt>
                <c:pt idx="213">
                  <c:v>59.401967346668243</c:v>
                </c:pt>
                <c:pt idx="214">
                  <c:v>59.263917346830873</c:v>
                </c:pt>
                <c:pt idx="215">
                  <c:v>59.123306121836819</c:v>
                </c:pt>
                <c:pt idx="216">
                  <c:v>58.980133672856866</c:v>
                </c:pt>
                <c:pt idx="217">
                  <c:v>58.834399999678133</c:v>
                </c:pt>
                <c:pt idx="218">
                  <c:v>58.686580757583897</c:v>
                </c:pt>
                <c:pt idx="219">
                  <c:v>58.537005247175692</c:v>
                </c:pt>
                <c:pt idx="220">
                  <c:v>58.385453934967515</c:v>
                </c:pt>
                <c:pt idx="221">
                  <c:v>58.231707288218402</c:v>
                </c:pt>
                <c:pt idx="222">
                  <c:v>58.075545772138447</c:v>
                </c:pt>
                <c:pt idx="223">
                  <c:v>57.916749853747227</c:v>
                </c:pt>
                <c:pt idx="224">
                  <c:v>57.755099999532106</c:v>
                </c:pt>
                <c:pt idx="225">
                  <c:v>57.590376676512619</c:v>
                </c:pt>
                <c:pt idx="226">
                  <c:v>57.422360349845675</c:v>
                </c:pt>
                <c:pt idx="227">
                  <c:v>57.250831486816921</c:v>
                </c:pt>
                <c:pt idx="228">
                  <c:v>57.075570553966926</c:v>
                </c:pt>
                <c:pt idx="229">
                  <c:v>56.896358016718715</c:v>
                </c:pt>
                <c:pt idx="230">
                  <c:v>56.712974343688359</c:v>
                </c:pt>
                <c:pt idx="231">
                  <c:v>56.525199998915198</c:v>
                </c:pt>
                <c:pt idx="232">
                  <c:v>56.333364284836819</c:v>
                </c:pt>
                <c:pt idx="233">
                  <c:v>56.13794285665665</c:v>
                </c:pt>
                <c:pt idx="234">
                  <c:v>55.938935714215042</c:v>
                </c:pt>
                <c:pt idx="235">
                  <c:v>55.73634285724588</c:v>
                </c:pt>
                <c:pt idx="236">
                  <c:v>55.530164285483103</c:v>
                </c:pt>
                <c:pt idx="237">
                  <c:v>55.320400000044273</c:v>
                </c:pt>
                <c:pt idx="238">
                  <c:v>55.107050000131132</c:v>
                </c:pt>
                <c:pt idx="239">
                  <c:v>54.890114285051823</c:v>
                </c:pt>
                <c:pt idx="240">
                  <c:v>54.669592857094742</c:v>
                </c:pt>
                <c:pt idx="241">
                  <c:v>54.445485714077947</c:v>
                </c:pt>
                <c:pt idx="242">
                  <c:v>54.217792857278667</c:v>
                </c:pt>
                <c:pt idx="243">
                  <c:v>53.986514285951856</c:v>
                </c:pt>
                <c:pt idx="244">
                  <c:v>53.75165000036359</c:v>
                </c:pt>
                <c:pt idx="245">
                  <c:v>53.513199999183414</c:v>
                </c:pt>
                <c:pt idx="246">
                  <c:v>53.271164284752956</c:v>
                </c:pt>
                <c:pt idx="247">
                  <c:v>53.025542856220696</c:v>
                </c:pt>
                <c:pt idx="248">
                  <c:v>52.776335714172035</c:v>
                </c:pt>
                <c:pt idx="249">
                  <c:v>52.523542856850796</c:v>
                </c:pt>
                <c:pt idx="250">
                  <c:v>52.267164285480973</c:v>
                </c:pt>
                <c:pt idx="251">
                  <c:v>52.007199999690059</c:v>
                </c:pt>
                <c:pt idx="252">
                  <c:v>51.743649999424818</c:v>
                </c:pt>
                <c:pt idx="253">
                  <c:v>51.476514285377093</c:v>
                </c:pt>
                <c:pt idx="254">
                  <c:v>51.205792856695396</c:v>
                </c:pt>
                <c:pt idx="255">
                  <c:v>50.931485713805472</c:v>
                </c:pt>
                <c:pt idx="256">
                  <c:v>50.653592856813759</c:v>
                </c:pt>
                <c:pt idx="257">
                  <c:v>50.372114285720251</c:v>
                </c:pt>
                <c:pt idx="258">
                  <c:v>50.087049999141264</c:v>
                </c:pt>
                <c:pt idx="259">
                  <c:v>49.798399998992679</c:v>
                </c:pt>
                <c:pt idx="260">
                  <c:v>49.505926456834587</c:v>
                </c:pt>
                <c:pt idx="261">
                  <c:v>49.209464722499249</c:v>
                </c:pt>
                <c:pt idx="262">
                  <c:v>48.909124562436979</c:v>
                </c:pt>
                <c:pt idx="263">
                  <c:v>48.605015743204525</c:v>
                </c:pt>
                <c:pt idx="264">
                  <c:v>48.297248032316567</c:v>
                </c:pt>
                <c:pt idx="265">
                  <c:v>47.985931195425138</c:v>
                </c:pt>
                <c:pt idx="266">
                  <c:v>47.671174999326468</c:v>
                </c:pt>
                <c:pt idx="267">
                  <c:v>47.353089212732655</c:v>
                </c:pt>
                <c:pt idx="268">
                  <c:v>47.031783600257974</c:v>
                </c:pt>
                <c:pt idx="269">
                  <c:v>46.707367930135561</c:v>
                </c:pt>
                <c:pt idx="270">
                  <c:v>46.379951967671516</c:v>
                </c:pt>
                <c:pt idx="271">
                  <c:v>46.049645481045758</c:v>
                </c:pt>
                <c:pt idx="272">
                  <c:v>45.71655823580388</c:v>
                </c:pt>
                <c:pt idx="273">
                  <c:v>45.380799999833108</c:v>
                </c:pt>
                <c:pt idx="274">
                  <c:v>45.040779154084575</c:v>
                </c:pt>
                <c:pt idx="275">
                  <c:v>44.695269971005786</c:v>
                </c:pt>
                <c:pt idx="276">
                  <c:v>44.344931049218786</c:v>
                </c:pt>
                <c:pt idx="277">
                  <c:v>43.990420991178169</c:v>
                </c:pt>
                <c:pt idx="278">
                  <c:v>43.632398396302804</c:v>
                </c:pt>
                <c:pt idx="279">
                  <c:v>43.271521865930744</c:v>
                </c:pt>
                <c:pt idx="280">
                  <c:v>42.908449999772714</c:v>
                </c:pt>
                <c:pt idx="281">
                  <c:v>42.543841399405416</c:v>
                </c:pt>
                <c:pt idx="282">
                  <c:v>42.178354664543754</c:v>
                </c:pt>
                <c:pt idx="283">
                  <c:v>41.812648396493749</c:v>
                </c:pt>
                <c:pt idx="284">
                  <c:v>41.447381195238478</c:v>
                </c:pt>
                <c:pt idx="285">
                  <c:v>41.0832116617106</c:v>
                </c:pt>
                <c:pt idx="286">
                  <c:v>40.720798396479431</c:v>
                </c:pt>
                <c:pt idx="287">
                  <c:v>40.360799999997838</c:v>
                </c:pt>
                <c:pt idx="288">
                  <c:v>40.001039431464285</c:v>
                </c:pt>
                <c:pt idx="289">
                  <c:v>39.639266472363047</c:v>
                </c:pt>
                <c:pt idx="290">
                  <c:v>39.276029956297556</c:v>
                </c:pt>
                <c:pt idx="291">
                  <c:v>38.911878717200516</c:v>
                </c:pt>
                <c:pt idx="292">
                  <c:v>38.547361589048727</c:v>
                </c:pt>
                <c:pt idx="293">
                  <c:v>38.183027405293458</c:v>
                </c:pt>
                <c:pt idx="294">
                  <c:v>37.81942499981087</c:v>
                </c:pt>
                <c:pt idx="295">
                  <c:v>37.457103207218871</c:v>
                </c:pt>
                <c:pt idx="296">
                  <c:v>37.096610860168163</c:v>
                </c:pt>
                <c:pt idx="297">
                  <c:v>36.738496792798728</c:v>
                </c:pt>
                <c:pt idx="298">
                  <c:v>36.383309839758809</c:v>
                </c:pt>
                <c:pt idx="299">
                  <c:v>36.031598833777494</c:v>
                </c:pt>
                <c:pt idx="300">
                  <c:v>35.683912608889969</c:v>
                </c:pt>
                <c:pt idx="301">
                  <c:v>35.340799999982117</c:v>
                </c:pt>
                <c:pt idx="302">
                  <c:v>35.000724270993047</c:v>
                </c:pt>
                <c:pt idx="303">
                  <c:v>34.662002332934314</c:v>
                </c:pt>
                <c:pt idx="304">
                  <c:v>34.324963483879614</c:v>
                </c:pt>
                <c:pt idx="305">
                  <c:v>33.989937026106887</c:v>
                </c:pt>
                <c:pt idx="306">
                  <c:v>33.657252259472649</c:v>
                </c:pt>
                <c:pt idx="307">
                  <c:v>33.32723848372698</c:v>
                </c:pt>
                <c:pt idx="308">
                  <c:v>33.000225000455977</c:v>
                </c:pt>
                <c:pt idx="309">
                  <c:v>32.676541108318737</c:v>
                </c:pt>
                <c:pt idx="310">
                  <c:v>32.356516108103094</c:v>
                </c:pt>
                <c:pt idx="311">
                  <c:v>32.040479300384007</c:v>
                </c:pt>
                <c:pt idx="312">
                  <c:v>31.728759985204256</c:v>
                </c:pt>
                <c:pt idx="313">
                  <c:v>31.421687463617751</c:v>
                </c:pt>
                <c:pt idx="314">
                  <c:v>31.119591034948826</c:v>
                </c:pt>
                <c:pt idx="315">
                  <c:v>30.822799999266863</c:v>
                </c:pt>
                <c:pt idx="316">
                  <c:v>30.529631268392716</c:v>
                </c:pt>
                <c:pt idx="317">
                  <c:v>30.238548105635811</c:v>
                </c:pt>
                <c:pt idx="318">
                  <c:v>29.950099344019378</c:v>
                </c:pt>
                <c:pt idx="319">
                  <c:v>29.664833819546867</c:v>
                </c:pt>
                <c:pt idx="320">
                  <c:v>29.38330036396427</c:v>
                </c:pt>
                <c:pt idx="321">
                  <c:v>29.106047813381469</c:v>
                </c:pt>
                <c:pt idx="322">
                  <c:v>28.833624999597667</c:v>
                </c:pt>
                <c:pt idx="323">
                  <c:v>28.566580757924488</c:v>
                </c:pt>
                <c:pt idx="324">
                  <c:v>28.305463920852965</c:v>
                </c:pt>
                <c:pt idx="325">
                  <c:v>28.050823323747942</c:v>
                </c:pt>
                <c:pt idx="326">
                  <c:v>27.803207798834354</c:v>
                </c:pt>
                <c:pt idx="327">
                  <c:v>27.563166180572342</c:v>
                </c:pt>
                <c:pt idx="328">
                  <c:v>27.33124730267695</c:v>
                </c:pt>
                <c:pt idx="329">
                  <c:v>27.108000000566243</c:v>
                </c:pt>
                <c:pt idx="330">
                  <c:v>26.891174051484892</c:v>
                </c:pt>
                <c:pt idx="331">
                  <c:v>26.678592419198583</c:v>
                </c:pt>
                <c:pt idx="332">
                  <c:v>26.47091370208987</c:v>
                </c:pt>
                <c:pt idx="333">
                  <c:v>26.268796501627993</c:v>
                </c:pt>
                <c:pt idx="334">
                  <c:v>26.072899416993771</c:v>
                </c:pt>
                <c:pt idx="335">
                  <c:v>25.883881049071039</c:v>
                </c:pt>
                <c:pt idx="336">
                  <c:v>25.70240000113845</c:v>
                </c:pt>
                <c:pt idx="337">
                  <c:v>25.529114868279017</c:v>
                </c:pt>
                <c:pt idx="338">
                  <c:v>25.364684258933579</c:v>
                </c:pt>
                <c:pt idx="339">
                  <c:v>25.209766764938831</c:v>
                </c:pt>
                <c:pt idx="340">
                  <c:v>25.065020991276416</c:v>
                </c:pt>
                <c:pt idx="341">
                  <c:v>24.931105540267058</c:v>
                </c:pt>
                <c:pt idx="342">
                  <c:v>24.808679008430669</c:v>
                </c:pt>
                <c:pt idx="343">
                  <c:v>24.698400001227856</c:v>
                </c:pt>
                <c:pt idx="344">
                  <c:v>24.598150521836111</c:v>
                </c:pt>
                <c:pt idx="345">
                  <c:v>24.505721226547443</c:v>
                </c:pt>
                <c:pt idx="346">
                  <c:v>24.421633704751731</c:v>
                </c:pt>
                <c:pt idx="347">
                  <c:v>24.346409532214913</c:v>
                </c:pt>
                <c:pt idx="348">
                  <c:v>24.280570289386169</c:v>
                </c:pt>
                <c:pt idx="349">
                  <c:v>24.224637564165249</c:v>
                </c:pt>
                <c:pt idx="350">
                  <c:v>24.179132931679487</c:v>
                </c:pt>
                <c:pt idx="351">
                  <c:v>24.144577974506785</c:v>
                </c:pt>
                <c:pt idx="352">
                  <c:v>24.121494276928047</c:v>
                </c:pt>
                <c:pt idx="353">
                  <c:v>24.110403418966701</c:v>
                </c:pt>
                <c:pt idx="354">
                  <c:v>24.111826979368924</c:v>
                </c:pt>
                <c:pt idx="355">
                  <c:v>24.126286542202745</c:v>
                </c:pt>
                <c:pt idx="356">
                  <c:v>24.154303688768827</c:v>
                </c:pt>
                <c:pt idx="357">
                  <c:v>24.196399998664855</c:v>
                </c:pt>
                <c:pt idx="358">
                  <c:v>24.252993285655975</c:v>
                </c:pt>
                <c:pt idx="359">
                  <c:v>24.323810731669266</c:v>
                </c:pt>
                <c:pt idx="360">
                  <c:v>24.408337970077991</c:v>
                </c:pt>
                <c:pt idx="361">
                  <c:v>24.506060635646186</c:v>
                </c:pt>
                <c:pt idx="362">
                  <c:v>24.616464368005595</c:v>
                </c:pt>
                <c:pt idx="363">
                  <c:v>24.739034797549248</c:v>
                </c:pt>
                <c:pt idx="364">
                  <c:v>24.873257563809553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25.454097031999808</c:v>
                </c:pt>
                <c:pt idx="1">
                  <c:v>24.084283353934023</c:v>
                </c:pt>
                <c:pt idx="2">
                  <c:v>25.872417420672249</c:v>
                </c:pt>
                <c:pt idx="3">
                  <c:v>21.824345162432092</c:v>
                </c:pt>
                <c:pt idx="4">
                  <c:v>15.89891096179743</c:v>
                </c:pt>
                <c:pt idx="5">
                  <c:v>25.97684931198668</c:v>
                </c:pt>
                <c:pt idx="6">
                  <c:v>15.082360291680677</c:v>
                </c:pt>
                <c:pt idx="7">
                  <c:v>20.347217475948305</c:v>
                </c:pt>
                <c:pt idx="8">
                  <c:v>25.649292652260151</c:v>
                </c:pt>
                <c:pt idx="9">
                  <c:v>9.0351524420219071</c:v>
                </c:pt>
                <c:pt idx="10">
                  <c:v>27.372177107233075</c:v>
                </c:pt>
                <c:pt idx="11">
                  <c:v>27.37093962937724</c:v>
                </c:pt>
                <c:pt idx="12">
                  <c:v>16.17097757884445</c:v>
                </c:pt>
                <c:pt idx="13">
                  <c:v>28.944815761904703</c:v>
                </c:pt>
                <c:pt idx="14">
                  <c:v>29.284841653101807</c:v>
                </c:pt>
                <c:pt idx="15">
                  <c:v>28.651235386050466</c:v>
                </c:pt>
                <c:pt idx="16">
                  <c:v>13.20492175837156</c:v>
                </c:pt>
                <c:pt idx="17">
                  <c:v>29.066008249734857</c:v>
                </c:pt>
                <c:pt idx="18">
                  <c:v>30.468754573897851</c:v>
                </c:pt>
                <c:pt idx="19">
                  <c:v>12.26188245483894</c:v>
                </c:pt>
                <c:pt idx="20">
                  <c:v>22.880726638611495</c:v>
                </c:pt>
                <c:pt idx="21">
                  <c:v>30.566788013971934</c:v>
                </c:pt>
                <c:pt idx="22">
                  <c:v>30.702667936607366</c:v>
                </c:pt>
                <c:pt idx="23">
                  <c:v>31.29840811546141</c:v>
                </c:pt>
                <c:pt idx="24">
                  <c:v>30.261651120262506</c:v>
                </c:pt>
                <c:pt idx="25">
                  <c:v>30.999537323642969</c:v>
                </c:pt>
                <c:pt idx="26">
                  <c:v>29.617485688648788</c:v>
                </c:pt>
                <c:pt idx="27">
                  <c:v>18.471919028830147</c:v>
                </c:pt>
                <c:pt idx="28">
                  <c:v>19.775703807846384</c:v>
                </c:pt>
                <c:pt idx="29">
                  <c:v>11.80160840972839</c:v>
                </c:pt>
                <c:pt idx="30">
                  <c:v>23.12427848668732</c:v>
                </c:pt>
                <c:pt idx="31">
                  <c:v>14.021130827306354</c:v>
                </c:pt>
                <c:pt idx="32">
                  <c:v>29.977059055663016</c:v>
                </c:pt>
                <c:pt idx="33">
                  <c:v>27.588451395254136</c:v>
                </c:pt>
                <c:pt idx="34">
                  <c:v>19.347515119040757</c:v>
                </c:pt>
                <c:pt idx="35">
                  <c:v>35.681802082367859</c:v>
                </c:pt>
                <c:pt idx="36">
                  <c:v>37.076232391062831</c:v>
                </c:pt>
                <c:pt idx="37">
                  <c:v>24.451684563184926</c:v>
                </c:pt>
                <c:pt idx="38">
                  <c:v>36.669864928426442</c:v>
                </c:pt>
                <c:pt idx="39">
                  <c:v>36.984153600859251</c:v>
                </c:pt>
                <c:pt idx="40">
                  <c:v>34.485478690767295</c:v>
                </c:pt>
                <c:pt idx="41">
                  <c:v>31.561088268066062</c:v>
                </c:pt>
                <c:pt idx="42">
                  <c:v>29.265897627745993</c:v>
                </c:pt>
                <c:pt idx="43">
                  <c:v>35.818160403759038</c:v>
                </c:pt>
                <c:pt idx="44">
                  <c:v>38.116109222133424</c:v>
                </c:pt>
                <c:pt idx="45">
                  <c:v>37.957548920378891</c:v>
                </c:pt>
                <c:pt idx="46">
                  <c:v>33.411514000889703</c:v>
                </c:pt>
                <c:pt idx="47">
                  <c:v>36.826584894030596</c:v>
                </c:pt>
                <c:pt idx="48">
                  <c:v>32.083253619797951</c:v>
                </c:pt>
                <c:pt idx="49">
                  <c:v>39.436937045771522</c:v>
                </c:pt>
                <c:pt idx="50">
                  <c:v>41.467946828147284</c:v>
                </c:pt>
                <c:pt idx="51">
                  <c:v>23.950887388071926</c:v>
                </c:pt>
                <c:pt idx="52">
                  <c:v>39.949310572645629</c:v>
                </c:pt>
                <c:pt idx="53">
                  <c:v>41.571938803017574</c:v>
                </c:pt>
                <c:pt idx="54">
                  <c:v>41.52507944394246</c:v>
                </c:pt>
                <c:pt idx="55">
                  <c:v>36.519009293012743</c:v>
                </c:pt>
                <c:pt idx="56">
                  <c:v>43.481266681339839</c:v>
                </c:pt>
                <c:pt idx="57">
                  <c:v>42.979805880549684</c:v>
                </c:pt>
                <c:pt idx="58">
                  <c:v>37.518611340462861</c:v>
                </c:pt>
                <c:pt idx="59">
                  <c:v>43.537458266027507</c:v>
                </c:pt>
                <c:pt idx="60">
                  <c:v>30.966593074683484</c:v>
                </c:pt>
                <c:pt idx="61">
                  <c:v>38.923472241989082</c:v>
                </c:pt>
                <c:pt idx="62">
                  <c:v>32.038386239307918</c:v>
                </c:pt>
                <c:pt idx="63">
                  <c:v>38.035034481034316</c:v>
                </c:pt>
                <c:pt idx="64">
                  <c:v>17.358899888574093</c:v>
                </c:pt>
                <c:pt idx="65">
                  <c:v>42.780921418940942</c:v>
                </c:pt>
                <c:pt idx="66">
                  <c:v>34.863147641201927</c:v>
                </c:pt>
                <c:pt idx="67">
                  <c:v>45.223150143497143</c:v>
                </c:pt>
                <c:pt idx="68">
                  <c:v>44.941946667610743</c:v>
                </c:pt>
                <c:pt idx="69">
                  <c:v>33.644561072825525</c:v>
                </c:pt>
                <c:pt idx="70">
                  <c:v>43.401527185164618</c:v>
                </c:pt>
                <c:pt idx="71">
                  <c:v>43.4645843753053</c:v>
                </c:pt>
                <c:pt idx="72">
                  <c:v>41.9627960937136</c:v>
                </c:pt>
                <c:pt idx="73">
                  <c:v>33.906662518762403</c:v>
                </c:pt>
                <c:pt idx="74">
                  <c:v>50.695816320188271</c:v>
                </c:pt>
                <c:pt idx="75">
                  <c:v>27.308423529990701</c:v>
                </c:pt>
                <c:pt idx="76">
                  <c:v>34.112652515484889</c:v>
                </c:pt>
                <c:pt idx="77">
                  <c:v>46.811989092410982</c:v>
                </c:pt>
                <c:pt idx="78">
                  <c:v>50.974512464979433</c:v>
                </c:pt>
                <c:pt idx="79">
                  <c:v>52.150714918937091</c:v>
                </c:pt>
                <c:pt idx="80">
                  <c:v>50.892769880316351</c:v>
                </c:pt>
                <c:pt idx="81">
                  <c:v>53.286062169656844</c:v>
                </c:pt>
                <c:pt idx="82">
                  <c:v>52.432685420203406</c:v>
                </c:pt>
                <c:pt idx="83">
                  <c:v>46.350209045253081</c:v>
                </c:pt>
                <c:pt idx="84">
                  <c:v>54.664172365947202</c:v>
                </c:pt>
                <c:pt idx="85">
                  <c:v>53.82661692337178</c:v>
                </c:pt>
                <c:pt idx="86">
                  <c:v>53.283033319082513</c:v>
                </c:pt>
                <c:pt idx="87">
                  <c:v>55.473113479022246</c:v>
                </c:pt>
                <c:pt idx="88">
                  <c:v>54.228775027955102</c:v>
                </c:pt>
                <c:pt idx="89">
                  <c:v>49.948595361830613</c:v>
                </c:pt>
                <c:pt idx="90">
                  <c:v>50.703405728850484</c:v>
                </c:pt>
                <c:pt idx="91">
                  <c:v>45.942881049826532</c:v>
                </c:pt>
                <c:pt idx="92">
                  <c:v>55.561785950469968</c:v>
                </c:pt>
                <c:pt idx="93">
                  <c:v>57.558924699627966</c:v>
                </c:pt>
                <c:pt idx="94">
                  <c:v>59.132284614261103</c:v>
                </c:pt>
                <c:pt idx="95">
                  <c:v>59.680123270108488</c:v>
                </c:pt>
                <c:pt idx="96">
                  <c:v>57.850737846912956</c:v>
                </c:pt>
                <c:pt idx="97">
                  <c:v>57.096062387011123</c:v>
                </c:pt>
                <c:pt idx="98">
                  <c:v>45.048186570983958</c:v>
                </c:pt>
                <c:pt idx="99">
                  <c:v>58.33024090130305</c:v>
                </c:pt>
                <c:pt idx="100">
                  <c:v>59.403908056990687</c:v>
                </c:pt>
                <c:pt idx="101">
                  <c:v>58.857771528976158</c:v>
                </c:pt>
                <c:pt idx="102">
                  <c:v>58.816606841862637</c:v>
                </c:pt>
                <c:pt idx="103">
                  <c:v>59.036177217934771</c:v>
                </c:pt>
                <c:pt idx="104">
                  <c:v>59.816550107721071</c:v>
                </c:pt>
                <c:pt idx="105">
                  <c:v>51.884062779817704</c:v>
                </c:pt>
                <c:pt idx="106">
                  <c:v>59.386411049175642</c:v>
                </c:pt>
                <c:pt idx="107">
                  <c:v>43.933124779978819</c:v>
                </c:pt>
                <c:pt idx="108">
                  <c:v>59.533076172726751</c:v>
                </c:pt>
                <c:pt idx="109">
                  <c:v>52.580415314681325</c:v>
                </c:pt>
                <c:pt idx="110">
                  <c:v>55.246951602065522</c:v>
                </c:pt>
                <c:pt idx="111">
                  <c:v>61.484611749803321</c:v>
                </c:pt>
                <c:pt idx="112">
                  <c:v>61.411826255045938</c:v>
                </c:pt>
                <c:pt idx="113">
                  <c:v>58.10105142457774</c:v>
                </c:pt>
                <c:pt idx="114">
                  <c:v>57.415722541484826</c:v>
                </c:pt>
                <c:pt idx="115">
                  <c:v>59.909404473598052</c:v>
                </c:pt>
                <c:pt idx="116">
                  <c:v>43.491010827693984</c:v>
                </c:pt>
                <c:pt idx="117">
                  <c:v>46.721279625112096</c:v>
                </c:pt>
                <c:pt idx="118">
                  <c:v>51.783140656081144</c:v>
                </c:pt>
                <c:pt idx="119">
                  <c:v>61.648626642094747</c:v>
                </c:pt>
                <c:pt idx="120">
                  <c:v>57.098058064772587</c:v>
                </c:pt>
                <c:pt idx="121">
                  <c:v>49.564429764978506</c:v>
                </c:pt>
                <c:pt idx="122">
                  <c:v>61.404519088032231</c:v>
                </c:pt>
                <c:pt idx="123">
                  <c:v>54.000058250195806</c:v>
                </c:pt>
                <c:pt idx="124">
                  <c:v>59.96671405061354</c:v>
                </c:pt>
                <c:pt idx="125">
                  <c:v>63.959766591204975</c:v>
                </c:pt>
                <c:pt idx="126">
                  <c:v>60.392486037860046</c:v>
                </c:pt>
                <c:pt idx="127">
                  <c:v>59.443974291396984</c:v>
                </c:pt>
                <c:pt idx="128">
                  <c:v>60.07223224205881</c:v>
                </c:pt>
                <c:pt idx="129">
                  <c:v>56.120412695618967</c:v>
                </c:pt>
                <c:pt idx="130">
                  <c:v>60.524133563423938</c:v>
                </c:pt>
                <c:pt idx="131">
                  <c:v>56.127004376201441</c:v>
                </c:pt>
                <c:pt idx="132">
                  <c:v>64.735176440204555</c:v>
                </c:pt>
                <c:pt idx="133">
                  <c:v>63.17753058579234</c:v>
                </c:pt>
                <c:pt idx="134">
                  <c:v>63.749746861981109</c:v>
                </c:pt>
                <c:pt idx="135">
                  <c:v>55.014965480142017</c:v>
                </c:pt>
                <c:pt idx="136">
                  <c:v>58.682633435101266</c:v>
                </c:pt>
                <c:pt idx="137">
                  <c:v>65.112138934007149</c:v>
                </c:pt>
                <c:pt idx="138">
                  <c:v>63.796579298765408</c:v>
                </c:pt>
                <c:pt idx="139">
                  <c:v>63.305602398396879</c:v>
                </c:pt>
                <c:pt idx="140">
                  <c:v>61.653025263591708</c:v>
                </c:pt>
                <c:pt idx="141">
                  <c:v>60.757180610940942</c:v>
                </c:pt>
                <c:pt idx="142">
                  <c:v>57.940082195716684</c:v>
                </c:pt>
                <c:pt idx="143">
                  <c:v>27.39141049073487</c:v>
                </c:pt>
                <c:pt idx="144">
                  <c:v>59.825577923222795</c:v>
                </c:pt>
                <c:pt idx="145">
                  <c:v>62.596709791929555</c:v>
                </c:pt>
                <c:pt idx="146">
                  <c:v>62.270971233570506</c:v>
                </c:pt>
                <c:pt idx="147">
                  <c:v>61.405954695216622</c:v>
                </c:pt>
                <c:pt idx="148">
                  <c:v>64.852505396426309</c:v>
                </c:pt>
                <c:pt idx="149">
                  <c:v>59.25879141798292</c:v>
                </c:pt>
                <c:pt idx="150">
                  <c:v>62.682352866116169</c:v>
                </c:pt>
                <c:pt idx="151">
                  <c:v>63.124729427681508</c:v>
                </c:pt>
                <c:pt idx="152">
                  <c:v>62.353294055215706</c:v>
                </c:pt>
                <c:pt idx="153">
                  <c:v>59.33169374417173</c:v>
                </c:pt>
                <c:pt idx="154">
                  <c:v>57.206955445857666</c:v>
                </c:pt>
                <c:pt idx="155">
                  <c:v>45.501902889660293</c:v>
                </c:pt>
                <c:pt idx="156">
                  <c:v>58.87079114151684</c:v>
                </c:pt>
                <c:pt idx="157">
                  <c:v>52.613805955532094</c:v>
                </c:pt>
                <c:pt idx="158">
                  <c:v>63.747853574878313</c:v>
                </c:pt>
                <c:pt idx="159">
                  <c:v>60.451525350346095</c:v>
                </c:pt>
                <c:pt idx="160">
                  <c:v>62.54511086114735</c:v>
                </c:pt>
                <c:pt idx="161">
                  <c:v>60.448688456997267</c:v>
                </c:pt>
                <c:pt idx="162">
                  <c:v>56.41651381708197</c:v>
                </c:pt>
                <c:pt idx="163">
                  <c:v>64.279104061315721</c:v>
                </c:pt>
                <c:pt idx="164">
                  <c:v>56.161235442538548</c:v>
                </c:pt>
                <c:pt idx="165">
                  <c:v>59.165126104140107</c:v>
                </c:pt>
                <c:pt idx="166">
                  <c:v>63.760579589282713</c:v>
                </c:pt>
                <c:pt idx="167">
                  <c:v>62.238525909161851</c:v>
                </c:pt>
                <c:pt idx="168">
                  <c:v>59.600179801280198</c:v>
                </c:pt>
                <c:pt idx="169">
                  <c:v>61.056703983579069</c:v>
                </c:pt>
                <c:pt idx="170">
                  <c:v>56.990075158502776</c:v>
                </c:pt>
                <c:pt idx="171">
                  <c:v>52.195932812822107</c:v>
                </c:pt>
                <c:pt idx="172">
                  <c:v>63.676809848065162</c:v>
                </c:pt>
                <c:pt idx="173">
                  <c:v>54.409239843799597</c:v>
                </c:pt>
                <c:pt idx="174">
                  <c:v>62.441537989908561</c:v>
                </c:pt>
                <c:pt idx="175">
                  <c:v>58.359170518097258</c:v>
                </c:pt>
                <c:pt idx="176">
                  <c:v>60.460509614669505</c:v>
                </c:pt>
                <c:pt idx="177">
                  <c:v>59.284461981263078</c:v>
                </c:pt>
                <c:pt idx="178">
                  <c:v>63.507051622398635</c:v>
                </c:pt>
                <c:pt idx="179">
                  <c:v>61.692866587615413</c:v>
                </c:pt>
                <c:pt idx="180">
                  <c:v>52.702185547178217</c:v>
                </c:pt>
                <c:pt idx="181">
                  <c:v>60.959454139649438</c:v>
                </c:pt>
                <c:pt idx="182">
                  <c:v>60.641307786297681</c:v>
                </c:pt>
                <c:pt idx="183">
                  <c:v>49.958829458254328</c:v>
                </c:pt>
                <c:pt idx="184">
                  <c:v>58.082093863284776</c:v>
                </c:pt>
                <c:pt idx="185">
                  <c:v>61.390169549077257</c:v>
                </c:pt>
                <c:pt idx="186">
                  <c:v>60.936475957669771</c:v>
                </c:pt>
                <c:pt idx="187">
                  <c:v>60.017344561452532</c:v>
                </c:pt>
                <c:pt idx="188">
                  <c:v>63.179240618782657</c:v>
                </c:pt>
                <c:pt idx="189">
                  <c:v>61.885240787846676</c:v>
                </c:pt>
                <c:pt idx="190">
                  <c:v>61.303585673539317</c:v>
                </c:pt>
                <c:pt idx="191">
                  <c:v>60.983970970198122</c:v>
                </c:pt>
                <c:pt idx="192">
                  <c:v>61.397076269848142</c:v>
                </c:pt>
                <c:pt idx="193">
                  <c:v>59.151654034195076</c:v>
                </c:pt>
                <c:pt idx="194">
                  <c:v>61.162094530225126</c:v>
                </c:pt>
                <c:pt idx="195">
                  <c:v>62.506291921724774</c:v>
                </c:pt>
                <c:pt idx="196">
                  <c:v>60.8270261955942</c:v>
                </c:pt>
                <c:pt idx="197">
                  <c:v>61.26677577265081</c:v>
                </c:pt>
                <c:pt idx="198">
                  <c:v>58.807726124673266</c:v>
                </c:pt>
                <c:pt idx="199">
                  <c:v>60.996282625351171</c:v>
                </c:pt>
                <c:pt idx="200">
                  <c:v>59.776097909915435</c:v>
                </c:pt>
                <c:pt idx="201">
                  <c:v>56.925596291857346</c:v>
                </c:pt>
                <c:pt idx="202">
                  <c:v>55.348148280408218</c:v>
                </c:pt>
                <c:pt idx="203">
                  <c:v>56.109961045476417</c:v>
                </c:pt>
                <c:pt idx="204">
                  <c:v>57.196015224186993</c:v>
                </c:pt>
                <c:pt idx="205">
                  <c:v>59.315557328001788</c:v>
                </c:pt>
                <c:pt idx="206">
                  <c:v>61.823821811123068</c:v>
                </c:pt>
                <c:pt idx="207">
                  <c:v>61.872791150508753</c:v>
                </c:pt>
                <c:pt idx="208">
                  <c:v>56.218409152668862</c:v>
                </c:pt>
                <c:pt idx="209">
                  <c:v>59.204840320642759</c:v>
                </c:pt>
                <c:pt idx="210">
                  <c:v>53.305021788323607</c:v>
                </c:pt>
                <c:pt idx="211">
                  <c:v>59.194470240108124</c:v>
                </c:pt>
                <c:pt idx="212">
                  <c:v>58.799612686809596</c:v>
                </c:pt>
                <c:pt idx="213">
                  <c:v>58.793989724542534</c:v>
                </c:pt>
                <c:pt idx="214">
                  <c:v>56.932913500318811</c:v>
                </c:pt>
                <c:pt idx="215">
                  <c:v>54.708974263466324</c:v>
                </c:pt>
                <c:pt idx="216">
                  <c:v>57.498472641811972</c:v>
                </c:pt>
                <c:pt idx="217">
                  <c:v>58.413322100606401</c:v>
                </c:pt>
                <c:pt idx="218">
                  <c:v>57.429006468910806</c:v>
                </c:pt>
                <c:pt idx="219">
                  <c:v>57.919390552745952</c:v>
                </c:pt>
                <c:pt idx="220">
                  <c:v>56.144783633335642</c:v>
                </c:pt>
                <c:pt idx="221">
                  <c:v>53.37794367209424</c:v>
                </c:pt>
                <c:pt idx="222">
                  <c:v>51.914944304147305</c:v>
                </c:pt>
                <c:pt idx="223">
                  <c:v>51.973251161233648</c:v>
                </c:pt>
                <c:pt idx="224">
                  <c:v>49.870847104426645</c:v>
                </c:pt>
                <c:pt idx="225">
                  <c:v>56.99494858795164</c:v>
                </c:pt>
                <c:pt idx="226">
                  <c:v>50.673625731633024</c:v>
                </c:pt>
                <c:pt idx="227">
                  <c:v>55.891220971481495</c:v>
                </c:pt>
                <c:pt idx="228">
                  <c:v>54.973908818601828</c:v>
                </c:pt>
                <c:pt idx="229">
                  <c:v>54.287330596628593</c:v>
                </c:pt>
                <c:pt idx="230">
                  <c:v>46.197672752985881</c:v>
                </c:pt>
                <c:pt idx="231">
                  <c:v>54.217324757132701</c:v>
                </c:pt>
                <c:pt idx="232">
                  <c:v>54.553633144965026</c:v>
                </c:pt>
                <c:pt idx="233">
                  <c:v>56.59830554422004</c:v>
                </c:pt>
                <c:pt idx="234">
                  <c:v>53.920594526150673</c:v>
                </c:pt>
                <c:pt idx="235">
                  <c:v>53.710943273979339</c:v>
                </c:pt>
                <c:pt idx="236">
                  <c:v>50.59926404911738</c:v>
                </c:pt>
                <c:pt idx="237">
                  <c:v>53.844483293966427</c:v>
                </c:pt>
                <c:pt idx="238">
                  <c:v>53.476850706483603</c:v>
                </c:pt>
                <c:pt idx="239">
                  <c:v>54.734917062438733</c:v>
                </c:pt>
                <c:pt idx="240">
                  <c:v>54.247939934538053</c:v>
                </c:pt>
                <c:pt idx="241">
                  <c:v>52.905760781813107</c:v>
                </c:pt>
                <c:pt idx="242">
                  <c:v>52.429420207764473</c:v>
                </c:pt>
                <c:pt idx="243">
                  <c:v>47.872949450269061</c:v>
                </c:pt>
                <c:pt idx="244">
                  <c:v>52.448101483562709</c:v>
                </c:pt>
                <c:pt idx="245">
                  <c:v>55.043508007448153</c:v>
                </c:pt>
                <c:pt idx="246">
                  <c:v>53.392231312994895</c:v>
                </c:pt>
                <c:pt idx="247">
                  <c:v>53.427461866974461</c:v>
                </c:pt>
                <c:pt idx="248">
                  <c:v>54.427802265876565</c:v>
                </c:pt>
                <c:pt idx="249">
                  <c:v>49.351657913110358</c:v>
                </c:pt>
                <c:pt idx="250">
                  <c:v>48.219770599083176</c:v>
                </c:pt>
                <c:pt idx="251">
                  <c:v>50.375328728188094</c:v>
                </c:pt>
                <c:pt idx="252">
                  <c:v>50.671626429813287</c:v>
                </c:pt>
                <c:pt idx="253">
                  <c:v>50.053661459050645</c:v>
                </c:pt>
                <c:pt idx="254">
                  <c:v>50.716513586551613</c:v>
                </c:pt>
                <c:pt idx="255">
                  <c:v>48.946025733501244</c:v>
                </c:pt>
                <c:pt idx="256">
                  <c:v>48.424336454195235</c:v>
                </c:pt>
                <c:pt idx="257">
                  <c:v>49.537413864977964</c:v>
                </c:pt>
                <c:pt idx="258">
                  <c:v>43.865326468567289</c:v>
                </c:pt>
                <c:pt idx="259">
                  <c:v>49.488032874572205</c:v>
                </c:pt>
                <c:pt idx="260">
                  <c:v>49.486707580546806</c:v>
                </c:pt>
                <c:pt idx="261">
                  <c:v>48.820863149439049</c:v>
                </c:pt>
                <c:pt idx="262">
                  <c:v>50.686359696372008</c:v>
                </c:pt>
                <c:pt idx="263">
                  <c:v>49.387982440515245</c:v>
                </c:pt>
                <c:pt idx="264">
                  <c:v>47.796779205155985</c:v>
                </c:pt>
                <c:pt idx="265">
                  <c:v>41.863369362780062</c:v>
                </c:pt>
                <c:pt idx="266">
                  <c:v>40.4343470381435</c:v>
                </c:pt>
                <c:pt idx="267">
                  <c:v>38.705104282673666</c:v>
                </c:pt>
                <c:pt idx="268">
                  <c:v>39.693686966189702</c:v>
                </c:pt>
                <c:pt idx="269">
                  <c:v>37.960845399345402</c:v>
                </c:pt>
                <c:pt idx="270">
                  <c:v>38.326040675068562</c:v>
                </c:pt>
                <c:pt idx="271">
                  <c:v>44.025423023353014</c:v>
                </c:pt>
                <c:pt idx="272">
                  <c:v>36.159220038545989</c:v>
                </c:pt>
                <c:pt idx="273">
                  <c:v>44.503895100671492</c:v>
                </c:pt>
                <c:pt idx="274">
                  <c:v>42.359955312979814</c:v>
                </c:pt>
                <c:pt idx="275">
                  <c:v>40.896316490611177</c:v>
                </c:pt>
                <c:pt idx="276">
                  <c:v>45.063870180118194</c:v>
                </c:pt>
                <c:pt idx="277">
                  <c:v>45.951050325579978</c:v>
                </c:pt>
                <c:pt idx="278">
                  <c:v>29.938480404074163</c:v>
                </c:pt>
                <c:pt idx="279">
                  <c:v>43.826307821277801</c:v>
                </c:pt>
                <c:pt idx="280">
                  <c:v>40.63677888339361</c:v>
                </c:pt>
                <c:pt idx="281">
                  <c:v>42.04123090982015</c:v>
                </c:pt>
                <c:pt idx="282">
                  <c:v>33.740851067404463</c:v>
                </c:pt>
                <c:pt idx="283">
                  <c:v>42.372842429013986</c:v>
                </c:pt>
                <c:pt idx="284">
                  <c:v>40.061070375868503</c:v>
                </c:pt>
                <c:pt idx="285">
                  <c:v>39.39832701671196</c:v>
                </c:pt>
                <c:pt idx="286">
                  <c:v>42.332847154201126</c:v>
                </c:pt>
                <c:pt idx="287">
                  <c:v>40.793609711418071</c:v>
                </c:pt>
                <c:pt idx="288">
                  <c:v>38.803370286376357</c:v>
                </c:pt>
                <c:pt idx="289">
                  <c:v>35.6425652403491</c:v>
                </c:pt>
                <c:pt idx="290">
                  <c:v>38.775386152374139</c:v>
                </c:pt>
                <c:pt idx="291">
                  <c:v>38.555741543850147</c:v>
                </c:pt>
                <c:pt idx="292">
                  <c:v>31.702695928532638</c:v>
                </c:pt>
                <c:pt idx="293">
                  <c:v>24.418087613545492</c:v>
                </c:pt>
                <c:pt idx="294">
                  <c:v>36.326275641473238</c:v>
                </c:pt>
                <c:pt idx="295">
                  <c:v>37.404529448025627</c:v>
                </c:pt>
                <c:pt idx="296">
                  <c:v>38.420312161688102</c:v>
                </c:pt>
                <c:pt idx="297">
                  <c:v>35.228620832517834</c:v>
                </c:pt>
                <c:pt idx="298">
                  <c:v>35.899581400046522</c:v>
                </c:pt>
                <c:pt idx="299">
                  <c:v>30.879725572368368</c:v>
                </c:pt>
                <c:pt idx="300">
                  <c:v>35.461193234664123</c:v>
                </c:pt>
                <c:pt idx="301">
                  <c:v>29.777598995663187</c:v>
                </c:pt>
                <c:pt idx="302">
                  <c:v>28.491037803008169</c:v>
                </c:pt>
                <c:pt idx="303">
                  <c:v>34.120858369867321</c:v>
                </c:pt>
                <c:pt idx="304">
                  <c:v>32.848992554762482</c:v>
                </c:pt>
                <c:pt idx="305">
                  <c:v>31.694440919259218</c:v>
                </c:pt>
                <c:pt idx="306">
                  <c:v>29.614967506581426</c:v>
                </c:pt>
                <c:pt idx="307">
                  <c:v>19.183080529065357</c:v>
                </c:pt>
                <c:pt idx="308">
                  <c:v>32.754929856109037</c:v>
                </c:pt>
                <c:pt idx="309">
                  <c:v>32.714436469052195</c:v>
                </c:pt>
                <c:pt idx="310">
                  <c:v>30.682125298124948</c:v>
                </c:pt>
                <c:pt idx="311">
                  <c:v>24.301685975957074</c:v>
                </c:pt>
                <c:pt idx="312">
                  <c:v>24.305673600704964</c:v>
                </c:pt>
                <c:pt idx="313">
                  <c:v>21.982513703587411</c:v>
                </c:pt>
                <c:pt idx="314">
                  <c:v>30.122601545435955</c:v>
                </c:pt>
                <c:pt idx="315">
                  <c:v>29.666919468360309</c:v>
                </c:pt>
                <c:pt idx="316">
                  <c:v>29.071978311267806</c:v>
                </c:pt>
                <c:pt idx="317">
                  <c:v>19.875209801097167</c:v>
                </c:pt>
                <c:pt idx="318">
                  <c:v>26.911873928380832</c:v>
                </c:pt>
                <c:pt idx="319">
                  <c:v>29.2085670452397</c:v>
                </c:pt>
                <c:pt idx="320">
                  <c:v>23.200751935750731</c:v>
                </c:pt>
                <c:pt idx="321">
                  <c:v>27.250192771666942</c:v>
                </c:pt>
                <c:pt idx="322">
                  <c:v>28.562272949049884</c:v>
                </c:pt>
                <c:pt idx="323">
                  <c:v>28.66422438766487</c:v>
                </c:pt>
                <c:pt idx="324">
                  <c:v>27.981917732937102</c:v>
                </c:pt>
                <c:pt idx="325">
                  <c:v>29.203443370360098</c:v>
                </c:pt>
                <c:pt idx="326">
                  <c:v>29.107219927904186</c:v>
                </c:pt>
                <c:pt idx="327">
                  <c:v>27.112988230859333</c:v>
                </c:pt>
                <c:pt idx="328">
                  <c:v>25.709723482797013</c:v>
                </c:pt>
                <c:pt idx="329">
                  <c:v>26.915508219914461</c:v>
                </c:pt>
                <c:pt idx="330">
                  <c:v>23.300191289146664</c:v>
                </c:pt>
                <c:pt idx="331">
                  <c:v>16.384266753107251</c:v>
                </c:pt>
                <c:pt idx="332">
                  <c:v>16.659001140689998</c:v>
                </c:pt>
                <c:pt idx="333">
                  <c:v>25.310170680267795</c:v>
                </c:pt>
                <c:pt idx="334">
                  <c:v>26.146261330818092</c:v>
                </c:pt>
                <c:pt idx="335">
                  <c:v>9.9498204075695913</c:v>
                </c:pt>
                <c:pt idx="336">
                  <c:v>16.647333469246274</c:v>
                </c:pt>
                <c:pt idx="337">
                  <c:v>19.053523549254066</c:v>
                </c:pt>
                <c:pt idx="338">
                  <c:v>25.311808746595222</c:v>
                </c:pt>
                <c:pt idx="339">
                  <c:v>18.881092862283797</c:v>
                </c:pt>
                <c:pt idx="340">
                  <c:v>22.409348727529608</c:v>
                </c:pt>
                <c:pt idx="341">
                  <c:v>17.076709643331426</c:v>
                </c:pt>
                <c:pt idx="342">
                  <c:v>11.827516861952027</c:v>
                </c:pt>
                <c:pt idx="343">
                  <c:v>21.581579026303849</c:v>
                </c:pt>
                <c:pt idx="344">
                  <c:v>19.016268227893452</c:v>
                </c:pt>
                <c:pt idx="345">
                  <c:v>23.902821263615333</c:v>
                </c:pt>
                <c:pt idx="346">
                  <c:v>25.0294040728553</c:v>
                </c:pt>
                <c:pt idx="347">
                  <c:v>24.68921870882129</c:v>
                </c:pt>
                <c:pt idx="348">
                  <c:v>24.850474320764231</c:v>
                </c:pt>
                <c:pt idx="349">
                  <c:v>24.489416018785828</c:v>
                </c:pt>
                <c:pt idx="350">
                  <c:v>24.995973707121568</c:v>
                </c:pt>
                <c:pt idx="351">
                  <c:v>25.161787004742354</c:v>
                </c:pt>
                <c:pt idx="352">
                  <c:v>24.884744497458982</c:v>
                </c:pt>
                <c:pt idx="353">
                  <c:v>24.174700505084488</c:v>
                </c:pt>
                <c:pt idx="354">
                  <c:v>22.834906208285311</c:v>
                </c:pt>
                <c:pt idx="355">
                  <c:v>24.5370383220707</c:v>
                </c:pt>
                <c:pt idx="356">
                  <c:v>20.621523847427799</c:v>
                </c:pt>
                <c:pt idx="357">
                  <c:v>23.261737833249224</c:v>
                </c:pt>
                <c:pt idx="358">
                  <c:v>13.093361004637606</c:v>
                </c:pt>
                <c:pt idx="359">
                  <c:v>22.716928260345419</c:v>
                </c:pt>
                <c:pt idx="360">
                  <c:v>21.290446008401918</c:v>
                </c:pt>
                <c:pt idx="361">
                  <c:v>23.906426698641567</c:v>
                </c:pt>
                <c:pt idx="362">
                  <c:v>25.022994124609578</c:v>
                </c:pt>
                <c:pt idx="363">
                  <c:v>25.027651179472095</c:v>
                </c:pt>
                <c:pt idx="364">
                  <c:v>25.278911318099443</c:v>
                </c:pt>
                <c:pt idx="365">
                  <c:v>14.71093936617153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25.454097031999808</c:v>
                </c:pt>
                <c:pt idx="1">
                  <c:v>17.527788053234588</c:v>
                </c:pt>
                <c:pt idx="2">
                  <c:v>18.930844479535686</c:v>
                </c:pt>
                <c:pt idx="3">
                  <c:v>20.120630976461818</c:v>
                </c:pt>
                <c:pt idx="4">
                  <c:v>15.89891096179743</c:v>
                </c:pt>
                <c:pt idx="5">
                  <c:v>22.842912240368953</c:v>
                </c:pt>
                <c:pt idx="6">
                  <c:v>11.179002810984537</c:v>
                </c:pt>
                <c:pt idx="7">
                  <c:v>7.9520055867372204</c:v>
                </c:pt>
                <c:pt idx="8">
                  <c:v>2.3741585777032861</c:v>
                </c:pt>
                <c:pt idx="9">
                  <c:v>1.9470934516474292</c:v>
                </c:pt>
                <c:pt idx="10">
                  <c:v>27.372177107233075</c:v>
                </c:pt>
                <c:pt idx="11">
                  <c:v>23.782026822723253</c:v>
                </c:pt>
                <c:pt idx="12">
                  <c:v>6.0831045735877769</c:v>
                </c:pt>
                <c:pt idx="13">
                  <c:v>28.944815761904703</c:v>
                </c:pt>
                <c:pt idx="14">
                  <c:v>29.284841653101807</c:v>
                </c:pt>
                <c:pt idx="15">
                  <c:v>28.651235386050466</c:v>
                </c:pt>
                <c:pt idx="16">
                  <c:v>13.20492175837156</c:v>
                </c:pt>
                <c:pt idx="17">
                  <c:v>4.1927172339555536</c:v>
                </c:pt>
                <c:pt idx="18">
                  <c:v>11.444068508749462</c:v>
                </c:pt>
                <c:pt idx="19">
                  <c:v>7.164896172408433</c:v>
                </c:pt>
                <c:pt idx="20">
                  <c:v>22.880726638611495</c:v>
                </c:pt>
                <c:pt idx="21">
                  <c:v>30.566788013971934</c:v>
                </c:pt>
                <c:pt idx="22">
                  <c:v>30.702667936607366</c:v>
                </c:pt>
                <c:pt idx="23">
                  <c:v>31.29840811546141</c:v>
                </c:pt>
                <c:pt idx="24">
                  <c:v>30.261651120262506</c:v>
                </c:pt>
                <c:pt idx="25">
                  <c:v>30.999537323642969</c:v>
                </c:pt>
                <c:pt idx="26">
                  <c:v>29.617485688648788</c:v>
                </c:pt>
                <c:pt idx="27">
                  <c:v>4.6720990284646025</c:v>
                </c:pt>
                <c:pt idx="28">
                  <c:v>9.8618146925919881</c:v>
                </c:pt>
                <c:pt idx="29">
                  <c:v>5.0932135119408084</c:v>
                </c:pt>
                <c:pt idx="30">
                  <c:v>8.4462004602931362</c:v>
                </c:pt>
                <c:pt idx="31">
                  <c:v>14.021130827306354</c:v>
                </c:pt>
                <c:pt idx="32">
                  <c:v>5.9176188226894695</c:v>
                </c:pt>
                <c:pt idx="33">
                  <c:v>11.615510694827195</c:v>
                </c:pt>
                <c:pt idx="34">
                  <c:v>11.440991439026538</c:v>
                </c:pt>
                <c:pt idx="35">
                  <c:v>10.053240236440974</c:v>
                </c:pt>
                <c:pt idx="36">
                  <c:v>23.442028475237052</c:v>
                </c:pt>
                <c:pt idx="37">
                  <c:v>9.8719523218682781</c:v>
                </c:pt>
                <c:pt idx="38">
                  <c:v>36.669864928426442</c:v>
                </c:pt>
                <c:pt idx="39">
                  <c:v>36.984153600859251</c:v>
                </c:pt>
                <c:pt idx="40">
                  <c:v>34.485478690767295</c:v>
                </c:pt>
                <c:pt idx="41">
                  <c:v>19.087566705183981</c:v>
                </c:pt>
                <c:pt idx="42">
                  <c:v>29.265897627745993</c:v>
                </c:pt>
                <c:pt idx="43">
                  <c:v>35.818160403759038</c:v>
                </c:pt>
                <c:pt idx="44">
                  <c:v>16.800315009535005</c:v>
                </c:pt>
                <c:pt idx="45">
                  <c:v>20.267142675340899</c:v>
                </c:pt>
                <c:pt idx="46">
                  <c:v>9.9654896048229347</c:v>
                </c:pt>
                <c:pt idx="47">
                  <c:v>12.416887011895994</c:v>
                </c:pt>
                <c:pt idx="48">
                  <c:v>32.083253619797951</c:v>
                </c:pt>
                <c:pt idx="49">
                  <c:v>21.760912874834226</c:v>
                </c:pt>
                <c:pt idx="50">
                  <c:v>21.630019237107017</c:v>
                </c:pt>
                <c:pt idx="51">
                  <c:v>23.950887388071926</c:v>
                </c:pt>
                <c:pt idx="52">
                  <c:v>36.617348207984875</c:v>
                </c:pt>
                <c:pt idx="53">
                  <c:v>38.48076316050448</c:v>
                </c:pt>
                <c:pt idx="54">
                  <c:v>23.943385657937263</c:v>
                </c:pt>
                <c:pt idx="55">
                  <c:v>34.298763568107987</c:v>
                </c:pt>
                <c:pt idx="56">
                  <c:v>43.481266681339839</c:v>
                </c:pt>
                <c:pt idx="57">
                  <c:v>31.071933891955709</c:v>
                </c:pt>
                <c:pt idx="58">
                  <c:v>37.518611340462861</c:v>
                </c:pt>
                <c:pt idx="59">
                  <c:v>43.537458266027507</c:v>
                </c:pt>
                <c:pt idx="60">
                  <c:v>12.677937809259744</c:v>
                </c:pt>
                <c:pt idx="61">
                  <c:v>38.923472241989082</c:v>
                </c:pt>
                <c:pt idx="62">
                  <c:v>4.1807607484746159</c:v>
                </c:pt>
                <c:pt idx="63">
                  <c:v>14.396662266295969</c:v>
                </c:pt>
                <c:pt idx="64">
                  <c:v>17.358899888574093</c:v>
                </c:pt>
                <c:pt idx="65">
                  <c:v>42.780921418940942</c:v>
                </c:pt>
                <c:pt idx="66">
                  <c:v>34.863147641201927</c:v>
                </c:pt>
                <c:pt idx="67">
                  <c:v>33.991472888421292</c:v>
                </c:pt>
                <c:pt idx="68">
                  <c:v>27.05789988058347</c:v>
                </c:pt>
                <c:pt idx="69">
                  <c:v>16.779615641307064</c:v>
                </c:pt>
                <c:pt idx="70">
                  <c:v>17.465725897625184</c:v>
                </c:pt>
                <c:pt idx="71">
                  <c:v>9.7941025586642745</c:v>
                </c:pt>
                <c:pt idx="72">
                  <c:v>15.781910448247334</c:v>
                </c:pt>
                <c:pt idx="73">
                  <c:v>15.022789612536666</c:v>
                </c:pt>
                <c:pt idx="74">
                  <c:v>14.994061059415618</c:v>
                </c:pt>
                <c:pt idx="75">
                  <c:v>12.593610619286732</c:v>
                </c:pt>
                <c:pt idx="76">
                  <c:v>16.282026445583469</c:v>
                </c:pt>
                <c:pt idx="77">
                  <c:v>31.114517473333766</c:v>
                </c:pt>
                <c:pt idx="78">
                  <c:v>34.552526803610711</c:v>
                </c:pt>
                <c:pt idx="79">
                  <c:v>48.920855815846522</c:v>
                </c:pt>
                <c:pt idx="80">
                  <c:v>46.447859171278907</c:v>
                </c:pt>
                <c:pt idx="81">
                  <c:v>52.948902458584236</c:v>
                </c:pt>
                <c:pt idx="82">
                  <c:v>52.082526631852751</c:v>
                </c:pt>
                <c:pt idx="83">
                  <c:v>46.350209045253081</c:v>
                </c:pt>
                <c:pt idx="84">
                  <c:v>51.313972160403146</c:v>
                </c:pt>
                <c:pt idx="85">
                  <c:v>49.613250732252105</c:v>
                </c:pt>
                <c:pt idx="86">
                  <c:v>15.973778371358494</c:v>
                </c:pt>
                <c:pt idx="87">
                  <c:v>30.663657428213796</c:v>
                </c:pt>
                <c:pt idx="88">
                  <c:v>8.5976959437448226</c:v>
                </c:pt>
                <c:pt idx="89">
                  <c:v>30.629260664282391</c:v>
                </c:pt>
                <c:pt idx="90">
                  <c:v>35.871146062960712</c:v>
                </c:pt>
                <c:pt idx="91">
                  <c:v>22.393427396496172</c:v>
                </c:pt>
                <c:pt idx="92">
                  <c:v>24.91548969289402</c:v>
                </c:pt>
                <c:pt idx="93">
                  <c:v>50.166091368223242</c:v>
                </c:pt>
                <c:pt idx="94">
                  <c:v>57.572341328599016</c:v>
                </c:pt>
                <c:pt idx="95">
                  <c:v>12.460461545203525</c:v>
                </c:pt>
                <c:pt idx="96">
                  <c:v>41.837606681240267</c:v>
                </c:pt>
                <c:pt idx="97">
                  <c:v>33.991825986872563</c:v>
                </c:pt>
                <c:pt idx="98">
                  <c:v>39.88367357014603</c:v>
                </c:pt>
                <c:pt idx="99">
                  <c:v>58.33024090130305</c:v>
                </c:pt>
                <c:pt idx="100">
                  <c:v>48.346665699755086</c:v>
                </c:pt>
                <c:pt idx="101">
                  <c:v>41.294322689001859</c:v>
                </c:pt>
                <c:pt idx="102">
                  <c:v>8.8245471107797737</c:v>
                </c:pt>
                <c:pt idx="103">
                  <c:v>44.674072446314028</c:v>
                </c:pt>
                <c:pt idx="104">
                  <c:v>48.753984131244202</c:v>
                </c:pt>
                <c:pt idx="105">
                  <c:v>50.590470832793535</c:v>
                </c:pt>
                <c:pt idx="106">
                  <c:v>59.386411049175642</c:v>
                </c:pt>
                <c:pt idx="107">
                  <c:v>43.933124779978819</c:v>
                </c:pt>
                <c:pt idx="108">
                  <c:v>10.269616479894198</c:v>
                </c:pt>
                <c:pt idx="109">
                  <c:v>10.715550782501372</c:v>
                </c:pt>
                <c:pt idx="110">
                  <c:v>10.315656746982578</c:v>
                </c:pt>
                <c:pt idx="111">
                  <c:v>29.986265933860359</c:v>
                </c:pt>
                <c:pt idx="112">
                  <c:v>9.9873175274611263</c:v>
                </c:pt>
                <c:pt idx="113">
                  <c:v>34.516247619334536</c:v>
                </c:pt>
                <c:pt idx="114">
                  <c:v>52.246629003917974</c:v>
                </c:pt>
                <c:pt idx="115">
                  <c:v>59.909404473598052</c:v>
                </c:pt>
                <c:pt idx="116">
                  <c:v>43.491010827693984</c:v>
                </c:pt>
                <c:pt idx="117">
                  <c:v>26.206661580251836</c:v>
                </c:pt>
                <c:pt idx="118">
                  <c:v>47.937392751496574</c:v>
                </c:pt>
                <c:pt idx="119">
                  <c:v>50.750187494888173</c:v>
                </c:pt>
                <c:pt idx="120">
                  <c:v>51.355640216775114</c:v>
                </c:pt>
                <c:pt idx="121">
                  <c:v>30.450339939875921</c:v>
                </c:pt>
                <c:pt idx="122">
                  <c:v>42.508180337355583</c:v>
                </c:pt>
                <c:pt idx="123">
                  <c:v>23.020179303218871</c:v>
                </c:pt>
                <c:pt idx="124">
                  <c:v>47.230844492891912</c:v>
                </c:pt>
                <c:pt idx="125">
                  <c:v>41.451330600233923</c:v>
                </c:pt>
                <c:pt idx="126">
                  <c:v>56.718052421744119</c:v>
                </c:pt>
                <c:pt idx="127">
                  <c:v>52.306278702256357</c:v>
                </c:pt>
                <c:pt idx="128">
                  <c:v>60.07223224205881</c:v>
                </c:pt>
                <c:pt idx="129">
                  <c:v>56.120412695618967</c:v>
                </c:pt>
                <c:pt idx="130">
                  <c:v>60.524133563423938</c:v>
                </c:pt>
                <c:pt idx="131">
                  <c:v>45.128132277848309</c:v>
                </c:pt>
                <c:pt idx="132">
                  <c:v>47.274679188903427</c:v>
                </c:pt>
                <c:pt idx="133">
                  <c:v>53.877889988701689</c:v>
                </c:pt>
                <c:pt idx="134">
                  <c:v>56.705215721872008</c:v>
                </c:pt>
                <c:pt idx="135">
                  <c:v>55.014965480142017</c:v>
                </c:pt>
                <c:pt idx="136">
                  <c:v>58.682633435101266</c:v>
                </c:pt>
                <c:pt idx="137">
                  <c:v>56.764723738320157</c:v>
                </c:pt>
                <c:pt idx="138">
                  <c:v>59.680724157600373</c:v>
                </c:pt>
                <c:pt idx="139">
                  <c:v>53.260542320343184</c:v>
                </c:pt>
                <c:pt idx="140">
                  <c:v>53.370634712740788</c:v>
                </c:pt>
                <c:pt idx="141">
                  <c:v>40.544255581953635</c:v>
                </c:pt>
                <c:pt idx="142">
                  <c:v>21.408465434339732</c:v>
                </c:pt>
                <c:pt idx="143">
                  <c:v>17.700295878720958</c:v>
                </c:pt>
                <c:pt idx="144">
                  <c:v>44.533094428817286</c:v>
                </c:pt>
                <c:pt idx="145">
                  <c:v>27.072924321985159</c:v>
                </c:pt>
                <c:pt idx="146">
                  <c:v>49.85312176899086</c:v>
                </c:pt>
                <c:pt idx="147">
                  <c:v>59.971516541682519</c:v>
                </c:pt>
                <c:pt idx="148">
                  <c:v>64.852505396426309</c:v>
                </c:pt>
                <c:pt idx="149">
                  <c:v>55.032674505504929</c:v>
                </c:pt>
                <c:pt idx="150">
                  <c:v>59.66571360100064</c:v>
                </c:pt>
                <c:pt idx="151">
                  <c:v>60.806304796826126</c:v>
                </c:pt>
                <c:pt idx="152">
                  <c:v>48.500471479773715</c:v>
                </c:pt>
                <c:pt idx="153">
                  <c:v>59.33169374417173</c:v>
                </c:pt>
                <c:pt idx="154">
                  <c:v>28.286661226554806</c:v>
                </c:pt>
                <c:pt idx="155">
                  <c:v>38.983450651625638</c:v>
                </c:pt>
                <c:pt idx="156">
                  <c:v>50.857594583964257</c:v>
                </c:pt>
                <c:pt idx="157">
                  <c:v>30.853067036856515</c:v>
                </c:pt>
                <c:pt idx="158">
                  <c:v>23.004202964004804</c:v>
                </c:pt>
                <c:pt idx="159">
                  <c:v>50.128089618071009</c:v>
                </c:pt>
                <c:pt idx="160">
                  <c:v>62.54511086114735</c:v>
                </c:pt>
                <c:pt idx="161">
                  <c:v>60.448688456997267</c:v>
                </c:pt>
                <c:pt idx="162">
                  <c:v>46.927532087050324</c:v>
                </c:pt>
                <c:pt idx="163">
                  <c:v>59.023911034777285</c:v>
                </c:pt>
                <c:pt idx="164">
                  <c:v>52.475760487542836</c:v>
                </c:pt>
                <c:pt idx="165">
                  <c:v>59.165126104140107</c:v>
                </c:pt>
                <c:pt idx="166">
                  <c:v>56.832460474285213</c:v>
                </c:pt>
                <c:pt idx="167">
                  <c:v>56.992045008015971</c:v>
                </c:pt>
                <c:pt idx="168">
                  <c:v>59.600179801280198</c:v>
                </c:pt>
                <c:pt idx="169">
                  <c:v>61.056703983579069</c:v>
                </c:pt>
                <c:pt idx="170">
                  <c:v>34.445831031283063</c:v>
                </c:pt>
                <c:pt idx="171">
                  <c:v>24.791611943201396</c:v>
                </c:pt>
                <c:pt idx="172">
                  <c:v>48.02599152428818</c:v>
                </c:pt>
                <c:pt idx="173">
                  <c:v>45.305709039516557</c:v>
                </c:pt>
                <c:pt idx="174">
                  <c:v>42.738497052036806</c:v>
                </c:pt>
                <c:pt idx="175">
                  <c:v>37.092829198477951</c:v>
                </c:pt>
                <c:pt idx="176">
                  <c:v>13.170299948311834</c:v>
                </c:pt>
                <c:pt idx="177">
                  <c:v>16.004899386041146</c:v>
                </c:pt>
                <c:pt idx="178">
                  <c:v>63.507051622398635</c:v>
                </c:pt>
                <c:pt idx="179">
                  <c:v>61.692866587615413</c:v>
                </c:pt>
                <c:pt idx="180">
                  <c:v>15.214599950963388</c:v>
                </c:pt>
                <c:pt idx="181">
                  <c:v>54.888991046029723</c:v>
                </c:pt>
                <c:pt idx="182">
                  <c:v>60.641307786297681</c:v>
                </c:pt>
                <c:pt idx="183">
                  <c:v>49.958829458254328</c:v>
                </c:pt>
                <c:pt idx="184">
                  <c:v>48.339389383622176</c:v>
                </c:pt>
                <c:pt idx="185">
                  <c:v>60.605107647822642</c:v>
                </c:pt>
                <c:pt idx="186">
                  <c:v>51.519524902125291</c:v>
                </c:pt>
                <c:pt idx="187">
                  <c:v>60.017344561452532</c:v>
                </c:pt>
                <c:pt idx="188">
                  <c:v>62.610232961581055</c:v>
                </c:pt>
                <c:pt idx="189">
                  <c:v>61.885240787846676</c:v>
                </c:pt>
                <c:pt idx="190">
                  <c:v>61.303585673539317</c:v>
                </c:pt>
                <c:pt idx="191">
                  <c:v>59.699586805087193</c:v>
                </c:pt>
                <c:pt idx="192">
                  <c:v>59.447521243492048</c:v>
                </c:pt>
                <c:pt idx="193">
                  <c:v>59.151654034195076</c:v>
                </c:pt>
                <c:pt idx="194">
                  <c:v>58.539145822501695</c:v>
                </c:pt>
                <c:pt idx="195">
                  <c:v>56.613233605157582</c:v>
                </c:pt>
                <c:pt idx="196">
                  <c:v>58.266686493782181</c:v>
                </c:pt>
                <c:pt idx="197">
                  <c:v>57.760070151961955</c:v>
                </c:pt>
                <c:pt idx="198">
                  <c:v>58.807726124673266</c:v>
                </c:pt>
                <c:pt idx="199">
                  <c:v>48.599715340072308</c:v>
                </c:pt>
                <c:pt idx="200">
                  <c:v>48.130280187924697</c:v>
                </c:pt>
                <c:pt idx="201">
                  <c:v>56.925596291857346</c:v>
                </c:pt>
                <c:pt idx="202">
                  <c:v>45.966408732946888</c:v>
                </c:pt>
                <c:pt idx="203">
                  <c:v>52.827646631615835</c:v>
                </c:pt>
                <c:pt idx="204">
                  <c:v>57.196015224186993</c:v>
                </c:pt>
                <c:pt idx="205">
                  <c:v>29.146505460120757</c:v>
                </c:pt>
                <c:pt idx="206">
                  <c:v>61.823821811123068</c:v>
                </c:pt>
                <c:pt idx="207">
                  <c:v>61.872791150508753</c:v>
                </c:pt>
                <c:pt idx="208">
                  <c:v>48.243154515731007</c:v>
                </c:pt>
                <c:pt idx="209">
                  <c:v>34.458184040852075</c:v>
                </c:pt>
                <c:pt idx="210">
                  <c:v>53.305021788323607</c:v>
                </c:pt>
                <c:pt idx="211">
                  <c:v>59.194470240108124</c:v>
                </c:pt>
                <c:pt idx="212">
                  <c:v>58.799612686809596</c:v>
                </c:pt>
                <c:pt idx="213">
                  <c:v>58.793989724542534</c:v>
                </c:pt>
                <c:pt idx="214">
                  <c:v>55.526193805328319</c:v>
                </c:pt>
                <c:pt idx="215">
                  <c:v>54.708974263466324</c:v>
                </c:pt>
                <c:pt idx="216">
                  <c:v>49.687008060604263</c:v>
                </c:pt>
                <c:pt idx="217">
                  <c:v>54.567221420266122</c:v>
                </c:pt>
                <c:pt idx="218">
                  <c:v>57.429006468910806</c:v>
                </c:pt>
                <c:pt idx="219">
                  <c:v>57.919390552745952</c:v>
                </c:pt>
                <c:pt idx="220">
                  <c:v>55.751194247205873</c:v>
                </c:pt>
                <c:pt idx="221">
                  <c:v>52.68820222554956</c:v>
                </c:pt>
                <c:pt idx="222">
                  <c:v>50.953623036266421</c:v>
                </c:pt>
                <c:pt idx="223">
                  <c:v>51.973251161233648</c:v>
                </c:pt>
                <c:pt idx="224">
                  <c:v>39.114828639721267</c:v>
                </c:pt>
                <c:pt idx="225">
                  <c:v>37.131621795128645</c:v>
                </c:pt>
                <c:pt idx="226">
                  <c:v>42.069302698785336</c:v>
                </c:pt>
                <c:pt idx="227">
                  <c:v>38.914053490315176</c:v>
                </c:pt>
                <c:pt idx="228">
                  <c:v>31.222309143203827</c:v>
                </c:pt>
                <c:pt idx="229">
                  <c:v>39.620448856469778</c:v>
                </c:pt>
                <c:pt idx="230">
                  <c:v>45.138451739017363</c:v>
                </c:pt>
                <c:pt idx="231">
                  <c:v>54.217324757132701</c:v>
                </c:pt>
                <c:pt idx="232">
                  <c:v>36.621795193166506</c:v>
                </c:pt>
                <c:pt idx="233">
                  <c:v>29.187861408376016</c:v>
                </c:pt>
                <c:pt idx="234">
                  <c:v>52.951744300642389</c:v>
                </c:pt>
                <c:pt idx="235">
                  <c:v>50.485886881445424</c:v>
                </c:pt>
                <c:pt idx="236">
                  <c:v>35.394425604380679</c:v>
                </c:pt>
                <c:pt idx="237">
                  <c:v>47.014994581702645</c:v>
                </c:pt>
                <c:pt idx="238">
                  <c:v>53.476850706483603</c:v>
                </c:pt>
                <c:pt idx="239">
                  <c:v>52.318783868701175</c:v>
                </c:pt>
                <c:pt idx="240">
                  <c:v>35.797052691508647</c:v>
                </c:pt>
                <c:pt idx="241">
                  <c:v>51.98477412614092</c:v>
                </c:pt>
                <c:pt idx="242">
                  <c:v>26.845903870554277</c:v>
                </c:pt>
                <c:pt idx="243">
                  <c:v>43.959150193662367</c:v>
                </c:pt>
                <c:pt idx="244">
                  <c:v>42.311022424653956</c:v>
                </c:pt>
                <c:pt idx="245">
                  <c:v>41.313230223201586</c:v>
                </c:pt>
                <c:pt idx="246">
                  <c:v>49.943084946688813</c:v>
                </c:pt>
                <c:pt idx="247">
                  <c:v>43.655177978761529</c:v>
                </c:pt>
                <c:pt idx="248">
                  <c:v>49.412197032871006</c:v>
                </c:pt>
                <c:pt idx="249">
                  <c:v>39.3335529933427</c:v>
                </c:pt>
                <c:pt idx="250">
                  <c:v>38.231012466686899</c:v>
                </c:pt>
                <c:pt idx="251">
                  <c:v>25.602515438962971</c:v>
                </c:pt>
                <c:pt idx="252">
                  <c:v>50.671626429813287</c:v>
                </c:pt>
                <c:pt idx="253">
                  <c:v>50.053661459050645</c:v>
                </c:pt>
                <c:pt idx="254">
                  <c:v>36.326330721111219</c:v>
                </c:pt>
                <c:pt idx="255">
                  <c:v>15.415372715914881</c:v>
                </c:pt>
                <c:pt idx="256">
                  <c:v>38.67813924878017</c:v>
                </c:pt>
                <c:pt idx="257">
                  <c:v>44.307988090684162</c:v>
                </c:pt>
                <c:pt idx="258">
                  <c:v>35.399092725589448</c:v>
                </c:pt>
                <c:pt idx="259">
                  <c:v>49.488032874572205</c:v>
                </c:pt>
                <c:pt idx="260">
                  <c:v>49.486707580546806</c:v>
                </c:pt>
                <c:pt idx="261">
                  <c:v>48.820863149439049</c:v>
                </c:pt>
                <c:pt idx="262">
                  <c:v>50.686359696372008</c:v>
                </c:pt>
                <c:pt idx="263">
                  <c:v>49.387982440515245</c:v>
                </c:pt>
                <c:pt idx="264">
                  <c:v>47.796779205155985</c:v>
                </c:pt>
                <c:pt idx="265">
                  <c:v>30.32584366969073</c:v>
                </c:pt>
                <c:pt idx="266">
                  <c:v>18.365905939263879</c:v>
                </c:pt>
                <c:pt idx="267">
                  <c:v>38.705104282673666</c:v>
                </c:pt>
                <c:pt idx="268">
                  <c:v>35.439559980863756</c:v>
                </c:pt>
                <c:pt idx="269">
                  <c:v>18.7845227891676</c:v>
                </c:pt>
                <c:pt idx="270">
                  <c:v>21.295068595124537</c:v>
                </c:pt>
                <c:pt idx="271">
                  <c:v>25.593414232070792</c:v>
                </c:pt>
                <c:pt idx="272">
                  <c:v>30.380280519677452</c:v>
                </c:pt>
                <c:pt idx="273">
                  <c:v>39.715661335957115</c:v>
                </c:pt>
                <c:pt idx="274">
                  <c:v>42.359955312979814</c:v>
                </c:pt>
                <c:pt idx="275">
                  <c:v>40.896316490611177</c:v>
                </c:pt>
                <c:pt idx="276">
                  <c:v>45.063870180118194</c:v>
                </c:pt>
                <c:pt idx="277">
                  <c:v>45.951050325579978</c:v>
                </c:pt>
                <c:pt idx="278">
                  <c:v>12.676424460778049</c:v>
                </c:pt>
                <c:pt idx="279">
                  <c:v>31.876081432039449</c:v>
                </c:pt>
                <c:pt idx="280">
                  <c:v>18.385549558781324</c:v>
                </c:pt>
                <c:pt idx="281">
                  <c:v>42.04123090982015</c:v>
                </c:pt>
                <c:pt idx="282">
                  <c:v>33.740851067404463</c:v>
                </c:pt>
                <c:pt idx="283">
                  <c:v>24.531195394559298</c:v>
                </c:pt>
                <c:pt idx="284">
                  <c:v>30.464034183389014</c:v>
                </c:pt>
                <c:pt idx="285">
                  <c:v>25.502316646947968</c:v>
                </c:pt>
                <c:pt idx="286">
                  <c:v>19.818168600777238</c:v>
                </c:pt>
                <c:pt idx="287">
                  <c:v>40.793609711418071</c:v>
                </c:pt>
                <c:pt idx="288">
                  <c:v>35.999965910915925</c:v>
                </c:pt>
                <c:pt idx="289">
                  <c:v>21.348919467398879</c:v>
                </c:pt>
                <c:pt idx="290">
                  <c:v>37.719817636146708</c:v>
                </c:pt>
                <c:pt idx="291">
                  <c:v>17.502448274393359</c:v>
                </c:pt>
                <c:pt idx="292">
                  <c:v>7.3668136238444042</c:v>
                </c:pt>
                <c:pt idx="293">
                  <c:v>17.942217401980884</c:v>
                </c:pt>
                <c:pt idx="294">
                  <c:v>36.326275641473238</c:v>
                </c:pt>
                <c:pt idx="295">
                  <c:v>18.636684064663974</c:v>
                </c:pt>
                <c:pt idx="296">
                  <c:v>27.606376025952819</c:v>
                </c:pt>
                <c:pt idx="297">
                  <c:v>24.403052233675169</c:v>
                </c:pt>
                <c:pt idx="298">
                  <c:v>13.587290376492797</c:v>
                </c:pt>
                <c:pt idx="299">
                  <c:v>15.724745392748865</c:v>
                </c:pt>
                <c:pt idx="300">
                  <c:v>18.926532989017087</c:v>
                </c:pt>
                <c:pt idx="301">
                  <c:v>29.440583046020212</c:v>
                </c:pt>
                <c:pt idx="302">
                  <c:v>25.301186042130773</c:v>
                </c:pt>
                <c:pt idx="303">
                  <c:v>24.064435727638351</c:v>
                </c:pt>
                <c:pt idx="304">
                  <c:v>21.327254743742834</c:v>
                </c:pt>
                <c:pt idx="305">
                  <c:v>31.694440919259218</c:v>
                </c:pt>
                <c:pt idx="306">
                  <c:v>11.091801034326224</c:v>
                </c:pt>
                <c:pt idx="307">
                  <c:v>19.183080529065357</c:v>
                </c:pt>
                <c:pt idx="308">
                  <c:v>32.754929856109037</c:v>
                </c:pt>
                <c:pt idx="309">
                  <c:v>32.714436469052195</c:v>
                </c:pt>
                <c:pt idx="310">
                  <c:v>30.682125298124948</c:v>
                </c:pt>
                <c:pt idx="311">
                  <c:v>22.096354190106076</c:v>
                </c:pt>
                <c:pt idx="312">
                  <c:v>10.863259711386105</c:v>
                </c:pt>
                <c:pt idx="313">
                  <c:v>21.982513703587411</c:v>
                </c:pt>
                <c:pt idx="314">
                  <c:v>30.122601545435955</c:v>
                </c:pt>
                <c:pt idx="315">
                  <c:v>29.666919468360309</c:v>
                </c:pt>
                <c:pt idx="316">
                  <c:v>28.531049303814331</c:v>
                </c:pt>
                <c:pt idx="317">
                  <c:v>10.526754779596269</c:v>
                </c:pt>
                <c:pt idx="318">
                  <c:v>13.51802449109854</c:v>
                </c:pt>
                <c:pt idx="319">
                  <c:v>29.2085670452397</c:v>
                </c:pt>
                <c:pt idx="320">
                  <c:v>14.908274452398844</c:v>
                </c:pt>
                <c:pt idx="321">
                  <c:v>17.07639109130124</c:v>
                </c:pt>
                <c:pt idx="322">
                  <c:v>7.7898570879368867</c:v>
                </c:pt>
                <c:pt idx="323">
                  <c:v>17.178612255498464</c:v>
                </c:pt>
                <c:pt idx="324">
                  <c:v>3.4437488643049829</c:v>
                </c:pt>
                <c:pt idx="325">
                  <c:v>8.5207543557066323</c:v>
                </c:pt>
                <c:pt idx="326">
                  <c:v>14.312224067688057</c:v>
                </c:pt>
                <c:pt idx="327">
                  <c:v>15.024433493848175</c:v>
                </c:pt>
                <c:pt idx="328">
                  <c:v>5.1979286466602144</c:v>
                </c:pt>
                <c:pt idx="329">
                  <c:v>11.957277618440671</c:v>
                </c:pt>
                <c:pt idx="330">
                  <c:v>15.75824681241698</c:v>
                </c:pt>
                <c:pt idx="331">
                  <c:v>11.420832442522366</c:v>
                </c:pt>
                <c:pt idx="332">
                  <c:v>16.659001140689998</c:v>
                </c:pt>
                <c:pt idx="333">
                  <c:v>4.3432853591599878</c:v>
                </c:pt>
                <c:pt idx="334">
                  <c:v>4.1114881755068549</c:v>
                </c:pt>
                <c:pt idx="335">
                  <c:v>6.1772597451705522</c:v>
                </c:pt>
                <c:pt idx="336">
                  <c:v>10.361556935735656</c:v>
                </c:pt>
                <c:pt idx="337">
                  <c:v>19.053523549254066</c:v>
                </c:pt>
                <c:pt idx="338">
                  <c:v>25.311808746595222</c:v>
                </c:pt>
                <c:pt idx="339">
                  <c:v>12.394759980733856</c:v>
                </c:pt>
                <c:pt idx="340">
                  <c:v>22.409348727529608</c:v>
                </c:pt>
                <c:pt idx="341">
                  <c:v>4.4793433121089823</c:v>
                </c:pt>
                <c:pt idx="342">
                  <c:v>5.4671379166121099</c:v>
                </c:pt>
                <c:pt idx="343">
                  <c:v>13.262196952235247</c:v>
                </c:pt>
                <c:pt idx="344">
                  <c:v>19.016268227893452</c:v>
                </c:pt>
                <c:pt idx="345">
                  <c:v>5.7886548358108474</c:v>
                </c:pt>
                <c:pt idx="346">
                  <c:v>5.8610060716915813</c:v>
                </c:pt>
                <c:pt idx="347">
                  <c:v>18.794747395511784</c:v>
                </c:pt>
                <c:pt idx="348">
                  <c:v>6.3966953066290895</c:v>
                </c:pt>
                <c:pt idx="349">
                  <c:v>5.6501805418283757</c:v>
                </c:pt>
                <c:pt idx="350">
                  <c:v>3.8308850639071443</c:v>
                </c:pt>
                <c:pt idx="351">
                  <c:v>22.988977192237716</c:v>
                </c:pt>
                <c:pt idx="352">
                  <c:v>19.539207067999847</c:v>
                </c:pt>
                <c:pt idx="353">
                  <c:v>4.9577116149077334</c:v>
                </c:pt>
                <c:pt idx="354">
                  <c:v>22.834906208285311</c:v>
                </c:pt>
                <c:pt idx="355">
                  <c:v>19.282187554048701</c:v>
                </c:pt>
                <c:pt idx="356">
                  <c:v>19.544539882856025</c:v>
                </c:pt>
                <c:pt idx="357">
                  <c:v>23.261737833249224</c:v>
                </c:pt>
                <c:pt idx="358">
                  <c:v>13.093361004637606</c:v>
                </c:pt>
                <c:pt idx="359">
                  <c:v>22.716928260345419</c:v>
                </c:pt>
                <c:pt idx="360">
                  <c:v>7.6559897078560777</c:v>
                </c:pt>
                <c:pt idx="361">
                  <c:v>23.906426698641567</c:v>
                </c:pt>
                <c:pt idx="362">
                  <c:v>11.304880106859175</c:v>
                </c:pt>
                <c:pt idx="363">
                  <c:v>15.338627971865069</c:v>
                </c:pt>
                <c:pt idx="364">
                  <c:v>12.67959195544846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26.3048</c:v>
                </c:pt>
                <c:pt idx="21">
                  <c:v>30.220400000000001</c:v>
                </c:pt>
                <c:pt idx="35">
                  <c:v>35.240400000000001</c:v>
                </c:pt>
                <c:pt idx="49">
                  <c:v>40.461200000000005</c:v>
                </c:pt>
                <c:pt idx="63">
                  <c:v>45.782400000000003</c:v>
                </c:pt>
                <c:pt idx="77">
                  <c:v>51.203999999999994</c:v>
                </c:pt>
                <c:pt idx="91">
                  <c:v>56.224000000000004</c:v>
                </c:pt>
                <c:pt idx="105">
                  <c:v>60.039200000000008</c:v>
                </c:pt>
                <c:pt idx="119">
                  <c:v>62.549199999999999</c:v>
                </c:pt>
                <c:pt idx="133">
                  <c:v>63.753999999999998</c:v>
                </c:pt>
                <c:pt idx="147">
                  <c:v>64.055199999999999</c:v>
                </c:pt>
                <c:pt idx="161">
                  <c:v>63.653600000000004</c:v>
                </c:pt>
                <c:pt idx="175">
                  <c:v>62.950800000000001</c:v>
                </c:pt>
                <c:pt idx="189">
                  <c:v>61.946799999999996</c:v>
                </c:pt>
                <c:pt idx="203">
                  <c:v>60.641600000000004</c:v>
                </c:pt>
                <c:pt idx="217">
                  <c:v>58.834400000000002</c:v>
                </c:pt>
                <c:pt idx="231">
                  <c:v>56.525199999999998</c:v>
                </c:pt>
                <c:pt idx="245">
                  <c:v>53.513199999999998</c:v>
                </c:pt>
                <c:pt idx="259">
                  <c:v>49.798400000000001</c:v>
                </c:pt>
                <c:pt idx="273">
                  <c:v>45.380800000000001</c:v>
                </c:pt>
                <c:pt idx="287">
                  <c:v>40.360799999999998</c:v>
                </c:pt>
                <c:pt idx="301">
                  <c:v>35.340800000000002</c:v>
                </c:pt>
                <c:pt idx="315">
                  <c:v>30.822800000000001</c:v>
                </c:pt>
                <c:pt idx="329">
                  <c:v>27.107999999999997</c:v>
                </c:pt>
                <c:pt idx="343">
                  <c:v>24.698399999999999</c:v>
                </c:pt>
                <c:pt idx="357">
                  <c:v>24.196400000000001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876488"/>
        <c:axId val="348876880"/>
      </c:lineChart>
      <c:dateAx>
        <c:axId val="348876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8876880"/>
        <c:crosses val="autoZero"/>
        <c:auto val="1"/>
        <c:lblOffset val="100"/>
        <c:baseTimeUnit val="days"/>
        <c:majorUnit val="1"/>
        <c:majorTimeUnit val="months"/>
      </c:dateAx>
      <c:valAx>
        <c:axId val="3488768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88764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3.4371451234297856E-2</c:v>
                </c:pt>
                <c:pt idx="1">
                  <c:v>3.4944973922070188E-2</c:v>
                </c:pt>
                <c:pt idx="2">
                  <c:v>3.5462701624352722E-2</c:v>
                </c:pt>
                <c:pt idx="3">
                  <c:v>3.6035576177956385E-2</c:v>
                </c:pt>
                <c:pt idx="4">
                  <c:v>3.6589646940441534E-2</c:v>
                </c:pt>
                <c:pt idx="5">
                  <c:v>3.7161852159333209E-2</c:v>
                </c:pt>
                <c:pt idx="6">
                  <c:v>3.7715275557064776E-2</c:v>
                </c:pt>
                <c:pt idx="7">
                  <c:v>3.8286812223281008E-2</c:v>
                </c:pt>
                <c:pt idx="8">
                  <c:v>3.8858009432627072E-2</c:v>
                </c:pt>
                <c:pt idx="9">
                  <c:v>3.9410457907290475E-2</c:v>
                </c:pt>
                <c:pt idx="10">
                  <c:v>3.9980987741698559E-2</c:v>
                </c:pt>
                <c:pt idx="11">
                  <c:v>4.0532790747055625E-2</c:v>
                </c:pt>
                <c:pt idx="12">
                  <c:v>4.1121031035149525E-2</c:v>
                </c:pt>
                <c:pt idx="13">
                  <c:v>4.1690544896594517E-2</c:v>
                </c:pt>
                <c:pt idx="14">
                  <c:v>4.2204653770036349E-2</c:v>
                </c:pt>
                <c:pt idx="15">
                  <c:v>4.2773524027660659E-2</c:v>
                </c:pt>
                <c:pt idx="16">
                  <c:v>4.3323721929477532E-2</c:v>
                </c:pt>
                <c:pt idx="17">
                  <c:v>4.3891927530925856E-2</c:v>
                </c:pt>
                <c:pt idx="18">
                  <c:v>4.4441482592958992E-2</c:v>
                </c:pt>
                <c:pt idx="19">
                  <c:v>4.5009024314801804E-2</c:v>
                </c:pt>
                <c:pt idx="20">
                  <c:v>4.5576228952520337E-2</c:v>
                </c:pt>
                <c:pt idx="21">
                  <c:v>4.6124815906032124E-2</c:v>
                </c:pt>
                <c:pt idx="22">
                  <c:v>4.6691357833650415E-2</c:v>
                </c:pt>
                <c:pt idx="23">
                  <c:v>4.7239303829576862E-2</c:v>
                </c:pt>
                <c:pt idx="24">
                  <c:v>4.7805183821391539E-2</c:v>
                </c:pt>
                <c:pt idx="25">
                  <c:v>4.8370727716045225E-2</c:v>
                </c:pt>
                <c:pt idx="26">
                  <c:v>4.8881252839743761E-2</c:v>
                </c:pt>
                <c:pt idx="27">
                  <c:v>4.9446157617009545E-2</c:v>
                </c:pt>
                <c:pt idx="28">
                  <c:v>4.9992520199711787E-2</c:v>
                </c:pt>
                <c:pt idx="29">
                  <c:v>5.0556764953986422E-2</c:v>
                </c:pt>
                <c:pt idx="30">
                  <c:v>5.1102489178011856E-2</c:v>
                </c:pt>
                <c:pt idx="31">
                  <c:v>5.1666074680452478E-2</c:v>
                </c:pt>
                <c:pt idx="32">
                  <c:v>5.2229325448514663E-2</c:v>
                </c:pt>
                <c:pt idx="33">
                  <c:v>5.2774088312508849E-2</c:v>
                </c:pt>
                <c:pt idx="34">
                  <c:v>5.3336680990089813E-2</c:v>
                </c:pt>
                <c:pt idx="35">
                  <c:v>5.3880807364485306E-2</c:v>
                </c:pt>
                <c:pt idx="36">
                  <c:v>5.4442742720484216E-2</c:v>
                </c:pt>
                <c:pt idx="37">
                  <c:v>5.5004344322187926E-2</c:v>
                </c:pt>
                <c:pt idx="38">
                  <c:v>5.5511310677743175E-2</c:v>
                </c:pt>
                <c:pt idx="39">
                  <c:v>5.6072277617218114E-2</c:v>
                </c:pt>
                <c:pt idx="40">
                  <c:v>5.661483161604508E-2</c:v>
                </c:pt>
                <c:pt idx="41">
                  <c:v>5.717514313341665E-2</c:v>
                </c:pt>
                <c:pt idx="42">
                  <c:v>5.7717063223436949E-2</c:v>
                </c:pt>
                <c:pt idx="43">
                  <c:v>5.8276720084486699E-2</c:v>
                </c:pt>
                <c:pt idx="44">
                  <c:v>5.8836044544523958E-2</c:v>
                </c:pt>
                <c:pt idx="45">
                  <c:v>5.9377009975960959E-2</c:v>
                </c:pt>
                <c:pt idx="46">
                  <c:v>5.9935680932933666E-2</c:v>
                </c:pt>
                <c:pt idx="47">
                  <c:v>6.0476014311613202E-2</c:v>
                </c:pt>
                <c:pt idx="48">
                  <c:v>6.10340325290607E-2</c:v>
                </c:pt>
                <c:pt idx="49">
                  <c:v>6.1591719318747074E-2</c:v>
                </c:pt>
                <c:pt idx="50">
                  <c:v>6.2095151713617347E-2</c:v>
                </c:pt>
                <c:pt idx="51">
                  <c:v>6.2652208265178033E-2</c:v>
                </c:pt>
                <c:pt idx="52">
                  <c:v>6.319098022900338E-2</c:v>
                </c:pt>
                <c:pt idx="53">
                  <c:v>6.3747385927276468E-2</c:v>
                </c:pt>
                <c:pt idx="54">
                  <c:v>6.4285528401146319E-2</c:v>
                </c:pt>
                <c:pt idx="55">
                  <c:v>6.4841284006575406E-2</c:v>
                </c:pt>
                <c:pt idx="56">
                  <c:v>6.5396709528092845E-2</c:v>
                </c:pt>
                <c:pt idx="57">
                  <c:v>6.5933903998112497E-2</c:v>
                </c:pt>
                <c:pt idx="58">
                  <c:v>6.6488680572004077E-2</c:v>
                </c:pt>
                <c:pt idx="59">
                  <c:v>6.7025247395179233E-2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3.191606492071352E-2</c:v>
                </c:pt>
                <c:pt idx="1">
                  <c:v>3.43645234346431E-2</c:v>
                </c:pt>
                <c:pt idx="2">
                  <c:v>3.6526503802201446E-2</c:v>
                </c:pt>
                <c:pt idx="3">
                  <c:v>3.8999976058180459E-2</c:v>
                </c:pt>
                <c:pt idx="4">
                  <c:v>4.179319895181241E-2</c:v>
                </c:pt>
                <c:pt idx="5">
                  <c:v>4.4897140516196657E-2</c:v>
                </c:pt>
                <c:pt idx="6">
                  <c:v>4.7399028999268372E-2</c:v>
                </c:pt>
                <c:pt idx="7">
                  <c:v>4.9531637161841141E-2</c:v>
                </c:pt>
                <c:pt idx="8">
                  <c:v>5.1427223659341929E-2</c:v>
                </c:pt>
                <c:pt idx="9">
                  <c:v>5.2773019806849043E-2</c:v>
                </c:pt>
                <c:pt idx="10">
                  <c:v>5.3567306938204606E-2</c:v>
                </c:pt>
                <c:pt idx="11">
                  <c:v>5.4700955019435019E-2</c:v>
                </c:pt>
                <c:pt idx="12">
                  <c:v>5.6394356146569305E-2</c:v>
                </c:pt>
                <c:pt idx="13">
                  <c:v>5.8075602868343207E-2</c:v>
                </c:pt>
                <c:pt idx="14">
                  <c:v>5.957570781661984E-2</c:v>
                </c:pt>
                <c:pt idx="15">
                  <c:v>6.1423309991306303E-2</c:v>
                </c:pt>
                <c:pt idx="16">
                  <c:v>9.7522907055955441E-3</c:v>
                </c:pt>
                <c:pt idx="17">
                  <c:v>1.3228328351748626E-2</c:v>
                </c:pt>
                <c:pt idx="18">
                  <c:v>1.6437115733753269E-2</c:v>
                </c:pt>
                <c:pt idx="19">
                  <c:v>1.9540646362387459E-2</c:v>
                </c:pt>
                <c:pt idx="20">
                  <c:v>2.2472481362311208E-2</c:v>
                </c:pt>
                <c:pt idx="21">
                  <c:v>2.5005299842292373E-2</c:v>
                </c:pt>
                <c:pt idx="22">
                  <c:v>2.7220324664646911E-2</c:v>
                </c:pt>
                <c:pt idx="23">
                  <c:v>2.9441756026666092E-2</c:v>
                </c:pt>
                <c:pt idx="24">
                  <c:v>3.191606492071352E-2</c:v>
                </c:pt>
                <c:pt idx="25">
                  <c:v>3.43645234346431E-2</c:v>
                </c:pt>
                <c:pt idx="26">
                  <c:v>3.6526503802201446E-2</c:v>
                </c:pt>
                <c:pt idx="27">
                  <c:v>3.8999976058180459E-2</c:v>
                </c:pt>
                <c:pt idx="28">
                  <c:v>4.179319895181241E-2</c:v>
                </c:pt>
                <c:pt idx="29">
                  <c:v>4.4897140516196657E-2</c:v>
                </c:pt>
                <c:pt idx="30">
                  <c:v>4.7399028999268372E-2</c:v>
                </c:pt>
                <c:pt idx="31">
                  <c:v>4.9531637161841141E-2</c:v>
                </c:pt>
                <c:pt idx="32">
                  <c:v>5.1427223659341929E-2</c:v>
                </c:pt>
                <c:pt idx="33">
                  <c:v>5.2773019806849043E-2</c:v>
                </c:pt>
                <c:pt idx="34">
                  <c:v>5.3567306938204606E-2</c:v>
                </c:pt>
                <c:pt idx="35">
                  <c:v>5.4700955019435019E-2</c:v>
                </c:pt>
                <c:pt idx="36">
                  <c:v>5.6339235517286708E-2</c:v>
                </c:pt>
                <c:pt idx="37">
                  <c:v>5.8022209859521792E-2</c:v>
                </c:pt>
                <c:pt idx="38">
                  <c:v>5.9523805230037488E-2</c:v>
                </c:pt>
                <c:pt idx="39">
                  <c:v>6.1372816749535319E-2</c:v>
                </c:pt>
                <c:pt idx="40">
                  <c:v>9.7522907055955441E-3</c:v>
                </c:pt>
                <c:pt idx="41">
                  <c:v>1.3228328351748626E-2</c:v>
                </c:pt>
                <c:pt idx="42">
                  <c:v>1.6437115733753269E-2</c:v>
                </c:pt>
                <c:pt idx="43">
                  <c:v>1.9540646362387459E-2</c:v>
                </c:pt>
                <c:pt idx="44">
                  <c:v>2.2472481362311208E-2</c:v>
                </c:pt>
                <c:pt idx="45">
                  <c:v>2.5005299842292373E-2</c:v>
                </c:pt>
                <c:pt idx="46">
                  <c:v>2.7220324664646911E-2</c:v>
                </c:pt>
                <c:pt idx="47">
                  <c:v>2.9441756026666092E-2</c:v>
                </c:pt>
                <c:pt idx="48">
                  <c:v>3.191606492071352E-2</c:v>
                </c:pt>
                <c:pt idx="49">
                  <c:v>3.43645234346431E-2</c:v>
                </c:pt>
                <c:pt idx="50">
                  <c:v>3.6526503802201446E-2</c:v>
                </c:pt>
                <c:pt idx="51">
                  <c:v>3.8999976058180459E-2</c:v>
                </c:pt>
                <c:pt idx="52">
                  <c:v>4.179319895181241E-2</c:v>
                </c:pt>
                <c:pt idx="53">
                  <c:v>4.4897140516196657E-2</c:v>
                </c:pt>
                <c:pt idx="54">
                  <c:v>4.7399028999268372E-2</c:v>
                </c:pt>
                <c:pt idx="55">
                  <c:v>4.9531637161841141E-2</c:v>
                </c:pt>
                <c:pt idx="56">
                  <c:v>5.1427223659341929E-2</c:v>
                </c:pt>
                <c:pt idx="57">
                  <c:v>5.2773019806849043E-2</c:v>
                </c:pt>
                <c:pt idx="58">
                  <c:v>5.3567306938204606E-2</c:v>
                </c:pt>
                <c:pt idx="59">
                  <c:v>5.4700955019435019E-2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5.8846586929520057E-3</c:v>
                </c:pt>
                <c:pt idx="1">
                  <c:v>2.7870285948310845E-3</c:v>
                </c:pt>
                <c:pt idx="2">
                  <c:v>8.5775173396458206E-4</c:v>
                </c:pt>
                <c:pt idx="3">
                  <c:v>3.5472202516900259E-4</c:v>
                </c:pt>
                <c:pt idx="4">
                  <c:v>2.2951381360634488E-4</c:v>
                </c:pt>
                <c:pt idx="5">
                  <c:v>1.9364816384223696E-4</c:v>
                </c:pt>
                <c:pt idx="6">
                  <c:v>2.9583831620036411E-4</c:v>
                </c:pt>
                <c:pt idx="7">
                  <c:v>5.9525402504974898E-4</c:v>
                </c:pt>
                <c:pt idx="8">
                  <c:v>1.4404359911264783E-3</c:v>
                </c:pt>
                <c:pt idx="9">
                  <c:v>4.3697121963424609E-3</c:v>
                </c:pt>
                <c:pt idx="10">
                  <c:v>8.4154570976751972E-3</c:v>
                </c:pt>
                <c:pt idx="11">
                  <c:v>1.0347764762820361E-2</c:v>
                </c:pt>
                <c:pt idx="12">
                  <c:v>7.9711488514366598E-3</c:v>
                </c:pt>
                <c:pt idx="13">
                  <c:v>3.8328824635280125E-3</c:v>
                </c:pt>
                <c:pt idx="14">
                  <c:v>1.2147361989174304E-3</c:v>
                </c:pt>
                <c:pt idx="15">
                  <c:v>4.8777942568848878E-4</c:v>
                </c:pt>
                <c:pt idx="16">
                  <c:v>3.0853981658075476E-4</c:v>
                </c:pt>
                <c:pt idx="17">
                  <c:v>2.5961265707396023E-4</c:v>
                </c:pt>
                <c:pt idx="18">
                  <c:v>3.8423694120036291E-4</c:v>
                </c:pt>
                <c:pt idx="19">
                  <c:v>7.6271387301020117E-4</c:v>
                </c:pt>
                <c:pt idx="20">
                  <c:v>1.8576965718794744E-3</c:v>
                </c:pt>
                <c:pt idx="21">
                  <c:v>5.6500174207878579E-3</c:v>
                </c:pt>
                <c:pt idx="22">
                  <c:v>1.0604690722803879E-2</c:v>
                </c:pt>
                <c:pt idx="23">
                  <c:v>1.2304485297983347E-2</c:v>
                </c:pt>
                <c:pt idx="24">
                  <c:v>1.0057937732391362E-2</c:v>
                </c:pt>
                <c:pt idx="25">
                  <c:v>4.8806049803694785E-3</c:v>
                </c:pt>
                <c:pt idx="26">
                  <c:v>1.5754819430308722E-3</c:v>
                </c:pt>
                <c:pt idx="27">
                  <c:v>1.4282114672234836E-6</c:v>
                </c:pt>
                <c:pt idx="28">
                  <c:v>4.4410263499838001E-6</c:v>
                </c:pt>
                <c:pt idx="29">
                  <c:v>6.38466679130438E-6</c:v>
                </c:pt>
                <c:pt idx="30">
                  <c:v>1.5881801295193388E-5</c:v>
                </c:pt>
                <c:pt idx="31">
                  <c:v>4.0553352488815157E-5</c:v>
                </c:pt>
                <c:pt idx="32">
                  <c:v>9.81352004140767E-5</c:v>
                </c:pt>
                <c:pt idx="33">
                  <c:v>2.5547018368631805E-4</c:v>
                </c:pt>
                <c:pt idx="34">
                  <c:v>6.1532290602033576E-4</c:v>
                </c:pt>
                <c:pt idx="35">
                  <c:v>8.5448933793932339E-4</c:v>
                </c:pt>
                <c:pt idx="36">
                  <c:v>5.8691896285830586E-4</c:v>
                </c:pt>
                <c:pt idx="37">
                  <c:v>2.4956743654979167E-4</c:v>
                </c:pt>
                <c:pt idx="38">
                  <c:v>7.9656383356569021E-5</c:v>
                </c:pt>
                <c:pt idx="39">
                  <c:v>3.8268401588948151E-5</c:v>
                </c:pt>
                <c:pt idx="40">
                  <c:v>2.9337450938675076E-5</c:v>
                </c:pt>
                <c:pt idx="41">
                  <c:v>2.6226989105389081E-5</c:v>
                </c:pt>
                <c:pt idx="42">
                  <c:v>5.1152477186921597E-5</c:v>
                </c:pt>
                <c:pt idx="43">
                  <c:v>1.1480930276211263E-4</c:v>
                </c:pt>
                <c:pt idx="44">
                  <c:v>2.7253629336076036E-4</c:v>
                </c:pt>
                <c:pt idx="45">
                  <c:v>7.7896875261960802E-4</c:v>
                </c:pt>
                <c:pt idx="46">
                  <c:v>1.6504722136461152E-3</c:v>
                </c:pt>
                <c:pt idx="47">
                  <c:v>2.4127180329648703E-3</c:v>
                </c:pt>
                <c:pt idx="48">
                  <c:v>1.5477646273145476E-3</c:v>
                </c:pt>
                <c:pt idx="49">
                  <c:v>7.4291724234937869E-4</c:v>
                </c:pt>
                <c:pt idx="50">
                  <c:v>2.2467686061852275E-4</c:v>
                </c:pt>
                <c:pt idx="51">
                  <c:v>9.9232755686426752E-5</c:v>
                </c:pt>
                <c:pt idx="52">
                  <c:v>6.6828634677601129E-5</c:v>
                </c:pt>
                <c:pt idx="53">
                  <c:v>5.3190502715767971E-5</c:v>
                </c:pt>
                <c:pt idx="54">
                  <c:v>9.1035190993096554E-5</c:v>
                </c:pt>
                <c:pt idx="55">
                  <c:v>1.927354567626213E-4</c:v>
                </c:pt>
                <c:pt idx="56">
                  <c:v>4.5211422565575752E-4</c:v>
                </c:pt>
                <c:pt idx="57">
                  <c:v>1.317715478865202E-3</c:v>
                </c:pt>
                <c:pt idx="58">
                  <c:v>2.7072324096364137E-3</c:v>
                </c:pt>
                <c:pt idx="59">
                  <c:v>4.0069757403960928E-3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877272"/>
        <c:axId val="322102864"/>
      </c:lineChart>
      <c:dateAx>
        <c:axId val="348877272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10286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221028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88772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5.7478341398575772E-4</c:v>
                </c:pt>
                <c:pt idx="2">
                  <c:v>1.1109498573533827E-3</c:v>
                </c:pt>
                <c:pt idx="3">
                  <c:v>1.7042271931948516E-3</c:v>
                </c:pt>
                <c:pt idx="4">
                  <c:v>2.2780310456562702E-3</c:v>
                </c:pt>
                <c:pt idx="5">
                  <c:v>2.8706152085993253E-3</c:v>
                </c:pt>
                <c:pt idx="6">
                  <c:v>3.4437486405752837E-3</c:v>
                </c:pt>
                <c:pt idx="7">
                  <c:v>4.0356404405086366E-3</c:v>
                </c:pt>
                <c:pt idx="8">
                  <c:v>4.6271806939013338E-3</c:v>
                </c:pt>
                <c:pt idx="9">
                  <c:v>5.1993044811706746E-3</c:v>
                </c:pt>
                <c:pt idx="10">
                  <c:v>5.7901535912359137E-3</c:v>
                </c:pt>
                <c:pt idx="11">
                  <c:v>6.3616089209730387E-3</c:v>
                </c:pt>
                <c:pt idx="12">
                  <c:v>6.9517676952283169E-3</c:v>
                </c:pt>
                <c:pt idx="13">
                  <c:v>7.5415759522511339E-3</c:v>
                </c:pt>
                <c:pt idx="14">
                  <c:v>8.0740048869839542E-3</c:v>
                </c:pt>
                <c:pt idx="15">
                  <c:v>8.6631466056247275E-3</c:v>
                </c:pt>
                <c:pt idx="16">
                  <c:v>9.2329505866286521E-3</c:v>
                </c:pt>
                <c:pt idx="17">
                  <c:v>9.8214039643401696E-3</c:v>
                </c:pt>
                <c:pt idx="18">
                  <c:v>1.0390542198225217E-2</c:v>
                </c:pt>
                <c:pt idx="19">
                  <c:v>1.0978308039250595E-2</c:v>
                </c:pt>
                <c:pt idx="20">
                  <c:v>1.1565724784295628E-2</c:v>
                </c:pt>
                <c:pt idx="21">
                  <c:v>1.213386041150466E-2</c:v>
                </c:pt>
                <c:pt idx="22">
                  <c:v>1.2720590831043599E-2</c:v>
                </c:pt>
                <c:pt idx="23">
                  <c:v>1.328806266040361E-2</c:v>
                </c:pt>
                <c:pt idx="24">
                  <c:v>1.38930064340822E-2</c:v>
                </c:pt>
                <c:pt idx="25">
                  <c:v>1.447869203141039E-2</c:v>
                </c:pt>
                <c:pt idx="26">
                  <c:v>1.5007399378180741E-2</c:v>
                </c:pt>
                <c:pt idx="27">
                  <c:v>1.5592423096117303E-2</c:v>
                </c:pt>
                <c:pt idx="28">
                  <c:v>1.6158244243923536E-2</c:v>
                </c:pt>
                <c:pt idx="29">
                  <c:v>1.674258443231702E-2</c:v>
                </c:pt>
                <c:pt idx="30">
                  <c:v>1.7307744486463772E-2</c:v>
                </c:pt>
                <c:pt idx="31">
                  <c:v>1.7891401943936125E-2</c:v>
                </c:pt>
                <c:pt idx="32">
                  <c:v>1.8474712745549682E-2</c:v>
                </c:pt>
                <c:pt idx="33">
                  <c:v>1.9038877201071114E-2</c:v>
                </c:pt>
                <c:pt idx="34">
                  <c:v>1.9621506474477468E-2</c:v>
                </c:pt>
                <c:pt idx="35">
                  <c:v>2.0185011771984285E-2</c:v>
                </c:pt>
                <c:pt idx="36">
                  <c:v>2.076696031346692E-2</c:v>
                </c:pt>
                <c:pt idx="37">
                  <c:v>2.134856321407963E-2</c:v>
                </c:pt>
                <c:pt idx="38">
                  <c:v>2.1873585048079902E-2</c:v>
                </c:pt>
                <c:pt idx="39">
                  <c:v>2.2454530683129192E-2</c:v>
                </c:pt>
                <c:pt idx="40">
                  <c:v>2.301640760530943E-2</c:v>
                </c:pt>
                <c:pt idx="41">
                  <c:v>2.3596674475562907E-2</c:v>
                </c:pt>
                <c:pt idx="42">
                  <c:v>2.4157894912434918E-2</c:v>
                </c:pt>
                <c:pt idx="43">
                  <c:v>2.4737483810947314E-2</c:v>
                </c:pt>
                <c:pt idx="44">
                  <c:v>2.5316728470069494E-2</c:v>
                </c:pt>
                <c:pt idx="45">
                  <c:v>2.5876960248434222E-2</c:v>
                </c:pt>
                <c:pt idx="46">
                  <c:v>2.6455528130145511E-2</c:v>
                </c:pt>
                <c:pt idx="47">
                  <c:v>2.7015105345353785E-2</c:v>
                </c:pt>
                <c:pt idx="48">
                  <c:v>2.7592997240386885E-2</c:v>
                </c:pt>
                <c:pt idx="49">
                  <c:v>2.8170545903943189E-2</c:v>
                </c:pt>
                <c:pt idx="50">
                  <c:v>2.8691907916143067E-2</c:v>
                </c:pt>
                <c:pt idx="51">
                  <c:v>2.9268803895802109E-2</c:v>
                </c:pt>
                <c:pt idx="52">
                  <c:v>2.9826764086761326E-2</c:v>
                </c:pt>
                <c:pt idx="53">
                  <c:v>3.0402986033157831E-2</c:v>
                </c:pt>
                <c:pt idx="54">
                  <c:v>3.0960294315036108E-2</c:v>
                </c:pt>
                <c:pt idx="55">
                  <c:v>3.1535843015696452E-2</c:v>
                </c:pt>
                <c:pt idx="56">
                  <c:v>3.2111049876590081E-2</c:v>
                </c:pt>
                <c:pt idx="57">
                  <c:v>3.2667376391701142E-2</c:v>
                </c:pt>
                <c:pt idx="58">
                  <c:v>3.3241911192863349E-2</c:v>
                </c:pt>
                <c:pt idx="59">
                  <c:v>3.3797587707646293E-2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2.7029807853834751E-3</c:v>
                </c:pt>
                <c:pt idx="2">
                  <c:v>5.1621695965339215E-3</c:v>
                </c:pt>
                <c:pt idx="3">
                  <c:v>7.8449781295631456E-3</c:v>
                </c:pt>
                <c:pt idx="4">
                  <c:v>1.0505159673692E-2</c:v>
                </c:pt>
                <c:pt idx="5">
                  <c:v>1.3325519994466515E-2</c:v>
                </c:pt>
                <c:pt idx="6">
                  <c:v>1.5909162922213498E-2</c:v>
                </c:pt>
                <c:pt idx="7">
                  <c:v>1.8394482297894095E-2</c:v>
                </c:pt>
                <c:pt idx="8">
                  <c:v>2.0741759249206924E-2</c:v>
                </c:pt>
                <c:pt idx="9">
                  <c:v>2.2755621259663166E-2</c:v>
                </c:pt>
                <c:pt idx="10">
                  <c:v>2.4496622984871232E-2</c:v>
                </c:pt>
                <c:pt idx="11">
                  <c:v>2.6273662500495131E-2</c:v>
                </c:pt>
                <c:pt idx="12">
                  <c:v>2.8285913644493815E-2</c:v>
                </c:pt>
                <c:pt idx="13">
                  <c:v>3.0288305250327382E-2</c:v>
                </c:pt>
                <c:pt idx="14">
                  <c:v>3.2063320396163247E-2</c:v>
                </c:pt>
                <c:pt idx="15">
                  <c:v>3.4108441645641745E-2</c:v>
                </c:pt>
                <c:pt idx="16">
                  <c:v>3.6444717323084588E-2</c:v>
                </c:pt>
                <c:pt idx="17">
                  <c:v>3.9054727433577886E-2</c:v>
                </c:pt>
                <c:pt idx="18">
                  <c:v>4.1150347571422427E-2</c:v>
                </c:pt>
                <c:pt idx="19">
                  <c:v>4.2930814591584265E-2</c:v>
                </c:pt>
                <c:pt idx="20">
                  <c:v>4.4514290220610368E-2</c:v>
                </c:pt>
                <c:pt idx="21">
                  <c:v>4.5631787749534844E-2</c:v>
                </c:pt>
                <c:pt idx="22">
                  <c:v>4.6279277023407582E-2</c:v>
                </c:pt>
                <c:pt idx="23">
                  <c:v>4.7228620698108924E-2</c:v>
                </c:pt>
                <c:pt idx="24">
                  <c:v>4.9301351142919371E-2</c:v>
                </c:pt>
                <c:pt idx="25">
                  <c:v>5.2113137451392053E-2</c:v>
                </c:pt>
                <c:pt idx="26">
                  <c:v>5.4609965362457623E-2</c:v>
                </c:pt>
                <c:pt idx="27">
                  <c:v>5.7523210611634304E-2</c:v>
                </c:pt>
                <c:pt idx="28">
                  <c:v>6.0949179833592979E-2</c:v>
                </c:pt>
                <c:pt idx="29">
                  <c:v>6.4813251884438719E-2</c:v>
                </c:pt>
                <c:pt idx="30">
                  <c:v>6.7838491569675891E-2</c:v>
                </c:pt>
                <c:pt idx="31">
                  <c:v>7.033848927778856E-2</c:v>
                </c:pt>
                <c:pt idx="32">
                  <c:v>7.2528723498033409E-2</c:v>
                </c:pt>
                <c:pt idx="33">
                  <c:v>7.3987886106508527E-2</c:v>
                </c:pt>
                <c:pt idx="34">
                  <c:v>7.4694290567553015E-2</c:v>
                </c:pt>
                <c:pt idx="35">
                  <c:v>7.5917852729616819E-2</c:v>
                </c:pt>
                <c:pt idx="36">
                  <c:v>7.7853047685662993E-2</c:v>
                </c:pt>
                <c:pt idx="37">
                  <c:v>7.9867997004739136E-2</c:v>
                </c:pt>
                <c:pt idx="38">
                  <c:v>8.167644642618295E-2</c:v>
                </c:pt>
                <c:pt idx="39">
                  <c:v>8.3948085265531172E-2</c:v>
                </c:pt>
                <c:pt idx="40">
                  <c:v>9.4574482075031364E-3</c:v>
                </c:pt>
                <c:pt idx="41">
                  <c:v>1.2711117345765284E-2</c:v>
                </c:pt>
                <c:pt idx="42">
                  <c:v>1.5680934915778533E-2</c:v>
                </c:pt>
                <c:pt idx="43">
                  <c:v>1.8519646035121306E-2</c:v>
                </c:pt>
                <c:pt idx="44">
                  <c:v>2.1170237230659531E-2</c:v>
                </c:pt>
                <c:pt idx="45">
                  <c:v>2.342719550860764E-2</c:v>
                </c:pt>
                <c:pt idx="46">
                  <c:v>2.5364504269657084E-2</c:v>
                </c:pt>
                <c:pt idx="47">
                  <c:v>2.729610679702581E-2</c:v>
                </c:pt>
                <c:pt idx="48">
                  <c:v>2.9440614454673417E-2</c:v>
                </c:pt>
                <c:pt idx="49">
                  <c:v>3.1543398544963915E-2</c:v>
                </c:pt>
                <c:pt idx="50">
                  <c:v>3.3382527006740347E-2</c:v>
                </c:pt>
                <c:pt idx="51">
                  <c:v>3.5475724112729035E-2</c:v>
                </c:pt>
                <c:pt idx="52">
                  <c:v>9.7522907055955441E-3</c:v>
                </c:pt>
                <c:pt idx="53">
                  <c:v>1.3228328351748626E-2</c:v>
                </c:pt>
                <c:pt idx="54">
                  <c:v>1.6437115733753269E-2</c:v>
                </c:pt>
                <c:pt idx="55">
                  <c:v>1.9540646362387459E-2</c:v>
                </c:pt>
                <c:pt idx="56">
                  <c:v>2.2472481362311208E-2</c:v>
                </c:pt>
                <c:pt idx="57">
                  <c:v>2.5005299842292373E-2</c:v>
                </c:pt>
                <c:pt idx="58">
                  <c:v>2.7220324664646911E-2</c:v>
                </c:pt>
                <c:pt idx="59">
                  <c:v>2.9441756026666092E-2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6.6922702677487345E-7</c:v>
                </c:pt>
                <c:pt idx="1">
                  <c:v>1.9306096186591396E-6</c:v>
                </c:pt>
                <c:pt idx="2">
                  <c:v>2.1137938231352497E-6</c:v>
                </c:pt>
                <c:pt idx="3">
                  <c:v>3.2216916749331E-6</c:v>
                </c:pt>
                <c:pt idx="4">
                  <c:v>5.5249475450964976E-6</c:v>
                </c:pt>
                <c:pt idx="5">
                  <c:v>7.0218468852208054E-6</c:v>
                </c:pt>
                <c:pt idx="6">
                  <c:v>1.6928605388400049E-5</c:v>
                </c:pt>
                <c:pt idx="7">
                  <c:v>4.2835681251954153E-5</c:v>
                </c:pt>
                <c:pt idx="8">
                  <c:v>1.0339693074486773E-4</c:v>
                </c:pt>
                <c:pt idx="9">
                  <c:v>2.6898122360666308E-4</c:v>
                </c:pt>
                <c:pt idx="10">
                  <c:v>6.477324616902721E-4</c:v>
                </c:pt>
                <c:pt idx="11">
                  <c:v>8.9944517648747331E-4</c:v>
                </c:pt>
                <c:pt idx="12">
                  <c:v>6.1775876930340835E-4</c:v>
                </c:pt>
                <c:pt idx="13">
                  <c:v>2.6396558962764869E-4</c:v>
                </c:pt>
                <c:pt idx="14">
                  <c:v>8.530544520425688E-5</c:v>
                </c:pt>
                <c:pt idx="15">
                  <c:v>4.1315169929050899E-5</c:v>
                </c:pt>
                <c:pt idx="16">
                  <c:v>3.1211118811315736E-5</c:v>
                </c:pt>
                <c:pt idx="17">
                  <c:v>2.7574523756124097E-5</c:v>
                </c:pt>
                <c:pt idx="18">
                  <c:v>5.3145664706758833E-5</c:v>
                </c:pt>
                <c:pt idx="19">
                  <c:v>1.1870375784803206E-4</c:v>
                </c:pt>
                <c:pt idx="20">
                  <c:v>2.8151092069500023E-4</c:v>
                </c:pt>
                <c:pt idx="21">
                  <c:v>8.0589328078297566E-4</c:v>
                </c:pt>
                <c:pt idx="22">
                  <c:v>1.7032851000596391E-3</c:v>
                </c:pt>
                <c:pt idx="23">
                  <c:v>2.4923930165003253E-3</c:v>
                </c:pt>
                <c:pt idx="24">
                  <c:v>1.5967009608356978E-3</c:v>
                </c:pt>
                <c:pt idx="25">
                  <c:v>7.6811260767529988E-4</c:v>
                </c:pt>
                <c:pt idx="26">
                  <c:v>2.32008526993194E-4</c:v>
                </c:pt>
                <c:pt idx="27">
                  <c:v>1.0227952402652951E-4</c:v>
                </c:pt>
                <c:pt idx="28">
                  <c:v>6.8702302550241771E-5</c:v>
                </c:pt>
                <c:pt idx="29">
                  <c:v>5.4538037366502991E-5</c:v>
                </c:pt>
                <c:pt idx="30">
                  <c:v>9.3028378512933769E-5</c:v>
                </c:pt>
                <c:pt idx="31">
                  <c:v>1.9662991184854077E-4</c:v>
                </c:pt>
                <c:pt idx="32">
                  <c:v>4.6108885298999717E-4</c:v>
                </c:pt>
                <c:pt idx="33">
                  <c:v>1.3446400070285694E-3</c:v>
                </c:pt>
                <c:pt idx="34">
                  <c:v>2.7600452960499368E-3</c:v>
                </c:pt>
                <c:pt idx="35">
                  <c:v>4.0866507239315482E-3</c:v>
                </c:pt>
                <c:pt idx="36">
                  <c:v>2.5758932170198835E-3</c:v>
                </c:pt>
                <c:pt idx="37">
                  <c:v>1.2736770483463881E-3</c:v>
                </c:pt>
                <c:pt idx="38">
                  <c:v>3.8088936633589752E-4</c:v>
                </c:pt>
                <c:pt idx="39">
                  <c:v>1.6602487176759273E-4</c:v>
                </c:pt>
                <c:pt idx="40">
                  <c:v>1.1097842855960867E-4</c:v>
                </c:pt>
                <c:pt idx="41">
                  <c:v>9.160514790676236E-5</c:v>
                </c:pt>
                <c:pt idx="42">
                  <c:v>1.5066750744315927E-4</c:v>
                </c:pt>
                <c:pt idx="43">
                  <c:v>3.1248350576878981E-4</c:v>
                </c:pt>
                <c:pt idx="44">
                  <c:v>7.4242840396851798E-4</c:v>
                </c:pt>
                <c:pt idx="45">
                  <c:v>2.217260129676899E-3</c:v>
                </c:pt>
                <c:pt idx="46">
                  <c:v>4.4928038338547501E-3</c:v>
                </c:pt>
                <c:pt idx="47">
                  <c:v>6.2381364097027778E-3</c:v>
                </c:pt>
                <c:pt idx="48">
                  <c:v>4.2300426296511505E-3</c:v>
                </c:pt>
                <c:pt idx="49">
                  <c:v>2.0295363692571702E-3</c:v>
                </c:pt>
                <c:pt idx="50">
                  <c:v>6.1787323873995924E-4</c:v>
                </c:pt>
                <c:pt idx="51">
                  <c:v>2.5859190563324002E-4</c:v>
                </c:pt>
                <c:pt idx="52">
                  <c:v>1.6738521547744994E-4</c:v>
                </c:pt>
                <c:pt idx="53">
                  <c:v>1.3697323055610432E-4</c:v>
                </c:pt>
                <c:pt idx="54">
                  <c:v>2.1256889393379873E-4</c:v>
                </c:pt>
                <c:pt idx="55">
                  <c:v>4.3092182031703144E-4</c:v>
                </c:pt>
                <c:pt idx="56">
                  <c:v>1.0258134982695955E-3</c:v>
                </c:pt>
                <c:pt idx="57">
                  <c:v>3.0921783050808713E-3</c:v>
                </c:pt>
                <c:pt idx="58">
                  <c:v>6.2275679887303466E-3</c:v>
                </c:pt>
                <c:pt idx="59">
                  <c:v>8.390674895492771E-3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103648"/>
        <c:axId val="322104040"/>
      </c:lineChart>
      <c:dateAx>
        <c:axId val="322103648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10404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221040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10364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19050</xdr:colOff>
      <xdr:row>23</xdr:row>
      <xdr:rowOff>19050</xdr:rowOff>
    </xdr:from>
    <xdr:to>
      <xdr:col>52</xdr:col>
      <xdr:colOff>221626</xdr:colOff>
      <xdr:row>58</xdr:row>
      <xdr:rowOff>58425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21564</xdr:colOff>
      <xdr:row>58</xdr:row>
      <xdr:rowOff>36517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M17" sqref="M17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8">
        <f>Tmaj</f>
        <v>44926</v>
      </c>
      <c r="D2" s="1218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9" t="str">
        <f>Station</f>
        <v>MdS Escalquens</v>
      </c>
      <c r="D3" s="1220"/>
      <c r="E3" s="1220"/>
      <c r="F3" s="1220"/>
      <c r="G3" s="1220"/>
      <c r="H3" s="1221"/>
      <c r="K3" s="21"/>
      <c r="L3" s="30"/>
      <c r="M3" s="30"/>
      <c r="N3" s="209" t="s">
        <v>164</v>
      </c>
      <c r="O3" s="706">
        <f>Salim_i</f>
        <v>0.1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2">
        <f>T0</f>
        <v>43481</v>
      </c>
      <c r="D4" s="1223"/>
      <c r="H4" s="33" t="s">
        <v>298</v>
      </c>
      <c r="I4" s="648">
        <f>Azi_pvG</f>
        <v>35</v>
      </c>
      <c r="J4" s="648">
        <f>Azi_pvD</f>
        <v>35</v>
      </c>
      <c r="K4" s="21"/>
      <c r="L4" s="30"/>
      <c r="M4" s="30"/>
      <c r="N4" s="82" t="s">
        <v>22</v>
      </c>
      <c r="O4" s="160">
        <f>Persistant</f>
        <v>0.5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6">
        <f>Tservice</f>
        <v>43476</v>
      </c>
      <c r="D5" s="1217"/>
      <c r="E5" s="95"/>
      <c r="H5" s="33" t="s">
        <v>15</v>
      </c>
      <c r="I5" s="649">
        <f>Ram_pv</f>
        <v>0.25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373</v>
      </c>
      <c r="K7" s="1224" t="s">
        <v>374</v>
      </c>
      <c r="L7" s="1225"/>
      <c r="M7" s="1206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MdS Escalquens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[1]!Inter_net</f>
        <v>2</v>
      </c>
      <c r="L8" s="557">
        <f>[1]!Inter_tai</f>
        <v>7</v>
      </c>
      <c r="N8" s="15"/>
    </row>
    <row r="9" spans="1:29" ht="15.75" x14ac:dyDescent="0.25">
      <c r="A9" s="29" t="s">
        <v>278</v>
      </c>
      <c r="B9" s="149">
        <f>AVERAGE(B11:B30)</f>
        <v>11148.419563374353</v>
      </c>
      <c r="C9" s="866">
        <f t="shared" ref="C9:J9" si="0">AVERAGE(C11:C30)</f>
        <v>428.43444876971887</v>
      </c>
      <c r="D9" s="867">
        <f t="shared" si="0"/>
        <v>6.8669125167143337</v>
      </c>
      <c r="E9" s="149">
        <f t="shared" si="0"/>
        <v>435.30136128643318</v>
      </c>
      <c r="F9" s="149">
        <f t="shared" si="0"/>
        <v>11583.720924660785</v>
      </c>
      <c r="G9" s="149">
        <f t="shared" si="0"/>
        <v>11996.805605230651</v>
      </c>
      <c r="H9" s="873">
        <f t="shared" si="0"/>
        <v>303.93869387172873</v>
      </c>
      <c r="I9" s="874">
        <f t="shared" si="0"/>
        <v>6.188436932895975</v>
      </c>
      <c r="J9" s="149">
        <f t="shared" si="0"/>
        <v>10837.101857325843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272</v>
      </c>
      <c r="N10" s="332" t="s">
        <v>273</v>
      </c>
      <c r="O10" s="100" t="s">
        <v>274</v>
      </c>
      <c r="P10" s="100" t="s">
        <v>275</v>
      </c>
      <c r="Q10" s="100" t="s">
        <v>276</v>
      </c>
      <c r="R10" s="100" t="s">
        <v>277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10258.270000000002</v>
      </c>
      <c r="C11" s="143">
        <f>'2019'!Wh_Psa</f>
        <v>160.22566753486308</v>
      </c>
      <c r="D11" s="328">
        <f>'2019'!Wh_Pvg</f>
        <v>0.60385858000374271</v>
      </c>
      <c r="E11" s="139">
        <f t="shared" ref="E11:E16" si="1">C11+D11</f>
        <v>160.82952611486681</v>
      </c>
      <c r="F11" s="139">
        <f t="shared" ref="F11:F16" si="2">B11+E11</f>
        <v>10419.099526114869</v>
      </c>
      <c r="G11" s="139">
        <f>'2019'!F$9</f>
        <v>10454.766750172004</v>
      </c>
      <c r="H11" s="145">
        <f>'2019'!Wh_gain_sa</f>
        <v>0</v>
      </c>
      <c r="I11" s="328">
        <f>'2019'!Wh_gain_vg</f>
        <v>0</v>
      </c>
      <c r="J11" s="139">
        <f>'2019'!Prod_an_s</f>
        <v>10258.270000000002</v>
      </c>
      <c r="K11" s="844" t="str">
        <f>IF('2019'!Acti_net,'2019'!Tnet,"")</f>
        <v/>
      </c>
      <c r="L11" s="845" t="str">
        <f>IF('2019'!Acti_tai,'2019'!Ttai,"")</f>
        <v/>
      </c>
      <c r="M11" s="856">
        <v>0</v>
      </c>
      <c r="N11" s="857">
        <v>0</v>
      </c>
      <c r="O11" s="369">
        <f>+'2019'!$AJ$3</f>
        <v>0</v>
      </c>
      <c r="P11" s="369">
        <f>+'2019'!$AJ$4</f>
        <v>0</v>
      </c>
      <c r="Q11" s="369">
        <f>+'2019'!$AK$3</f>
        <v>0</v>
      </c>
      <c r="R11" s="369">
        <f>+'2019'!$AK$4</f>
        <v>0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11377.776000000003</v>
      </c>
      <c r="C12" s="145">
        <f>'2020'!Wh_Psa</f>
        <v>461.22295909605776</v>
      </c>
      <c r="D12" s="329">
        <f>'2020'!Wh_Pvg</f>
        <v>2.2236812290549581</v>
      </c>
      <c r="E12" s="137">
        <f t="shared" si="1"/>
        <v>463.4466403251127</v>
      </c>
      <c r="F12" s="137">
        <f t="shared" si="2"/>
        <v>11841.222640325117</v>
      </c>
      <c r="G12" s="137">
        <f>'2020'!F$9</f>
        <v>11960.850030837801</v>
      </c>
      <c r="H12" s="145">
        <f>'2020'!Wh_gain_sa</f>
        <v>0</v>
      </c>
      <c r="I12" s="329">
        <f>'2020'!Wh_gain_vg</f>
        <v>0</v>
      </c>
      <c r="J12" s="137">
        <f>'2020'!Prod_an_s</f>
        <v>11377.776000000003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0</v>
      </c>
      <c r="N12" s="859">
        <f>Q12+R11+(L11="")*N11</f>
        <v>0</v>
      </c>
      <c r="O12" s="369">
        <f>+'2020'!$AJ$3</f>
        <v>0</v>
      </c>
      <c r="P12" s="369">
        <f>+'2020'!$AJ$4</f>
        <v>0</v>
      </c>
      <c r="Q12" s="369">
        <f>+'2020'!$AK$3</f>
        <v>0</v>
      </c>
      <c r="R12" s="369">
        <f>+'2020'!$AK$4</f>
        <v>0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10779.494999999999</v>
      </c>
      <c r="C13" s="145">
        <f>'2021'!Wh_Psa</f>
        <v>744.45236324571476</v>
      </c>
      <c r="D13" s="329">
        <f>'2021'!Wh_Pvg</f>
        <v>4.0582267976677597</v>
      </c>
      <c r="E13" s="137">
        <f t="shared" si="1"/>
        <v>748.51059004338254</v>
      </c>
      <c r="F13" s="137">
        <f t="shared" si="2"/>
        <v>11528.005590043382</v>
      </c>
      <c r="G13" s="137">
        <f>'2021'!F$9</f>
        <v>11726.850945378214</v>
      </c>
      <c r="H13" s="145">
        <f>'2021'!Wh_gain_sa</f>
        <v>0</v>
      </c>
      <c r="I13" s="329">
        <f>'2021'!Wh_gain_vg</f>
        <v>0</v>
      </c>
      <c r="J13" s="137">
        <f>'2021'!Prod_an_s</f>
        <v>10779.494999999999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0</v>
      </c>
      <c r="N13" s="859">
        <f>Q13+R12+(L12="")*N12</f>
        <v>0</v>
      </c>
      <c r="O13" s="369">
        <f>+'2021'!$AJ$3</f>
        <v>0</v>
      </c>
      <c r="P13" s="369">
        <f>+'2021'!$AJ$4</f>
        <v>0</v>
      </c>
      <c r="Q13" s="369">
        <f>+'2021'!$AK$3</f>
        <v>0</v>
      </c>
      <c r="R13" s="369">
        <f>+'2021'!$AK$4</f>
        <v>0</v>
      </c>
      <c r="S13" s="850"/>
      <c r="T13" s="850"/>
    </row>
    <row r="14" spans="1:29" s="19" customFormat="1" ht="12.75" x14ac:dyDescent="0.2">
      <c r="A14" s="363">
        <f>'2022'!An</f>
        <v>2022</v>
      </c>
      <c r="B14" s="364">
        <f>'2022'!Prod_an</f>
        <v>11548.403999999986</v>
      </c>
      <c r="C14" s="365">
        <f>'2022'!Wh_Psa</f>
        <v>413.32843494688854</v>
      </c>
      <c r="D14" s="366">
        <f>'2022'!Wh_Pvg</f>
        <v>7.0965647444791342</v>
      </c>
      <c r="E14" s="364">
        <f t="shared" si="1"/>
        <v>420.42499969136765</v>
      </c>
      <c r="F14" s="364">
        <f t="shared" si="2"/>
        <v>11968.828999691354</v>
      </c>
      <c r="G14" s="364">
        <f>'2022'!F$9</f>
        <v>12256.885350333485</v>
      </c>
      <c r="H14" s="365">
        <f>'2022'!Wh_gain_sa</f>
        <v>610.82984145338833</v>
      </c>
      <c r="I14" s="366">
        <f>'2022'!Wh_gain_vg</f>
        <v>-0.37798961774554662</v>
      </c>
      <c r="J14" s="364">
        <f>'2022'!Prod_an_s</f>
        <v>10933.292749598575</v>
      </c>
      <c r="K14" s="848">
        <f>IF('2022'!Acti_net,'2022'!Tnet,"")</f>
        <v>44683</v>
      </c>
      <c r="L14" s="849" t="str">
        <f>IF('2022'!Acti_tai,'2022'!Ttai,"")</f>
        <v/>
      </c>
      <c r="M14" s="860">
        <f t="shared" si="3"/>
        <v>-0.40329038973226261</v>
      </c>
      <c r="N14" s="861">
        <f>Q14+R13+(L13="")*N13</f>
        <v>0</v>
      </c>
      <c r="O14" s="369">
        <f>+'2022'!$AJ$3</f>
        <v>-0.40329038973226261</v>
      </c>
      <c r="P14" s="369">
        <f>+'2022'!$AJ$4</f>
        <v>610.51011334887289</v>
      </c>
      <c r="Q14" s="369">
        <f>+'2022'!$AK$3</f>
        <v>0</v>
      </c>
      <c r="R14" s="369">
        <f>+'2022'!$AK$4</f>
        <v>-0.37520003656309076</v>
      </c>
      <c r="S14" s="850"/>
      <c r="T14" s="850"/>
    </row>
    <row r="15" spans="1:29" s="19" customFormat="1" ht="12.75" x14ac:dyDescent="0.2">
      <c r="A15" s="361">
        <f>'2023'!An</f>
        <v>2023</v>
      </c>
      <c r="B15" s="362">
        <f>'2023'!Prod_an</f>
        <v>11607.655800753933</v>
      </c>
      <c r="C15" s="145">
        <f>'2023'!Wh_Psa</f>
        <v>261.49868312729609</v>
      </c>
      <c r="D15" s="329">
        <f>'2023'!Wh_Pvg</f>
        <v>10.271114150033224</v>
      </c>
      <c r="E15" s="362">
        <f t="shared" si="1"/>
        <v>271.7697972773293</v>
      </c>
      <c r="F15" s="362">
        <f t="shared" si="2"/>
        <v>11879.425598031263</v>
      </c>
      <c r="G15" s="362">
        <f>'2023'!F$9</f>
        <v>12255.163196378377</v>
      </c>
      <c r="H15" s="145">
        <f>'2023'!Wh_gain_sa</f>
        <v>387.53391521775529</v>
      </c>
      <c r="I15" s="329">
        <f>'2023'!Wh_gain_vg</f>
        <v>-0.34307640673979911</v>
      </c>
      <c r="J15" s="362">
        <f>'2023'!Prod_an_s</f>
        <v>11219.936144967403</v>
      </c>
      <c r="K15" s="846">
        <f>IF('2023'!Acti_net,'2023'!Tnet,"")</f>
        <v>45046</v>
      </c>
      <c r="L15" s="847" t="str">
        <f>IF('2023'!Acti_tai,'2023'!Ttai,"")</f>
        <v/>
      </c>
      <c r="M15" s="858">
        <f t="shared" si="3"/>
        <v>765.4046722904493</v>
      </c>
      <c r="N15" s="859">
        <f t="shared" ref="N15:N20" si="4">Q15+R14+(L14="")*N14</f>
        <v>-0.37520003656309076</v>
      </c>
      <c r="O15" s="369">
        <f>+'2023'!$AJ$3</f>
        <v>154.89455894157643</v>
      </c>
      <c r="P15" s="369">
        <f>+'2023'!$AJ$4</f>
        <v>232.80395585199844</v>
      </c>
      <c r="Q15" s="369">
        <f>+'2023'!$AK$3</f>
        <v>0</v>
      </c>
      <c r="R15" s="369">
        <f>+'2023'!$AK$4</f>
        <v>-0.34307640673979911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11265.777958780671</v>
      </c>
      <c r="C16" s="145">
        <f>'2024'!Wh_Psa</f>
        <v>531.40652587054456</v>
      </c>
      <c r="D16" s="329">
        <f>'2024'!Wh_Pvg</f>
        <v>13.59693274697625</v>
      </c>
      <c r="E16" s="362">
        <f t="shared" si="1"/>
        <v>545.00345861752078</v>
      </c>
      <c r="F16" s="362">
        <f t="shared" si="2"/>
        <v>11810.781417398191</v>
      </c>
      <c r="G16" s="362">
        <f>'2024'!F$9</f>
        <v>12270.194732146389</v>
      </c>
      <c r="H16" s="145">
        <f>'2024'!Wh_gain_sa</f>
        <v>222.18923803401719</v>
      </c>
      <c r="I16" s="329">
        <f>'2024'!Wh_gain_vg</f>
        <v>-0.2681971444405562</v>
      </c>
      <c r="J16" s="362">
        <f>'2024'!Prod_an_s</f>
        <v>11043.562438951889</v>
      </c>
      <c r="K16" s="846" t="str">
        <f>IF('2024'!Acti_net,'2024'!Tnet,"")</f>
        <v/>
      </c>
      <c r="L16" s="847" t="str">
        <f>IF('2024'!Acti_tai,'2024'!Ttai,"")</f>
        <v/>
      </c>
      <c r="M16" s="858">
        <f t="shared" si="3"/>
        <v>232.80395585199844</v>
      </c>
      <c r="N16" s="859">
        <f t="shared" si="4"/>
        <v>-0.71827644330288987</v>
      </c>
      <c r="O16" s="369">
        <f>+'2024'!$AJ$3</f>
        <v>0</v>
      </c>
      <c r="P16" s="369">
        <f>+'2024'!$AJ$4</f>
        <v>222.18923803401719</v>
      </c>
      <c r="Q16" s="369">
        <f>+'2024'!$AK$3</f>
        <v>0</v>
      </c>
      <c r="R16" s="369">
        <f>+'2024'!$AK$4</f>
        <v>-0.2681971444405562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11354.571438094881</v>
      </c>
      <c r="C17" s="145">
        <f>'2025'!Wh_Psa</f>
        <v>337.52397436493413</v>
      </c>
      <c r="D17" s="329">
        <f>'2025'!Wh_Pvg</f>
        <v>17.589062836515012</v>
      </c>
      <c r="E17" s="362">
        <f>C17+D17</f>
        <v>355.11303720144917</v>
      </c>
      <c r="F17" s="362">
        <f>B17+E17</f>
        <v>11709.68447529633</v>
      </c>
      <c r="G17" s="362">
        <f>'2025'!F$9</f>
        <v>12250.963809163772</v>
      </c>
      <c r="H17" s="145">
        <f>'2025'!Wh_gain_sa</f>
        <v>481.07328275251245</v>
      </c>
      <c r="I17" s="329">
        <f>'2025'!Wh_gain_vg</f>
        <v>-0.74489933654473006</v>
      </c>
      <c r="J17" s="362">
        <f>'2025'!Prod_an_s</f>
        <v>10873.703707414666</v>
      </c>
      <c r="K17" s="846">
        <f>IF('2025'!Acti_net,'2025'!Tnet,"")</f>
        <v>45777</v>
      </c>
      <c r="L17" s="847" t="str">
        <f>IF('2025'!Acti_tai,'2025'!Ttai,"")</f>
        <v/>
      </c>
      <c r="M17" s="858">
        <f t="shared" si="3"/>
        <v>497.83328547324493</v>
      </c>
      <c r="N17" s="859">
        <f t="shared" si="4"/>
        <v>-0.98647358774344607</v>
      </c>
      <c r="O17" s="369">
        <f>+'2025'!$AJ$3</f>
        <v>42.840091587229296</v>
      </c>
      <c r="P17" s="369">
        <f>+'2025'!$AJ$4</f>
        <v>437.99458927689557</v>
      </c>
      <c r="Q17" s="369">
        <f>+'2025'!$AK$3</f>
        <v>0</v>
      </c>
      <c r="R17" s="369">
        <f>+'2025'!$AK$4</f>
        <v>-0.74489933654473006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11103.940343747685</v>
      </c>
      <c r="C18" s="145">
        <f>'2026'!Wh_Psa</f>
        <v>523.75494363658675</v>
      </c>
      <c r="D18" s="329">
        <f>'2026'!Wh_Pvg</f>
        <v>6.8534697385830032</v>
      </c>
      <c r="E18" s="362">
        <f>C18+D18</f>
        <v>530.60841337516979</v>
      </c>
      <c r="F18" s="362">
        <f>B18+E18</f>
        <v>11634.548757122855</v>
      </c>
      <c r="G18" s="362">
        <f>'2026'!F$9</f>
        <v>12257.294210202432</v>
      </c>
      <c r="H18" s="145">
        <f>'2026'!Wh_gain_sa</f>
        <v>416.43456521431824</v>
      </c>
      <c r="I18" s="329">
        <f>'2026'!Wh_gain_vg</f>
        <v>14.006681016420869</v>
      </c>
      <c r="J18" s="362">
        <f>'2026'!Prod_an_s</f>
        <v>10671.964074135392</v>
      </c>
      <c r="K18" s="846" t="str">
        <f>IF('2026'!Acti_net,'2026'!Tnet,"")</f>
        <v/>
      </c>
      <c r="L18" s="847">
        <f>IF('2026'!Acti_tai,'2026'!Ttai,"")</f>
        <v>46112</v>
      </c>
      <c r="M18" s="858">
        <f t="shared" si="3"/>
        <v>437.99458927689557</v>
      </c>
      <c r="N18" s="859">
        <f t="shared" si="4"/>
        <v>-1.9905656115842785</v>
      </c>
      <c r="O18" s="369">
        <f>+'2026'!$AJ$3</f>
        <v>0</v>
      </c>
      <c r="P18" s="369">
        <f>+'2026'!$AJ$4</f>
        <v>416.43456521431824</v>
      </c>
      <c r="Q18" s="369">
        <f>+'2026'!$AK$3</f>
        <v>-0.25919268729610234</v>
      </c>
      <c r="R18" s="369">
        <f>+'2026'!$AK$4</f>
        <v>14.212830834618932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11219.764130359434</v>
      </c>
      <c r="C19" s="145">
        <f>'2027'!Wh_Psa</f>
        <v>333.51525537009707</v>
      </c>
      <c r="D19" s="329">
        <f>'2027'!Wh_Pvg</f>
        <v>2.2506695781423165</v>
      </c>
      <c r="E19" s="362">
        <f>C19+D19</f>
        <v>335.76592494823939</v>
      </c>
      <c r="F19" s="362">
        <f>B19+E19</f>
        <v>11555.530055307672</v>
      </c>
      <c r="G19" s="362">
        <f>'2027'!F$9</f>
        <v>12259.55272996912</v>
      </c>
      <c r="H19" s="145">
        <f>'2027'!Wh_gain_sa</f>
        <v>511.45098183573771</v>
      </c>
      <c r="I19" s="329">
        <f>'2027'!Wh_gain_vg</f>
        <v>23.296142216023533</v>
      </c>
      <c r="J19" s="362">
        <f>'2027'!Prod_an_s</f>
        <v>10683.191400132873</v>
      </c>
      <c r="K19" s="846">
        <f>IF('2027'!Acti_net,'2027'!Tnet,"")</f>
        <v>46507</v>
      </c>
      <c r="L19" s="847" t="str">
        <f>IF('2027'!Acti_tai,'2027'!Ttai,"")</f>
        <v/>
      </c>
      <c r="M19" s="858">
        <f t="shared" si="3"/>
        <v>934.68247939508524</v>
      </c>
      <c r="N19" s="859">
        <f t="shared" si="4"/>
        <v>14.212830834618932</v>
      </c>
      <c r="O19" s="369">
        <f>+'2027'!$AJ$3</f>
        <v>80.25332490387143</v>
      </c>
      <c r="P19" s="369">
        <f>+'2027'!$AJ$4</f>
        <v>431.04877992887884</v>
      </c>
      <c r="Q19" s="369">
        <f>+'2027'!$AK$3</f>
        <v>0</v>
      </c>
      <c r="R19" s="369">
        <f>+'2027'!$AK$4</f>
        <v>23.296142216023533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10968.54096200694</v>
      </c>
      <c r="C20" s="145">
        <f>'2028'!Wh_Psa</f>
        <v>517.41568050420562</v>
      </c>
      <c r="D20" s="329">
        <f>'2028'!Wh_Pvg</f>
        <v>4.1255447656879296</v>
      </c>
      <c r="E20" s="362">
        <f>C20+D20</f>
        <v>521.54122526989352</v>
      </c>
      <c r="F20" s="362">
        <f>B20+E20</f>
        <v>11490.082187276834</v>
      </c>
      <c r="G20" s="362">
        <f>'2028'!F$9</f>
        <v>12275.534297724907</v>
      </c>
      <c r="H20" s="145">
        <f>'2028'!Wh_gain_sa</f>
        <v>409.87511420955752</v>
      </c>
      <c r="I20" s="329">
        <f>'2028'!Wh_gain_vg</f>
        <v>26.315708601985985</v>
      </c>
      <c r="J20" s="362">
        <f>'2028'!Prod_an_s</f>
        <v>10529.827058057614</v>
      </c>
      <c r="K20" s="846" t="str">
        <f>IF('2028'!Acti_net,'2028'!Tnet,"")</f>
        <v/>
      </c>
      <c r="L20" s="847" t="str">
        <f>IF('2028'!Acti_tai,'2028'!Ttai,"")</f>
        <v/>
      </c>
      <c r="M20" s="858">
        <f t="shared" si="3"/>
        <v>431.04877992887884</v>
      </c>
      <c r="N20" s="859">
        <f t="shared" si="4"/>
        <v>37.508973050642467</v>
      </c>
      <c r="O20" s="369">
        <f>+'2028'!$AJ$3</f>
        <v>0</v>
      </c>
      <c r="P20" s="369">
        <f>+'2028'!$AJ$4</f>
        <v>409.87511420955752</v>
      </c>
      <c r="Q20" s="369">
        <f>+'2028'!$AK$3</f>
        <v>0</v>
      </c>
      <c r="R20" s="369">
        <f>+'2028'!$AK$4</f>
        <v>26.315708601985985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369</v>
      </c>
      <c r="B31" s="869">
        <f>SUM(B11:B14)/1000</f>
        <v>43.963944999999995</v>
      </c>
      <c r="C31" s="870">
        <f t="shared" ref="C31:J31" si="5">SUM(C11:C14)/1000</f>
        <v>1.7792294248235243</v>
      </c>
      <c r="D31" s="871">
        <f t="shared" si="5"/>
        <v>1.3982331351205595E-2</v>
      </c>
      <c r="E31" s="869">
        <f t="shared" si="5"/>
        <v>1.7932117561747298</v>
      </c>
      <c r="F31" s="869">
        <f t="shared" si="5"/>
        <v>45.757156756174723</v>
      </c>
      <c r="G31" s="869">
        <f t="shared" si="5"/>
        <v>46.399353076721496</v>
      </c>
      <c r="H31" s="870">
        <f t="shared" si="5"/>
        <v>0.61082984145338837</v>
      </c>
      <c r="I31" s="871">
        <f t="shared" si="5"/>
        <v>-3.7798961774554663E-4</v>
      </c>
      <c r="J31" s="869">
        <f t="shared" si="5"/>
        <v>43.348833749598576</v>
      </c>
      <c r="K31" s="1203" t="s">
        <v>10</v>
      </c>
      <c r="L31" s="3"/>
      <c r="M31" s="1204" t="s">
        <v>370</v>
      </c>
      <c r="N31" s="1204" t="s">
        <v>371</v>
      </c>
      <c r="O31" s="1204" t="s">
        <v>371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7" t="s">
        <v>375</v>
      </c>
      <c r="B32" s="1208">
        <f>IF(K16&lt;&gt;"",B15-H16-C16+C15-D16+D15,B16)</f>
        <v>11265.777958780671</v>
      </c>
      <c r="J32" s="355" t="s">
        <v>252</v>
      </c>
      <c r="K32" s="68">
        <f>[2]!Inter_net</f>
        <v>2</v>
      </c>
      <c r="L32" s="68">
        <f>[2]!Inter_tai</f>
        <v>7</v>
      </c>
      <c r="M32" s="1205">
        <f>Inter_net</f>
        <v>2</v>
      </c>
      <c r="N32" s="1205">
        <f>CHOOSE(Inter_net,N33,N34,N35,N36)</f>
        <v>467.78945856695742</v>
      </c>
      <c r="O32" s="1209">
        <f>CHOOSE(Inter_net,O33,O34,O35,O36)</f>
        <v>4.1523049742193542E-2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278</v>
      </c>
      <c r="B33" s="1155">
        <f t="shared" ref="B33:J33" si="6">AVERAGE(B35:B54)</f>
        <v>3.7275408454865079E-2</v>
      </c>
      <c r="C33" s="1156">
        <f t="shared" si="6"/>
        <v>4.3928112096220294E-2</v>
      </c>
      <c r="D33" s="1157">
        <f t="shared" si="6"/>
        <v>4.8638112415806695E-3</v>
      </c>
      <c r="E33" s="1155">
        <f t="shared" si="6"/>
        <v>3.5417203522540998E-2</v>
      </c>
      <c r="F33" s="1156">
        <f t="shared" si="6"/>
        <v>3.7114601061669625E-2</v>
      </c>
      <c r="G33" s="1157">
        <f t="shared" si="6"/>
        <v>5.6348168950333258E-4</v>
      </c>
      <c r="H33" s="1158">
        <f t="shared" si="6"/>
        <v>2.6827588523158669E-2</v>
      </c>
      <c r="I33" s="1159">
        <f t="shared" si="6"/>
        <v>5.058035340878527E-4</v>
      </c>
      <c r="J33" s="1160">
        <f t="shared" si="6"/>
        <v>6.9937554384957981E-2</v>
      </c>
      <c r="K33" s="341"/>
      <c r="L33" s="21"/>
      <c r="M33" s="369">
        <v>1</v>
      </c>
      <c r="N33" s="1210">
        <f>O33*$B$32</f>
        <v>467.78945856695742</v>
      </c>
      <c r="O33" s="1211">
        <f>AVERAGE(H19:H20)/AVERAGE(B19:B20)</f>
        <v>4.1523049742193542E-2</v>
      </c>
      <c r="P33" s="15"/>
    </row>
    <row r="34" spans="1:28" s="239" customFormat="1" ht="41.25" customHeight="1" x14ac:dyDescent="0.2">
      <c r="A34" s="174" t="s">
        <v>52</v>
      </c>
      <c r="B34" s="1161" t="s">
        <v>356</v>
      </c>
      <c r="C34" s="1162" t="s">
        <v>357</v>
      </c>
      <c r="D34" s="1163" t="s">
        <v>358</v>
      </c>
      <c r="E34" s="1161" t="s">
        <v>359</v>
      </c>
      <c r="F34" s="331" t="s">
        <v>360</v>
      </c>
      <c r="G34" s="332" t="s">
        <v>361</v>
      </c>
      <c r="H34" s="331" t="s">
        <v>362</v>
      </c>
      <c r="I34" s="332" t="s">
        <v>363</v>
      </c>
      <c r="J34" s="174" t="s">
        <v>364</v>
      </c>
      <c r="K34" s="331" t="s">
        <v>365</v>
      </c>
      <c r="L34" s="331" t="s">
        <v>366</v>
      </c>
      <c r="M34" s="369">
        <v>2</v>
      </c>
      <c r="N34" s="1212">
        <f>O34*$B$32</f>
        <v>467.78945856695742</v>
      </c>
      <c r="O34" s="1213">
        <f>AVERAGE(H19:H20)/AVERAGE(B19:B20)</f>
        <v>4.1523049742193542E-2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55">
        <f>'2019'!L$379</f>
        <v>6.6662507799323256E-3</v>
      </c>
      <c r="C35" s="1156">
        <f>'2019'!O$379</f>
        <v>2.7308975443746754E-2</v>
      </c>
      <c r="D35" s="1157">
        <f>'2019'!P$379</f>
        <v>8.0061439634258381E-4</v>
      </c>
      <c r="E35" s="1155">
        <f>'2019'!Wh_Ppv/Recap!B11</f>
        <v>3.4223456565418034E-3</v>
      </c>
      <c r="F35" s="1156">
        <f>'2019'!Wh_Psa/'2019'!D$9</f>
        <v>1.5565898553265435E-2</v>
      </c>
      <c r="G35" s="1157">
        <f>'2019'!Wh_Pvg/'2019'!E$9</f>
        <v>5.7762563325848303E-5</v>
      </c>
      <c r="H35" s="1164">
        <f>H11/'2019'!Z$9</f>
        <v>0</v>
      </c>
      <c r="I35" s="1165">
        <f>I11/'2019'!AA$9</f>
        <v>0</v>
      </c>
      <c r="J35" s="1166">
        <f>1-B11/G11</f>
        <v>1.8794943480567761E-2</v>
      </c>
      <c r="K35" s="846" t="str">
        <f>K11</f>
        <v/>
      </c>
      <c r="L35" s="1167">
        <f>(K35&lt;&gt;"")*('2019'!O$383-'2019'!O$381)</f>
        <v>0</v>
      </c>
      <c r="M35" s="369">
        <v>3</v>
      </c>
      <c r="N35" s="1212">
        <f>O35*$B$32</f>
        <v>452.68543392973135</v>
      </c>
      <c r="O35" s="1213">
        <f>AVERAGE(H18:H20)/AVERAGE(B18:B20)</f>
        <v>4.0182350085899161E-2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55">
        <f>'2020'!L$379</f>
        <v>1.3590580922124507E-2</v>
      </c>
      <c r="C36" s="1156">
        <f>'2020'!O$379</f>
        <v>4.7932032830255378E-2</v>
      </c>
      <c r="D36" s="1157">
        <f>'2020'!P$379</f>
        <v>2.2617238558164409E-3</v>
      </c>
      <c r="E36" s="1155">
        <f>'2020'!Wh_Ppv/Recap!B12</f>
        <v>1.0094932119871306E-2</v>
      </c>
      <c r="F36" s="1156">
        <f>'2020'!Wh_Psa/'2020'!D$9</f>
        <v>4.0132050151129466E-2</v>
      </c>
      <c r="G36" s="1157">
        <f>'2020'!Wh_Pvg/'2020'!E$9</f>
        <v>1.859496458260074E-4</v>
      </c>
      <c r="H36" s="1164">
        <f>H12/'2020'!Z$9</f>
        <v>0</v>
      </c>
      <c r="I36" s="1165">
        <f>I12/'2020'!AA$9</f>
        <v>0</v>
      </c>
      <c r="J36" s="1166">
        <f t="shared" ref="J36:J43" si="8">1-B12/G12</f>
        <v>4.8748544571205144E-2</v>
      </c>
      <c r="K36" s="846" t="str">
        <f t="shared" ref="K36:K43" si="9">K12</f>
        <v/>
      </c>
      <c r="L36" s="1167">
        <f>(K36&lt;&gt;"")*('2020'!O$383-'2020'!O$381)</f>
        <v>0</v>
      </c>
      <c r="M36" s="369">
        <v>4</v>
      </c>
      <c r="N36" s="1212">
        <f>O36*$B$32</f>
        <v>458.94826981429634</v>
      </c>
      <c r="O36" s="1213">
        <f>AVERAGE(H17:H20)/AVERAGE(B17:B20)</f>
        <v>4.0738266943792109E-2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55">
        <f>'2021'!L$379</f>
        <v>2.0485415482358049E-2</v>
      </c>
      <c r="C37" s="1156">
        <f>'2021'!O$379</f>
        <v>7.6892590398950827E-2</v>
      </c>
      <c r="D37" s="1157">
        <f>'2021'!P$379</f>
        <v>3.7240078315400943E-3</v>
      </c>
      <c r="E37" s="1155">
        <f>'2021'!Wh_Ppv/Recap!B13</f>
        <v>1.72241640195442E-2</v>
      </c>
      <c r="F37" s="1156">
        <f>'2021'!Wh_Psa/'2021'!D$9</f>
        <v>6.7892504425883932E-2</v>
      </c>
      <c r="G37" s="1157">
        <f>'2021'!Wh_Pvg/'2021'!E$9</f>
        <v>3.4619307806434271E-4</v>
      </c>
      <c r="H37" s="1164">
        <f>H13/'2021'!Z$9</f>
        <v>0</v>
      </c>
      <c r="I37" s="1165">
        <f>I13/'2021'!AA$9</f>
        <v>0</v>
      </c>
      <c r="J37" s="1166">
        <f t="shared" si="8"/>
        <v>8.0785195428068945E-2</v>
      </c>
      <c r="K37" s="846" t="str">
        <f t="shared" si="9"/>
        <v/>
      </c>
      <c r="L37" s="1167">
        <f>(K37&lt;&gt;"")*('2021'!O$383-'2021'!O$381)</f>
        <v>0</v>
      </c>
      <c r="M37" s="369"/>
      <c r="N37" s="1214" t="s">
        <v>372</v>
      </c>
      <c r="O37" s="1215"/>
      <c r="P37" s="369"/>
      <c r="Q37" s="369"/>
      <c r="R37" s="369"/>
      <c r="S37" s="850"/>
      <c r="T37" s="850"/>
    </row>
    <row r="38" spans="1:28" s="19" customFormat="1" ht="12.75" x14ac:dyDescent="0.2">
      <c r="A38" s="363">
        <f t="shared" si="7"/>
        <v>2022</v>
      </c>
      <c r="B38" s="1168">
        <f>'2022'!L$379</f>
        <v>2.7313415001772201E-2</v>
      </c>
      <c r="C38" s="1169">
        <f>'2022'!O$379</f>
        <v>2.8403635158934293E-2</v>
      </c>
      <c r="D38" s="1170">
        <f>'2022'!P$379</f>
        <v>5.7798171275246042E-3</v>
      </c>
      <c r="E38" s="1168">
        <f>'2022'!Wh_Ppv/Recap!B14</f>
        <v>2.404548100932373E-2</v>
      </c>
      <c r="F38" s="1169">
        <f>'2022'!Wh_Psa/'2022'!D$9</f>
        <v>3.4950554449981144E-2</v>
      </c>
      <c r="G38" s="1170">
        <f>'2022'!Wh_Pvg/'2022'!E$9</f>
        <v>5.7934176781997777E-4</v>
      </c>
      <c r="H38" s="1171">
        <f>H14/'2022'!Z$9</f>
        <v>5.453741519504305E-2</v>
      </c>
      <c r="I38" s="1172">
        <f>I14/'2022'!AA$9</f>
        <v>-3.0857912419197609E-5</v>
      </c>
      <c r="J38" s="1173">
        <f t="shared" si="8"/>
        <v>5.7802723129348865E-2</v>
      </c>
      <c r="K38" s="848">
        <f t="shared" si="9"/>
        <v>44683</v>
      </c>
      <c r="L38" s="1174">
        <f>(K38&lt;&gt;"")*('2022'!O$383-'2022'!O$381)</f>
        <v>7.7380301204591356E-2</v>
      </c>
      <c r="M38" s="369"/>
      <c r="N38" s="369"/>
      <c r="O38" s="369"/>
      <c r="P38" s="369"/>
      <c r="Q38" s="369"/>
      <c r="R38" s="369"/>
      <c r="S38" s="850"/>
      <c r="T38" s="850"/>
    </row>
    <row r="39" spans="1:28" s="19" customFormat="1" ht="12.75" x14ac:dyDescent="0.2">
      <c r="A39" s="1175">
        <f t="shared" si="7"/>
        <v>2023</v>
      </c>
      <c r="B39" s="1176">
        <f>'2023'!L$379</f>
        <v>3.4093817907339008E-2</v>
      </c>
      <c r="C39" s="1177">
        <f>'2023'!O$379</f>
        <v>3.0717100718906487E-2</v>
      </c>
      <c r="D39" s="1178">
        <f>'2023'!P$379</f>
        <v>7.8366820364742275E-3</v>
      </c>
      <c r="E39" s="1176">
        <f>'2023'!Wh_Ppv/Recap!B15</f>
        <v>3.16091794443049E-2</v>
      </c>
      <c r="F39" s="1177">
        <f>'2023'!Wh_Psa/'2023'!D$9</f>
        <v>2.1837845378128454E-2</v>
      </c>
      <c r="G39" s="1178">
        <f>'2023'!Wh_Pvg/'2023'!E$9</f>
        <v>8.3884665192708097E-4</v>
      </c>
      <c r="H39" s="1176">
        <f>H15/'2023'!Z$9</f>
        <v>3.3480916400459707E-2</v>
      </c>
      <c r="I39" s="1179">
        <f>I15/'2023'!AA$9</f>
        <v>-2.8019209108675227E-5</v>
      </c>
      <c r="J39" s="1178">
        <f t="shared" si="8"/>
        <v>5.2835477198361014E-2</v>
      </c>
      <c r="K39" s="846">
        <f t="shared" si="9"/>
        <v>45046</v>
      </c>
      <c r="L39" s="1167">
        <f>(K39&lt;&gt;"")*('2023'!O$383-'2023'!O$381)</f>
        <v>2.844312099522291E-2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75">
        <f t="shared" si="7"/>
        <v>2024</v>
      </c>
      <c r="B40" s="1176">
        <f>'2024'!L$379</f>
        <v>4.0826955985498015E-2</v>
      </c>
      <c r="C40" s="1177">
        <f>'2024'!O$379</f>
        <v>5.553086165786543E-2</v>
      </c>
      <c r="D40" s="1178">
        <f>'2024'!P$379</f>
        <v>9.8239658169652268E-3</v>
      </c>
      <c r="E40" s="1176">
        <f>'2024'!Wh_Ppv/Recap!B16</f>
        <v>3.8841378898109846E-2</v>
      </c>
      <c r="F40" s="1177">
        <f>'2024'!Wh_Psa/'2024'!D$9</f>
        <v>4.5406335741412854E-2</v>
      </c>
      <c r="G40" s="1178">
        <f>'2024'!Wh_Pvg/'2024'!E$9</f>
        <v>1.1094643159716569E-3</v>
      </c>
      <c r="H40" s="1176">
        <f>H16/'2024'!Z$9</f>
        <v>1.936705656973518E-2</v>
      </c>
      <c r="I40" s="1179">
        <f>I16/'2024'!AA$9</f>
        <v>-2.1883991554526519E-5</v>
      </c>
      <c r="J40" s="1178">
        <f t="shared" si="8"/>
        <v>8.1858258592609756E-2</v>
      </c>
      <c r="K40" s="846" t="str">
        <f t="shared" si="9"/>
        <v/>
      </c>
      <c r="L40" s="1167">
        <f>(K40&lt;&gt;"")*('2024'!O$383-'2024'!O$381)</f>
        <v>0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75">
        <f t="shared" si="7"/>
        <v>2025</v>
      </c>
      <c r="B41" s="1176">
        <f>'2025'!L$379</f>
        <v>4.7531412902888204E-2</v>
      </c>
      <c r="C41" s="1177">
        <f>'2025'!O$379</f>
        <v>3.0717100718906487E-2</v>
      </c>
      <c r="D41" s="1178">
        <f>'2025'!P$379</f>
        <v>1.1811125822457712E-2</v>
      </c>
      <c r="E41" s="1176">
        <f>'2025'!Wh_Ppv/Recap!B17</f>
        <v>4.6178216108120347E-2</v>
      </c>
      <c r="F41" s="1177">
        <f>'2025'!Wh_Psa/'2025'!D$9</f>
        <v>2.8413727197449987E-2</v>
      </c>
      <c r="G41" s="1178">
        <f>'2025'!Wh_Pvg/'2025'!E$9</f>
        <v>1.4379529527304002E-3</v>
      </c>
      <c r="H41" s="1176">
        <f>H17/'2025'!Z$9</f>
        <v>4.2289807239122255E-2</v>
      </c>
      <c r="I41" s="1179">
        <f>I17/'2025'!AA$9</f>
        <v>-6.0897514007837714E-5</v>
      </c>
      <c r="J41" s="1178">
        <f t="shared" si="8"/>
        <v>7.3169130611453248E-2</v>
      </c>
      <c r="K41" s="846">
        <f t="shared" si="9"/>
        <v>45777</v>
      </c>
      <c r="L41" s="1167">
        <f>(K41&lt;&gt;"")*('2025'!O$383-'2025'!O$381)</f>
        <v>5.4382788040927707E-2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75">
        <f t="shared" si="7"/>
        <v>2026</v>
      </c>
      <c r="B42" s="1176">
        <f>'2026'!L$379</f>
        <v>5.4170880204090999E-2</v>
      </c>
      <c r="C42" s="1177">
        <f>'2026'!O$379</f>
        <v>5.553086165786543E-2</v>
      </c>
      <c r="D42" s="1178">
        <f>'2026'!P$379</f>
        <v>7.6060271030869628E-4</v>
      </c>
      <c r="E42" s="1176">
        <f>'2026'!Wh_Ppv/Recap!B18</f>
        <v>5.3496264048092095E-2</v>
      </c>
      <c r="F42" s="1177">
        <f>'2026'!Wh_Psa/'2026'!D$9</f>
        <v>4.4773187674224085E-2</v>
      </c>
      <c r="G42" s="1178">
        <f>'2026'!Wh_Pvg/'2026'!E$9</f>
        <v>5.5947908691621E-4</v>
      </c>
      <c r="H42" s="1176">
        <f>H18/'2026'!Z$9</f>
        <v>3.7039801379179949E-2</v>
      </c>
      <c r="I42" s="1179">
        <f>I18/'2026'!AA$9</f>
        <v>1.1449557457196588E-3</v>
      </c>
      <c r="J42" s="1178">
        <f t="shared" si="8"/>
        <v>9.409530738804861E-2</v>
      </c>
      <c r="K42" s="846" t="str">
        <f t="shared" si="9"/>
        <v/>
      </c>
      <c r="L42" s="1167">
        <f>(K42&lt;&gt;"")*('2026'!O$383-'2026'!O$381)</f>
        <v>0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75">
        <f t="shared" si="7"/>
        <v>2027</v>
      </c>
      <c r="B43" s="1176">
        <f>'2027'!L$379</f>
        <v>6.0764065111689525E-2</v>
      </c>
      <c r="C43" s="1177">
        <f>'2027'!O$379</f>
        <v>3.0717100718906487E-2</v>
      </c>
      <c r="D43" s="1178">
        <f>'2027'!P$379</f>
        <v>2.1886444213267279E-3</v>
      </c>
      <c r="E43" s="1176">
        <f>'2027'!Wh_Ppv/Recap!B19</f>
        <v>6.0919031228565623E-2</v>
      </c>
      <c r="F43" s="1177">
        <f>'2027'!Wh_Psa/'2027'!D$9</f>
        <v>2.8018813264228781E-2</v>
      </c>
      <c r="G43" s="1178">
        <f>'2027'!Wh_Pvg/'2027'!E$9</f>
        <v>1.8362179347101166E-4</v>
      </c>
      <c r="H43" s="1176">
        <f>H19/'2027'!Z$9</f>
        <v>4.5125869220654292E-2</v>
      </c>
      <c r="I43" s="1179">
        <f>I19/'2027'!AA$9</f>
        <v>1.9047881276773552E-3</v>
      </c>
      <c r="J43" s="1178">
        <f t="shared" si="8"/>
        <v>8.4814562367179103E-2</v>
      </c>
      <c r="K43" s="846">
        <f t="shared" si="9"/>
        <v>46507</v>
      </c>
      <c r="L43" s="1167">
        <f>(K43&lt;&gt;"")*('2027'!O$383-'2027'!O$381)</f>
        <v>5.4332738267748204E-2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75">
        <f t="shared" si="7"/>
        <v>2028</v>
      </c>
      <c r="B44" s="1176">
        <f>'2028'!L$379</f>
        <v>6.7311290250957945E-2</v>
      </c>
      <c r="C44" s="1177">
        <f>'2028'!O$379</f>
        <v>5.553086165786543E-2</v>
      </c>
      <c r="D44" s="1178">
        <f>'2028'!P$379</f>
        <v>3.6509283970503803E-3</v>
      </c>
      <c r="E44" s="1176">
        <f>'2028'!Wh_Ppv/Recap!B20</f>
        <v>6.8341042692936116E-2</v>
      </c>
      <c r="F44" s="1177">
        <f>'2028'!Wh_Psa/'2028'!D$9</f>
        <v>4.4155093780992215E-2</v>
      </c>
      <c r="G44" s="1178">
        <f>'2028'!Wh_Pvg/'2028'!E$9</f>
        <v>3.3620503898079105E-4</v>
      </c>
      <c r="H44" s="1176">
        <f>H20/'2028'!Z$9</f>
        <v>3.643501922739225E-2</v>
      </c>
      <c r="I44" s="1179">
        <f>I20/'2028'!AA$9</f>
        <v>2.14995009457175E-3</v>
      </c>
      <c r="J44" s="1178">
        <f>1-B20/G20</f>
        <v>0.10647140108273734</v>
      </c>
      <c r="K44" s="846" t="str">
        <f>K20</f>
        <v/>
      </c>
      <c r="L44" s="1167">
        <f>(K44&lt;&gt;"")*('2028'!O$383-'2028'!O$381)</f>
        <v>0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80"/>
      <c r="D45" s="1181"/>
      <c r="E45" s="852"/>
      <c r="F45" s="1180"/>
      <c r="G45" s="1181"/>
      <c r="H45" s="1182"/>
      <c r="I45" s="700"/>
      <c r="J45" s="1181"/>
      <c r="K45" s="862"/>
      <c r="L45" s="1181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80"/>
      <c r="D46" s="1181"/>
      <c r="E46" s="852"/>
      <c r="F46" s="1180"/>
      <c r="G46" s="1181"/>
      <c r="H46" s="1182"/>
      <c r="I46" s="700"/>
      <c r="J46" s="1181"/>
      <c r="K46" s="862"/>
      <c r="L46" s="1181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80"/>
      <c r="D47" s="1181"/>
      <c r="E47" s="852"/>
      <c r="F47" s="1180"/>
      <c r="G47" s="1181"/>
      <c r="H47" s="1182"/>
      <c r="I47" s="700"/>
      <c r="J47" s="1181"/>
      <c r="K47" s="862"/>
      <c r="L47" s="1181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80"/>
      <c r="D48" s="1181"/>
      <c r="E48" s="852"/>
      <c r="F48" s="1180"/>
      <c r="G48" s="1181"/>
      <c r="H48" s="1182"/>
      <c r="I48" s="700"/>
      <c r="J48" s="1181"/>
      <c r="K48" s="862"/>
      <c r="L48" s="1181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80"/>
      <c r="D49" s="1181"/>
      <c r="E49" s="852"/>
      <c r="F49" s="1180"/>
      <c r="G49" s="1181"/>
      <c r="H49" s="1182"/>
      <c r="I49" s="700"/>
      <c r="J49" s="1181"/>
      <c r="K49" s="862"/>
      <c r="L49" s="1181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80"/>
      <c r="D50" s="1181"/>
      <c r="E50" s="852"/>
      <c r="F50" s="1180"/>
      <c r="G50" s="1181"/>
      <c r="H50" s="1182"/>
      <c r="I50" s="700"/>
      <c r="J50" s="1181"/>
      <c r="K50" s="862"/>
      <c r="L50" s="1181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80"/>
      <c r="D51" s="1181"/>
      <c r="E51" s="852"/>
      <c r="F51" s="1180"/>
      <c r="G51" s="1181"/>
      <c r="H51" s="1182"/>
      <c r="I51" s="700"/>
      <c r="J51" s="1181"/>
      <c r="K51" s="862"/>
      <c r="L51" s="1181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80"/>
      <c r="D52" s="1181"/>
      <c r="E52" s="852"/>
      <c r="F52" s="1180"/>
      <c r="G52" s="1181"/>
      <c r="H52" s="1182"/>
      <c r="I52" s="700"/>
      <c r="J52" s="1181"/>
      <c r="K52" s="862"/>
      <c r="L52" s="1181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80"/>
      <c r="D53" s="1181"/>
      <c r="E53" s="852"/>
      <c r="F53" s="1180"/>
      <c r="G53" s="1181"/>
      <c r="H53" s="1182"/>
      <c r="I53" s="700"/>
      <c r="J53" s="1181"/>
      <c r="K53" s="862"/>
      <c r="L53" s="1181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83"/>
      <c r="E54" s="854"/>
      <c r="F54" s="703"/>
      <c r="G54" s="1183"/>
      <c r="H54" s="1184"/>
      <c r="I54" s="703"/>
      <c r="J54" s="1183"/>
      <c r="K54" s="864"/>
      <c r="L54" s="1183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85"/>
      <c r="B55" s="700"/>
      <c r="C55" s="701"/>
      <c r="D55" s="698"/>
      <c r="E55" s="700"/>
      <c r="F55" s="700"/>
      <c r="G55" s="700"/>
      <c r="H55" s="701"/>
      <c r="I55" s="698"/>
      <c r="J55" s="700"/>
      <c r="K55" s="1186"/>
      <c r="L55" s="1186"/>
      <c r="M55" s="700"/>
      <c r="N55" s="1187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2.8393130194936202</v>
      </c>
      <c r="C57" s="368">
        <f t="shared" ref="C57:N57" si="10">MIN(C$61:C$80)</f>
        <v>3.8352602199359671</v>
      </c>
      <c r="D57" s="368">
        <f t="shared" si="10"/>
        <v>4.9343736438164036</v>
      </c>
      <c r="E57" s="368">
        <f t="shared" si="10"/>
        <v>5.8856120137422634</v>
      </c>
      <c r="F57" s="368">
        <f t="shared" si="10"/>
        <v>6.3493906295843976</v>
      </c>
      <c r="G57" s="368">
        <f t="shared" si="10"/>
        <v>6.2996216165917165</v>
      </c>
      <c r="H57" s="368">
        <f t="shared" si="10"/>
        <v>6.0664766500359129</v>
      </c>
      <c r="I57" s="368">
        <f t="shared" si="10"/>
        <v>5.6390792190540946</v>
      </c>
      <c r="J57" s="368">
        <f t="shared" si="10"/>
        <v>4.9322016133338913</v>
      </c>
      <c r="K57" s="368">
        <f t="shared" si="10"/>
        <v>3.9275759644331294</v>
      </c>
      <c r="L57" s="368">
        <f t="shared" si="10"/>
        <v>2.9346139059089875</v>
      </c>
      <c r="M57" s="368">
        <f t="shared" si="10"/>
        <v>2.4073483588895233</v>
      </c>
      <c r="N57" s="368">
        <f t="shared" si="10"/>
        <v>4.6948723358524056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2.9292140871939845</v>
      </c>
      <c r="C58" s="368">
        <f t="shared" ref="C58:N58" si="11">AVERAGE(C$61:C$80)</f>
        <v>3.9633929675240958</v>
      </c>
      <c r="D58" s="368">
        <f t="shared" si="11"/>
        <v>5.1039736517126908</v>
      </c>
      <c r="E58" s="368">
        <f t="shared" si="11"/>
        <v>6.0763049911577198</v>
      </c>
      <c r="F58" s="368">
        <f t="shared" si="11"/>
        <v>6.6153396032311411</v>
      </c>
      <c r="G58" s="368">
        <f t="shared" si="11"/>
        <v>6.6002123170034155</v>
      </c>
      <c r="H58" s="368">
        <f t="shared" si="11"/>
        <v>6.3537560130065813</v>
      </c>
      <c r="I58" s="368">
        <f t="shared" si="11"/>
        <v>5.9027414465265071</v>
      </c>
      <c r="J58" s="368">
        <f t="shared" si="11"/>
        <v>5.158664198617255</v>
      </c>
      <c r="K58" s="368">
        <f t="shared" si="11"/>
        <v>4.1026899043393197</v>
      </c>
      <c r="L58" s="368">
        <f t="shared" si="11"/>
        <v>3.0617794485289265</v>
      </c>
      <c r="M58" s="368">
        <f t="shared" si="11"/>
        <v>2.512261658100793</v>
      </c>
      <c r="N58" s="368">
        <f t="shared" si="11"/>
        <v>4.8701921191726836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3.070426909927114</v>
      </c>
      <c r="C59" s="368">
        <f t="shared" ref="C59:N59" si="12">MAX(C$61:C$80)</f>
        <v>4.1464141105098493</v>
      </c>
      <c r="D59" s="368">
        <f t="shared" si="12"/>
        <v>5.3334430058244333</v>
      </c>
      <c r="E59" s="368">
        <f t="shared" si="12"/>
        <v>6.3479853871903362</v>
      </c>
      <c r="F59" s="368">
        <f t="shared" si="12"/>
        <v>6.8278826894412559</v>
      </c>
      <c r="G59" s="368">
        <f t="shared" si="12"/>
        <v>6.9312393969065518</v>
      </c>
      <c r="H59" s="368">
        <f t="shared" si="12"/>
        <v>6.6749068975496648</v>
      </c>
      <c r="I59" s="368">
        <f t="shared" si="12"/>
        <v>6.2034049318622841</v>
      </c>
      <c r="J59" s="368">
        <f t="shared" si="12"/>
        <v>5.4247462361335632</v>
      </c>
      <c r="K59" s="368">
        <f t="shared" si="12"/>
        <v>4.32011202477889</v>
      </c>
      <c r="L59" s="368">
        <f t="shared" si="12"/>
        <v>3.2280215515929003</v>
      </c>
      <c r="M59" s="368">
        <f t="shared" si="12"/>
        <v>2.648736386140448</v>
      </c>
      <c r="N59" s="368">
        <f t="shared" si="12"/>
        <v>5.0615953464234718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6.9312393969065518</v>
      </c>
      <c r="H61" s="344">
        <f>AVERAGE('2019'!$V$196:$V$226)/Pc</f>
        <v>6.6749068975496648</v>
      </c>
      <c r="I61" s="344">
        <f>AVERAGE('2019'!$V$227:$V$257)/Pc</f>
        <v>6.2034049318622841</v>
      </c>
      <c r="J61" s="346">
        <f>AVERAGE('2019'!$V$258:$V$287)/Pc</f>
        <v>5.4247462361335632</v>
      </c>
      <c r="K61" s="347">
        <f>AVERAGE('2019'!$V$288:$V$318)/Pc</f>
        <v>4.32011202477889</v>
      </c>
      <c r="L61" s="344">
        <f>AVERAGE('2019'!$V$319:$V$348)/Pc</f>
        <v>3.2280215515929003</v>
      </c>
      <c r="M61" s="348">
        <f>AVERAGE('2019'!$V$349:$V$379)/Pc</f>
        <v>2.648736386140448</v>
      </c>
      <c r="N61" s="352">
        <f t="shared" ref="N61:N66" si="13">AVERAGE(B61:M61)</f>
        <v>5.0615953464234718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3.070426909927114</v>
      </c>
      <c r="C62" s="349">
        <f>AVERAGE('2020'!$V$46:$V$73)/Pc</f>
        <v>4.1464141105098493</v>
      </c>
      <c r="D62" s="349">
        <f>AVERAGE('2020'!$V$74:$V$104)/Pc</f>
        <v>5.3334430058244333</v>
      </c>
      <c r="E62" s="350">
        <f>AVERAGE('2020'!$V$105:$V$134)/Pc</f>
        <v>6.3479853871903362</v>
      </c>
      <c r="F62" s="349">
        <f>AVERAGE('2020'!$V$135:$V$165)/Pc</f>
        <v>6.7529534386004508</v>
      </c>
      <c r="G62" s="349">
        <f>AVERAGE('2020'!$V$166:$V$195)/Pc</f>
        <v>6.7034214799798253</v>
      </c>
      <c r="H62" s="349">
        <f>AVERAGE('2020'!$V$196:$V$226)/Pc</f>
        <v>6.4582863180280903</v>
      </c>
      <c r="I62" s="349">
        <f>AVERAGE('2020'!$V$227:$V$257)/Pc</f>
        <v>6.0058108988083099</v>
      </c>
      <c r="J62" s="347">
        <f>AVERAGE('2020'!$V$258:$V$287)/Pc</f>
        <v>5.255224625846604</v>
      </c>
      <c r="K62" s="347">
        <f>AVERAGE('2020'!$V$288:$V$318)/Pc</f>
        <v>4.1873218015246989</v>
      </c>
      <c r="L62" s="349">
        <f>AVERAGE('2020'!$V$319:$V$348)/Pc</f>
        <v>3.1306340287514041</v>
      </c>
      <c r="M62" s="351">
        <f>AVERAGE('2020'!$V$349:$V$379)/Pc</f>
        <v>2.5698281531515299</v>
      </c>
      <c r="N62" s="353">
        <f t="shared" si="13"/>
        <v>4.9968125131785532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2.9799067222601106</v>
      </c>
      <c r="C63" s="349">
        <f>AVERAGE('2021'!$V$46:$V$74)/Pc</f>
        <v>4.0421124486868134</v>
      </c>
      <c r="D63" s="349">
        <f>AVERAGE('2021'!$V$75:$V$105)/Pc</f>
        <v>5.2100825706933103</v>
      </c>
      <c r="E63" s="350">
        <f>AVERAGE('2021'!$V$106:$V$135)/Pc</f>
        <v>6.1726724922776386</v>
      </c>
      <c r="F63" s="349">
        <f>AVERAGE('2021'!$V$136:$V$166)/Pc</f>
        <v>6.5380112598129001</v>
      </c>
      <c r="G63" s="349">
        <f>AVERAGE('2021'!$V$167:$V$196)/Pc</f>
        <v>6.472103286577207</v>
      </c>
      <c r="H63" s="349">
        <f>AVERAGE('2021'!$V$197:$V$227)/Pc</f>
        <v>6.2236644747693068</v>
      </c>
      <c r="I63" s="349">
        <f>AVERAGE('2021'!$V$228:$V$258)/Pc</f>
        <v>5.7737114984722719</v>
      </c>
      <c r="J63" s="347">
        <f>AVERAGE('2021'!$V$259:$V$288)/Pc</f>
        <v>5.0350849772225166</v>
      </c>
      <c r="K63" s="347">
        <f>AVERAGE('2021'!$V$289:$V$319)/Pc</f>
        <v>3.9959664461716846</v>
      </c>
      <c r="L63" s="349">
        <f>AVERAGE('2021'!$V$320:$V$349)/Pc</f>
        <v>2.9850745856133689</v>
      </c>
      <c r="M63" s="351">
        <f>AVERAGE('2021'!$V$350:$V$380)/Pc</f>
        <v>2.4663596141793152</v>
      </c>
      <c r="N63" s="354">
        <f t="shared" si="13"/>
        <v>4.8245625313947045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2.8675341085356125</v>
      </c>
      <c r="C64" s="349">
        <f>AVERAGE('2022'!$V$46:$V$73)/Pc</f>
        <v>3.8758390763918746</v>
      </c>
      <c r="D64" s="349">
        <f>AVERAGE('2022'!$V$74:$V$104)/Pc</f>
        <v>4.9880585981936472</v>
      </c>
      <c r="E64" s="350">
        <f>AVERAGE('2022'!$V$105:$V$134)/Pc</f>
        <v>5.935667615320714</v>
      </c>
      <c r="F64" s="349">
        <f>AVERAGE('2022'!$V$135:$V$165)/Pc</f>
        <v>6.8278826894412559</v>
      </c>
      <c r="G64" s="349">
        <f>AVERAGE('2022'!$V$166:$V$195)/Pc</f>
        <v>6.7907648824577409</v>
      </c>
      <c r="H64" s="349">
        <f>AVERAGE('2022'!$V$196:$V$226)/Pc</f>
        <v>6.5367115058508141</v>
      </c>
      <c r="I64" s="349">
        <f>AVERAGE('2022'!$V$227:$V$257)/Pc</f>
        <v>6.0719113553862982</v>
      </c>
      <c r="J64" s="347">
        <f>AVERAGE('2022'!$V$258:$V$287)/Pc</f>
        <v>5.3061208808902416</v>
      </c>
      <c r="K64" s="347">
        <f>AVERAGE('2022'!$V$288:$V$318)/Pc</f>
        <v>4.2189801886897591</v>
      </c>
      <c r="L64" s="349">
        <f>AVERAGE('2022'!$V$319:$V$348)/Pc</f>
        <v>3.14623853744328</v>
      </c>
      <c r="M64" s="351">
        <f>AVERAGE('2022'!$V$349:$V$379)/Pc</f>
        <v>2.5777020953999492</v>
      </c>
      <c r="N64" s="353">
        <f t="shared" si="13"/>
        <v>4.9286176278334315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4">
        <f>'2023'!An</f>
        <v>2023</v>
      </c>
      <c r="B65" s="545">
        <f>AVERAGE('2023'!$V$15:$V$45)/Pc</f>
        <v>2.9922277822116787</v>
      </c>
      <c r="C65" s="545">
        <f>AVERAGE('2023'!$V$46:$V$73)/Pc</f>
        <v>4.0478613578341625</v>
      </c>
      <c r="D65" s="545">
        <f>AVERAGE('2023'!$V$74:$V$104)/Pc</f>
        <v>5.2125692652464251</v>
      </c>
      <c r="E65" s="547">
        <f>AVERAGE('2023'!$V$105:$V$134)/Pc</f>
        <v>6.2122828745724714</v>
      </c>
      <c r="F65" s="545">
        <f>AVERAGE('2023'!$V$135:$V$165)/Pc</f>
        <v>6.7947117177172061</v>
      </c>
      <c r="G65" s="545">
        <f>AVERAGE('2023'!$V$166:$V$195)/Pc</f>
        <v>6.7395511700847717</v>
      </c>
      <c r="H65" s="545">
        <f>AVERAGE('2023'!$V$196:$V$226)/Pc</f>
        <v>6.4856883996110684</v>
      </c>
      <c r="I65" s="545">
        <f>AVERAGE('2023'!$V$227:$V$257)/Pc</f>
        <v>6.0225105975803892</v>
      </c>
      <c r="J65" s="545">
        <f>AVERAGE('2023'!$V$258:$V$287)/Pc</f>
        <v>5.2605564433135159</v>
      </c>
      <c r="K65" s="545">
        <f>AVERAGE('2023'!$V$288:$V$318)/Pc</f>
        <v>4.1791020723331229</v>
      </c>
      <c r="L65" s="545">
        <f>AVERAGE('2023'!$V$319:$V$348)/Pc</f>
        <v>3.1130669456744129</v>
      </c>
      <c r="M65" s="546">
        <f>AVERAGE('2023'!$V$349:$V$379)/Pc</f>
        <v>2.5486368643487731</v>
      </c>
      <c r="N65" s="552">
        <f t="shared" si="13"/>
        <v>4.9673971242106667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2.9589527327298955</v>
      </c>
      <c r="C66" s="545">
        <f>AVERAGE('2024'!$V$46:$V$73)/Pc</f>
        <v>4.0048477476971662</v>
      </c>
      <c r="D66" s="545">
        <f>AVERAGE('2024'!$V$74:$V$104)/Pc</f>
        <v>5.1579989704739226</v>
      </c>
      <c r="E66" s="547">
        <f>AVERAGE('2024'!$V$105:$V$134)/Pc</f>
        <v>6.139412884445175</v>
      </c>
      <c r="F66" s="545">
        <f>AVERAGE('2024'!$V$135:$V$165)/Pc</f>
        <v>6.5286212637740766</v>
      </c>
      <c r="G66" s="545">
        <f>AVERAGE('2024'!$V$166:$V$195)/Pc</f>
        <v>6.4775666660575952</v>
      </c>
      <c r="H66" s="545">
        <f>AVERAGE('2024'!$V$196:$V$226)/Pc</f>
        <v>6.2374097050619168</v>
      </c>
      <c r="I66" s="545">
        <f>AVERAGE('2024'!$V$227:$V$257)/Pc</f>
        <v>5.7967226381182675</v>
      </c>
      <c r="J66" s="545">
        <f>AVERAGE('2024'!$V$258:$V$287)/Pc</f>
        <v>5.0669937801252836</v>
      </c>
      <c r="K66" s="545">
        <f>AVERAGE('2024'!$V$288:$V$318)/Pc</f>
        <v>4.0267643956403312</v>
      </c>
      <c r="L66" s="545">
        <f>AVERAGE('2024'!$V$319:$V$348)/Pc</f>
        <v>3.000999201461259</v>
      </c>
      <c r="M66" s="546">
        <f>AVERAGE('2024'!$V$349:$V$379)/Pc</f>
        <v>2.4599372413007918</v>
      </c>
      <c r="N66" s="552">
        <f t="shared" si="13"/>
        <v>4.8213522689071402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2.85854164669272</v>
      </c>
      <c r="C67" s="545">
        <f>AVERAGE('2025'!$V$46:$V$73)/Pc</f>
        <v>3.8751227409778264</v>
      </c>
      <c r="D67" s="545">
        <f>AVERAGE('2025'!$V$74:$V$104)/Pc</f>
        <v>4.9977217613230644</v>
      </c>
      <c r="E67" s="547">
        <f>AVERAGE('2025'!$V$105:$V$134)/Pc</f>
        <v>5.9655079531667576</v>
      </c>
      <c r="F67" s="545">
        <f>AVERAGE('2025'!$V$135:$V$165)/Pc</f>
        <v>6.6992326528427775</v>
      </c>
      <c r="G67" s="545">
        <f>AVERAGE('2025'!$V$166:$V$195)/Pc</f>
        <v>6.6449549683591895</v>
      </c>
      <c r="H67" s="545">
        <f>AVERAGE('2025'!$V$196:$V$226)/Pc</f>
        <v>6.3943211202448005</v>
      </c>
      <c r="I67" s="545">
        <f>AVERAGE('2025'!$V$227:$V$257)/Pc</f>
        <v>5.9366259108056747</v>
      </c>
      <c r="J67" s="545">
        <f>AVERAGE('2025'!$V$258:$V$287)/Pc</f>
        <v>5.1828291545619543</v>
      </c>
      <c r="K67" s="545">
        <f>AVERAGE('2025'!$V$288:$V$318)/Pc</f>
        <v>4.1105016585307101</v>
      </c>
      <c r="L67" s="545">
        <f>AVERAGE('2025'!$V$319:$V$348)/Pc</f>
        <v>3.0563518744025302</v>
      </c>
      <c r="M67" s="546">
        <f>AVERAGE('2025'!$V$349:$V$379)/Pc</f>
        <v>2.5027899280147059</v>
      </c>
      <c r="N67" s="552">
        <f>AVERAGE(B67:M67)</f>
        <v>4.8520417808268927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2.9064682713959926</v>
      </c>
      <c r="C68" s="545">
        <f>AVERAGE('2026'!$V$46:$V$73)/Pc</f>
        <v>3.9407989723064367</v>
      </c>
      <c r="D68" s="545">
        <f>AVERAGE('2026'!$V$74:$V$104)/Pc</f>
        <v>5.0826295724715429</v>
      </c>
      <c r="E68" s="547">
        <f>AVERAGE('2026'!$V$105:$V$134)/Pc</f>
        <v>6.0561647295542516</v>
      </c>
      <c r="F68" s="545">
        <f>AVERAGE('2026'!$V$135:$V$165)/Pc</f>
        <v>6.4392437632125841</v>
      </c>
      <c r="G68" s="545">
        <f>AVERAGE('2026'!$V$166:$V$195)/Pc</f>
        <v>6.3886880364233924</v>
      </c>
      <c r="H68" s="545">
        <f>AVERAGE('2026'!$V$196:$V$226)/Pc</f>
        <v>6.1524277850722342</v>
      </c>
      <c r="I68" s="545">
        <f>AVERAGE('2026'!$V$227:$V$257)/Pc</f>
        <v>5.7194522891144528</v>
      </c>
      <c r="J68" s="545">
        <f>AVERAGE('2026'!$V$258:$V$287)/Pc</f>
        <v>5.0035430368453131</v>
      </c>
      <c r="K68" s="545">
        <f>AVERAGE('2026'!$V$288:$V$318)/Pc</f>
        <v>3.9873058273562325</v>
      </c>
      <c r="L68" s="545">
        <f>AVERAGE('2026'!$V$319:$V$348)/Pc</f>
        <v>2.9820801042839102</v>
      </c>
      <c r="M68" s="546">
        <f>AVERAGE('2026'!$V$349:$V$379)/Pc</f>
        <v>2.4485342447102507</v>
      </c>
      <c r="N68" s="552">
        <f>AVERAGE(B68:M68)</f>
        <v>4.758944719395549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2.8393130194936202</v>
      </c>
      <c r="C69" s="545">
        <f>AVERAGE('2027'!$V$46:$V$73)/Pc</f>
        <v>3.8352602199359671</v>
      </c>
      <c r="D69" s="545">
        <f>AVERAGE('2027'!$V$74:$V$104)/Pc</f>
        <v>4.9343736438164036</v>
      </c>
      <c r="E69" s="547">
        <f>AVERAGE('2027'!$V$105:$V$134)/Pc</f>
        <v>5.8856120137422634</v>
      </c>
      <c r="F69" s="545">
        <f>AVERAGE('2027'!$V$135:$V$165)/Pc</f>
        <v>6.6080090140946126</v>
      </c>
      <c r="G69" s="545">
        <f>AVERAGE('2027'!$V$166:$V$195)/Pc</f>
        <v>6.5542116665961689</v>
      </c>
      <c r="H69" s="545">
        <f>AVERAGE('2027'!$V$196:$V$226)/Pc</f>
        <v>6.307667273842017</v>
      </c>
      <c r="I69" s="545">
        <f>AVERAGE('2027'!$V$227:$V$257)/Pc</f>
        <v>5.8581851260630255</v>
      </c>
      <c r="J69" s="545">
        <f>AVERAGE('2027'!$V$258:$V$287)/Pc</f>
        <v>5.1193412378996763</v>
      </c>
      <c r="K69" s="545">
        <f>AVERAGE('2027'!$V$288:$V$318)/Pc</f>
        <v>4.0732686639346323</v>
      </c>
      <c r="L69" s="545">
        <f>AVERAGE('2027'!$V$319:$V$348)/Pc</f>
        <v>3.0407137501572152</v>
      </c>
      <c r="M69" s="546">
        <f>AVERAGE('2027'!$V$349:$V$379)/Pc</f>
        <v>2.4927436948726402</v>
      </c>
      <c r="N69" s="552">
        <f>AVERAGE(B69:M69)</f>
        <v>4.7957249437040206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2.8895555914991142</v>
      </c>
      <c r="C70" s="545">
        <f>AVERAGE('2028'!$V$46:$V$73)/Pc</f>
        <v>3.9022800333767682</v>
      </c>
      <c r="D70" s="545">
        <f>AVERAGE('2028'!$V$74:$V$104)/Pc</f>
        <v>5.0188854773714677</v>
      </c>
      <c r="E70" s="547">
        <f>AVERAGE('2028'!$V$105:$V$134)/Pc</f>
        <v>5.9714389701498707</v>
      </c>
      <c r="F70" s="545">
        <f>AVERAGE('2028'!$V$135:$V$165)/Pc</f>
        <v>6.3493906295843976</v>
      </c>
      <c r="G70" s="545">
        <f>AVERAGE('2028'!$V$166:$V$195)/Pc</f>
        <v>6.2996216165917165</v>
      </c>
      <c r="H70" s="545">
        <f>AVERAGE('2028'!$V$196:$V$226)/Pc</f>
        <v>6.0664766500359129</v>
      </c>
      <c r="I70" s="545">
        <f>AVERAGE('2028'!$V$227:$V$257)/Pc</f>
        <v>5.6390792190540946</v>
      </c>
      <c r="J70" s="545">
        <f>AVERAGE('2028'!$V$258:$V$287)/Pc</f>
        <v>4.9322016133338913</v>
      </c>
      <c r="K70" s="545">
        <f>AVERAGE('2028'!$V$288:$V$318)/Pc</f>
        <v>3.9275759644331294</v>
      </c>
      <c r="L70" s="545">
        <f>AVERAGE('2028'!$V$319:$V$348)/Pc</f>
        <v>2.9346139059089875</v>
      </c>
      <c r="M70" s="546">
        <f>AVERAGE('2028'!$V$349:$V$379)/Pc</f>
        <v>2.4073483588895233</v>
      </c>
      <c r="N70" s="552">
        <f>AVERAGE(B70:M70)</f>
        <v>4.6948723358524056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1" priority="7" stopIfTrue="1">
      <formula>K12&lt;&gt;""</formula>
    </cfRule>
  </conditionalFormatting>
  <conditionalFormatting sqref="N12:N30">
    <cfRule type="expression" dxfId="50" priority="6" stopIfTrue="1">
      <formula>$L12&lt;&gt;""</formula>
    </cfRule>
  </conditionalFormatting>
  <conditionalFormatting sqref="M55">
    <cfRule type="expression" dxfId="49" priority="5" stopIfTrue="1">
      <formula>K55&lt;&gt;""</formula>
    </cfRule>
  </conditionalFormatting>
  <conditionalFormatting sqref="N55">
    <cfRule type="expression" dxfId="48" priority="4" stopIfTrue="1">
      <formula>$L55&lt;&gt;""</formula>
    </cfRule>
  </conditionalFormatting>
  <conditionalFormatting sqref="L45:L54 L35:L42">
    <cfRule type="expression" dxfId="47" priority="3" stopIfTrue="1">
      <formula>K35&lt;&gt;""</formula>
    </cfRule>
  </conditionalFormatting>
  <conditionalFormatting sqref="L43">
    <cfRule type="expression" dxfId="46" priority="2" stopIfTrue="1">
      <formula>K43&lt;&gt;""</formula>
    </cfRule>
  </conditionalFormatting>
  <conditionalFormatting sqref="L44">
    <cfRule type="expression" dxfId="45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'2023'!An+1</f>
        <v>2024</v>
      </c>
      <c r="K1" s="1279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222.18923803401719</v>
      </c>
      <c r="AK4" s="822">
        <f>AM12-AK12</f>
        <v>-0.2681971444405562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222.18923803401719</v>
      </c>
      <c r="AA5" s="236">
        <f>Wh_Pvg_s-Wh_Pvg</f>
        <v>-0.2681971444405562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11265.777958780671</v>
      </c>
      <c r="AK6" s="514">
        <f>SUMIF(AK15:AK380,"FAUX",Wh)</f>
        <v>11265.777958780671</v>
      </c>
      <c r="AL6" s="514">
        <f>SUMIF(AJ15:AJ380,"FAUX",Wh_s)</f>
        <v>11043.562438951889</v>
      </c>
      <c r="AM6" s="514">
        <f>SUMIF(AK15:AK380,"FAUX",Wh_s)</f>
        <v>11043.562438951889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11703.356309059645</v>
      </c>
      <c r="AK8" s="514">
        <f>SUMIF(AK15:AK380,"FAUX",Wh_sa)</f>
        <v>12255.403397150456</v>
      </c>
      <c r="AL8" s="514">
        <f>SUMIF(AJ15:AJ380,"FAUX",Wh_pvt_s)</f>
        <v>11472.535190568473</v>
      </c>
      <c r="AM8" s="514">
        <f>SUMIF(AK15:AK380,"FAUX",Wh_sa_s)</f>
        <v>12255.403397150456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11703.356309059645</v>
      </c>
      <c r="E9" s="184">
        <f>SUM(E$15:E$380)</f>
        <v>12255.403397150456</v>
      </c>
      <c r="F9" s="184">
        <f>SUM(F$15:F$380)</f>
        <v>12270.194732146389</v>
      </c>
      <c r="H9" s="1280">
        <f>+SUM(Wh)</f>
        <v>11265.777958780671</v>
      </c>
      <c r="I9" s="1281"/>
      <c r="J9" s="1282"/>
      <c r="K9" s="191"/>
      <c r="L9" s="231"/>
      <c r="M9" s="231"/>
      <c r="N9" s="231"/>
      <c r="O9" s="222">
        <f>Tnet_2024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11043.562438951889</v>
      </c>
      <c r="Y9" s="1275"/>
      <c r="Z9" s="514">
        <f>SUM(Z$15:Z$380)</f>
        <v>11472.535190568473</v>
      </c>
      <c r="AA9" s="514">
        <f>SUM(AA$15:AA$380)</f>
        <v>12255.403397150456</v>
      </c>
      <c r="AB9" s="514">
        <f>F9</f>
        <v>12270.194732146389</v>
      </c>
      <c r="AC9" s="324">
        <f>IF(An_Tnet,Tnet,'2023'!Tnet_s)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8.0000000000000002E-3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3.6209984050359023E-2</v>
      </c>
      <c r="AD10" s="426"/>
      <c r="AE10" s="426"/>
      <c r="AF10" s="259"/>
      <c r="AG10" s="260"/>
      <c r="AH10" s="261"/>
      <c r="AI10" s="471"/>
      <c r="AJ10" s="514">
        <f>SUMIF(AJ15:AJ380,"FAUX",Wh_sa)</f>
        <v>12255.403397150456</v>
      </c>
      <c r="AK10" s="514">
        <f>SUMIF(AK15:AK380,"FAUX",Wh_hp)</f>
        <v>12270.194732146389</v>
      </c>
      <c r="AL10" s="514">
        <f>SUMIF(AJ15:AJ380,"FAUX",Wh_sa_s)</f>
        <v>12255.403397150456</v>
      </c>
      <c r="AM10" s="514">
        <f>SUMIF(AK15:AK380,"FAUX",Wh_hp)</f>
        <v>12270.194732146389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437.57835027897454</v>
      </c>
      <c r="E11" s="51">
        <f>(E$9-D$9)*Prod_an/D$9</f>
        <v>531.40652587054456</v>
      </c>
      <c r="F11" s="186">
        <f>(F$9-E$9)*Prod_an/E$9</f>
        <v>13.59693274697625</v>
      </c>
      <c r="G11" s="185" t="s">
        <v>6</v>
      </c>
      <c r="K11" s="194"/>
      <c r="L11" s="211">
        <f>Tvie_2024</f>
        <v>43481</v>
      </c>
      <c r="M11" s="831"/>
      <c r="N11" s="831"/>
      <c r="O11" s="202">
        <f>IF(An_Tnet,Salim_2024,'2023'!Salim)</f>
        <v>0.10999999999999999</v>
      </c>
      <c r="P11" s="255">
        <f>Ttai_2024</f>
        <v>43466</v>
      </c>
      <c r="Q11" s="271">
        <f>Dens_2024</f>
        <v>0.6</v>
      </c>
      <c r="R11" s="276"/>
      <c r="S11" s="229"/>
      <c r="T11" s="229"/>
      <c r="U11" s="265">
        <f>Htf_2024</f>
        <v>1.499112150127309</v>
      </c>
      <c r="V11" s="426"/>
      <c r="W11" s="517"/>
      <c r="X11" s="524" t="s">
        <v>43</v>
      </c>
      <c r="Y11" s="50">
        <f>Z$9-Prod_an_s</f>
        <v>428.97275161658399</v>
      </c>
      <c r="Z11" s="51">
        <f>(AA$9-Z$9)*Prod_an_s/Z$9</f>
        <v>753.59576390456175</v>
      </c>
      <c r="AA11" s="186">
        <f>(AB$9-AA$9)*Prod_an_s/AA$9</f>
        <v>13.328735602535694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Pspv_2024</f>
        <v>0</v>
      </c>
      <c r="M12" s="212"/>
      <c r="N12" s="212"/>
      <c r="O12" s="205">
        <f>IF(An_Tnet,Tau_2024*365,'2023'!Tau_j)</f>
        <v>973.33333333333326</v>
      </c>
      <c r="P12" s="280">
        <f>INDEX(Croivg,MIN(MAX(Ttai-$A$15,0)+1,366))</f>
        <v>2.3909964587625958E-6</v>
      </c>
      <c r="Q12" s="279">
        <f>'2023'!Df</f>
        <v>0.6</v>
      </c>
      <c r="R12" s="277"/>
      <c r="S12" s="278"/>
      <c r="T12" s="278"/>
      <c r="U12" s="266">
        <f>'2023'!Hdf</f>
        <v>0.99911215012730903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'2023'!Df_s</f>
        <v>0.6</v>
      </c>
      <c r="AF12" s="203"/>
      <c r="AG12" s="203"/>
      <c r="AH12" s="203"/>
      <c r="AI12" s="296">
        <f>'2023'!Hdf_s</f>
        <v>0.99911215012730903</v>
      </c>
      <c r="AJ12" s="821">
        <f>IF($AJ8=0,0,($AJ10-$AJ8)*$AJ6/$AJ8)</f>
        <v>531.40652587054456</v>
      </c>
      <c r="AK12" s="822">
        <f>IF($AK8=0,0,($AK10-$AK8)*$AK6/$AK8)</f>
        <v>13.59693274697625</v>
      </c>
      <c r="AL12" s="821">
        <f>IF($AL8=0,0,($AL10-$AL8)*$AL6/$AL8)</f>
        <v>753.59576390456175</v>
      </c>
      <c r="AM12" s="822">
        <f>IF($AM8=0,0,($AM10-$AM8)*$AM6/$AM8)</f>
        <v>13.328735602535694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531.40652587054456</v>
      </c>
      <c r="AK13" s="73">
        <f>+AK11+AK12</f>
        <v>13.59693274697625</v>
      </c>
      <c r="AL13" s="73">
        <f>+AL11+AL12</f>
        <v>753.59576390456175</v>
      </c>
      <c r="AM13" s="73">
        <f>+AM11+AM12</f>
        <v>13.328735602535694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'2023'!Wh/'2023'!Env_an*'2024'!Env_an</f>
        <v>23.644842828432907</v>
      </c>
      <c r="C15" s="829"/>
      <c r="D15" s="391">
        <f t="shared" ref="D15:D78" si="0">Wh/(1-Ppv)</f>
        <v>24.479909564206277</v>
      </c>
      <c r="E15" s="398">
        <f t="shared" ref="E15:E79" si="1">Wh_pvt/(1-Psa)</f>
        <v>25.257780360666491</v>
      </c>
      <c r="F15" s="398">
        <f t="shared" ref="F15:F78" si="2">Wh_sa/(1-Pvg*MEDIAN((-Sdif+Wh/Env_an)/Csdif,0,1))</f>
        <v>25.454097031999812</v>
      </c>
      <c r="G15" s="123">
        <f>+Wh_hp/MaxiM</f>
        <v>1.0174061864224482</v>
      </c>
      <c r="H15" s="412" t="b">
        <f>Wh_hp&gt;='2023'!Maxi_hp</f>
        <v>1</v>
      </c>
      <c r="I15" s="394">
        <f>IF(H15,Wh_hp,'2023'!Maxi_hp)</f>
        <v>25.454097031999812</v>
      </c>
      <c r="J15" s="84">
        <f>IF(H15,An,'2023'!An_max)</f>
        <v>2024</v>
      </c>
      <c r="K15" s="197">
        <f t="shared" ref="K15:K78" si="3">t</f>
        <v>45292</v>
      </c>
      <c r="L15" s="146">
        <f>IF(t&lt;Tvie,1-EXP((T0-t)*PertePVj)+'2023'!Pspv,1-EXP((T0-t)*PertePVj)+Pspv)</f>
        <v>3.411232927896013E-2</v>
      </c>
      <c r="M15" s="832"/>
      <c r="N15" s="832"/>
      <c r="O15" s="48">
        <f>IF(t&lt;Tnet,'2023'!Resal+('2023'!Salim-'2023'!Resal)*(1-EXP(('2023'!Tnet-t)/('2023'!Tau_j))),Resal+(Salim-Resal)*(1-EXP((Tnet-t)/(Tau_j))))*Salcycl</f>
        <v>3.079727455669783E-2</v>
      </c>
      <c r="P15" s="301">
        <f>(INDEX(Models!$BJ15:$BT15,,T15)*(1-R15)+INDEX(Models!$BJ15:$BT15,,T15+1)*R15-ERP_i)*Q15*Ramure*Pc/MaxiM</f>
        <v>7.7125765288989989E-3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0.99911334562553844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0.99911334562553844</v>
      </c>
      <c r="V15" s="381">
        <f t="shared" ref="V15:V78" si="9">MaxiM*(1-Ppv)*(1-Pvg)*(1-Psa)</f>
        <v>23.240317529006141</v>
      </c>
      <c r="W15" s="400">
        <f t="shared" ref="W15:W78" si="10">Wh*(A15&gt;Tmaj)</f>
        <v>23.644842828432907</v>
      </c>
      <c r="X15" s="156">
        <f t="shared" ref="X15:X78" si="11">t</f>
        <v>45292</v>
      </c>
      <c r="Y15" s="383">
        <f t="shared" ref="Y15:Y78" si="12">Wh_pvt_s*(1-Ppv)</f>
        <v>23.11002035618414</v>
      </c>
      <c r="Z15" s="383">
        <f>Wh_sa_s*(1-Psa_s)</f>
        <v>23.92619872550231</v>
      </c>
      <c r="AA15" s="384">
        <f t="shared" ref="AA15:AA78" si="13">Wh_hp*(1-Pvg_s*MEDIAN((-Sdif+Wh/Env_an)/Csdif,0,1))</f>
        <v>25.257780360666491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5.2719661670580967E-2</v>
      </c>
      <c r="AD15" s="230">
        <f>(INDEX(Models!$BJ15:$BT15,,AH15)*(1-AF15)+INDEX(Models!$BJ15:$BT15,,AH15+1)*AF15-ERP_i)*AE15*Ramure*Pc/MaxiM</f>
        <v>7.7125765288989989E-3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0.99911334562553844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0.99911334562553844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'2023'!Wh/'2023'!Env_an*'2024'!Env_an</f>
        <v>16.307333198095684</v>
      </c>
      <c r="C16" s="829"/>
      <c r="D16" s="391">
        <f t="shared" si="0"/>
        <v>16.883584111009512</v>
      </c>
      <c r="E16" s="383">
        <f t="shared" si="1"/>
        <v>17.421515841955021</v>
      </c>
      <c r="F16" s="383">
        <f t="shared" si="2"/>
        <v>17.496843162709325</v>
      </c>
      <c r="G16" s="110">
        <f t="shared" ref="G16:G79" si="21">+Wh_hp/MaxiM</f>
        <v>0.69501963592801264</v>
      </c>
      <c r="H16" s="412" t="b">
        <f>Wh_hp&gt;='2023'!Maxi_hp</f>
        <v>0</v>
      </c>
      <c r="I16" s="388">
        <f>IF(H16,Wh_hp,'2023'!Maxi_hp)</f>
        <v>24.084283353934023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3.4130840295815146E-2</v>
      </c>
      <c r="M16" s="832"/>
      <c r="N16" s="832"/>
      <c r="O16" s="48">
        <f>IF(t&lt;Tnet,'2023'!Resal+('2023'!Salim-'2023'!Resal)*(1-EXP(('2023'!Tnet-t)/('2023'!Tau_j))),Resal+(Salim-Resal)*(1-EXP((Tnet-t)/(Tau_j))))*Salcycl</f>
        <v>3.0877435455418146E-2</v>
      </c>
      <c r="P16" s="169">
        <f>(INDEX(Models!$BJ16:$BT16,,T16)*(1-R16)+INDEX(Models!$BJ16:$BT16,,T16+1)*R16-ERP_i)*Q16*Ramure*Pc/MaxiM</f>
        <v>7.5849755321650506E-3</v>
      </c>
      <c r="Q16" s="304">
        <f t="shared" si="4"/>
        <v>0.6</v>
      </c>
      <c r="R16" s="177">
        <f t="shared" si="5"/>
        <v>0.99914256023953263</v>
      </c>
      <c r="S16" s="799">
        <f t="shared" si="6"/>
        <v>0</v>
      </c>
      <c r="T16" s="176">
        <f t="shared" si="7"/>
        <v>6</v>
      </c>
      <c r="U16" s="250">
        <f t="shared" si="8"/>
        <v>0.99914256023953263</v>
      </c>
      <c r="V16" s="382">
        <f t="shared" si="9"/>
        <v>23.385839228644937</v>
      </c>
      <c r="W16" s="400">
        <f t="shared" si="10"/>
        <v>16.307333198095684</v>
      </c>
      <c r="X16" s="157">
        <f t="shared" si="11"/>
        <v>45293</v>
      </c>
      <c r="Y16" s="383">
        <f t="shared" si="12"/>
        <v>15.93884080744437</v>
      </c>
      <c r="Z16" s="383">
        <f t="shared" ref="Z16:Z78" si="22">Wh_sa_s*(1-Psa_s)</f>
        <v>16.502070334584378</v>
      </c>
      <c r="AA16" s="384">
        <f t="shared" si="13"/>
        <v>17.421515841955021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5.2776435512942352E-2</v>
      </c>
      <c r="AD16" s="230">
        <f>(INDEX(Models!$BJ16:$BT16,,AH16)*(1-AF16)+INDEX(Models!$BJ16:$BT16,,AH16+1)*AF16-ERP_i)*AE16*Ramure*Pc/MaxiM</f>
        <v>7.5849755321650506E-3</v>
      </c>
      <c r="AE16" s="304">
        <f t="shared" si="15"/>
        <v>0.6</v>
      </c>
      <c r="AF16" s="177">
        <f t="shared" ref="AF16:AF78" si="23">(Hp_vg_s-AG16)/(INDEX(Echel_vg,AH16+1)-AG16)</f>
        <v>0.99914256023953263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0.99914256023953263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'2023'!Wh/'2023'!Env_an*'2024'!Env_an</f>
        <v>17.608120077169293</v>
      </c>
      <c r="C17" s="829"/>
      <c r="D17" s="391">
        <f t="shared" si="0"/>
        <v>18.230686177653514</v>
      </c>
      <c r="E17" s="383">
        <f t="shared" si="1"/>
        <v>18.813093962342499</v>
      </c>
      <c r="F17" s="383">
        <f t="shared" si="2"/>
        <v>18.903270442405912</v>
      </c>
      <c r="G17" s="110">
        <f t="shared" si="21"/>
        <v>0.74596492041435503</v>
      </c>
      <c r="H17" s="412" t="b">
        <f>Wh_hp&gt;='2023'!Maxi_hp</f>
        <v>0</v>
      </c>
      <c r="I17" s="388">
        <f>IF(H17,Wh_hp,'2023'!Maxi_hp)</f>
        <v>25.872417420672249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3.4149350957910718E-2</v>
      </c>
      <c r="M17" s="832"/>
      <c r="N17" s="832"/>
      <c r="O17" s="48">
        <f>IF(t&lt;Tnet,'2023'!Resal+('2023'!Salim-'2023'!Resal)*(1-EXP(('2023'!Tnet-t)/('2023'!Tau_j))),Resal+(Salim-Resal)*(1-EXP((Tnet-t)/(Tau_j))))*Salcycl</f>
        <v>3.0957575923171988E-2</v>
      </c>
      <c r="P17" s="169">
        <f>(INDEX(Models!$BJ17:$BT17,,T17)*(1-R17)+INDEX(Models!$BJ17:$BT17,,T17+1)*R17-ERP_i)*Q17*Ramure*Pc/MaxiM</f>
        <v>7.4540779710793436E-3</v>
      </c>
      <c r="Q17" s="304">
        <f t="shared" si="4"/>
        <v>0.6</v>
      </c>
      <c r="R17" s="177">
        <f t="shared" si="5"/>
        <v>0.99917299683502225</v>
      </c>
      <c r="S17" s="799">
        <f t="shared" si="6"/>
        <v>0</v>
      </c>
      <c r="T17" s="176">
        <f t="shared" si="7"/>
        <v>6</v>
      </c>
      <c r="U17" s="250">
        <f t="shared" si="8"/>
        <v>0.99917299683502225</v>
      </c>
      <c r="V17" s="382">
        <f t="shared" si="9"/>
        <v>23.54083800278892</v>
      </c>
      <c r="W17" s="400">
        <f t="shared" si="10"/>
        <v>17.608120077169293</v>
      </c>
      <c r="X17" s="157">
        <f t="shared" si="11"/>
        <v>45294</v>
      </c>
      <c r="Y17" s="383">
        <f t="shared" si="12"/>
        <v>17.210624863045631</v>
      </c>
      <c r="Z17" s="383">
        <f t="shared" si="22"/>
        <v>17.819136820081628</v>
      </c>
      <c r="AA17" s="384">
        <f t="shared" si="13"/>
        <v>18.813093962342499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5.2833263058720686E-2</v>
      </c>
      <c r="AD17" s="230">
        <f>(INDEX(Models!$BJ17:$BT17,,AH17)*(1-AF17)+INDEX(Models!$BJ17:$BT17,,AH17+1)*AF17-ERP_i)*AE17*Ramure*Pc/MaxiM</f>
        <v>7.4540779710793436E-3</v>
      </c>
      <c r="AE17" s="304">
        <f t="shared" si="15"/>
        <v>0.6</v>
      </c>
      <c r="AF17" s="177">
        <f>(Hp_vg_s-AG17)/(INDEX(Echel_vg,AH17+1)-AG17)</f>
        <v>0.99917299683502225</v>
      </c>
      <c r="AG17" s="799">
        <f>INDEX(Echel_vg,AH17)</f>
        <v>0</v>
      </c>
      <c r="AH17" s="176">
        <f t="shared" si="16"/>
        <v>6</v>
      </c>
      <c r="AI17" s="224">
        <f t="shared" si="17"/>
        <v>0.99917299683502225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'2023'!Wh/'2023'!Env_an*'2024'!Env_an</f>
        <v>18.711065837273285</v>
      </c>
      <c r="C18" s="829"/>
      <c r="D18" s="391">
        <f t="shared" si="0"/>
        <v>19.372999806969609</v>
      </c>
      <c r="E18" s="383">
        <f t="shared" si="1"/>
        <v>19.993553509615239</v>
      </c>
      <c r="F18" s="383">
        <f t="shared" si="2"/>
        <v>20.096390433155108</v>
      </c>
      <c r="G18" s="110">
        <f t="shared" si="21"/>
        <v>0.78758768858709172</v>
      </c>
      <c r="H18" s="412" t="b">
        <f>Wh_hp&gt;='2023'!Maxi_hp</f>
        <v>0</v>
      </c>
      <c r="I18" s="388">
        <f>IF(H18,Wh_hp,'2023'!Maxi_hp)</f>
        <v>21.824345162432092</v>
      </c>
      <c r="J18" s="85">
        <f>IF(H18,An,'2023'!An_max)</f>
        <v>2021</v>
      </c>
      <c r="K18" s="197">
        <f t="shared" si="3"/>
        <v>45295</v>
      </c>
      <c r="L18" s="147">
        <f>IF(t&lt;Tvie,1-EXP((T0-t)*PertePVj)+'2023'!Pspv,1-EXP((T0-t)*PertePVj)+Pspv)</f>
        <v>3.4167861265253729E-2</v>
      </c>
      <c r="M18" s="832"/>
      <c r="N18" s="832"/>
      <c r="O18" s="48">
        <f>IF(t&lt;Tnet,'2023'!Resal+('2023'!Salim-'2023'!Resal)*(1-EXP(('2023'!Tnet-t)/('2023'!Tau_j))),Resal+(Salim-Resal)*(1-EXP((Tnet-t)/(Tau_j))))*Salcycl</f>
        <v>3.1037689340576512E-2</v>
      </c>
      <c r="P18" s="169">
        <f>(INDEX(Models!$BJ18:$BT18,,T18)*(1-R18)+INDEX(Models!$BJ18:$BT18,,T18+1)*R18-ERP_i)*Q18*Ramure*Pc/MaxiM</f>
        <v>7.3201890002401312E-3</v>
      </c>
      <c r="Q18" s="304">
        <f t="shared" si="4"/>
        <v>0.6</v>
      </c>
      <c r="R18" s="177">
        <f t="shared" si="5"/>
        <v>0.99920470636631731</v>
      </c>
      <c r="S18" s="799">
        <f t="shared" si="6"/>
        <v>0</v>
      </c>
      <c r="T18" s="176">
        <f t="shared" si="7"/>
        <v>6</v>
      </c>
      <c r="U18" s="250">
        <f t="shared" si="8"/>
        <v>0.99920470636631731</v>
      </c>
      <c r="V18" s="382">
        <f t="shared" si="9"/>
        <v>23.704831238800125</v>
      </c>
      <c r="W18" s="400">
        <f t="shared" si="10"/>
        <v>18.711065837273285</v>
      </c>
      <c r="X18" s="157">
        <f t="shared" si="11"/>
        <v>45295</v>
      </c>
      <c r="Y18" s="383">
        <f t="shared" si="12"/>
        <v>18.289086059292234</v>
      </c>
      <c r="Z18" s="383">
        <f>Wh_sa_s*(1-Psa_s)</f>
        <v>18.936091817415804</v>
      </c>
      <c r="AA18" s="384">
        <f t="shared" si="13"/>
        <v>19.993553509615239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5.2890132396468933E-2</v>
      </c>
      <c r="AD18" s="230">
        <f>(INDEX(Models!$BJ18:$BT18,,AH18)*(1-AF18)+INDEX(Models!$BJ18:$BT18,,AH18+1)*AF18-ERP_i)*AE18*Ramure*Pc/MaxiM</f>
        <v>7.3201890002401312E-3</v>
      </c>
      <c r="AE18" s="304">
        <f t="shared" si="15"/>
        <v>0.6</v>
      </c>
      <c r="AF18" s="177">
        <f t="shared" si="23"/>
        <v>0.99920470636631731</v>
      </c>
      <c r="AG18" s="799">
        <f t="shared" si="24"/>
        <v>0</v>
      </c>
      <c r="AH18" s="176">
        <f t="shared" si="16"/>
        <v>6</v>
      </c>
      <c r="AI18" s="224">
        <f t="shared" si="17"/>
        <v>0.99920470636631731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'2023'!Wh/'2023'!Env_an*'2024'!Env_an</f>
        <v>14.796946990749767</v>
      </c>
      <c r="C19" s="829"/>
      <c r="D19" s="391">
        <f t="shared" si="0"/>
        <v>15.320706345185977</v>
      </c>
      <c r="E19" s="383">
        <f t="shared" si="1"/>
        <v>15.812764307177822</v>
      </c>
      <c r="F19" s="383">
        <f t="shared" si="2"/>
        <v>15.864815589058871</v>
      </c>
      <c r="G19" s="110">
        <f t="shared" si="21"/>
        <v>0.61728029028596909</v>
      </c>
      <c r="H19" s="412" t="b">
        <f>Wh_hp&gt;='2023'!Maxi_hp</f>
        <v>0</v>
      </c>
      <c r="I19" s="388">
        <f>IF(H19,Wh_hp,'2023'!Maxi_hp)</f>
        <v>15.89891096179743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3.4186371217850842E-2</v>
      </c>
      <c r="M19" s="832"/>
      <c r="N19" s="832"/>
      <c r="O19" s="48">
        <f>IF(t&lt;Tnet,'2023'!Resal+('2023'!Salim-'2023'!Resal)*(1-EXP(('2023'!Tnet-t)/('2023'!Tau_j))),Resal+(Salim-Resal)*(1-EXP((Tnet-t)/(Tau_j))))*Salcycl</f>
        <v>3.1117769950475174E-2</v>
      </c>
      <c r="P19" s="169">
        <f>(INDEX(Models!$BJ19:$BT19,,T19)*(1-R19)+INDEX(Models!$BJ19:$BT19,,T19+1)*R19-ERP_i)*Q19*Ramure*Pc/MaxiM</f>
        <v>7.183607721681055E-3</v>
      </c>
      <c r="Q19" s="304">
        <f t="shared" si="4"/>
        <v>0.6</v>
      </c>
      <c r="R19" s="177">
        <f t="shared" si="5"/>
        <v>0.99923774189887904</v>
      </c>
      <c r="S19" s="799">
        <f t="shared" si="6"/>
        <v>0</v>
      </c>
      <c r="T19" s="176">
        <f t="shared" si="7"/>
        <v>6</v>
      </c>
      <c r="U19" s="250">
        <f t="shared" si="8"/>
        <v>0.99923774189887904</v>
      </c>
      <c r="V19" s="382">
        <f t="shared" si="9"/>
        <v>23.877336364853786</v>
      </c>
      <c r="W19" s="400">
        <f t="shared" si="10"/>
        <v>14.796946990749767</v>
      </c>
      <c r="X19" s="157">
        <f t="shared" si="11"/>
        <v>45296</v>
      </c>
      <c r="Y19" s="383">
        <f t="shared" si="12"/>
        <v>14.463566482262049</v>
      </c>
      <c r="Z19" s="383">
        <f t="shared" si="22"/>
        <v>14.975525351096987</v>
      </c>
      <c r="AA19" s="384">
        <f t="shared" si="13"/>
        <v>15.812764307177822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5.2947033157307699E-2</v>
      </c>
      <c r="AD19" s="230">
        <f>(INDEX(Models!$BJ19:$BT19,,AH19)*(1-AF19)+INDEX(Models!$BJ19:$BT19,,AH19+1)*AF19-ERP_i)*AE19*Ramure*Pc/MaxiM</f>
        <v>7.183607721681055E-3</v>
      </c>
      <c r="AE19" s="304">
        <f t="shared" si="15"/>
        <v>0.6</v>
      </c>
      <c r="AF19" s="177">
        <f t="shared" si="23"/>
        <v>0.99923774189887904</v>
      </c>
      <c r="AG19" s="799">
        <f t="shared" si="24"/>
        <v>0</v>
      </c>
      <c r="AH19" s="176">
        <f t="shared" si="16"/>
        <v>6</v>
      </c>
      <c r="AI19" s="224">
        <f t="shared" si="17"/>
        <v>0.99923774189887904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'2023'!Wh/'2023'!Env_an*'2024'!Env_an</f>
        <v>21.234068789963064</v>
      </c>
      <c r="C20" s="829"/>
      <c r="D20" s="391">
        <f t="shared" si="0"/>
        <v>21.986100745567366</v>
      </c>
      <c r="E20" s="383">
        <f t="shared" si="1"/>
        <v>22.694107256317292</v>
      </c>
      <c r="F20" s="383">
        <f t="shared" si="2"/>
        <v>22.827956440889707</v>
      </c>
      <c r="G20" s="110">
        <f t="shared" si="21"/>
        <v>0.88157586883304506</v>
      </c>
      <c r="H20" s="412" t="b">
        <f>Wh_hp&gt;='2023'!Maxi_hp</f>
        <v>0</v>
      </c>
      <c r="I20" s="388">
        <f>IF(H20,Wh_hp,'2023'!Maxi_hp)</f>
        <v>25.97684931198668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3.4204880815708938E-2</v>
      </c>
      <c r="M20" s="832"/>
      <c r="N20" s="832"/>
      <c r="O20" s="48">
        <f>IF(t&lt;Tnet,'2023'!Resal+('2023'!Salim-'2023'!Resal)*(1-EXP(('2023'!Tnet-t)/('2023'!Tau_j))),Resal+(Salim-Resal)*(1-EXP((Tnet-t)/(Tau_j))))*Salcycl</f>
        <v>3.1197812839843662E-2</v>
      </c>
      <c r="P20" s="169">
        <f>(INDEX(Models!$BJ20:$BT20,,T20)*(1-R20)+INDEX(Models!$BJ20:$BT20,,T20+1)*R20-ERP_i)*Q20*Ramure*Pc/MaxiM</f>
        <v>7.0446255230403026E-3</v>
      </c>
      <c r="Q20" s="304">
        <f t="shared" si="4"/>
        <v>0.6</v>
      </c>
      <c r="R20" s="177">
        <f t="shared" si="5"/>
        <v>0.99927215869562969</v>
      </c>
      <c r="S20" s="799">
        <f t="shared" si="6"/>
        <v>0</v>
      </c>
      <c r="T20" s="176">
        <f t="shared" si="7"/>
        <v>6</v>
      </c>
      <c r="U20" s="250">
        <f t="shared" si="8"/>
        <v>0.99927215869562969</v>
      </c>
      <c r="V20" s="382">
        <f t="shared" si="9"/>
        <v>24.057870845527905</v>
      </c>
      <c r="W20" s="400">
        <f t="shared" si="10"/>
        <v>21.234068789963064</v>
      </c>
      <c r="X20" s="157">
        <f t="shared" si="11"/>
        <v>45297</v>
      </c>
      <c r="Y20" s="383">
        <f t="shared" si="12"/>
        <v>20.756124829816233</v>
      </c>
      <c r="Z20" s="383">
        <f t="shared" si="22"/>
        <v>21.491229783131253</v>
      </c>
      <c r="AA20" s="384">
        <f t="shared" si="13"/>
        <v>22.694107256317292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5.3003956472057259E-2</v>
      </c>
      <c r="AD20" s="230">
        <f>(INDEX(Models!$BJ20:$BT20,,AH20)*(1-AF20)+INDEX(Models!$BJ20:$BT20,,AH20+1)*AF20-ERP_i)*AE20*Ramure*Pc/MaxiM</f>
        <v>7.0446255230403026E-3</v>
      </c>
      <c r="AE20" s="304">
        <f t="shared" si="15"/>
        <v>0.6</v>
      </c>
      <c r="AF20" s="177">
        <f t="shared" si="23"/>
        <v>0.99927215869562969</v>
      </c>
      <c r="AG20" s="799">
        <f t="shared" si="24"/>
        <v>0</v>
      </c>
      <c r="AH20" s="176">
        <f t="shared" si="16"/>
        <v>6</v>
      </c>
      <c r="AI20" s="224">
        <f t="shared" si="17"/>
        <v>0.99927215869562969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'2023'!Wh/'2023'!Env_an*'2024'!Env_an</f>
        <v>10.412772687526179</v>
      </c>
      <c r="C21" s="829"/>
      <c r="D21" s="391">
        <f t="shared" si="0"/>
        <v>10.781761103285076</v>
      </c>
      <c r="E21" s="383">
        <f t="shared" si="1"/>
        <v>11.129879400048411</v>
      </c>
      <c r="F21" s="383">
        <f t="shared" si="2"/>
        <v>11.144108205235515</v>
      </c>
      <c r="G21" s="110">
        <f t="shared" si="21"/>
        <v>0.42704480747591955</v>
      </c>
      <c r="H21" s="412" t="b">
        <f>Wh_hp&gt;='2023'!Maxi_hp</f>
        <v>0</v>
      </c>
      <c r="I21" s="388">
        <f>IF(H21,Wh_hp,'2023'!Maxi_hp)</f>
        <v>15.082360291680677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3.4223390058834791E-2</v>
      </c>
      <c r="M21" s="832"/>
      <c r="N21" s="832"/>
      <c r="O21" s="48">
        <f>IF(t&lt;Tnet,'2023'!Resal+('2023'!Salim-'2023'!Resal)*(1-EXP(('2023'!Tnet-t)/('2023'!Tau_j))),Resal+(Salim-Resal)*(1-EXP((Tnet-t)/(Tau_j))))*Salcycl</f>
        <v>3.1277813914301747E-2</v>
      </c>
      <c r="P21" s="169">
        <f>(INDEX(Models!$BJ21:$BT21,,T21)*(1-R21)+INDEX(Models!$BJ21:$BT21,,T21+1)*R21-ERP_i)*Q21*Ramure*Pc/MaxiM</f>
        <v>6.9035245961862925E-3</v>
      </c>
      <c r="Q21" s="304">
        <f t="shared" si="4"/>
        <v>0.6</v>
      </c>
      <c r="R21" s="177">
        <f t="shared" si="5"/>
        <v>0.99930801430669292</v>
      </c>
      <c r="S21" s="799">
        <f t="shared" si="6"/>
        <v>0</v>
      </c>
      <c r="T21" s="176">
        <f t="shared" si="7"/>
        <v>6</v>
      </c>
      <c r="U21" s="250">
        <f t="shared" si="8"/>
        <v>0.99930801430669292</v>
      </c>
      <c r="V21" s="382">
        <f t="shared" si="9"/>
        <v>24.245952195780315</v>
      </c>
      <c r="W21" s="400">
        <f t="shared" si="10"/>
        <v>10.412772687526179</v>
      </c>
      <c r="X21" s="157">
        <f t="shared" si="11"/>
        <v>45298</v>
      </c>
      <c r="Y21" s="383">
        <f t="shared" si="12"/>
        <v>10.178626846576091</v>
      </c>
      <c r="Z21" s="383">
        <f t="shared" si="22"/>
        <v>10.539318038771066</v>
      </c>
      <c r="AA21" s="384">
        <f t="shared" si="13"/>
        <v>11.129879400048411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5.306089491632552E-2</v>
      </c>
      <c r="AD21" s="230">
        <f>(INDEX(Models!$BJ21:$BT21,,AH21)*(1-AF21)+INDEX(Models!$BJ21:$BT21,,AH21+1)*AF21-ERP_i)*AE21*Ramure*Pc/MaxiM</f>
        <v>6.9035245961862925E-3</v>
      </c>
      <c r="AE21" s="304">
        <f t="shared" si="15"/>
        <v>0.6</v>
      </c>
      <c r="AF21" s="177">
        <f t="shared" si="23"/>
        <v>0.99930801430669292</v>
      </c>
      <c r="AG21" s="799">
        <f t="shared" si="24"/>
        <v>0</v>
      </c>
      <c r="AH21" s="176">
        <f t="shared" si="16"/>
        <v>6</v>
      </c>
      <c r="AI21" s="224">
        <f t="shared" si="17"/>
        <v>0.99930801430669292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'2023'!Wh/'2023'!Env_an*'2024'!Env_an</f>
        <v>7.4107927682271946</v>
      </c>
      <c r="C22" s="829"/>
      <c r="D22" s="391">
        <f t="shared" si="0"/>
        <v>7.6735496809695434</v>
      </c>
      <c r="E22" s="383">
        <f t="shared" si="1"/>
        <v>7.921964831025055</v>
      </c>
      <c r="F22" s="383">
        <f t="shared" si="2"/>
        <v>7.922210459283515</v>
      </c>
      <c r="G22" s="110">
        <f t="shared" si="21"/>
        <v>0.30116976595508571</v>
      </c>
      <c r="H22" s="412" t="b">
        <f>Wh_hp&gt;='2023'!Maxi_hp</f>
        <v>0</v>
      </c>
      <c r="I22" s="388">
        <f>IF(H22,Wh_hp,'2023'!Maxi_hp)</f>
        <v>20.347217475948305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3.4241898947235283E-2</v>
      </c>
      <c r="M22" s="832"/>
      <c r="N22" s="832"/>
      <c r="O22" s="48">
        <f>IF(t&lt;Tnet,'2023'!Resal+('2023'!Salim-'2023'!Resal)*(1-EXP(('2023'!Tnet-t)/('2023'!Tau_j))),Resal+(Salim-Resal)*(1-EXP((Tnet-t)/(Tau_j))))*Salcycl</f>
        <v>3.1357769865707479E-2</v>
      </c>
      <c r="P22" s="169">
        <f>(INDEX(Models!$BJ22:$BT22,,T22)*(1-R22)+INDEX(Models!$BJ22:$BT22,,T22+1)*R22-ERP_i)*Q22*Ramure*Pc/MaxiM</f>
        <v>6.760576644698809E-3</v>
      </c>
      <c r="Q22" s="304">
        <f t="shared" si="4"/>
        <v>0.6</v>
      </c>
      <c r="R22" s="177">
        <f t="shared" si="5"/>
        <v>0.99934536866269008</v>
      </c>
      <c r="S22" s="799">
        <f t="shared" si="6"/>
        <v>0</v>
      </c>
      <c r="T22" s="176">
        <f t="shared" si="7"/>
        <v>6</v>
      </c>
      <c r="U22" s="250">
        <f t="shared" si="8"/>
        <v>0.99934536866269008</v>
      </c>
      <c r="V22" s="382">
        <f t="shared" si="9"/>
        <v>24.441097989394489</v>
      </c>
      <c r="W22" s="400">
        <f t="shared" si="10"/>
        <v>7.4107927682271946</v>
      </c>
      <c r="X22" s="157">
        <f t="shared" si="11"/>
        <v>45299</v>
      </c>
      <c r="Y22" s="383">
        <f t="shared" si="12"/>
        <v>7.2443129436995202</v>
      </c>
      <c r="Z22" s="383">
        <f t="shared" si="22"/>
        <v>7.5011671512799696</v>
      </c>
      <c r="AA22" s="384">
        <f t="shared" si="13"/>
        <v>7.921964831025055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5.3117842444478182E-2</v>
      </c>
      <c r="AD22" s="230">
        <f>(INDEX(Models!$BJ22:$BT22,,AH22)*(1-AF22)+INDEX(Models!$BJ22:$BT22,,AH22+1)*AF22-ERP_i)*AE22*Ramure*Pc/MaxiM</f>
        <v>6.760576644698809E-3</v>
      </c>
      <c r="AE22" s="304">
        <f t="shared" si="15"/>
        <v>0.6</v>
      </c>
      <c r="AF22" s="177">
        <f t="shared" si="23"/>
        <v>0.99934536866269008</v>
      </c>
      <c r="AG22" s="799">
        <f t="shared" si="24"/>
        <v>0</v>
      </c>
      <c r="AH22" s="176">
        <f t="shared" si="16"/>
        <v>6</v>
      </c>
      <c r="AI22" s="224">
        <f t="shared" si="17"/>
        <v>0.99934536866269008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'2023'!Wh/'2023'!Env_an*'2024'!Env_an</f>
        <v>2.2125236431308353</v>
      </c>
      <c r="C23" s="829"/>
      <c r="D23" s="391">
        <f t="shared" si="0"/>
        <v>2.2910147417271971</v>
      </c>
      <c r="E23" s="383">
        <f t="shared" si="1"/>
        <v>2.3653766928615489</v>
      </c>
      <c r="F23" s="383">
        <f t="shared" si="2"/>
        <v>2.3653766928615489</v>
      </c>
      <c r="G23" s="110">
        <f t="shared" si="21"/>
        <v>8.9178874515404807E-2</v>
      </c>
      <c r="H23" s="412" t="b">
        <f>Wh_hp&gt;='2023'!Maxi_hp</f>
        <v>0</v>
      </c>
      <c r="I23" s="388">
        <f>IF(H23,Wh_hp,'2023'!Maxi_hp)</f>
        <v>25.649292652260151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3.4260407480917188E-2</v>
      </c>
      <c r="M23" s="832"/>
      <c r="N23" s="832"/>
      <c r="O23" s="48">
        <f>IF(t&lt;Tnet,'2023'!Resal+('2023'!Salim-'2023'!Resal)*(1-EXP(('2023'!Tnet-t)/('2023'!Tau_j))),Resal+(Salim-Resal)*(1-EXP((Tnet-t)/(Tau_j))))*Salcycl</f>
        <v>3.1437678133367966E-2</v>
      </c>
      <c r="P23" s="169">
        <f>(INDEX(Models!$BJ23:$BT23,,T23)*(1-R23)+INDEX(Models!$BJ23:$BT23,,T23+1)*R23-ERP_i)*Q23*Ramure*Pc/MaxiM</f>
        <v>6.6152410117490843E-3</v>
      </c>
      <c r="Q23" s="304">
        <f t="shared" si="4"/>
        <v>0.6</v>
      </c>
      <c r="R23" s="177">
        <f t="shared" si="5"/>
        <v>0.9993842841717252</v>
      </c>
      <c r="S23" s="799">
        <f t="shared" si="6"/>
        <v>0</v>
      </c>
      <c r="T23" s="176">
        <f t="shared" si="7"/>
        <v>6</v>
      </c>
      <c r="U23" s="250">
        <f t="shared" si="8"/>
        <v>0.9993842841717252</v>
      </c>
      <c r="V23" s="382">
        <f t="shared" si="9"/>
        <v>24.645828711458648</v>
      </c>
      <c r="W23" s="400">
        <f t="shared" si="10"/>
        <v>2.2125236431308353</v>
      </c>
      <c r="X23" s="157">
        <f t="shared" si="11"/>
        <v>45300</v>
      </c>
      <c r="Y23" s="383">
        <f t="shared" si="12"/>
        <v>2.1628687242926321</v>
      </c>
      <c r="Z23" s="383">
        <f t="shared" si="22"/>
        <v>2.2395982737446838</v>
      </c>
      <c r="AA23" s="384">
        <f t="shared" si="13"/>
        <v>2.3653766928615489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5.317479431350227E-2</v>
      </c>
      <c r="AD23" s="230">
        <f>(INDEX(Models!$BJ23:$BT23,,AH23)*(1-AF23)+INDEX(Models!$BJ23:$BT23,,AH23+1)*AF23-ERP_i)*AE23*Ramure*Pc/MaxiM</f>
        <v>6.6152410117490843E-3</v>
      </c>
      <c r="AE23" s="304">
        <f t="shared" si="15"/>
        <v>0.6</v>
      </c>
      <c r="AF23" s="177">
        <f t="shared" si="23"/>
        <v>0.9993842841717252</v>
      </c>
      <c r="AG23" s="799">
        <f t="shared" si="24"/>
        <v>0</v>
      </c>
      <c r="AH23" s="176">
        <f t="shared" si="16"/>
        <v>6</v>
      </c>
      <c r="AI23" s="224">
        <f t="shared" si="17"/>
        <v>0.9993842841717252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'2023'!Wh/'2023'!Env_an*'2024'!Env_an</f>
        <v>1.8144706347883941</v>
      </c>
      <c r="C24" s="829"/>
      <c r="D24" s="391">
        <f t="shared" si="0"/>
        <v>1.878876483294595</v>
      </c>
      <c r="E24" s="383">
        <f t="shared" si="1"/>
        <v>1.9400211720941902</v>
      </c>
      <c r="F24" s="383">
        <f t="shared" si="2"/>
        <v>1.9400211720941902</v>
      </c>
      <c r="G24" s="110">
        <f t="shared" si="21"/>
        <v>7.2508375451170587E-2</v>
      </c>
      <c r="H24" s="412" t="b">
        <f>Wh_hp&gt;='2023'!Maxi_hp</f>
        <v>0</v>
      </c>
      <c r="I24" s="388">
        <f>IF(H24,Wh_hp,'2023'!Maxi_hp)</f>
        <v>9.0351524420219071</v>
      </c>
      <c r="J24" s="85">
        <f>IF(H24,An,'2023'!An_max)</f>
        <v>2020</v>
      </c>
      <c r="K24" s="197">
        <f t="shared" si="3"/>
        <v>45301</v>
      </c>
      <c r="L24" s="147">
        <f>IF(t&lt;Tvie,1-EXP((T0-t)*PertePVj)+'2023'!Pspv,1-EXP((T0-t)*PertePVj)+Pspv)</f>
        <v>3.4278915659887166E-2</v>
      </c>
      <c r="M24" s="832"/>
      <c r="N24" s="832"/>
      <c r="O24" s="48">
        <f>IF(t&lt;Tnet,'2023'!Resal+('2023'!Salim-'2023'!Resal)*(1-EXP(('2023'!Tnet-t)/('2023'!Tau_j))),Resal+(Salim-Resal)*(1-EXP((Tnet-t)/(Tau_j))))*Salcycl</f>
        <v>3.1517536859451682E-2</v>
      </c>
      <c r="P24" s="169">
        <f>(INDEX(Models!$BJ24:$BT24,,T24)*(1-R24)+INDEX(Models!$BJ24:$BT24,,T24+1)*R24-ERP_i)*Q24*Ramure*Pc/MaxiM</f>
        <v>6.4724773726299416E-3</v>
      </c>
      <c r="Q24" s="304">
        <f t="shared" si="4"/>
        <v>0.6</v>
      </c>
      <c r="R24" s="177">
        <f t="shared" si="5"/>
        <v>0.99942482582019476</v>
      </c>
      <c r="S24" s="799">
        <f t="shared" si="6"/>
        <v>0</v>
      </c>
      <c r="T24" s="176">
        <f t="shared" si="7"/>
        <v>6</v>
      </c>
      <c r="U24" s="250">
        <f t="shared" si="8"/>
        <v>0.99942482582019476</v>
      </c>
      <c r="V24" s="382">
        <f t="shared" si="9"/>
        <v>24.862321124204986</v>
      </c>
      <c r="W24" s="400">
        <f t="shared" si="10"/>
        <v>1.8144706347883941</v>
      </c>
      <c r="X24" s="157">
        <f t="shared" si="11"/>
        <v>45301</v>
      </c>
      <c r="Y24" s="383">
        <f t="shared" si="12"/>
        <v>1.7737886419250648</v>
      </c>
      <c r="Z24" s="383">
        <f t="shared" si="22"/>
        <v>1.836750455890805</v>
      </c>
      <c r="AA24" s="384">
        <f t="shared" si="13"/>
        <v>1.9400211720941902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5.323174699784744E-2</v>
      </c>
      <c r="AD24" s="230">
        <f>(INDEX(Models!$BJ24:$BT24,,AH24)*(1-AF24)+INDEX(Models!$BJ24:$BT24,,AH24+1)*AF24-ERP_i)*AE24*Ramure*Pc/MaxiM</f>
        <v>6.4724773726299416E-3</v>
      </c>
      <c r="AE24" s="304">
        <f t="shared" si="15"/>
        <v>0.6</v>
      </c>
      <c r="AF24" s="177">
        <f t="shared" si="23"/>
        <v>0.99942482582019476</v>
      </c>
      <c r="AG24" s="799">
        <f t="shared" si="24"/>
        <v>0</v>
      </c>
      <c r="AH24" s="176">
        <f t="shared" si="16"/>
        <v>6</v>
      </c>
      <c r="AI24" s="224">
        <f t="shared" si="17"/>
        <v>0.99942482582019476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'2023'!Wh/'2023'!Env_an*'2024'!Env_an</f>
        <v>25.43591655545881</v>
      </c>
      <c r="C25" s="829"/>
      <c r="D25" s="391">
        <f t="shared" si="0"/>
        <v>26.339286208833457</v>
      </c>
      <c r="E25" s="383">
        <f t="shared" si="1"/>
        <v>27.198692680639965</v>
      </c>
      <c r="F25" s="383">
        <f t="shared" si="2"/>
        <v>27.372177107233075</v>
      </c>
      <c r="G25" s="110">
        <f t="shared" si="21"/>
        <v>1.0138014686256271</v>
      </c>
      <c r="H25" s="412" t="b">
        <f>Wh_hp&gt;='2023'!Maxi_hp</f>
        <v>1</v>
      </c>
      <c r="I25" s="388">
        <f>IF(H25,Wh_hp,'2023'!Maxi_hp)</f>
        <v>27.372177107233075</v>
      </c>
      <c r="J25" s="85">
        <f>IF(H25,An,'2023'!An_max)</f>
        <v>2024</v>
      </c>
      <c r="K25" s="197">
        <f t="shared" si="3"/>
        <v>45302</v>
      </c>
      <c r="L25" s="147">
        <f>IF(t&lt;Tvie,1-EXP((T0-t)*PertePVj)+'2023'!Pspv,1-EXP((T0-t)*PertePVj)+Pspv)</f>
        <v>3.4297423484152101E-2</v>
      </c>
      <c r="M25" s="832"/>
      <c r="N25" s="832"/>
      <c r="O25" s="48">
        <f>IF(t&lt;Tnet,'2023'!Resal+('2023'!Salim-'2023'!Resal)*(1-EXP(('2023'!Tnet-t)/('2023'!Tau_j))),Resal+(Salim-Resal)*(1-EXP((Tnet-t)/(Tau_j))))*Salcycl</f>
        <v>3.1597344839233189E-2</v>
      </c>
      <c r="P25" s="169">
        <f>(INDEX(Models!$BJ25:$BT25,,T25)*(1-R25)+INDEX(Models!$BJ25:$BT25,,T25+1)*R25-ERP_i)*Q25*Ramure*Pc/MaxiM</f>
        <v>6.3379842207460565E-3</v>
      </c>
      <c r="Q25" s="304">
        <f t="shared" si="4"/>
        <v>0.6</v>
      </c>
      <c r="R25" s="177">
        <f t="shared" si="5"/>
        <v>0.9994670612775608</v>
      </c>
      <c r="S25" s="799">
        <f t="shared" si="6"/>
        <v>0</v>
      </c>
      <c r="T25" s="176">
        <f t="shared" si="7"/>
        <v>6</v>
      </c>
      <c r="U25" s="250">
        <f t="shared" si="8"/>
        <v>0.9994670612775608</v>
      </c>
      <c r="V25" s="382">
        <f t="shared" si="9"/>
        <v>25.089642639738265</v>
      </c>
      <c r="W25" s="400">
        <f t="shared" si="10"/>
        <v>25.43591655545881</v>
      </c>
      <c r="X25" s="157">
        <f t="shared" si="11"/>
        <v>45302</v>
      </c>
      <c r="Y25" s="383">
        <f t="shared" si="12"/>
        <v>24.866174776578127</v>
      </c>
      <c r="Z25" s="383">
        <f t="shared" si="22"/>
        <v>25.749309757764795</v>
      </c>
      <c r="AA25" s="384">
        <f t="shared" si="13"/>
        <v>27.198692680639965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5.3288698096391973E-2</v>
      </c>
      <c r="AD25" s="230">
        <f>(INDEX(Models!$BJ25:$BT25,,AH25)*(1-AF25)+INDEX(Models!$BJ25:$BT25,,AH25+1)*AF25-ERP_i)*AE25*Ramure*Pc/MaxiM</f>
        <v>6.3379842207460565E-3</v>
      </c>
      <c r="AE25" s="304">
        <f t="shared" si="15"/>
        <v>0.6</v>
      </c>
      <c r="AF25" s="177">
        <f t="shared" si="23"/>
        <v>0.9994670612775608</v>
      </c>
      <c r="AG25" s="799">
        <f t="shared" si="24"/>
        <v>0</v>
      </c>
      <c r="AH25" s="176">
        <f t="shared" si="16"/>
        <v>6</v>
      </c>
      <c r="AI25" s="224">
        <f t="shared" si="17"/>
        <v>0.9994670612775608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'2023'!Wh/'2023'!Env_an*'2024'!Env_an</f>
        <v>22.111218491302008</v>
      </c>
      <c r="C26" s="829"/>
      <c r="D26" s="391">
        <f t="shared" si="0"/>
        <v>22.896948598457527</v>
      </c>
      <c r="E26" s="383">
        <f t="shared" si="1"/>
        <v>23.64598486015602</v>
      </c>
      <c r="F26" s="383">
        <f t="shared" si="2"/>
        <v>23.766842462534548</v>
      </c>
      <c r="G26" s="110">
        <f t="shared" si="21"/>
        <v>0.87204090060313189</v>
      </c>
      <c r="H26" s="412" t="b">
        <f>Wh_hp&gt;='2023'!Maxi_hp</f>
        <v>0</v>
      </c>
      <c r="I26" s="388">
        <f>IF(H26,Wh_hp,'2023'!Maxi_hp)</f>
        <v>27.37093962937724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3.4315930953718876E-2</v>
      </c>
      <c r="M26" s="832"/>
      <c r="N26" s="832"/>
      <c r="O26" s="48">
        <f>IF(t&lt;Tnet,'2023'!Resal+('2023'!Salim-'2023'!Resal)*(1-EXP(('2023'!Tnet-t)/('2023'!Tau_j))),Resal+(Salim-Resal)*(1-EXP((Tnet-t)/(Tau_j))))*Salcycl</f>
        <v>3.1677101466838629E-2</v>
      </c>
      <c r="P26" s="169">
        <f>(INDEX(Models!$BJ26:$BT26,,T26)*(1-R26)+INDEX(Models!$BJ26:$BT26,,T26+1)*R26-ERP_i)*Q26*Ramure*Pc/MaxiM</f>
        <v>6.2118857456638261E-3</v>
      </c>
      <c r="Q26" s="304">
        <f t="shared" si="4"/>
        <v>0.6</v>
      </c>
      <c r="R26" s="177">
        <f t="shared" si="5"/>
        <v>0.9995110610052319</v>
      </c>
      <c r="S26" s="799">
        <f t="shared" si="6"/>
        <v>0</v>
      </c>
      <c r="T26" s="176">
        <f t="shared" si="7"/>
        <v>6</v>
      </c>
      <c r="U26" s="250">
        <f t="shared" si="8"/>
        <v>0.9995110610052319</v>
      </c>
      <c r="V26" s="382">
        <f t="shared" si="9"/>
        <v>25.32699705519877</v>
      </c>
      <c r="W26" s="400">
        <f t="shared" si="10"/>
        <v>22.111218491302008</v>
      </c>
      <c r="X26" s="157">
        <f t="shared" si="11"/>
        <v>45303</v>
      </c>
      <c r="Y26" s="383">
        <f t="shared" si="12"/>
        <v>21.616427003428527</v>
      </c>
      <c r="Z26" s="383">
        <f t="shared" si="22"/>
        <v>22.384574516981644</v>
      </c>
      <c r="AA26" s="384">
        <f t="shared" si="13"/>
        <v>23.64598486015602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5.3345646232730061E-2</v>
      </c>
      <c r="AD26" s="230">
        <f>(INDEX(Models!$BJ26:$BT26,,AH26)*(1-AF26)+INDEX(Models!$BJ26:$BT26,,AH26+1)*AF26-ERP_i)*AE26*Ramure*Pc/MaxiM</f>
        <v>6.2118857456638261E-3</v>
      </c>
      <c r="AE26" s="304">
        <f t="shared" si="15"/>
        <v>0.6</v>
      </c>
      <c r="AF26" s="177">
        <f t="shared" si="23"/>
        <v>0.9995110610052319</v>
      </c>
      <c r="AG26" s="799">
        <f t="shared" si="24"/>
        <v>0</v>
      </c>
      <c r="AH26" s="176">
        <f t="shared" si="16"/>
        <v>6</v>
      </c>
      <c r="AI26" s="224">
        <f t="shared" si="17"/>
        <v>0.9995110610052319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'2023'!Wh/'2023'!Env_an*'2024'!Env_an</f>
        <v>5.6681373619130939</v>
      </c>
      <c r="C27" s="829"/>
      <c r="D27" s="391">
        <f t="shared" si="0"/>
        <v>5.869669153962974</v>
      </c>
      <c r="E27" s="383">
        <f t="shared" si="1"/>
        <v>6.0621847841961038</v>
      </c>
      <c r="F27" s="383">
        <f t="shared" si="2"/>
        <v>6.0621847841961038</v>
      </c>
      <c r="G27" s="110">
        <f t="shared" si="21"/>
        <v>0.22028954732472109</v>
      </c>
      <c r="H27" s="412" t="b">
        <f>Wh_hp&gt;='2023'!Maxi_hp</f>
        <v>0</v>
      </c>
      <c r="I27" s="388">
        <f>IF(H27,Wh_hp,'2023'!Maxi_hp)</f>
        <v>16.17097757884445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3.4334438068594264E-2</v>
      </c>
      <c r="M27" s="832"/>
      <c r="N27" s="832"/>
      <c r="O27" s="48">
        <f>IF(t&lt;Tnet,'2023'!Resal+('2023'!Salim-'2023'!Resal)*(1-EXP(('2023'!Tnet-t)/('2023'!Tau_j))),Resal+(Salim-Resal)*(1-EXP((Tnet-t)/(Tau_j))))*Salcycl</f>
        <v>3.1756806677191898E-2</v>
      </c>
      <c r="P27" s="169">
        <f>(INDEX(Models!$BJ27:$BT27,,T27)*(1-R27)+INDEX(Models!$BJ27:$BT27,,T27+1)*R27-ERP_i)*Q27*Ramure*Pc/MaxiM</f>
        <v>6.0942686813391708E-3</v>
      </c>
      <c r="Q27" s="304">
        <f t="shared" si="4"/>
        <v>0.6</v>
      </c>
      <c r="R27" s="177">
        <f t="shared" si="5"/>
        <v>0.99955689836970096</v>
      </c>
      <c r="S27" s="799">
        <f t="shared" si="6"/>
        <v>0</v>
      </c>
      <c r="T27" s="176">
        <f t="shared" si="7"/>
        <v>6</v>
      </c>
      <c r="U27" s="250">
        <f t="shared" si="8"/>
        <v>0.99955689836970096</v>
      </c>
      <c r="V27" s="382">
        <f t="shared" si="9"/>
        <v>25.573588390022771</v>
      </c>
      <c r="W27" s="400">
        <f t="shared" si="10"/>
        <v>5.6681373619130939</v>
      </c>
      <c r="X27" s="157">
        <f t="shared" si="11"/>
        <v>45304</v>
      </c>
      <c r="Y27" s="383">
        <f t="shared" si="12"/>
        <v>5.5414220083626624</v>
      </c>
      <c r="Z27" s="383">
        <f t="shared" si="22"/>
        <v>5.7384484099022757</v>
      </c>
      <c r="AA27" s="384">
        <f t="shared" si="13"/>
        <v>6.0621847841961038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5.3402590950014761E-2</v>
      </c>
      <c r="AD27" s="230">
        <f>(INDEX(Models!$BJ27:$BT27,,AH27)*(1-AF27)+INDEX(Models!$BJ27:$BT27,,AH27+1)*AF27-ERP_i)*AE27*Ramure*Pc/MaxiM</f>
        <v>6.0942686813391708E-3</v>
      </c>
      <c r="AE27" s="304">
        <f t="shared" si="15"/>
        <v>0.6</v>
      </c>
      <c r="AF27" s="177">
        <f t="shared" si="23"/>
        <v>0.99955689836970096</v>
      </c>
      <c r="AG27" s="799">
        <f t="shared" si="24"/>
        <v>0</v>
      </c>
      <c r="AH27" s="176">
        <f t="shared" si="16"/>
        <v>6</v>
      </c>
      <c r="AI27" s="224">
        <f t="shared" si="17"/>
        <v>0.99955689836970096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'2023'!Wh/'2023'!Env_an*'2024'!Env_an</f>
        <v>26.898668957857375</v>
      </c>
      <c r="C28" s="829"/>
      <c r="D28" s="391">
        <f t="shared" si="0"/>
        <v>27.855590522241148</v>
      </c>
      <c r="E28" s="383">
        <f t="shared" si="1"/>
        <v>28.771575665512756</v>
      </c>
      <c r="F28" s="383">
        <f t="shared" si="2"/>
        <v>28.944815761904703</v>
      </c>
      <c r="G28" s="110">
        <f t="shared" si="21"/>
        <v>1.0414287719294832</v>
      </c>
      <c r="H28" s="412" t="b">
        <f>Wh_hp&gt;='2023'!Maxi_hp</f>
        <v>1</v>
      </c>
      <c r="I28" s="388">
        <f>IF(H28,Wh_hp,'2023'!Maxi_hp)</f>
        <v>28.944815761904703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3.4352944828784926E-2</v>
      </c>
      <c r="M28" s="832"/>
      <c r="N28" s="832"/>
      <c r="O28" s="48">
        <f>IF(t&lt;Tnet,'2023'!Resal+('2023'!Salim-'2023'!Resal)*(1-EXP(('2023'!Tnet-t)/('2023'!Tau_j))),Resal+(Salim-Resal)*(1-EXP((Tnet-t)/(Tau_j))))*Salcycl</f>
        <v>3.1836460884885162E-2</v>
      </c>
      <c r="P28" s="169">
        <f>(INDEX(Models!$BJ28:$BT28,,T28)*(1-R28)+INDEX(Models!$BJ28:$BT28,,T28+1)*R28-ERP_i)*Q28*Ramure*Pc/MaxiM</f>
        <v>5.9851856656124355E-3</v>
      </c>
      <c r="Q28" s="304">
        <f t="shared" si="4"/>
        <v>0.6</v>
      </c>
      <c r="R28" s="177">
        <f t="shared" si="5"/>
        <v>0.99960464976009045</v>
      </c>
      <c r="S28" s="799">
        <f t="shared" si="6"/>
        <v>0</v>
      </c>
      <c r="T28" s="176">
        <f t="shared" si="7"/>
        <v>6</v>
      </c>
      <c r="U28" s="250">
        <f t="shared" si="8"/>
        <v>0.99960464976009045</v>
      </c>
      <c r="V28" s="382">
        <f t="shared" si="9"/>
        <v>25.828620912807587</v>
      </c>
      <c r="W28" s="400">
        <f t="shared" si="10"/>
        <v>26.898668957857375</v>
      </c>
      <c r="X28" s="157">
        <f t="shared" si="11"/>
        <v>45305</v>
      </c>
      <c r="Y28" s="383">
        <f t="shared" si="12"/>
        <v>26.297911106046559</v>
      </c>
      <c r="Z28" s="383">
        <f t="shared" si="22"/>
        <v>27.233460678222418</v>
      </c>
      <c r="AA28" s="384">
        <f t="shared" si="13"/>
        <v>28.771575665512756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5.3459532601615935E-2</v>
      </c>
      <c r="AD28" s="230">
        <f>(INDEX(Models!$BJ28:$BT28,,AH28)*(1-AF28)+INDEX(Models!$BJ28:$BT28,,AH28+1)*AF28-ERP_i)*AE28*Ramure*Pc/MaxiM</f>
        <v>5.9851856656124355E-3</v>
      </c>
      <c r="AE28" s="304">
        <f t="shared" si="15"/>
        <v>0.6</v>
      </c>
      <c r="AF28" s="177">
        <f t="shared" si="23"/>
        <v>0.99960464976009045</v>
      </c>
      <c r="AG28" s="799">
        <f t="shared" si="24"/>
        <v>0</v>
      </c>
      <c r="AH28" s="176">
        <f t="shared" si="16"/>
        <v>6</v>
      </c>
      <c r="AI28" s="224">
        <f t="shared" si="17"/>
        <v>0.99960464976009045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'2023'!Wh/'2023'!Env_an*'2024'!Env_an</f>
        <v>27.214650821245982</v>
      </c>
      <c r="C29" s="829"/>
      <c r="D29" s="391">
        <f t="shared" si="0"/>
        <v>28.183353584597963</v>
      </c>
      <c r="E29" s="383">
        <f t="shared" si="1"/>
        <v>29.112510355096155</v>
      </c>
      <c r="F29" s="383">
        <f t="shared" si="2"/>
        <v>29.284841653101804</v>
      </c>
      <c r="G29" s="110">
        <f t="shared" si="21"/>
        <v>1.0430546469739896</v>
      </c>
      <c r="H29" s="412" t="b">
        <f>Wh_hp&gt;='2023'!Maxi_hp</f>
        <v>1</v>
      </c>
      <c r="I29" s="388">
        <f>IF(H29,Wh_hp,'2023'!Maxi_hp)</f>
        <v>29.284841653101804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3.4371451234297856E-2</v>
      </c>
      <c r="M29" s="832"/>
      <c r="N29" s="832"/>
      <c r="O29" s="48">
        <f>IF(t&lt;Tnet,'2023'!Resal+('2023'!Salim-'2023'!Resal)*(1-EXP(('2023'!Tnet-t)/('2023'!Tau_j))),Resal+(Salim-Resal)*(1-EXP((Tnet-t)/(Tau_j))))*Salcycl</f>
        <v>3.191606492071352E-2</v>
      </c>
      <c r="P29" s="169">
        <f>(INDEX(Models!$BJ29:$BT29,,T29)*(1-R29)+INDEX(Models!$BJ29:$BT29,,T29+1)*R29-ERP_i)*Q29*Ramure*Pc/MaxiM</f>
        <v>5.8846586929520057E-3</v>
      </c>
      <c r="Q29" s="304">
        <f t="shared" si="4"/>
        <v>0.6</v>
      </c>
      <c r="R29" s="177">
        <f t="shared" si="5"/>
        <v>0.99965439471026274</v>
      </c>
      <c r="S29" s="799">
        <f t="shared" si="6"/>
        <v>0</v>
      </c>
      <c r="T29" s="176">
        <f t="shared" si="7"/>
        <v>6</v>
      </c>
      <c r="U29" s="250">
        <f t="shared" si="8"/>
        <v>0.99965439471026274</v>
      </c>
      <c r="V29" s="382">
        <f t="shared" si="9"/>
        <v>26.09129914736349</v>
      </c>
      <c r="W29" s="400">
        <f t="shared" si="10"/>
        <v>27.214650821245982</v>
      </c>
      <c r="X29" s="157">
        <f t="shared" si="11"/>
        <v>45306</v>
      </c>
      <c r="Y29" s="383">
        <f t="shared" si="12"/>
        <v>26.607422954468049</v>
      </c>
      <c r="Z29" s="383">
        <f t="shared" si="22"/>
        <v>27.554511502873982</v>
      </c>
      <c r="AA29" s="384">
        <f t="shared" si="13"/>
        <v>29.112510355096155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5.3516472238865E-2</v>
      </c>
      <c r="AD29" s="230">
        <f>(INDEX(Models!$BJ29:$BT29,,AH29)*(1-AF29)+INDEX(Models!$BJ29:$BT29,,AH29+1)*AF29-ERP_i)*AE29*Ramure*Pc/MaxiM</f>
        <v>5.8846586929520057E-3</v>
      </c>
      <c r="AE29" s="304">
        <f t="shared" si="15"/>
        <v>0.6</v>
      </c>
      <c r="AF29" s="177">
        <f t="shared" si="23"/>
        <v>0.99965439471026274</v>
      </c>
      <c r="AG29" s="799">
        <f t="shared" si="24"/>
        <v>0</v>
      </c>
      <c r="AH29" s="176">
        <f t="shared" si="16"/>
        <v>6</v>
      </c>
      <c r="AI29" s="224">
        <f t="shared" si="17"/>
        <v>0.99965439471026274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'2023'!Wh/'2023'!Env_an*'2024'!Env_an</f>
        <v>26.625753128576736</v>
      </c>
      <c r="C30" s="829"/>
      <c r="D30" s="391">
        <f t="shared" si="0"/>
        <v>27.574022587541773</v>
      </c>
      <c r="E30" s="383">
        <f t="shared" si="1"/>
        <v>28.485431632645106</v>
      </c>
      <c r="F30" s="383">
        <f t="shared" si="2"/>
        <v>28.651235386050466</v>
      </c>
      <c r="G30" s="110">
        <f t="shared" si="21"/>
        <v>1.010044152286218</v>
      </c>
      <c r="H30" s="412" t="b">
        <f>Wh_hp&gt;='2023'!Maxi_hp</f>
        <v>1</v>
      </c>
      <c r="I30" s="388">
        <f>IF(H30,Wh_hp,'2023'!Maxi_hp)</f>
        <v>28.651235386050466</v>
      </c>
      <c r="J30" s="85">
        <f>IF(H30,An,'2023'!An_max)</f>
        <v>2024</v>
      </c>
      <c r="K30" s="197">
        <f t="shared" si="3"/>
        <v>45307</v>
      </c>
      <c r="L30" s="147">
        <f>IF(t&lt;Tvie,1-EXP((T0-t)*PertePVj)+'2023'!Pspv,1-EXP((T0-t)*PertePVj)+Pspv)</f>
        <v>3.4389957285139605E-2</v>
      </c>
      <c r="M30" s="832"/>
      <c r="N30" s="832"/>
      <c r="O30" s="48">
        <f>IF(t&lt;Tnet,'2023'!Resal+('2023'!Salim-'2023'!Resal)*(1-EXP(('2023'!Tnet-t)/('2023'!Tau_j))),Resal+(Salim-Resal)*(1-EXP((Tnet-t)/(Tau_j))))*Salcycl</f>
        <v>3.1995619966622965E-2</v>
      </c>
      <c r="P30" s="169">
        <f>(INDEX(Models!$BJ30:$BT30,,T30)*(1-R30)+INDEX(Models!$BJ30:$BT30,,T30+1)*R30-ERP_i)*Q30*Ramure*Pc/MaxiM</f>
        <v>5.786966990124493E-3</v>
      </c>
      <c r="Q30" s="304">
        <f t="shared" si="4"/>
        <v>0.6</v>
      </c>
      <c r="R30" s="177">
        <f t="shared" si="5"/>
        <v>0.99970621602565601</v>
      </c>
      <c r="S30" s="799">
        <f t="shared" si="6"/>
        <v>0</v>
      </c>
      <c r="T30" s="176">
        <f t="shared" si="7"/>
        <v>6</v>
      </c>
      <c r="U30" s="250">
        <f t="shared" si="8"/>
        <v>0.99970621602565601</v>
      </c>
      <c r="V30" s="382">
        <f t="shared" si="9"/>
        <v>26.360979436700653</v>
      </c>
      <c r="W30" s="400">
        <f t="shared" si="10"/>
        <v>26.625753128576736</v>
      </c>
      <c r="X30" s="157">
        <f t="shared" si="11"/>
        <v>45307</v>
      </c>
      <c r="Y30" s="383">
        <f t="shared" si="12"/>
        <v>26.032238303435019</v>
      </c>
      <c r="Z30" s="383">
        <f t="shared" si="22"/>
        <v>26.95936988211524</v>
      </c>
      <c r="AA30" s="384">
        <f t="shared" si="13"/>
        <v>28.485431632645106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5.357341149715833E-2</v>
      </c>
      <c r="AD30" s="230">
        <f>(INDEX(Models!$BJ30:$BT30,,AH30)*(1-AF30)+INDEX(Models!$BJ30:$BT30,,AH30+1)*AF30-ERP_i)*AE30*Ramure*Pc/MaxiM</f>
        <v>5.786966990124493E-3</v>
      </c>
      <c r="AE30" s="304">
        <f t="shared" si="15"/>
        <v>0.6</v>
      </c>
      <c r="AF30" s="177">
        <f t="shared" si="23"/>
        <v>0.99970621602565601</v>
      </c>
      <c r="AG30" s="799">
        <f t="shared" si="24"/>
        <v>0</v>
      </c>
      <c r="AH30" s="176">
        <f t="shared" si="16"/>
        <v>6</v>
      </c>
      <c r="AI30" s="224">
        <f t="shared" si="17"/>
        <v>0.99970621602565601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'2023'!Wh/'2023'!Env_an*'2024'!Env_an</f>
        <v>12.29503184361975</v>
      </c>
      <c r="C31" s="829"/>
      <c r="D31" s="391">
        <f t="shared" si="0"/>
        <v>12.733160319094489</v>
      </c>
      <c r="E31" s="383">
        <f t="shared" si="1"/>
        <v>13.155112220716889</v>
      </c>
      <c r="F31" s="383">
        <f t="shared" si="2"/>
        <v>13.172410520704569</v>
      </c>
      <c r="G31" s="110">
        <f t="shared" si="21"/>
        <v>0.45955557484824067</v>
      </c>
      <c r="H31" s="412" t="b">
        <f>Wh_hp&gt;='2023'!Maxi_hp</f>
        <v>0</v>
      </c>
      <c r="I31" s="388">
        <f>IF(H31,Wh_hp,'2023'!Maxi_hp)</f>
        <v>13.20492175837156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3.4408462981317167E-2</v>
      </c>
      <c r="M31" s="832"/>
      <c r="N31" s="832"/>
      <c r="O31" s="48">
        <f>IF(t&lt;Tnet,'2023'!Resal+('2023'!Salim-'2023'!Resal)*(1-EXP(('2023'!Tnet-t)/('2023'!Tau_j))),Resal+(Salim-Resal)*(1-EXP((Tnet-t)/(Tau_j))))*Salcycl</f>
        <v>3.2075127489821179E-2</v>
      </c>
      <c r="P31" s="169">
        <f>(INDEX(Models!$BJ31:$BT31,,T31)*(1-R31)+INDEX(Models!$BJ31:$BT31,,T31+1)*R31-ERP_i)*Q31*Ramure*Pc/MaxiM</f>
        <v>5.6892328103966949E-3</v>
      </c>
      <c r="Q31" s="304">
        <f t="shared" si="4"/>
        <v>0.6</v>
      </c>
      <c r="R31" s="177">
        <f t="shared" si="5"/>
        <v>0.99976019991501019</v>
      </c>
      <c r="S31" s="799">
        <f t="shared" si="6"/>
        <v>0</v>
      </c>
      <c r="T31" s="176">
        <f t="shared" si="7"/>
        <v>6</v>
      </c>
      <c r="U31" s="250">
        <f t="shared" si="8"/>
        <v>0.99976019991501019</v>
      </c>
      <c r="V31" s="382">
        <f t="shared" si="9"/>
        <v>26.636947898208934</v>
      </c>
      <c r="W31" s="400">
        <f t="shared" si="10"/>
        <v>12.29503184361975</v>
      </c>
      <c r="X31" s="157">
        <f t="shared" si="11"/>
        <v>45308</v>
      </c>
      <c r="Y31" s="383">
        <f t="shared" si="12"/>
        <v>12.02122735197158</v>
      </c>
      <c r="Z31" s="383">
        <f t="shared" si="22"/>
        <v>12.449598915383811</v>
      </c>
      <c r="AA31" s="384">
        <f t="shared" si="13"/>
        <v>13.155112220716889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5.3630352481678051E-2</v>
      </c>
      <c r="AD31" s="230">
        <f>(INDEX(Models!$BJ31:$BT31,,AH31)*(1-AF31)+INDEX(Models!$BJ31:$BT31,,AH31+1)*AF31-ERP_i)*AE31*Ramure*Pc/MaxiM</f>
        <v>5.6892328103966949E-3</v>
      </c>
      <c r="AE31" s="304">
        <f t="shared" si="15"/>
        <v>0.6</v>
      </c>
      <c r="AF31" s="177">
        <f t="shared" si="23"/>
        <v>0.99976019991501019</v>
      </c>
      <c r="AG31" s="799">
        <f t="shared" si="24"/>
        <v>0</v>
      </c>
      <c r="AH31" s="176">
        <f t="shared" si="16"/>
        <v>6</v>
      </c>
      <c r="AI31" s="224">
        <f t="shared" si="17"/>
        <v>0.99976019991501019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'2023'!Wh/'2023'!Env_an*'2024'!Env_an</f>
        <v>3.9059070234645596</v>
      </c>
      <c r="C32" s="829"/>
      <c r="D32" s="391">
        <f t="shared" si="0"/>
        <v>4.0451699615928085</v>
      </c>
      <c r="E32" s="383">
        <f t="shared" si="1"/>
        <v>4.179562062656446</v>
      </c>
      <c r="F32" s="383">
        <f t="shared" si="2"/>
        <v>4.179562062656446</v>
      </c>
      <c r="G32" s="110">
        <f t="shared" si="21"/>
        <v>0.14429033765449906</v>
      </c>
      <c r="H32" s="412" t="b">
        <f>Wh_hp&gt;='2023'!Maxi_hp</f>
        <v>0</v>
      </c>
      <c r="I32" s="388">
        <f>IF(H32,Wh_hp,'2023'!Maxi_hp)</f>
        <v>29.066008249734857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3.4426968322837315E-2</v>
      </c>
      <c r="M32" s="832"/>
      <c r="N32" s="832"/>
      <c r="O32" s="48">
        <f>IF(t&lt;Tnet,'2023'!Resal+('2023'!Salim-'2023'!Resal)*(1-EXP(('2023'!Tnet-t)/('2023'!Tau_j))),Resal+(Salim-Resal)*(1-EXP((Tnet-t)/(Tau_j))))*Salcycl</f>
        <v>3.2154589176795374E-2</v>
      </c>
      <c r="P32" s="169">
        <f>(INDEX(Models!$BJ32:$BT32,,T32)*(1-R32)+INDEX(Models!$BJ32:$BT32,,T32+1)*R32-ERP_i)*Q32*Ramure*Pc/MaxiM</f>
        <v>5.5916814439487678E-3</v>
      </c>
      <c r="Q32" s="304">
        <f t="shared" si="4"/>
        <v>0.6</v>
      </c>
      <c r="R32" s="177">
        <f t="shared" si="5"/>
        <v>0.99981643612715188</v>
      </c>
      <c r="S32" s="799">
        <f t="shared" si="6"/>
        <v>0</v>
      </c>
      <c r="T32" s="176">
        <f t="shared" si="7"/>
        <v>6</v>
      </c>
      <c r="U32" s="250">
        <f t="shared" si="8"/>
        <v>0.99981643612715188</v>
      </c>
      <c r="V32" s="382">
        <f t="shared" si="9"/>
        <v>26.918409775573469</v>
      </c>
      <c r="W32" s="400">
        <f t="shared" si="10"/>
        <v>3.9059070234645596</v>
      </c>
      <c r="X32" s="157">
        <f t="shared" si="11"/>
        <v>45309</v>
      </c>
      <c r="Y32" s="383">
        <f t="shared" si="12"/>
        <v>3.8190080659092871</v>
      </c>
      <c r="Z32" s="383">
        <f t="shared" si="22"/>
        <v>3.95517267013539</v>
      </c>
      <c r="AA32" s="384">
        <f t="shared" si="13"/>
        <v>4.179562062656446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5.3687297653964884E-2</v>
      </c>
      <c r="AD32" s="230">
        <f>(INDEX(Models!$BJ32:$BT32,,AH32)*(1-AF32)+INDEX(Models!$BJ32:$BT32,,AH32+1)*AF32-ERP_i)*AE32*Ramure*Pc/MaxiM</f>
        <v>5.5916814439487678E-3</v>
      </c>
      <c r="AE32" s="304">
        <f t="shared" si="15"/>
        <v>0.6</v>
      </c>
      <c r="AF32" s="177">
        <f t="shared" si="23"/>
        <v>0.99981643612715188</v>
      </c>
      <c r="AG32" s="799">
        <f t="shared" si="24"/>
        <v>0</v>
      </c>
      <c r="AH32" s="176">
        <f t="shared" si="16"/>
        <v>6</v>
      </c>
      <c r="AI32" s="224">
        <f t="shared" si="17"/>
        <v>0.99981643612715188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'2023'!Wh/'2023'!Env_an*'2024'!Env_an</f>
        <v>10.65737439224587</v>
      </c>
      <c r="C33" s="829"/>
      <c r="D33" s="391">
        <f t="shared" si="0"/>
        <v>11.037568669246456</v>
      </c>
      <c r="E33" s="383">
        <f t="shared" si="1"/>
        <v>11.405204096421061</v>
      </c>
      <c r="F33" s="383">
        <f t="shared" si="2"/>
        <v>11.413423698207319</v>
      </c>
      <c r="G33" s="110">
        <f t="shared" si="21"/>
        <v>0.38987771038779195</v>
      </c>
      <c r="H33" s="412" t="b">
        <f>Wh_hp&gt;='2023'!Maxi_hp</f>
        <v>0</v>
      </c>
      <c r="I33" s="388">
        <f>IF(H33,Wh_hp,'2023'!Maxi_hp)</f>
        <v>30.468754573897851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3.444547330970682E-2</v>
      </c>
      <c r="M33" s="832"/>
      <c r="N33" s="832"/>
      <c r="O33" s="48">
        <f>IF(t&lt;Tnet,'2023'!Resal+('2023'!Salim-'2023'!Resal)*(1-EXP(('2023'!Tnet-t)/('2023'!Tau_j))),Resal+(Salim-Resal)*(1-EXP((Tnet-t)/(Tau_j))))*Salcycl</f>
        <v>3.2234006867967298E-2</v>
      </c>
      <c r="P33" s="169">
        <f>(INDEX(Models!$BJ33:$BT33,,T33)*(1-R33)+INDEX(Models!$BJ33:$BT33,,T33+1)*R33-ERP_i)*Q33*Ramure*Pc/MaxiM</f>
        <v>5.494518176319599E-3</v>
      </c>
      <c r="Q33" s="304">
        <f t="shared" si="4"/>
        <v>0.6</v>
      </c>
      <c r="R33" s="177">
        <f t="shared" si="5"/>
        <v>0.99987501809301271</v>
      </c>
      <c r="S33" s="799">
        <f t="shared" si="6"/>
        <v>0</v>
      </c>
      <c r="T33" s="176">
        <f t="shared" si="7"/>
        <v>6</v>
      </c>
      <c r="U33" s="250">
        <f t="shared" si="8"/>
        <v>0.99987501809301271</v>
      </c>
      <c r="V33" s="382">
        <f t="shared" si="9"/>
        <v>27.204570613392455</v>
      </c>
      <c r="W33" s="400">
        <f t="shared" si="10"/>
        <v>10.65737439224587</v>
      </c>
      <c r="X33" s="157">
        <f t="shared" si="11"/>
        <v>45310</v>
      </c>
      <c r="Y33" s="383">
        <f t="shared" si="12"/>
        <v>10.420496145877554</v>
      </c>
      <c r="Z33" s="383">
        <f t="shared" si="22"/>
        <v>10.792239959349271</v>
      </c>
      <c r="AA33" s="384">
        <f t="shared" si="13"/>
        <v>11.405204096421061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5.3744249720541051E-2</v>
      </c>
      <c r="AD33" s="230">
        <f>(INDEX(Models!$BJ33:$BT33,,AH33)*(1-AF33)+INDEX(Models!$BJ33:$BT33,,AH33+1)*AF33-ERP_i)*AE33*Ramure*Pc/MaxiM</f>
        <v>5.494518176319599E-3</v>
      </c>
      <c r="AE33" s="304">
        <f t="shared" si="15"/>
        <v>0.6</v>
      </c>
      <c r="AF33" s="177">
        <f t="shared" si="23"/>
        <v>0.99987501809301271</v>
      </c>
      <c r="AG33" s="799">
        <f t="shared" si="24"/>
        <v>0</v>
      </c>
      <c r="AH33" s="176">
        <f t="shared" si="16"/>
        <v>6</v>
      </c>
      <c r="AI33" s="224">
        <f t="shared" si="17"/>
        <v>0.99987501809301271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'2023'!Wh/'2023'!Env_an*'2024'!Env_an</f>
        <v>6.6741892181775482</v>
      </c>
      <c r="C34" s="829"/>
      <c r="D34" s="391">
        <f t="shared" si="0"/>
        <v>6.9124186624868988</v>
      </c>
      <c r="E34" s="383">
        <f t="shared" si="1"/>
        <v>7.1432409391998855</v>
      </c>
      <c r="F34" s="383">
        <f t="shared" si="2"/>
        <v>7.1432409391998855</v>
      </c>
      <c r="G34" s="110">
        <f t="shared" si="21"/>
        <v>0.24143481505919256</v>
      </c>
      <c r="H34" s="412" t="b">
        <f>Wh_hp&gt;='2023'!Maxi_hp</f>
        <v>0</v>
      </c>
      <c r="I34" s="388">
        <f>IF(H34,Wh_hp,'2023'!Maxi_hp)</f>
        <v>12.26188245483894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3.4463977941932455E-2</v>
      </c>
      <c r="M34" s="832"/>
      <c r="N34" s="832"/>
      <c r="O34" s="48">
        <f>IF(t&lt;Tnet,'2023'!Resal+('2023'!Salim-'2023'!Resal)*(1-EXP(('2023'!Tnet-t)/('2023'!Tau_j))),Resal+(Salim-Resal)*(1-EXP((Tnet-t)/(Tau_j))))*Salcycl</f>
        <v>3.2313382493695024E-2</v>
      </c>
      <c r="P34" s="169">
        <f>(INDEX(Models!$BJ34:$BT34,,T34)*(1-R34)+INDEX(Models!$BJ34:$BT34,,T34+1)*R34-ERP_i)*Q34*Ramure*Pc/MaxiM</f>
        <v>5.3979588914032832E-3</v>
      </c>
      <c r="Q34" s="304">
        <f t="shared" si="4"/>
        <v>0.6</v>
      </c>
      <c r="R34" s="177">
        <f t="shared" si="5"/>
        <v>0.99993604307305539</v>
      </c>
      <c r="S34" s="799">
        <f t="shared" si="6"/>
        <v>0</v>
      </c>
      <c r="T34" s="176">
        <f t="shared" si="7"/>
        <v>6</v>
      </c>
      <c r="U34" s="250">
        <f t="shared" si="8"/>
        <v>0.99993604307305539</v>
      </c>
      <c r="V34" s="382">
        <f t="shared" si="9"/>
        <v>27.494635425785219</v>
      </c>
      <c r="W34" s="400">
        <f t="shared" si="10"/>
        <v>6.6741892181775482</v>
      </c>
      <c r="X34" s="157">
        <f t="shared" si="11"/>
        <v>45311</v>
      </c>
      <c r="Y34" s="383">
        <f t="shared" si="12"/>
        <v>6.5259864485551118</v>
      </c>
      <c r="Z34" s="383">
        <f t="shared" si="22"/>
        <v>6.7589259224578546</v>
      </c>
      <c r="AA34" s="384">
        <f t="shared" si="13"/>
        <v>7.1432409391998855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5.3801211524733668E-2</v>
      </c>
      <c r="AD34" s="230">
        <f>(INDEX(Models!$BJ34:$BT34,,AH34)*(1-AF34)+INDEX(Models!$BJ34:$BT34,,AH34+1)*AF34-ERP_i)*AE34*Ramure*Pc/MaxiM</f>
        <v>5.3979588914032832E-3</v>
      </c>
      <c r="AE34" s="304">
        <f t="shared" si="15"/>
        <v>0.6</v>
      </c>
      <c r="AF34" s="177">
        <f t="shared" si="23"/>
        <v>0.99993604307305539</v>
      </c>
      <c r="AG34" s="799">
        <f t="shared" si="24"/>
        <v>0</v>
      </c>
      <c r="AH34" s="176">
        <f t="shared" si="16"/>
        <v>6</v>
      </c>
      <c r="AI34" s="224">
        <f t="shared" si="17"/>
        <v>0.99993604307305539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'2023'!Wh/'2023'!Env_an*'2024'!Env_an</f>
        <v>21.279495978590948</v>
      </c>
      <c r="C35" s="829"/>
      <c r="D35" s="391">
        <f t="shared" si="0"/>
        <v>22.039471668528623</v>
      </c>
      <c r="E35" s="383">
        <f t="shared" si="1"/>
        <v>22.777290000602612</v>
      </c>
      <c r="F35" s="383">
        <f t="shared" si="2"/>
        <v>22.857935814160253</v>
      </c>
      <c r="G35" s="110">
        <f t="shared" si="21"/>
        <v>0.76442193225796395</v>
      </c>
      <c r="H35" s="412" t="b">
        <f>Wh_hp&gt;='2023'!Maxi_hp</f>
        <v>0</v>
      </c>
      <c r="I35" s="388">
        <f>IF(H35,Wh_hp,'2023'!Maxi_hp)</f>
        <v>22.880726638611495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3.4482482219520993E-2</v>
      </c>
      <c r="M35" s="832"/>
      <c r="N35" s="832"/>
      <c r="O35" s="48">
        <f>IF(t&lt;Tnet,'2023'!Resal+('2023'!Salim-'2023'!Resal)*(1-EXP(('2023'!Tnet-t)/('2023'!Tau_j))),Resal+(Salim-Resal)*(1-EXP((Tnet-t)/(Tau_j))))*Salcycl</f>
        <v>3.2392718012303916E-2</v>
      </c>
      <c r="P35" s="169">
        <f>(INDEX(Models!$BJ35:$BT35,,T35)*(1-R35)+INDEX(Models!$BJ35:$BT35,,T35+1)*R35-ERP_i)*Q35*Ramure*Pc/MaxiM</f>
        <v>5.3022118265228062E-3</v>
      </c>
      <c r="Q35" s="304">
        <f t="shared" si="4"/>
        <v>0.6</v>
      </c>
      <c r="R35" s="177">
        <f t="shared" si="5"/>
        <v>0.99999961231029155</v>
      </c>
      <c r="S35" s="799">
        <f t="shared" si="6"/>
        <v>0</v>
      </c>
      <c r="T35" s="176">
        <f t="shared" si="7"/>
        <v>6</v>
      </c>
      <c r="U35" s="250">
        <f t="shared" si="8"/>
        <v>0.99999961231029155</v>
      </c>
      <c r="V35" s="382">
        <f t="shared" si="9"/>
        <v>27.787809183088971</v>
      </c>
      <c r="W35" s="400">
        <f t="shared" si="10"/>
        <v>21.279495978590948</v>
      </c>
      <c r="X35" s="157">
        <f t="shared" si="11"/>
        <v>45312</v>
      </c>
      <c r="Y35" s="383">
        <f t="shared" si="12"/>
        <v>20.807430144643256</v>
      </c>
      <c r="Z35" s="383">
        <f t="shared" si="22"/>
        <v>21.550546480477273</v>
      </c>
      <c r="AA35" s="384">
        <f t="shared" si="13"/>
        <v>22.777290000602612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5.3858185942791313E-2</v>
      </c>
      <c r="AD35" s="230">
        <f>(INDEX(Models!$BJ35:$BT35,,AH35)*(1-AF35)+INDEX(Models!$BJ35:$BT35,,AH35+1)*AF35-ERP_i)*AE35*Ramure*Pc/MaxiM</f>
        <v>5.3022118265228062E-3</v>
      </c>
      <c r="AE35" s="304">
        <f t="shared" si="15"/>
        <v>0.6</v>
      </c>
      <c r="AF35" s="177">
        <f t="shared" si="23"/>
        <v>0.99999961231029155</v>
      </c>
      <c r="AG35" s="799">
        <f t="shared" si="24"/>
        <v>0</v>
      </c>
      <c r="AH35" s="176">
        <f t="shared" si="16"/>
        <v>6</v>
      </c>
      <c r="AI35" s="224">
        <f t="shared" si="17"/>
        <v>0.99999961231029155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'2023'!Wh/'2023'!Env_an*'2024'!Env_an</f>
        <v>28.405188794467243</v>
      </c>
      <c r="C36" s="829"/>
      <c r="D36" s="391">
        <f t="shared" si="0"/>
        <v>29.42021523251293</v>
      </c>
      <c r="E36" s="383">
        <f t="shared" si="1"/>
        <v>30.407611665289213</v>
      </c>
      <c r="F36" s="383">
        <f t="shared" si="2"/>
        <v>30.566788013971937</v>
      </c>
      <c r="G36" s="110">
        <f t="shared" si="21"/>
        <v>1.011462059241816</v>
      </c>
      <c r="H36" s="412" t="b">
        <f>Wh_hp&gt;='2023'!Maxi_hp</f>
        <v>1</v>
      </c>
      <c r="I36" s="388">
        <f>IF(H36,Wh_hp,'2023'!Maxi_hp)</f>
        <v>30.566788013971937</v>
      </c>
      <c r="J36" s="85">
        <f>IF(H36,An,'2023'!An_max)</f>
        <v>2024</v>
      </c>
      <c r="K36" s="197">
        <f t="shared" si="3"/>
        <v>45313</v>
      </c>
      <c r="L36" s="147">
        <f>IF(t&lt;Tvie,1-EXP((T0-t)*PertePVj)+'2023'!Pspv,1-EXP((T0-t)*PertePVj)+Pspv)</f>
        <v>3.4500986142479317E-2</v>
      </c>
      <c r="M36" s="832"/>
      <c r="N36" s="832"/>
      <c r="O36" s="48">
        <f>IF(t&lt;Tnet,'2023'!Resal+('2023'!Salim-'2023'!Resal)*(1-EXP(('2023'!Tnet-t)/('2023'!Tau_j))),Resal+(Salim-Resal)*(1-EXP((Tnet-t)/(Tau_j))))*Salcycl</f>
        <v>3.2472015350794928E-2</v>
      </c>
      <c r="P36" s="169">
        <f>(INDEX(Models!$BJ36:$BT36,,T36)*(1-R36)+INDEX(Models!$BJ36:$BT36,,T36+1)*R36-ERP_i)*Q36*Ramure*Pc/MaxiM</f>
        <v>5.2074934602210866E-3</v>
      </c>
      <c r="Q36" s="304">
        <f t="shared" si="4"/>
        <v>0.6</v>
      </c>
      <c r="R36" s="177">
        <f t="shared" si="5"/>
        <v>6.5831189073772833E-5</v>
      </c>
      <c r="S36" s="799">
        <f t="shared" si="6"/>
        <v>1</v>
      </c>
      <c r="T36" s="176">
        <f t="shared" si="7"/>
        <v>7</v>
      </c>
      <c r="U36" s="250">
        <f t="shared" si="8"/>
        <v>1.0000658311890738</v>
      </c>
      <c r="V36" s="382">
        <f t="shared" si="9"/>
        <v>28.083296387567469</v>
      </c>
      <c r="W36" s="400">
        <f t="shared" si="10"/>
        <v>28.405188794467243</v>
      </c>
      <c r="X36" s="157">
        <f t="shared" si="11"/>
        <v>45313</v>
      </c>
      <c r="Y36" s="383">
        <f t="shared" si="12"/>
        <v>27.77564935978771</v>
      </c>
      <c r="Z36" s="383">
        <f t="shared" si="22"/>
        <v>28.768179937143447</v>
      </c>
      <c r="AA36" s="384">
        <f t="shared" si="13"/>
        <v>30.407611665289213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5.391517578531832E-2</v>
      </c>
      <c r="AD36" s="230">
        <f>(INDEX(Models!$BJ36:$BT36,,AH36)*(1-AF36)+INDEX(Models!$BJ36:$BT36,,AH36+1)*AF36-ERP_i)*AE36*Ramure*Pc/MaxiM</f>
        <v>5.2074934602210866E-3</v>
      </c>
      <c r="AE36" s="304">
        <f t="shared" si="15"/>
        <v>0.6</v>
      </c>
      <c r="AF36" s="177">
        <f t="shared" si="23"/>
        <v>6.5831189073772833E-5</v>
      </c>
      <c r="AG36" s="799">
        <f t="shared" si="24"/>
        <v>1</v>
      </c>
      <c r="AH36" s="176">
        <f t="shared" si="16"/>
        <v>7</v>
      </c>
      <c r="AI36" s="224">
        <f t="shared" si="17"/>
        <v>1.0000658311890738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'2023'!Wh/'2023'!Env_an*'2024'!Env_an</f>
        <v>28.531280191200462</v>
      </c>
      <c r="C37" s="829"/>
      <c r="D37" s="391">
        <f t="shared" si="0"/>
        <v>29.551378704324776</v>
      </c>
      <c r="E37" s="383">
        <f t="shared" si="1"/>
        <v>30.545679560977227</v>
      </c>
      <c r="F37" s="383">
        <f t="shared" si="2"/>
        <v>30.702667936607376</v>
      </c>
      <c r="G37" s="110">
        <f t="shared" si="21"/>
        <v>1.0051787273423884</v>
      </c>
      <c r="H37" s="412" t="b">
        <f>Wh_hp&gt;='2023'!Maxi_hp</f>
        <v>1</v>
      </c>
      <c r="I37" s="388">
        <f>IF(H37,Wh_hp,'2023'!Maxi_hp)</f>
        <v>30.702667936607376</v>
      </c>
      <c r="J37" s="85">
        <f>IF(H37,An,'2023'!An_max)</f>
        <v>2024</v>
      </c>
      <c r="K37" s="197">
        <f t="shared" si="3"/>
        <v>45314</v>
      </c>
      <c r="L37" s="147">
        <f>IF(t&lt;Tvie,1-EXP((T0-t)*PertePVj)+'2023'!Pspv,1-EXP((T0-t)*PertePVj)+Pspv)</f>
        <v>3.45194897108142E-2</v>
      </c>
      <c r="M37" s="832"/>
      <c r="N37" s="832"/>
      <c r="O37" s="48">
        <f>IF(t&lt;Tnet,'2023'!Resal+('2023'!Salim-'2023'!Resal)*(1-EXP(('2023'!Tnet-t)/('2023'!Tau_j))),Resal+(Salim-Resal)*(1-EXP((Tnet-t)/(Tau_j))))*Salcycl</f>
        <v>3.2551276348838962E-2</v>
      </c>
      <c r="P37" s="169">
        <f>(INDEX(Models!$BJ37:$BT37,,T37)*(1-R37)+INDEX(Models!$BJ37:$BT37,,T37+1)*R37-ERP_i)*Q37*Ramure*Pc/MaxiM</f>
        <v>5.1131835172853963E-3</v>
      </c>
      <c r="Q37" s="304">
        <f t="shared" si="4"/>
        <v>0.6</v>
      </c>
      <c r="R37" s="177">
        <f t="shared" si="5"/>
        <v>1.3480939985099916E-4</v>
      </c>
      <c r="S37" s="799">
        <f t="shared" si="6"/>
        <v>1</v>
      </c>
      <c r="T37" s="176">
        <f t="shared" si="7"/>
        <v>7</v>
      </c>
      <c r="U37" s="250">
        <f t="shared" si="8"/>
        <v>1.000134809399851</v>
      </c>
      <c r="V37" s="382">
        <f t="shared" si="9"/>
        <v>28.384285714675705</v>
      </c>
      <c r="W37" s="400">
        <f t="shared" si="10"/>
        <v>28.531280191200462</v>
      </c>
      <c r="X37" s="157">
        <f t="shared" si="11"/>
        <v>45314</v>
      </c>
      <c r="Y37" s="383">
        <f t="shared" si="12"/>
        <v>27.899550679561731</v>
      </c>
      <c r="Z37" s="383">
        <f t="shared" si="22"/>
        <v>28.897062532318866</v>
      </c>
      <c r="AA37" s="384">
        <f t="shared" si="13"/>
        <v>30.545679560977227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5.3972183704974863E-2</v>
      </c>
      <c r="AD37" s="230">
        <f>(INDEX(Models!$BJ37:$BT37,,AH37)*(1-AF37)+INDEX(Models!$BJ37:$BT37,,AH37+1)*AF37-ERP_i)*AE37*Ramure*Pc/MaxiM</f>
        <v>5.1131835172853963E-3</v>
      </c>
      <c r="AE37" s="304">
        <f t="shared" si="15"/>
        <v>0.6</v>
      </c>
      <c r="AF37" s="177">
        <f t="shared" si="23"/>
        <v>1.3480939985099916E-4</v>
      </c>
      <c r="AG37" s="799">
        <f t="shared" si="24"/>
        <v>1</v>
      </c>
      <c r="AH37" s="176">
        <f t="shared" si="16"/>
        <v>7</v>
      </c>
      <c r="AI37" s="224">
        <f t="shared" si="17"/>
        <v>1.000134809399851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'2023'!Wh/'2023'!Env_an*'2024'!Env_an</f>
        <v>29.08475796626044</v>
      </c>
      <c r="C38" s="829"/>
      <c r="D38" s="391">
        <f t="shared" si="0"/>
        <v>30.125222694534227</v>
      </c>
      <c r="E38" s="383">
        <f t="shared" si="1"/>
        <v>31.14138163217067</v>
      </c>
      <c r="F38" s="383">
        <f t="shared" si="2"/>
        <v>31.29840811546141</v>
      </c>
      <c r="G38" s="110">
        <f t="shared" si="21"/>
        <v>1.0136207234082972</v>
      </c>
      <c r="H38" s="412" t="b">
        <f>Wh_hp&gt;='2023'!Maxi_hp</f>
        <v>1</v>
      </c>
      <c r="I38" s="388">
        <f>IF(H38,Wh_hp,'2023'!Maxi_hp)</f>
        <v>31.29840811546141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3.4537992924532412E-2</v>
      </c>
      <c r="M38" s="832"/>
      <c r="N38" s="832"/>
      <c r="O38" s="48">
        <f>IF(t&lt;Tnet,'2023'!Resal+('2023'!Salim-'2023'!Resal)*(1-EXP(('2023'!Tnet-t)/('2023'!Tau_j))),Resal+(Salim-Resal)*(1-EXP((Tnet-t)/(Tau_j))))*Salcycl</f>
        <v>3.26305027066204E-2</v>
      </c>
      <c r="P38" s="169">
        <f>(INDEX(Models!$BJ38:$BT38,,T38)*(1-R38)+INDEX(Models!$BJ38:$BT38,,T38+1)*R38-ERP_i)*Q38*Ramure*Pc/MaxiM</f>
        <v>5.0170757155271282E-3</v>
      </c>
      <c r="Q38" s="304">
        <f t="shared" si="4"/>
        <v>0.6</v>
      </c>
      <c r="R38" s="177">
        <f t="shared" si="5"/>
        <v>2.0666111008038612E-4</v>
      </c>
      <c r="S38" s="799">
        <f t="shared" si="6"/>
        <v>1</v>
      </c>
      <c r="T38" s="176">
        <f t="shared" si="7"/>
        <v>7</v>
      </c>
      <c r="U38" s="250">
        <f t="shared" si="8"/>
        <v>1.0002066611100804</v>
      </c>
      <c r="V38" s="382">
        <f t="shared" si="9"/>
        <v>28.693925937566686</v>
      </c>
      <c r="W38" s="400">
        <f t="shared" si="10"/>
        <v>29.08475796626044</v>
      </c>
      <c r="X38" s="157">
        <f t="shared" si="11"/>
        <v>45315</v>
      </c>
      <c r="Y38" s="383">
        <f t="shared" si="12"/>
        <v>28.441388203654753</v>
      </c>
      <c r="Z38" s="383">
        <f t="shared" si="22"/>
        <v>29.458837318526989</v>
      </c>
      <c r="AA38" s="384">
        <f t="shared" si="13"/>
        <v>31.14138163217067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5.4029212111306152E-2</v>
      </c>
      <c r="AD38" s="230">
        <f>(INDEX(Models!$BJ38:$BT38,,AH38)*(1-AF38)+INDEX(Models!$BJ38:$BT38,,AH38+1)*AF38-ERP_i)*AE38*Ramure*Pc/MaxiM</f>
        <v>5.0170757155271282E-3</v>
      </c>
      <c r="AE38" s="304">
        <f t="shared" si="15"/>
        <v>0.6</v>
      </c>
      <c r="AF38" s="177">
        <f t="shared" si="23"/>
        <v>2.0666111008038612E-4</v>
      </c>
      <c r="AG38" s="799">
        <f t="shared" si="24"/>
        <v>1</v>
      </c>
      <c r="AH38" s="176">
        <f t="shared" si="16"/>
        <v>7</v>
      </c>
      <c r="AI38" s="224">
        <f t="shared" si="17"/>
        <v>1.0002066611100804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'2023'!Wh/'2023'!Env_an*'2024'!Env_an</f>
        <v>28.124055222672201</v>
      </c>
      <c r="C39" s="829"/>
      <c r="D39" s="391">
        <f t="shared" si="0"/>
        <v>29.130710497141116</v>
      </c>
      <c r="E39" s="383">
        <f t="shared" si="1"/>
        <v>30.115788791412406</v>
      </c>
      <c r="F39" s="383">
        <f t="shared" si="2"/>
        <v>30.258005333602789</v>
      </c>
      <c r="G39" s="110">
        <f t="shared" si="21"/>
        <v>0.96920390630731146</v>
      </c>
      <c r="H39" s="412" t="b">
        <f>Wh_hp&gt;='2023'!Maxi_hp</f>
        <v>0</v>
      </c>
      <c r="I39" s="388">
        <f>IF(H39,Wh_hp,'2023'!Maxi_hp)</f>
        <v>30.261651120262506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3.4556495783640728E-2</v>
      </c>
      <c r="M39" s="832"/>
      <c r="N39" s="832"/>
      <c r="O39" s="48">
        <f>IF(t&lt;Tnet,'2023'!Resal+('2023'!Salim-'2023'!Resal)*(1-EXP(('2023'!Tnet-t)/('2023'!Tau_j))),Resal+(Salim-Resal)*(1-EXP((Tnet-t)/(Tau_j))))*Salcycl</f>
        <v>3.2709695937042399E-2</v>
      </c>
      <c r="P39" s="169">
        <f>(INDEX(Models!$BJ39:$BT39,,T39)*(1-R39)+INDEX(Models!$BJ39:$BT39,,T39+1)*R39-ERP_i)*Q39*Ramure*Pc/MaxiM</f>
        <v>4.914888460152019E-3</v>
      </c>
      <c r="Q39" s="304">
        <f t="shared" si="4"/>
        <v>0.6</v>
      </c>
      <c r="R39" s="177">
        <f t="shared" si="5"/>
        <v>2.8150514148861383E-4</v>
      </c>
      <c r="S39" s="799">
        <f t="shared" si="6"/>
        <v>1</v>
      </c>
      <c r="T39" s="176">
        <f t="shared" si="7"/>
        <v>7</v>
      </c>
      <c r="U39" s="250">
        <f t="shared" si="8"/>
        <v>1.0002815051414886</v>
      </c>
      <c r="V39" s="382">
        <f t="shared" si="9"/>
        <v>29.011425380451161</v>
      </c>
      <c r="W39" s="400">
        <f t="shared" si="10"/>
        <v>28.124055222672201</v>
      </c>
      <c r="X39" s="157">
        <f t="shared" si="11"/>
        <v>45316</v>
      </c>
      <c r="Y39" s="383">
        <f t="shared" si="12"/>
        <v>27.502529551781731</v>
      </c>
      <c r="Z39" s="383">
        <f t="shared" si="22"/>
        <v>28.486938315572651</v>
      </c>
      <c r="AA39" s="384">
        <f t="shared" si="13"/>
        <v>30.115788791412406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5.4086263093471622E-2</v>
      </c>
      <c r="AD39" s="230">
        <f>(INDEX(Models!$BJ39:$BT39,,AH39)*(1-AF39)+INDEX(Models!$BJ39:$BT39,,AH39+1)*AF39-ERP_i)*AE39*Ramure*Pc/MaxiM</f>
        <v>4.914888460152019E-3</v>
      </c>
      <c r="AE39" s="304">
        <f t="shared" si="15"/>
        <v>0.6</v>
      </c>
      <c r="AF39" s="177">
        <f t="shared" si="23"/>
        <v>2.8150514148861383E-4</v>
      </c>
      <c r="AG39" s="799">
        <f t="shared" si="24"/>
        <v>1</v>
      </c>
      <c r="AH39" s="176">
        <f t="shared" si="16"/>
        <v>7</v>
      </c>
      <c r="AI39" s="224">
        <f t="shared" si="17"/>
        <v>1.0002815051414886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'2023'!Wh/'2023'!Env_an*'2024'!Env_an</f>
        <v>28.808863382128756</v>
      </c>
      <c r="C40" s="829"/>
      <c r="D40" s="391">
        <f t="shared" si="0"/>
        <v>29.840602150395938</v>
      </c>
      <c r="E40" s="383">
        <f t="shared" si="1"/>
        <v>30.852210891405708</v>
      </c>
      <c r="F40" s="383">
        <f t="shared" si="2"/>
        <v>30.997393211904409</v>
      </c>
      <c r="G40" s="110">
        <f t="shared" si="21"/>
        <v>0.9819140720457159</v>
      </c>
      <c r="H40" s="412" t="b">
        <f>Wh_hp&gt;='2023'!Maxi_hp</f>
        <v>0</v>
      </c>
      <c r="I40" s="388">
        <f>IF(H40,Wh_hp,'2023'!Maxi_hp)</f>
        <v>30.999537323642969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3.4574998288145919E-2</v>
      </c>
      <c r="M40" s="832"/>
      <c r="N40" s="832"/>
      <c r="O40" s="48">
        <f>IF(t&lt;Tnet,'2023'!Resal+('2023'!Salim-'2023'!Resal)*(1-EXP(('2023'!Tnet-t)/('2023'!Tau_j))),Resal+(Salim-Resal)*(1-EXP((Tnet-t)/(Tau_j))))*Salcycl</f>
        <v>3.2788857322752399E-2</v>
      </c>
      <c r="P40" s="169">
        <f>(INDEX(Models!$BJ40:$BT40,,T40)*(1-R40)+INDEX(Models!$BJ40:$BT40,,T40+1)*R40-ERP_i)*Q40*Ramure*Pc/MaxiM</f>
        <v>4.8070588165884031E-3</v>
      </c>
      <c r="Q40" s="304">
        <f t="shared" si="4"/>
        <v>0.6</v>
      </c>
      <c r="R40" s="177">
        <f t="shared" si="5"/>
        <v>3.5946515388141087E-4</v>
      </c>
      <c r="S40" s="799">
        <f t="shared" si="6"/>
        <v>1</v>
      </c>
      <c r="T40" s="176">
        <f t="shared" si="7"/>
        <v>7</v>
      </c>
      <c r="U40" s="250">
        <f t="shared" si="8"/>
        <v>1.0003594651538814</v>
      </c>
      <c r="V40" s="382">
        <f t="shared" si="9"/>
        <v>29.335858903244311</v>
      </c>
      <c r="W40" s="400">
        <f t="shared" si="10"/>
        <v>28.808863382128756</v>
      </c>
      <c r="X40" s="157">
        <f t="shared" si="11"/>
        <v>45317</v>
      </c>
      <c r="Y40" s="383">
        <f t="shared" si="12"/>
        <v>28.172809578145515</v>
      </c>
      <c r="Z40" s="383">
        <f t="shared" si="22"/>
        <v>29.181769198219005</v>
      </c>
      <c r="AA40" s="384">
        <f t="shared" si="13"/>
        <v>30.852210891405708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5.4143338351548234E-2</v>
      </c>
      <c r="AD40" s="230">
        <f>(INDEX(Models!$BJ40:$BT40,,AH40)*(1-AF40)+INDEX(Models!$BJ40:$BT40,,AH40+1)*AF40-ERP_i)*AE40*Ramure*Pc/MaxiM</f>
        <v>4.8070588165884031E-3</v>
      </c>
      <c r="AE40" s="304">
        <f t="shared" si="15"/>
        <v>0.6</v>
      </c>
      <c r="AF40" s="177">
        <f t="shared" si="23"/>
        <v>3.5946515388141087E-4</v>
      </c>
      <c r="AG40" s="799">
        <f t="shared" si="24"/>
        <v>1</v>
      </c>
      <c r="AH40" s="176">
        <f t="shared" si="16"/>
        <v>7</v>
      </c>
      <c r="AI40" s="224">
        <f t="shared" si="17"/>
        <v>1.0003594651538814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'2023'!Wh/'2023'!Env_an*'2024'!Env_an</f>
        <v>27.52922601615537</v>
      </c>
      <c r="C41" s="829"/>
      <c r="D41" s="391">
        <f t="shared" si="0"/>
        <v>28.515683319562079</v>
      </c>
      <c r="E41" s="383">
        <f t="shared" si="1"/>
        <v>29.484789007249134</v>
      </c>
      <c r="F41" s="383">
        <f t="shared" si="2"/>
        <v>29.609472653272416</v>
      </c>
      <c r="G41" s="110">
        <f t="shared" si="21"/>
        <v>0.92751269423313554</v>
      </c>
      <c r="H41" s="412" t="b">
        <f>Wh_hp&gt;='2023'!Maxi_hp</f>
        <v>0</v>
      </c>
      <c r="I41" s="388">
        <f>IF(H41,Wh_hp,'2023'!Maxi_hp)</f>
        <v>29.617485688648788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3.459350043805498E-2</v>
      </c>
      <c r="M41" s="832"/>
      <c r="N41" s="832"/>
      <c r="O41" s="48">
        <f>IF(t&lt;Tnet,'2023'!Resal+('2023'!Salim-'2023'!Resal)*(1-EXP(('2023'!Tnet-t)/('2023'!Tau_j))),Resal+(Salim-Resal)*(1-EXP((Tnet-t)/(Tau_j))))*Salcycl</f>
        <v>3.2867987878386726E-2</v>
      </c>
      <c r="P41" s="169">
        <f>(INDEX(Models!$BJ41:$BT41,,T41)*(1-R41)+INDEX(Models!$BJ41:$BT41,,T41+1)*R41-ERP_i)*Q41*Ramure*Pc/MaxiM</f>
        <v>4.6939980815250389E-3</v>
      </c>
      <c r="Q41" s="304">
        <f t="shared" si="4"/>
        <v>0.6</v>
      </c>
      <c r="R41" s="177">
        <f t="shared" si="5"/>
        <v>4.4066983570312246E-4</v>
      </c>
      <c r="S41" s="799">
        <f t="shared" si="6"/>
        <v>1</v>
      </c>
      <c r="T41" s="176">
        <f t="shared" si="7"/>
        <v>7</v>
      </c>
      <c r="U41" s="250">
        <f t="shared" si="8"/>
        <v>1.0004406698357031</v>
      </c>
      <c r="V41" s="382">
        <f t="shared" si="9"/>
        <v>29.666301793011176</v>
      </c>
      <c r="W41" s="400">
        <f t="shared" si="10"/>
        <v>27.52922601615537</v>
      </c>
      <c r="X41" s="157">
        <f t="shared" si="11"/>
        <v>45318</v>
      </c>
      <c r="Y41" s="383">
        <f t="shared" si="12"/>
        <v>26.922001909398652</v>
      </c>
      <c r="Z41" s="383">
        <f t="shared" si="22"/>
        <v>27.886700495195093</v>
      </c>
      <c r="AA41" s="384">
        <f t="shared" si="13"/>
        <v>29.484789007249134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5.4200439136977821E-2</v>
      </c>
      <c r="AD41" s="230">
        <f>(INDEX(Models!$BJ41:$BT41,,AH41)*(1-AF41)+INDEX(Models!$BJ41:$BT41,,AH41+1)*AF41-ERP_i)*AE41*Ramure*Pc/MaxiM</f>
        <v>4.6939980815250389E-3</v>
      </c>
      <c r="AE41" s="304">
        <f t="shared" si="15"/>
        <v>0.6</v>
      </c>
      <c r="AF41" s="177">
        <f t="shared" si="23"/>
        <v>4.4066983570312246E-4</v>
      </c>
      <c r="AG41" s="799">
        <f t="shared" si="24"/>
        <v>1</v>
      </c>
      <c r="AH41" s="176">
        <f t="shared" si="16"/>
        <v>7</v>
      </c>
      <c r="AI41" s="224">
        <f t="shared" si="17"/>
        <v>1.0004406698357031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'2023'!Wh/'2023'!Env_an*'2024'!Env_an</f>
        <v>4.350658859368421</v>
      </c>
      <c r="C42" s="829"/>
      <c r="D42" s="391">
        <f t="shared" si="0"/>
        <v>4.5066427896694821</v>
      </c>
      <c r="E42" s="383">
        <f t="shared" si="1"/>
        <v>4.660182225016821</v>
      </c>
      <c r="F42" s="383">
        <f t="shared" si="2"/>
        <v>4.660182225016821</v>
      </c>
      <c r="G42" s="110">
        <f t="shared" si="21"/>
        <v>0.14434952411890972</v>
      </c>
      <c r="H42" s="412" t="b">
        <f>Wh_hp&gt;='2023'!Maxi_hp</f>
        <v>0</v>
      </c>
      <c r="I42" s="388">
        <f>IF(H42,Wh_hp,'2023'!Maxi_hp)</f>
        <v>18.471919028830147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3.4612002233374461E-2</v>
      </c>
      <c r="M42" s="832"/>
      <c r="N42" s="832"/>
      <c r="O42" s="48">
        <f>IF(t&lt;Tnet,'2023'!Resal+('2023'!Salim-'2023'!Resal)*(1-EXP(('2023'!Tnet-t)/('2023'!Tau_j))),Resal+(Salim-Resal)*(1-EXP((Tnet-t)/(Tau_j))))*Salcycl</f>
        <v>3.2947088318372592E-2</v>
      </c>
      <c r="P42" s="169">
        <f>(INDEX(Models!$BJ42:$BT42,,T42)*(1-R42)+INDEX(Models!$BJ42:$BT42,,T42+1)*R42-ERP_i)*Q42*Ramure*Pc/MaxiM</f>
        <v>4.5760905012049088E-3</v>
      </c>
      <c r="Q42" s="304">
        <f t="shared" si="4"/>
        <v>0.6</v>
      </c>
      <c r="R42" s="177">
        <f t="shared" si="5"/>
        <v>5.2525310154916127E-4</v>
      </c>
      <c r="S42" s="799">
        <f t="shared" si="6"/>
        <v>1</v>
      </c>
      <c r="T42" s="176">
        <f t="shared" si="7"/>
        <v>7</v>
      </c>
      <c r="U42" s="250">
        <f t="shared" si="8"/>
        <v>1.0005252531015492</v>
      </c>
      <c r="V42" s="382">
        <f t="shared" si="9"/>
        <v>30.001829774794221</v>
      </c>
      <c r="W42" s="400">
        <f t="shared" si="10"/>
        <v>4.350658859368421</v>
      </c>
      <c r="X42" s="157">
        <f t="shared" si="11"/>
        <v>45319</v>
      </c>
      <c r="Y42" s="383">
        <f t="shared" si="12"/>
        <v>4.2547854916503445</v>
      </c>
      <c r="Z42" s="383">
        <f t="shared" si="22"/>
        <v>4.4073320794266841</v>
      </c>
      <c r="AA42" s="384">
        <f t="shared" si="13"/>
        <v>4.660182225016821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5.4257566202622967E-2</v>
      </c>
      <c r="AD42" s="230">
        <f>(INDEX(Models!$BJ42:$BT42,,AH42)*(1-AF42)+INDEX(Models!$BJ42:$BT42,,AH42+1)*AF42-ERP_i)*AE42*Ramure*Pc/MaxiM</f>
        <v>4.5760905012049088E-3</v>
      </c>
      <c r="AE42" s="304">
        <f t="shared" si="15"/>
        <v>0.6</v>
      </c>
      <c r="AF42" s="177">
        <f t="shared" si="23"/>
        <v>5.2525310154916127E-4</v>
      </c>
      <c r="AG42" s="799">
        <f t="shared" si="24"/>
        <v>1</v>
      </c>
      <c r="AH42" s="176">
        <f t="shared" si="16"/>
        <v>7</v>
      </c>
      <c r="AI42" s="224">
        <f t="shared" si="17"/>
        <v>1.0005252531015492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'2023'!Wh/'2023'!Env_an*'2024'!Env_an</f>
        <v>9.1829692120304109</v>
      </c>
      <c r="C43" s="829"/>
      <c r="D43" s="391">
        <f t="shared" si="0"/>
        <v>9.5123879996001346</v>
      </c>
      <c r="E43" s="383">
        <f t="shared" si="1"/>
        <v>9.8372754221184451</v>
      </c>
      <c r="F43" s="383">
        <f t="shared" si="2"/>
        <v>9.8374415091734839</v>
      </c>
      <c r="G43" s="110">
        <f t="shared" si="21"/>
        <v>0.30131073657901691</v>
      </c>
      <c r="H43" s="412" t="b">
        <f>Wh_hp&gt;='2023'!Maxi_hp</f>
        <v>0</v>
      </c>
      <c r="I43" s="388">
        <f>IF(H43,Wh_hp,'2023'!Maxi_hp)</f>
        <v>19.775703807846384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3.4630503674111246E-2</v>
      </c>
      <c r="M43" s="832"/>
      <c r="N43" s="832"/>
      <c r="O43" s="48">
        <f>IF(t&lt;Tnet,'2023'!Resal+('2023'!Salim-'2023'!Resal)*(1-EXP(('2023'!Tnet-t)/('2023'!Tau_j))),Resal+(Salim-Resal)*(1-EXP((Tnet-t)/(Tau_j))))*Salcycl</f>
        <v>3.3026159030560824E-2</v>
      </c>
      <c r="P43" s="169">
        <f>(INDEX(Models!$BJ43:$BT43,,T43)*(1-R43)+INDEX(Models!$BJ43:$BT43,,T43+1)*R43-ERP_i)*Q43*Ramure*Pc/MaxiM</f>
        <v>4.453692434813996E-3</v>
      </c>
      <c r="Q43" s="304">
        <f t="shared" si="4"/>
        <v>0.6</v>
      </c>
      <c r="R43" s="177">
        <f t="shared" si="5"/>
        <v>6.1335429683428977E-4</v>
      </c>
      <c r="S43" s="799">
        <f t="shared" si="6"/>
        <v>1</v>
      </c>
      <c r="T43" s="176">
        <f t="shared" si="7"/>
        <v>7</v>
      </c>
      <c r="U43" s="250">
        <f t="shared" si="8"/>
        <v>1.0006133542968343</v>
      </c>
      <c r="V43" s="382">
        <f t="shared" si="9"/>
        <v>30.34151900769789</v>
      </c>
      <c r="W43" s="400">
        <f t="shared" si="10"/>
        <v>9.1829692120304109</v>
      </c>
      <c r="X43" s="157">
        <f t="shared" si="11"/>
        <v>45320</v>
      </c>
      <c r="Y43" s="383">
        <f t="shared" si="12"/>
        <v>8.9808001465503455</v>
      </c>
      <c r="Z43" s="383">
        <f t="shared" si="22"/>
        <v>9.3029665643367423</v>
      </c>
      <c r="AA43" s="384">
        <f t="shared" si="13"/>
        <v>9.8372754221184451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5.4314719762785665E-2</v>
      </c>
      <c r="AD43" s="230">
        <f>(INDEX(Models!$BJ43:$BT43,,AH43)*(1-AF43)+INDEX(Models!$BJ43:$BT43,,AH43+1)*AF43-ERP_i)*AE43*Ramure*Pc/MaxiM</f>
        <v>4.453692434813996E-3</v>
      </c>
      <c r="AE43" s="304">
        <f t="shared" si="15"/>
        <v>0.6</v>
      </c>
      <c r="AF43" s="177">
        <f t="shared" si="23"/>
        <v>6.1335429683428977E-4</v>
      </c>
      <c r="AG43" s="799">
        <f t="shared" si="24"/>
        <v>1</v>
      </c>
      <c r="AH43" s="176">
        <f t="shared" si="16"/>
        <v>7</v>
      </c>
      <c r="AI43" s="224">
        <f t="shared" si="17"/>
        <v>1.0006133542968343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'2023'!Wh/'2023'!Env_an*'2024'!Env_an</f>
        <v>4.7425096823190671</v>
      </c>
      <c r="C44" s="829"/>
      <c r="D44" s="391">
        <f t="shared" si="0"/>
        <v>4.912730919328828</v>
      </c>
      <c r="E44" s="383">
        <f t="shared" si="1"/>
        <v>5.0809363331076316</v>
      </c>
      <c r="F44" s="383">
        <f t="shared" si="2"/>
        <v>5.0809363331076316</v>
      </c>
      <c r="G44" s="110">
        <f t="shared" si="21"/>
        <v>0.15388865756396944</v>
      </c>
      <c r="H44" s="412" t="b">
        <f>Wh_hp&gt;='2023'!Maxi_hp</f>
        <v>0</v>
      </c>
      <c r="I44" s="388">
        <f>IF(H44,Wh_hp,'2023'!Maxi_hp)</f>
        <v>11.80160840972839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3.4649004760272106E-2</v>
      </c>
      <c r="M44" s="832"/>
      <c r="N44" s="832"/>
      <c r="O44" s="48">
        <f>IF(t&lt;Tnet,'2023'!Resal+('2023'!Salim-'2023'!Resal)*(1-EXP(('2023'!Tnet-t)/('2023'!Tau_j))),Resal+(Salim-Resal)*(1-EXP((Tnet-t)/(Tau_j))))*Salcycl</f>
        <v>3.3105200055896955E-2</v>
      </c>
      <c r="P44" s="169">
        <f>(INDEX(Models!$BJ44:$BT44,,T44)*(1-R44)+INDEX(Models!$BJ44:$BT44,,T44+1)*R44-ERP_i)*Q44*Ramure*Pc/MaxiM</f>
        <v>4.3299485329409276E-3</v>
      </c>
      <c r="Q44" s="304">
        <f t="shared" si="4"/>
        <v>0.6</v>
      </c>
      <c r="R44" s="177">
        <f t="shared" si="5"/>
        <v>7.0511840982789842E-4</v>
      </c>
      <c r="S44" s="799">
        <f t="shared" si="6"/>
        <v>1</v>
      </c>
      <c r="T44" s="176">
        <f t="shared" si="7"/>
        <v>7</v>
      </c>
      <c r="U44" s="250">
        <f t="shared" si="8"/>
        <v>1.0007051184098279</v>
      </c>
      <c r="V44" s="382">
        <f t="shared" si="9"/>
        <v>30.684359290838515</v>
      </c>
      <c r="W44" s="400">
        <f t="shared" si="10"/>
        <v>4.7425096823190671</v>
      </c>
      <c r="X44" s="157">
        <f t="shared" si="11"/>
        <v>45321</v>
      </c>
      <c r="Y44" s="383">
        <f t="shared" si="12"/>
        <v>4.6381989260123433</v>
      </c>
      <c r="Z44" s="383">
        <f t="shared" si="22"/>
        <v>4.8046761736238004</v>
      </c>
      <c r="AA44" s="384">
        <f t="shared" si="13"/>
        <v>5.0809363331076316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5.4371899463432787E-2</v>
      </c>
      <c r="AD44" s="230">
        <f>(INDEX(Models!$BJ44:$BT44,,AH44)*(1-AF44)+INDEX(Models!$BJ44:$BT44,,AH44+1)*AF44-ERP_i)*AE44*Ramure*Pc/MaxiM</f>
        <v>4.3299485329409276E-3</v>
      </c>
      <c r="AE44" s="304">
        <f t="shared" si="15"/>
        <v>0.6</v>
      </c>
      <c r="AF44" s="177">
        <f t="shared" si="23"/>
        <v>7.0511840982789842E-4</v>
      </c>
      <c r="AG44" s="799">
        <f t="shared" si="24"/>
        <v>1</v>
      </c>
      <c r="AH44" s="176">
        <f t="shared" si="16"/>
        <v>7</v>
      </c>
      <c r="AI44" s="224">
        <f t="shared" si="17"/>
        <v>1.0007051184098279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'2023'!Wh/'2023'!Env_an*'2024'!Env_an</f>
        <v>7.8643688278311989</v>
      </c>
      <c r="C45" s="829"/>
      <c r="D45" s="391">
        <f t="shared" si="0"/>
        <v>8.1467979919585272</v>
      </c>
      <c r="E45" s="383">
        <f t="shared" si="1"/>
        <v>8.4264221636375982</v>
      </c>
      <c r="F45" s="383">
        <f t="shared" si="2"/>
        <v>8.4264221636375982</v>
      </c>
      <c r="G45" s="110">
        <f t="shared" si="21"/>
        <v>0.25238295484514661</v>
      </c>
      <c r="H45" s="412" t="b">
        <f>Wh_hp&gt;='2023'!Maxi_hp</f>
        <v>0</v>
      </c>
      <c r="I45" s="388">
        <f>IF(H45,Wh_hp,'2023'!Maxi_hp)</f>
        <v>23.12427848668732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3.4667505491863926E-2</v>
      </c>
      <c r="M45" s="832"/>
      <c r="N45" s="832"/>
      <c r="O45" s="48">
        <f>IF(t&lt;Tnet,'2023'!Resal+('2023'!Salim-'2023'!Resal)*(1-EXP(('2023'!Tnet-t)/('2023'!Tau_j))),Resal+(Salim-Resal)*(1-EXP((Tnet-t)/(Tau_j))))*Salcycl</f>
        <v>3.3184211074271684E-2</v>
      </c>
      <c r="P45" s="169">
        <f>(INDEX(Models!$BJ45:$BT45,,T45)*(1-R45)+INDEX(Models!$BJ45:$BT45,,T45+1)*R45-ERP_i)*Q45*Ramure*Pc/MaxiM</f>
        <v>4.209915676136558E-3</v>
      </c>
      <c r="Q45" s="304">
        <f t="shared" si="4"/>
        <v>0.6</v>
      </c>
      <c r="R45" s="177">
        <f t="shared" si="5"/>
        <v>8.0069629125789632E-4</v>
      </c>
      <c r="S45" s="799">
        <f t="shared" si="6"/>
        <v>1</v>
      </c>
      <c r="T45" s="176">
        <f t="shared" si="7"/>
        <v>7</v>
      </c>
      <c r="U45" s="250">
        <f t="shared" si="8"/>
        <v>1.0008006962912579</v>
      </c>
      <c r="V45" s="382">
        <f t="shared" si="9"/>
        <v>31.029276533452826</v>
      </c>
      <c r="W45" s="400">
        <f t="shared" si="10"/>
        <v>7.8643688278311989</v>
      </c>
      <c r="X45" s="157">
        <f t="shared" si="11"/>
        <v>45322</v>
      </c>
      <c r="Y45" s="383">
        <f t="shared" si="12"/>
        <v>7.6915565109013722</v>
      </c>
      <c r="Z45" s="383">
        <f t="shared" si="22"/>
        <v>7.9677795522882873</v>
      </c>
      <c r="AA45" s="384">
        <f t="shared" si="13"/>
        <v>8.4264221636375982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5.4429104362760702E-2</v>
      </c>
      <c r="AD45" s="230">
        <f>(INDEX(Models!$BJ45:$BT45,,AH45)*(1-AF45)+INDEX(Models!$BJ45:$BT45,,AH45+1)*AF45-ERP_i)*AE45*Ramure*Pc/MaxiM</f>
        <v>4.209915676136558E-3</v>
      </c>
      <c r="AE45" s="304">
        <f t="shared" si="15"/>
        <v>0.6</v>
      </c>
      <c r="AF45" s="177">
        <f t="shared" si="23"/>
        <v>8.0069629125789632E-4</v>
      </c>
      <c r="AG45" s="799">
        <f t="shared" si="24"/>
        <v>1</v>
      </c>
      <c r="AH45" s="176">
        <f t="shared" si="16"/>
        <v>7</v>
      </c>
      <c r="AI45" s="224">
        <f t="shared" si="17"/>
        <v>1.0008006962912579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'2023'!Wh/'2023'!Env_an*'2024'!Env_an</f>
        <v>13.05088044670633</v>
      </c>
      <c r="C46" s="829"/>
      <c r="D46" s="391">
        <f t="shared" si="0"/>
        <v>13.519829326056358</v>
      </c>
      <c r="E46" s="383">
        <f t="shared" si="1"/>
        <v>13.985015575840301</v>
      </c>
      <c r="F46" s="383">
        <f t="shared" si="2"/>
        <v>13.994505737509643</v>
      </c>
      <c r="G46" s="110">
        <f t="shared" si="21"/>
        <v>0.4145380335238445</v>
      </c>
      <c r="H46" s="412" t="b">
        <f>Wh_hp&gt;='2023'!Maxi_hp</f>
        <v>0</v>
      </c>
      <c r="I46" s="388">
        <f>IF(H46,Wh_hp,'2023'!Maxi_hp)</f>
        <v>14.021130827306354</v>
      </c>
      <c r="J46" s="85">
        <f>IF(H46,An,'2023'!An_max)</f>
        <v>2022</v>
      </c>
      <c r="K46" s="197">
        <f t="shared" si="3"/>
        <v>45323</v>
      </c>
      <c r="L46" s="147">
        <f>IF(t&lt;Tvie,1-EXP((T0-t)*PertePVj)+'2023'!Pspv,1-EXP((T0-t)*PertePVj)+Pspv)</f>
        <v>3.4686005868893477E-2</v>
      </c>
      <c r="M46" s="832"/>
      <c r="N46" s="832"/>
      <c r="O46" s="48">
        <f>IF(t&lt;Tnet,'2023'!Resal+('2023'!Salim-'2023'!Resal)*(1-EXP(('2023'!Tnet-t)/('2023'!Tau_j))),Resal+(Salim-Resal)*(1-EXP((Tnet-t)/(Tau_j))))*Salcycl</f>
        <v>3.3263191396623905E-2</v>
      </c>
      <c r="P46" s="169">
        <f>(INDEX(Models!$BJ46:$BT46,,T46)*(1-R46)+INDEX(Models!$BJ46:$BT46,,T46+1)*R46-ERP_i)*Q46*Ramure*Pc/MaxiM</f>
        <v>4.0936150837785285E-3</v>
      </c>
      <c r="Q46" s="304">
        <f t="shared" si="4"/>
        <v>0.6</v>
      </c>
      <c r="R46" s="177">
        <f t="shared" si="5"/>
        <v>9.0024488169837547E-4</v>
      </c>
      <c r="S46" s="799">
        <f t="shared" si="6"/>
        <v>1</v>
      </c>
      <c r="T46" s="176">
        <f t="shared" si="7"/>
        <v>7</v>
      </c>
      <c r="U46" s="250">
        <f t="shared" si="8"/>
        <v>1.0009002448816984</v>
      </c>
      <c r="V46" s="382">
        <f t="shared" si="9"/>
        <v>31.375348271911996</v>
      </c>
      <c r="W46" s="400">
        <f t="shared" si="10"/>
        <v>13.05088044670633</v>
      </c>
      <c r="X46" s="157">
        <f t="shared" si="11"/>
        <v>45323</v>
      </c>
      <c r="Y46" s="383">
        <f t="shared" si="12"/>
        <v>12.764369495341041</v>
      </c>
      <c r="Z46" s="383">
        <f t="shared" si="22"/>
        <v>13.223023361254013</v>
      </c>
      <c r="AA46" s="384">
        <f t="shared" si="13"/>
        <v>13.985015575840301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5.4486332922121385E-2</v>
      </c>
      <c r="AD46" s="230">
        <f>(INDEX(Models!$BJ46:$BT46,,AH46)*(1-AF46)+INDEX(Models!$BJ46:$BT46,,AH46+1)*AF46-ERP_i)*AE46*Ramure*Pc/MaxiM</f>
        <v>4.0936150837785285E-3</v>
      </c>
      <c r="AE46" s="304">
        <f t="shared" si="15"/>
        <v>0.6</v>
      </c>
      <c r="AF46" s="177">
        <f t="shared" si="23"/>
        <v>9.0024488169837547E-4</v>
      </c>
      <c r="AG46" s="799">
        <f t="shared" si="24"/>
        <v>1</v>
      </c>
      <c r="AH46" s="176">
        <f t="shared" si="16"/>
        <v>7</v>
      </c>
      <c r="AI46" s="224">
        <f t="shared" si="17"/>
        <v>1.0009002448816984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'2023'!Wh/'2023'!Env_an*'2024'!Env_an</f>
        <v>5.5095961026033526</v>
      </c>
      <c r="C47" s="829"/>
      <c r="D47" s="391">
        <f t="shared" si="0"/>
        <v>5.707678256274253</v>
      </c>
      <c r="E47" s="383">
        <f t="shared" si="1"/>
        <v>5.9045485401190172</v>
      </c>
      <c r="F47" s="383">
        <f t="shared" si="2"/>
        <v>5.9045485401190172</v>
      </c>
      <c r="G47" s="110">
        <f t="shared" si="21"/>
        <v>0.17299420712965421</v>
      </c>
      <c r="H47" s="412" t="b">
        <f>Wh_hp&gt;='2023'!Maxi_hp</f>
        <v>0</v>
      </c>
      <c r="I47" s="388">
        <f>IF(H47,Wh_hp,'2023'!Maxi_hp)</f>
        <v>29.977059055663016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3.4704505891367532E-2</v>
      </c>
      <c r="M47" s="832"/>
      <c r="N47" s="832"/>
      <c r="O47" s="48">
        <f>IF(t&lt;Tnet,'2023'!Resal+('2023'!Salim-'2023'!Resal)*(1-EXP(('2023'!Tnet-t)/('2023'!Tau_j))),Resal+(Salim-Resal)*(1-EXP((Tnet-t)/(Tau_j))))*Salcycl</f>
        <v>3.3342139963302882E-2</v>
      </c>
      <c r="P47" s="169">
        <f>(INDEX(Models!$BJ47:$BT47,,T47)*(1-R47)+INDEX(Models!$BJ47:$BT47,,T47+1)*R47-ERP_i)*Q47*Ramure*Pc/MaxiM</f>
        <v>3.9810515813852847E-3</v>
      </c>
      <c r="Q47" s="304">
        <f t="shared" si="4"/>
        <v>0.6</v>
      </c>
      <c r="R47" s="177">
        <f t="shared" si="5"/>
        <v>1.0039274469431092E-3</v>
      </c>
      <c r="S47" s="799">
        <f t="shared" si="6"/>
        <v>1</v>
      </c>
      <c r="T47" s="176">
        <f t="shared" si="7"/>
        <v>7</v>
      </c>
      <c r="U47" s="250">
        <f t="shared" si="8"/>
        <v>1.0010039274469431</v>
      </c>
      <c r="V47" s="382">
        <f t="shared" si="9"/>
        <v>31.721652460960399</v>
      </c>
      <c r="W47" s="400">
        <f t="shared" si="10"/>
        <v>5.5095961026033526</v>
      </c>
      <c r="X47" s="157">
        <f t="shared" si="11"/>
        <v>45324</v>
      </c>
      <c r="Y47" s="383">
        <f t="shared" si="12"/>
        <v>5.3887556348499368</v>
      </c>
      <c r="Z47" s="383">
        <f t="shared" si="22"/>
        <v>5.5824933067008562</v>
      </c>
      <c r="AA47" s="384">
        <f t="shared" si="13"/>
        <v>5.9045485401190172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5.4543583007223263E-2</v>
      </c>
      <c r="AD47" s="230">
        <f>(INDEX(Models!$BJ47:$BT47,,AH47)*(1-AF47)+INDEX(Models!$BJ47:$BT47,,AH47+1)*AF47-ERP_i)*AE47*Ramure*Pc/MaxiM</f>
        <v>3.9810515813852847E-3</v>
      </c>
      <c r="AE47" s="304">
        <f t="shared" si="15"/>
        <v>0.6</v>
      </c>
      <c r="AF47" s="177">
        <f t="shared" si="23"/>
        <v>1.0039274469431092E-3</v>
      </c>
      <c r="AG47" s="799">
        <f t="shared" si="24"/>
        <v>1</v>
      </c>
      <c r="AH47" s="176">
        <f t="shared" si="16"/>
        <v>7</v>
      </c>
      <c r="AI47" s="224">
        <f t="shared" si="17"/>
        <v>1.0010039274469431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'2023'!Wh/'2023'!Env_an*'2024'!Env_an</f>
        <v>10.813225248872499</v>
      </c>
      <c r="C48" s="829"/>
      <c r="D48" s="391">
        <f t="shared" si="0"/>
        <v>11.202199276631271</v>
      </c>
      <c r="E48" s="383">
        <f t="shared" si="1"/>
        <v>11.589533724709606</v>
      </c>
      <c r="F48" s="383">
        <f t="shared" si="2"/>
        <v>11.591919402147131</v>
      </c>
      <c r="G48" s="110">
        <f t="shared" si="21"/>
        <v>0.33596786437489395</v>
      </c>
      <c r="H48" s="412" t="b">
        <f>Wh_hp&gt;='2023'!Maxi_hp</f>
        <v>0</v>
      </c>
      <c r="I48" s="388">
        <f>IF(H48,Wh_hp,'2023'!Maxi_hp)</f>
        <v>27.588451395254136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3.4723005559292752E-2</v>
      </c>
      <c r="M48" s="832"/>
      <c r="N48" s="832"/>
      <c r="O48" s="48">
        <f>IF(t&lt;Tnet,'2023'!Resal+('2023'!Salim-'2023'!Resal)*(1-EXP(('2023'!Tnet-t)/('2023'!Tau_j))),Resal+(Salim-Resal)*(1-EXP((Tnet-t)/(Tau_j))))*Salcycl</f>
        <v>3.3421055348630047E-2</v>
      </c>
      <c r="P48" s="169">
        <f>(INDEX(Models!$BJ48:$BT48,,T48)*(1-R48)+INDEX(Models!$BJ48:$BT48,,T48+1)*R48-ERP_i)*Q48*Ramure*Pc/MaxiM</f>
        <v>3.8722156508435605E-3</v>
      </c>
      <c r="Q48" s="304">
        <f t="shared" si="4"/>
        <v>0.6</v>
      </c>
      <c r="R48" s="177">
        <f t="shared" si="5"/>
        <v>1.1119138215762714E-3</v>
      </c>
      <c r="S48" s="799">
        <f t="shared" si="6"/>
        <v>1</v>
      </c>
      <c r="T48" s="176">
        <f t="shared" si="7"/>
        <v>7</v>
      </c>
      <c r="U48" s="250">
        <f t="shared" si="8"/>
        <v>1.0011119138215763</v>
      </c>
      <c r="V48" s="382">
        <f t="shared" si="9"/>
        <v>32.067267463270873</v>
      </c>
      <c r="W48" s="400">
        <f t="shared" si="10"/>
        <v>10.813225248872499</v>
      </c>
      <c r="X48" s="157">
        <f t="shared" si="11"/>
        <v>45325</v>
      </c>
      <c r="Y48" s="383">
        <f t="shared" si="12"/>
        <v>10.57628452913487</v>
      </c>
      <c r="Z48" s="383">
        <f t="shared" si="22"/>
        <v>10.956735310223459</v>
      </c>
      <c r="AA48" s="384">
        <f t="shared" si="13"/>
        <v>11.589533724709606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5.4600851899415083E-2</v>
      </c>
      <c r="AD48" s="230">
        <f>(INDEX(Models!$BJ48:$BT48,,AH48)*(1-AF48)+INDEX(Models!$BJ48:$BT48,,AH48+1)*AF48-ERP_i)*AE48*Ramure*Pc/MaxiM</f>
        <v>3.8722156508435605E-3</v>
      </c>
      <c r="AE48" s="304">
        <f t="shared" si="15"/>
        <v>0.6</v>
      </c>
      <c r="AF48" s="177">
        <f t="shared" si="23"/>
        <v>1.1119138215762714E-3</v>
      </c>
      <c r="AG48" s="799">
        <f t="shared" si="24"/>
        <v>1</v>
      </c>
      <c r="AH48" s="176">
        <f t="shared" si="16"/>
        <v>7</v>
      </c>
      <c r="AI48" s="224">
        <f t="shared" si="17"/>
        <v>1.0011119138215763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'2023'!Wh/'2023'!Env_an*'2024'!Env_an</f>
        <v>10.650599391311852</v>
      </c>
      <c r="C49" s="829"/>
      <c r="D49" s="391">
        <f t="shared" si="0"/>
        <v>11.033934894203618</v>
      </c>
      <c r="E49" s="383">
        <f t="shared" si="1"/>
        <v>11.416382991150423</v>
      </c>
      <c r="F49" s="383">
        <f t="shared" si="2"/>
        <v>11.418140868176833</v>
      </c>
      <c r="G49" s="110">
        <f t="shared" si="21"/>
        <v>0.32742039382997101</v>
      </c>
      <c r="H49" s="412" t="b">
        <f>Wh_hp&gt;='2023'!Maxi_hp</f>
        <v>0</v>
      </c>
      <c r="I49" s="388">
        <f>IF(H49,Wh_hp,'2023'!Maxi_hp)</f>
        <v>19.347515119040757</v>
      </c>
      <c r="J49" s="85">
        <f>IF(H49,An,'2023'!An_max)</f>
        <v>2020</v>
      </c>
      <c r="K49" s="197">
        <f t="shared" si="3"/>
        <v>45326</v>
      </c>
      <c r="L49" s="147">
        <f>IF(t&lt;Tvie,1-EXP((T0-t)*PertePVj)+'2023'!Pspv,1-EXP((T0-t)*PertePVj)+Pspv)</f>
        <v>3.4741504872676132E-2</v>
      </c>
      <c r="M49" s="832"/>
      <c r="N49" s="832"/>
      <c r="O49" s="48">
        <f>IF(t&lt;Tnet,'2023'!Resal+('2023'!Salim-'2023'!Resal)*(1-EXP(('2023'!Tnet-t)/('2023'!Tau_j))),Resal+(Salim-Resal)*(1-EXP((Tnet-t)/(Tau_j))))*Salcycl</f>
        <v>3.3499935771536898E-2</v>
      </c>
      <c r="P49" s="169">
        <f>(INDEX(Models!$BJ49:$BT49,,T49)*(1-R49)+INDEX(Models!$BJ49:$BT49,,T49+1)*R49-ERP_i)*Q49*Ramure*Pc/MaxiM</f>
        <v>3.7670853566589375E-3</v>
      </c>
      <c r="Q49" s="304">
        <f t="shared" si="4"/>
        <v>0.6</v>
      </c>
      <c r="R49" s="177">
        <f t="shared" si="5"/>
        <v>1.2243806609422148E-3</v>
      </c>
      <c r="S49" s="799">
        <f t="shared" si="6"/>
        <v>1</v>
      </c>
      <c r="T49" s="176">
        <f t="shared" si="7"/>
        <v>7</v>
      </c>
      <c r="U49" s="250">
        <f t="shared" si="8"/>
        <v>1.0012243806609422</v>
      </c>
      <c r="V49" s="382">
        <f t="shared" si="9"/>
        <v>32.411272050408911</v>
      </c>
      <c r="W49" s="400">
        <f t="shared" si="10"/>
        <v>10.650599391311852</v>
      </c>
      <c r="X49" s="157">
        <f t="shared" si="11"/>
        <v>45326</v>
      </c>
      <c r="Y49" s="383">
        <f t="shared" si="12"/>
        <v>10.417441085183762</v>
      </c>
      <c r="Z49" s="383">
        <f t="shared" si="22"/>
        <v>10.792384773375794</v>
      </c>
      <c r="AA49" s="384">
        <f t="shared" si="13"/>
        <v>11.416382991150423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5.4658136316759122E-2</v>
      </c>
      <c r="AD49" s="230">
        <f>(INDEX(Models!$BJ49:$BT49,,AH49)*(1-AF49)+INDEX(Models!$BJ49:$BT49,,AH49+1)*AF49-ERP_i)*AE49*Ramure*Pc/MaxiM</f>
        <v>3.7670853566589375E-3</v>
      </c>
      <c r="AE49" s="304">
        <f t="shared" si="15"/>
        <v>0.6</v>
      </c>
      <c r="AF49" s="177">
        <f t="shared" si="23"/>
        <v>1.2243806609422148E-3</v>
      </c>
      <c r="AG49" s="799">
        <f t="shared" si="24"/>
        <v>1</v>
      </c>
      <c r="AH49" s="176">
        <f t="shared" si="16"/>
        <v>7</v>
      </c>
      <c r="AI49" s="224">
        <f t="shared" si="17"/>
        <v>1.0012243806609422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'2023'!Wh/'2023'!Env_an*'2024'!Env_an</f>
        <v>9.3589946942955411</v>
      </c>
      <c r="C50" s="829"/>
      <c r="D50" s="391">
        <f t="shared" si="0"/>
        <v>9.6960286886640752</v>
      </c>
      <c r="E50" s="383">
        <f t="shared" si="1"/>
        <v>10.032921958973313</v>
      </c>
      <c r="F50" s="383">
        <f t="shared" si="2"/>
        <v>10.032921958973313</v>
      </c>
      <c r="G50" s="110">
        <f t="shared" si="21"/>
        <v>0.28469943471121412</v>
      </c>
      <c r="H50" s="412" t="b">
        <f>Wh_hp&gt;='2023'!Maxi_hp</f>
        <v>0</v>
      </c>
      <c r="I50" s="388">
        <f>IF(H50,Wh_hp,'2023'!Maxi_hp)</f>
        <v>35.681802082367859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3.4760003831524444E-2</v>
      </c>
      <c r="M50" s="832"/>
      <c r="N50" s="832"/>
      <c r="O50" s="48">
        <f>IF(t&lt;Tnet,'2023'!Resal+('2023'!Salim-'2023'!Resal)*(1-EXP(('2023'!Tnet-t)/('2023'!Tau_j))),Resal+(Salim-Resal)*(1-EXP((Tnet-t)/(Tau_j))))*Salcycl</f>
        <v>3.3578779112093469E-2</v>
      </c>
      <c r="P50" s="169">
        <f>(INDEX(Models!$BJ50:$BT50,,T50)*(1-R50)+INDEX(Models!$BJ50:$BT50,,T50+1)*R50-ERP_i)*Q50*Ramure*Pc/MaxiM</f>
        <v>3.6656281445041519E-3</v>
      </c>
      <c r="Q50" s="304">
        <f t="shared" si="4"/>
        <v>0.6</v>
      </c>
      <c r="R50" s="177">
        <f t="shared" si="5"/>
        <v>1.3415117017230305E-3</v>
      </c>
      <c r="S50" s="799">
        <f t="shared" si="6"/>
        <v>1</v>
      </c>
      <c r="T50" s="176">
        <f t="shared" si="7"/>
        <v>7</v>
      </c>
      <c r="U50" s="250">
        <f t="shared" si="8"/>
        <v>1.001341511701723</v>
      </c>
      <c r="V50" s="382">
        <f t="shared" si="9"/>
        <v>32.752745397609935</v>
      </c>
      <c r="W50" s="400">
        <f t="shared" si="10"/>
        <v>9.3589946942955411</v>
      </c>
      <c r="X50" s="157">
        <f t="shared" si="11"/>
        <v>45327</v>
      </c>
      <c r="Y50" s="383">
        <f t="shared" si="12"/>
        <v>9.1543035905432415</v>
      </c>
      <c r="Z50" s="383">
        <f t="shared" si="22"/>
        <v>9.4839662953061321</v>
      </c>
      <c r="AA50" s="384">
        <f t="shared" si="13"/>
        <v>10.032921958973313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5.4715432444503664E-2</v>
      </c>
      <c r="AD50" s="230">
        <f>(INDEX(Models!$BJ50:$BT50,,AH50)*(1-AF50)+INDEX(Models!$BJ50:$BT50,,AH50+1)*AF50-ERP_i)*AE50*Ramure*Pc/MaxiM</f>
        <v>3.6656281445041519E-3</v>
      </c>
      <c r="AE50" s="304">
        <f t="shared" si="15"/>
        <v>0.6</v>
      </c>
      <c r="AF50" s="177">
        <f t="shared" si="23"/>
        <v>1.3415117017230305E-3</v>
      </c>
      <c r="AG50" s="799">
        <f t="shared" si="24"/>
        <v>1</v>
      </c>
      <c r="AH50" s="176">
        <f t="shared" si="16"/>
        <v>7</v>
      </c>
      <c r="AI50" s="224">
        <f t="shared" si="17"/>
        <v>1.001341511701723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'2023'!Wh/'2023'!Env_an*'2024'!Env_an</f>
        <v>21.804296164609131</v>
      </c>
      <c r="C51" s="829"/>
      <c r="D51" s="391">
        <f t="shared" si="0"/>
        <v>22.589940464064163</v>
      </c>
      <c r="E51" s="383">
        <f t="shared" si="1"/>
        <v>23.376745204504349</v>
      </c>
      <c r="F51" s="383">
        <f t="shared" si="2"/>
        <v>23.419579370982792</v>
      </c>
      <c r="G51" s="110">
        <f t="shared" si="21"/>
        <v>0.65772600314005714</v>
      </c>
      <c r="H51" s="412" t="b">
        <f>Wh_hp&gt;='2023'!Maxi_hp</f>
        <v>0</v>
      </c>
      <c r="I51" s="388">
        <f>IF(H51,Wh_hp,'2023'!Maxi_hp)</f>
        <v>37.076232391062831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3.477850243584435E-2</v>
      </c>
      <c r="M51" s="832"/>
      <c r="N51" s="832"/>
      <c r="O51" s="48">
        <f>IF(t&lt;Tnet,'2023'!Resal+('2023'!Salim-'2023'!Resal)*(1-EXP(('2023'!Tnet-t)/('2023'!Tau_j))),Resal+(Salim-Resal)*(1-EXP((Tnet-t)/(Tau_j))))*Salcycl</f>
        <v>3.3657582933683199E-2</v>
      </c>
      <c r="P51" s="169">
        <f>(INDEX(Models!$BJ51:$BT51,,T51)*(1-R51)+INDEX(Models!$BJ51:$BT51,,T51+1)*R51-ERP_i)*Q51*Ramure*Pc/MaxiM</f>
        <v>3.5675312096139894E-3</v>
      </c>
      <c r="Q51" s="304">
        <f t="shared" si="4"/>
        <v>0.6</v>
      </c>
      <c r="R51" s="177">
        <f t="shared" si="5"/>
        <v>1.4634980313170676E-3</v>
      </c>
      <c r="S51" s="799">
        <f t="shared" si="6"/>
        <v>1</v>
      </c>
      <c r="T51" s="176">
        <f t="shared" si="7"/>
        <v>7</v>
      </c>
      <c r="U51" s="250">
        <f t="shared" si="8"/>
        <v>1.0014634980313171</v>
      </c>
      <c r="V51" s="382">
        <f t="shared" si="9"/>
        <v>33.093292532411489</v>
      </c>
      <c r="W51" s="400">
        <f t="shared" si="10"/>
        <v>21.804296164609131</v>
      </c>
      <c r="X51" s="157">
        <f t="shared" si="11"/>
        <v>45328</v>
      </c>
      <c r="Y51" s="383">
        <f t="shared" si="12"/>
        <v>21.32785940437649</v>
      </c>
      <c r="Z51" s="383">
        <f t="shared" si="22"/>
        <v>22.096336911475476</v>
      </c>
      <c r="AA51" s="384">
        <f t="shared" si="13"/>
        <v>23.376745204504349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5.4772735974474157E-2</v>
      </c>
      <c r="AD51" s="230">
        <f>(INDEX(Models!$BJ51:$BT51,,AH51)*(1-AF51)+INDEX(Models!$BJ51:$BT51,,AH51+1)*AF51-ERP_i)*AE51*Ramure*Pc/MaxiM</f>
        <v>3.5675312096139894E-3</v>
      </c>
      <c r="AE51" s="304">
        <f t="shared" si="15"/>
        <v>0.6</v>
      </c>
      <c r="AF51" s="177">
        <f t="shared" si="23"/>
        <v>1.4634980313170676E-3</v>
      </c>
      <c r="AG51" s="799">
        <f t="shared" si="24"/>
        <v>1</v>
      </c>
      <c r="AH51" s="176">
        <f t="shared" si="16"/>
        <v>7</v>
      </c>
      <c r="AI51" s="224">
        <f t="shared" si="17"/>
        <v>1.0014634980313171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'2023'!Wh/'2023'!Env_an*'2024'!Env_an</f>
        <v>9.1894622676795095</v>
      </c>
      <c r="C52" s="829"/>
      <c r="D52" s="391">
        <f t="shared" si="0"/>
        <v>9.5207560214870313</v>
      </c>
      <c r="E52" s="383">
        <f t="shared" si="1"/>
        <v>9.8531658180438821</v>
      </c>
      <c r="F52" s="383">
        <f t="shared" si="2"/>
        <v>9.8531658180438821</v>
      </c>
      <c r="G52" s="110">
        <f t="shared" si="21"/>
        <v>0.27389067637999487</v>
      </c>
      <c r="H52" s="412" t="b">
        <f>Wh_hp&gt;='2023'!Maxi_hp</f>
        <v>0</v>
      </c>
      <c r="I52" s="388">
        <f>IF(H52,Wh_hp,'2023'!Maxi_hp)</f>
        <v>24.451684563184926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3.4797000685642732E-2</v>
      </c>
      <c r="M52" s="832"/>
      <c r="N52" s="832"/>
      <c r="O52" s="48">
        <f>IF(t&lt;Tnet,'2023'!Resal+('2023'!Salim-'2023'!Resal)*(1-EXP(('2023'!Tnet-t)/('2023'!Tau_j))),Resal+(Salim-Resal)*(1-EXP((Tnet-t)/(Tau_j))))*Salcycl</f>
        <v>3.3736344510524451E-2</v>
      </c>
      <c r="P52" s="169">
        <f>(INDEX(Models!$BJ52:$BT52,,T52)*(1-R52)+INDEX(Models!$BJ52:$BT52,,T52+1)*R52-ERP_i)*Q52*Ramure*Pc/MaxiM</f>
        <v>3.4709953334277118E-3</v>
      </c>
      <c r="Q52" s="304">
        <f t="shared" si="4"/>
        <v>0.6</v>
      </c>
      <c r="R52" s="177">
        <f t="shared" si="5"/>
        <v>1.5905383662186967E-3</v>
      </c>
      <c r="S52" s="799">
        <f t="shared" si="6"/>
        <v>1</v>
      </c>
      <c r="T52" s="176">
        <f t="shared" si="7"/>
        <v>7</v>
      </c>
      <c r="U52" s="250">
        <f t="shared" si="8"/>
        <v>1.0015905383662187</v>
      </c>
      <c r="V52" s="382">
        <f t="shared" si="9"/>
        <v>33.435112900033552</v>
      </c>
      <c r="W52" s="400">
        <f t="shared" si="10"/>
        <v>9.1894622676795095</v>
      </c>
      <c r="X52" s="157">
        <f t="shared" si="11"/>
        <v>45329</v>
      </c>
      <c r="Y52" s="383">
        <f t="shared" si="12"/>
        <v>8.9888547652980737</v>
      </c>
      <c r="Z52" s="383">
        <f t="shared" si="22"/>
        <v>9.3129163209018273</v>
      </c>
      <c r="AA52" s="384">
        <f t="shared" si="13"/>
        <v>9.8531658180438821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5.483004215281842E-2</v>
      </c>
      <c r="AD52" s="230">
        <f>(INDEX(Models!$BJ52:$BT52,,AH52)*(1-AF52)+INDEX(Models!$BJ52:$BT52,,AH52+1)*AF52-ERP_i)*AE52*Ramure*Pc/MaxiM</f>
        <v>3.4709953334277118E-3</v>
      </c>
      <c r="AE52" s="304">
        <f t="shared" si="15"/>
        <v>0.6</v>
      </c>
      <c r="AF52" s="177">
        <f t="shared" si="23"/>
        <v>1.5905383662186967E-3</v>
      </c>
      <c r="AG52" s="799">
        <f t="shared" si="24"/>
        <v>1</v>
      </c>
      <c r="AH52" s="176">
        <f t="shared" si="16"/>
        <v>7</v>
      </c>
      <c r="AI52" s="224">
        <f t="shared" si="17"/>
        <v>1.0015905383662187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'2023'!Wh/'2023'!Env_an*'2024'!Env_an</f>
        <v>34.080866128071008</v>
      </c>
      <c r="C53" s="829"/>
      <c r="D53" s="391">
        <f t="shared" si="0"/>
        <v>35.310208647116923</v>
      </c>
      <c r="E53" s="383">
        <f t="shared" si="1"/>
        <v>36.546014346439073</v>
      </c>
      <c r="F53" s="383">
        <f t="shared" si="2"/>
        <v>36.669864928426435</v>
      </c>
      <c r="G53" s="110">
        <f t="shared" si="21"/>
        <v>1.008964741193527</v>
      </c>
      <c r="H53" s="412" t="b">
        <f>Wh_hp&gt;='2023'!Maxi_hp</f>
        <v>1</v>
      </c>
      <c r="I53" s="388">
        <f>IF(H53,Wh_hp,'2023'!Maxi_hp)</f>
        <v>36.669864928426435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3.4815498580926474E-2</v>
      </c>
      <c r="M53" s="832"/>
      <c r="N53" s="832"/>
      <c r="O53" s="48">
        <f>IF(t&lt;Tnet,'2023'!Resal+('2023'!Salim-'2023'!Resal)*(1-EXP(('2023'!Tnet-t)/('2023'!Tau_j))),Resal+(Salim-Resal)*(1-EXP((Tnet-t)/(Tau_j))))*Salcycl</f>
        <v>3.3815060860188248E-2</v>
      </c>
      <c r="P53" s="169">
        <f>(INDEX(Models!$BJ53:$BT53,,T53)*(1-R53)+INDEX(Models!$BJ53:$BT53,,T53+1)*R53-ERP_i)*Q53*Ramure*Pc/MaxiM</f>
        <v>3.3774485460772714E-3</v>
      </c>
      <c r="Q53" s="304">
        <f t="shared" si="4"/>
        <v>0.6</v>
      </c>
      <c r="R53" s="177">
        <f t="shared" si="5"/>
        <v>1.7228393395849473E-3</v>
      </c>
      <c r="S53" s="799">
        <f t="shared" si="6"/>
        <v>1</v>
      </c>
      <c r="T53" s="176">
        <f t="shared" si="7"/>
        <v>7</v>
      </c>
      <c r="U53" s="250">
        <f t="shared" si="8"/>
        <v>1.0017228393395849</v>
      </c>
      <c r="V53" s="382">
        <f t="shared" si="9"/>
        <v>33.778054610467343</v>
      </c>
      <c r="W53" s="400">
        <f t="shared" si="10"/>
        <v>34.080866128071008</v>
      </c>
      <c r="X53" s="157">
        <f t="shared" si="11"/>
        <v>45330</v>
      </c>
      <c r="Y53" s="383">
        <f t="shared" si="12"/>
        <v>33.337569794043745</v>
      </c>
      <c r="Z53" s="383">
        <f t="shared" si="22"/>
        <v>34.540100618098201</v>
      </c>
      <c r="AA53" s="384">
        <f t="shared" si="13"/>
        <v>36.546014346439073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5.4887345835465055E-2</v>
      </c>
      <c r="AD53" s="230">
        <f>(INDEX(Models!$BJ53:$BT53,,AH53)*(1-AF53)+INDEX(Models!$BJ53:$BT53,,AH53+1)*AF53-ERP_i)*AE53*Ramure*Pc/MaxiM</f>
        <v>3.3774485460772714E-3</v>
      </c>
      <c r="AE53" s="304">
        <f t="shared" si="15"/>
        <v>0.6</v>
      </c>
      <c r="AF53" s="177">
        <f t="shared" si="23"/>
        <v>1.7228393395849473E-3</v>
      </c>
      <c r="AG53" s="799">
        <f t="shared" si="24"/>
        <v>1</v>
      </c>
      <c r="AH53" s="176">
        <f t="shared" si="16"/>
        <v>7</v>
      </c>
      <c r="AI53" s="224">
        <f t="shared" si="17"/>
        <v>1.0017228393395849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'2023'!Wh/'2023'!Env_an*'2024'!Env_an</f>
        <v>34.372633295393697</v>
      </c>
      <c r="C54" s="829"/>
      <c r="D54" s="391">
        <f t="shared" si="0"/>
        <v>35.613182765736845</v>
      </c>
      <c r="E54" s="383">
        <f t="shared" si="1"/>
        <v>36.862593512399847</v>
      </c>
      <c r="F54" s="383">
        <f t="shared" si="2"/>
        <v>36.984153600859251</v>
      </c>
      <c r="G54" s="110">
        <f t="shared" si="21"/>
        <v>1.0073447597282734</v>
      </c>
      <c r="H54" s="412" t="b">
        <f>Wh_hp&gt;='2023'!Maxi_hp</f>
        <v>1</v>
      </c>
      <c r="I54" s="388">
        <f>IF(H54,Wh_hp,'2023'!Maxi_hp)</f>
        <v>36.984153600859251</v>
      </c>
      <c r="J54" s="85">
        <f>IF(H54,An,'2023'!An_max)</f>
        <v>2024</v>
      </c>
      <c r="K54" s="197">
        <f t="shared" si="3"/>
        <v>45331</v>
      </c>
      <c r="L54" s="147">
        <f>IF(t&lt;Tvie,1-EXP((T0-t)*PertePVj)+'2023'!Pspv,1-EXP((T0-t)*PertePVj)+Pspv)</f>
        <v>3.4833996121702127E-2</v>
      </c>
      <c r="M54" s="832"/>
      <c r="N54" s="832"/>
      <c r="O54" s="48">
        <f>IF(t&lt;Tnet,'2023'!Resal+('2023'!Salim-'2023'!Resal)*(1-EXP(('2023'!Tnet-t)/('2023'!Tau_j))),Resal+(Salim-Resal)*(1-EXP((Tnet-t)/(Tau_j))))*Salcycl</f>
        <v>3.3893728780714338E-2</v>
      </c>
      <c r="P54" s="169">
        <f>(INDEX(Models!$BJ54:$BT54,,T54)*(1-R54)+INDEX(Models!$BJ54:$BT54,,T54+1)*R54-ERP_i)*Q54*Ramure*Pc/MaxiM</f>
        <v>3.2868154770095549E-3</v>
      </c>
      <c r="Q54" s="304">
        <f t="shared" si="4"/>
        <v>0.6</v>
      </c>
      <c r="R54" s="177">
        <f t="shared" si="5"/>
        <v>1.8606157981759797E-3</v>
      </c>
      <c r="S54" s="799">
        <f t="shared" si="6"/>
        <v>1</v>
      </c>
      <c r="T54" s="176">
        <f t="shared" si="7"/>
        <v>7</v>
      </c>
      <c r="U54" s="250">
        <f t="shared" si="8"/>
        <v>1.001860615798176</v>
      </c>
      <c r="V54" s="382">
        <f t="shared" si="9"/>
        <v>34.122015291632188</v>
      </c>
      <c r="W54" s="400">
        <f t="shared" si="10"/>
        <v>34.372633295393697</v>
      </c>
      <c r="X54" s="157">
        <f t="shared" si="11"/>
        <v>45331</v>
      </c>
      <c r="Y54" s="383">
        <f t="shared" si="12"/>
        <v>33.623672930755021</v>
      </c>
      <c r="Z54" s="383">
        <f t="shared" si="22"/>
        <v>34.837191525236086</v>
      </c>
      <c r="AA54" s="384">
        <f t="shared" si="13"/>
        <v>36.862593512399847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5.4944641550585913E-2</v>
      </c>
      <c r="AD54" s="230">
        <f>(INDEX(Models!$BJ54:$BT54,,AH54)*(1-AF54)+INDEX(Models!$BJ54:$BT54,,AH54+1)*AF54-ERP_i)*AE54*Ramure*Pc/MaxiM</f>
        <v>3.2868154770095549E-3</v>
      </c>
      <c r="AE54" s="304">
        <f t="shared" si="15"/>
        <v>0.6</v>
      </c>
      <c r="AF54" s="177">
        <f t="shared" si="23"/>
        <v>1.8606157981759797E-3</v>
      </c>
      <c r="AG54" s="799">
        <f t="shared" si="24"/>
        <v>1</v>
      </c>
      <c r="AH54" s="176">
        <f t="shared" si="16"/>
        <v>7</v>
      </c>
      <c r="AI54" s="224">
        <f t="shared" si="17"/>
        <v>1.001860615798176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'2023'!Wh/'2023'!Env_an*'2024'!Env_an</f>
        <v>32.054676570498572</v>
      </c>
      <c r="C55" s="829"/>
      <c r="D55" s="391">
        <f t="shared" si="0"/>
        <v>33.212204713001618</v>
      </c>
      <c r="E55" s="383">
        <f t="shared" si="1"/>
        <v>34.380180047003599</v>
      </c>
      <c r="F55" s="383">
        <f t="shared" si="2"/>
        <v>34.479452657897269</v>
      </c>
      <c r="G55" s="110">
        <f t="shared" si="21"/>
        <v>0.9297152179535455</v>
      </c>
      <c r="H55" s="412" t="b">
        <f>Wh_hp&gt;='2023'!Maxi_hp</f>
        <v>0</v>
      </c>
      <c r="I55" s="388">
        <f>IF(H55,Wh_hp,'2023'!Maxi_hp)</f>
        <v>34.485478690767295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3.4852493307976795E-2</v>
      </c>
      <c r="M55" s="832"/>
      <c r="N55" s="832"/>
      <c r="O55" s="48">
        <f>IF(t&lt;Tnet,'2023'!Resal+('2023'!Salim-'2023'!Resal)*(1-EXP(('2023'!Tnet-t)/('2023'!Tau_j))),Resal+(Salim-Resal)*(1-EXP((Tnet-t)/(Tau_j))))*Salcycl</f>
        <v>3.397234489188708E-2</v>
      </c>
      <c r="P55" s="169">
        <f>(INDEX(Models!$BJ55:$BT55,,T55)*(1-R55)+INDEX(Models!$BJ55:$BT55,,T55+1)*R55-ERP_i)*Q55*Ramure*Pc/MaxiM</f>
        <v>3.1990221183311736E-3</v>
      </c>
      <c r="Q55" s="304">
        <f t="shared" si="4"/>
        <v>0.6</v>
      </c>
      <c r="R55" s="177">
        <f t="shared" si="5"/>
        <v>2.0040911088385904E-3</v>
      </c>
      <c r="S55" s="799">
        <f t="shared" si="6"/>
        <v>1</v>
      </c>
      <c r="T55" s="176">
        <f t="shared" si="7"/>
        <v>7</v>
      </c>
      <c r="U55" s="250">
        <f t="shared" si="8"/>
        <v>1.0020040911088386</v>
      </c>
      <c r="V55" s="382">
        <f t="shared" si="9"/>
        <v>34.466892623121197</v>
      </c>
      <c r="W55" s="400">
        <f t="shared" si="10"/>
        <v>32.054676570498572</v>
      </c>
      <c r="X55" s="157">
        <f t="shared" si="11"/>
        <v>45332</v>
      </c>
      <c r="Y55" s="383">
        <f t="shared" si="12"/>
        <v>31.356874246424738</v>
      </c>
      <c r="Z55" s="383">
        <f t="shared" si="22"/>
        <v>32.489204011828484</v>
      </c>
      <c r="AA55" s="384">
        <f t="shared" si="13"/>
        <v>34.380180047003599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5.5001923567294421E-2</v>
      </c>
      <c r="AD55" s="230">
        <f>(INDEX(Models!$BJ55:$BT55,,AH55)*(1-AF55)+INDEX(Models!$BJ55:$BT55,,AH55+1)*AF55-ERP_i)*AE55*Ramure*Pc/MaxiM</f>
        <v>3.1990221183311736E-3</v>
      </c>
      <c r="AE55" s="304">
        <f t="shared" si="15"/>
        <v>0.6</v>
      </c>
      <c r="AF55" s="177">
        <f t="shared" si="23"/>
        <v>2.0040911088385904E-3</v>
      </c>
      <c r="AG55" s="799">
        <f t="shared" si="24"/>
        <v>1</v>
      </c>
      <c r="AH55" s="176">
        <f t="shared" si="16"/>
        <v>7</v>
      </c>
      <c r="AI55" s="224">
        <f t="shared" si="17"/>
        <v>1.0020040911088386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'2023'!Wh/'2023'!Env_an*'2024'!Env_an</f>
        <v>17.756950960075386</v>
      </c>
      <c r="C56" s="829"/>
      <c r="D56" s="391">
        <f t="shared" si="0"/>
        <v>18.39852577081556</v>
      </c>
      <c r="E56" s="383">
        <f t="shared" si="1"/>
        <v>19.04709666276079</v>
      </c>
      <c r="F56" s="383">
        <f t="shared" si="2"/>
        <v>19.06491325248814</v>
      </c>
      <c r="G56" s="110">
        <f t="shared" si="21"/>
        <v>0.50896002969860077</v>
      </c>
      <c r="H56" s="412" t="b">
        <f>Wh_hp&gt;='2023'!Maxi_hp</f>
        <v>0</v>
      </c>
      <c r="I56" s="388">
        <f>IF(H56,Wh_hp,'2023'!Maxi_hp)</f>
        <v>31.561088268066062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3.4870990139756919E-2</v>
      </c>
      <c r="M56" s="832"/>
      <c r="N56" s="832"/>
      <c r="O56" s="48">
        <f>IF(t&lt;Tnet,'2023'!Resal+('2023'!Salim-'2023'!Resal)*(1-EXP(('2023'!Tnet-t)/('2023'!Tau_j))),Resal+(Salim-Resal)*(1-EXP((Tnet-t)/(Tau_j))))*Salcycl</f>
        <v>3.4050905680195212E-2</v>
      </c>
      <c r="P56" s="169">
        <f>(INDEX(Models!$BJ56:$BT56,,T56)*(1-R56)+INDEX(Models!$BJ56:$BT56,,T56+1)*R56-ERP_i)*Q56*Ramure*Pc/MaxiM</f>
        <v>3.1139959632724445E-3</v>
      </c>
      <c r="Q56" s="304">
        <f t="shared" si="4"/>
        <v>0.6</v>
      </c>
      <c r="R56" s="177">
        <f t="shared" si="5"/>
        <v>2.1534974746997282E-3</v>
      </c>
      <c r="S56" s="799">
        <f t="shared" si="6"/>
        <v>1</v>
      </c>
      <c r="T56" s="176">
        <f t="shared" si="7"/>
        <v>7</v>
      </c>
      <c r="U56" s="250">
        <f t="shared" si="8"/>
        <v>1.0021534974746997</v>
      </c>
      <c r="V56" s="382">
        <f t="shared" si="9"/>
        <v>34.81258433189511</v>
      </c>
      <c r="W56" s="400">
        <f t="shared" si="10"/>
        <v>17.756950960075386</v>
      </c>
      <c r="X56" s="157">
        <f t="shared" si="11"/>
        <v>45333</v>
      </c>
      <c r="Y56" s="383">
        <f t="shared" si="12"/>
        <v>17.370757727894745</v>
      </c>
      <c r="Z56" s="383">
        <f t="shared" si="22"/>
        <v>17.998379025421837</v>
      </c>
      <c r="AA56" s="384">
        <f t="shared" si="13"/>
        <v>19.04709666276079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5.5059185969760616E-2</v>
      </c>
      <c r="AD56" s="230">
        <f>(INDEX(Models!$BJ56:$BT56,,AH56)*(1-AF56)+INDEX(Models!$BJ56:$BT56,,AH56+1)*AF56-ERP_i)*AE56*Ramure*Pc/MaxiM</f>
        <v>3.1139959632724445E-3</v>
      </c>
      <c r="AE56" s="304">
        <f t="shared" si="15"/>
        <v>0.6</v>
      </c>
      <c r="AF56" s="177">
        <f t="shared" si="23"/>
        <v>2.1534974746997282E-3</v>
      </c>
      <c r="AG56" s="799">
        <f t="shared" si="24"/>
        <v>1</v>
      </c>
      <c r="AH56" s="176">
        <f t="shared" si="16"/>
        <v>7</v>
      </c>
      <c r="AI56" s="224">
        <f t="shared" si="17"/>
        <v>1.0021534974746997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'2023'!Wh/'2023'!Env_an*'2024'!Env_an</f>
        <v>27.210332637210882</v>
      </c>
      <c r="C57" s="829"/>
      <c r="D57" s="391">
        <f t="shared" si="0"/>
        <v>28.194007069544767</v>
      </c>
      <c r="E57" s="383">
        <f t="shared" si="1"/>
        <v>29.190253114488346</v>
      </c>
      <c r="F57" s="383">
        <f t="shared" si="2"/>
        <v>29.250290373508353</v>
      </c>
      <c r="G57" s="110">
        <f t="shared" si="21"/>
        <v>0.77316318731962808</v>
      </c>
      <c r="H57" s="412" t="b">
        <f>Wh_hp&gt;='2023'!Maxi_hp</f>
        <v>0</v>
      </c>
      <c r="I57" s="388">
        <f>IF(H57,Wh_hp,'2023'!Maxi_hp)</f>
        <v>29.265897627745993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3.4889486617049603E-2</v>
      </c>
      <c r="M57" s="832"/>
      <c r="N57" s="832"/>
      <c r="O57" s="48">
        <f>IF(t&lt;Tnet,'2023'!Resal+('2023'!Salim-'2023'!Resal)*(1-EXP(('2023'!Tnet-t)/('2023'!Tau_j))),Resal+(Salim-Resal)*(1-EXP((Tnet-t)/(Tau_j))))*Salcycl</f>
        <v>3.4129407546969762E-2</v>
      </c>
      <c r="P57" s="169">
        <f>(INDEX(Models!$BJ57:$BT57,,T57)*(1-R57)+INDEX(Models!$BJ57:$BT57,,T57+1)*R57-ERP_i)*Q57*Ramure*Pc/MaxiM</f>
        <v>3.0316661259152371E-3</v>
      </c>
      <c r="Q57" s="304">
        <f t="shared" si="4"/>
        <v>0.6</v>
      </c>
      <c r="R57" s="177">
        <f t="shared" si="5"/>
        <v>2.3090762612225646E-3</v>
      </c>
      <c r="S57" s="799">
        <f t="shared" si="6"/>
        <v>1</v>
      </c>
      <c r="T57" s="176">
        <f t="shared" si="7"/>
        <v>7</v>
      </c>
      <c r="U57" s="250">
        <f t="shared" si="8"/>
        <v>1.0023090762612226</v>
      </c>
      <c r="V57" s="382">
        <f t="shared" si="9"/>
        <v>35.158988187219208</v>
      </c>
      <c r="W57" s="400">
        <f t="shared" si="10"/>
        <v>27.210332637210882</v>
      </c>
      <c r="X57" s="157">
        <f t="shared" si="11"/>
        <v>45334</v>
      </c>
      <c r="Y57" s="383">
        <f t="shared" si="12"/>
        <v>26.619090219422585</v>
      </c>
      <c r="Z57" s="383">
        <f t="shared" si="22"/>
        <v>27.581390784062759</v>
      </c>
      <c r="AA57" s="384">
        <f t="shared" si="13"/>
        <v>29.190253114488346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5.5116422735883741E-2</v>
      </c>
      <c r="AD57" s="230">
        <f>(INDEX(Models!$BJ57:$BT57,,AH57)*(1-AF57)+INDEX(Models!$BJ57:$BT57,,AH57+1)*AF57-ERP_i)*AE57*Ramure*Pc/MaxiM</f>
        <v>3.0316661259152371E-3</v>
      </c>
      <c r="AE57" s="304">
        <f t="shared" si="15"/>
        <v>0.6</v>
      </c>
      <c r="AF57" s="177">
        <f t="shared" si="23"/>
        <v>2.3090762612225646E-3</v>
      </c>
      <c r="AG57" s="799">
        <f t="shared" si="24"/>
        <v>1</v>
      </c>
      <c r="AH57" s="176">
        <f t="shared" si="16"/>
        <v>7</v>
      </c>
      <c r="AI57" s="224">
        <f t="shared" si="17"/>
        <v>1.0023090762612226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'2023'!Wh/'2023'!Env_an*'2024'!Env_an</f>
        <v>33.290821313968713</v>
      </c>
      <c r="C58" s="829"/>
      <c r="D58" s="391">
        <f t="shared" si="0"/>
        <v>34.494971172262055</v>
      </c>
      <c r="E58" s="383">
        <f t="shared" si="1"/>
        <v>35.716764792592009</v>
      </c>
      <c r="F58" s="383">
        <f t="shared" si="2"/>
        <v>35.813027947410248</v>
      </c>
      <c r="G58" s="110">
        <f t="shared" si="21"/>
        <v>0.93736287075616709</v>
      </c>
      <c r="H58" s="412" t="b">
        <f>Wh_hp&gt;='2023'!Maxi_hp</f>
        <v>0</v>
      </c>
      <c r="I58" s="388">
        <f>IF(H58,Wh_hp,'2023'!Maxi_hp)</f>
        <v>35.818160403759038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3.4907982739861509E-2</v>
      </c>
      <c r="M58" s="832"/>
      <c r="N58" s="832"/>
      <c r="O58" s="48">
        <f>IF(t&lt;Tnet,'2023'!Resal+('2023'!Salim-'2023'!Resal)*(1-EXP(('2023'!Tnet-t)/('2023'!Tau_j))),Resal+(Salim-Resal)*(1-EXP((Tnet-t)/(Tau_j))))*Salcycl</f>
        <v>3.4207846859169173E-2</v>
      </c>
      <c r="P58" s="169">
        <f>(INDEX(Models!$BJ58:$BT58,,T58)*(1-R58)+INDEX(Models!$BJ58:$BT58,,T58+1)*R58-ERP_i)*Q58*Ramure*Pc/MaxiM</f>
        <v>2.9509501585484564E-3</v>
      </c>
      <c r="Q58" s="304">
        <f t="shared" si="4"/>
        <v>0.6</v>
      </c>
      <c r="R58" s="177">
        <f t="shared" si="5"/>
        <v>2.4710783322616781E-3</v>
      </c>
      <c r="S58" s="799">
        <f t="shared" si="6"/>
        <v>1</v>
      </c>
      <c r="T58" s="176">
        <f t="shared" si="7"/>
        <v>7</v>
      </c>
      <c r="U58" s="250">
        <f t="shared" si="8"/>
        <v>1.0024710783322617</v>
      </c>
      <c r="V58" s="382">
        <f t="shared" si="9"/>
        <v>35.506038079702044</v>
      </c>
      <c r="W58" s="400">
        <f t="shared" si="10"/>
        <v>33.290821313968713</v>
      </c>
      <c r="X58" s="157">
        <f t="shared" si="11"/>
        <v>45335</v>
      </c>
      <c r="Y58" s="383">
        <f t="shared" si="12"/>
        <v>32.568131586792177</v>
      </c>
      <c r="Z58" s="383">
        <f t="shared" si="22"/>
        <v>33.746141305004194</v>
      </c>
      <c r="AA58" s="384">
        <f t="shared" si="13"/>
        <v>35.716764792592009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5.5173627819632358E-2</v>
      </c>
      <c r="AD58" s="230">
        <f>(INDEX(Models!$BJ58:$BT58,,AH58)*(1-AF58)+INDEX(Models!$BJ58:$BT58,,AH58+1)*AF58-ERP_i)*AE58*Ramure*Pc/MaxiM</f>
        <v>2.9509501585484564E-3</v>
      </c>
      <c r="AE58" s="304">
        <f t="shared" si="15"/>
        <v>0.6</v>
      </c>
      <c r="AF58" s="177">
        <f t="shared" si="23"/>
        <v>2.4710783322616781E-3</v>
      </c>
      <c r="AG58" s="799">
        <f t="shared" si="24"/>
        <v>1</v>
      </c>
      <c r="AH58" s="176">
        <f t="shared" si="16"/>
        <v>7</v>
      </c>
      <c r="AI58" s="224">
        <f t="shared" si="17"/>
        <v>1.0024710783322617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'2023'!Wh/'2023'!Env_an*'2024'!Env_an</f>
        <v>15.629241562425952</v>
      </c>
      <c r="C59" s="829"/>
      <c r="D59" s="391">
        <f t="shared" si="0"/>
        <v>16.194871389970821</v>
      </c>
      <c r="E59" s="383">
        <f t="shared" si="1"/>
        <v>16.769846020017184</v>
      </c>
      <c r="F59" s="383">
        <f t="shared" si="2"/>
        <v>16.779194407861109</v>
      </c>
      <c r="G59" s="110">
        <f t="shared" si="21"/>
        <v>0.43490837835611296</v>
      </c>
      <c r="H59" s="412" t="b">
        <f>Wh_hp&gt;='2023'!Maxi_hp</f>
        <v>0</v>
      </c>
      <c r="I59" s="388">
        <f>IF(H59,Wh_hp,'2023'!Maxi_hp)</f>
        <v>38.116109222133424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3.492647850819941E-2</v>
      </c>
      <c r="M59" s="832"/>
      <c r="N59" s="832"/>
      <c r="O59" s="48">
        <f>IF(t&lt;Tnet,'2023'!Resal+('2023'!Salim-'2023'!Resal)*(1-EXP(('2023'!Tnet-t)/('2023'!Tau_j))),Resal+(Salim-Resal)*(1-EXP((Tnet-t)/(Tau_j))))*Salcycl</f>
        <v>3.4286220002261669E-2</v>
      </c>
      <c r="P59" s="169">
        <f>(INDEX(Models!$BJ59:$BT59,,T59)*(1-R59)+INDEX(Models!$BJ59:$BT59,,T59+1)*R59-ERP_i)*Q59*Ramure*Pc/MaxiM</f>
        <v>2.869394270590857E-3</v>
      </c>
      <c r="Q59" s="304">
        <f t="shared" si="4"/>
        <v>0.6</v>
      </c>
      <c r="R59" s="177">
        <f t="shared" si="5"/>
        <v>2.6397643962434714E-3</v>
      </c>
      <c r="S59" s="799">
        <f t="shared" si="6"/>
        <v>1</v>
      </c>
      <c r="T59" s="176">
        <f t="shared" si="7"/>
        <v>7</v>
      </c>
      <c r="U59" s="250">
        <f t="shared" si="8"/>
        <v>1.0026397643962435</v>
      </c>
      <c r="V59" s="382">
        <f t="shared" si="9"/>
        <v>35.853718709159637</v>
      </c>
      <c r="W59" s="400">
        <f t="shared" si="10"/>
        <v>15.629241562425952</v>
      </c>
      <c r="X59" s="157">
        <f t="shared" si="11"/>
        <v>45336</v>
      </c>
      <c r="Y59" s="383">
        <f t="shared" si="12"/>
        <v>15.29027174286569</v>
      </c>
      <c r="Z59" s="383">
        <f t="shared" si="22"/>
        <v>15.843634088344013</v>
      </c>
      <c r="AA59" s="384">
        <f t="shared" si="13"/>
        <v>16.769846020017184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5.5230795236140308E-2</v>
      </c>
      <c r="AD59" s="230">
        <f>(INDEX(Models!$BJ59:$BT59,,AH59)*(1-AF59)+INDEX(Models!$BJ59:$BT59,,AH59+1)*AF59-ERP_i)*AE59*Ramure*Pc/MaxiM</f>
        <v>2.869394270590857E-3</v>
      </c>
      <c r="AE59" s="304">
        <f t="shared" si="15"/>
        <v>0.6</v>
      </c>
      <c r="AF59" s="177">
        <f t="shared" si="23"/>
        <v>2.6397643962434714E-3</v>
      </c>
      <c r="AG59" s="799">
        <f t="shared" si="24"/>
        <v>1</v>
      </c>
      <c r="AH59" s="176">
        <f t="shared" si="16"/>
        <v>7</v>
      </c>
      <c r="AI59" s="224">
        <f t="shared" si="17"/>
        <v>1.0026397643962435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'2023'!Wh/'2023'!Env_an*'2024'!Env_an</f>
        <v>18.850583434276469</v>
      </c>
      <c r="C60" s="829"/>
      <c r="D60" s="391">
        <f t="shared" si="0"/>
        <v>19.533169534266797</v>
      </c>
      <c r="E60" s="383">
        <f t="shared" si="1"/>
        <v>20.228305616674117</v>
      </c>
      <c r="F60" s="383">
        <f t="shared" si="2"/>
        <v>20.246096603654031</v>
      </c>
      <c r="G60" s="110">
        <f t="shared" si="21"/>
        <v>0.51971208211314812</v>
      </c>
      <c r="H60" s="412" t="b">
        <f>Wh_hp&gt;='2023'!Maxi_hp</f>
        <v>0</v>
      </c>
      <c r="I60" s="388">
        <f>IF(H60,Wh_hp,'2023'!Maxi_hp)</f>
        <v>37.957548920378891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3.4944973922070188E-2</v>
      </c>
      <c r="M60" s="832"/>
      <c r="N60" s="832"/>
      <c r="O60" s="48">
        <f>IF(t&lt;Tnet,'2023'!Resal+('2023'!Salim-'2023'!Resal)*(1-EXP(('2023'!Tnet-t)/('2023'!Tau_j))),Resal+(Salim-Resal)*(1-EXP((Tnet-t)/(Tau_j))))*Salcycl</f>
        <v>3.43645234346431E-2</v>
      </c>
      <c r="P60" s="169">
        <f>(INDEX(Models!$BJ60:$BT60,,T60)*(1-R60)+INDEX(Models!$BJ60:$BT60,,T60+1)*R60-ERP_i)*Q60*Ramure*Pc/MaxiM</f>
        <v>2.7870285948310845E-3</v>
      </c>
      <c r="Q60" s="304">
        <f t="shared" si="4"/>
        <v>0.6</v>
      </c>
      <c r="R60" s="177">
        <f t="shared" si="5"/>
        <v>2.8154053625739639E-3</v>
      </c>
      <c r="S60" s="799">
        <f t="shared" si="6"/>
        <v>1</v>
      </c>
      <c r="T60" s="176">
        <f t="shared" si="7"/>
        <v>7</v>
      </c>
      <c r="U60" s="250">
        <f t="shared" si="8"/>
        <v>1.002815405362574</v>
      </c>
      <c r="V60" s="382">
        <f t="shared" si="9"/>
        <v>36.201928004164721</v>
      </c>
      <c r="W60" s="400">
        <f t="shared" si="10"/>
        <v>18.850583434276469</v>
      </c>
      <c r="X60" s="157">
        <f t="shared" si="11"/>
        <v>45337</v>
      </c>
      <c r="Y60" s="383">
        <f t="shared" si="12"/>
        <v>18.442128871237919</v>
      </c>
      <c r="Z60" s="383">
        <f t="shared" si="22"/>
        <v>19.109924691225519</v>
      </c>
      <c r="AA60" s="384">
        <f t="shared" si="13"/>
        <v>20.228305616674117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5.5287919148637066E-2</v>
      </c>
      <c r="AD60" s="230">
        <f>(INDEX(Models!$BJ60:$BT60,,AH60)*(1-AF60)+INDEX(Models!$BJ60:$BT60,,AH60+1)*AF60-ERP_i)*AE60*Ramure*Pc/MaxiM</f>
        <v>2.7870285948310845E-3</v>
      </c>
      <c r="AE60" s="304">
        <f t="shared" si="15"/>
        <v>0.6</v>
      </c>
      <c r="AF60" s="177">
        <f t="shared" si="23"/>
        <v>2.8154053625739639E-3</v>
      </c>
      <c r="AG60" s="799">
        <f t="shared" si="24"/>
        <v>1</v>
      </c>
      <c r="AH60" s="176">
        <f t="shared" si="16"/>
        <v>7</v>
      </c>
      <c r="AI60" s="224">
        <f t="shared" si="17"/>
        <v>1.002815405362574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'2023'!Wh/'2023'!Env_an*'2024'!Env_an</f>
        <v>9.2721581983074941</v>
      </c>
      <c r="C61" s="829"/>
      <c r="D61" s="391">
        <f t="shared" si="0"/>
        <v>9.6080903678552634</v>
      </c>
      <c r="E61" s="383">
        <f t="shared" si="1"/>
        <v>9.9508241537220172</v>
      </c>
      <c r="F61" s="383">
        <f t="shared" si="2"/>
        <v>9.9508241537220172</v>
      </c>
      <c r="G61" s="110">
        <f t="shared" si="21"/>
        <v>0.25299438333538538</v>
      </c>
      <c r="H61" s="412" t="b">
        <f>Wh_hp&gt;='2023'!Maxi_hp</f>
        <v>0</v>
      </c>
      <c r="I61" s="388">
        <f>IF(H61,Wh_hp,'2023'!Maxi_hp)</f>
        <v>33.411514000889703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3.4963468981480506E-2</v>
      </c>
      <c r="M61" s="832"/>
      <c r="N61" s="832"/>
      <c r="O61" s="48">
        <f>IF(t&lt;Tnet,'2023'!Resal+('2023'!Salim-'2023'!Resal)*(1-EXP(('2023'!Tnet-t)/('2023'!Tau_j))),Resal+(Salim-Resal)*(1-EXP((Tnet-t)/(Tau_j))))*Salcycl</f>
        <v>3.4442753743021033E-2</v>
      </c>
      <c r="P61" s="169">
        <f>(INDEX(Models!$BJ61:$BT61,,T61)*(1-R61)+INDEX(Models!$BJ61:$BT61,,T61+1)*R61-ERP_i)*Q61*Ramure*Pc/MaxiM</f>
        <v>2.7038815501500353E-3</v>
      </c>
      <c r="Q61" s="304">
        <f t="shared" si="4"/>
        <v>0.6</v>
      </c>
      <c r="R61" s="177">
        <f t="shared" si="5"/>
        <v>2.9982827083618879E-3</v>
      </c>
      <c r="S61" s="799">
        <f t="shared" si="6"/>
        <v>1</v>
      </c>
      <c r="T61" s="176">
        <f t="shared" si="7"/>
        <v>7</v>
      </c>
      <c r="U61" s="250">
        <f t="shared" si="8"/>
        <v>1.0029982827083619</v>
      </c>
      <c r="V61" s="382">
        <f t="shared" si="9"/>
        <v>36.550563925233448</v>
      </c>
      <c r="W61" s="400">
        <f t="shared" si="10"/>
        <v>9.2721581983074941</v>
      </c>
      <c r="X61" s="157">
        <f t="shared" si="11"/>
        <v>45338</v>
      </c>
      <c r="Y61" s="383">
        <f t="shared" si="12"/>
        <v>9.0714358913622011</v>
      </c>
      <c r="Z61" s="383">
        <f t="shared" si="22"/>
        <v>9.4000958510741768</v>
      </c>
      <c r="AA61" s="384">
        <f t="shared" si="13"/>
        <v>9.9508241537220172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5.5344993956289029E-2</v>
      </c>
      <c r="AD61" s="230">
        <f>(INDEX(Models!$BJ61:$BT61,,AH61)*(1-AF61)+INDEX(Models!$BJ61:$BT61,,AH61+1)*AF61-ERP_i)*AE61*Ramure*Pc/MaxiM</f>
        <v>2.7038815501500353E-3</v>
      </c>
      <c r="AE61" s="304">
        <f t="shared" si="15"/>
        <v>0.6</v>
      </c>
      <c r="AF61" s="177">
        <f t="shared" si="23"/>
        <v>2.9982827083618879E-3</v>
      </c>
      <c r="AG61" s="799">
        <f t="shared" si="24"/>
        <v>1</v>
      </c>
      <c r="AH61" s="176">
        <f t="shared" si="16"/>
        <v>7</v>
      </c>
      <c r="AI61" s="224">
        <f t="shared" si="17"/>
        <v>1.0029982827083619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'2023'!Wh/'2023'!Env_an*'2024'!Env_an</f>
        <v>11.552092125444714</v>
      </c>
      <c r="C62" s="829"/>
      <c r="D62" s="391">
        <f t="shared" si="0"/>
        <v>11.97085618168809</v>
      </c>
      <c r="E62" s="383">
        <f t="shared" si="1"/>
        <v>12.398876658373107</v>
      </c>
      <c r="F62" s="383">
        <f t="shared" si="2"/>
        <v>12.399483173004107</v>
      </c>
      <c r="G62" s="110">
        <f t="shared" si="21"/>
        <v>0.31226390195056364</v>
      </c>
      <c r="H62" s="412" t="b">
        <f>Wh_hp&gt;='2023'!Maxi_hp</f>
        <v>0</v>
      </c>
      <c r="I62" s="388">
        <f>IF(H62,Wh_hp,'2023'!Maxi_hp)</f>
        <v>36.826584894030596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3.4981963686437245E-2</v>
      </c>
      <c r="M62" s="832"/>
      <c r="N62" s="832"/>
      <c r="O62" s="48">
        <f>IF(t&lt;Tnet,'2023'!Resal+('2023'!Salim-'2023'!Resal)*(1-EXP(('2023'!Tnet-t)/('2023'!Tau_j))),Resal+(Salim-Resal)*(1-EXP((Tnet-t)/(Tau_j))))*Salcycl</f>
        <v>3.4520907698196178E-2</v>
      </c>
      <c r="P62" s="169">
        <f>(INDEX(Models!$BJ62:$BT62,,T62)*(1-R62)+INDEX(Models!$BJ62:$BT62,,T62+1)*R62-ERP_i)*Q62*Ramure*Pc/MaxiM</f>
        <v>2.6199799681951149E-3</v>
      </c>
      <c r="Q62" s="304">
        <f t="shared" si="4"/>
        <v>0.6</v>
      </c>
      <c r="R62" s="177">
        <f t="shared" si="5"/>
        <v>3.1886888555183734E-3</v>
      </c>
      <c r="S62" s="799">
        <f t="shared" si="6"/>
        <v>1</v>
      </c>
      <c r="T62" s="176">
        <f t="shared" si="7"/>
        <v>7</v>
      </c>
      <c r="U62" s="250">
        <f t="shared" si="8"/>
        <v>1.0031886888555184</v>
      </c>
      <c r="V62" s="382">
        <f t="shared" si="9"/>
        <v>36.89952445842917</v>
      </c>
      <c r="W62" s="400">
        <f t="shared" si="10"/>
        <v>11.552092125444714</v>
      </c>
      <c r="X62" s="157">
        <f t="shared" si="11"/>
        <v>45339</v>
      </c>
      <c r="Y62" s="383">
        <f t="shared" si="12"/>
        <v>11.302246768858192</v>
      </c>
      <c r="Z62" s="383">
        <f t="shared" si="22"/>
        <v>11.711953915424809</v>
      </c>
      <c r="AA62" s="384">
        <f t="shared" si="13"/>
        <v>12.398876658373107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5.5402014382037595E-2</v>
      </c>
      <c r="AD62" s="230">
        <f>(INDEX(Models!$BJ62:$BT62,,AH62)*(1-AF62)+INDEX(Models!$BJ62:$BT62,,AH62+1)*AF62-ERP_i)*AE62*Ramure*Pc/MaxiM</f>
        <v>2.6199799681951149E-3</v>
      </c>
      <c r="AE62" s="304">
        <f t="shared" si="15"/>
        <v>0.6</v>
      </c>
      <c r="AF62" s="177">
        <f t="shared" si="23"/>
        <v>3.1886888555183734E-3</v>
      </c>
      <c r="AG62" s="799">
        <f t="shared" si="24"/>
        <v>1</v>
      </c>
      <c r="AH62" s="176">
        <f t="shared" si="16"/>
        <v>7</v>
      </c>
      <c r="AI62" s="224">
        <f t="shared" si="17"/>
        <v>1.0031886888555184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'2023'!Wh/'2023'!Env_an*'2024'!Env_an</f>
        <v>29.823141113144494</v>
      </c>
      <c r="C63" s="829"/>
      <c r="D63" s="391">
        <f t="shared" si="0"/>
        <v>30.904824112638121</v>
      </c>
      <c r="E63" s="383">
        <f t="shared" si="1"/>
        <v>32.012421311310113</v>
      </c>
      <c r="F63" s="383">
        <f t="shared" si="2"/>
        <v>32.070575347518549</v>
      </c>
      <c r="G63" s="110">
        <f t="shared" si="21"/>
        <v>0.80006986981717088</v>
      </c>
      <c r="H63" s="412" t="b">
        <f>Wh_hp&gt;='2023'!Maxi_hp</f>
        <v>0</v>
      </c>
      <c r="I63" s="388">
        <f>IF(H63,Wh_hp,'2023'!Maxi_hp)</f>
        <v>32.083253619797951</v>
      </c>
      <c r="J63" s="85">
        <f>IF(H63,An,'2023'!An_max)</f>
        <v>2022</v>
      </c>
      <c r="K63" s="197">
        <f t="shared" si="3"/>
        <v>45340</v>
      </c>
      <c r="L63" s="147">
        <f>IF(t&lt;Tvie,1-EXP((T0-t)*PertePVj)+'2023'!Pspv,1-EXP((T0-t)*PertePVj)+Pspv)</f>
        <v>3.5000458036947291E-2</v>
      </c>
      <c r="M63" s="832"/>
      <c r="N63" s="832"/>
      <c r="O63" s="48">
        <f>IF(t&lt;Tnet,'2023'!Resal+('2023'!Salim-'2023'!Resal)*(1-EXP(('2023'!Tnet-t)/('2023'!Tau_j))),Resal+(Salim-Resal)*(1-EXP((Tnet-t)/(Tau_j))))*Salcycl</f>
        <v>3.4598982310677998E-2</v>
      </c>
      <c r="P63" s="169">
        <f>(INDEX(Models!$BJ63:$BT63,,T63)*(1-R63)+INDEX(Models!$BJ63:$BT63,,T63+1)*R63-ERP_i)*Q63*Ramure*Pc/MaxiM</f>
        <v>2.5353491983743171E-3</v>
      </c>
      <c r="Q63" s="304">
        <f t="shared" si="4"/>
        <v>0.6</v>
      </c>
      <c r="R63" s="177">
        <f t="shared" si="5"/>
        <v>3.3869275582665281E-3</v>
      </c>
      <c r="S63" s="799">
        <f t="shared" si="6"/>
        <v>1</v>
      </c>
      <c r="T63" s="176">
        <f t="shared" si="7"/>
        <v>7</v>
      </c>
      <c r="U63" s="250">
        <f t="shared" si="8"/>
        <v>1.0033869275582665</v>
      </c>
      <c r="V63" s="382">
        <f t="shared" si="9"/>
        <v>37.248707611901814</v>
      </c>
      <c r="W63" s="400">
        <f t="shared" si="10"/>
        <v>29.823141113144494</v>
      </c>
      <c r="X63" s="157">
        <f t="shared" si="11"/>
        <v>45340</v>
      </c>
      <c r="Y63" s="383">
        <f t="shared" si="12"/>
        <v>29.178734787813493</v>
      </c>
      <c r="Z63" s="383">
        <f t="shared" si="22"/>
        <v>30.237045220204539</v>
      </c>
      <c r="AA63" s="384">
        <f t="shared" si="13"/>
        <v>32.012421311310113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5.5458975559537847E-2</v>
      </c>
      <c r="AD63" s="230">
        <f>(INDEX(Models!$BJ63:$BT63,,AH63)*(1-AF63)+INDEX(Models!$BJ63:$BT63,,AH63+1)*AF63-ERP_i)*AE63*Ramure*Pc/MaxiM</f>
        <v>2.5353491983743171E-3</v>
      </c>
      <c r="AE63" s="304">
        <f t="shared" si="15"/>
        <v>0.6</v>
      </c>
      <c r="AF63" s="177">
        <f t="shared" si="23"/>
        <v>3.3869275582665281E-3</v>
      </c>
      <c r="AG63" s="799">
        <f t="shared" si="24"/>
        <v>1</v>
      </c>
      <c r="AH63" s="176">
        <f t="shared" si="16"/>
        <v>7</v>
      </c>
      <c r="AI63" s="224">
        <f t="shared" si="17"/>
        <v>1.0033869275582665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'2023'!Wh/'2023'!Env_an*'2024'!Env_an</f>
        <v>20.235842277839598</v>
      </c>
      <c r="C64" s="829"/>
      <c r="D64" s="391">
        <f t="shared" si="0"/>
        <v>20.970196586215209</v>
      </c>
      <c r="E64" s="383">
        <f t="shared" si="1"/>
        <v>21.723501916604192</v>
      </c>
      <c r="F64" s="383">
        <f t="shared" si="2"/>
        <v>21.741629209725598</v>
      </c>
      <c r="G64" s="110">
        <f t="shared" si="21"/>
        <v>0.5373451407704174</v>
      </c>
      <c r="H64" s="412" t="b">
        <f>Wh_hp&gt;='2023'!Maxi_hp</f>
        <v>0</v>
      </c>
      <c r="I64" s="388">
        <f>IF(H64,Wh_hp,'2023'!Maxi_hp)</f>
        <v>39.436937045771522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3.5018952033017192E-2</v>
      </c>
      <c r="M64" s="832"/>
      <c r="N64" s="832"/>
      <c r="O64" s="48">
        <f>IF(t&lt;Tnet,'2023'!Resal+('2023'!Salim-'2023'!Resal)*(1-EXP(('2023'!Tnet-t)/('2023'!Tau_j))),Resal+(Salim-Resal)*(1-EXP((Tnet-t)/(Tau_j))))*Salcycl</f>
        <v>3.4676974885582273E-2</v>
      </c>
      <c r="P64" s="169">
        <f>(INDEX(Models!$BJ64:$BT64,,T64)*(1-R64)+INDEX(Models!$BJ64:$BT64,,T64+1)*R64-ERP_i)*Q64*Ramure*Pc/MaxiM</f>
        <v>2.4500131908625588E-3</v>
      </c>
      <c r="Q64" s="304">
        <f t="shared" si="4"/>
        <v>0.6</v>
      </c>
      <c r="R64" s="177">
        <f t="shared" si="5"/>
        <v>3.5933143010755675E-3</v>
      </c>
      <c r="S64" s="799">
        <f t="shared" si="6"/>
        <v>1</v>
      </c>
      <c r="T64" s="176">
        <f t="shared" si="7"/>
        <v>7</v>
      </c>
      <c r="U64" s="250">
        <f t="shared" si="8"/>
        <v>1.0035933143010756</v>
      </c>
      <c r="V64" s="382">
        <f t="shared" si="9"/>
        <v>37.598011410683739</v>
      </c>
      <c r="W64" s="400">
        <f t="shared" si="10"/>
        <v>20.235842277839598</v>
      </c>
      <c r="X64" s="157">
        <f t="shared" si="11"/>
        <v>45341</v>
      </c>
      <c r="Y64" s="383">
        <f t="shared" si="12"/>
        <v>19.799001296208786</v>
      </c>
      <c r="Z64" s="383">
        <f t="shared" si="22"/>
        <v>20.517502740516221</v>
      </c>
      <c r="AA64" s="384">
        <f t="shared" si="13"/>
        <v>21.723501916604192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5.5515873118328798E-2</v>
      </c>
      <c r="AD64" s="230">
        <f>(INDEX(Models!$BJ64:$BT64,,AH64)*(1-AF64)+INDEX(Models!$BJ64:$BT64,,AH64+1)*AF64-ERP_i)*AE64*Ramure*Pc/MaxiM</f>
        <v>2.4500131908625588E-3</v>
      </c>
      <c r="AE64" s="304">
        <f t="shared" si="15"/>
        <v>0.6</v>
      </c>
      <c r="AF64" s="177">
        <f t="shared" si="23"/>
        <v>3.5933143010755675E-3</v>
      </c>
      <c r="AG64" s="799">
        <f t="shared" si="24"/>
        <v>1</v>
      </c>
      <c r="AH64" s="176">
        <f t="shared" si="16"/>
        <v>7</v>
      </c>
      <c r="AI64" s="224">
        <f t="shared" si="17"/>
        <v>1.0035933143010756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'2023'!Wh/'2023'!Env_an*'2024'!Env_an</f>
        <v>20.113520799249663</v>
      </c>
      <c r="C65" s="829"/>
      <c r="D65" s="391">
        <f t="shared" si="0"/>
        <v>20.843835555165185</v>
      </c>
      <c r="E65" s="383">
        <f t="shared" si="1"/>
        <v>21.594344472412725</v>
      </c>
      <c r="F65" s="383">
        <f t="shared" si="2"/>
        <v>21.611133111346561</v>
      </c>
      <c r="G65" s="110">
        <f t="shared" si="21"/>
        <v>0.5291923289825412</v>
      </c>
      <c r="H65" s="412" t="b">
        <f>Wh_hp&gt;='2023'!Maxi_hp</f>
        <v>0</v>
      </c>
      <c r="I65" s="388">
        <f>IF(H65,Wh_hp,'2023'!Maxi_hp)</f>
        <v>41.467946828147284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3.5037445674653944E-2</v>
      </c>
      <c r="M65" s="832"/>
      <c r="N65" s="832"/>
      <c r="O65" s="48">
        <f>IF(t&lt;Tnet,'2023'!Resal+('2023'!Salim-'2023'!Resal)*(1-EXP(('2023'!Tnet-t)/('2023'!Tau_j))),Resal+(Salim-Resal)*(1-EXP((Tnet-t)/(Tau_j))))*Salcycl</f>
        <v>3.4754883076276361E-2</v>
      </c>
      <c r="P65" s="169">
        <f>(INDEX(Models!$BJ65:$BT65,,T65)*(1-R65)+INDEX(Models!$BJ65:$BT65,,T65+1)*R65-ERP_i)*Q65*Ramure*Pc/MaxiM</f>
        <v>2.363978671584231E-3</v>
      </c>
      <c r="Q65" s="304">
        <f t="shared" si="4"/>
        <v>0.6</v>
      </c>
      <c r="R65" s="177">
        <f t="shared" si="5"/>
        <v>3.8081767069857442E-3</v>
      </c>
      <c r="S65" s="799">
        <f t="shared" si="6"/>
        <v>1</v>
      </c>
      <c r="T65" s="176">
        <f t="shared" si="7"/>
        <v>7</v>
      </c>
      <c r="U65" s="250">
        <f t="shared" si="8"/>
        <v>1.0038081767069857</v>
      </c>
      <c r="V65" s="382">
        <f t="shared" si="9"/>
        <v>37.947589493426698</v>
      </c>
      <c r="W65" s="400">
        <f t="shared" si="10"/>
        <v>20.113520799249663</v>
      </c>
      <c r="X65" s="157">
        <f t="shared" si="11"/>
        <v>45342</v>
      </c>
      <c r="Y65" s="383">
        <f t="shared" si="12"/>
        <v>19.67972460380906</v>
      </c>
      <c r="Z65" s="383">
        <f t="shared" si="22"/>
        <v>20.394288374814863</v>
      </c>
      <c r="AA65" s="384">
        <f t="shared" si="13"/>
        <v>21.594344472412725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5.5572703266402075E-2</v>
      </c>
      <c r="AD65" s="230">
        <f>(INDEX(Models!$BJ65:$BT65,,AH65)*(1-AF65)+INDEX(Models!$BJ65:$BT65,,AH65+1)*AF65-ERP_i)*AE65*Ramure*Pc/MaxiM</f>
        <v>2.363978671584231E-3</v>
      </c>
      <c r="AE65" s="304">
        <f t="shared" si="15"/>
        <v>0.6</v>
      </c>
      <c r="AF65" s="177">
        <f t="shared" si="23"/>
        <v>3.8081767069857442E-3</v>
      </c>
      <c r="AG65" s="799">
        <f t="shared" si="24"/>
        <v>1</v>
      </c>
      <c r="AH65" s="176">
        <f t="shared" si="16"/>
        <v>7</v>
      </c>
      <c r="AI65" s="224">
        <f t="shared" si="17"/>
        <v>1.0038081767069857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'2023'!Wh/'2023'!Env_an*'2024'!Env_an</f>
        <v>22.269052172905656</v>
      </c>
      <c r="C66" s="829"/>
      <c r="D66" s="391">
        <f t="shared" si="0"/>
        <v>23.078075789126554</v>
      </c>
      <c r="E66" s="383">
        <f t="shared" si="1"/>
        <v>23.910959174805505</v>
      </c>
      <c r="F66" s="383">
        <f t="shared" si="2"/>
        <v>23.932875194386799</v>
      </c>
      <c r="G66" s="110">
        <f t="shared" si="21"/>
        <v>0.58068045220347164</v>
      </c>
      <c r="H66" s="412" t="b">
        <f>Wh_hp&gt;='2023'!Maxi_hp</f>
        <v>0</v>
      </c>
      <c r="I66" s="388">
        <f>IF(H66,Wh_hp,'2023'!Maxi_hp)</f>
        <v>23.950887388071926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3.5055938961864208E-2</v>
      </c>
      <c r="M66" s="832"/>
      <c r="N66" s="832"/>
      <c r="O66" s="48">
        <f>IF(t&lt;Tnet,'2023'!Resal+('2023'!Salim-'2023'!Resal)*(1-EXP(('2023'!Tnet-t)/('2023'!Tau_j))),Resal+(Salim-Resal)*(1-EXP((Tnet-t)/(Tau_j))))*Salcycl</f>
        <v>3.4832704936259694E-2</v>
      </c>
      <c r="P66" s="169">
        <f>(INDEX(Models!$BJ66:$BT66,,T66)*(1-R66)+INDEX(Models!$BJ66:$BT66,,T66+1)*R66-ERP_i)*Q66*Ramure*Pc/MaxiM</f>
        <v>2.2773418475952678E-3</v>
      </c>
      <c r="Q66" s="304">
        <f t="shared" si="4"/>
        <v>0.6</v>
      </c>
      <c r="R66" s="177">
        <f t="shared" si="5"/>
        <v>4.0318549562725625E-3</v>
      </c>
      <c r="S66" s="799">
        <f t="shared" si="6"/>
        <v>1</v>
      </c>
      <c r="T66" s="176">
        <f t="shared" si="7"/>
        <v>7</v>
      </c>
      <c r="U66" s="250">
        <f t="shared" si="8"/>
        <v>1.0040318549562726</v>
      </c>
      <c r="V66" s="382">
        <f t="shared" si="9"/>
        <v>38.297660031848309</v>
      </c>
      <c r="W66" s="400">
        <f t="shared" si="10"/>
        <v>22.269052172905656</v>
      </c>
      <c r="X66" s="157">
        <f t="shared" si="11"/>
        <v>45343</v>
      </c>
      <c r="Y66" s="383">
        <f t="shared" si="12"/>
        <v>21.78921402483688</v>
      </c>
      <c r="Z66" s="383">
        <f t="shared" si="22"/>
        <v>22.580805359219411</v>
      </c>
      <c r="AA66" s="384">
        <f t="shared" si="13"/>
        <v>23.910959174805505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5.5629462869379614E-2</v>
      </c>
      <c r="AD66" s="230">
        <f>(INDEX(Models!$BJ66:$BT66,,AH66)*(1-AF66)+INDEX(Models!$BJ66:$BT66,,AH66+1)*AF66-ERP_i)*AE66*Ramure*Pc/MaxiM</f>
        <v>2.2773418475952678E-3</v>
      </c>
      <c r="AE66" s="304">
        <f t="shared" si="15"/>
        <v>0.6</v>
      </c>
      <c r="AF66" s="177">
        <f t="shared" si="23"/>
        <v>4.0318549562725625E-3</v>
      </c>
      <c r="AG66" s="799">
        <f t="shared" si="24"/>
        <v>1</v>
      </c>
      <c r="AH66" s="176">
        <f t="shared" si="16"/>
        <v>7</v>
      </c>
      <c r="AI66" s="224">
        <f t="shared" si="17"/>
        <v>1.0040318549562726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'2023'!Wh/'2023'!Env_an*'2024'!Env_an</f>
        <v>34.030489307543384</v>
      </c>
      <c r="C67" s="829"/>
      <c r="D67" s="391">
        <f t="shared" si="0"/>
        <v>35.267475992332841</v>
      </c>
      <c r="E67" s="383">
        <f t="shared" si="1"/>
        <v>36.543215693525163</v>
      </c>
      <c r="F67" s="383">
        <f t="shared" si="2"/>
        <v>36.609748007513019</v>
      </c>
      <c r="G67" s="110">
        <f t="shared" si="21"/>
        <v>0.88019002035961436</v>
      </c>
      <c r="H67" s="412" t="b">
        <f>Wh_hp&gt;='2023'!Maxi_hp</f>
        <v>0</v>
      </c>
      <c r="I67" s="388">
        <f>IF(H67,Wh_hp,'2023'!Maxi_hp)</f>
        <v>39.949310572645629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3.5074431894654867E-2</v>
      </c>
      <c r="M67" s="832"/>
      <c r="N67" s="832"/>
      <c r="O67" s="48">
        <f>IF(t&lt;Tnet,'2023'!Resal+('2023'!Salim-'2023'!Resal)*(1-EXP(('2023'!Tnet-t)/('2023'!Tau_j))),Resal+(Salim-Resal)*(1-EXP((Tnet-t)/(Tau_j))))*Salcycl</f>
        <v>3.491043896879506E-2</v>
      </c>
      <c r="P67" s="169">
        <f>(INDEX(Models!$BJ67:$BT67,,T67)*(1-R67)+INDEX(Models!$BJ67:$BT67,,T67+1)*R67-ERP_i)*Q67*Ramure*Pc/MaxiM</f>
        <v>2.1913753254596546E-3</v>
      </c>
      <c r="Q67" s="304">
        <f t="shared" si="4"/>
        <v>0.6</v>
      </c>
      <c r="R67" s="177">
        <f t="shared" si="5"/>
        <v>4.264702215341698E-3</v>
      </c>
      <c r="S67" s="799">
        <f t="shared" si="6"/>
        <v>1</v>
      </c>
      <c r="T67" s="176">
        <f t="shared" si="7"/>
        <v>7</v>
      </c>
      <c r="U67" s="250">
        <f t="shared" si="8"/>
        <v>1.0042647022153417</v>
      </c>
      <c r="V67" s="382">
        <f t="shared" si="9"/>
        <v>38.648174483809406</v>
      </c>
      <c r="W67" s="400">
        <f t="shared" si="10"/>
        <v>34.030489307543384</v>
      </c>
      <c r="X67" s="157">
        <f t="shared" si="11"/>
        <v>45344</v>
      </c>
      <c r="Y67" s="383">
        <f t="shared" si="12"/>
        <v>33.297906939536809</v>
      </c>
      <c r="Z67" s="383">
        <f t="shared" si="22"/>
        <v>34.50826472027066</v>
      </c>
      <c r="AA67" s="384">
        <f t="shared" si="13"/>
        <v>36.543215693525163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5.5686149525561834E-2</v>
      </c>
      <c r="AD67" s="230">
        <f>(INDEX(Models!$BJ67:$BT67,,AH67)*(1-AF67)+INDEX(Models!$BJ67:$BT67,,AH67+1)*AF67-ERP_i)*AE67*Ramure*Pc/MaxiM</f>
        <v>2.1913753254596546E-3</v>
      </c>
      <c r="AE67" s="304">
        <f t="shared" si="15"/>
        <v>0.6</v>
      </c>
      <c r="AF67" s="177">
        <f t="shared" si="23"/>
        <v>4.264702215341698E-3</v>
      </c>
      <c r="AG67" s="799">
        <f t="shared" si="24"/>
        <v>1</v>
      </c>
      <c r="AH67" s="176">
        <f t="shared" si="16"/>
        <v>7</v>
      </c>
      <c r="AI67" s="224">
        <f t="shared" si="17"/>
        <v>1.0042647022153417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'2023'!Wh/'2023'!Env_an*'2024'!Env_an</f>
        <v>35.759754053964834</v>
      </c>
      <c r="C68" s="829"/>
      <c r="D68" s="391">
        <f t="shared" si="0"/>
        <v>37.060308666961809</v>
      </c>
      <c r="E68" s="383">
        <f t="shared" si="1"/>
        <v>38.403990727134065</v>
      </c>
      <c r="F68" s="383">
        <f t="shared" si="2"/>
        <v>38.475406574038317</v>
      </c>
      <c r="G68" s="110">
        <f t="shared" si="21"/>
        <v>0.91670757028924554</v>
      </c>
      <c r="H68" s="412" t="b">
        <f>Wh_hp&gt;='2023'!Maxi_hp</f>
        <v>0</v>
      </c>
      <c r="I68" s="388">
        <f>IF(H68,Wh_hp,'2023'!Maxi_hp)</f>
        <v>41.571938803017574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3.5092924473032805E-2</v>
      </c>
      <c r="M68" s="832"/>
      <c r="N68" s="832"/>
      <c r="O68" s="48">
        <f>IF(t&lt;Tnet,'2023'!Resal+('2023'!Salim-'2023'!Resal)*(1-EXP(('2023'!Tnet-t)/('2023'!Tau_j))),Resal+(Salim-Resal)*(1-EXP((Tnet-t)/(Tau_j))))*Salcycl</f>
        <v>3.4988084173837863E-2</v>
      </c>
      <c r="P68" s="169">
        <f>(INDEX(Models!$BJ68:$BT68,,T68)*(1-R68)+INDEX(Models!$BJ68:$BT68,,T68+1)*R68-ERP_i)*Q68*Ramure*Pc/MaxiM</f>
        <v>2.1060491084970412E-3</v>
      </c>
      <c r="Q68" s="304">
        <f t="shared" si="4"/>
        <v>0.6</v>
      </c>
      <c r="R68" s="177">
        <f t="shared" si="5"/>
        <v>4.507085075719619E-3</v>
      </c>
      <c r="S68" s="799">
        <f t="shared" si="6"/>
        <v>1</v>
      </c>
      <c r="T68" s="176">
        <f t="shared" si="7"/>
        <v>7</v>
      </c>
      <c r="U68" s="250">
        <f t="shared" si="8"/>
        <v>1.0045070850757196</v>
      </c>
      <c r="V68" s="382">
        <f t="shared" si="9"/>
        <v>38.999133425153417</v>
      </c>
      <c r="W68" s="400">
        <f t="shared" si="10"/>
        <v>35.759754053964834</v>
      </c>
      <c r="X68" s="157">
        <f t="shared" si="11"/>
        <v>45345</v>
      </c>
      <c r="Y68" s="383">
        <f t="shared" si="12"/>
        <v>34.990662865192483</v>
      </c>
      <c r="Z68" s="383">
        <f t="shared" si="22"/>
        <v>36.263246226153896</v>
      </c>
      <c r="AA68" s="384">
        <f t="shared" si="13"/>
        <v>38.403990727134065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5.5742761636166184E-2</v>
      </c>
      <c r="AD68" s="230">
        <f>(INDEX(Models!$BJ68:$BT68,,AH68)*(1-AF68)+INDEX(Models!$BJ68:$BT68,,AH68+1)*AF68-ERP_i)*AE68*Ramure*Pc/MaxiM</f>
        <v>2.1060491084970412E-3</v>
      </c>
      <c r="AE68" s="304">
        <f t="shared" si="15"/>
        <v>0.6</v>
      </c>
      <c r="AF68" s="177">
        <f t="shared" si="23"/>
        <v>4.507085075719619E-3</v>
      </c>
      <c r="AG68" s="799">
        <f t="shared" si="24"/>
        <v>1</v>
      </c>
      <c r="AH68" s="176">
        <f t="shared" si="16"/>
        <v>7</v>
      </c>
      <c r="AI68" s="224">
        <f t="shared" si="17"/>
        <v>1.0045070850757196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'2023'!Wh/'2023'!Env_an*'2024'!Env_an</f>
        <v>22.259883657426649</v>
      </c>
      <c r="C69" s="829"/>
      <c r="D69" s="391">
        <f t="shared" si="0"/>
        <v>23.069900548752347</v>
      </c>
      <c r="E69" s="383">
        <f t="shared" si="1"/>
        <v>23.908258952399883</v>
      </c>
      <c r="F69" s="383">
        <f t="shared" si="2"/>
        <v>23.926615279986979</v>
      </c>
      <c r="G69" s="110">
        <f t="shared" si="21"/>
        <v>0.56497183124729788</v>
      </c>
      <c r="H69" s="412" t="b">
        <f>Wh_hp&gt;='2023'!Maxi_hp</f>
        <v>0</v>
      </c>
      <c r="I69" s="388">
        <f>IF(H69,Wh_hp,'2023'!Maxi_hp)</f>
        <v>41.52507944394246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3.5111416697004572E-2</v>
      </c>
      <c r="M69" s="832"/>
      <c r="N69" s="832"/>
      <c r="O69" s="48">
        <f>IF(t&lt;Tnet,'2023'!Resal+('2023'!Salim-'2023'!Resal)*(1-EXP(('2023'!Tnet-t)/('2023'!Tau_j))),Resal+(Salim-Resal)*(1-EXP((Tnet-t)/(Tau_j))))*Salcycl</f>
        <v>3.5065640091847108E-2</v>
      </c>
      <c r="P69" s="169">
        <f>(INDEX(Models!$BJ69:$BT69,,T69)*(1-R69)+INDEX(Models!$BJ69:$BT69,,T69+1)*R69-ERP_i)*Q69*Ramure*Pc/MaxiM</f>
        <v>2.0213462942161226E-3</v>
      </c>
      <c r="Q69" s="304">
        <f t="shared" si="4"/>
        <v>0.6</v>
      </c>
      <c r="R69" s="177">
        <f t="shared" si="5"/>
        <v>4.7593840029378498E-3</v>
      </c>
      <c r="S69" s="799">
        <f t="shared" si="6"/>
        <v>1</v>
      </c>
      <c r="T69" s="176">
        <f t="shared" si="7"/>
        <v>7</v>
      </c>
      <c r="U69" s="250">
        <f t="shared" si="8"/>
        <v>1.0047593840029378</v>
      </c>
      <c r="V69" s="382">
        <f t="shared" si="9"/>
        <v>39.350536934989343</v>
      </c>
      <c r="W69" s="400">
        <f t="shared" si="10"/>
        <v>22.259883657426649</v>
      </c>
      <c r="X69" s="157">
        <f t="shared" si="11"/>
        <v>45346</v>
      </c>
      <c r="Y69" s="383">
        <f t="shared" si="12"/>
        <v>21.781582912350547</v>
      </c>
      <c r="Z69" s="383">
        <f t="shared" si="22"/>
        <v>22.574194875213557</v>
      </c>
      <c r="AA69" s="384">
        <f t="shared" si="13"/>
        <v>23.908258952399883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5.5799298470138613E-2</v>
      </c>
      <c r="AD69" s="230">
        <f>(INDEX(Models!$BJ69:$BT69,,AH69)*(1-AF69)+INDEX(Models!$BJ69:$BT69,,AH69+1)*AF69-ERP_i)*AE69*Ramure*Pc/MaxiM</f>
        <v>2.0213462942161226E-3</v>
      </c>
      <c r="AE69" s="304">
        <f t="shared" si="15"/>
        <v>0.6</v>
      </c>
      <c r="AF69" s="177">
        <f t="shared" si="23"/>
        <v>4.7593840029378498E-3</v>
      </c>
      <c r="AG69" s="799">
        <f t="shared" si="24"/>
        <v>1</v>
      </c>
      <c r="AH69" s="176">
        <f t="shared" si="16"/>
        <v>7</v>
      </c>
      <c r="AI69" s="224">
        <f t="shared" si="17"/>
        <v>1.0047593840029378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'2023'!Wh/'2023'!Env_an*'2024'!Env_an</f>
        <v>31.876634487363624</v>
      </c>
      <c r="C70" s="829"/>
      <c r="D70" s="391">
        <f t="shared" si="0"/>
        <v>33.037229333129503</v>
      </c>
      <c r="E70" s="383">
        <f t="shared" si="1"/>
        <v>34.240548590651407</v>
      </c>
      <c r="F70" s="383">
        <f t="shared" si="2"/>
        <v>34.28826922157743</v>
      </c>
      <c r="G70" s="110">
        <f t="shared" si="21"/>
        <v>0.80245107221282952</v>
      </c>
      <c r="H70" s="412" t="b">
        <f>Wh_hp&gt;='2023'!Maxi_hp</f>
        <v>0</v>
      </c>
      <c r="I70" s="388">
        <f>IF(H70,Wh_hp,'2023'!Maxi_hp)</f>
        <v>36.519009293012743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3.5129908566577051E-2</v>
      </c>
      <c r="M70" s="832"/>
      <c r="N70" s="832"/>
      <c r="O70" s="48">
        <f>IF(t&lt;Tnet,'2023'!Resal+('2023'!Salim-'2023'!Resal)*(1-EXP(('2023'!Tnet-t)/('2023'!Tau_j))),Resal+(Salim-Resal)*(1-EXP((Tnet-t)/(Tau_j))))*Salcycl</f>
        <v>3.5143106844101241E-2</v>
      </c>
      <c r="P70" s="169">
        <f>(INDEX(Models!$BJ70:$BT70,,T70)*(1-R70)+INDEX(Models!$BJ70:$BT70,,T70+1)*R70-ERP_i)*Q70*Ramure*Pc/MaxiM</f>
        <v>1.9372512325866466E-3</v>
      </c>
      <c r="Q70" s="304">
        <f t="shared" si="4"/>
        <v>0.6</v>
      </c>
      <c r="R70" s="177">
        <f t="shared" si="5"/>
        <v>5.0219937950739535E-3</v>
      </c>
      <c r="S70" s="799">
        <f t="shared" si="6"/>
        <v>1</v>
      </c>
      <c r="T70" s="176">
        <f t="shared" si="7"/>
        <v>7</v>
      </c>
      <c r="U70" s="250">
        <f t="shared" si="8"/>
        <v>1.005021993795074</v>
      </c>
      <c r="V70" s="382">
        <f t="shared" si="9"/>
        <v>39.702385042047538</v>
      </c>
      <c r="W70" s="400">
        <f t="shared" si="10"/>
        <v>31.876634487363624</v>
      </c>
      <c r="X70" s="157">
        <f t="shared" si="11"/>
        <v>45347</v>
      </c>
      <c r="Y70" s="383">
        <f t="shared" si="12"/>
        <v>31.192336447202752</v>
      </c>
      <c r="Z70" s="383">
        <f t="shared" si="22"/>
        <v>32.328016718668344</v>
      </c>
      <c r="AA70" s="384">
        <f t="shared" si="13"/>
        <v>34.240548590651407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5.5855760222990027E-2</v>
      </c>
      <c r="AD70" s="230">
        <f>(INDEX(Models!$BJ70:$BT70,,AH70)*(1-AF70)+INDEX(Models!$BJ70:$BT70,,AH70+1)*AF70-ERP_i)*AE70*Ramure*Pc/MaxiM</f>
        <v>1.9372512325866466E-3</v>
      </c>
      <c r="AE70" s="304">
        <f t="shared" si="15"/>
        <v>0.6</v>
      </c>
      <c r="AF70" s="177">
        <f t="shared" si="23"/>
        <v>5.0219937950739535E-3</v>
      </c>
      <c r="AG70" s="799">
        <f t="shared" si="24"/>
        <v>1</v>
      </c>
      <c r="AH70" s="176">
        <f t="shared" si="16"/>
        <v>7</v>
      </c>
      <c r="AI70" s="224">
        <f t="shared" si="17"/>
        <v>1.005021993795074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'2023'!Wh/'2023'!Env_an*'2024'!Env_an</f>
        <v>40.400334591338165</v>
      </c>
      <c r="C71" s="829"/>
      <c r="D71" s="391">
        <f t="shared" si="0"/>
        <v>41.872070891276444</v>
      </c>
      <c r="E71" s="383">
        <f t="shared" si="1"/>
        <v>43.400663309708847</v>
      </c>
      <c r="F71" s="383">
        <f t="shared" si="2"/>
        <v>43.481266681339839</v>
      </c>
      <c r="G71" s="110">
        <f t="shared" si="21"/>
        <v>1.0086296254599769</v>
      </c>
      <c r="H71" s="412" t="b">
        <f>Wh_hp&gt;='2023'!Maxi_hp</f>
        <v>1</v>
      </c>
      <c r="I71" s="388">
        <f>IF(H71,Wh_hp,'2023'!Maxi_hp)</f>
        <v>43.481266681339839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3.5148400081757125E-2</v>
      </c>
      <c r="M71" s="832"/>
      <c r="N71" s="832"/>
      <c r="O71" s="48">
        <f>IF(t&lt;Tnet,'2023'!Resal+('2023'!Salim-'2023'!Resal)*(1-EXP(('2023'!Tnet-t)/('2023'!Tau_j))),Resal+(Salim-Resal)*(1-EXP((Tnet-t)/(Tau_j))))*Salcycl</f>
        <v>3.52204851691853E-2</v>
      </c>
      <c r="P71" s="169">
        <f>(INDEX(Models!$BJ71:$BT71,,T71)*(1-R71)+INDEX(Models!$BJ71:$BT71,,T71+1)*R71-ERP_i)*Q71*Ramure*Pc/MaxiM</f>
        <v>1.8537493910127305E-3</v>
      </c>
      <c r="Q71" s="304">
        <f t="shared" si="4"/>
        <v>0.6</v>
      </c>
      <c r="R71" s="177">
        <f t="shared" si="5"/>
        <v>5.2953240506392607E-3</v>
      </c>
      <c r="S71" s="799">
        <f t="shared" si="6"/>
        <v>1</v>
      </c>
      <c r="T71" s="176">
        <f t="shared" si="7"/>
        <v>7</v>
      </c>
      <c r="U71" s="250">
        <f t="shared" si="8"/>
        <v>1.0052953240506393</v>
      </c>
      <c r="V71" s="382">
        <f t="shared" si="9"/>
        <v>40.054677724654319</v>
      </c>
      <c r="W71" s="400">
        <f t="shared" si="10"/>
        <v>40.400334591338165</v>
      </c>
      <c r="X71" s="157">
        <f t="shared" si="11"/>
        <v>45348</v>
      </c>
      <c r="Y71" s="383">
        <f t="shared" si="12"/>
        <v>39.533867080823455</v>
      </c>
      <c r="Z71" s="383">
        <f t="shared" si="22"/>
        <v>40.974038996435695</v>
      </c>
      <c r="AA71" s="384">
        <f t="shared" si="13"/>
        <v>43.400663309708847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5.5912148069181912E-2</v>
      </c>
      <c r="AD71" s="230">
        <f>(INDEX(Models!$BJ71:$BT71,,AH71)*(1-AF71)+INDEX(Models!$BJ71:$BT71,,AH71+1)*AF71-ERP_i)*AE71*Ramure*Pc/MaxiM</f>
        <v>1.8537493910127305E-3</v>
      </c>
      <c r="AE71" s="304">
        <f t="shared" si="15"/>
        <v>0.6</v>
      </c>
      <c r="AF71" s="177">
        <f t="shared" si="23"/>
        <v>5.2953240506392607E-3</v>
      </c>
      <c r="AG71" s="799">
        <f t="shared" si="24"/>
        <v>1</v>
      </c>
      <c r="AH71" s="176">
        <f t="shared" si="16"/>
        <v>7</v>
      </c>
      <c r="AI71" s="224">
        <f t="shared" si="17"/>
        <v>1.0052953240506393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'2023'!Wh/'2023'!Env_an*'2024'!Env_an</f>
        <v>28.878883219616345</v>
      </c>
      <c r="C72" s="829"/>
      <c r="D72" s="391">
        <f t="shared" si="0"/>
        <v>29.931480333223384</v>
      </c>
      <c r="E72" s="383">
        <f t="shared" si="1"/>
        <v>31.026652165520161</v>
      </c>
      <c r="F72" s="383">
        <f t="shared" si="2"/>
        <v>31.059260374475031</v>
      </c>
      <c r="G72" s="110">
        <f t="shared" si="21"/>
        <v>0.71417686537752223</v>
      </c>
      <c r="H72" s="412" t="b">
        <f>Wh_hp&gt;='2023'!Maxi_hp</f>
        <v>0</v>
      </c>
      <c r="I72" s="388">
        <f>IF(H72,Wh_hp,'2023'!Maxi_hp)</f>
        <v>42.979805880549684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3.5166891242551568E-2</v>
      </c>
      <c r="M72" s="832"/>
      <c r="N72" s="832"/>
      <c r="O72" s="48">
        <f>IF(t&lt;Tnet,'2023'!Resal+('2023'!Salim-'2023'!Resal)*(1-EXP(('2023'!Tnet-t)/('2023'!Tau_j))),Resal+(Salim-Resal)*(1-EXP((Tnet-t)/(Tau_j))))*Salcycl</f>
        <v>3.5297776455361189E-2</v>
      </c>
      <c r="P72" s="169">
        <f>(INDEX(Models!$BJ72:$BT72,,T72)*(1-R72)+INDEX(Models!$BJ72:$BT72,,T72+1)*R72-ERP_i)*Q72*Ramure*Pc/MaxiM</f>
        <v>1.7721745990415681E-3</v>
      </c>
      <c r="Q72" s="304">
        <f t="shared" si="4"/>
        <v>0.6</v>
      </c>
      <c r="R72" s="177">
        <f t="shared" si="5"/>
        <v>5.5797996454494125E-3</v>
      </c>
      <c r="S72" s="799">
        <f t="shared" si="6"/>
        <v>1</v>
      </c>
      <c r="T72" s="176">
        <f t="shared" si="7"/>
        <v>7</v>
      </c>
      <c r="U72" s="250">
        <f t="shared" si="8"/>
        <v>1.0055797996454494</v>
      </c>
      <c r="V72" s="382">
        <f t="shared" si="9"/>
        <v>40.407360371739905</v>
      </c>
      <c r="W72" s="400">
        <f t="shared" si="10"/>
        <v>28.878883219616345</v>
      </c>
      <c r="X72" s="157">
        <f t="shared" si="11"/>
        <v>45349</v>
      </c>
      <c r="Y72" s="383">
        <f t="shared" si="12"/>
        <v>28.26009499346873</v>
      </c>
      <c r="Z72" s="383">
        <f t="shared" si="22"/>
        <v>29.29013809431067</v>
      </c>
      <c r="AA72" s="384">
        <f t="shared" si="13"/>
        <v>31.026652165520161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5.5968464207661911E-2</v>
      </c>
      <c r="AD72" s="230">
        <f>(INDEX(Models!$BJ72:$BT72,,AH72)*(1-AF72)+INDEX(Models!$BJ72:$BT72,,AH72+1)*AF72-ERP_i)*AE72*Ramure*Pc/MaxiM</f>
        <v>1.7721745990415681E-3</v>
      </c>
      <c r="AE72" s="304">
        <f t="shared" si="15"/>
        <v>0.6</v>
      </c>
      <c r="AF72" s="177">
        <f t="shared" si="23"/>
        <v>5.5797996454494125E-3</v>
      </c>
      <c r="AG72" s="799">
        <f t="shared" si="24"/>
        <v>1</v>
      </c>
      <c r="AH72" s="176">
        <f t="shared" si="16"/>
        <v>7</v>
      </c>
      <c r="AI72" s="224">
        <f t="shared" si="17"/>
        <v>1.0055797996454494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'2023'!Wh/'2023'!Env_an*'2024'!Env_an</f>
        <v>34.864159834960681</v>
      </c>
      <c r="C73" s="829"/>
      <c r="D73" s="391">
        <f t="shared" si="0"/>
        <v>36.135604898898968</v>
      </c>
      <c r="E73" s="383">
        <f t="shared" si="1"/>
        <v>37.460779321909087</v>
      </c>
      <c r="F73" s="383">
        <f t="shared" si="2"/>
        <v>37.511172992141546</v>
      </c>
      <c r="G73" s="110">
        <f t="shared" si="21"/>
        <v>0.85504426059298499</v>
      </c>
      <c r="H73" s="412" t="b">
        <f>Wh_hp&gt;='2023'!Maxi_hp</f>
        <v>0</v>
      </c>
      <c r="I73" s="388">
        <f>IF(H73,Wh_hp,'2023'!Maxi_hp)</f>
        <v>37.518611340462861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3.5185382048967151E-2</v>
      </c>
      <c r="M73" s="832"/>
      <c r="N73" s="832"/>
      <c r="O73" s="48">
        <f>IF(t&lt;Tnet,'2023'!Resal+('2023'!Salim-'2023'!Resal)*(1-EXP(('2023'!Tnet-t)/('2023'!Tau_j))),Resal+(Salim-Resal)*(1-EXP((Tnet-t)/(Tau_j))))*Salcycl</f>
        <v>3.5374982768580213E-2</v>
      </c>
      <c r="P73" s="169">
        <f>(INDEX(Models!$BJ73:$BT73,,T73)*(1-R73)+INDEX(Models!$BJ73:$BT73,,T73+1)*R73-ERP_i)*Q73*Ramure*Pc/MaxiM</f>
        <v>1.6933678753603585E-3</v>
      </c>
      <c r="Q73" s="304">
        <f t="shared" si="4"/>
        <v>0.6</v>
      </c>
      <c r="R73" s="177">
        <f t="shared" si="5"/>
        <v>5.8758612180369596E-3</v>
      </c>
      <c r="S73" s="799">
        <f t="shared" si="6"/>
        <v>1</v>
      </c>
      <c r="T73" s="176">
        <f t="shared" si="7"/>
        <v>7</v>
      </c>
      <c r="U73" s="250">
        <f t="shared" si="8"/>
        <v>1.005875861218037</v>
      </c>
      <c r="V73" s="382">
        <f t="shared" si="9"/>
        <v>40.760396591800237</v>
      </c>
      <c r="W73" s="400">
        <f t="shared" si="10"/>
        <v>34.864159834960681</v>
      </c>
      <c r="X73" s="157">
        <f t="shared" si="11"/>
        <v>45350</v>
      </c>
      <c r="Y73" s="383">
        <f t="shared" si="12"/>
        <v>34.117822715215745</v>
      </c>
      <c r="Z73" s="383">
        <f t="shared" si="22"/>
        <v>35.362049952841119</v>
      </c>
      <c r="AA73" s="384">
        <f t="shared" si="13"/>
        <v>37.460779321909087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5.6024711900227703E-2</v>
      </c>
      <c r="AD73" s="230">
        <f>(INDEX(Models!$BJ73:$BT73,,AH73)*(1-AF73)+INDEX(Models!$BJ73:$BT73,,AH73+1)*AF73-ERP_i)*AE73*Ramure*Pc/MaxiM</f>
        <v>1.6933678753603585E-3</v>
      </c>
      <c r="AE73" s="304">
        <f t="shared" si="15"/>
        <v>0.6</v>
      </c>
      <c r="AF73" s="177">
        <f t="shared" si="23"/>
        <v>5.8758612180369596E-3</v>
      </c>
      <c r="AG73" s="799">
        <f t="shared" si="24"/>
        <v>1</v>
      </c>
      <c r="AH73" s="176">
        <f t="shared" si="16"/>
        <v>7</v>
      </c>
      <c r="AI73" s="224">
        <f t="shared" si="17"/>
        <v>1.005875861218037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'2023'!Wh/'2023'!Env_an*'2024'!Env_an</f>
        <v>40.450742425537292</v>
      </c>
      <c r="C74" s="829"/>
      <c r="D74" s="391">
        <f t="shared" si="0"/>
        <v>41.926725525315355</v>
      </c>
      <c r="E74" s="383">
        <f t="shared" si="1"/>
        <v>43.467748801482287</v>
      </c>
      <c r="F74" s="383">
        <f t="shared" si="2"/>
        <v>43.536536669232078</v>
      </c>
      <c r="G74" s="110">
        <f t="shared" si="21"/>
        <v>0.98383624219286525</v>
      </c>
      <c r="H74" s="412" t="b">
        <f>Wh_hp&gt;='2023'!Maxi_hp</f>
        <v>0</v>
      </c>
      <c r="I74" s="388">
        <f>IF(H74,Wh_hp,'2023'!Maxi_hp)</f>
        <v>43.537458266027507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3.5203872501010536E-2</v>
      </c>
      <c r="M74" s="832"/>
      <c r="N74" s="832"/>
      <c r="O74" s="48">
        <f>IF(t&lt;Tnet,'2023'!Resal+('2023'!Salim-'2023'!Resal)*(1-EXP(('2023'!Tnet-t)/('2023'!Tau_j))),Resal+(Salim-Resal)*(1-EXP((Tnet-t)/(Tau_j))))*Salcycl</f>
        <v>3.5452106875946292E-2</v>
      </c>
      <c r="P74" s="169">
        <f>(INDEX(Models!$BJ74:$BT74,,T74)*(1-R74)+INDEX(Models!$BJ74:$BT74,,T74+1)*R74-ERP_i)*Q74*Ramure*Pc/MaxiM</f>
        <v>1.61726272939159E-3</v>
      </c>
      <c r="Q74" s="304">
        <f t="shared" si="4"/>
        <v>0.6</v>
      </c>
      <c r="R74" s="177">
        <f t="shared" si="5"/>
        <v>6.1839656630957585E-3</v>
      </c>
      <c r="S74" s="799">
        <f t="shared" si="6"/>
        <v>1</v>
      </c>
      <c r="T74" s="176">
        <f t="shared" si="7"/>
        <v>7</v>
      </c>
      <c r="U74" s="250">
        <f t="shared" si="8"/>
        <v>1.0061839656630958</v>
      </c>
      <c r="V74" s="382">
        <f t="shared" si="9"/>
        <v>41.113786147076944</v>
      </c>
      <c r="W74" s="400">
        <f t="shared" si="10"/>
        <v>40.450742425537292</v>
      </c>
      <c r="X74" s="157">
        <f t="shared" si="11"/>
        <v>45351</v>
      </c>
      <c r="Y74" s="383">
        <f t="shared" si="12"/>
        <v>39.585622278335464</v>
      </c>
      <c r="Z74" s="383">
        <f t="shared" si="22"/>
        <v>41.030038523218394</v>
      </c>
      <c r="AA74" s="384">
        <f t="shared" si="13"/>
        <v>43.467748801482287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5.6080895502478099E-2</v>
      </c>
      <c r="AD74" s="230">
        <f>(INDEX(Models!$BJ74:$BT74,,AH74)*(1-AF74)+INDEX(Models!$BJ74:$BT74,,AH74+1)*AF74-ERP_i)*AE74*Ramure*Pc/MaxiM</f>
        <v>1.61726272939159E-3</v>
      </c>
      <c r="AE74" s="304">
        <f t="shared" si="15"/>
        <v>0.6</v>
      </c>
      <c r="AF74" s="177">
        <f t="shared" si="23"/>
        <v>6.1839656630957585E-3</v>
      </c>
      <c r="AG74" s="799">
        <f t="shared" si="24"/>
        <v>1</v>
      </c>
      <c r="AH74" s="176">
        <f t="shared" si="16"/>
        <v>7</v>
      </c>
      <c r="AI74" s="224">
        <f t="shared" si="17"/>
        <v>1.0061839656630958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'2023'!Wh/'2023'!Env_an*'2024'!Env_an</f>
        <v>11.786469108116931</v>
      </c>
      <c r="C75" s="829"/>
      <c r="D75" s="391">
        <f t="shared" si="0"/>
        <v>12.216772706159027</v>
      </c>
      <c r="E75" s="383">
        <f t="shared" si="1"/>
        <v>12.666813864662547</v>
      </c>
      <c r="F75" s="383">
        <f t="shared" si="2"/>
        <v>12.666813864662547</v>
      </c>
      <c r="G75" s="110">
        <f t="shared" si="21"/>
        <v>0.28379490095916704</v>
      </c>
      <c r="H75" s="412" t="b">
        <f>Wh_hp&gt;='2023'!Maxi_hp</f>
        <v>0</v>
      </c>
      <c r="I75" s="388">
        <f>IF(H75,Wh_hp,'2023'!Maxi_hp)</f>
        <v>30.966593074683484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3.5222362598688717E-2</v>
      </c>
      <c r="M75" s="832"/>
      <c r="N75" s="832"/>
      <c r="O75" s="48">
        <f>IF(t&lt;Tnet,'2023'!Resal+('2023'!Salim-'2023'!Resal)*(1-EXP(('2023'!Tnet-t)/('2023'!Tau_j))),Resal+(Salim-Resal)*(1-EXP((Tnet-t)/(Tau_j))))*Salcycl</f>
        <v>3.5529152264487732E-2</v>
      </c>
      <c r="P75" s="169">
        <f>(INDEX(Models!$BJ75:$BT75,,T75)*(1-R75)+INDEX(Models!$BJ75:$BT75,,T75+1)*R75-ERP_i)*Q75*Ramure*Pc/MaxiM</f>
        <v>1.5437949517320307E-3</v>
      </c>
      <c r="Q75" s="304">
        <f t="shared" si="4"/>
        <v>0.6</v>
      </c>
      <c r="R75" s="177">
        <f t="shared" si="5"/>
        <v>6.5045866323574231E-3</v>
      </c>
      <c r="S75" s="799">
        <f t="shared" si="6"/>
        <v>1</v>
      </c>
      <c r="T75" s="176">
        <f t="shared" si="7"/>
        <v>7</v>
      </c>
      <c r="U75" s="250">
        <f t="shared" si="8"/>
        <v>1.0065045866323574</v>
      </c>
      <c r="V75" s="382">
        <f t="shared" si="9"/>
        <v>41.467528756981842</v>
      </c>
      <c r="W75" s="400">
        <f t="shared" si="10"/>
        <v>11.786469108116931</v>
      </c>
      <c r="X75" s="157">
        <f t="shared" si="11"/>
        <v>45352</v>
      </c>
      <c r="Y75" s="383">
        <f t="shared" si="12"/>
        <v>11.534627382925015</v>
      </c>
      <c r="Z75" s="383">
        <f t="shared" si="22"/>
        <v>11.955736675234569</v>
      </c>
      <c r="AA75" s="384">
        <f t="shared" si="13"/>
        <v>12.666813864662547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5.6137020487189625E-2</v>
      </c>
      <c r="AD75" s="230">
        <f>(INDEX(Models!$BJ75:$BT75,,AH75)*(1-AF75)+INDEX(Models!$BJ75:$BT75,,AH75+1)*AF75-ERP_i)*AE75*Ramure*Pc/MaxiM</f>
        <v>1.5437949517320307E-3</v>
      </c>
      <c r="AE75" s="304">
        <f t="shared" si="15"/>
        <v>0.6</v>
      </c>
      <c r="AF75" s="177">
        <f t="shared" si="23"/>
        <v>6.5045866323574231E-3</v>
      </c>
      <c r="AG75" s="799">
        <f t="shared" si="24"/>
        <v>1</v>
      </c>
      <c r="AH75" s="176">
        <f t="shared" si="16"/>
        <v>7</v>
      </c>
      <c r="AI75" s="224">
        <f t="shared" si="17"/>
        <v>1.0065045866323574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'2023'!Wh/'2023'!Env_an*'2024'!Env_an</f>
        <v>36.165802003802881</v>
      </c>
      <c r="C76" s="829"/>
      <c r="D76" s="391">
        <f t="shared" si="0"/>
        <v>37.486871300051881</v>
      </c>
      <c r="E76" s="383">
        <f t="shared" si="1"/>
        <v>38.870913845591041</v>
      </c>
      <c r="F76" s="383">
        <f t="shared" si="2"/>
        <v>38.917160837212236</v>
      </c>
      <c r="G76" s="110">
        <f t="shared" si="21"/>
        <v>0.8645168443327429</v>
      </c>
      <c r="H76" s="412" t="b">
        <f>Wh_hp&gt;='2023'!Maxi_hp</f>
        <v>0</v>
      </c>
      <c r="I76" s="388">
        <f>IF(H76,Wh_hp,'2023'!Maxi_hp)</f>
        <v>38.923472241989082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3.5240852342008355E-2</v>
      </c>
      <c r="M76" s="832"/>
      <c r="N76" s="832"/>
      <c r="O76" s="48">
        <f>IF(t&lt;Tnet,'2023'!Resal+('2023'!Salim-'2023'!Resal)*(1-EXP(('2023'!Tnet-t)/('2023'!Tau_j))),Resal+(Salim-Resal)*(1-EXP((Tnet-t)/(Tau_j))))*Salcycl</f>
        <v>3.5606123155145379E-2</v>
      </c>
      <c r="P76" s="169">
        <f>(INDEX(Models!$BJ76:$BT76,,T76)*(1-R76)+INDEX(Models!$BJ76:$BT76,,T76+1)*R76-ERP_i)*Q76*Ramure*Pc/MaxiM</f>
        <v>1.4729024276284391E-3</v>
      </c>
      <c r="Q76" s="304">
        <f t="shared" si="4"/>
        <v>0.6</v>
      </c>
      <c r="R76" s="177">
        <f t="shared" si="5"/>
        <v>6.8382150422152677E-3</v>
      </c>
      <c r="S76" s="799">
        <f t="shared" si="6"/>
        <v>1</v>
      </c>
      <c r="T76" s="176">
        <f t="shared" si="7"/>
        <v>7</v>
      </c>
      <c r="U76" s="250">
        <f t="shared" si="8"/>
        <v>1.0068382150422153</v>
      </c>
      <c r="V76" s="382">
        <f t="shared" si="9"/>
        <v>41.821624099960317</v>
      </c>
      <c r="W76" s="400">
        <f t="shared" si="10"/>
        <v>36.165802003802881</v>
      </c>
      <c r="X76" s="157">
        <f t="shared" si="11"/>
        <v>45353</v>
      </c>
      <c r="Y76" s="383">
        <f t="shared" si="12"/>
        <v>35.393768595274047</v>
      </c>
      <c r="Z76" s="383">
        <f t="shared" si="22"/>
        <v>36.686636950988706</v>
      </c>
      <c r="AA76" s="384">
        <f t="shared" si="13"/>
        <v>38.870913845591041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5.6193093460036779E-2</v>
      </c>
      <c r="AD76" s="230">
        <f>(INDEX(Models!$BJ76:$BT76,,AH76)*(1-AF76)+INDEX(Models!$BJ76:$BT76,,AH76+1)*AF76-ERP_i)*AE76*Ramure*Pc/MaxiM</f>
        <v>1.4729024276284391E-3</v>
      </c>
      <c r="AE76" s="304">
        <f t="shared" si="15"/>
        <v>0.6</v>
      </c>
      <c r="AF76" s="177">
        <f t="shared" si="23"/>
        <v>6.8382150422152677E-3</v>
      </c>
      <c r="AG76" s="799">
        <f t="shared" si="24"/>
        <v>1</v>
      </c>
      <c r="AH76" s="176">
        <f t="shared" si="16"/>
        <v>7</v>
      </c>
      <c r="AI76" s="224">
        <f t="shared" si="17"/>
        <v>1.0068382150422153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'2023'!Wh/'2023'!Env_an*'2024'!Env_an</f>
        <v>3.8863163489757526</v>
      </c>
      <c r="C77" s="829"/>
      <c r="D77" s="391">
        <f t="shared" si="0"/>
        <v>4.0283534395126841</v>
      </c>
      <c r="E77" s="383">
        <f t="shared" si="1"/>
        <v>4.1774162872885574</v>
      </c>
      <c r="F77" s="383">
        <f t="shared" si="2"/>
        <v>4.1774162872885574</v>
      </c>
      <c r="G77" s="110">
        <f t="shared" si="21"/>
        <v>9.2015632407929843E-2</v>
      </c>
      <c r="H77" s="412" t="b">
        <f>Wh_hp&gt;='2023'!Maxi_hp</f>
        <v>0</v>
      </c>
      <c r="I77" s="388">
        <f>IF(H77,Wh_hp,'2023'!Maxi_hp)</f>
        <v>32.038386239307918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3.5259341730976335E-2</v>
      </c>
      <c r="M77" s="832"/>
      <c r="N77" s="832"/>
      <c r="O77" s="48">
        <f>IF(t&lt;Tnet,'2023'!Resal+('2023'!Salim-'2023'!Resal)*(1-EXP(('2023'!Tnet-t)/('2023'!Tau_j))),Resal+(Salim-Resal)*(1-EXP((Tnet-t)/(Tau_j))))*Salcycl</f>
        <v>3.5683024511934801E-2</v>
      </c>
      <c r="P77" s="169">
        <f>(INDEX(Models!$BJ77:$BT77,,T77)*(1-R77)+INDEX(Models!$BJ77:$BT77,,T77+1)*R77-ERP_i)*Q77*Ramure*Pc/MaxiM</f>
        <v>1.4045249620203253E-3</v>
      </c>
      <c r="Q77" s="304">
        <f t="shared" si="4"/>
        <v>0.6</v>
      </c>
      <c r="R77" s="177">
        <f t="shared" si="5"/>
        <v>7.1853595873134779E-3</v>
      </c>
      <c r="S77" s="799">
        <f t="shared" si="6"/>
        <v>1</v>
      </c>
      <c r="T77" s="176">
        <f t="shared" si="7"/>
        <v>7</v>
      </c>
      <c r="U77" s="250">
        <f t="shared" si="8"/>
        <v>1.0071853595873135</v>
      </c>
      <c r="V77" s="382">
        <f t="shared" si="9"/>
        <v>42.176071816236941</v>
      </c>
      <c r="W77" s="400">
        <f t="shared" si="10"/>
        <v>3.8863163489757526</v>
      </c>
      <c r="X77" s="157">
        <f t="shared" si="11"/>
        <v>45354</v>
      </c>
      <c r="Y77" s="383">
        <f t="shared" si="12"/>
        <v>3.8034324388241196</v>
      </c>
      <c r="Z77" s="383">
        <f t="shared" si="22"/>
        <v>3.9424402881997223</v>
      </c>
      <c r="AA77" s="384">
        <f t="shared" si="13"/>
        <v>4.1774162872885574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5.6249122167652418E-2</v>
      </c>
      <c r="AD77" s="230">
        <f>(INDEX(Models!$BJ77:$BT77,,AH77)*(1-AF77)+INDEX(Models!$BJ77:$BT77,,AH77+1)*AF77-ERP_i)*AE77*Ramure*Pc/MaxiM</f>
        <v>1.4045249620203253E-3</v>
      </c>
      <c r="AE77" s="304">
        <f t="shared" si="15"/>
        <v>0.6</v>
      </c>
      <c r="AF77" s="177">
        <f t="shared" si="23"/>
        <v>7.1853595873134779E-3</v>
      </c>
      <c r="AG77" s="799">
        <f t="shared" si="24"/>
        <v>1</v>
      </c>
      <c r="AH77" s="176">
        <f t="shared" si="16"/>
        <v>7</v>
      </c>
      <c r="AI77" s="224">
        <f t="shared" si="17"/>
        <v>1.0071853595873135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'2023'!Wh/'2023'!Env_an*'2024'!Env_an</f>
        <v>13.381747037392994</v>
      </c>
      <c r="C78" s="829"/>
      <c r="D78" s="391">
        <f t="shared" si="0"/>
        <v>13.871088966487305</v>
      </c>
      <c r="E78" s="383">
        <f t="shared" si="1"/>
        <v>14.385512924118897</v>
      </c>
      <c r="F78" s="383">
        <f t="shared" si="2"/>
        <v>14.385915563861611</v>
      </c>
      <c r="G78" s="110">
        <f t="shared" si="21"/>
        <v>0.31422370963274471</v>
      </c>
      <c r="H78" s="412" t="b">
        <f>Wh_hp&gt;='2023'!Maxi_hp</f>
        <v>0</v>
      </c>
      <c r="I78" s="388">
        <f>IF(H78,Wh_hp,'2023'!Maxi_hp)</f>
        <v>38.035034481034316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3.5277830765599316E-2</v>
      </c>
      <c r="M78" s="832"/>
      <c r="N78" s="832"/>
      <c r="O78" s="48">
        <f>IF(t&lt;Tnet,'2023'!Resal+('2023'!Salim-'2023'!Resal)*(1-EXP(('2023'!Tnet-t)/('2023'!Tau_j))),Resal+(Salim-Resal)*(1-EXP((Tnet-t)/(Tau_j))))*Salcycl</f>
        <v>3.575986204628856E-2</v>
      </c>
      <c r="P78" s="169">
        <f>(INDEX(Models!$BJ78:$BT78,,T78)*(1-R78)+INDEX(Models!$BJ78:$BT78,,T78+1)*R78-ERP_i)*Q78*Ramure*Pc/MaxiM</f>
        <v>1.3386041167721104E-3</v>
      </c>
      <c r="Q78" s="304">
        <f t="shared" si="4"/>
        <v>0.6</v>
      </c>
      <c r="R78" s="177">
        <f t="shared" si="5"/>
        <v>7.5465472592091132E-3</v>
      </c>
      <c r="S78" s="799">
        <f t="shared" si="6"/>
        <v>1</v>
      </c>
      <c r="T78" s="176">
        <f t="shared" si="7"/>
        <v>7</v>
      </c>
      <c r="U78" s="250">
        <f t="shared" si="8"/>
        <v>1.0075465472592091</v>
      </c>
      <c r="V78" s="382">
        <f t="shared" si="9"/>
        <v>42.530871508893597</v>
      </c>
      <c r="W78" s="400">
        <f t="shared" si="10"/>
        <v>13.381747037392994</v>
      </c>
      <c r="X78" s="157">
        <f t="shared" si="11"/>
        <v>45355</v>
      </c>
      <c r="Y78" s="383">
        <f t="shared" si="12"/>
        <v>13.096619532646381</v>
      </c>
      <c r="Z78" s="383">
        <f t="shared" si="22"/>
        <v>13.575534957426967</v>
      </c>
      <c r="AA78" s="384">
        <f t="shared" si="13"/>
        <v>14.385512924118897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5.6305115498100404E-2</v>
      </c>
      <c r="AD78" s="230">
        <f>(INDEX(Models!$BJ78:$BT78,,AH78)*(1-AF78)+INDEX(Models!$BJ78:$BT78,,AH78+1)*AF78-ERP_i)*AE78*Ramure*Pc/MaxiM</f>
        <v>1.3386041167721104E-3</v>
      </c>
      <c r="AE78" s="304">
        <f t="shared" si="15"/>
        <v>0.6</v>
      </c>
      <c r="AF78" s="177">
        <f t="shared" si="23"/>
        <v>7.5465472592091132E-3</v>
      </c>
      <c r="AG78" s="799">
        <f t="shared" si="24"/>
        <v>1</v>
      </c>
      <c r="AH78" s="176">
        <f t="shared" si="16"/>
        <v>7</v>
      </c>
      <c r="AI78" s="224">
        <f t="shared" si="17"/>
        <v>1.0075465472592091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'2023'!Wh/'2023'!Env_an*'2024'!Env_an</f>
        <v>16.13338689312782</v>
      </c>
      <c r="C79" s="829"/>
      <c r="D79" s="391">
        <f t="shared" ref="D79:D142" si="25">Wh/(1-Ppv)</f>
        <v>16.723670924382677</v>
      </c>
      <c r="E79" s="383">
        <f t="shared" si="1"/>
        <v>17.345267053946905</v>
      </c>
      <c r="F79" s="383">
        <f t="shared" ref="F79:F142" si="26">Wh_sa/(1-Pvg*MEDIAN((-Sdif+Wh/Env_an)/Csdif,0,1))</f>
        <v>17.347674328762249</v>
      </c>
      <c r="G79" s="110">
        <f t="shared" si="21"/>
        <v>0.37575498038693989</v>
      </c>
      <c r="H79" s="412" t="b">
        <f>Wh_hp&gt;='2023'!Maxi_hp</f>
        <v>0</v>
      </c>
      <c r="I79" s="388">
        <f>IF(H79,Wh_hp,'2023'!Maxi_hp)</f>
        <v>17.358899888574093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3.5296319445884183E-2</v>
      </c>
      <c r="M79" s="832"/>
      <c r="N79" s="832"/>
      <c r="O79" s="48">
        <f>IF(t&lt;Tnet,'2023'!Resal+('2023'!Salim-'2023'!Resal)*(1-EXP(('2023'!Tnet-t)/('2023'!Tau_j))),Resal+(Salim-Resal)*(1-EXP((Tnet-t)/(Tau_j))))*Salcycl</f>
        <v>3.5836642216631923E-2</v>
      </c>
      <c r="P79" s="169">
        <f>(INDEX(Models!$BJ79:$BT79,,T79)*(1-R79)+INDEX(Models!$BJ79:$BT79,,T79+1)*R79-ERP_i)*Q79*Ramure*Pc/MaxiM</f>
        <v>1.2750502179220081E-3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7.922323869107295E-3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1.0079223238691073</v>
      </c>
      <c r="V79" s="382">
        <f t="shared" ref="V79:V142" si="33">MaxiM*(1-Ppv)*(1-Pvg)*(1-Psa)</f>
        <v>42.887128804811994</v>
      </c>
      <c r="W79" s="400">
        <f t="shared" ref="W79:W142" si="34">Wh*(A79&gt;Tmaj)</f>
        <v>16.13338689312782</v>
      </c>
      <c r="X79" s="157">
        <f t="shared" ref="X79:X142" si="35">t</f>
        <v>45356</v>
      </c>
      <c r="Y79" s="383">
        <f t="shared" ref="Y79:Y142" si="36">Wh_pvt_s*(1-Ppv)</f>
        <v>15.789950535693393</v>
      </c>
      <c r="Z79" s="383">
        <f t="shared" ref="Z79:Z142" si="37">Wh_sa_s*(1-Psa_s)</f>
        <v>16.367669009642224</v>
      </c>
      <c r="AA79" s="384">
        <f t="shared" ref="AA79:AA142" si="38">Wh_hp*(1-Pvg_s*MEDIAN((-Sdif+Wh/Env_an)/Csdif,0,1))</f>
        <v>17.345267053946905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5.636108347390538E-2</v>
      </c>
      <c r="AD79" s="230">
        <f>(INDEX(Models!$BJ79:$BT79,,AH79)*(1-AF79)+INDEX(Models!$BJ79:$BT79,,AH79+1)*AF79-ERP_i)*AE79*Ramure*Pc/MaxiM</f>
        <v>1.2750502179220081E-3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7.922323869107295E-3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1.0079223238691073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'2023'!Wh/'2023'!Env_an*'2024'!Env_an</f>
        <v>39.742037887725537</v>
      </c>
      <c r="C80" s="829"/>
      <c r="D80" s="391">
        <f t="shared" si="25"/>
        <v>41.196898436817676</v>
      </c>
      <c r="E80" s="383">
        <f t="shared" ref="E80:E143" si="47">Wh_pvt/(1-Psa)</f>
        <v>42.731531845662332</v>
      </c>
      <c r="F80" s="383">
        <f t="shared" si="26"/>
        <v>42.777499567526405</v>
      </c>
      <c r="G80" s="110">
        <f t="shared" ref="G80:G143" si="48">+Wh_hp/MaxiM</f>
        <v>0.9188562855140836</v>
      </c>
      <c r="H80" s="412" t="b">
        <f>Wh_hp&gt;='2023'!Maxi_hp</f>
        <v>0</v>
      </c>
      <c r="I80" s="388">
        <f>IF(H80,Wh_hp,'2023'!Maxi_hp)</f>
        <v>42.780921418940942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3.5314807771837708E-2</v>
      </c>
      <c r="M80" s="832"/>
      <c r="N80" s="832"/>
      <c r="O80" s="48">
        <f>IF(t&lt;Tnet,'2023'!Resal+('2023'!Salim-'2023'!Resal)*(1-EXP(('2023'!Tnet-t)/('2023'!Tau_j))),Resal+(Salim-Resal)*(1-EXP((Tnet-t)/(Tau_j))))*Salcycl</f>
        <v>3.5913372223290357E-2</v>
      </c>
      <c r="P80" s="169">
        <f>(INDEX(Models!$BJ80:$BT80,,T80)*(1-R80)+INDEX(Models!$BJ80:$BT80,,T80+1)*R80-ERP_i)*Q80*Ramure*Pc/MaxiM</f>
        <v>1.2152203340143259E-3</v>
      </c>
      <c r="Q80" s="304">
        <f t="shared" si="28"/>
        <v>0.6</v>
      </c>
      <c r="R80" s="177">
        <f t="shared" si="29"/>
        <v>8.3132545735429275E-3</v>
      </c>
      <c r="S80" s="799">
        <f t="shared" si="30"/>
        <v>1</v>
      </c>
      <c r="T80" s="176">
        <f t="shared" si="31"/>
        <v>7</v>
      </c>
      <c r="U80" s="250">
        <f t="shared" si="32"/>
        <v>1.0083132545735429</v>
      </c>
      <c r="V80" s="382">
        <f t="shared" si="33"/>
        <v>43.245546722692595</v>
      </c>
      <c r="W80" s="400">
        <f t="shared" si="34"/>
        <v>39.742037887725537</v>
      </c>
      <c r="X80" s="157">
        <f t="shared" si="35"/>
        <v>45357</v>
      </c>
      <c r="Y80" s="383">
        <f t="shared" si="36"/>
        <v>38.896826048489515</v>
      </c>
      <c r="Z80" s="383">
        <f t="shared" si="37"/>
        <v>40.320745422295069</v>
      </c>
      <c r="AA80" s="384">
        <f t="shared" si="38"/>
        <v>42.731531845662332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5.6417037237853712E-2</v>
      </c>
      <c r="AD80" s="230">
        <f>(INDEX(Models!$BJ80:$BT80,,AH80)*(1-AF80)+INDEX(Models!$BJ80:$BT80,,AH80+1)*AF80-ERP_i)*AE80*Ramure*Pc/MaxiM</f>
        <v>1.2152203340143259E-3</v>
      </c>
      <c r="AE80" s="304">
        <f t="shared" si="40"/>
        <v>0.6</v>
      </c>
      <c r="AF80" s="177">
        <f t="shared" si="41"/>
        <v>8.3132545735429275E-3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1.0083132545735429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'2023'!Wh/'2023'!Env_an*'2024'!Env_an</f>
        <v>32.389327643037198</v>
      </c>
      <c r="C81" s="829"/>
      <c r="D81" s="391">
        <f t="shared" si="25"/>
        <v>33.575666600828299</v>
      </c>
      <c r="E81" s="383">
        <f t="shared" si="47"/>
        <v>34.829170538209333</v>
      </c>
      <c r="F81" s="383">
        <f t="shared" si="26"/>
        <v>34.854722480542378</v>
      </c>
      <c r="G81" s="110">
        <f t="shared" si="48"/>
        <v>0.74246223082818041</v>
      </c>
      <c r="H81" s="412" t="b">
        <f>Wh_hp&gt;='2023'!Maxi_hp</f>
        <v>0</v>
      </c>
      <c r="I81" s="388">
        <f>IF(H81,Wh_hp,'2023'!Maxi_hp)</f>
        <v>34.863147641201927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3.5333295743466664E-2</v>
      </c>
      <c r="M81" s="832"/>
      <c r="N81" s="832"/>
      <c r="O81" s="48">
        <f>IF(t&lt;Tnet,'2023'!Resal+('2023'!Salim-'2023'!Resal)*(1-EXP(('2023'!Tnet-t)/('2023'!Tau_j))),Resal+(Salim-Resal)*(1-EXP((Tnet-t)/(Tau_j))))*Salcycl</f>
        <v>3.5990059998870054E-2</v>
      </c>
      <c r="P81" s="169">
        <f>(INDEX(Models!$BJ81:$BT81,,T81)*(1-R81)+INDEX(Models!$BJ81:$BT81,,T81+1)*R81-ERP_i)*Q81*Ramure*Pc/MaxiM</f>
        <v>1.1589735284727046E-3</v>
      </c>
      <c r="Q81" s="304">
        <f t="shared" si="28"/>
        <v>0.6</v>
      </c>
      <c r="R81" s="177">
        <f t="shared" si="29"/>
        <v>8.7199244017530653E-3</v>
      </c>
      <c r="S81" s="799">
        <f t="shared" si="30"/>
        <v>1</v>
      </c>
      <c r="T81" s="176">
        <f t="shared" si="31"/>
        <v>7</v>
      </c>
      <c r="U81" s="250">
        <f t="shared" si="32"/>
        <v>1.0087199244017531</v>
      </c>
      <c r="V81" s="382">
        <f t="shared" si="33"/>
        <v>43.605617055012814</v>
      </c>
      <c r="W81" s="400">
        <f t="shared" si="34"/>
        <v>32.389327643037198</v>
      </c>
      <c r="X81" s="157">
        <f t="shared" si="35"/>
        <v>45358</v>
      </c>
      <c r="Y81" s="383">
        <f t="shared" si="36"/>
        <v>31.701131108946196</v>
      </c>
      <c r="Z81" s="383">
        <f t="shared" si="37"/>
        <v>32.862263172416831</v>
      </c>
      <c r="AA81" s="384">
        <f t="shared" si="38"/>
        <v>34.829170538209333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5.6472989031843349E-2</v>
      </c>
      <c r="AD81" s="230">
        <f>(INDEX(Models!$BJ81:$BT81,,AH81)*(1-AF81)+INDEX(Models!$BJ81:$BT81,,AH81+1)*AF81-ERP_i)*AE81*Ramure*Pc/MaxiM</f>
        <v>1.1589735284727046E-3</v>
      </c>
      <c r="AE81" s="304">
        <f t="shared" si="40"/>
        <v>0.6</v>
      </c>
      <c r="AF81" s="177">
        <f t="shared" si="41"/>
        <v>8.7199244017530653E-3</v>
      </c>
      <c r="AG81" s="799">
        <f t="shared" si="49"/>
        <v>1</v>
      </c>
      <c r="AH81" s="176">
        <f t="shared" si="42"/>
        <v>7</v>
      </c>
      <c r="AI81" s="224">
        <f t="shared" si="43"/>
        <v>1.0087199244017531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'2023'!Wh/'2023'!Env_an*'2024'!Env_an</f>
        <v>31.578338202834583</v>
      </c>
      <c r="C82" s="829"/>
      <c r="D82" s="391">
        <f t="shared" si="25"/>
        <v>32.735600043766901</v>
      </c>
      <c r="E82" s="383">
        <f t="shared" si="47"/>
        <v>33.960441584299787</v>
      </c>
      <c r="F82" s="383">
        <f t="shared" si="26"/>
        <v>33.98290266584695</v>
      </c>
      <c r="G82" s="110">
        <f t="shared" si="48"/>
        <v>0.71791094376091824</v>
      </c>
      <c r="H82" s="412" t="b">
        <f>Wh_hp&gt;='2023'!Maxi_hp</f>
        <v>0</v>
      </c>
      <c r="I82" s="388">
        <f>IF(H82,Wh_hp,'2023'!Maxi_hp)</f>
        <v>45.223150143497143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3.5351783360777933E-2</v>
      </c>
      <c r="M82" s="832"/>
      <c r="N82" s="832"/>
      <c r="O82" s="48">
        <f>IF(t&lt;Tnet,'2023'!Resal+('2023'!Salim-'2023'!Resal)*(1-EXP(('2023'!Tnet-t)/('2023'!Tau_j))),Resal+(Salim-Resal)*(1-EXP((Tnet-t)/(Tau_j))))*Salcycl</f>
        <v>3.6066714194291971E-2</v>
      </c>
      <c r="P82" s="169">
        <f>(INDEX(Models!$BJ82:$BT82,,T82)*(1-R82)+INDEX(Models!$BJ82:$BT82,,T82+1)*R82-ERP_i)*Q82*Ramure*Pc/MaxiM</f>
        <v>1.1062468166091457E-3</v>
      </c>
      <c r="Q82" s="304">
        <f t="shared" si="28"/>
        <v>0.6</v>
      </c>
      <c r="R82" s="177">
        <f t="shared" si="29"/>
        <v>9.1429387833399378E-3</v>
      </c>
      <c r="S82" s="799">
        <f t="shared" si="30"/>
        <v>1</v>
      </c>
      <c r="T82" s="176">
        <f t="shared" si="31"/>
        <v>7</v>
      </c>
      <c r="U82" s="250">
        <f t="shared" si="32"/>
        <v>1.0091429387833399</v>
      </c>
      <c r="V82" s="382">
        <f t="shared" si="33"/>
        <v>43.966828364526613</v>
      </c>
      <c r="W82" s="400">
        <f t="shared" si="34"/>
        <v>31.578338202834583</v>
      </c>
      <c r="X82" s="157">
        <f t="shared" si="35"/>
        <v>45359</v>
      </c>
      <c r="Y82" s="383">
        <f t="shared" si="36"/>
        <v>30.907997754308727</v>
      </c>
      <c r="Z82" s="383">
        <f t="shared" si="37"/>
        <v>32.040693406338718</v>
      </c>
      <c r="AA82" s="384">
        <f t="shared" si="38"/>
        <v>33.960441584299787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5.6528952169119726E-2</v>
      </c>
      <c r="AD82" s="230">
        <f>(INDEX(Models!$BJ82:$BT82,,AH82)*(1-AF82)+INDEX(Models!$BJ82:$BT82,,AH82+1)*AF82-ERP_i)*AE82*Ramure*Pc/MaxiM</f>
        <v>1.1062468166091457E-3</v>
      </c>
      <c r="AE82" s="304">
        <f t="shared" si="40"/>
        <v>0.6</v>
      </c>
      <c r="AF82" s="177">
        <f t="shared" si="41"/>
        <v>9.1429387833399378E-3</v>
      </c>
      <c r="AG82" s="799">
        <f t="shared" si="49"/>
        <v>1</v>
      </c>
      <c r="AH82" s="176">
        <f t="shared" si="42"/>
        <v>7</v>
      </c>
      <c r="AI82" s="224">
        <f t="shared" si="43"/>
        <v>1.0091429387833399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'2023'!Wh/'2023'!Env_an*'2024'!Env_an</f>
        <v>25.138053814284749</v>
      </c>
      <c r="C83" s="829"/>
      <c r="D83" s="391">
        <f t="shared" si="25"/>
        <v>26.059795845749314</v>
      </c>
      <c r="E83" s="383">
        <f t="shared" si="47"/>
        <v>27.037003570885815</v>
      </c>
      <c r="F83" s="383">
        <f t="shared" si="26"/>
        <v>27.047911639022889</v>
      </c>
      <c r="G83" s="110">
        <f t="shared" si="48"/>
        <v>0.56671258275797376</v>
      </c>
      <c r="H83" s="412" t="b">
        <f>Wh_hp&gt;='2023'!Maxi_hp</f>
        <v>0</v>
      </c>
      <c r="I83" s="388">
        <f>IF(H83,Wh_hp,'2023'!Maxi_hp)</f>
        <v>44.941946667610743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3.5370270623778177E-2</v>
      </c>
      <c r="M83" s="832"/>
      <c r="N83" s="832"/>
      <c r="O83" s="48">
        <f>IF(t&lt;Tnet,'2023'!Resal+('2023'!Salim-'2023'!Resal)*(1-EXP(('2023'!Tnet-t)/('2023'!Tau_j))),Resal+(Salim-Resal)*(1-EXP((Tnet-t)/(Tau_j))))*Salcycl</f>
        <v>3.6143344160696325E-2</v>
      </c>
      <c r="P83" s="169">
        <f>(INDEX(Models!$BJ83:$BT83,,T83)*(1-R83)+INDEX(Models!$BJ83:$BT83,,T83+1)*R83-ERP_i)*Q83*Ramure*Pc/MaxiM</f>
        <v>1.0569761802495564E-3</v>
      </c>
      <c r="Q83" s="304">
        <f t="shared" si="28"/>
        <v>0.6</v>
      </c>
      <c r="R83" s="177">
        <f t="shared" si="29"/>
        <v>9.5829240746767574E-3</v>
      </c>
      <c r="S83" s="799">
        <f t="shared" si="30"/>
        <v>1</v>
      </c>
      <c r="T83" s="176">
        <f t="shared" si="31"/>
        <v>7</v>
      </c>
      <c r="U83" s="250">
        <f t="shared" si="32"/>
        <v>1.0095829240746768</v>
      </c>
      <c r="V83" s="382">
        <f t="shared" si="33"/>
        <v>44.328669368462798</v>
      </c>
      <c r="W83" s="400">
        <f t="shared" si="34"/>
        <v>25.138053814284749</v>
      </c>
      <c r="X83" s="157">
        <f t="shared" si="35"/>
        <v>45360</v>
      </c>
      <c r="Y83" s="383">
        <f t="shared" si="36"/>
        <v>24.604922711967365</v>
      </c>
      <c r="Z83" s="383">
        <f t="shared" si="37"/>
        <v>25.50711631900268</v>
      </c>
      <c r="AA83" s="384">
        <f t="shared" si="38"/>
        <v>27.037003570885815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5.6584941000287409E-2</v>
      </c>
      <c r="AD83" s="230">
        <f>(INDEX(Models!$BJ83:$BT83,,AH83)*(1-AF83)+INDEX(Models!$BJ83:$BT83,,AH83+1)*AF83-ERP_i)*AE83*Ramure*Pc/MaxiM</f>
        <v>1.0569761802495564E-3</v>
      </c>
      <c r="AE83" s="304">
        <f t="shared" si="40"/>
        <v>0.6</v>
      </c>
      <c r="AF83" s="177">
        <f t="shared" si="41"/>
        <v>9.5829240746767574E-3</v>
      </c>
      <c r="AG83" s="799">
        <f t="shared" si="49"/>
        <v>1</v>
      </c>
      <c r="AH83" s="176">
        <f t="shared" si="42"/>
        <v>7</v>
      </c>
      <c r="AI83" s="224">
        <f t="shared" si="43"/>
        <v>1.0095829240746768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'2023'!Wh/'2023'!Env_an*'2024'!Env_an</f>
        <v>15.59019609030304</v>
      </c>
      <c r="C84" s="829"/>
      <c r="D84" s="391">
        <f t="shared" si="25"/>
        <v>16.162154662869685</v>
      </c>
      <c r="E84" s="383">
        <f t="shared" si="47"/>
        <v>16.769546982580525</v>
      </c>
      <c r="F84" s="383">
        <f t="shared" si="26"/>
        <v>16.770730257131486</v>
      </c>
      <c r="G84" s="110">
        <f t="shared" si="48"/>
        <v>0.34851896707698732</v>
      </c>
      <c r="H84" s="412" t="b">
        <f>Wh_hp&gt;='2023'!Maxi_hp</f>
        <v>0</v>
      </c>
      <c r="I84" s="388">
        <f>IF(H84,Wh_hp,'2023'!Maxi_hp)</f>
        <v>33.644561072825525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3.538875753247428E-2</v>
      </c>
      <c r="M84" s="832"/>
      <c r="N84" s="832"/>
      <c r="O84" s="48">
        <f>IF(t&lt;Tnet,'2023'!Resal+('2023'!Salim-'2023'!Resal)*(1-EXP(('2023'!Tnet-t)/('2023'!Tau_j))),Resal+(Salim-Resal)*(1-EXP((Tnet-t)/(Tau_j))))*Salcycl</f>
        <v>3.6219959927466905E-2</v>
      </c>
      <c r="P84" s="169">
        <f>(INDEX(Models!$BJ84:$BT84,,T84)*(1-R84)+INDEX(Models!$BJ84:$BT84,,T84+1)*R84-ERP_i)*Q84*Ramure*Pc/MaxiM</f>
        <v>1.0110970592158406E-3</v>
      </c>
      <c r="Q84" s="304">
        <f t="shared" si="28"/>
        <v>0.6</v>
      </c>
      <c r="R84" s="177">
        <f t="shared" si="29"/>
        <v>1.004052808234146E-2</v>
      </c>
      <c r="S84" s="799">
        <f t="shared" si="30"/>
        <v>1</v>
      </c>
      <c r="T84" s="176">
        <f t="shared" si="31"/>
        <v>7</v>
      </c>
      <c r="U84" s="250">
        <f t="shared" si="32"/>
        <v>1.0100405280823415</v>
      </c>
      <c r="V84" s="382">
        <f t="shared" si="33"/>
        <v>44.690628936851873</v>
      </c>
      <c r="W84" s="400">
        <f t="shared" si="34"/>
        <v>15.59019609030304</v>
      </c>
      <c r="X84" s="157">
        <f t="shared" si="35"/>
        <v>45361</v>
      </c>
      <c r="Y84" s="383">
        <f t="shared" si="36"/>
        <v>15.259863906843986</v>
      </c>
      <c r="Z84" s="383">
        <f t="shared" si="37"/>
        <v>15.819703560377816</v>
      </c>
      <c r="AA84" s="384">
        <f t="shared" si="38"/>
        <v>16.769546982580525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5.664097087353432E-2</v>
      </c>
      <c r="AD84" s="230">
        <f>(INDEX(Models!$BJ84:$BT84,,AH84)*(1-AF84)+INDEX(Models!$BJ84:$BT84,,AH84+1)*AF84-ERP_i)*AE84*Ramure*Pc/MaxiM</f>
        <v>1.0110970592158406E-3</v>
      </c>
      <c r="AE84" s="304">
        <f t="shared" si="40"/>
        <v>0.6</v>
      </c>
      <c r="AF84" s="177">
        <f t="shared" si="41"/>
        <v>1.004052808234146E-2</v>
      </c>
      <c r="AG84" s="799">
        <f t="shared" si="49"/>
        <v>1</v>
      </c>
      <c r="AH84" s="176">
        <f t="shared" si="42"/>
        <v>7</v>
      </c>
      <c r="AI84" s="224">
        <f t="shared" si="43"/>
        <v>1.0100405280823415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'2023'!Wh/'2023'!Env_an*'2024'!Env_an</f>
        <v>16.226393527483566</v>
      </c>
      <c r="C85" s="829"/>
      <c r="D85" s="391">
        <f t="shared" si="25"/>
        <v>16.822014708293068</v>
      </c>
      <c r="E85" s="383">
        <f t="shared" si="47"/>
        <v>17.455592895718798</v>
      </c>
      <c r="F85" s="383">
        <f t="shared" si="26"/>
        <v>17.457046223228314</v>
      </c>
      <c r="G85" s="110">
        <f t="shared" si="48"/>
        <v>0.35984987687498227</v>
      </c>
      <c r="H85" s="412" t="b">
        <f>Wh_hp&gt;='2023'!Maxi_hp</f>
        <v>0</v>
      </c>
      <c r="I85" s="388">
        <f>IF(H85,Wh_hp,'2023'!Maxi_hp)</f>
        <v>43.401527185164618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3.5407244086873013E-2</v>
      </c>
      <c r="M85" s="832"/>
      <c r="N85" s="832"/>
      <c r="O85" s="48">
        <f>IF(t&lt;Tnet,'2023'!Resal+('2023'!Salim-'2023'!Resal)*(1-EXP(('2023'!Tnet-t)/('2023'!Tau_j))),Resal+(Salim-Resal)*(1-EXP((Tnet-t)/(Tau_j))))*Salcycl</f>
        <v>3.6296572176653004E-2</v>
      </c>
      <c r="P85" s="169">
        <f>(INDEX(Models!$BJ85:$BT85,,T85)*(1-R85)+INDEX(Models!$BJ85:$BT85,,T85+1)*R85-ERP_i)*Q85*Ramure*Pc/MaxiM</f>
        <v>9.6854482010413966E-4</v>
      </c>
      <c r="Q85" s="304">
        <f t="shared" si="28"/>
        <v>0.6</v>
      </c>
      <c r="R85" s="177">
        <f t="shared" si="29"/>
        <v>1.0516420581696773E-2</v>
      </c>
      <c r="S85" s="799">
        <f t="shared" si="30"/>
        <v>1</v>
      </c>
      <c r="T85" s="176">
        <f t="shared" si="31"/>
        <v>7</v>
      </c>
      <c r="U85" s="250">
        <f t="shared" si="32"/>
        <v>1.0105164205816968</v>
      </c>
      <c r="V85" s="382">
        <f t="shared" si="33"/>
        <v>45.052196089445225</v>
      </c>
      <c r="W85" s="400">
        <f t="shared" si="34"/>
        <v>16.226393527483566</v>
      </c>
      <c r="X85" s="157">
        <f t="shared" si="35"/>
        <v>45362</v>
      </c>
      <c r="Y85" s="383">
        <f t="shared" si="36"/>
        <v>15.882899561376036</v>
      </c>
      <c r="Z85" s="383">
        <f t="shared" si="37"/>
        <v>16.465912131322785</v>
      </c>
      <c r="AA85" s="384">
        <f t="shared" si="38"/>
        <v>17.455592895718798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5.6697058089544686E-2</v>
      </c>
      <c r="AD85" s="230">
        <f>(INDEX(Models!$BJ85:$BT85,,AH85)*(1-AF85)+INDEX(Models!$BJ85:$BT85,,AH85+1)*AF85-ERP_i)*AE85*Ramure*Pc/MaxiM</f>
        <v>9.6854482010413966E-4</v>
      </c>
      <c r="AE85" s="304">
        <f t="shared" si="40"/>
        <v>0.6</v>
      </c>
      <c r="AF85" s="177">
        <f t="shared" si="41"/>
        <v>1.0516420581696773E-2</v>
      </c>
      <c r="AG85" s="799">
        <f t="shared" si="49"/>
        <v>1</v>
      </c>
      <c r="AH85" s="176">
        <f t="shared" si="42"/>
        <v>7</v>
      </c>
      <c r="AI85" s="224">
        <f t="shared" si="43"/>
        <v>1.0105164205816968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'2023'!Wh/'2023'!Env_an*'2024'!Env_an</f>
        <v>9.098782735148248</v>
      </c>
      <c r="C86" s="829"/>
      <c r="D86" s="391">
        <f t="shared" si="25"/>
        <v>9.4329519466192355</v>
      </c>
      <c r="E86" s="383">
        <f t="shared" si="47"/>
        <v>9.789009469644153</v>
      </c>
      <c r="F86" s="383">
        <f t="shared" si="26"/>
        <v>9.789009469644153</v>
      </c>
      <c r="G86" s="110">
        <f t="shared" si="48"/>
        <v>0.20017078081874162</v>
      </c>
      <c r="H86" s="412" t="b">
        <f>Wh_hp&gt;='2023'!Maxi_hp</f>
        <v>0</v>
      </c>
      <c r="I86" s="388">
        <f>IF(H86,Wh_hp,'2023'!Maxi_hp)</f>
        <v>43.4645843753053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3.542573028698115E-2</v>
      </c>
      <c r="M86" s="832"/>
      <c r="N86" s="832"/>
      <c r="O86" s="48">
        <f>IF(t&lt;Tnet,'2023'!Resal+('2023'!Salim-'2023'!Resal)*(1-EXP(('2023'!Tnet-t)/('2023'!Tau_j))),Resal+(Salim-Resal)*(1-EXP((Tnet-t)/(Tau_j))))*Salcycl</f>
        <v>3.6373192214090452E-2</v>
      </c>
      <c r="P86" s="169">
        <f>(INDEX(Models!$BJ86:$BT86,,T86)*(1-R86)+INDEX(Models!$BJ86:$BT86,,T86+1)*R86-ERP_i)*Q86*Ramure*Pc/MaxiM</f>
        <v>9.2944213794824663E-4</v>
      </c>
      <c r="Q86" s="304">
        <f t="shared" si="28"/>
        <v>0.6</v>
      </c>
      <c r="R86" s="177">
        <f t="shared" si="29"/>
        <v>1.101129382854249E-2</v>
      </c>
      <c r="S86" s="799">
        <f t="shared" si="30"/>
        <v>1</v>
      </c>
      <c r="T86" s="176">
        <f t="shared" si="31"/>
        <v>7</v>
      </c>
      <c r="U86" s="250">
        <f t="shared" si="32"/>
        <v>1.0110112938285425</v>
      </c>
      <c r="V86" s="382">
        <f t="shared" si="33"/>
        <v>45.41285149555182</v>
      </c>
      <c r="W86" s="400">
        <f t="shared" si="34"/>
        <v>9.098782735148248</v>
      </c>
      <c r="X86" s="157">
        <f t="shared" si="35"/>
        <v>45363</v>
      </c>
      <c r="Y86" s="383">
        <f t="shared" si="36"/>
        <v>8.906349894849658</v>
      </c>
      <c r="Z86" s="383">
        <f t="shared" si="37"/>
        <v>9.2334516630839474</v>
      </c>
      <c r="AA86" s="384">
        <f t="shared" si="38"/>
        <v>9.789009469644153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5.6753219851609915E-2</v>
      </c>
      <c r="AD86" s="230">
        <f>(INDEX(Models!$BJ86:$BT86,,AH86)*(1-AF86)+INDEX(Models!$BJ86:$BT86,,AH86+1)*AF86-ERP_i)*AE86*Ramure*Pc/MaxiM</f>
        <v>9.2944213794824663E-4</v>
      </c>
      <c r="AE86" s="304">
        <f t="shared" si="40"/>
        <v>0.6</v>
      </c>
      <c r="AF86" s="177">
        <f t="shared" si="41"/>
        <v>1.101129382854249E-2</v>
      </c>
      <c r="AG86" s="799">
        <f t="shared" si="49"/>
        <v>1</v>
      </c>
      <c r="AH86" s="176">
        <f t="shared" si="42"/>
        <v>7</v>
      </c>
      <c r="AI86" s="224">
        <f t="shared" si="43"/>
        <v>1.0110112938285425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'2023'!Wh/'2023'!Env_an*'2024'!Env_an</f>
        <v>14.660204506148336</v>
      </c>
      <c r="C87" s="829"/>
      <c r="D87" s="391">
        <f t="shared" si="25"/>
        <v>15.198918249570969</v>
      </c>
      <c r="E87" s="383">
        <f t="shared" si="47"/>
        <v>15.773873279617117</v>
      </c>
      <c r="F87" s="383">
        <f t="shared" si="26"/>
        <v>15.774281299914183</v>
      </c>
      <c r="G87" s="110">
        <f t="shared" si="48"/>
        <v>0.32000904954153547</v>
      </c>
      <c r="H87" s="412" t="b">
        <f>Wh_hp&gt;='2023'!Maxi_hp</f>
        <v>0</v>
      </c>
      <c r="I87" s="388">
        <f>IF(H87,Wh_hp,'2023'!Maxi_hp)</f>
        <v>41.9627960937136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3.5444216132805351E-2</v>
      </c>
      <c r="M87" s="832"/>
      <c r="N87" s="832"/>
      <c r="O87" s="48">
        <f>IF(t&lt;Tnet,'2023'!Resal+('2023'!Salim-'2023'!Resal)*(1-EXP(('2023'!Tnet-t)/('2023'!Tau_j))),Resal+(Salim-Resal)*(1-EXP((Tnet-t)/(Tau_j))))*Salcycl</f>
        <v>3.6449831937543253E-2</v>
      </c>
      <c r="P87" s="169">
        <f>(INDEX(Models!$BJ87:$BT87,,T87)*(1-R87)+INDEX(Models!$BJ87:$BT87,,T87+1)*R87-ERP_i)*Q87*Ramure*Pc/MaxiM</f>
        <v>8.9252459625014866E-4</v>
      </c>
      <c r="Q87" s="304">
        <f t="shared" si="28"/>
        <v>0.6</v>
      </c>
      <c r="R87" s="177">
        <f t="shared" si="29"/>
        <v>1.152586306158021E-2</v>
      </c>
      <c r="S87" s="799">
        <f t="shared" si="30"/>
        <v>1</v>
      </c>
      <c r="T87" s="176">
        <f t="shared" si="31"/>
        <v>7</v>
      </c>
      <c r="U87" s="250">
        <f t="shared" si="32"/>
        <v>1.0115258630615802</v>
      </c>
      <c r="V87" s="382">
        <f t="shared" si="33"/>
        <v>45.772139284093832</v>
      </c>
      <c r="W87" s="400">
        <f t="shared" si="34"/>
        <v>14.660204506148336</v>
      </c>
      <c r="X87" s="157">
        <f t="shared" si="35"/>
        <v>45364</v>
      </c>
      <c r="Y87" s="383">
        <f t="shared" si="36"/>
        <v>14.350437013701104</v>
      </c>
      <c r="Z87" s="383">
        <f t="shared" si="37"/>
        <v>14.877767832323682</v>
      </c>
      <c r="AA87" s="384">
        <f t="shared" si="38"/>
        <v>15.773873279617117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5.6809474211471978E-2</v>
      </c>
      <c r="AD87" s="230">
        <f>(INDEX(Models!$BJ87:$BT87,,AH87)*(1-AF87)+INDEX(Models!$BJ87:$BT87,,AH87+1)*AF87-ERP_i)*AE87*Ramure*Pc/MaxiM</f>
        <v>8.9252459625014866E-4</v>
      </c>
      <c r="AE87" s="304">
        <f t="shared" si="40"/>
        <v>0.6</v>
      </c>
      <c r="AF87" s="177">
        <f t="shared" si="41"/>
        <v>1.152586306158021E-2</v>
      </c>
      <c r="AG87" s="799">
        <f t="shared" si="49"/>
        <v>1</v>
      </c>
      <c r="AH87" s="176">
        <f t="shared" si="42"/>
        <v>7</v>
      </c>
      <c r="AI87" s="224">
        <f t="shared" si="43"/>
        <v>1.0115258630615802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'2023'!Wh/'2023'!Env_an*'2024'!Env_an</f>
        <v>13.954091503892975</v>
      </c>
      <c r="C88" s="829"/>
      <c r="D88" s="391">
        <f t="shared" si="25"/>
        <v>14.467135202954521</v>
      </c>
      <c r="E88" s="383">
        <f t="shared" si="47"/>
        <v>15.015602671009496</v>
      </c>
      <c r="F88" s="383">
        <f t="shared" si="26"/>
        <v>15.01564863121774</v>
      </c>
      <c r="G88" s="110">
        <f t="shared" si="48"/>
        <v>0.30223935285301706</v>
      </c>
      <c r="H88" s="412" t="b">
        <f>Wh_hp&gt;='2023'!Maxi_hp</f>
        <v>0</v>
      </c>
      <c r="I88" s="388">
        <f>IF(H88,Wh_hp,'2023'!Maxi_hp)</f>
        <v>33.906662518762403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3.5462701624352722E-2</v>
      </c>
      <c r="M88" s="832"/>
      <c r="N88" s="832"/>
      <c r="O88" s="48">
        <f>IF(t&lt;Tnet,'2023'!Resal+('2023'!Salim-'2023'!Resal)*(1-EXP(('2023'!Tnet-t)/('2023'!Tau_j))),Resal+(Salim-Resal)*(1-EXP((Tnet-t)/(Tau_j))))*Salcycl</f>
        <v>3.6526503802201446E-2</v>
      </c>
      <c r="P88" s="169">
        <f>(INDEX(Models!$BJ88:$BT88,,T88)*(1-R88)+INDEX(Models!$BJ88:$BT88,,T88+1)*R88-ERP_i)*Q88*Ramure*Pc/MaxiM</f>
        <v>8.5775173396458206E-4</v>
      </c>
      <c r="Q88" s="304">
        <f t="shared" si="28"/>
        <v>0.6</v>
      </c>
      <c r="R88" s="177">
        <f t="shared" si="29"/>
        <v>1.206086699321185E-2</v>
      </c>
      <c r="S88" s="799">
        <f t="shared" si="30"/>
        <v>1</v>
      </c>
      <c r="T88" s="176">
        <f t="shared" si="31"/>
        <v>7</v>
      </c>
      <c r="U88" s="250">
        <f t="shared" si="32"/>
        <v>1.0120608669932118</v>
      </c>
      <c r="V88" s="382">
        <f t="shared" si="33"/>
        <v>46.129548983508052</v>
      </c>
      <c r="W88" s="400">
        <f t="shared" si="34"/>
        <v>13.954091503892975</v>
      </c>
      <c r="X88" s="157">
        <f t="shared" si="35"/>
        <v>45365</v>
      </c>
      <c r="Y88" s="383">
        <f t="shared" si="36"/>
        <v>13.659514683967616</v>
      </c>
      <c r="Z88" s="383">
        <f t="shared" si="37"/>
        <v>14.161727811844351</v>
      </c>
      <c r="AA88" s="384">
        <f t="shared" si="38"/>
        <v>15.015602671009496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5.6865840011451216E-2</v>
      </c>
      <c r="AD88" s="230">
        <f>(INDEX(Models!$BJ88:$BT88,,AH88)*(1-AF88)+INDEX(Models!$BJ88:$BT88,,AH88+1)*AF88-ERP_i)*AE88*Ramure*Pc/MaxiM</f>
        <v>8.5775173396458206E-4</v>
      </c>
      <c r="AE88" s="304">
        <f t="shared" si="40"/>
        <v>0.6</v>
      </c>
      <c r="AF88" s="177">
        <f t="shared" si="41"/>
        <v>1.206086699321185E-2</v>
      </c>
      <c r="AG88" s="799">
        <f t="shared" si="49"/>
        <v>1</v>
      </c>
      <c r="AH88" s="176">
        <f t="shared" si="42"/>
        <v>7</v>
      </c>
      <c r="AI88" s="224">
        <f t="shared" si="43"/>
        <v>1.0120608669932118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'2023'!Wh/'2023'!Env_an*'2024'!Env_an</f>
        <v>13.926320029864447</v>
      </c>
      <c r="C89" s="829"/>
      <c r="D89" s="391">
        <f t="shared" si="25"/>
        <v>14.438619380690824</v>
      </c>
      <c r="E89" s="383">
        <f t="shared" si="47"/>
        <v>14.987199139734523</v>
      </c>
      <c r="F89" s="383">
        <f t="shared" si="26"/>
        <v>14.987199139734523</v>
      </c>
      <c r="G89" s="110">
        <f t="shared" si="48"/>
        <v>0.29934297709609581</v>
      </c>
      <c r="H89" s="412" t="b">
        <f>Wh_hp&gt;='2023'!Maxi_hp</f>
        <v>0</v>
      </c>
      <c r="I89" s="388">
        <f>IF(H89,Wh_hp,'2023'!Maxi_hp)</f>
        <v>50.695816320188271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3.5481186761629702E-2</v>
      </c>
      <c r="M89" s="832"/>
      <c r="N89" s="832"/>
      <c r="O89" s="48">
        <f>IF(t&lt;Tnet,'2023'!Resal+('2023'!Salim-'2023'!Resal)*(1-EXP(('2023'!Tnet-t)/('2023'!Tau_j))),Resal+(Salim-Resal)*(1-EXP((Tnet-t)/(Tau_j))))*Salcycl</f>
        <v>3.6603220783881382E-2</v>
      </c>
      <c r="P89" s="169">
        <f>(INDEX(Models!$BJ89:$BT89,,T89)*(1-R89)+INDEX(Models!$BJ89:$BT89,,T89+1)*R89-ERP_i)*Q89*Ramure*Pc/MaxiM</f>
        <v>8.2508334915019953E-4</v>
      </c>
      <c r="Q89" s="304">
        <f t="shared" si="28"/>
        <v>0.6</v>
      </c>
      <c r="R89" s="177">
        <f t="shared" si="29"/>
        <v>1.2617068285983635E-2</v>
      </c>
      <c r="S89" s="799">
        <f t="shared" si="30"/>
        <v>1</v>
      </c>
      <c r="T89" s="176">
        <f t="shared" si="31"/>
        <v>7</v>
      </c>
      <c r="U89" s="250">
        <f t="shared" si="32"/>
        <v>1.0126170682859836</v>
      </c>
      <c r="V89" s="382">
        <f t="shared" si="33"/>
        <v>46.484570274805193</v>
      </c>
      <c r="W89" s="400">
        <f t="shared" si="34"/>
        <v>13.926320029864447</v>
      </c>
      <c r="X89" s="157">
        <f t="shared" si="35"/>
        <v>45366</v>
      </c>
      <c r="Y89" s="383">
        <f t="shared" si="36"/>
        <v>13.632598357968439</v>
      </c>
      <c r="Z89" s="383">
        <f t="shared" si="37"/>
        <v>14.134092742262862</v>
      </c>
      <c r="AA89" s="384">
        <f t="shared" si="38"/>
        <v>14.987199139734523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5.6922336823421571E-2</v>
      </c>
      <c r="AD89" s="230">
        <f>(INDEX(Models!$BJ89:$BT89,,AH89)*(1-AF89)+INDEX(Models!$BJ89:$BT89,,AH89+1)*AF89-ERP_i)*AE89*Ramure*Pc/MaxiM</f>
        <v>8.2508334915019953E-4</v>
      </c>
      <c r="AE89" s="304">
        <f t="shared" si="40"/>
        <v>0.6</v>
      </c>
      <c r="AF89" s="177">
        <f t="shared" si="41"/>
        <v>1.2617068285983635E-2</v>
      </c>
      <c r="AG89" s="799">
        <f t="shared" si="49"/>
        <v>1</v>
      </c>
      <c r="AH89" s="176">
        <f t="shared" si="42"/>
        <v>7</v>
      </c>
      <c r="AI89" s="224">
        <f t="shared" si="43"/>
        <v>1.0126170682859836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'2023'!Wh/'2023'!Env_an*'2024'!Env_an</f>
        <v>11.695862788743904</v>
      </c>
      <c r="C90" s="829"/>
      <c r="D90" s="391">
        <f t="shared" si="25"/>
        <v>12.126344018435724</v>
      </c>
      <c r="E90" s="383">
        <f t="shared" si="47"/>
        <v>12.588074546741359</v>
      </c>
      <c r="F90" s="383">
        <f t="shared" si="26"/>
        <v>12.588074546741359</v>
      </c>
      <c r="G90" s="110">
        <f t="shared" si="48"/>
        <v>0.24951741712520589</v>
      </c>
      <c r="H90" s="412" t="b">
        <f>Wh_hp&gt;='2023'!Maxi_hp</f>
        <v>0</v>
      </c>
      <c r="I90" s="388">
        <f>IF(H90,Wh_hp,'2023'!Maxi_hp)</f>
        <v>27.308423529990701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3.5499671544643396E-2</v>
      </c>
      <c r="M90" s="832"/>
      <c r="N90" s="832"/>
      <c r="O90" s="48">
        <f>IF(t&lt;Tnet,'2023'!Resal+('2023'!Salim-'2023'!Resal)*(1-EXP(('2023'!Tnet-t)/('2023'!Tau_j))),Resal+(Salim-Resal)*(1-EXP((Tnet-t)/(Tau_j))))*Salcycl</f>
        <v>3.6679996340279152E-2</v>
      </c>
      <c r="P90" s="169">
        <f>(INDEX(Models!$BJ90:$BT90,,T90)*(1-R90)+INDEX(Models!$BJ90:$BT90,,T90+1)*R90-ERP_i)*Q90*Ramure*Pc/MaxiM</f>
        <v>7.9447975538126227E-4</v>
      </c>
      <c r="Q90" s="304">
        <f t="shared" si="28"/>
        <v>0.6</v>
      </c>
      <c r="R90" s="177">
        <f t="shared" si="29"/>
        <v>1.3195254011747926E-2</v>
      </c>
      <c r="S90" s="799">
        <f t="shared" si="30"/>
        <v>1</v>
      </c>
      <c r="T90" s="176">
        <f t="shared" si="31"/>
        <v>7</v>
      </c>
      <c r="U90" s="250">
        <f t="shared" si="32"/>
        <v>1.0131952540117479</v>
      </c>
      <c r="V90" s="382">
        <f t="shared" si="33"/>
        <v>46.836692993949598</v>
      </c>
      <c r="W90" s="400">
        <f t="shared" si="34"/>
        <v>11.695862788743904</v>
      </c>
      <c r="X90" s="157">
        <f t="shared" si="35"/>
        <v>45367</v>
      </c>
      <c r="Y90" s="383">
        <f t="shared" si="36"/>
        <v>11.449408667714858</v>
      </c>
      <c r="Z90" s="383">
        <f t="shared" si="37"/>
        <v>11.870818837408837</v>
      </c>
      <c r="AA90" s="384">
        <f t="shared" si="38"/>
        <v>12.588074546741359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5.6978984885197974E-2</v>
      </c>
      <c r="AD90" s="230">
        <f>(INDEX(Models!$BJ90:$BT90,,AH90)*(1-AF90)+INDEX(Models!$BJ90:$BT90,,AH90+1)*AF90-ERP_i)*AE90*Ramure*Pc/MaxiM</f>
        <v>7.9447975538126227E-4</v>
      </c>
      <c r="AE90" s="304">
        <f t="shared" si="40"/>
        <v>0.6</v>
      </c>
      <c r="AF90" s="177">
        <f t="shared" si="41"/>
        <v>1.3195254011747926E-2</v>
      </c>
      <c r="AG90" s="799">
        <f t="shared" si="49"/>
        <v>1</v>
      </c>
      <c r="AH90" s="176">
        <f t="shared" si="42"/>
        <v>7</v>
      </c>
      <c r="AI90" s="224">
        <f t="shared" si="43"/>
        <v>1.0131952540117479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'2023'!Wh/'2023'!Env_an*'2024'!Env_an</f>
        <v>15.119951689095444</v>
      </c>
      <c r="C91" s="829"/>
      <c r="D91" s="391">
        <f t="shared" si="25"/>
        <v>15.676761343657235</v>
      </c>
      <c r="E91" s="383">
        <f t="shared" si="47"/>
        <v>16.274978183898163</v>
      </c>
      <c r="F91" s="383">
        <f t="shared" si="26"/>
        <v>16.275342118269869</v>
      </c>
      <c r="G91" s="110">
        <f t="shared" si="48"/>
        <v>0.32019876599048036</v>
      </c>
      <c r="H91" s="412" t="b">
        <f>Wh_hp&gt;='2023'!Maxi_hp</f>
        <v>0</v>
      </c>
      <c r="I91" s="388">
        <f>IF(H91,Wh_hp,'2023'!Maxi_hp)</f>
        <v>34.112652515484889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3.5518155973400356E-2</v>
      </c>
      <c r="M91" s="832"/>
      <c r="N91" s="832"/>
      <c r="O91" s="48">
        <f>IF(t&lt;Tnet,'2023'!Resal+('2023'!Salim-'2023'!Resal)*(1-EXP(('2023'!Tnet-t)/('2023'!Tau_j))),Resal+(Salim-Resal)*(1-EXP((Tnet-t)/(Tau_j))))*Salcycl</f>
        <v>3.6756844370629045E-2</v>
      </c>
      <c r="P91" s="169">
        <f>(INDEX(Models!$BJ91:$BT91,,T91)*(1-R91)+INDEX(Models!$BJ91:$BT91,,T91+1)*R91-ERP_i)*Q91*Ramure*Pc/MaxiM</f>
        <v>7.6590202696887229E-4</v>
      </c>
      <c r="Q91" s="304">
        <f t="shared" si="28"/>
        <v>0.6</v>
      </c>
      <c r="R91" s="177">
        <f t="shared" si="29"/>
        <v>1.3796236090373393E-2</v>
      </c>
      <c r="S91" s="799">
        <f t="shared" si="30"/>
        <v>1</v>
      </c>
      <c r="T91" s="176">
        <f t="shared" si="31"/>
        <v>7</v>
      </c>
      <c r="U91" s="250">
        <f t="shared" si="32"/>
        <v>1.0137962360903734</v>
      </c>
      <c r="V91" s="382">
        <f t="shared" si="33"/>
        <v>47.185407126416436</v>
      </c>
      <c r="W91" s="400">
        <f t="shared" si="34"/>
        <v>15.119951689095444</v>
      </c>
      <c r="X91" s="157">
        <f t="shared" si="35"/>
        <v>45368</v>
      </c>
      <c r="Y91" s="383">
        <f t="shared" si="36"/>
        <v>14.801634446188627</v>
      </c>
      <c r="Z91" s="383">
        <f t="shared" si="37"/>
        <v>15.34672170125414</v>
      </c>
      <c r="AA91" s="384">
        <f t="shared" si="38"/>
        <v>16.274978183898163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5.7035805034897323E-2</v>
      </c>
      <c r="AD91" s="230">
        <f>(INDEX(Models!$BJ91:$BT91,,AH91)*(1-AF91)+INDEX(Models!$BJ91:$BT91,,AH91+1)*AF91-ERP_i)*AE91*Ramure*Pc/MaxiM</f>
        <v>7.6590202696887229E-4</v>
      </c>
      <c r="AE91" s="304">
        <f t="shared" si="40"/>
        <v>0.6</v>
      </c>
      <c r="AF91" s="177">
        <f t="shared" si="41"/>
        <v>1.3796236090373393E-2</v>
      </c>
      <c r="AG91" s="799">
        <f t="shared" si="49"/>
        <v>1</v>
      </c>
      <c r="AH91" s="176">
        <f t="shared" si="42"/>
        <v>7</v>
      </c>
      <c r="AI91" s="224">
        <f t="shared" si="43"/>
        <v>1.0137962360903734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'2023'!Wh/'2023'!Env_an*'2024'!Env_an</f>
        <v>28.887480089063029</v>
      </c>
      <c r="C92" s="829"/>
      <c r="D92" s="391">
        <f t="shared" si="25"/>
        <v>29.951868871926813</v>
      </c>
      <c r="E92" s="383">
        <f t="shared" si="47"/>
        <v>31.097299951242043</v>
      </c>
      <c r="F92" s="383">
        <f t="shared" si="26"/>
        <v>31.107411587981971</v>
      </c>
      <c r="G92" s="110">
        <f t="shared" si="48"/>
        <v>0.60751917013924628</v>
      </c>
      <c r="H92" s="412" t="b">
        <f>Wh_hp&gt;='2023'!Maxi_hp</f>
        <v>0</v>
      </c>
      <c r="I92" s="388">
        <f>IF(H92,Wh_hp,'2023'!Maxi_hp)</f>
        <v>46.811989092410982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3.5536640047907353E-2</v>
      </c>
      <c r="M92" s="832"/>
      <c r="N92" s="832"/>
      <c r="O92" s="48">
        <f>IF(t&lt;Tnet,'2023'!Resal+('2023'!Salim-'2023'!Resal)*(1-EXP(('2023'!Tnet-t)/('2023'!Tau_j))),Resal+(Salim-Resal)*(1-EXP((Tnet-t)/(Tau_j))))*Salcycl</f>
        <v>3.6833779174113734E-2</v>
      </c>
      <c r="P92" s="169">
        <f>(INDEX(Models!$BJ92:$BT92,,T92)*(1-R92)+INDEX(Models!$BJ92:$BT92,,T92+1)*R92-ERP_i)*Q92*Ramure*Pc/MaxiM</f>
        <v>7.3931223342201782E-4</v>
      </c>
      <c r="Q92" s="304">
        <f t="shared" si="28"/>
        <v>0.6</v>
      </c>
      <c r="R92" s="177">
        <f t="shared" si="29"/>
        <v>1.4420851704579851E-2</v>
      </c>
      <c r="S92" s="799">
        <f t="shared" si="30"/>
        <v>1</v>
      </c>
      <c r="T92" s="176">
        <f t="shared" si="31"/>
        <v>7</v>
      </c>
      <c r="U92" s="250">
        <f t="shared" si="32"/>
        <v>1.0144208517045799</v>
      </c>
      <c r="V92" s="382">
        <f t="shared" si="33"/>
        <v>47.530202807527523</v>
      </c>
      <c r="W92" s="400">
        <f t="shared" si="34"/>
        <v>28.887480089063029</v>
      </c>
      <c r="X92" s="157">
        <f t="shared" si="35"/>
        <v>45369</v>
      </c>
      <c r="Y92" s="383">
        <f t="shared" si="36"/>
        <v>28.279866795894485</v>
      </c>
      <c r="Z92" s="383">
        <f t="shared" si="37"/>
        <v>29.321867444813268</v>
      </c>
      <c r="AA92" s="384">
        <f t="shared" si="38"/>
        <v>31.097299951242043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5.709281864382134E-2</v>
      </c>
      <c r="AD92" s="230">
        <f>(INDEX(Models!$BJ92:$BT92,,AH92)*(1-AF92)+INDEX(Models!$BJ92:$BT92,,AH92+1)*AF92-ERP_i)*AE92*Ramure*Pc/MaxiM</f>
        <v>7.3931223342201782E-4</v>
      </c>
      <c r="AE92" s="304">
        <f t="shared" si="40"/>
        <v>0.6</v>
      </c>
      <c r="AF92" s="177">
        <f t="shared" si="41"/>
        <v>1.4420851704579851E-2</v>
      </c>
      <c r="AG92" s="799">
        <f t="shared" si="49"/>
        <v>1</v>
      </c>
      <c r="AH92" s="176">
        <f t="shared" si="42"/>
        <v>7</v>
      </c>
      <c r="AI92" s="224">
        <f t="shared" si="43"/>
        <v>1.0144208517045799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'2023'!Wh/'2023'!Env_an*'2024'!Env_an</f>
        <v>32.075917773851756</v>
      </c>
      <c r="C93" s="829"/>
      <c r="D93" s="391">
        <f t="shared" si="25"/>
        <v>33.258425198104845</v>
      </c>
      <c r="E93" s="383">
        <f t="shared" si="47"/>
        <v>34.533068930861688</v>
      </c>
      <c r="F93" s="383">
        <f t="shared" si="26"/>
        <v>34.546118549381042</v>
      </c>
      <c r="G93" s="110">
        <f t="shared" si="48"/>
        <v>0.66978668392577234</v>
      </c>
      <c r="H93" s="412" t="b">
        <f>Wh_hp&gt;='2023'!Maxi_hp</f>
        <v>0</v>
      </c>
      <c r="I93" s="388">
        <f>IF(H93,Wh_hp,'2023'!Maxi_hp)</f>
        <v>50.974512464979433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3.5555123768171493E-2</v>
      </c>
      <c r="M93" s="832"/>
      <c r="N93" s="832"/>
      <c r="O93" s="48">
        <f>IF(t&lt;Tnet,'2023'!Resal+('2023'!Salim-'2023'!Resal)*(1-EXP(('2023'!Tnet-t)/('2023'!Tau_j))),Resal+(Salim-Resal)*(1-EXP((Tnet-t)/(Tau_j))))*Salcycl</f>
        <v>3.6910815407364829E-2</v>
      </c>
      <c r="P93" s="169">
        <f>(INDEX(Models!$BJ93:$BT93,,T93)*(1-R93)+INDEX(Models!$BJ93:$BT93,,T93+1)*R93-ERP_i)*Q93*Ramure*Pc/MaxiM</f>
        <v>7.1462831258285297E-4</v>
      </c>
      <c r="Q93" s="304">
        <f t="shared" si="28"/>
        <v>0.6</v>
      </c>
      <c r="R93" s="177">
        <f t="shared" si="29"/>
        <v>1.5069963687201371E-2</v>
      </c>
      <c r="S93" s="799">
        <f t="shared" si="30"/>
        <v>1</v>
      </c>
      <c r="T93" s="176">
        <f t="shared" si="31"/>
        <v>7</v>
      </c>
      <c r="U93" s="250">
        <f t="shared" si="32"/>
        <v>1.0150699636872014</v>
      </c>
      <c r="V93" s="382">
        <f t="shared" si="33"/>
        <v>47.873612022875029</v>
      </c>
      <c r="W93" s="400">
        <f t="shared" si="34"/>
        <v>32.075917773851756</v>
      </c>
      <c r="X93" s="157">
        <f t="shared" si="35"/>
        <v>45370</v>
      </c>
      <c r="Y93" s="383">
        <f t="shared" si="36"/>
        <v>31.401845261827766</v>
      </c>
      <c r="Z93" s="383">
        <f t="shared" si="37"/>
        <v>32.559502399471036</v>
      </c>
      <c r="AA93" s="384">
        <f t="shared" si="38"/>
        <v>34.533068930861688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5.7150047548392154E-2</v>
      </c>
      <c r="AD93" s="230">
        <f>(INDEX(Models!$BJ93:$BT93,,AH93)*(1-AF93)+INDEX(Models!$BJ93:$BT93,,AH93+1)*AF93-ERP_i)*AE93*Ramure*Pc/MaxiM</f>
        <v>7.1462831258285297E-4</v>
      </c>
      <c r="AE93" s="304">
        <f t="shared" si="40"/>
        <v>0.6</v>
      </c>
      <c r="AF93" s="177">
        <f t="shared" si="41"/>
        <v>1.5069963687201371E-2</v>
      </c>
      <c r="AG93" s="799">
        <f t="shared" si="49"/>
        <v>1</v>
      </c>
      <c r="AH93" s="176">
        <f t="shared" si="42"/>
        <v>7</v>
      </c>
      <c r="AI93" s="224">
        <f t="shared" si="43"/>
        <v>1.0150699636872014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'2023'!Wh/'2023'!Env_an*'2024'!Env_an</f>
        <v>45.405188293448589</v>
      </c>
      <c r="C94" s="829"/>
      <c r="D94" s="391">
        <f t="shared" si="25"/>
        <v>47.079993485585462</v>
      </c>
      <c r="E94" s="383">
        <f t="shared" si="47"/>
        <v>48.888271302106027</v>
      </c>
      <c r="F94" s="383">
        <f t="shared" si="26"/>
        <v>48.919303834678793</v>
      </c>
      <c r="G94" s="110">
        <f t="shared" si="48"/>
        <v>0.94161133879489967</v>
      </c>
      <c r="H94" s="412" t="b">
        <f>Wh_hp&gt;='2023'!Maxi_hp</f>
        <v>0</v>
      </c>
      <c r="I94" s="388">
        <f>IF(H94,Wh_hp,'2023'!Maxi_hp)</f>
        <v>52.150714918937091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3.5573607134199214E-2</v>
      </c>
      <c r="M94" s="832"/>
      <c r="N94" s="832"/>
      <c r="O94" s="48">
        <f>IF(t&lt;Tnet,'2023'!Resal+('2023'!Salim-'2023'!Resal)*(1-EXP(('2023'!Tnet-t)/('2023'!Tau_j))),Resal+(Salim-Resal)*(1-EXP((Tnet-t)/(Tau_j))))*Salcycl</f>
        <v>3.6987968041379035E-2</v>
      </c>
      <c r="P94" s="169">
        <f>(INDEX(Models!$BJ94:$BT94,,T94)*(1-R94)+INDEX(Models!$BJ94:$BT94,,T94+1)*R94-ERP_i)*Q94*Ramure*Pc/MaxiM</f>
        <v>6.9203200638889102E-4</v>
      </c>
      <c r="Q94" s="304">
        <f t="shared" si="28"/>
        <v>0.6</v>
      </c>
      <c r="R94" s="177">
        <f t="shared" si="29"/>
        <v>1.5744460876901734E-2</v>
      </c>
      <c r="S94" s="799">
        <f t="shared" si="30"/>
        <v>1</v>
      </c>
      <c r="T94" s="176">
        <f t="shared" si="31"/>
        <v>7</v>
      </c>
      <c r="U94" s="250">
        <f t="shared" si="32"/>
        <v>1.0157444608769017</v>
      </c>
      <c r="V94" s="382">
        <f t="shared" si="33"/>
        <v>48.217949624658111</v>
      </c>
      <c r="W94" s="400">
        <f t="shared" si="34"/>
        <v>45.405188293448589</v>
      </c>
      <c r="X94" s="157">
        <f t="shared" si="35"/>
        <v>45371</v>
      </c>
      <c r="Y94" s="383">
        <f t="shared" si="36"/>
        <v>44.451854108455443</v>
      </c>
      <c r="Z94" s="383">
        <f t="shared" si="37"/>
        <v>46.091494838052284</v>
      </c>
      <c r="AA94" s="384">
        <f t="shared" si="38"/>
        <v>48.888271302106027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5.7207513981646238E-2</v>
      </c>
      <c r="AD94" s="230">
        <f>(INDEX(Models!$BJ94:$BT94,,AH94)*(1-AF94)+INDEX(Models!$BJ94:$BT94,,AH94+1)*AF94-ERP_i)*AE94*Ramure*Pc/MaxiM</f>
        <v>6.9203200638889102E-4</v>
      </c>
      <c r="AE94" s="304">
        <f t="shared" si="40"/>
        <v>0.6</v>
      </c>
      <c r="AF94" s="177">
        <f t="shared" si="41"/>
        <v>1.5744460876901734E-2</v>
      </c>
      <c r="AG94" s="799">
        <f t="shared" si="49"/>
        <v>1</v>
      </c>
      <c r="AH94" s="176">
        <f t="shared" si="42"/>
        <v>7</v>
      </c>
      <c r="AI94" s="224">
        <f t="shared" si="43"/>
        <v>1.0157444608769017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'2023'!Wh/'2023'!Env_an*'2024'!Env_an</f>
        <v>43.107538871018129</v>
      </c>
      <c r="C95" s="829"/>
      <c r="D95" s="391">
        <f t="shared" si="25"/>
        <v>44.69845013770572</v>
      </c>
      <c r="E95" s="383">
        <f t="shared" si="47"/>
        <v>46.418981395481104</v>
      </c>
      <c r="F95" s="383">
        <f t="shared" si="26"/>
        <v>46.445114222571696</v>
      </c>
      <c r="G95" s="110">
        <f t="shared" si="48"/>
        <v>0.88757651490556533</v>
      </c>
      <c r="H95" s="412" t="b">
        <f>Wh_hp&gt;='2023'!Maxi_hp</f>
        <v>0</v>
      </c>
      <c r="I95" s="388">
        <f>IF(H95,Wh_hp,'2023'!Maxi_hp)</f>
        <v>50.892769880316351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3.5592090145997402E-2</v>
      </c>
      <c r="M95" s="832"/>
      <c r="N95" s="832"/>
      <c r="O95" s="48">
        <f>IF(t&lt;Tnet,'2023'!Resal+('2023'!Salim-'2023'!Resal)*(1-EXP(('2023'!Tnet-t)/('2023'!Tau_j))),Resal+(Salim-Resal)*(1-EXP((Tnet-t)/(Tau_j))))*Salcycl</f>
        <v>3.7065252318157917E-2</v>
      </c>
      <c r="P95" s="169">
        <f>(INDEX(Models!$BJ95:$BT95,,T95)*(1-R95)+INDEX(Models!$BJ95:$BT95,,T95+1)*R95-ERP_i)*Q95*Ramure*Pc/MaxiM</f>
        <v>6.7020764053628745E-4</v>
      </c>
      <c r="Q95" s="304">
        <f t="shared" si="28"/>
        <v>0.6</v>
      </c>
      <c r="R95" s="177">
        <f t="shared" si="29"/>
        <v>1.6445258438076316E-2</v>
      </c>
      <c r="S95" s="799">
        <f t="shared" si="30"/>
        <v>1</v>
      </c>
      <c r="T95" s="176">
        <f t="shared" si="31"/>
        <v>7</v>
      </c>
      <c r="U95" s="250">
        <f t="shared" si="32"/>
        <v>1.0164452584380763</v>
      </c>
      <c r="V95" s="382">
        <f t="shared" si="33"/>
        <v>48.562461309874521</v>
      </c>
      <c r="W95" s="400">
        <f t="shared" si="34"/>
        <v>43.107538871018129</v>
      </c>
      <c r="X95" s="157">
        <f t="shared" si="35"/>
        <v>45372</v>
      </c>
      <c r="Y95" s="383">
        <f t="shared" si="36"/>
        <v>42.203249376798112</v>
      </c>
      <c r="Z95" s="383">
        <f t="shared" si="37"/>
        <v>43.760787261882861</v>
      </c>
      <c r="AA95" s="384">
        <f t="shared" si="38"/>
        <v>46.418981395481104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5.7265240504760916E-2</v>
      </c>
      <c r="AD95" s="230">
        <f>(INDEX(Models!$BJ95:$BT95,,AH95)*(1-AF95)+INDEX(Models!$BJ95:$BT95,,AH95+1)*AF95-ERP_i)*AE95*Ramure*Pc/MaxiM</f>
        <v>6.7020764053628745E-4</v>
      </c>
      <c r="AE95" s="304">
        <f t="shared" si="40"/>
        <v>0.6</v>
      </c>
      <c r="AF95" s="177">
        <f t="shared" si="41"/>
        <v>1.6445258438076316E-2</v>
      </c>
      <c r="AG95" s="799">
        <f t="shared" si="49"/>
        <v>1</v>
      </c>
      <c r="AH95" s="176">
        <f t="shared" si="42"/>
        <v>7</v>
      </c>
      <c r="AI95" s="224">
        <f t="shared" si="43"/>
        <v>1.0164452584380763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'2023'!Wh/'2023'!Env_an*'2024'!Env_an</f>
        <v>49.13481481312872</v>
      </c>
      <c r="C96" s="829"/>
      <c r="D96" s="391">
        <f t="shared" si="25"/>
        <v>50.949142978442183</v>
      </c>
      <c r="E96" s="383">
        <f t="shared" si="47"/>
        <v>52.914530654048853</v>
      </c>
      <c r="F96" s="383">
        <f t="shared" si="26"/>
        <v>52.948902458584229</v>
      </c>
      <c r="G96" s="110">
        <f t="shared" si="48"/>
        <v>1.0046718730909368</v>
      </c>
      <c r="H96" s="412" t="b">
        <f>Wh_hp&gt;='2023'!Maxi_hp</f>
        <v>0</v>
      </c>
      <c r="I96" s="388">
        <f>IF(H96,Wh_hp,'2023'!Maxi_hp)</f>
        <v>53.286062169656844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3.5610572803572937E-2</v>
      </c>
      <c r="M96" s="832"/>
      <c r="N96" s="832"/>
      <c r="O96" s="48">
        <f>IF(t&lt;Tnet,'2023'!Resal+('2023'!Salim-'2023'!Resal)*(1-EXP(('2023'!Tnet-t)/('2023'!Tau_j))),Resal+(Salim-Resal)*(1-EXP((Tnet-t)/(Tau_j))))*Salcycl</f>
        <v>3.7142683707358612E-2</v>
      </c>
      <c r="P96" s="169">
        <f>(INDEX(Models!$BJ96:$BT96,,T96)*(1-R96)+INDEX(Models!$BJ96:$BT96,,T96+1)*R96-ERP_i)*Q96*Ramure*Pc/MaxiM</f>
        <v>6.4915046279307917E-4</v>
      </c>
      <c r="Q96" s="304">
        <f t="shared" si="28"/>
        <v>0.6</v>
      </c>
      <c r="R96" s="177">
        <f t="shared" si="29"/>
        <v>1.7173298140370941E-2</v>
      </c>
      <c r="S96" s="799">
        <f t="shared" si="30"/>
        <v>1</v>
      </c>
      <c r="T96" s="176">
        <f t="shared" si="31"/>
        <v>7</v>
      </c>
      <c r="U96" s="250">
        <f t="shared" si="32"/>
        <v>1.0171732981403709</v>
      </c>
      <c r="V96" s="382">
        <f t="shared" si="33"/>
        <v>48.906330643021136</v>
      </c>
      <c r="W96" s="400">
        <f t="shared" si="34"/>
        <v>49.13481481312872</v>
      </c>
      <c r="X96" s="157">
        <f t="shared" si="35"/>
        <v>45373</v>
      </c>
      <c r="Y96" s="383">
        <f t="shared" si="36"/>
        <v>48.104996201544338</v>
      </c>
      <c r="Z96" s="383">
        <f t="shared" si="37"/>
        <v>49.881297787959163</v>
      </c>
      <c r="AA96" s="384">
        <f t="shared" si="38"/>
        <v>52.914530654048853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5.7323249939052343E-2</v>
      </c>
      <c r="AD96" s="230">
        <f>(INDEX(Models!$BJ96:$BT96,,AH96)*(1-AF96)+INDEX(Models!$BJ96:$BT96,,AH96+1)*AF96-ERP_i)*AE96*Ramure*Pc/MaxiM</f>
        <v>6.4915046279307917E-4</v>
      </c>
      <c r="AE96" s="304">
        <f t="shared" si="40"/>
        <v>0.6</v>
      </c>
      <c r="AF96" s="177">
        <f t="shared" si="41"/>
        <v>1.7173298140370941E-2</v>
      </c>
      <c r="AG96" s="799">
        <f t="shared" si="49"/>
        <v>1</v>
      </c>
      <c r="AH96" s="176">
        <f t="shared" si="42"/>
        <v>7</v>
      </c>
      <c r="AI96" s="224">
        <f t="shared" si="43"/>
        <v>1.0171732981403709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'2023'!Wh/'2023'!Env_an*'2024'!Env_an</f>
        <v>48.327374638622764</v>
      </c>
      <c r="C97" s="829"/>
      <c r="D97" s="391">
        <f t="shared" si="25"/>
        <v>50.112848063855203</v>
      </c>
      <c r="E97" s="383">
        <f t="shared" si="47"/>
        <v>52.050169848441939</v>
      </c>
      <c r="F97" s="383">
        <f t="shared" si="26"/>
        <v>52.08204652680795</v>
      </c>
      <c r="G97" s="110">
        <f t="shared" si="48"/>
        <v>0.98127506291627087</v>
      </c>
      <c r="H97" s="412" t="b">
        <f>Wh_hp&gt;='2023'!Maxi_hp</f>
        <v>0</v>
      </c>
      <c r="I97" s="388">
        <f>IF(H97,Wh_hp,'2023'!Maxi_hp)</f>
        <v>52.432685420203406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3.5629055106932594E-2</v>
      </c>
      <c r="M97" s="832"/>
      <c r="N97" s="832"/>
      <c r="O97" s="48">
        <f>IF(t&lt;Tnet,'2023'!Resal+('2023'!Salim-'2023'!Resal)*(1-EXP(('2023'!Tnet-t)/('2023'!Tau_j))),Resal+(Salim-Resal)*(1-EXP((Tnet-t)/(Tau_j))))*Salcycl</f>
        <v>3.722027786321868E-2</v>
      </c>
      <c r="P97" s="169">
        <f>(INDEX(Models!$BJ97:$BT97,,T97)*(1-R97)+INDEX(Models!$BJ97:$BT97,,T97+1)*R97-ERP_i)*Q97*Ramure*Pc/MaxiM</f>
        <v>6.2885431739146281E-4</v>
      </c>
      <c r="Q97" s="304">
        <f t="shared" si="28"/>
        <v>0.6</v>
      </c>
      <c r="R97" s="177">
        <f t="shared" si="29"/>
        <v>1.7929548592930722E-2</v>
      </c>
      <c r="S97" s="799">
        <f t="shared" si="30"/>
        <v>1</v>
      </c>
      <c r="T97" s="176">
        <f t="shared" si="31"/>
        <v>7</v>
      </c>
      <c r="U97" s="250">
        <f t="shared" si="32"/>
        <v>1.0179295485929307</v>
      </c>
      <c r="V97" s="382">
        <f t="shared" si="33"/>
        <v>49.248741490259874</v>
      </c>
      <c r="W97" s="400">
        <f t="shared" si="34"/>
        <v>48.327374638622764</v>
      </c>
      <c r="X97" s="157">
        <f t="shared" si="35"/>
        <v>45374</v>
      </c>
      <c r="Y97" s="383">
        <f t="shared" si="36"/>
        <v>47.315365277918858</v>
      </c>
      <c r="Z97" s="383">
        <f t="shared" si="37"/>
        <v>49.063449628467744</v>
      </c>
      <c r="AA97" s="384">
        <f t="shared" si="38"/>
        <v>52.050169848441939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5.7381565298842134E-2</v>
      </c>
      <c r="AD97" s="230">
        <f>(INDEX(Models!$BJ97:$BT97,,AH97)*(1-AF97)+INDEX(Models!$BJ97:$BT97,,AH97+1)*AF97-ERP_i)*AE97*Ramure*Pc/MaxiM</f>
        <v>6.2885431739146281E-4</v>
      </c>
      <c r="AE97" s="304">
        <f t="shared" si="40"/>
        <v>0.6</v>
      </c>
      <c r="AF97" s="177">
        <f t="shared" si="41"/>
        <v>1.7929548592930722E-2</v>
      </c>
      <c r="AG97" s="799">
        <f t="shared" si="49"/>
        <v>1</v>
      </c>
      <c r="AH97" s="176">
        <f t="shared" si="42"/>
        <v>7</v>
      </c>
      <c r="AI97" s="224">
        <f t="shared" si="43"/>
        <v>1.0179295485929307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'2023'!Wh/'2023'!Env_an*'2024'!Env_an</f>
        <v>43.006822072574423</v>
      </c>
      <c r="C98" s="829"/>
      <c r="D98" s="391">
        <f t="shared" si="25"/>
        <v>44.596580322184067</v>
      </c>
      <c r="E98" s="383">
        <f t="shared" si="47"/>
        <v>46.324389754424452</v>
      </c>
      <c r="F98" s="383">
        <f t="shared" si="26"/>
        <v>46.34727489981038</v>
      </c>
      <c r="G98" s="110">
        <f t="shared" si="48"/>
        <v>0.86716724554789393</v>
      </c>
      <c r="H98" s="412" t="b">
        <f>Wh_hp&gt;='2023'!Maxi_hp</f>
        <v>0</v>
      </c>
      <c r="I98" s="388">
        <f>IF(H98,Wh_hp,'2023'!Maxi_hp)</f>
        <v>46.350209045253081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3.5647537056083145E-2</v>
      </c>
      <c r="M98" s="832"/>
      <c r="N98" s="832"/>
      <c r="O98" s="48">
        <f>IF(t&lt;Tnet,'2023'!Resal+('2023'!Salim-'2023'!Resal)*(1-EXP(('2023'!Tnet-t)/('2023'!Tau_j))),Resal+(Salim-Resal)*(1-EXP((Tnet-t)/(Tau_j))))*Salcycl</f>
        <v>3.7298050581990906E-2</v>
      </c>
      <c r="P98" s="169">
        <f>(INDEX(Models!$BJ98:$BT98,,T98)*(1-R98)+INDEX(Models!$BJ98:$BT98,,T98+1)*R98-ERP_i)*Q98*Ramure*Pc/MaxiM</f>
        <v>6.0931183312602343E-4</v>
      </c>
      <c r="Q98" s="304">
        <f t="shared" si="28"/>
        <v>0.6</v>
      </c>
      <c r="R98" s="177">
        <f t="shared" si="29"/>
        <v>1.8715005428177944E-2</v>
      </c>
      <c r="S98" s="799">
        <f t="shared" si="30"/>
        <v>1</v>
      </c>
      <c r="T98" s="176">
        <f t="shared" si="31"/>
        <v>7</v>
      </c>
      <c r="U98" s="250">
        <f t="shared" si="32"/>
        <v>1.0187150054281779</v>
      </c>
      <c r="V98" s="382">
        <f t="shared" si="33"/>
        <v>49.588878021990745</v>
      </c>
      <c r="W98" s="400">
        <f t="shared" si="34"/>
        <v>43.006822072574423</v>
      </c>
      <c r="X98" s="157">
        <f t="shared" si="35"/>
        <v>45375</v>
      </c>
      <c r="Y98" s="383">
        <f t="shared" si="36"/>
        <v>42.107010604478816</v>
      </c>
      <c r="Z98" s="383">
        <f t="shared" si="37"/>
        <v>43.663507091522412</v>
      </c>
      <c r="AA98" s="384">
        <f t="shared" si="38"/>
        <v>46.324389754424452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5.7440209725545206E-2</v>
      </c>
      <c r="AD98" s="230">
        <f>(INDEX(Models!$BJ98:$BT98,,AH98)*(1-AF98)+INDEX(Models!$BJ98:$BT98,,AH98+1)*AF98-ERP_i)*AE98*Ramure*Pc/MaxiM</f>
        <v>6.0931183312602343E-4</v>
      </c>
      <c r="AE98" s="304">
        <f t="shared" si="40"/>
        <v>0.6</v>
      </c>
      <c r="AF98" s="177">
        <f t="shared" si="41"/>
        <v>1.8715005428177944E-2</v>
      </c>
      <c r="AG98" s="799">
        <f t="shared" si="49"/>
        <v>1</v>
      </c>
      <c r="AH98" s="176">
        <f t="shared" si="42"/>
        <v>7</v>
      </c>
      <c r="AI98" s="224">
        <f t="shared" si="43"/>
        <v>1.0187150054281779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'2023'!Wh/'2023'!Env_an*'2024'!Env_an</f>
        <v>47.607015838024168</v>
      </c>
      <c r="C99" s="829"/>
      <c r="D99" s="391">
        <f t="shared" si="25"/>
        <v>49.367767556452371</v>
      </c>
      <c r="E99" s="383">
        <f t="shared" si="47"/>
        <v>51.284580965435488</v>
      </c>
      <c r="F99" s="383">
        <f t="shared" si="26"/>
        <v>51.312871407921747</v>
      </c>
      <c r="G99" s="110">
        <f t="shared" si="48"/>
        <v>0.95351562793234523</v>
      </c>
      <c r="H99" s="412" t="b">
        <f>Wh_hp&gt;='2023'!Maxi_hp</f>
        <v>0</v>
      </c>
      <c r="I99" s="388">
        <f>IF(H99,Wh_hp,'2023'!Maxi_hp)</f>
        <v>54.664172365947202</v>
      </c>
      <c r="J99" s="85">
        <f>IF(H99,An,'2023'!An_max)</f>
        <v>2018</v>
      </c>
      <c r="K99" s="197">
        <f t="shared" si="27"/>
        <v>45376</v>
      </c>
      <c r="L99" s="147">
        <f>IF(t&lt;Tvie,1-EXP((T0-t)*PertePVj)+'2023'!Pspv,1-EXP((T0-t)*PertePVj)+Pspv)</f>
        <v>3.566601865103125E-2</v>
      </c>
      <c r="M99" s="832"/>
      <c r="N99" s="832"/>
      <c r="O99" s="48">
        <f>IF(t&lt;Tnet,'2023'!Resal+('2023'!Salim-'2023'!Resal)*(1-EXP(('2023'!Tnet-t)/('2023'!Tau_j))),Resal+(Salim-Resal)*(1-EXP((Tnet-t)/(Tau_j))))*Salcycl</f>
        <v>3.7376017760094471E-2</v>
      </c>
      <c r="P99" s="169">
        <f>(INDEX(Models!$BJ99:$BT99,,T99)*(1-R99)+INDEX(Models!$BJ99:$BT99,,T99+1)*R99-ERP_i)*Q99*Ramure*Pc/MaxiM</f>
        <v>5.905146038411818E-4</v>
      </c>
      <c r="Q99" s="304">
        <f t="shared" si="28"/>
        <v>0.6</v>
      </c>
      <c r="R99" s="177">
        <f t="shared" si="29"/>
        <v>1.9530691429581637E-2</v>
      </c>
      <c r="S99" s="799">
        <f t="shared" si="30"/>
        <v>1</v>
      </c>
      <c r="T99" s="176">
        <f t="shared" si="31"/>
        <v>7</v>
      </c>
      <c r="U99" s="250">
        <f t="shared" si="32"/>
        <v>1.0195306914295816</v>
      </c>
      <c r="V99" s="382">
        <f t="shared" si="33"/>
        <v>49.925924715924765</v>
      </c>
      <c r="W99" s="400">
        <f t="shared" si="34"/>
        <v>47.607015838024168</v>
      </c>
      <c r="X99" s="157">
        <f t="shared" si="35"/>
        <v>45376</v>
      </c>
      <c r="Y99" s="383">
        <f t="shared" si="36"/>
        <v>46.611814202624657</v>
      </c>
      <c r="Z99" s="383">
        <f t="shared" si="37"/>
        <v>48.335758258172369</v>
      </c>
      <c r="AA99" s="384">
        <f t="shared" si="38"/>
        <v>51.284580965435488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5.7499206423282531E-2</v>
      </c>
      <c r="AD99" s="230">
        <f>(INDEX(Models!$BJ99:$BT99,,AH99)*(1-AF99)+INDEX(Models!$BJ99:$BT99,,AH99+1)*AF99-ERP_i)*AE99*Ramure*Pc/MaxiM</f>
        <v>5.905146038411818E-4</v>
      </c>
      <c r="AE99" s="304">
        <f t="shared" si="40"/>
        <v>0.6</v>
      </c>
      <c r="AF99" s="177">
        <f t="shared" si="41"/>
        <v>1.9530691429581637E-2</v>
      </c>
      <c r="AG99" s="799">
        <f t="shared" si="49"/>
        <v>1</v>
      </c>
      <c r="AH99" s="176">
        <f t="shared" si="42"/>
        <v>7</v>
      </c>
      <c r="AI99" s="224">
        <f t="shared" si="43"/>
        <v>1.0195306914295816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'2023'!Wh/'2023'!Env_an*'2024'!Env_an</f>
        <v>46.025978014382581</v>
      </c>
      <c r="C100" s="829"/>
      <c r="D100" s="391">
        <f t="shared" si="25"/>
        <v>47.729169560395448</v>
      </c>
      <c r="E100" s="383">
        <f t="shared" si="47"/>
        <v>49.586387816533303</v>
      </c>
      <c r="F100" s="383">
        <f t="shared" si="26"/>
        <v>49.61138078864353</v>
      </c>
      <c r="G100" s="110">
        <f t="shared" si="48"/>
        <v>0.91571170666319945</v>
      </c>
      <c r="H100" s="412" t="b">
        <f>Wh_hp&gt;='2023'!Maxi_hp</f>
        <v>0</v>
      </c>
      <c r="I100" s="388">
        <f>IF(H100,Wh_hp,'2023'!Maxi_hp)</f>
        <v>53.82661692337178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3.5684499891783905E-2</v>
      </c>
      <c r="M100" s="832"/>
      <c r="N100" s="832"/>
      <c r="O100" s="48">
        <f>IF(t&lt;Tnet,'2023'!Resal+('2023'!Salim-'2023'!Resal)*(1-EXP(('2023'!Tnet-t)/('2023'!Tau_j))),Resal+(Salim-Resal)*(1-EXP((Tnet-t)/(Tau_j))))*Salcycl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5.7268088766087427E-4</v>
      </c>
      <c r="Q100" s="304">
        <f t="shared" si="28"/>
        <v>0.6</v>
      </c>
      <c r="R100" s="177">
        <f t="shared" si="29"/>
        <v>2.0377656597546201E-2</v>
      </c>
      <c r="S100" s="799">
        <f t="shared" si="30"/>
        <v>1</v>
      </c>
      <c r="T100" s="176">
        <f t="shared" si="31"/>
        <v>7</v>
      </c>
      <c r="U100" s="250">
        <f t="shared" si="32"/>
        <v>1.0203776565975462</v>
      </c>
      <c r="V100" s="382">
        <f t="shared" si="33"/>
        <v>50.25905491756955</v>
      </c>
      <c r="W100" s="400">
        <f t="shared" si="34"/>
        <v>46.025978014382581</v>
      </c>
      <c r="X100" s="157">
        <f t="shared" si="35"/>
        <v>45377</v>
      </c>
      <c r="Y100" s="383">
        <f t="shared" si="36"/>
        <v>45.064648281633062</v>
      </c>
      <c r="Z100" s="383">
        <f t="shared" si="37"/>
        <v>46.732265816090148</v>
      </c>
      <c r="AA100" s="384">
        <f t="shared" si="38"/>
        <v>49.586387816533303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5.7558578596272024E-2</v>
      </c>
      <c r="AD100" s="230">
        <f>(INDEX(Models!$BJ100:$BT100,,AH100)*(1-AF100)+INDEX(Models!$BJ100:$BT100,,AH100+1)*AF100-ERP_i)*AE100*Ramure*Pc/MaxiM</f>
        <v>5.7268088766087427E-4</v>
      </c>
      <c r="AE100" s="304">
        <f t="shared" si="40"/>
        <v>0.6</v>
      </c>
      <c r="AF100" s="177">
        <f t="shared" si="41"/>
        <v>2.0377656597546201E-2</v>
      </c>
      <c r="AG100" s="799">
        <f t="shared" si="49"/>
        <v>1</v>
      </c>
      <c r="AH100" s="176">
        <f t="shared" si="42"/>
        <v>7</v>
      </c>
      <c r="AI100" s="224">
        <f t="shared" si="43"/>
        <v>1.0203776565975462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'2023'!Wh/'2023'!Env_an*'2024'!Env_an</f>
        <v>14.820835553585781</v>
      </c>
      <c r="C101" s="829"/>
      <c r="D101" s="391">
        <f t="shared" si="25"/>
        <v>15.369575201579131</v>
      </c>
      <c r="E101" s="383">
        <f t="shared" si="47"/>
        <v>15.968930678563456</v>
      </c>
      <c r="F101" s="383">
        <f t="shared" si="26"/>
        <v>15.968930678563456</v>
      </c>
      <c r="G101" s="110">
        <f t="shared" si="48"/>
        <v>0.29281169729355694</v>
      </c>
      <c r="H101" s="412" t="b">
        <f>Wh_hp&gt;='2023'!Maxi_hp</f>
        <v>0</v>
      </c>
      <c r="I101" s="388">
        <f>IF(H101,Wh_hp,'2023'!Maxi_hp)</f>
        <v>53.283033319082513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3.570298077834777E-2</v>
      </c>
      <c r="M101" s="832"/>
      <c r="N101" s="832"/>
      <c r="O101" s="48">
        <f>IF(t&lt;Tnet,'2023'!Resal+('2023'!Salim-'2023'!Resal)*(1-EXP(('2023'!Tnet-t)/('2023'!Tau_j))),Resal+(Salim-Resal)*(1-EXP((Tnet-t)/(Tau_j))))*Salcycl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5.5562567814692427E-4</v>
      </c>
      <c r="Q101" s="304">
        <f t="shared" si="28"/>
        <v>0.6</v>
      </c>
      <c r="R101" s="177">
        <f t="shared" si="29"/>
        <v>2.1256978147210503E-2</v>
      </c>
      <c r="S101" s="799">
        <f t="shared" si="30"/>
        <v>1</v>
      </c>
      <c r="T101" s="176">
        <f t="shared" si="31"/>
        <v>7</v>
      </c>
      <c r="U101" s="250">
        <f t="shared" si="32"/>
        <v>1.0212569781472105</v>
      </c>
      <c r="V101" s="382">
        <f t="shared" si="33"/>
        <v>50.587462364696158</v>
      </c>
      <c r="W101" s="400">
        <f t="shared" si="34"/>
        <v>14.820835553585781</v>
      </c>
      <c r="X101" s="157">
        <f t="shared" si="35"/>
        <v>45378</v>
      </c>
      <c r="Y101" s="383">
        <f t="shared" si="36"/>
        <v>14.511539261277745</v>
      </c>
      <c r="Z101" s="383">
        <f t="shared" si="37"/>
        <v>15.048827251370087</v>
      </c>
      <c r="AA101" s="384">
        <f t="shared" si="38"/>
        <v>15.968930678563456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5.7618349388197258E-2</v>
      </c>
      <c r="AD101" s="230">
        <f>(INDEX(Models!$BJ101:$BT101,,AH101)*(1-AF101)+INDEX(Models!$BJ101:$BT101,,AH101+1)*AF101-ERP_i)*AE101*Ramure*Pc/MaxiM</f>
        <v>5.5562567814692427E-4</v>
      </c>
      <c r="AE101" s="304">
        <f t="shared" si="40"/>
        <v>0.6</v>
      </c>
      <c r="AF101" s="177">
        <f t="shared" si="41"/>
        <v>2.1256978147210503E-2</v>
      </c>
      <c r="AG101" s="799">
        <f t="shared" si="49"/>
        <v>1</v>
      </c>
      <c r="AH101" s="176">
        <f t="shared" si="42"/>
        <v>7</v>
      </c>
      <c r="AI101" s="224">
        <f t="shared" si="43"/>
        <v>1.0212569781472105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'2023'!Wh/'2023'!Env_an*'2024'!Env_an</f>
        <v>28.445254440656999</v>
      </c>
      <c r="C102" s="829"/>
      <c r="D102" s="391">
        <f t="shared" si="25"/>
        <v>29.499001895574917</v>
      </c>
      <c r="E102" s="383">
        <f t="shared" si="47"/>
        <v>30.651856396573404</v>
      </c>
      <c r="F102" s="383">
        <f t="shared" si="26"/>
        <v>30.657968029312588</v>
      </c>
      <c r="G102" s="110">
        <f t="shared" si="48"/>
        <v>0.55854244253712904</v>
      </c>
      <c r="H102" s="412" t="b">
        <f>Wh_hp&gt;='2023'!Maxi_hp</f>
        <v>0</v>
      </c>
      <c r="I102" s="388">
        <f>IF(H102,Wh_hp,'2023'!Maxi_hp)</f>
        <v>55.473113479022246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3.5721461310729619E-2</v>
      </c>
      <c r="M102" s="832"/>
      <c r="N102" s="832"/>
      <c r="O102" s="48">
        <f>IF(t&lt;Tnet,'2023'!Resal+('2023'!Salim-'2023'!Resal)*(1-EXP(('2023'!Tnet-t)/('2023'!Tau_j))),Resal+(Salim-Resal)*(1-EXP((Tnet-t)/(Tau_j))))*Salcycl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5.3933801434854383E-4</v>
      </c>
      <c r="Q102" s="304">
        <f t="shared" si="28"/>
        <v>0.6</v>
      </c>
      <c r="R102" s="177">
        <f t="shared" si="29"/>
        <v>2.2169760431596908E-2</v>
      </c>
      <c r="S102" s="799">
        <f t="shared" si="30"/>
        <v>1</v>
      </c>
      <c r="T102" s="176">
        <f t="shared" si="31"/>
        <v>7</v>
      </c>
      <c r="U102" s="250">
        <f t="shared" si="32"/>
        <v>1.0221697604315969</v>
      </c>
      <c r="V102" s="382">
        <f t="shared" si="33"/>
        <v>50.910332448185684</v>
      </c>
      <c r="W102" s="400">
        <f t="shared" si="34"/>
        <v>28.445254440656999</v>
      </c>
      <c r="X102" s="157">
        <f t="shared" si="35"/>
        <v>45379</v>
      </c>
      <c r="Y102" s="383">
        <f t="shared" si="36"/>
        <v>27.852126827082518</v>
      </c>
      <c r="Z102" s="383">
        <f t="shared" si="37"/>
        <v>28.883902015429591</v>
      </c>
      <c r="AA102" s="384">
        <f t="shared" si="38"/>
        <v>30.651856396573404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5.7678541823700295E-2</v>
      </c>
      <c r="AD102" s="230">
        <f>(INDEX(Models!$BJ102:$BT102,,AH102)*(1-AF102)+INDEX(Models!$BJ102:$BT102,,AH102+1)*AF102-ERP_i)*AE102*Ramure*Pc/MaxiM</f>
        <v>5.3933801434854383E-4</v>
      </c>
      <c r="AE102" s="304">
        <f t="shared" si="40"/>
        <v>0.6</v>
      </c>
      <c r="AF102" s="177">
        <f t="shared" si="41"/>
        <v>2.2169760431596908E-2</v>
      </c>
      <c r="AG102" s="799">
        <f t="shared" si="49"/>
        <v>1</v>
      </c>
      <c r="AH102" s="176">
        <f t="shared" si="42"/>
        <v>7</v>
      </c>
      <c r="AI102" s="224">
        <f t="shared" si="43"/>
        <v>1.0221697604315969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'2023'!Wh/'2023'!Env_an*'2024'!Env_an</f>
        <v>7.9756703458465221</v>
      </c>
      <c r="C103" s="829"/>
      <c r="D103" s="391">
        <f t="shared" si="25"/>
        <v>8.2712856095708656</v>
      </c>
      <c r="E103" s="383">
        <f t="shared" si="47"/>
        <v>8.5952415550983741</v>
      </c>
      <c r="F103" s="383">
        <f t="shared" si="26"/>
        <v>8.5952415550983741</v>
      </c>
      <c r="G103" s="110">
        <f t="shared" si="48"/>
        <v>0.15561160796871679</v>
      </c>
      <c r="H103" s="412" t="b">
        <f>Wh_hp&gt;='2023'!Maxi_hp</f>
        <v>0</v>
      </c>
      <c r="I103" s="388">
        <f>IF(H103,Wh_hp,'2023'!Maxi_hp)</f>
        <v>54.228775027955102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3.5739941488936333E-2</v>
      </c>
      <c r="M103" s="832"/>
      <c r="N103" s="832"/>
      <c r="O103" s="48">
        <f>IF(t&lt;Tnet,'2023'!Resal+('2023'!Salim-'2023'!Resal)*(1-EXP(('2023'!Tnet-t)/('2023'!Tau_j))),Resal+(Salim-Resal)*(1-EXP((Tnet-t)/(Tau_j))))*Salcycl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5.2380666782106454E-4</v>
      </c>
      <c r="Q103" s="304">
        <f t="shared" si="28"/>
        <v>0.6</v>
      </c>
      <c r="R103" s="177">
        <f t="shared" si="29"/>
        <v>2.3117134783215088E-2</v>
      </c>
      <c r="S103" s="799">
        <f t="shared" si="30"/>
        <v>1</v>
      </c>
      <c r="T103" s="176">
        <f t="shared" si="31"/>
        <v>7</v>
      </c>
      <c r="U103" s="250">
        <f t="shared" si="32"/>
        <v>1.0231171347832151</v>
      </c>
      <c r="V103" s="382">
        <f t="shared" si="33"/>
        <v>51.226850879540848</v>
      </c>
      <c r="W103" s="400">
        <f t="shared" si="34"/>
        <v>7.9756703458465221</v>
      </c>
      <c r="X103" s="157">
        <f t="shared" si="35"/>
        <v>45380</v>
      </c>
      <c r="Y103" s="383">
        <f t="shared" si="36"/>
        <v>7.8095030326500545</v>
      </c>
      <c r="Z103" s="383">
        <f t="shared" si="37"/>
        <v>8.098959366531151</v>
      </c>
      <c r="AA103" s="384">
        <f t="shared" si="38"/>
        <v>8.5952415550983741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5.7739178752090628E-2</v>
      </c>
      <c r="AD103" s="230">
        <f>(INDEX(Models!$BJ103:$BT103,,AH103)*(1-AF103)+INDEX(Models!$BJ103:$BT103,,AH103+1)*AF103-ERP_i)*AE103*Ramure*Pc/MaxiM</f>
        <v>5.2380666782106454E-4</v>
      </c>
      <c r="AE103" s="304">
        <f t="shared" si="40"/>
        <v>0.6</v>
      </c>
      <c r="AF103" s="177">
        <f t="shared" si="41"/>
        <v>2.3117134783215088E-2</v>
      </c>
      <c r="AG103" s="799">
        <f t="shared" si="49"/>
        <v>1</v>
      </c>
      <c r="AH103" s="176">
        <f t="shared" si="42"/>
        <v>7</v>
      </c>
      <c r="AI103" s="224">
        <f t="shared" si="43"/>
        <v>1.0231171347832151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'2023'!Wh/'2023'!Env_an*'2024'!Env_an</f>
        <v>28.408287530945969</v>
      </c>
      <c r="C104" s="829"/>
      <c r="D104" s="391">
        <f t="shared" si="25"/>
        <v>29.461794802116458</v>
      </c>
      <c r="E104" s="383">
        <f t="shared" si="47"/>
        <v>30.618224595880935</v>
      </c>
      <c r="F104" s="383">
        <f t="shared" si="26"/>
        <v>30.623819175180472</v>
      </c>
      <c r="G104" s="110">
        <f t="shared" si="48"/>
        <v>0.55104981043787393</v>
      </c>
      <c r="H104" s="412" t="b">
        <f>Wh_hp&gt;='2023'!Maxi_hp</f>
        <v>0</v>
      </c>
      <c r="I104" s="388">
        <f>IF(H104,Wh_hp,'2023'!Maxi_hp)</f>
        <v>49.948595361830613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3.5758421312974686E-2</v>
      </c>
      <c r="M104" s="832"/>
      <c r="N104" s="832"/>
      <c r="O104" s="48">
        <f>IF(t&lt;Tnet,'2023'!Resal+('2023'!Salim-'2023'!Resal)*(1-EXP(('2023'!Tnet-t)/('2023'!Tau_j))),Resal+(Salim-Resal)*(1-EXP((Tnet-t)/(Tau_j))))*Salcycl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5.0902029057422831E-4</v>
      </c>
      <c r="Q104" s="304">
        <f t="shared" si="28"/>
        <v>0.6</v>
      </c>
      <c r="R104" s="177">
        <f t="shared" si="29"/>
        <v>2.4100259266879531E-2</v>
      </c>
      <c r="S104" s="799">
        <f t="shared" si="30"/>
        <v>1</v>
      </c>
      <c r="T104" s="176">
        <f t="shared" si="31"/>
        <v>7</v>
      </c>
      <c r="U104" s="250">
        <f t="shared" si="32"/>
        <v>1.0241002592668795</v>
      </c>
      <c r="V104" s="382">
        <f t="shared" si="33"/>
        <v>51.536203686822169</v>
      </c>
      <c r="W104" s="400">
        <f t="shared" si="34"/>
        <v>28.408287530945969</v>
      </c>
      <c r="X104" s="157">
        <f t="shared" si="35"/>
        <v>45381</v>
      </c>
      <c r="Y104" s="383">
        <f t="shared" si="36"/>
        <v>27.816906362146479</v>
      </c>
      <c r="Z104" s="383">
        <f t="shared" si="37"/>
        <v>28.848482555609984</v>
      </c>
      <c r="AA104" s="384">
        <f t="shared" si="38"/>
        <v>30.618224595880935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5.7800282793308552E-2</v>
      </c>
      <c r="AD104" s="230">
        <f>(INDEX(Models!$BJ104:$BT104,,AH104)*(1-AF104)+INDEX(Models!$BJ104:$BT104,,AH104+1)*AF104-ERP_i)*AE104*Ramure*Pc/MaxiM</f>
        <v>5.0902029057422831E-4</v>
      </c>
      <c r="AE104" s="304">
        <f t="shared" si="40"/>
        <v>0.6</v>
      </c>
      <c r="AF104" s="177">
        <f t="shared" si="41"/>
        <v>2.4100259266879531E-2</v>
      </c>
      <c r="AG104" s="799">
        <f t="shared" si="49"/>
        <v>1</v>
      </c>
      <c r="AH104" s="176">
        <f t="shared" si="42"/>
        <v>7</v>
      </c>
      <c r="AI104" s="224">
        <f t="shared" si="43"/>
        <v>1.0241002592668795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'2023'!Wh/'2023'!Env_an*'2024'!Env_an</f>
        <v>33.266057647399073</v>
      </c>
      <c r="C105" s="829"/>
      <c r="D105" s="391">
        <f t="shared" si="25"/>
        <v>34.50037410886312</v>
      </c>
      <c r="E105" s="383">
        <f t="shared" si="47"/>
        <v>35.857538823971865</v>
      </c>
      <c r="F105" s="383">
        <f t="shared" si="26"/>
        <v>35.866205554687937</v>
      </c>
      <c r="G105" s="110">
        <f t="shared" si="48"/>
        <v>0.64157374247489085</v>
      </c>
      <c r="H105" s="412" t="b">
        <f>Wh_hp&gt;='2023'!Maxi_hp</f>
        <v>0</v>
      </c>
      <c r="I105" s="388">
        <f>IF(H105,Wh_hp,'2023'!Maxi_hp)</f>
        <v>50.703405728850484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3.577690078285134E-2</v>
      </c>
      <c r="M105" s="832"/>
      <c r="N105" s="832"/>
      <c r="O105" s="48">
        <f>IF(t&lt;Tnet,'2023'!Resal+('2023'!Salim-'2023'!Resal)*(1-EXP(('2023'!Tnet-t)/('2023'!Tau_j))),Resal+(Salim-Resal)*(1-EXP((Tnet-t)/(Tau_j))))*Salcycl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4.9496755502748905E-4</v>
      </c>
      <c r="Q105" s="304">
        <f t="shared" si="28"/>
        <v>0.6</v>
      </c>
      <c r="R105" s="177">
        <f t="shared" si="29"/>
        <v>2.5120318336164793E-2</v>
      </c>
      <c r="S105" s="799">
        <f t="shared" si="30"/>
        <v>1</v>
      </c>
      <c r="T105" s="176">
        <f t="shared" si="31"/>
        <v>7</v>
      </c>
      <c r="U105" s="250">
        <f t="shared" si="32"/>
        <v>1.0251203183361648</v>
      </c>
      <c r="V105" s="382">
        <f t="shared" si="33"/>
        <v>51.837577224578737</v>
      </c>
      <c r="W105" s="400">
        <f t="shared" si="34"/>
        <v>33.266057647399073</v>
      </c>
      <c r="X105" s="157">
        <f t="shared" si="35"/>
        <v>45382</v>
      </c>
      <c r="Y105" s="383">
        <f t="shared" si="36"/>
        <v>32.574112098112316</v>
      </c>
      <c r="Z105" s="383">
        <f t="shared" si="37"/>
        <v>33.782754348614127</v>
      </c>
      <c r="AA105" s="384">
        <f t="shared" si="38"/>
        <v>35.857538823971865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5.7861876286129321E-2</v>
      </c>
      <c r="AD105" s="230">
        <f>(INDEX(Models!$BJ105:$BT105,,AH105)*(1-AF105)+INDEX(Models!$BJ105:$BT105,,AH105+1)*AF105-ERP_i)*AE105*Ramure*Pc/MaxiM</f>
        <v>4.9496755502748905E-4</v>
      </c>
      <c r="AE105" s="304">
        <f t="shared" si="40"/>
        <v>0.6</v>
      </c>
      <c r="AF105" s="177">
        <f t="shared" si="41"/>
        <v>2.5120318336164793E-2</v>
      </c>
      <c r="AG105" s="799">
        <f t="shared" si="49"/>
        <v>1</v>
      </c>
      <c r="AH105" s="176">
        <f t="shared" si="42"/>
        <v>7</v>
      </c>
      <c r="AI105" s="224">
        <f t="shared" si="43"/>
        <v>1.0251203183361648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'2023'!Wh/'2023'!Env_an*'2024'!Env_an</f>
        <v>20.766825375258978</v>
      </c>
      <c r="C106" s="829"/>
      <c r="D106" s="391">
        <f t="shared" si="25"/>
        <v>21.537778332854774</v>
      </c>
      <c r="E106" s="383">
        <f t="shared" si="47"/>
        <v>22.386880723048691</v>
      </c>
      <c r="F106" s="383">
        <f t="shared" si="26"/>
        <v>22.388395976235994</v>
      </c>
      <c r="G106" s="110">
        <f t="shared" si="48"/>
        <v>0.39819998534705681</v>
      </c>
      <c r="H106" s="412" t="b">
        <f>Wh_hp&gt;='2023'!Maxi_hp</f>
        <v>0</v>
      </c>
      <c r="I106" s="388">
        <f>IF(H106,Wh_hp,'2023'!Maxi_hp)</f>
        <v>45.942881049826532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3.5795379898573176E-2</v>
      </c>
      <c r="M106" s="832"/>
      <c r="N106" s="832"/>
      <c r="O106" s="48">
        <f>IF(t&lt;Tnet,'2023'!Resal+('2023'!Salim-'2023'!Resal)*(1-EXP(('2023'!Tnet-t)/('2023'!Tau_j))),Resal+(Salim-Resal)*(1-EXP((Tnet-t)/(Tau_j))))*Salcycl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4.8163728668792252E-4</v>
      </c>
      <c r="Q106" s="304">
        <f t="shared" si="28"/>
        <v>0.6</v>
      </c>
      <c r="R106" s="177">
        <f t="shared" si="29"/>
        <v>2.6178522385604142E-2</v>
      </c>
      <c r="S106" s="799">
        <f t="shared" si="30"/>
        <v>1</v>
      </c>
      <c r="T106" s="176">
        <f t="shared" si="31"/>
        <v>7</v>
      </c>
      <c r="U106" s="250">
        <f t="shared" si="32"/>
        <v>1.0261785223856041</v>
      </c>
      <c r="V106" s="382">
        <f t="shared" si="33"/>
        <v>52.130158173403373</v>
      </c>
      <c r="W106" s="400">
        <f t="shared" si="34"/>
        <v>20.766825375258978</v>
      </c>
      <c r="X106" s="157">
        <f t="shared" si="35"/>
        <v>45383</v>
      </c>
      <c r="Y106" s="383">
        <f t="shared" si="36"/>
        <v>20.335213766645946</v>
      </c>
      <c r="Z106" s="383">
        <f t="shared" si="37"/>
        <v>21.090143464057288</v>
      </c>
      <c r="AA106" s="384">
        <f t="shared" si="38"/>
        <v>22.386880723048691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5.7923981238544392E-2</v>
      </c>
      <c r="AD106" s="230">
        <f>(INDEX(Models!$BJ106:$BT106,,AH106)*(1-AF106)+INDEX(Models!$BJ106:$BT106,,AH106+1)*AF106-ERP_i)*AE106*Ramure*Pc/MaxiM</f>
        <v>4.8163728668792252E-4</v>
      </c>
      <c r="AE106" s="304">
        <f t="shared" si="40"/>
        <v>0.6</v>
      </c>
      <c r="AF106" s="177">
        <f t="shared" si="41"/>
        <v>2.6178522385604142E-2</v>
      </c>
      <c r="AG106" s="799">
        <f t="shared" si="49"/>
        <v>1</v>
      </c>
      <c r="AH106" s="176">
        <f t="shared" si="42"/>
        <v>7</v>
      </c>
      <c r="AI106" s="224">
        <f t="shared" si="43"/>
        <v>1.0261785223856041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'2023'!Wh/'2023'!Env_an*'2024'!Env_an</f>
        <v>23.103209797463848</v>
      </c>
      <c r="C107" s="829"/>
      <c r="D107" s="391">
        <f t="shared" si="25"/>
        <v>23.961358504239801</v>
      </c>
      <c r="E107" s="383">
        <f t="shared" si="47"/>
        <v>24.908081425166451</v>
      </c>
      <c r="F107" s="383">
        <f t="shared" si="26"/>
        <v>24.910430891775196</v>
      </c>
      <c r="G107" s="110">
        <f t="shared" si="48"/>
        <v>0.4406063267288961</v>
      </c>
      <c r="H107" s="412" t="b">
        <f>Wh_hp&gt;='2023'!Maxi_hp</f>
        <v>0</v>
      </c>
      <c r="I107" s="388">
        <f>IF(H107,Wh_hp,'2023'!Maxi_hp)</f>
        <v>55.561785950469968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3.5813858660146969E-2</v>
      </c>
      <c r="M107" s="832"/>
      <c r="N107" s="832"/>
      <c r="O107" s="48">
        <f>IF(t&lt;Tnet,'2023'!Resal+('2023'!Salim-'2023'!Resal)*(1-EXP(('2023'!Tnet-t)/('2023'!Tau_j))),Resal+(Salim-Resal)*(1-EXP((Tnet-t)/(Tau_j))))*Salcycl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4.6899840480078142E-4</v>
      </c>
      <c r="Q107" s="304">
        <f t="shared" si="28"/>
        <v>0.6</v>
      </c>
      <c r="R107" s="177">
        <f t="shared" si="29"/>
        <v>2.7276107190417509E-2</v>
      </c>
      <c r="S107" s="799">
        <f t="shared" si="30"/>
        <v>1</v>
      </c>
      <c r="T107" s="176">
        <f t="shared" si="31"/>
        <v>7</v>
      </c>
      <c r="U107" s="250">
        <f t="shared" si="32"/>
        <v>1.0272761071904175</v>
      </c>
      <c r="V107" s="382">
        <f t="shared" si="33"/>
        <v>52.415390399777799</v>
      </c>
      <c r="W107" s="400">
        <f t="shared" si="34"/>
        <v>23.103209797463848</v>
      </c>
      <c r="X107" s="157">
        <f t="shared" si="35"/>
        <v>45384</v>
      </c>
      <c r="Y107" s="383">
        <f t="shared" si="36"/>
        <v>22.623418708021205</v>
      </c>
      <c r="Z107" s="383">
        <f t="shared" si="37"/>
        <v>23.463745990564885</v>
      </c>
      <c r="AA107" s="384">
        <f t="shared" si="38"/>
        <v>24.908081425166451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5.7986619280208818E-2</v>
      </c>
      <c r="AD107" s="230">
        <f>(INDEX(Models!$BJ107:$BT107,,AH107)*(1-AF107)+INDEX(Models!$BJ107:$BT107,,AH107+1)*AF107-ERP_i)*AE107*Ramure*Pc/MaxiM</f>
        <v>4.6899840480078142E-4</v>
      </c>
      <c r="AE107" s="304">
        <f t="shared" si="40"/>
        <v>0.6</v>
      </c>
      <c r="AF107" s="177">
        <f t="shared" si="41"/>
        <v>2.7276107190417509E-2</v>
      </c>
      <c r="AG107" s="799">
        <f t="shared" si="49"/>
        <v>1</v>
      </c>
      <c r="AH107" s="176">
        <f t="shared" si="42"/>
        <v>7</v>
      </c>
      <c r="AI107" s="224">
        <f t="shared" si="43"/>
        <v>1.0272761071904175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'2023'!Wh/'2023'!Env_an*'2024'!Env_an</f>
        <v>46.506580356828401</v>
      </c>
      <c r="C108" s="829"/>
      <c r="D108" s="391">
        <f t="shared" si="25"/>
        <v>48.234951393602273</v>
      </c>
      <c r="E108" s="383">
        <f t="shared" si="47"/>
        <v>50.14492623902413</v>
      </c>
      <c r="F108" s="383">
        <f t="shared" si="26"/>
        <v>50.164009420690569</v>
      </c>
      <c r="G108" s="110">
        <f t="shared" si="48"/>
        <v>0.8824906879939538</v>
      </c>
      <c r="H108" s="412" t="b">
        <f>Wh_hp&gt;='2023'!Maxi_hp</f>
        <v>0</v>
      </c>
      <c r="I108" s="388">
        <f>IF(H108,Wh_hp,'2023'!Maxi_hp)</f>
        <v>57.558924699627966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3.58323370675796E-2</v>
      </c>
      <c r="M108" s="832"/>
      <c r="N108" s="832"/>
      <c r="O108" s="48">
        <f>IF(t&lt;Tnet,'2023'!Resal+('2023'!Salim-'2023'!Resal)*(1-EXP(('2023'!Tnet-t)/('2023'!Tau_j))),Resal+(Salim-Resal)*(1-EXP((Tnet-t)/(Tau_j))))*Salcycl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4.5710620535441862E-4</v>
      </c>
      <c r="Q108" s="304">
        <f t="shared" si="28"/>
        <v>0.6</v>
      </c>
      <c r="R108" s="177">
        <f t="shared" si="29"/>
        <v>2.8414333225270205E-2</v>
      </c>
      <c r="S108" s="799">
        <f t="shared" si="30"/>
        <v>1</v>
      </c>
      <c r="T108" s="176">
        <f t="shared" si="31"/>
        <v>7</v>
      </c>
      <c r="U108" s="250">
        <f t="shared" si="32"/>
        <v>1.0284143332252702</v>
      </c>
      <c r="V108" s="382">
        <f t="shared" si="33"/>
        <v>52.695187636061</v>
      </c>
      <c r="W108" s="400">
        <f t="shared" si="34"/>
        <v>46.506580356828401</v>
      </c>
      <c r="X108" s="157">
        <f t="shared" si="35"/>
        <v>45385</v>
      </c>
      <c r="Y108" s="383">
        <f t="shared" si="36"/>
        <v>45.541517294246034</v>
      </c>
      <c r="Z108" s="383">
        <f t="shared" si="37"/>
        <v>47.234022717310417</v>
      </c>
      <c r="AA108" s="384">
        <f t="shared" si="38"/>
        <v>50.14492623902413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5.8049811616800708E-2</v>
      </c>
      <c r="AD108" s="230">
        <f>(INDEX(Models!$BJ108:$BT108,,AH108)*(1-AF108)+INDEX(Models!$BJ108:$BT108,,AH108+1)*AF108-ERP_i)*AE108*Ramure*Pc/MaxiM</f>
        <v>4.5710620535441862E-4</v>
      </c>
      <c r="AE108" s="304">
        <f t="shared" si="40"/>
        <v>0.6</v>
      </c>
      <c r="AF108" s="177">
        <f t="shared" si="41"/>
        <v>2.8414333225270205E-2</v>
      </c>
      <c r="AG108" s="799">
        <f t="shared" si="49"/>
        <v>1</v>
      </c>
      <c r="AH108" s="176">
        <f t="shared" si="42"/>
        <v>7</v>
      </c>
      <c r="AI108" s="224">
        <f t="shared" si="43"/>
        <v>1.0284143332252702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'2023'!Wh/'2023'!Env_an*'2024'!Env_an</f>
        <v>53.365783760585408</v>
      </c>
      <c r="C109" s="829"/>
      <c r="D109" s="391">
        <f t="shared" si="25"/>
        <v>55.350131076733739</v>
      </c>
      <c r="E109" s="383">
        <f t="shared" si="47"/>
        <v>57.546680685382078</v>
      </c>
      <c r="F109" s="383">
        <f t="shared" si="26"/>
        <v>57.572341328599016</v>
      </c>
      <c r="G109" s="110">
        <f t="shared" si="48"/>
        <v>1.007482097951178</v>
      </c>
      <c r="H109" s="412" t="b">
        <f>Wh_hp&gt;='2023'!Maxi_hp</f>
        <v>0</v>
      </c>
      <c r="I109" s="388">
        <f>IF(H109,Wh_hp,'2023'!Maxi_hp)</f>
        <v>59.132284614261103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3.5850815120877733E-2</v>
      </c>
      <c r="M109" s="832"/>
      <c r="N109" s="832"/>
      <c r="O109" s="48">
        <f>IF(t&lt;Tnet,'2023'!Resal+('2023'!Salim-'2023'!Resal)*(1-EXP(('2023'!Tnet-t)/('2023'!Tau_j))),Resal+(Salim-Resal)*(1-EXP((Tnet-t)/(Tau_j))))*Salcycl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4.4571130207262386E-4</v>
      </c>
      <c r="Q109" s="304">
        <f t="shared" si="28"/>
        <v>0.6</v>
      </c>
      <c r="R109" s="177">
        <f t="shared" si="29"/>
        <v>2.9594484853288971E-2</v>
      </c>
      <c r="S109" s="799">
        <f t="shared" si="30"/>
        <v>1</v>
      </c>
      <c r="T109" s="176">
        <f t="shared" si="31"/>
        <v>7</v>
      </c>
      <c r="U109" s="250">
        <f t="shared" si="32"/>
        <v>1.029594484853289</v>
      </c>
      <c r="V109" s="382">
        <f t="shared" si="33"/>
        <v>52.969461064479859</v>
      </c>
      <c r="W109" s="400">
        <f t="shared" si="34"/>
        <v>53.365783760585408</v>
      </c>
      <c r="X109" s="157">
        <f t="shared" si="35"/>
        <v>45386</v>
      </c>
      <c r="Y109" s="383">
        <f t="shared" si="36"/>
        <v>52.259235559981562</v>
      </c>
      <c r="Z109" s="383">
        <f t="shared" si="37"/>
        <v>54.202437111984317</v>
      </c>
      <c r="AA109" s="384">
        <f t="shared" si="38"/>
        <v>57.546680685382078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5.8113578986098882E-2</v>
      </c>
      <c r="AD109" s="230">
        <f>(INDEX(Models!$BJ109:$BT109,,AH109)*(1-AF109)+INDEX(Models!$BJ109:$BT109,,AH109+1)*AF109-ERP_i)*AE109*Ramure*Pc/MaxiM</f>
        <v>4.4571130207262386E-4</v>
      </c>
      <c r="AE109" s="304">
        <f t="shared" si="40"/>
        <v>0.6</v>
      </c>
      <c r="AF109" s="177">
        <f t="shared" si="41"/>
        <v>2.9594484853288971E-2</v>
      </c>
      <c r="AG109" s="799">
        <f t="shared" si="49"/>
        <v>1</v>
      </c>
      <c r="AH109" s="176">
        <f t="shared" si="42"/>
        <v>7</v>
      </c>
      <c r="AI109" s="224">
        <f t="shared" si="43"/>
        <v>1.029594484853289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'2023'!Wh/'2023'!Env_an*'2024'!Env_an</f>
        <v>11.551276035135711</v>
      </c>
      <c r="C110" s="829"/>
      <c r="D110" s="391">
        <f t="shared" si="25"/>
        <v>11.981027000916487</v>
      </c>
      <c r="E110" s="383">
        <f t="shared" si="47"/>
        <v>12.45754064110298</v>
      </c>
      <c r="F110" s="383">
        <f t="shared" si="26"/>
        <v>12.45754064110298</v>
      </c>
      <c r="G110" s="110">
        <f t="shared" si="48"/>
        <v>0.21687948004690458</v>
      </c>
      <c r="H110" s="412" t="b">
        <f>Wh_hp&gt;='2023'!Maxi_hp</f>
        <v>0</v>
      </c>
      <c r="I110" s="388">
        <f>IF(H110,Wh_hp,'2023'!Maxi_hp)</f>
        <v>59.680123270108488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3.5869292820048138E-2</v>
      </c>
      <c r="M110" s="832"/>
      <c r="N110" s="832"/>
      <c r="O110" s="48">
        <f>IF(t&lt;Tnet,'2023'!Resal+('2023'!Salim-'2023'!Resal)*(1-EXP(('2023'!Tnet-t)/('2023'!Tau_j))),Resal+(Salim-Resal)*(1-EXP((Tnet-t)/(Tau_j))))*Salcycl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4.3480285441498817E-4</v>
      </c>
      <c r="Q110" s="304">
        <f t="shared" si="28"/>
        <v>0.6</v>
      </c>
      <c r="R110" s="177">
        <f t="shared" si="29"/>
        <v>3.0817869376329243E-2</v>
      </c>
      <c r="S110" s="799">
        <f t="shared" si="30"/>
        <v>1</v>
      </c>
      <c r="T110" s="176">
        <f t="shared" si="31"/>
        <v>7</v>
      </c>
      <c r="U110" s="250">
        <f t="shared" si="32"/>
        <v>1.0308178693763292</v>
      </c>
      <c r="V110" s="382">
        <f t="shared" si="33"/>
        <v>53.238109501398597</v>
      </c>
      <c r="W110" s="400">
        <f t="shared" si="34"/>
        <v>11.551276035135711</v>
      </c>
      <c r="X110" s="157">
        <f t="shared" si="35"/>
        <v>45387</v>
      </c>
      <c r="Y110" s="383">
        <f t="shared" si="36"/>
        <v>11.311939811972536</v>
      </c>
      <c r="Z110" s="383">
        <f t="shared" si="37"/>
        <v>11.732786569011539</v>
      </c>
      <c r="AA110" s="384">
        <f t="shared" si="38"/>
        <v>12.45754064110298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5.8177941615550864E-2</v>
      </c>
      <c r="AD110" s="230">
        <f>(INDEX(Models!$BJ110:$BT110,,AH110)*(1-AF110)+INDEX(Models!$BJ110:$BT110,,AH110+1)*AF110-ERP_i)*AE110*Ramure*Pc/MaxiM</f>
        <v>4.3480285441498817E-4</v>
      </c>
      <c r="AE110" s="304">
        <f t="shared" si="40"/>
        <v>0.6</v>
      </c>
      <c r="AF110" s="177">
        <f t="shared" si="41"/>
        <v>3.0817869376329243E-2</v>
      </c>
      <c r="AG110" s="799">
        <f t="shared" si="49"/>
        <v>1</v>
      </c>
      <c r="AH110" s="176">
        <f t="shared" si="42"/>
        <v>7</v>
      </c>
      <c r="AI110" s="224">
        <f t="shared" si="43"/>
        <v>1.0308178693763292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'2023'!Wh/'2023'!Env_an*'2024'!Env_an</f>
        <v>38.77648849291689</v>
      </c>
      <c r="C111" s="829"/>
      <c r="D111" s="391">
        <f t="shared" si="25"/>
        <v>40.219890685918486</v>
      </c>
      <c r="E111" s="383">
        <f t="shared" si="47"/>
        <v>41.823075609612403</v>
      </c>
      <c r="F111" s="383">
        <f t="shared" si="26"/>
        <v>41.833848674671593</v>
      </c>
      <c r="G111" s="110">
        <f t="shared" si="48"/>
        <v>0.72465923823446732</v>
      </c>
      <c r="H111" s="412" t="b">
        <f>Wh_hp&gt;='2023'!Maxi_hp</f>
        <v>0</v>
      </c>
      <c r="I111" s="388">
        <f>IF(H111,Wh_hp,'2023'!Maxi_hp)</f>
        <v>57.850737846912956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3.5887770165097699E-2</v>
      </c>
      <c r="M111" s="832"/>
      <c r="N111" s="832"/>
      <c r="O111" s="48">
        <f>IF(t&lt;Tnet,'2023'!Resal+('2023'!Salim-'2023'!Resal)*(1-EXP(('2023'!Tnet-t)/('2023'!Tau_j))),Resal+(Salim-Resal)*(1-EXP((Tnet-t)/(Tau_j))))*Salcycl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4.243705497299633E-4</v>
      </c>
      <c r="Q111" s="304">
        <f t="shared" si="28"/>
        <v>0.6</v>
      </c>
      <c r="R111" s="177">
        <f t="shared" si="29"/>
        <v>3.2085815937278328E-2</v>
      </c>
      <c r="S111" s="799">
        <f t="shared" si="30"/>
        <v>1</v>
      </c>
      <c r="T111" s="176">
        <f t="shared" si="31"/>
        <v>7</v>
      </c>
      <c r="U111" s="250">
        <f t="shared" si="32"/>
        <v>1.0320858159372783</v>
      </c>
      <c r="V111" s="382">
        <f t="shared" si="33"/>
        <v>53.501031814412329</v>
      </c>
      <c r="W111" s="400">
        <f t="shared" si="34"/>
        <v>38.77648849291689</v>
      </c>
      <c r="X111" s="157">
        <f t="shared" si="35"/>
        <v>45388</v>
      </c>
      <c r="Y111" s="383">
        <f t="shared" si="36"/>
        <v>37.97365961992557</v>
      </c>
      <c r="Z111" s="383">
        <f t="shared" si="37"/>
        <v>39.387177596977793</v>
      </c>
      <c r="AA111" s="384">
        <f t="shared" si="38"/>
        <v>41.823075609612403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5.8242919181074132E-2</v>
      </c>
      <c r="AD111" s="230">
        <f>(INDEX(Models!$BJ111:$BT111,,AH111)*(1-AF111)+INDEX(Models!$BJ111:$BT111,,AH111+1)*AF111-ERP_i)*AE111*Ramure*Pc/MaxiM</f>
        <v>4.243705497299633E-4</v>
      </c>
      <c r="AE111" s="304">
        <f t="shared" si="40"/>
        <v>0.6</v>
      </c>
      <c r="AF111" s="177">
        <f t="shared" si="41"/>
        <v>3.2085815937278328E-2</v>
      </c>
      <c r="AG111" s="799">
        <f t="shared" si="49"/>
        <v>1</v>
      </c>
      <c r="AH111" s="176">
        <f t="shared" si="42"/>
        <v>7</v>
      </c>
      <c r="AI111" s="224">
        <f t="shared" si="43"/>
        <v>1.0320858159372783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'2023'!Wh/'2023'!Env_an*'2024'!Env_an</f>
        <v>31.502929617199865</v>
      </c>
      <c r="C112" s="829"/>
      <c r="D112" s="391">
        <f t="shared" si="25"/>
        <v>32.676209678021259</v>
      </c>
      <c r="E112" s="383">
        <f t="shared" si="47"/>
        <v>33.981594365093812</v>
      </c>
      <c r="F112" s="383">
        <f t="shared" si="26"/>
        <v>33.987349144962366</v>
      </c>
      <c r="G112" s="110">
        <f t="shared" si="48"/>
        <v>0.58586876566212298</v>
      </c>
      <c r="H112" s="412" t="b">
        <f>Wh_hp&gt;='2023'!Maxi_hp</f>
        <v>0</v>
      </c>
      <c r="I112" s="388">
        <f>IF(H112,Wh_hp,'2023'!Maxi_hp)</f>
        <v>57.096062387011123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3.5906247156033078E-2</v>
      </c>
      <c r="M112" s="832"/>
      <c r="N112" s="832"/>
      <c r="O112" s="48">
        <f>IF(t&lt;Tnet,'2023'!Resal+('2023'!Salim-'2023'!Resal)*(1-EXP(('2023'!Tnet-t)/('2023'!Tau_j))),Resal+(Salim-Resal)*(1-EXP((Tnet-t)/(Tau_j))))*Salcycl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4.1440461418859289E-4</v>
      </c>
      <c r="Q112" s="304">
        <f t="shared" si="28"/>
        <v>0.6</v>
      </c>
      <c r="R112" s="177">
        <f t="shared" si="29"/>
        <v>3.3399674265021773E-2</v>
      </c>
      <c r="S112" s="799">
        <f t="shared" si="30"/>
        <v>1</v>
      </c>
      <c r="T112" s="176">
        <f t="shared" si="31"/>
        <v>7</v>
      </c>
      <c r="U112" s="250">
        <f t="shared" si="32"/>
        <v>1.0333996742650218</v>
      </c>
      <c r="V112" s="382">
        <f t="shared" si="33"/>
        <v>53.758126923830311</v>
      </c>
      <c r="W112" s="400">
        <f t="shared" si="34"/>
        <v>31.502929617199865</v>
      </c>
      <c r="X112" s="157">
        <f t="shared" si="35"/>
        <v>45389</v>
      </c>
      <c r="Y112" s="383">
        <f t="shared" si="36"/>
        <v>30.851171241318003</v>
      </c>
      <c r="Z112" s="383">
        <f t="shared" si="37"/>
        <v>32.000177524551482</v>
      </c>
      <c r="AA112" s="384">
        <f t="shared" si="38"/>
        <v>33.981594365093812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5.8308530766810099E-2</v>
      </c>
      <c r="AD112" s="230">
        <f>(INDEX(Models!$BJ112:$BT112,,AH112)*(1-AF112)+INDEX(Models!$BJ112:$BT112,,AH112+1)*AF112-ERP_i)*AE112*Ramure*Pc/MaxiM</f>
        <v>4.1440461418859289E-4</v>
      </c>
      <c r="AE112" s="304">
        <f t="shared" si="40"/>
        <v>0.6</v>
      </c>
      <c r="AF112" s="177">
        <f t="shared" si="41"/>
        <v>3.3399674265021773E-2</v>
      </c>
      <c r="AG112" s="799">
        <f t="shared" si="49"/>
        <v>1</v>
      </c>
      <c r="AH112" s="176">
        <f t="shared" si="42"/>
        <v>7</v>
      </c>
      <c r="AI112" s="224">
        <f t="shared" si="43"/>
        <v>1.0333996742650218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'2023'!Wh/'2023'!Env_an*'2024'!Env_an</f>
        <v>36.958789625534045</v>
      </c>
      <c r="C113" s="829"/>
      <c r="D113" s="391">
        <f t="shared" si="25"/>
        <v>38.335999830777915</v>
      </c>
      <c r="E113" s="383">
        <f t="shared" si="47"/>
        <v>39.870901432333255</v>
      </c>
      <c r="F113" s="383">
        <f t="shared" si="26"/>
        <v>39.879766316328443</v>
      </c>
      <c r="G113" s="110">
        <f t="shared" si="48"/>
        <v>0.68417927070481921</v>
      </c>
      <c r="H113" s="412" t="b">
        <f>Wh_hp&gt;='2023'!Maxi_hp</f>
        <v>0</v>
      </c>
      <c r="I113" s="388">
        <f>IF(H113,Wh_hp,'2023'!Maxi_hp)</f>
        <v>45.048186570983958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3.5924723792861268E-2</v>
      </c>
      <c r="M113" s="832"/>
      <c r="N113" s="832"/>
      <c r="O113" s="48">
        <f>IF(t&lt;Tnet,'2023'!Resal+('2023'!Salim-'2023'!Resal)*(1-EXP(('2023'!Tnet-t)/('2023'!Tau_j))),Resal+(Salim-Resal)*(1-EXP((Tnet-t)/(Tau_j))))*Salcycl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4.0489582407799183E-4</v>
      </c>
      <c r="Q113" s="304">
        <f t="shared" si="28"/>
        <v>0.6</v>
      </c>
      <c r="R113" s="177">
        <f t="shared" si="29"/>
        <v>3.4760813252587841E-2</v>
      </c>
      <c r="S113" s="799">
        <f t="shared" si="30"/>
        <v>1</v>
      </c>
      <c r="T113" s="176">
        <f t="shared" si="31"/>
        <v>7</v>
      </c>
      <c r="U113" s="250">
        <f t="shared" si="32"/>
        <v>1.0347608132525878</v>
      </c>
      <c r="V113" s="382">
        <f t="shared" si="33"/>
        <v>54.009293801960432</v>
      </c>
      <c r="W113" s="400">
        <f t="shared" si="34"/>
        <v>36.958789625534045</v>
      </c>
      <c r="X113" s="157">
        <f t="shared" si="35"/>
        <v>45390</v>
      </c>
      <c r="Y113" s="383">
        <f t="shared" si="36"/>
        <v>36.194707823208461</v>
      </c>
      <c r="Z113" s="383">
        <f t="shared" si="37"/>
        <v>37.543445741711729</v>
      </c>
      <c r="AA113" s="384">
        <f t="shared" si="38"/>
        <v>39.870901432333255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5.8374794825533684E-2</v>
      </c>
      <c r="AD113" s="230">
        <f>(INDEX(Models!$BJ113:$BT113,,AH113)*(1-AF113)+INDEX(Models!$BJ113:$BT113,,AH113+1)*AF113-ERP_i)*AE113*Ramure*Pc/MaxiM</f>
        <v>4.0489582407799183E-4</v>
      </c>
      <c r="AE113" s="304">
        <f t="shared" si="40"/>
        <v>0.6</v>
      </c>
      <c r="AF113" s="177">
        <f t="shared" si="41"/>
        <v>3.4760813252587841E-2</v>
      </c>
      <c r="AG113" s="799">
        <f t="shared" si="49"/>
        <v>1</v>
      </c>
      <c r="AH113" s="176">
        <f t="shared" si="42"/>
        <v>7</v>
      </c>
      <c r="AI113" s="224">
        <f t="shared" si="43"/>
        <v>1.0347608132525878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'2023'!Wh/'2023'!Env_an*'2024'!Env_an</f>
        <v>54.042848999829033</v>
      </c>
      <c r="C114" s="829"/>
      <c r="D114" s="391">
        <f t="shared" si="25"/>
        <v>56.057743697328178</v>
      </c>
      <c r="E114" s="383">
        <f t="shared" si="47"/>
        <v>58.307208467009104</v>
      </c>
      <c r="F114" s="383">
        <f t="shared" si="26"/>
        <v>58.330171985183803</v>
      </c>
      <c r="G114" s="110">
        <f t="shared" si="48"/>
        <v>0.99609803432426336</v>
      </c>
      <c r="H114" s="412" t="b">
        <f>Wh_hp&gt;='2023'!Maxi_hp</f>
        <v>0</v>
      </c>
      <c r="I114" s="388">
        <f>IF(H114,Wh_hp,'2023'!Maxi_hp)</f>
        <v>58.33024090130305</v>
      </c>
      <c r="J114" s="85">
        <f>IF(H114,An,'2023'!An_max)</f>
        <v>2022</v>
      </c>
      <c r="K114" s="197">
        <f t="shared" si="27"/>
        <v>45391</v>
      </c>
      <c r="L114" s="147">
        <f>IF(t&lt;Tvie,1-EXP((T0-t)*PertePVj)+'2023'!Pspv,1-EXP((T0-t)*PertePVj)+Pspv)</f>
        <v>3.5943200075588821E-2</v>
      </c>
      <c r="M114" s="832"/>
      <c r="N114" s="832"/>
      <c r="O114" s="48">
        <f>IF(t&lt;Tnet,'2023'!Resal+('2023'!Salim-'2023'!Resal)*(1-EXP(('2023'!Tnet-t)/('2023'!Tau_j))),Resal+(Salim-Resal)*(1-EXP((Tnet-t)/(Tau_j))))*Salcycl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3.9588717279447045E-4</v>
      </c>
      <c r="Q114" s="304">
        <f t="shared" si="28"/>
        <v>0.6</v>
      </c>
      <c r="R114" s="177">
        <f t="shared" si="29"/>
        <v>3.61706193589304E-2</v>
      </c>
      <c r="S114" s="799">
        <f t="shared" si="30"/>
        <v>1</v>
      </c>
      <c r="T114" s="176">
        <f t="shared" si="31"/>
        <v>7</v>
      </c>
      <c r="U114" s="250">
        <f t="shared" si="32"/>
        <v>1.0361706193589304</v>
      </c>
      <c r="V114" s="382">
        <f t="shared" si="33"/>
        <v>54.254428678446956</v>
      </c>
      <c r="W114" s="400">
        <f t="shared" si="34"/>
        <v>54.042848999829033</v>
      </c>
      <c r="X114" s="157">
        <f t="shared" si="35"/>
        <v>45391</v>
      </c>
      <c r="Y114" s="383">
        <f t="shared" si="36"/>
        <v>52.926365840203594</v>
      </c>
      <c r="Z114" s="383">
        <f t="shared" si="37"/>
        <v>54.899634382905028</v>
      </c>
      <c r="AA114" s="384">
        <f t="shared" si="38"/>
        <v>58.307208467009104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5.8441729139410224E-2</v>
      </c>
      <c r="AD114" s="230">
        <f>(INDEX(Models!$BJ114:$BT114,,AH114)*(1-AF114)+INDEX(Models!$BJ114:$BT114,,AH114+1)*AF114-ERP_i)*AE114*Ramure*Pc/MaxiM</f>
        <v>3.9588717279447045E-4</v>
      </c>
      <c r="AE114" s="304">
        <f t="shared" si="40"/>
        <v>0.6</v>
      </c>
      <c r="AF114" s="177">
        <f t="shared" si="41"/>
        <v>3.61706193589304E-2</v>
      </c>
      <c r="AG114" s="799">
        <f t="shared" si="49"/>
        <v>1</v>
      </c>
      <c r="AH114" s="176">
        <f t="shared" si="42"/>
        <v>7</v>
      </c>
      <c r="AI114" s="224">
        <f t="shared" si="43"/>
        <v>1.0361706193589304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'2023'!Wh/'2023'!Env_an*'2024'!Env_an</f>
        <v>44.790752281233424</v>
      </c>
      <c r="C115" s="829"/>
      <c r="D115" s="391">
        <f t="shared" si="25"/>
        <v>46.461588887445117</v>
      </c>
      <c r="E115" s="383">
        <f t="shared" si="47"/>
        <v>48.330163895525075</v>
      </c>
      <c r="F115" s="383">
        <f t="shared" si="26"/>
        <v>48.344119521661312</v>
      </c>
      <c r="G115" s="110">
        <f t="shared" si="48"/>
        <v>0.8218665948168683</v>
      </c>
      <c r="H115" s="412" t="b">
        <f>Wh_hp&gt;='2023'!Maxi_hp</f>
        <v>0</v>
      </c>
      <c r="I115" s="388">
        <f>IF(H115,Wh_hp,'2023'!Maxi_hp)</f>
        <v>59.403908056990687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3.596167600422262E-2</v>
      </c>
      <c r="M115" s="832"/>
      <c r="N115" s="832"/>
      <c r="O115" s="48">
        <f>IF(t&lt;Tnet,'2023'!Resal+('2023'!Salim-'2023'!Resal)*(1-EXP(('2023'!Tnet-t)/('2023'!Tau_j))),Resal+(Salim-Resal)*(1-EXP((Tnet-t)/(Tau_j))))*Salcycl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3.8714783959803141E-4</v>
      </c>
      <c r="Q115" s="304">
        <f t="shared" si="28"/>
        <v>0.6</v>
      </c>
      <c r="R115" s="177">
        <f t="shared" si="29"/>
        <v>3.7630494824827387E-2</v>
      </c>
      <c r="S115" s="799">
        <f t="shared" si="30"/>
        <v>1</v>
      </c>
      <c r="T115" s="176">
        <f t="shared" si="31"/>
        <v>7</v>
      </c>
      <c r="U115" s="250">
        <f t="shared" si="32"/>
        <v>1.0376304948248274</v>
      </c>
      <c r="V115" s="382">
        <f t="shared" si="33"/>
        <v>54.493442747501831</v>
      </c>
      <c r="W115" s="400">
        <f t="shared" si="34"/>
        <v>44.790752281233424</v>
      </c>
      <c r="X115" s="157">
        <f t="shared" si="35"/>
        <v>45392</v>
      </c>
      <c r="Y115" s="383">
        <f t="shared" si="36"/>
        <v>43.866054910770714</v>
      </c>
      <c r="Z115" s="383">
        <f t="shared" si="37"/>
        <v>45.502397382868828</v>
      </c>
      <c r="AA115" s="384">
        <f t="shared" si="38"/>
        <v>48.330163895525075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5.850935078078786E-2</v>
      </c>
      <c r="AD115" s="230">
        <f>(INDEX(Models!$BJ115:$BT115,,AH115)*(1-AF115)+INDEX(Models!$BJ115:$BT115,,AH115+1)*AF115-ERP_i)*AE115*Ramure*Pc/MaxiM</f>
        <v>3.8714783959803141E-4</v>
      </c>
      <c r="AE115" s="304">
        <f t="shared" si="40"/>
        <v>0.6</v>
      </c>
      <c r="AF115" s="177">
        <f t="shared" si="41"/>
        <v>3.7630494824827387E-2</v>
      </c>
      <c r="AG115" s="799">
        <f t="shared" si="49"/>
        <v>1</v>
      </c>
      <c r="AH115" s="176">
        <f t="shared" si="42"/>
        <v>7</v>
      </c>
      <c r="AI115" s="224">
        <f t="shared" si="43"/>
        <v>1.0376304948248274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'2023'!Wh/'2023'!Env_an*'2024'!Env_an</f>
        <v>38.25452553001881</v>
      </c>
      <c r="C116" s="829"/>
      <c r="D116" s="391">
        <f t="shared" si="25"/>
        <v>39.682300725102309</v>
      </c>
      <c r="E116" s="383">
        <f t="shared" si="47"/>
        <v>41.281819701425697</v>
      </c>
      <c r="F116" s="383">
        <f t="shared" si="26"/>
        <v>41.290732323860944</v>
      </c>
      <c r="G116" s="110">
        <f t="shared" si="48"/>
        <v>0.69890237089045104</v>
      </c>
      <c r="H116" s="412" t="b">
        <f>Wh_hp&gt;='2023'!Maxi_hp</f>
        <v>0</v>
      </c>
      <c r="I116" s="388">
        <f>IF(H116,Wh_hp,'2023'!Maxi_hp)</f>
        <v>58.857771528976158</v>
      </c>
      <c r="J116" s="85">
        <f>IF(H116,An,'2023'!An_max)</f>
        <v>2018</v>
      </c>
      <c r="K116" s="197">
        <f t="shared" si="27"/>
        <v>45393</v>
      </c>
      <c r="L116" s="147">
        <f>IF(t&lt;Tvie,1-EXP((T0-t)*PertePVj)+'2023'!Pspv,1-EXP((T0-t)*PertePVj)+Pspv)</f>
        <v>3.5980151578769548E-2</v>
      </c>
      <c r="M116" s="832"/>
      <c r="N116" s="832"/>
      <c r="O116" s="48">
        <f>IF(t&lt;Tnet,'2023'!Resal+('2023'!Salim-'2023'!Resal)*(1-EXP(('2023'!Tnet-t)/('2023'!Tau_j))),Resal+(Salim-Resal)*(1-EXP((Tnet-t)/(Tau_j))))*Salcycl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3.7866958670450712E-4</v>
      </c>
      <c r="Q116" s="304">
        <f t="shared" si="28"/>
        <v>0.6</v>
      </c>
      <c r="R116" s="177">
        <f t="shared" si="29"/>
        <v>3.914185569345574E-2</v>
      </c>
      <c r="S116" s="799">
        <f t="shared" si="30"/>
        <v>1</v>
      </c>
      <c r="T116" s="176">
        <f t="shared" si="31"/>
        <v>7</v>
      </c>
      <c r="U116" s="250">
        <f t="shared" si="32"/>
        <v>1.0391418556934557</v>
      </c>
      <c r="V116" s="382">
        <f t="shared" si="33"/>
        <v>54.726235321066873</v>
      </c>
      <c r="W116" s="400">
        <f t="shared" si="34"/>
        <v>38.25452553001881</v>
      </c>
      <c r="X116" s="157">
        <f t="shared" si="35"/>
        <v>45393</v>
      </c>
      <c r="Y116" s="383">
        <f t="shared" si="36"/>
        <v>37.465307461881899</v>
      </c>
      <c r="Z116" s="383">
        <f t="shared" si="37"/>
        <v>38.863626639263302</v>
      </c>
      <c r="AA116" s="384">
        <f t="shared" si="38"/>
        <v>41.281819701425697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5.8577676072716314E-2</v>
      </c>
      <c r="AD116" s="230">
        <f>(INDEX(Models!$BJ116:$BT116,,AH116)*(1-AF116)+INDEX(Models!$BJ116:$BT116,,AH116+1)*AF116-ERP_i)*AE116*Ramure*Pc/MaxiM</f>
        <v>3.7866958670450712E-4</v>
      </c>
      <c r="AE116" s="304">
        <f t="shared" si="40"/>
        <v>0.6</v>
      </c>
      <c r="AF116" s="177">
        <f t="shared" si="41"/>
        <v>3.914185569345574E-2</v>
      </c>
      <c r="AG116" s="799">
        <f t="shared" si="49"/>
        <v>1</v>
      </c>
      <c r="AH116" s="176">
        <f t="shared" si="42"/>
        <v>7</v>
      </c>
      <c r="AI116" s="224">
        <f t="shared" si="43"/>
        <v>1.0391418556934557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'2023'!Wh/'2023'!Env_an*'2024'!Env_an</f>
        <v>8.1749350722859582</v>
      </c>
      <c r="C117" s="829"/>
      <c r="D117" s="391">
        <f t="shared" si="25"/>
        <v>8.4802110241220987</v>
      </c>
      <c r="E117" s="383">
        <f t="shared" si="47"/>
        <v>8.8228040977655287</v>
      </c>
      <c r="F117" s="383">
        <f t="shared" si="26"/>
        <v>8.8228040977655287</v>
      </c>
      <c r="G117" s="110">
        <f t="shared" si="48"/>
        <v>0.14870799529689346</v>
      </c>
      <c r="H117" s="412" t="b">
        <f>Wh_hp&gt;='2023'!Maxi_hp</f>
        <v>0</v>
      </c>
      <c r="I117" s="388">
        <f>IF(H117,Wh_hp,'2023'!Maxi_hp)</f>
        <v>58.816606841862637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3.5998626799236266E-2</v>
      </c>
      <c r="M117" s="832"/>
      <c r="N117" s="832"/>
      <c r="O117" s="48">
        <f>IF(t&lt;Tnet,'2023'!Resal+('2023'!Salim-'2023'!Resal)*(1-EXP(('2023'!Tnet-t)/('2023'!Tau_j))),Resal+(Salim-Resal)*(1-EXP((Tnet-t)/(Tau_j))))*Salcycl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3.7044438031122803E-4</v>
      </c>
      <c r="Q117" s="304">
        <f t="shared" si="28"/>
        <v>0.6</v>
      </c>
      <c r="R117" s="177">
        <f t="shared" si="29"/>
        <v>4.0706129626377319E-2</v>
      </c>
      <c r="S117" s="799">
        <f t="shared" si="30"/>
        <v>1</v>
      </c>
      <c r="T117" s="176">
        <f t="shared" si="31"/>
        <v>7</v>
      </c>
      <c r="U117" s="250">
        <f t="shared" si="32"/>
        <v>1.0407061296263773</v>
      </c>
      <c r="V117" s="382">
        <f t="shared" si="33"/>
        <v>54.95270578568369</v>
      </c>
      <c r="W117" s="400">
        <f t="shared" si="34"/>
        <v>8.1749350722859582</v>
      </c>
      <c r="X117" s="157">
        <f t="shared" si="35"/>
        <v>45394</v>
      </c>
      <c r="Y117" s="383">
        <f t="shared" si="36"/>
        <v>8.006393455764421</v>
      </c>
      <c r="Z117" s="383">
        <f t="shared" si="37"/>
        <v>8.3053755713862483</v>
      </c>
      <c r="AA117" s="384">
        <f t="shared" si="38"/>
        <v>8.8228040977655287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5.8646720548892688E-2</v>
      </c>
      <c r="AD117" s="230">
        <f>(INDEX(Models!$BJ117:$BT117,,AH117)*(1-AF117)+INDEX(Models!$BJ117:$BT117,,AH117+1)*AF117-ERP_i)*AE117*Ramure*Pc/MaxiM</f>
        <v>3.7044438031122803E-4</v>
      </c>
      <c r="AE117" s="304">
        <f t="shared" si="40"/>
        <v>0.6</v>
      </c>
      <c r="AF117" s="177">
        <f t="shared" si="41"/>
        <v>4.0706129626377319E-2</v>
      </c>
      <c r="AG117" s="799">
        <f t="shared" si="49"/>
        <v>1</v>
      </c>
      <c r="AH117" s="176">
        <f t="shared" si="42"/>
        <v>7</v>
      </c>
      <c r="AI117" s="224">
        <f t="shared" si="43"/>
        <v>1.0407061296263773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'2023'!Wh/'2023'!Env_an*'2024'!Env_an</f>
        <v>41.376670606605543</v>
      </c>
      <c r="C118" s="829"/>
      <c r="D118" s="391">
        <f t="shared" si="25"/>
        <v>42.922618936600152</v>
      </c>
      <c r="E118" s="383">
        <f t="shared" si="47"/>
        <v>44.660583412218017</v>
      </c>
      <c r="F118" s="383">
        <f t="shared" si="26"/>
        <v>44.6709911125524</v>
      </c>
      <c r="G118" s="110">
        <f t="shared" si="48"/>
        <v>0.7498504107424554</v>
      </c>
      <c r="H118" s="412" t="b">
        <f>Wh_hp&gt;='2023'!Maxi_hp</f>
        <v>0</v>
      </c>
      <c r="I118" s="388">
        <f>IF(H118,Wh_hp,'2023'!Maxi_hp)</f>
        <v>59.036177217934771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3.6017101665629658E-2</v>
      </c>
      <c r="M118" s="832"/>
      <c r="N118" s="832"/>
      <c r="O118" s="48">
        <f>IF(t&lt;Tnet,'2023'!Resal+('2023'!Salim-'2023'!Resal)*(1-EXP(('2023'!Tnet-t)/('2023'!Tau_j))),Resal+(Salim-Resal)*(1-EXP((Tnet-t)/(Tau_j))))*Salcycl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3.6246439614447346E-4</v>
      </c>
      <c r="Q118" s="304">
        <f t="shared" si="28"/>
        <v>0.6</v>
      </c>
      <c r="R118" s="177">
        <f t="shared" si="29"/>
        <v>4.2324753505941004E-2</v>
      </c>
      <c r="S118" s="799">
        <f t="shared" si="30"/>
        <v>1</v>
      </c>
      <c r="T118" s="176">
        <f t="shared" si="31"/>
        <v>7</v>
      </c>
      <c r="U118" s="250">
        <f t="shared" si="32"/>
        <v>1.042324753505941</v>
      </c>
      <c r="V118" s="382">
        <f t="shared" si="33"/>
        <v>55.172753613785865</v>
      </c>
      <c r="W118" s="400">
        <f t="shared" si="34"/>
        <v>41.376670606605543</v>
      </c>
      <c r="X118" s="157">
        <f t="shared" si="35"/>
        <v>45395</v>
      </c>
      <c r="Y118" s="383">
        <f t="shared" si="36"/>
        <v>40.524173659074442</v>
      </c>
      <c r="Z118" s="383">
        <f t="shared" si="37"/>
        <v>42.03827031485168</v>
      </c>
      <c r="AA118" s="384">
        <f t="shared" si="38"/>
        <v>44.660583412218017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5.8716498912751346E-2</v>
      </c>
      <c r="AD118" s="230">
        <f>(INDEX(Models!$BJ118:$BT118,,AH118)*(1-AF118)+INDEX(Models!$BJ118:$BT118,,AH118+1)*AF118-ERP_i)*AE118*Ramure*Pc/MaxiM</f>
        <v>3.6246439614447346E-4</v>
      </c>
      <c r="AE118" s="304">
        <f t="shared" si="40"/>
        <v>0.6</v>
      </c>
      <c r="AF118" s="177">
        <f t="shared" si="41"/>
        <v>4.2324753505941004E-2</v>
      </c>
      <c r="AG118" s="799">
        <f t="shared" si="49"/>
        <v>1</v>
      </c>
      <c r="AH118" s="176">
        <f t="shared" si="42"/>
        <v>7</v>
      </c>
      <c r="AI118" s="224">
        <f t="shared" si="43"/>
        <v>1.042324753505941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'2023'!Wh/'2023'!Env_an*'2024'!Env_an</f>
        <v>45.15017879904125</v>
      </c>
      <c r="C119" s="829"/>
      <c r="D119" s="391">
        <f t="shared" si="25"/>
        <v>46.838013606378041</v>
      </c>
      <c r="E119" s="383">
        <f t="shared" si="47"/>
        <v>48.738826680001928</v>
      </c>
      <c r="F119" s="383">
        <f t="shared" si="26"/>
        <v>48.751554192963717</v>
      </c>
      <c r="G119" s="110">
        <f t="shared" si="48"/>
        <v>0.81511072012137076</v>
      </c>
      <c r="H119" s="412" t="b">
        <f>Wh_hp&gt;='2023'!Maxi_hp</f>
        <v>0</v>
      </c>
      <c r="I119" s="388">
        <f>IF(H119,Wh_hp,'2023'!Maxi_hp)</f>
        <v>59.816550107721071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3.6035576177956385E-2</v>
      </c>
      <c r="M119" s="832"/>
      <c r="N119" s="832"/>
      <c r="O119" s="48">
        <f>IF(t&lt;Tnet,'2023'!Resal+('2023'!Salim-'2023'!Resal)*(1-EXP(('2023'!Tnet-t)/('2023'!Tau_j))),Resal+(Salim-Resal)*(1-EXP((Tnet-t)/(Tau_j))))*Salcycl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3.5472202516900259E-4</v>
      </c>
      <c r="Q119" s="304">
        <f t="shared" si="28"/>
        <v>0.6</v>
      </c>
      <c r="R119" s="177">
        <f t="shared" si="29"/>
        <v>4.3999170815472333E-2</v>
      </c>
      <c r="S119" s="799">
        <f t="shared" si="30"/>
        <v>1</v>
      </c>
      <c r="T119" s="176">
        <f t="shared" si="31"/>
        <v>7</v>
      </c>
      <c r="U119" s="250">
        <f t="shared" si="32"/>
        <v>1.0439991708154723</v>
      </c>
      <c r="V119" s="382">
        <f t="shared" si="33"/>
        <v>55.386278358876332</v>
      </c>
      <c r="W119" s="400">
        <f t="shared" si="34"/>
        <v>45.15017879904125</v>
      </c>
      <c r="X119" s="157">
        <f t="shared" si="35"/>
        <v>45396</v>
      </c>
      <c r="Y119" s="383">
        <f t="shared" si="36"/>
        <v>44.220533871710181</v>
      </c>
      <c r="Z119" s="383">
        <f t="shared" si="37"/>
        <v>45.87361605771634</v>
      </c>
      <c r="AA119" s="384">
        <f t="shared" si="38"/>
        <v>48.738826680001928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5.878702499543783E-2</v>
      </c>
      <c r="AD119" s="230">
        <f>(INDEX(Models!$BJ119:$BT119,,AH119)*(1-AF119)+INDEX(Models!$BJ119:$BT119,,AH119+1)*AF119-ERP_i)*AE119*Ramure*Pc/MaxiM</f>
        <v>3.5472202516900259E-4</v>
      </c>
      <c r="AE119" s="304">
        <f t="shared" si="40"/>
        <v>0.6</v>
      </c>
      <c r="AF119" s="177">
        <f t="shared" si="41"/>
        <v>4.3999170815472333E-2</v>
      </c>
      <c r="AG119" s="799">
        <f t="shared" si="49"/>
        <v>1</v>
      </c>
      <c r="AH119" s="176">
        <f t="shared" si="42"/>
        <v>7</v>
      </c>
      <c r="AI119" s="224">
        <f t="shared" si="43"/>
        <v>1.0439991708154723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'2023'!Wh/'2023'!Env_an*'2024'!Env_an</f>
        <v>46.84586043428223</v>
      </c>
      <c r="C120" s="829"/>
      <c r="D120" s="391">
        <f t="shared" si="25"/>
        <v>48.598015740013238</v>
      </c>
      <c r="E120" s="383">
        <f t="shared" si="47"/>
        <v>50.57475471662854</v>
      </c>
      <c r="F120" s="383">
        <f t="shared" si="26"/>
        <v>50.588371307566533</v>
      </c>
      <c r="G120" s="110">
        <f t="shared" si="48"/>
        <v>0.84258903029691568</v>
      </c>
      <c r="H120" s="412" t="b">
        <f>Wh_hp&gt;='2023'!Maxi_hp</f>
        <v>0</v>
      </c>
      <c r="I120" s="388">
        <f>IF(H120,Wh_hp,'2023'!Maxi_hp)</f>
        <v>51.884062779817704</v>
      </c>
      <c r="J120" s="85">
        <f>IF(H120,An,'2023'!An_max)</f>
        <v>2021</v>
      </c>
      <c r="K120" s="197">
        <f t="shared" si="27"/>
        <v>45397</v>
      </c>
      <c r="L120" s="147">
        <f>IF(t&lt;Tvie,1-EXP((T0-t)*PertePVj)+'2023'!Pspv,1-EXP((T0-t)*PertePVj)+Pspv)</f>
        <v>3.6054050336223331E-2</v>
      </c>
      <c r="M120" s="832"/>
      <c r="N120" s="832"/>
      <c r="O120" s="48">
        <f>IF(t&lt;Tnet,'2023'!Resal+('2023'!Salim-'2023'!Resal)*(1-EXP(('2023'!Tnet-t)/('2023'!Tau_j))),Resal+(Salim-Resal)*(1-EXP((Tnet-t)/(Tau_j))))*Salcycl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3.4720987923304197E-4</v>
      </c>
      <c r="Q120" s="304">
        <f t="shared" si="28"/>
        <v>0.6</v>
      </c>
      <c r="R120" s="177">
        <f t="shared" si="29"/>
        <v>4.5730828789114719E-2</v>
      </c>
      <c r="S120" s="799">
        <f t="shared" si="30"/>
        <v>1</v>
      </c>
      <c r="T120" s="176">
        <f t="shared" si="31"/>
        <v>7</v>
      </c>
      <c r="U120" s="250">
        <f t="shared" si="32"/>
        <v>1.0457308287891147</v>
      </c>
      <c r="V120" s="382">
        <f t="shared" si="33"/>
        <v>55.593179664284605</v>
      </c>
      <c r="W120" s="400">
        <f t="shared" si="34"/>
        <v>46.84586043428223</v>
      </c>
      <c r="X120" s="157">
        <f t="shared" si="35"/>
        <v>45397</v>
      </c>
      <c r="Y120" s="383">
        <f t="shared" si="36"/>
        <v>45.881908988896519</v>
      </c>
      <c r="Z120" s="383">
        <f t="shared" si="37"/>
        <v>47.598010038737215</v>
      </c>
      <c r="AA120" s="384">
        <f t="shared" si="38"/>
        <v>50.57475471662854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5.8858311712436155E-2</v>
      </c>
      <c r="AD120" s="230">
        <f>(INDEX(Models!$BJ120:$BT120,,AH120)*(1-AF120)+INDEX(Models!$BJ120:$BT120,,AH120+1)*AF120-ERP_i)*AE120*Ramure*Pc/MaxiM</f>
        <v>3.4720987923304197E-4</v>
      </c>
      <c r="AE120" s="304">
        <f t="shared" si="40"/>
        <v>0.6</v>
      </c>
      <c r="AF120" s="177">
        <f t="shared" si="41"/>
        <v>4.5730828789114719E-2</v>
      </c>
      <c r="AG120" s="799">
        <f t="shared" si="49"/>
        <v>1</v>
      </c>
      <c r="AH120" s="176">
        <f t="shared" si="42"/>
        <v>7</v>
      </c>
      <c r="AI120" s="224">
        <f t="shared" si="43"/>
        <v>1.0457308287891147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'2023'!Wh/'2023'!Env_an*'2024'!Env_an</f>
        <v>54.983338121252736</v>
      </c>
      <c r="C121" s="829"/>
      <c r="D121" s="391">
        <f t="shared" si="25"/>
        <v>57.040949135952843</v>
      </c>
      <c r="E121" s="383">
        <f t="shared" si="47"/>
        <v>59.366420776481554</v>
      </c>
      <c r="F121" s="383">
        <f t="shared" si="26"/>
        <v>59.386188481642876</v>
      </c>
      <c r="G121" s="110">
        <f t="shared" si="48"/>
        <v>0.98547035838860308</v>
      </c>
      <c r="H121" s="412" t="b">
        <f>Wh_hp&gt;='2023'!Maxi_hp</f>
        <v>0</v>
      </c>
      <c r="I121" s="388">
        <f>IF(H121,Wh_hp,'2023'!Maxi_hp)</f>
        <v>59.386411049175642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3.6072524140437157E-2</v>
      </c>
      <c r="M121" s="832"/>
      <c r="N121" s="832"/>
      <c r="O121" s="48">
        <f>IF(t&lt;Tnet,'2023'!Resal+('2023'!Salim-'2023'!Resal)*(1-EXP(('2023'!Tnet-t)/('2023'!Tau_j))),Resal+(Salim-Resal)*(1-EXP((Tnet-t)/(Tau_j))))*Salcycl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3.3991924891996574E-4</v>
      </c>
      <c r="Q121" s="304">
        <f t="shared" si="28"/>
        <v>0.6</v>
      </c>
      <c r="R121" s="177">
        <f t="shared" si="29"/>
        <v>4.7521175323791631E-2</v>
      </c>
      <c r="S121" s="799">
        <f t="shared" si="30"/>
        <v>1</v>
      </c>
      <c r="T121" s="176">
        <f t="shared" si="31"/>
        <v>7</v>
      </c>
      <c r="U121" s="250">
        <f t="shared" si="32"/>
        <v>1.0475211753237916</v>
      </c>
      <c r="V121" s="382">
        <f t="shared" si="33"/>
        <v>55.793611416596534</v>
      </c>
      <c r="W121" s="400">
        <f t="shared" si="34"/>
        <v>54.983338121252736</v>
      </c>
      <c r="X121" s="157">
        <f t="shared" si="35"/>
        <v>45398</v>
      </c>
      <c r="Y121" s="383">
        <f t="shared" si="36"/>
        <v>53.852638119401782</v>
      </c>
      <c r="Z121" s="383">
        <f t="shared" si="37"/>
        <v>55.867935574073954</v>
      </c>
      <c r="AA121" s="384">
        <f t="shared" si="38"/>
        <v>59.366420776481554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5.893037101865424E-2</v>
      </c>
      <c r="AD121" s="230">
        <f>(INDEX(Models!$BJ121:$BT121,,AH121)*(1-AF121)+INDEX(Models!$BJ121:$BT121,,AH121+1)*AF121-ERP_i)*AE121*Ramure*Pc/MaxiM</f>
        <v>3.3991924891996574E-4</v>
      </c>
      <c r="AE121" s="304">
        <f t="shared" si="40"/>
        <v>0.6</v>
      </c>
      <c r="AF121" s="177">
        <f t="shared" si="41"/>
        <v>4.7521175323791631E-2</v>
      </c>
      <c r="AG121" s="799">
        <f t="shared" si="49"/>
        <v>1</v>
      </c>
      <c r="AH121" s="176">
        <f t="shared" si="42"/>
        <v>7</v>
      </c>
      <c r="AI121" s="224">
        <f t="shared" si="43"/>
        <v>1.0475211753237916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'2023'!Wh/'2023'!Env_an*'2024'!Env_an</f>
        <v>40.673991301322332</v>
      </c>
      <c r="C122" s="829"/>
      <c r="D122" s="391">
        <f t="shared" si="25"/>
        <v>42.196920248335971</v>
      </c>
      <c r="E122" s="383">
        <f t="shared" si="47"/>
        <v>43.921178525058693</v>
      </c>
      <c r="F122" s="383">
        <f t="shared" si="26"/>
        <v>43.930089413135427</v>
      </c>
      <c r="G122" s="110">
        <f t="shared" si="48"/>
        <v>0.7263851428640572</v>
      </c>
      <c r="H122" s="412" t="b">
        <f>Wh_hp&gt;='2023'!Maxi_hp</f>
        <v>0</v>
      </c>
      <c r="I122" s="388">
        <f>IF(H122,Wh_hp,'2023'!Maxi_hp)</f>
        <v>43.933124779978819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3.6090997590604856E-2</v>
      </c>
      <c r="M122" s="832"/>
      <c r="N122" s="832"/>
      <c r="O122" s="48">
        <f>IF(t&lt;Tnet,'2023'!Resal+('2023'!Salim-'2023'!Resal)*(1-EXP(('2023'!Tnet-t)/('2023'!Tau_j))),Resal+(Salim-Resal)*(1-EXP((Tnet-t)/(Tau_j))))*Salcycl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3.329343514317329E-4</v>
      </c>
      <c r="Q122" s="304">
        <f t="shared" si="28"/>
        <v>0.6</v>
      </c>
      <c r="R122" s="177">
        <f t="shared" si="29"/>
        <v>4.9371655646514467E-2</v>
      </c>
      <c r="S122" s="799">
        <f t="shared" si="30"/>
        <v>1</v>
      </c>
      <c r="T122" s="176">
        <f t="shared" si="31"/>
        <v>7</v>
      </c>
      <c r="U122" s="250">
        <f t="shared" si="32"/>
        <v>1.0493716556465145</v>
      </c>
      <c r="V122" s="382">
        <f t="shared" si="33"/>
        <v>55.987790047029996</v>
      </c>
      <c r="W122" s="400">
        <f t="shared" si="34"/>
        <v>40.673991301322332</v>
      </c>
      <c r="X122" s="157">
        <f t="shared" si="35"/>
        <v>45399</v>
      </c>
      <c r="Y122" s="383">
        <f t="shared" si="36"/>
        <v>39.838058171390969</v>
      </c>
      <c r="Z122" s="383">
        <f t="shared" si="37"/>
        <v>41.329687835481792</v>
      </c>
      <c r="AA122" s="384">
        <f t="shared" si="38"/>
        <v>43.921178525058693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5.9003213861812835E-2</v>
      </c>
      <c r="AD122" s="230">
        <f>(INDEX(Models!$BJ122:$BT122,,AH122)*(1-AF122)+INDEX(Models!$BJ122:$BT122,,AH122+1)*AF122-ERP_i)*AE122*Ramure*Pc/MaxiM</f>
        <v>3.329343514317329E-4</v>
      </c>
      <c r="AE122" s="304">
        <f t="shared" si="40"/>
        <v>0.6</v>
      </c>
      <c r="AF122" s="177">
        <f t="shared" si="41"/>
        <v>4.9371655646514467E-2</v>
      </c>
      <c r="AG122" s="799">
        <f t="shared" si="49"/>
        <v>1</v>
      </c>
      <c r="AH122" s="176">
        <f t="shared" si="42"/>
        <v>7</v>
      </c>
      <c r="AI122" s="224">
        <f t="shared" si="43"/>
        <v>1.0493716556465145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'2023'!Wh/'2023'!Env_an*'2024'!Env_an</f>
        <v>9.5076718804444411</v>
      </c>
      <c r="C123" s="829"/>
      <c r="D123" s="391">
        <f t="shared" si="25"/>
        <v>9.8638502934749983</v>
      </c>
      <c r="E123" s="383">
        <f t="shared" si="47"/>
        <v>10.267838890193604</v>
      </c>
      <c r="F123" s="383">
        <f t="shared" si="26"/>
        <v>10.267838890193604</v>
      </c>
      <c r="G123" s="110">
        <f t="shared" si="48"/>
        <v>0.16919356884120393</v>
      </c>
      <c r="H123" s="412" t="b">
        <f>Wh_hp&gt;='2023'!Maxi_hp</f>
        <v>0</v>
      </c>
      <c r="I123" s="388">
        <f>IF(H123,Wh_hp,'2023'!Maxi_hp)</f>
        <v>59.533076172726751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3.6109470686732981E-2</v>
      </c>
      <c r="M123" s="832"/>
      <c r="N123" s="832"/>
      <c r="O123" s="48">
        <f>IF(t&lt;Tnet,'2023'!Resal+('2023'!Salim-'2023'!Resal)*(1-EXP(('2023'!Tnet-t)/('2023'!Tau_j))),Resal+(Salim-Resal)*(1-EXP((Tnet-t)/(Tau_j))))*Salcycl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3.2615847019732026E-4</v>
      </c>
      <c r="Q123" s="304">
        <f t="shared" si="28"/>
        <v>0.6</v>
      </c>
      <c r="R123" s="177">
        <f t="shared" si="29"/>
        <v>5.128370873115129E-2</v>
      </c>
      <c r="S123" s="799">
        <f t="shared" si="30"/>
        <v>1</v>
      </c>
      <c r="T123" s="176">
        <f t="shared" si="31"/>
        <v>7</v>
      </c>
      <c r="U123" s="250">
        <f t="shared" si="32"/>
        <v>1.0512837087311513</v>
      </c>
      <c r="V123" s="382">
        <f t="shared" si="33"/>
        <v>56.175721913220357</v>
      </c>
      <c r="W123" s="400">
        <f t="shared" si="34"/>
        <v>9.5076718804444411</v>
      </c>
      <c r="X123" s="157">
        <f t="shared" si="35"/>
        <v>45400</v>
      </c>
      <c r="Y123" s="383">
        <f t="shared" si="36"/>
        <v>9.3123847843078789</v>
      </c>
      <c r="Z123" s="383">
        <f t="shared" si="37"/>
        <v>9.6612473108772789</v>
      </c>
      <c r="AA123" s="384">
        <f t="shared" si="38"/>
        <v>10.267838890193604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5.9076850134029329E-2</v>
      </c>
      <c r="AD123" s="230">
        <f>(INDEX(Models!$BJ123:$BT123,,AH123)*(1-AF123)+INDEX(Models!$BJ123:$BT123,,AH123+1)*AF123-ERP_i)*AE123*Ramure*Pc/MaxiM</f>
        <v>3.2615847019732026E-4</v>
      </c>
      <c r="AE123" s="304">
        <f t="shared" si="40"/>
        <v>0.6</v>
      </c>
      <c r="AF123" s="177">
        <f t="shared" si="41"/>
        <v>5.128370873115129E-2</v>
      </c>
      <c r="AG123" s="799">
        <f t="shared" si="49"/>
        <v>1</v>
      </c>
      <c r="AH123" s="176">
        <f t="shared" si="42"/>
        <v>7</v>
      </c>
      <c r="AI123" s="224">
        <f t="shared" si="43"/>
        <v>1.0512837087311513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'2023'!Wh/'2023'!Env_an*'2024'!Env_an</f>
        <v>9.9194617858295313</v>
      </c>
      <c r="C124" s="829"/>
      <c r="D124" s="391">
        <f t="shared" si="25"/>
        <v>10.291263989036585</v>
      </c>
      <c r="E124" s="383">
        <f t="shared" si="47"/>
        <v>10.713734392903827</v>
      </c>
      <c r="F124" s="383">
        <f t="shared" si="26"/>
        <v>10.713734392903827</v>
      </c>
      <c r="G124" s="110">
        <f t="shared" si="48"/>
        <v>0.17595364923001522</v>
      </c>
      <c r="H124" s="412" t="b">
        <f>Wh_hp&gt;='2023'!Maxi_hp</f>
        <v>0</v>
      </c>
      <c r="I124" s="388">
        <f>IF(H124,Wh_hp,'2023'!Maxi_hp)</f>
        <v>52.580415314681325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3.6127943428828524E-2</v>
      </c>
      <c r="M124" s="832"/>
      <c r="N124" s="832"/>
      <c r="O124" s="48">
        <f>IF(t&lt;Tnet,'2023'!Resal+('2023'!Salim-'2023'!Resal)*(1-EXP(('2023'!Tnet-t)/('2023'!Tau_j))),Resal+(Salim-Resal)*(1-EXP((Tnet-t)/(Tau_j))))*Salcycl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3.1958460996146473E-4</v>
      </c>
      <c r="Q124" s="304">
        <f t="shared" si="28"/>
        <v>0.6</v>
      </c>
      <c r="R124" s="177">
        <f t="shared" si="29"/>
        <v>5.3258763459820502E-2</v>
      </c>
      <c r="S124" s="799">
        <f t="shared" si="30"/>
        <v>1</v>
      </c>
      <c r="T124" s="176">
        <f t="shared" si="31"/>
        <v>7</v>
      </c>
      <c r="U124" s="250">
        <f t="shared" si="32"/>
        <v>1.0532587634598205</v>
      </c>
      <c r="V124" s="382">
        <f t="shared" si="33"/>
        <v>56.357408453294518</v>
      </c>
      <c r="W124" s="400">
        <f t="shared" si="34"/>
        <v>9.9194617858295313</v>
      </c>
      <c r="X124" s="157">
        <f t="shared" si="35"/>
        <v>45401</v>
      </c>
      <c r="Y124" s="383">
        <f t="shared" si="36"/>
        <v>9.7158334123288377</v>
      </c>
      <c r="Z124" s="383">
        <f t="shared" si="37"/>
        <v>10.080003197614671</v>
      </c>
      <c r="AA124" s="384">
        <f t="shared" si="38"/>
        <v>10.713734392903827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5.9151288621538275E-2</v>
      </c>
      <c r="AD124" s="230">
        <f>(INDEX(Models!$BJ124:$BT124,,AH124)*(1-AF124)+INDEX(Models!$BJ124:$BT124,,AH124+1)*AF124-ERP_i)*AE124*Ramure*Pc/MaxiM</f>
        <v>3.1958460996146473E-4</v>
      </c>
      <c r="AE124" s="304">
        <f t="shared" si="40"/>
        <v>0.6</v>
      </c>
      <c r="AF124" s="177">
        <f t="shared" si="41"/>
        <v>5.3258763459820502E-2</v>
      </c>
      <c r="AG124" s="799">
        <f t="shared" si="49"/>
        <v>1</v>
      </c>
      <c r="AH124" s="176">
        <f t="shared" si="42"/>
        <v>7</v>
      </c>
      <c r="AI124" s="224">
        <f t="shared" si="43"/>
        <v>1.0532587634598205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'2023'!Wh/'2023'!Env_an*'2024'!Env_an</f>
        <v>9.548251587030574</v>
      </c>
      <c r="C125" s="829"/>
      <c r="D125" s="391">
        <f t="shared" si="25"/>
        <v>9.9063299070709334</v>
      </c>
      <c r="E125" s="383">
        <f t="shared" si="47"/>
        <v>10.313944017054625</v>
      </c>
      <c r="F125" s="383">
        <f t="shared" si="26"/>
        <v>10.313944017054625</v>
      </c>
      <c r="G125" s="110">
        <f t="shared" si="48"/>
        <v>0.16884450051622418</v>
      </c>
      <c r="H125" s="412" t="b">
        <f>Wh_hp&gt;='2023'!Maxi_hp</f>
        <v>0</v>
      </c>
      <c r="I125" s="388">
        <f>IF(H125,Wh_hp,'2023'!Maxi_hp)</f>
        <v>55.246951602065522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3.6146415816898148E-2</v>
      </c>
      <c r="M125" s="832"/>
      <c r="N125" s="832"/>
      <c r="O125" s="48">
        <f>IF(t&lt;Tnet,'2023'!Resal+('2023'!Salim-'2023'!Resal)*(1-EXP(('2023'!Tnet-t)/('2023'!Tau_j))),Resal+(Salim-Resal)*(1-EXP((Tnet-t)/(Tau_j))))*Salcycl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3.1320692856619633E-4</v>
      </c>
      <c r="Q125" s="304">
        <f t="shared" si="28"/>
        <v>0.6</v>
      </c>
      <c r="R125" s="177">
        <f t="shared" si="29"/>
        <v>5.5298234525293699E-2</v>
      </c>
      <c r="S125" s="799">
        <f t="shared" si="30"/>
        <v>1</v>
      </c>
      <c r="T125" s="176">
        <f t="shared" si="31"/>
        <v>7</v>
      </c>
      <c r="U125" s="250">
        <f t="shared" si="32"/>
        <v>1.0552982345252937</v>
      </c>
      <c r="V125" s="382">
        <f t="shared" si="33"/>
        <v>56.532851110306808</v>
      </c>
      <c r="W125" s="400">
        <f t="shared" si="34"/>
        <v>9.548251587030574</v>
      </c>
      <c r="X125" s="157">
        <f t="shared" si="35"/>
        <v>45402</v>
      </c>
      <c r="Y125" s="383">
        <f t="shared" si="36"/>
        <v>9.3523530916084869</v>
      </c>
      <c r="Z125" s="383">
        <f t="shared" si="37"/>
        <v>9.7030848306020658</v>
      </c>
      <c r="AA125" s="384">
        <f t="shared" si="38"/>
        <v>10.313944017054625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5.9226536952544338E-2</v>
      </c>
      <c r="AD125" s="230">
        <f>(INDEX(Models!$BJ125:$BT125,,AH125)*(1-AF125)+INDEX(Models!$BJ125:$BT125,,AH125+1)*AF125-ERP_i)*AE125*Ramure*Pc/MaxiM</f>
        <v>3.1320692856619633E-4</v>
      </c>
      <c r="AE125" s="304">
        <f t="shared" si="40"/>
        <v>0.6</v>
      </c>
      <c r="AF125" s="177">
        <f t="shared" si="41"/>
        <v>5.5298234525293699E-2</v>
      </c>
      <c r="AG125" s="799">
        <f t="shared" si="49"/>
        <v>1</v>
      </c>
      <c r="AH125" s="176">
        <f t="shared" si="42"/>
        <v>7</v>
      </c>
      <c r="AI125" s="224">
        <f t="shared" si="43"/>
        <v>1.0552982345252937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'2023'!Wh/'2023'!Env_an*'2024'!Env_an</f>
        <v>27.751436070250755</v>
      </c>
      <c r="C126" s="829"/>
      <c r="D126" s="391">
        <f t="shared" si="25"/>
        <v>28.79272161850767</v>
      </c>
      <c r="E126" s="383">
        <f t="shared" si="47"/>
        <v>29.980217038547085</v>
      </c>
      <c r="F126" s="383">
        <f t="shared" si="26"/>
        <v>29.982708062415476</v>
      </c>
      <c r="G126" s="110">
        <f t="shared" si="48"/>
        <v>0.48931599968398526</v>
      </c>
      <c r="H126" s="412" t="b">
        <f>Wh_hp&gt;='2023'!Maxi_hp</f>
        <v>0</v>
      </c>
      <c r="I126" s="388">
        <f>IF(H126,Wh_hp,'2023'!Maxi_hp)</f>
        <v>61.484611749803321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3.6164887850948735E-2</v>
      </c>
      <c r="M126" s="832"/>
      <c r="N126" s="832"/>
      <c r="O126" s="48">
        <f>IF(t&lt;Tnet,'2023'!Resal+('2023'!Salim-'2023'!Resal)*(1-EXP(('2023'!Tnet-t)/('2023'!Tau_j))),Resal+(Salim-Resal)*(1-EXP((Tnet-t)/(Tau_j))))*Salcycl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3.0701979618106006E-4</v>
      </c>
      <c r="Q126" s="304">
        <f t="shared" si="28"/>
        <v>0.6</v>
      </c>
      <c r="R126" s="177">
        <f t="shared" si="29"/>
        <v>5.7403518072176141E-2</v>
      </c>
      <c r="S126" s="799">
        <f t="shared" si="30"/>
        <v>1</v>
      </c>
      <c r="T126" s="176">
        <f t="shared" si="31"/>
        <v>7</v>
      </c>
      <c r="U126" s="250">
        <f t="shared" si="32"/>
        <v>1.0574035180721761</v>
      </c>
      <c r="V126" s="382">
        <f t="shared" si="33"/>
        <v>56.702051387752867</v>
      </c>
      <c r="W126" s="400">
        <f t="shared" si="34"/>
        <v>27.751436070250755</v>
      </c>
      <c r="X126" s="157">
        <f t="shared" si="35"/>
        <v>45403</v>
      </c>
      <c r="Y126" s="383">
        <f t="shared" si="36"/>
        <v>27.182378716443733</v>
      </c>
      <c r="Z126" s="383">
        <f t="shared" si="37"/>
        <v>28.202312173329645</v>
      </c>
      <c r="AA126" s="384">
        <f t="shared" si="38"/>
        <v>29.980217038547085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5.9302601543261002E-2</v>
      </c>
      <c r="AD126" s="230">
        <f>(INDEX(Models!$BJ126:$BT126,,AH126)*(1-AF126)+INDEX(Models!$BJ126:$BT126,,AH126+1)*AF126-ERP_i)*AE126*Ramure*Pc/MaxiM</f>
        <v>3.0701979618106006E-4</v>
      </c>
      <c r="AE126" s="304">
        <f t="shared" si="40"/>
        <v>0.6</v>
      </c>
      <c r="AF126" s="177">
        <f t="shared" si="41"/>
        <v>5.7403518072176141E-2</v>
      </c>
      <c r="AG126" s="799">
        <f t="shared" si="49"/>
        <v>1</v>
      </c>
      <c r="AH126" s="176">
        <f t="shared" si="42"/>
        <v>7</v>
      </c>
      <c r="AI126" s="224">
        <f t="shared" si="43"/>
        <v>1.0574035180721761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'2023'!Wh/'2023'!Env_an*'2024'!Env_an</f>
        <v>9.2423344757257944</v>
      </c>
      <c r="C127" s="829"/>
      <c r="D127" s="391">
        <f t="shared" si="25"/>
        <v>9.5893078492899679</v>
      </c>
      <c r="E127" s="383">
        <f t="shared" si="47"/>
        <v>9.98572576031723</v>
      </c>
      <c r="F127" s="383">
        <f t="shared" si="26"/>
        <v>9.98572576031723</v>
      </c>
      <c r="G127" s="110">
        <f t="shared" si="48"/>
        <v>0.16248220530788796</v>
      </c>
      <c r="H127" s="412" t="b">
        <f>Wh_hp&gt;='2023'!Maxi_hp</f>
        <v>0</v>
      </c>
      <c r="I127" s="388">
        <f>IF(H127,Wh_hp,'2023'!Maxi_hp)</f>
        <v>61.411826255045938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3.6183359530986947E-2</v>
      </c>
      <c r="M127" s="832"/>
      <c r="N127" s="832"/>
      <c r="O127" s="48">
        <f>IF(t&lt;Tnet,'2023'!Resal+('2023'!Salim-'2023'!Resal)*(1-EXP(('2023'!Tnet-t)/('2023'!Tau_j))),Resal+(Salim-Resal)*(1-EXP((Tnet-t)/(Tau_j))))*Salcycl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3.0101693080231406E-4</v>
      </c>
      <c r="Q127" s="304">
        <f t="shared" si="28"/>
        <v>0.6</v>
      </c>
      <c r="R127" s="177">
        <f t="shared" si="29"/>
        <v>5.9575987076209591E-2</v>
      </c>
      <c r="S127" s="799">
        <f t="shared" si="30"/>
        <v>1</v>
      </c>
      <c r="T127" s="176">
        <f t="shared" si="31"/>
        <v>7</v>
      </c>
      <c r="U127" s="250">
        <f t="shared" si="32"/>
        <v>1.0595759870762096</v>
      </c>
      <c r="V127" s="382">
        <f t="shared" si="33"/>
        <v>56.865010904181233</v>
      </c>
      <c r="W127" s="400">
        <f t="shared" si="34"/>
        <v>9.2423344757257944</v>
      </c>
      <c r="X127" s="157">
        <f t="shared" si="35"/>
        <v>45404</v>
      </c>
      <c r="Y127" s="383">
        <f t="shared" si="36"/>
        <v>9.0529162011255018</v>
      </c>
      <c r="Z127" s="383">
        <f t="shared" si="37"/>
        <v>9.3927784819321705</v>
      </c>
      <c r="AA127" s="384">
        <f t="shared" si="38"/>
        <v>9.98572576031723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5.9379487542247762E-2</v>
      </c>
      <c r="AD127" s="230">
        <f>(INDEX(Models!$BJ127:$BT127,,AH127)*(1-AF127)+INDEX(Models!$BJ127:$BT127,,AH127+1)*AF127-ERP_i)*AE127*Ramure*Pc/MaxiM</f>
        <v>3.0101693080231406E-4</v>
      </c>
      <c r="AE127" s="304">
        <f t="shared" si="40"/>
        <v>0.6</v>
      </c>
      <c r="AF127" s="177">
        <f t="shared" si="41"/>
        <v>5.9575987076209591E-2</v>
      </c>
      <c r="AG127" s="799">
        <f t="shared" si="49"/>
        <v>1</v>
      </c>
      <c r="AH127" s="176">
        <f t="shared" si="42"/>
        <v>7</v>
      </c>
      <c r="AI127" s="224">
        <f t="shared" si="43"/>
        <v>1.0595759870762096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'2023'!Wh/'2023'!Env_an*'2024'!Env_an</f>
        <v>31.936433875238638</v>
      </c>
      <c r="C128" s="829"/>
      <c r="D128" s="391">
        <f t="shared" si="25"/>
        <v>33.136018408954705</v>
      </c>
      <c r="E128" s="383">
        <f t="shared" si="47"/>
        <v>34.509070802113449</v>
      </c>
      <c r="F128" s="383">
        <f t="shared" si="26"/>
        <v>34.512857519533355</v>
      </c>
      <c r="G128" s="110">
        <f t="shared" si="48"/>
        <v>0.55997089384388765</v>
      </c>
      <c r="H128" s="412" t="b">
        <f>Wh_hp&gt;='2023'!Maxi_hp</f>
        <v>0</v>
      </c>
      <c r="I128" s="388">
        <f>IF(H128,Wh_hp,'2023'!Maxi_hp)</f>
        <v>58.10105142457774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3.6201830857019557E-2</v>
      </c>
      <c r="M128" s="832"/>
      <c r="N128" s="832"/>
      <c r="O128" s="48">
        <f>IF(t&lt;Tnet,'2023'!Resal+('2023'!Salim-'2023'!Resal)*(1-EXP(('2023'!Tnet-t)/('2023'!Tau_j))),Resal+(Salim-Resal)*(1-EXP((Tnet-t)/(Tau_j))))*Salcycl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2.9531238424729045E-4</v>
      </c>
      <c r="Q128" s="304">
        <f t="shared" si="28"/>
        <v>0.6</v>
      </c>
      <c r="R128" s="177">
        <f t="shared" si="29"/>
        <v>6.1816986462791101E-2</v>
      </c>
      <c r="S128" s="799">
        <f t="shared" si="30"/>
        <v>1</v>
      </c>
      <c r="T128" s="176">
        <f t="shared" si="31"/>
        <v>7</v>
      </c>
      <c r="U128" s="250">
        <f t="shared" si="32"/>
        <v>1.0618169864627911</v>
      </c>
      <c r="V128" s="382">
        <f t="shared" si="33"/>
        <v>57.021724497015654</v>
      </c>
      <c r="W128" s="400">
        <f t="shared" si="34"/>
        <v>31.936433875238638</v>
      </c>
      <c r="X128" s="157">
        <f t="shared" si="35"/>
        <v>45405</v>
      </c>
      <c r="Y128" s="383">
        <f t="shared" si="36"/>
        <v>31.282245951411916</v>
      </c>
      <c r="Z128" s="383">
        <f t="shared" si="37"/>
        <v>32.457258119953082</v>
      </c>
      <c r="AA128" s="384">
        <f t="shared" si="38"/>
        <v>34.509070802113449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5.9457198773219692E-2</v>
      </c>
      <c r="AD128" s="230">
        <f>(INDEX(Models!$BJ128:$BT128,,AH128)*(1-AF128)+INDEX(Models!$BJ128:$BT128,,AH128+1)*AF128-ERP_i)*AE128*Ramure*Pc/MaxiM</f>
        <v>2.9531238424729045E-4</v>
      </c>
      <c r="AE128" s="304">
        <f t="shared" si="40"/>
        <v>0.6</v>
      </c>
      <c r="AF128" s="177">
        <f t="shared" si="41"/>
        <v>6.1816986462791101E-2</v>
      </c>
      <c r="AG128" s="799">
        <f t="shared" si="49"/>
        <v>1</v>
      </c>
      <c r="AH128" s="176">
        <f t="shared" si="42"/>
        <v>7</v>
      </c>
      <c r="AI128" s="224">
        <f t="shared" si="43"/>
        <v>1.0618169864627911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'2023'!Wh/'2023'!Env_an*'2024'!Env_an</f>
        <v>48.333638653020344</v>
      </c>
      <c r="C129" s="829"/>
      <c r="D129" s="391">
        <f t="shared" si="25"/>
        <v>50.15009005143763</v>
      </c>
      <c r="E129" s="383">
        <f t="shared" si="47"/>
        <v>52.233061350709328</v>
      </c>
      <c r="F129" s="383">
        <f t="shared" si="26"/>
        <v>52.244860053403485</v>
      </c>
      <c r="G129" s="110">
        <f t="shared" si="48"/>
        <v>0.8453504782256781</v>
      </c>
      <c r="H129" s="412" t="b">
        <f>Wh_hp&gt;='2023'!Maxi_hp</f>
        <v>0</v>
      </c>
      <c r="I129" s="388">
        <f>IF(H129,Wh_hp,'2023'!Maxi_hp)</f>
        <v>57.415722541484826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3.6220301829053558E-2</v>
      </c>
      <c r="M129" s="832"/>
      <c r="N129" s="832"/>
      <c r="O129" s="48">
        <f>IF(t&lt;Tnet,'2023'!Resal+('2023'!Salim-'2023'!Resal)*(1-EXP(('2023'!Tnet-t)/('2023'!Tau_j))),Resal+(Salim-Resal)*(1-EXP((Tnet-t)/(Tau_j))))*Salcycl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2.8984774457376601E-4</v>
      </c>
      <c r="Q129" s="304">
        <f t="shared" si="28"/>
        <v>0.6</v>
      </c>
      <c r="R129" s="177">
        <f t="shared" si="29"/>
        <v>6.4127827967756845E-2</v>
      </c>
      <c r="S129" s="799">
        <f t="shared" si="30"/>
        <v>1</v>
      </c>
      <c r="T129" s="176">
        <f t="shared" si="31"/>
        <v>7</v>
      </c>
      <c r="U129" s="250">
        <f t="shared" si="32"/>
        <v>1.0641278279677568</v>
      </c>
      <c r="V129" s="382">
        <f t="shared" si="33"/>
        <v>57.172196876942493</v>
      </c>
      <c r="W129" s="400">
        <f t="shared" si="34"/>
        <v>48.333638653020344</v>
      </c>
      <c r="X129" s="157">
        <f t="shared" si="35"/>
        <v>45406</v>
      </c>
      <c r="Y129" s="383">
        <f t="shared" si="36"/>
        <v>47.344065762754227</v>
      </c>
      <c r="Z129" s="383">
        <f t="shared" si="37"/>
        <v>49.12332751208956</v>
      </c>
      <c r="AA129" s="384">
        <f t="shared" si="38"/>
        <v>52.233061350709328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5.9535737676565212E-2</v>
      </c>
      <c r="AD129" s="230">
        <f>(INDEX(Models!$BJ129:$BT129,,AH129)*(1-AF129)+INDEX(Models!$BJ129:$BT129,,AH129+1)*AF129-ERP_i)*AE129*Ramure*Pc/MaxiM</f>
        <v>2.8984774457376601E-4</v>
      </c>
      <c r="AE129" s="304">
        <f t="shared" si="40"/>
        <v>0.6</v>
      </c>
      <c r="AF129" s="177">
        <f t="shared" si="41"/>
        <v>6.4127827967756845E-2</v>
      </c>
      <c r="AG129" s="799">
        <f t="shared" si="49"/>
        <v>1</v>
      </c>
      <c r="AH129" s="176">
        <f t="shared" si="42"/>
        <v>7</v>
      </c>
      <c r="AI129" s="224">
        <f t="shared" si="43"/>
        <v>1.0641278279677568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'2023'!Wh/'2023'!Env_an*'2024'!Env_an</f>
        <v>55.415180747897075</v>
      </c>
      <c r="C130" s="829"/>
      <c r="D130" s="391">
        <f t="shared" si="25"/>
        <v>57.49886918422969</v>
      </c>
      <c r="E130" s="383">
        <f t="shared" si="47"/>
        <v>59.892734170427126</v>
      </c>
      <c r="F130" s="383">
        <f t="shared" si="26"/>
        <v>59.908977390003379</v>
      </c>
      <c r="G130" s="110">
        <f t="shared" si="48"/>
        <v>0.96681585677137682</v>
      </c>
      <c r="H130" s="412" t="b">
        <f>Wh_hp&gt;='2023'!Maxi_hp</f>
        <v>0</v>
      </c>
      <c r="I130" s="388">
        <f>IF(H130,Wh_hp,'2023'!Maxi_hp)</f>
        <v>59.909404473598052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3.6238772447095502E-2</v>
      </c>
      <c r="M130" s="832"/>
      <c r="N130" s="832"/>
      <c r="O130" s="48">
        <f>IF(t&lt;Tnet,'2023'!Resal+('2023'!Salim-'2023'!Resal)*(1-EXP(('2023'!Tnet-t)/('2023'!Tau_j))),Resal+(Salim-Resal)*(1-EXP((Tnet-t)/(Tau_j))))*Salcycl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2.8461896488169022E-4</v>
      </c>
      <c r="Q130" s="304">
        <f t="shared" si="28"/>
        <v>0.6</v>
      </c>
      <c r="R130" s="177">
        <f t="shared" si="29"/>
        <v>6.6509784745615752E-2</v>
      </c>
      <c r="S130" s="799">
        <f t="shared" si="30"/>
        <v>1</v>
      </c>
      <c r="T130" s="176">
        <f t="shared" si="31"/>
        <v>7</v>
      </c>
      <c r="U130" s="250">
        <f t="shared" si="32"/>
        <v>1.0665097847456158</v>
      </c>
      <c r="V130" s="382">
        <f t="shared" si="33"/>
        <v>57.316429757336707</v>
      </c>
      <c r="W130" s="400">
        <f t="shared" si="34"/>
        <v>55.415180747897075</v>
      </c>
      <c r="X130" s="157">
        <f t="shared" si="35"/>
        <v>45407</v>
      </c>
      <c r="Y130" s="383">
        <f t="shared" si="36"/>
        <v>54.281174313568322</v>
      </c>
      <c r="Z130" s="383">
        <f t="shared" si="37"/>
        <v>56.322222519154643</v>
      </c>
      <c r="AA130" s="384">
        <f t="shared" si="38"/>
        <v>59.892734170427126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5.9615105249869821E-2</v>
      </c>
      <c r="AD130" s="230">
        <f>(INDEX(Models!$BJ130:$BT130,,AH130)*(1-AF130)+INDEX(Models!$BJ130:$BT130,,AH130+1)*AF130-ERP_i)*AE130*Ramure*Pc/MaxiM</f>
        <v>2.8461896488169022E-4</v>
      </c>
      <c r="AE130" s="304">
        <f t="shared" si="40"/>
        <v>0.6</v>
      </c>
      <c r="AF130" s="177">
        <f t="shared" si="41"/>
        <v>6.6509784745615752E-2</v>
      </c>
      <c r="AG130" s="799">
        <f t="shared" si="49"/>
        <v>1</v>
      </c>
      <c r="AH130" s="176">
        <f t="shared" si="42"/>
        <v>7</v>
      </c>
      <c r="AI130" s="224">
        <f t="shared" si="43"/>
        <v>1.0665097847456158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'2023'!Wh/'2023'!Env_an*'2024'!Env_an</f>
        <v>40.226066964715947</v>
      </c>
      <c r="C131" s="829"/>
      <c r="D131" s="391">
        <f t="shared" si="25"/>
        <v>41.739423368407849</v>
      </c>
      <c r="E131" s="383">
        <f t="shared" si="47"/>
        <v>43.481308674540458</v>
      </c>
      <c r="F131" s="383">
        <f t="shared" si="26"/>
        <v>43.488259822739103</v>
      </c>
      <c r="G131" s="110">
        <f t="shared" si="48"/>
        <v>0.70005483233293442</v>
      </c>
      <c r="H131" s="412" t="b">
        <f>Wh_hp&gt;='2023'!Maxi_hp</f>
        <v>0</v>
      </c>
      <c r="I131" s="388">
        <f>IF(H131,Wh_hp,'2023'!Maxi_hp)</f>
        <v>43.491010827693984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3.6257242711152271E-2</v>
      </c>
      <c r="M131" s="832"/>
      <c r="N131" s="832"/>
      <c r="O131" s="48">
        <f>IF(t&lt;Tnet,'2023'!Resal+('2023'!Salim-'2023'!Resal)*(1-EXP(('2023'!Tnet-t)/('2023'!Tau_j))),Resal+(Salim-Resal)*(1-EXP((Tnet-t)/(Tau_j))))*Salcycl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2.7962242000061533E-4</v>
      </c>
      <c r="Q131" s="304">
        <f t="shared" si="28"/>
        <v>0.6</v>
      </c>
      <c r="R131" s="177">
        <f t="shared" si="29"/>
        <v>6.8964085732750702E-2</v>
      </c>
      <c r="S131" s="799">
        <f t="shared" si="30"/>
        <v>1</v>
      </c>
      <c r="T131" s="176">
        <f t="shared" si="31"/>
        <v>7</v>
      </c>
      <c r="U131" s="250">
        <f t="shared" si="32"/>
        <v>1.0689640857327507</v>
      </c>
      <c r="V131" s="382">
        <f t="shared" si="33"/>
        <v>57.454424920731107</v>
      </c>
      <c r="W131" s="400">
        <f t="shared" si="34"/>
        <v>40.226066964715947</v>
      </c>
      <c r="X131" s="157">
        <f t="shared" si="35"/>
        <v>45408</v>
      </c>
      <c r="Y131" s="383">
        <f t="shared" si="36"/>
        <v>39.403276883820077</v>
      </c>
      <c r="Z131" s="383">
        <f t="shared" si="37"/>
        <v>40.885678865870162</v>
      </c>
      <c r="AA131" s="384">
        <f t="shared" si="38"/>
        <v>43.481308674540458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5.9695300987803845E-2</v>
      </c>
      <c r="AD131" s="230">
        <f>(INDEX(Models!$BJ131:$BT131,,AH131)*(1-AF131)+INDEX(Models!$BJ131:$BT131,,AH131+1)*AF131-ERP_i)*AE131*Ramure*Pc/MaxiM</f>
        <v>2.7962242000061533E-4</v>
      </c>
      <c r="AE131" s="304">
        <f t="shared" si="40"/>
        <v>0.6</v>
      </c>
      <c r="AF131" s="177">
        <f t="shared" si="41"/>
        <v>6.8964085732750702E-2</v>
      </c>
      <c r="AG131" s="799">
        <f t="shared" si="49"/>
        <v>1</v>
      </c>
      <c r="AH131" s="176">
        <f t="shared" si="42"/>
        <v>7</v>
      </c>
      <c r="AI131" s="224">
        <f t="shared" si="43"/>
        <v>1.0689640857327507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'2023'!Wh/'2023'!Env_an*'2024'!Env_an</f>
        <v>24.237847388360272</v>
      </c>
      <c r="C132" s="829"/>
      <c r="D132" s="391">
        <f t="shared" si="25"/>
        <v>25.150188394945111</v>
      </c>
      <c r="E132" s="383">
        <f t="shared" si="47"/>
        <v>26.202273974204093</v>
      </c>
      <c r="F132" s="383">
        <f t="shared" si="26"/>
        <v>26.20351785935333</v>
      </c>
      <c r="G132" s="110">
        <f t="shared" si="48"/>
        <v>0.4208012067200666</v>
      </c>
      <c r="H132" s="412" t="b">
        <f>Wh_hp&gt;='2023'!Maxi_hp</f>
        <v>0</v>
      </c>
      <c r="I132" s="388">
        <f>IF(H132,Wh_hp,'2023'!Maxi_hp)</f>
        <v>46.721279625112096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3.6275712621230638E-2</v>
      </c>
      <c r="M132" s="832"/>
      <c r="N132" s="832"/>
      <c r="O132" s="48">
        <f>IF(t&lt;Tnet,'2023'!Resal+('2023'!Salim-'2023'!Resal)*(1-EXP(('2023'!Tnet-t)/('2023'!Tau_j))),Resal+(Salim-Resal)*(1-EXP((Tnet-t)/(Tau_j))))*Salcycl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2.7485490874258319E-4</v>
      </c>
      <c r="Q132" s="304">
        <f t="shared" si="28"/>
        <v>0.6</v>
      </c>
      <c r="R132" s="177">
        <f t="shared" si="29"/>
        <v>7.1491909775628137E-2</v>
      </c>
      <c r="S132" s="799">
        <f t="shared" si="30"/>
        <v>1</v>
      </c>
      <c r="T132" s="176">
        <f t="shared" si="31"/>
        <v>7</v>
      </c>
      <c r="U132" s="250">
        <f t="shared" si="32"/>
        <v>1.0714919097756281</v>
      </c>
      <c r="V132" s="382">
        <f t="shared" si="33"/>
        <v>57.586184219222545</v>
      </c>
      <c r="W132" s="400">
        <f t="shared" si="34"/>
        <v>24.237847388360272</v>
      </c>
      <c r="X132" s="157">
        <f t="shared" si="35"/>
        <v>45409</v>
      </c>
      <c r="Y132" s="383">
        <f t="shared" si="36"/>
        <v>23.742309988852828</v>
      </c>
      <c r="Z132" s="383">
        <f t="shared" si="37"/>
        <v>24.635998386457047</v>
      </c>
      <c r="AA132" s="384">
        <f t="shared" si="38"/>
        <v>26.202273974204093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5.9776322821791371E-2</v>
      </c>
      <c r="AD132" s="230">
        <f>(INDEX(Models!$BJ132:$BT132,,AH132)*(1-AF132)+INDEX(Models!$BJ132:$BT132,,AH132+1)*AF132-ERP_i)*AE132*Ramure*Pc/MaxiM</f>
        <v>2.7485490874258319E-4</v>
      </c>
      <c r="AE132" s="304">
        <f t="shared" si="40"/>
        <v>0.6</v>
      </c>
      <c r="AF132" s="177">
        <f t="shared" si="41"/>
        <v>7.1491909775628137E-2</v>
      </c>
      <c r="AG132" s="799">
        <f t="shared" si="49"/>
        <v>1</v>
      </c>
      <c r="AH132" s="176">
        <f t="shared" si="42"/>
        <v>7</v>
      </c>
      <c r="AI132" s="224">
        <f t="shared" si="43"/>
        <v>1.0714919097756281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'2023'!Wh/'2023'!Env_an*'2024'!Env_an</f>
        <v>44.3282213136225</v>
      </c>
      <c r="C133" s="829"/>
      <c r="D133" s="391">
        <f t="shared" si="25"/>
        <v>45.997669095507739</v>
      </c>
      <c r="E133" s="383">
        <f t="shared" si="47"/>
        <v>47.926465005041635</v>
      </c>
      <c r="F133" s="383">
        <f t="shared" si="26"/>
        <v>47.935129838104913</v>
      </c>
      <c r="G133" s="110">
        <f t="shared" si="48"/>
        <v>0.76802872824303359</v>
      </c>
      <c r="H133" s="412" t="b">
        <f>Wh_hp&gt;='2023'!Maxi_hp</f>
        <v>0</v>
      </c>
      <c r="I133" s="388">
        <f>IF(H133,Wh_hp,'2023'!Maxi_hp)</f>
        <v>51.783140656081144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3.6294182177337375E-2</v>
      </c>
      <c r="M133" s="832"/>
      <c r="N133" s="832"/>
      <c r="O133" s="48">
        <f>IF(t&lt;Tnet,'2023'!Resal+('2023'!Salim-'2023'!Resal)*(1-EXP(('2023'!Tnet-t)/('2023'!Tau_j))),Resal+(Salim-Resal)*(1-EXP((Tnet-t)/(Tau_j))))*Salcycl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2.7031365623027688E-4</v>
      </c>
      <c r="Q133" s="304">
        <f t="shared" si="28"/>
        <v>0.6</v>
      </c>
      <c r="R133" s="177">
        <f t="shared" si="29"/>
        <v>7.4094379536760124E-2</v>
      </c>
      <c r="S133" s="799">
        <f t="shared" si="30"/>
        <v>1</v>
      </c>
      <c r="T133" s="176">
        <f t="shared" si="31"/>
        <v>7</v>
      </c>
      <c r="U133" s="250">
        <f t="shared" si="32"/>
        <v>1.0740943795367601</v>
      </c>
      <c r="V133" s="382">
        <f t="shared" si="33"/>
        <v>57.711709581594903</v>
      </c>
      <c r="W133" s="400">
        <f t="shared" si="34"/>
        <v>44.3282213136225</v>
      </c>
      <c r="X133" s="157">
        <f t="shared" si="35"/>
        <v>45410</v>
      </c>
      <c r="Y133" s="383">
        <f t="shared" si="36"/>
        <v>43.422343203719279</v>
      </c>
      <c r="Z133" s="383">
        <f t="shared" si="37"/>
        <v>45.057674656177795</v>
      </c>
      <c r="AA133" s="384">
        <f t="shared" si="38"/>
        <v>47.926465005041635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5.9858167059933562E-2</v>
      </c>
      <c r="AD133" s="230">
        <f>(INDEX(Models!$BJ133:$BT133,,AH133)*(1-AF133)+INDEX(Models!$BJ133:$BT133,,AH133+1)*AF133-ERP_i)*AE133*Ramure*Pc/MaxiM</f>
        <v>2.7031365623027688E-4</v>
      </c>
      <c r="AE133" s="304">
        <f t="shared" si="40"/>
        <v>0.6</v>
      </c>
      <c r="AF133" s="177">
        <f t="shared" si="41"/>
        <v>7.4094379536760124E-2</v>
      </c>
      <c r="AG133" s="799">
        <f t="shared" si="49"/>
        <v>1</v>
      </c>
      <c r="AH133" s="176">
        <f t="shared" si="42"/>
        <v>7</v>
      </c>
      <c r="AI133" s="224">
        <f t="shared" si="43"/>
        <v>1.0740943795367601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'2023'!Wh/'2023'!Env_an*'2024'!Env_an</f>
        <v>46.92360369642735</v>
      </c>
      <c r="C134" s="829"/>
      <c r="D134" s="391">
        <f t="shared" si="25"/>
        <v>48.691729494629755</v>
      </c>
      <c r="E134" s="383">
        <f t="shared" si="47"/>
        <v>50.738410396388687</v>
      </c>
      <c r="F134" s="383">
        <f t="shared" si="26"/>
        <v>50.748272115595533</v>
      </c>
      <c r="G134" s="110">
        <f t="shared" si="48"/>
        <v>0.81133367198464446</v>
      </c>
      <c r="H134" s="412" t="b">
        <f>Wh_hp&gt;='2023'!Maxi_hp</f>
        <v>0</v>
      </c>
      <c r="I134" s="388">
        <f>IF(H134,Wh_hp,'2023'!Maxi_hp)</f>
        <v>61.648626642094747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3.6312651379479366E-2</v>
      </c>
      <c r="M134" s="832"/>
      <c r="N134" s="832"/>
      <c r="O134" s="48">
        <f>IF(t&lt;Tnet,'2023'!Resal+('2023'!Salim-'2023'!Resal)*(1-EXP(('2023'!Tnet-t)/('2023'!Tau_j))),Resal+(Salim-Resal)*(1-EXP((Tnet-t)/(Tau_j))))*Salcycl</f>
        <v>4.0337899547294519E-2</v>
      </c>
      <c r="P134" s="169">
        <f>(INDEX(Models!$BJ134:$BT134,,T134)*(1-R134)+INDEX(Models!$BJ134:$BT134,,T134+1)*R134-ERP_i)*Q134*Ramure*Pc/MaxiM</f>
        <v>2.6599631637051741E-4</v>
      </c>
      <c r="Q134" s="304">
        <f t="shared" si="28"/>
        <v>0.6</v>
      </c>
      <c r="R134" s="177">
        <f t="shared" si="29"/>
        <v>7.6772555194039249E-2</v>
      </c>
      <c r="S134" s="799">
        <f t="shared" si="30"/>
        <v>1</v>
      </c>
      <c r="T134" s="176">
        <f t="shared" si="31"/>
        <v>7</v>
      </c>
      <c r="U134" s="250">
        <f t="shared" si="32"/>
        <v>1.0767725551940392</v>
      </c>
      <c r="V134" s="382">
        <f t="shared" si="33"/>
        <v>57.831003005423405</v>
      </c>
      <c r="W134" s="400">
        <f t="shared" si="34"/>
        <v>46.92360369642735</v>
      </c>
      <c r="X134" s="157">
        <f t="shared" si="35"/>
        <v>45411</v>
      </c>
      <c r="Y134" s="383">
        <f t="shared" si="36"/>
        <v>45.965099592797877</v>
      </c>
      <c r="Z134" s="383">
        <f t="shared" si="37"/>
        <v>47.697108049197752</v>
      </c>
      <c r="AA134" s="384">
        <f t="shared" si="38"/>
        <v>50.738410396388687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5.9940828327712047E-2</v>
      </c>
      <c r="AD134" s="230">
        <f>(INDEX(Models!$BJ134:$BT134,,AH134)*(1-AF134)+INDEX(Models!$BJ134:$BT134,,AH134+1)*AF134-ERP_i)*AE134*Ramure*Pc/MaxiM</f>
        <v>2.6599631637051741E-4</v>
      </c>
      <c r="AE134" s="304">
        <f t="shared" si="40"/>
        <v>0.6</v>
      </c>
      <c r="AF134" s="177">
        <f t="shared" si="41"/>
        <v>7.6772555194039249E-2</v>
      </c>
      <c r="AG134" s="799">
        <f t="shared" si="49"/>
        <v>1</v>
      </c>
      <c r="AH134" s="176">
        <f t="shared" si="42"/>
        <v>7</v>
      </c>
      <c r="AI134" s="224">
        <f t="shared" si="43"/>
        <v>1.0767725551940392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'2023'!Wh/'2023'!Env_an*'2024'!Env_an</f>
        <v>47.477970854892092</v>
      </c>
      <c r="C135" s="829"/>
      <c r="D135" s="391">
        <f t="shared" si="25"/>
        <v>49.26792994094464</v>
      </c>
      <c r="E135" s="383">
        <f t="shared" si="47"/>
        <v>51.343835192767592</v>
      </c>
      <c r="F135" s="383">
        <f t="shared" si="26"/>
        <v>51.353814733584002</v>
      </c>
      <c r="G135" s="110">
        <f t="shared" si="48"/>
        <v>0.81933294345621588</v>
      </c>
      <c r="H135" s="412" t="b">
        <f>Wh_hp&gt;='2023'!Maxi_hp</f>
        <v>0</v>
      </c>
      <c r="I135" s="388">
        <f>IF(H135,Wh_hp,'2023'!Maxi_hp)</f>
        <v>57.098058064772587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3.6331120227663272E-2</v>
      </c>
      <c r="M135" s="832"/>
      <c r="N135" s="832"/>
      <c r="O135" s="48">
        <f>IF(t&lt;Tnet,'2023'!Resal+('2023'!Salim-'2023'!Resal)*(1-EXP(('2023'!Tnet-t)/('2023'!Tau_j))),Resal+(Salim-Resal)*(1-EXP((Tnet-t)/(Tau_j))))*Salcycl</f>
        <v>4.0431441165800761E-2</v>
      </c>
      <c r="P135" s="169">
        <f>(INDEX(Models!$BJ135:$BT135,,T135)*(1-R135)+INDEX(Models!$BJ135:$BT135,,T135+1)*R135-ERP_i)*Q135*Ramure*Pc/MaxiM</f>
        <v>2.6190494933975717E-4</v>
      </c>
      <c r="Q135" s="304">
        <f t="shared" si="28"/>
        <v>0.6</v>
      </c>
      <c r="R135" s="177">
        <f t="shared" si="29"/>
        <v>7.9527427952099217E-2</v>
      </c>
      <c r="S135" s="799">
        <f t="shared" si="30"/>
        <v>1</v>
      </c>
      <c r="T135" s="176">
        <f t="shared" si="31"/>
        <v>7</v>
      </c>
      <c r="U135" s="250">
        <f t="shared" si="32"/>
        <v>1.0795274279520992</v>
      </c>
      <c r="V135" s="382">
        <f t="shared" si="33"/>
        <v>57.943186889354195</v>
      </c>
      <c r="W135" s="400">
        <f t="shared" si="34"/>
        <v>47.477970854892092</v>
      </c>
      <c r="X135" s="157">
        <f t="shared" si="35"/>
        <v>45412</v>
      </c>
      <c r="Y135" s="383">
        <f t="shared" si="36"/>
        <v>46.508546472581912</v>
      </c>
      <c r="Z135" s="383">
        <f t="shared" si="37"/>
        <v>48.261957451162466</v>
      </c>
      <c r="AA135" s="384">
        <f t="shared" si="38"/>
        <v>51.343835192767592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6.0024299510046029E-2</v>
      </c>
      <c r="AD135" s="230">
        <f>(INDEX(Models!$BJ135:$BT135,,AH135)*(1-AF135)+INDEX(Models!$BJ135:$BT135,,AH135+1)*AF135-ERP_i)*AE135*Ramure*Pc/MaxiM</f>
        <v>2.6190494933975717E-4</v>
      </c>
      <c r="AE135" s="304">
        <f t="shared" si="40"/>
        <v>0.6</v>
      </c>
      <c r="AF135" s="177">
        <f t="shared" si="41"/>
        <v>7.9527427952099217E-2</v>
      </c>
      <c r="AG135" s="799">
        <f t="shared" si="49"/>
        <v>1</v>
      </c>
      <c r="AH135" s="176">
        <f t="shared" si="42"/>
        <v>7</v>
      </c>
      <c r="AI135" s="224">
        <f t="shared" si="43"/>
        <v>1.0795274279520992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'2023'!Wh/'2023'!Env_an*'2024'!Env_an</f>
        <v>28.14959276106838</v>
      </c>
      <c r="C136" s="829"/>
      <c r="D136" s="391">
        <f t="shared" si="25"/>
        <v>29.211415708039961</v>
      </c>
      <c r="E136" s="383">
        <f t="shared" si="47"/>
        <v>30.445224341341593</v>
      </c>
      <c r="F136" s="383">
        <f t="shared" si="26"/>
        <v>30.447301197760261</v>
      </c>
      <c r="G136" s="110">
        <f t="shared" si="48"/>
        <v>0.48484730177449215</v>
      </c>
      <c r="H136" s="412" t="b">
        <f>Wh_hp&gt;='2023'!Maxi_hp</f>
        <v>0</v>
      </c>
      <c r="I136" s="388">
        <f>IF(H136,Wh_hp,'2023'!Maxi_hp)</f>
        <v>49.564429764978506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3.6349588721895865E-2</v>
      </c>
      <c r="M136" s="832"/>
      <c r="N136" s="832"/>
      <c r="O136" s="48">
        <f>IF(t&lt;Tnet,'2023'!Resal+('2023'!Salim-'2023'!Resal)*(1-EXP(('2023'!Tnet-t)/('2023'!Tau_j))),Resal+(Salim-Resal)*(1-EXP((Tnet-t)/(Tau_j))))*Salcycl</f>
        <v>4.052552280346456E-2</v>
      </c>
      <c r="P136" s="169">
        <f>(INDEX(Models!$BJ136:$BT136,,T136)*(1-R136)+INDEX(Models!$BJ136:$BT136,,T136+1)*R136-ERP_i)*Q136*Ramure*Pc/MaxiM</f>
        <v>2.581821359617021E-4</v>
      </c>
      <c r="Q136" s="304">
        <f t="shared" si="28"/>
        <v>0.6</v>
      </c>
      <c r="R136" s="177">
        <f t="shared" si="29"/>
        <v>8.2359913387534345E-2</v>
      </c>
      <c r="S136" s="799">
        <f t="shared" si="30"/>
        <v>1</v>
      </c>
      <c r="T136" s="176">
        <f t="shared" si="31"/>
        <v>7</v>
      </c>
      <c r="U136" s="250">
        <f t="shared" si="32"/>
        <v>1.0823599133875343</v>
      </c>
      <c r="V136" s="382">
        <f t="shared" si="33"/>
        <v>58.047646542612121</v>
      </c>
      <c r="W136" s="400">
        <f t="shared" si="34"/>
        <v>28.14959276106838</v>
      </c>
      <c r="X136" s="157">
        <f t="shared" si="35"/>
        <v>45413</v>
      </c>
      <c r="Y136" s="383">
        <f t="shared" si="36"/>
        <v>27.575054444075821</v>
      </c>
      <c r="Z136" s="383">
        <f t="shared" si="37"/>
        <v>28.615205391239972</v>
      </c>
      <c r="AA136" s="384">
        <f t="shared" si="38"/>
        <v>30.445224341341593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6.0108571695319628E-2</v>
      </c>
      <c r="AD136" s="230">
        <f>(INDEX(Models!$BJ136:$BT136,,AH136)*(1-AF136)+INDEX(Models!$BJ136:$BT136,,AH136+1)*AF136-ERP_i)*AE136*Ramure*Pc/MaxiM</f>
        <v>2.581821359617021E-4</v>
      </c>
      <c r="AE136" s="304">
        <f t="shared" si="40"/>
        <v>0.6</v>
      </c>
      <c r="AF136" s="177">
        <f t="shared" si="41"/>
        <v>8.2359913387534345E-2</v>
      </c>
      <c r="AG136" s="799">
        <f t="shared" si="49"/>
        <v>1</v>
      </c>
      <c r="AH136" s="176">
        <f t="shared" si="42"/>
        <v>7</v>
      </c>
      <c r="AI136" s="224">
        <f t="shared" si="43"/>
        <v>1.0823599133875343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'2023'!Wh/'2023'!Env_an*'2024'!Env_an</f>
        <v>39.290542593374425</v>
      </c>
      <c r="C137" s="829"/>
      <c r="D137" s="391">
        <f t="shared" si="25"/>
        <v>40.773391618209565</v>
      </c>
      <c r="E137" s="383">
        <f t="shared" si="47"/>
        <v>42.499736821167993</v>
      </c>
      <c r="F137" s="383">
        <f t="shared" si="26"/>
        <v>42.505548541441549</v>
      </c>
      <c r="G137" s="110">
        <f t="shared" si="48"/>
        <v>0.67565643420172639</v>
      </c>
      <c r="H137" s="412" t="b">
        <f>Wh_hp&gt;='2023'!Maxi_hp</f>
        <v>0</v>
      </c>
      <c r="I137" s="388">
        <f>IF(H137,Wh_hp,'2023'!Maxi_hp)</f>
        <v>61.404519088032231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3.6368056862184028E-2</v>
      </c>
      <c r="M137" s="832"/>
      <c r="N137" s="832"/>
      <c r="O137" s="48">
        <f>IF(t&lt;Tnet,'2023'!Resal+('2023'!Salim-'2023'!Resal)*(1-EXP(('2023'!Tnet-t)/('2023'!Tau_j))),Resal+(Salim-Resal)*(1-EXP((Tnet-t)/(Tau_j))))*Salcycl</f>
        <v>4.0620138666331199E-2</v>
      </c>
      <c r="P137" s="169">
        <f>(INDEX(Models!$BJ137:$BT137,,T137)*(1-R137)+INDEX(Models!$BJ137:$BT137,,T137+1)*R137-ERP_i)*Q137*Ramure*Pc/MaxiM</f>
        <v>2.5472648415257696E-4</v>
      </c>
      <c r="Q137" s="304">
        <f t="shared" si="28"/>
        <v>0.6</v>
      </c>
      <c r="R137" s="177">
        <f t="shared" si="29"/>
        <v>8.5270844653098088E-2</v>
      </c>
      <c r="S137" s="799">
        <f t="shared" si="30"/>
        <v>1</v>
      </c>
      <c r="T137" s="176">
        <f t="shared" si="31"/>
        <v>7</v>
      </c>
      <c r="U137" s="250">
        <f t="shared" si="32"/>
        <v>1.0852708446530981</v>
      </c>
      <c r="V137" s="382">
        <f t="shared" si="33"/>
        <v>58.144796328818614</v>
      </c>
      <c r="W137" s="400">
        <f t="shared" si="34"/>
        <v>39.290542593374425</v>
      </c>
      <c r="X137" s="157">
        <f t="shared" si="35"/>
        <v>45414</v>
      </c>
      <c r="Y137" s="383">
        <f t="shared" si="36"/>
        <v>38.48892762531122</v>
      </c>
      <c r="Z137" s="383">
        <f t="shared" si="37"/>
        <v>39.941523212671918</v>
      </c>
      <c r="AA137" s="384">
        <f t="shared" si="38"/>
        <v>42.499736821167993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6.0193634122032977E-2</v>
      </c>
      <c r="AD137" s="230">
        <f>(INDEX(Models!$BJ137:$BT137,,AH137)*(1-AF137)+INDEX(Models!$BJ137:$BT137,,AH137+1)*AF137-ERP_i)*AE137*Ramure*Pc/MaxiM</f>
        <v>2.5472648415257696E-4</v>
      </c>
      <c r="AE137" s="304">
        <f t="shared" si="40"/>
        <v>0.6</v>
      </c>
      <c r="AF137" s="177">
        <f t="shared" si="41"/>
        <v>8.5270844653098088E-2</v>
      </c>
      <c r="AG137" s="799">
        <f t="shared" si="49"/>
        <v>1</v>
      </c>
      <c r="AH137" s="176">
        <f t="shared" si="42"/>
        <v>7</v>
      </c>
      <c r="AI137" s="224">
        <f t="shared" si="43"/>
        <v>1.0852708446530981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'2023'!Wh/'2023'!Env_an*'2024'!Env_an</f>
        <v>21.276343619424367</v>
      </c>
      <c r="C138" s="829"/>
      <c r="D138" s="391">
        <f t="shared" si="25"/>
        <v>22.079748948782704</v>
      </c>
      <c r="E138" s="383">
        <f t="shared" si="47"/>
        <v>23.016888027348788</v>
      </c>
      <c r="F138" s="383">
        <f t="shared" si="26"/>
        <v>23.017428564252633</v>
      </c>
      <c r="G138" s="110">
        <f t="shared" si="48"/>
        <v>0.36526959782231649</v>
      </c>
      <c r="H138" s="412" t="b">
        <f>Wh_hp&gt;='2023'!Maxi_hp</f>
        <v>0</v>
      </c>
      <c r="I138" s="388">
        <f>IF(H138,Wh_hp,'2023'!Maxi_hp)</f>
        <v>54.000058250195806</v>
      </c>
      <c r="J138" s="85">
        <f>IF(H138,An,'2023'!An_max)</f>
        <v>2021</v>
      </c>
      <c r="K138" s="197">
        <f t="shared" si="27"/>
        <v>45415</v>
      </c>
      <c r="L138" s="147">
        <f>IF(t&lt;Tvie,1-EXP((T0-t)*PertePVj)+'2023'!Pspv,1-EXP((T0-t)*PertePVj)+Pspv)</f>
        <v>3.6386524648534535E-2</v>
      </c>
      <c r="M138" s="832"/>
      <c r="N138" s="832"/>
      <c r="O138" s="48">
        <f>IF(t&lt;Tnet,'2023'!Resal+('2023'!Salim-'2023'!Resal)*(1-EXP(('2023'!Tnet-t)/('2023'!Tau_j))),Resal+(Salim-Resal)*(1-EXP((Tnet-t)/(Tau_j))))*Salcycl</f>
        <v>4.0715281642443139E-2</v>
      </c>
      <c r="P138" s="169">
        <f>(INDEX(Models!$BJ138:$BT138,,T138)*(1-R138)+INDEX(Models!$BJ138:$BT138,,T138+1)*R138-ERP_i)*Q138*Ramure*Pc/MaxiM</f>
        <v>2.5153683465818985E-4</v>
      </c>
      <c r="Q138" s="304">
        <f t="shared" si="28"/>
        <v>0.6</v>
      </c>
      <c r="R138" s="177">
        <f t="shared" si="29"/>
        <v>8.826096556938845E-2</v>
      </c>
      <c r="S138" s="799">
        <f t="shared" si="30"/>
        <v>1</v>
      </c>
      <c r="T138" s="176">
        <f t="shared" si="31"/>
        <v>7</v>
      </c>
      <c r="U138" s="250">
        <f t="shared" si="32"/>
        <v>1.0882609655693884</v>
      </c>
      <c r="V138" s="382">
        <f t="shared" si="33"/>
        <v>58.235044738906325</v>
      </c>
      <c r="W138" s="400">
        <f t="shared" si="34"/>
        <v>21.276343619424367</v>
      </c>
      <c r="X138" s="157">
        <f t="shared" si="35"/>
        <v>45415</v>
      </c>
      <c r="Y138" s="383">
        <f t="shared" si="36"/>
        <v>20.842421892110554</v>
      </c>
      <c r="Z138" s="383">
        <f t="shared" si="37"/>
        <v>21.629442120979629</v>
      </c>
      <c r="AA138" s="384">
        <f t="shared" si="38"/>
        <v>23.016888027348788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6.0279474128761029E-2</v>
      </c>
      <c r="AD138" s="230">
        <f>(INDEX(Models!$BJ138:$BT138,,AH138)*(1-AF138)+INDEX(Models!$BJ138:$BT138,,AH138+1)*AF138-ERP_i)*AE138*Ramure*Pc/MaxiM</f>
        <v>2.5153683465818985E-4</v>
      </c>
      <c r="AE138" s="304">
        <f t="shared" si="40"/>
        <v>0.6</v>
      </c>
      <c r="AF138" s="177">
        <f t="shared" si="41"/>
        <v>8.826096556938845E-2</v>
      </c>
      <c r="AG138" s="799">
        <f t="shared" si="49"/>
        <v>1</v>
      </c>
      <c r="AH138" s="176">
        <f t="shared" si="42"/>
        <v>7</v>
      </c>
      <c r="AI138" s="224">
        <f t="shared" si="43"/>
        <v>1.0882609655693884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'2023'!Wh/'2023'!Env_an*'2024'!Env_an</f>
        <v>43.645049335136406</v>
      </c>
      <c r="C139" s="829"/>
      <c r="D139" s="391">
        <f t="shared" si="25"/>
        <v>45.293976179257186</v>
      </c>
      <c r="E139" s="383">
        <f t="shared" si="47"/>
        <v>47.221114399948881</v>
      </c>
      <c r="F139" s="383">
        <f t="shared" si="26"/>
        <v>47.22863554484757</v>
      </c>
      <c r="G139" s="110">
        <f t="shared" si="48"/>
        <v>0.74832041017840967</v>
      </c>
      <c r="H139" s="412" t="b">
        <f>Wh_hp&gt;='2023'!Maxi_hp</f>
        <v>0</v>
      </c>
      <c r="I139" s="388">
        <f>IF(H139,Wh_hp,'2023'!Maxi_hp)</f>
        <v>59.96671405061354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3.6404992080954046E-2</v>
      </c>
      <c r="M139" s="832"/>
      <c r="N139" s="832"/>
      <c r="O139" s="48">
        <f>IF(t&lt;Tnet,'2023'!Resal+('2023'!Salim-'2023'!Resal)*(1-EXP(('2023'!Tnet-t)/('2023'!Tau_j))),Resal+(Salim-Resal)*(1-EXP((Tnet-t)/(Tau_j))))*Salcycl</f>
        <v>4.0810943265112351E-2</v>
      </c>
      <c r="P139" s="169">
        <f>(INDEX(Models!$BJ139:$BT139,,T139)*(1-R139)+INDEX(Models!$BJ139:$BT139,,T139+1)*R139-ERP_i)*Q139*Ramure*Pc/MaxiM</f>
        <v>2.4861269110436937E-4</v>
      </c>
      <c r="Q139" s="304">
        <f t="shared" si="28"/>
        <v>0.6</v>
      </c>
      <c r="R139" s="177">
        <f t="shared" si="29"/>
        <v>9.1330923635964956E-2</v>
      </c>
      <c r="S139" s="799">
        <f t="shared" si="30"/>
        <v>1</v>
      </c>
      <c r="T139" s="176">
        <f t="shared" si="31"/>
        <v>7</v>
      </c>
      <c r="U139" s="250">
        <f t="shared" si="32"/>
        <v>1.091330923635965</v>
      </c>
      <c r="V139" s="382">
        <f t="shared" si="33"/>
        <v>58.318800165168291</v>
      </c>
      <c r="W139" s="400">
        <f t="shared" si="34"/>
        <v>43.645049335136406</v>
      </c>
      <c r="X139" s="157">
        <f t="shared" si="35"/>
        <v>45416</v>
      </c>
      <c r="Y139" s="383">
        <f t="shared" si="36"/>
        <v>42.755251046320581</v>
      </c>
      <c r="Z139" s="383">
        <f t="shared" si="37"/>
        <v>44.370560966949881</v>
      </c>
      <c r="AA139" s="384">
        <f t="shared" si="38"/>
        <v>47.221114399948881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6.03660771081269E-2</v>
      </c>
      <c r="AD139" s="230">
        <f>(INDEX(Models!$BJ139:$BT139,,AH139)*(1-AF139)+INDEX(Models!$BJ139:$BT139,,AH139+1)*AF139-ERP_i)*AE139*Ramure*Pc/MaxiM</f>
        <v>2.4861269110436937E-4</v>
      </c>
      <c r="AE139" s="304">
        <f t="shared" si="40"/>
        <v>0.6</v>
      </c>
      <c r="AF139" s="177">
        <f t="shared" si="41"/>
        <v>9.1330923635964956E-2</v>
      </c>
      <c r="AG139" s="799">
        <f t="shared" si="49"/>
        <v>1</v>
      </c>
      <c r="AH139" s="176">
        <f t="shared" si="42"/>
        <v>7</v>
      </c>
      <c r="AI139" s="224">
        <f t="shared" si="43"/>
        <v>1.091330923635965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'2023'!Wh/'2023'!Env_an*'2024'!Env_an</f>
        <v>38.300426479726148</v>
      </c>
      <c r="C140" s="829"/>
      <c r="D140" s="391">
        <f t="shared" si="25"/>
        <v>39.748193170327475</v>
      </c>
      <c r="E140" s="383">
        <f t="shared" si="47"/>
        <v>41.443528293499924</v>
      </c>
      <c r="F140" s="383">
        <f t="shared" si="26"/>
        <v>41.448711007141107</v>
      </c>
      <c r="G140" s="110">
        <f t="shared" si="48"/>
        <v>0.65578954037001624</v>
      </c>
      <c r="H140" s="412" t="b">
        <f>Wh_hp&gt;='2023'!Maxi_hp</f>
        <v>0</v>
      </c>
      <c r="I140" s="388">
        <f>IF(H140,Wh_hp,'2023'!Maxi_hp)</f>
        <v>63.959766591204975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3.6423459159449445E-2</v>
      </c>
      <c r="M140" s="832"/>
      <c r="N140" s="832"/>
      <c r="O140" s="48">
        <f>IF(t&lt;Tnet,'2023'!Resal+('2023'!Salim-'2023'!Resal)*(1-EXP(('2023'!Tnet-t)/('2023'!Tau_j))),Resal+(Salim-Resal)*(1-EXP((Tnet-t)/(Tau_j))))*Salcycl</f>
        <v>4.0907113679274923E-2</v>
      </c>
      <c r="P140" s="169">
        <f>(INDEX(Models!$BJ140:$BT140,,T140)*(1-R140)+INDEX(Models!$BJ140:$BT140,,T140+1)*R140-ERP_i)*Q140*Ramure*Pc/MaxiM</f>
        <v>2.4595420038279743E-4</v>
      </c>
      <c r="Q140" s="304">
        <f t="shared" si="28"/>
        <v>0.6</v>
      </c>
      <c r="R140" s="177">
        <f t="shared" si="29"/>
        <v>9.4481262997306192E-2</v>
      </c>
      <c r="S140" s="799">
        <f t="shared" si="30"/>
        <v>1</v>
      </c>
      <c r="T140" s="176">
        <f t="shared" si="31"/>
        <v>7</v>
      </c>
      <c r="U140" s="250">
        <f t="shared" si="32"/>
        <v>1.0944812629973062</v>
      </c>
      <c r="V140" s="382">
        <f t="shared" si="33"/>
        <v>58.396470890451731</v>
      </c>
      <c r="W140" s="400">
        <f t="shared" si="34"/>
        <v>38.300426479726148</v>
      </c>
      <c r="X140" s="157">
        <f t="shared" si="35"/>
        <v>45417</v>
      </c>
      <c r="Y140" s="383">
        <f t="shared" si="36"/>
        <v>37.519863797532857</v>
      </c>
      <c r="Z140" s="383">
        <f t="shared" si="37"/>
        <v>38.938125003337454</v>
      </c>
      <c r="AA140" s="384">
        <f t="shared" si="38"/>
        <v>41.443528293499924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6.0453426465512161E-2</v>
      </c>
      <c r="AD140" s="230">
        <f>(INDEX(Models!$BJ140:$BT140,,AH140)*(1-AF140)+INDEX(Models!$BJ140:$BT140,,AH140+1)*AF140-ERP_i)*AE140*Ramure*Pc/MaxiM</f>
        <v>2.4595420038279743E-4</v>
      </c>
      <c r="AE140" s="304">
        <f t="shared" si="40"/>
        <v>0.6</v>
      </c>
      <c r="AF140" s="177">
        <f t="shared" si="41"/>
        <v>9.4481262997306192E-2</v>
      </c>
      <c r="AG140" s="799">
        <f t="shared" si="49"/>
        <v>1</v>
      </c>
      <c r="AH140" s="176">
        <f t="shared" si="42"/>
        <v>7</v>
      </c>
      <c r="AI140" s="224">
        <f t="shared" si="43"/>
        <v>1.0944812629973062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'2023'!Wh/'2023'!Env_an*'2024'!Env_an</f>
        <v>52.398374076336616</v>
      </c>
      <c r="C141" s="829"/>
      <c r="D141" s="391">
        <f t="shared" si="25"/>
        <v>54.380089258667795</v>
      </c>
      <c r="E141" s="383">
        <f t="shared" si="47"/>
        <v>56.70521761811019</v>
      </c>
      <c r="F141" s="383">
        <f t="shared" si="26"/>
        <v>56.71698293313235</v>
      </c>
      <c r="G141" s="110">
        <f t="shared" si="48"/>
        <v>0.89614941672504611</v>
      </c>
      <c r="H141" s="412" t="b">
        <f>Wh_hp&gt;='2023'!Maxi_hp</f>
        <v>0</v>
      </c>
      <c r="I141" s="388">
        <f>IF(H141,Wh_hp,'2023'!Maxi_hp)</f>
        <v>60.392486037860046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3.6441925884027615E-2</v>
      </c>
      <c r="M141" s="832"/>
      <c r="N141" s="832"/>
      <c r="O141" s="48">
        <f>IF(t&lt;Tnet,'2023'!Resal+('2023'!Salim-'2023'!Resal)*(1-EXP(('2023'!Tnet-t)/('2023'!Tau_j))),Resal+(Salim-Resal)*(1-EXP((Tnet-t)/(Tau_j))))*Salcycl</f>
        <v>4.1003781611444003E-2</v>
      </c>
      <c r="P141" s="169">
        <f>(INDEX(Models!$BJ141:$BT141,,T141)*(1-R141)+INDEX(Models!$BJ141:$BT141,,T141+1)*R141-ERP_i)*Q141*Ramure*Pc/MaxiM</f>
        <v>2.4356213283060517E-4</v>
      </c>
      <c r="Q141" s="304">
        <f t="shared" si="28"/>
        <v>0.6</v>
      </c>
      <c r="R141" s="177">
        <f t="shared" si="29"/>
        <v>9.7712417402458618E-2</v>
      </c>
      <c r="S141" s="799">
        <f t="shared" si="30"/>
        <v>1</v>
      </c>
      <c r="T141" s="176">
        <f t="shared" si="31"/>
        <v>7</v>
      </c>
      <c r="U141" s="250">
        <f t="shared" si="32"/>
        <v>1.0977124174024586</v>
      </c>
      <c r="V141" s="382">
        <f t="shared" si="33"/>
        <v>58.468465094146218</v>
      </c>
      <c r="W141" s="400">
        <f t="shared" si="34"/>
        <v>52.398374076336616</v>
      </c>
      <c r="X141" s="157">
        <f t="shared" si="35"/>
        <v>45418</v>
      </c>
      <c r="Y141" s="383">
        <f t="shared" si="36"/>
        <v>51.330856973717012</v>
      </c>
      <c r="Z141" s="383">
        <f t="shared" si="37"/>
        <v>53.272198482495313</v>
      </c>
      <c r="AA141" s="384">
        <f t="shared" si="38"/>
        <v>56.70521761811019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6.0541503583233944E-2</v>
      </c>
      <c r="AD141" s="230">
        <f>(INDEX(Models!$BJ141:$BT141,,AH141)*(1-AF141)+INDEX(Models!$BJ141:$BT141,,AH141+1)*AF141-ERP_i)*AE141*Ramure*Pc/MaxiM</f>
        <v>2.4356213283060517E-4</v>
      </c>
      <c r="AE141" s="304">
        <f t="shared" si="40"/>
        <v>0.6</v>
      </c>
      <c r="AF141" s="177">
        <f t="shared" si="41"/>
        <v>9.7712417402458618E-2</v>
      </c>
      <c r="AG141" s="799">
        <f t="shared" si="49"/>
        <v>1</v>
      </c>
      <c r="AH141" s="176">
        <f t="shared" si="42"/>
        <v>7</v>
      </c>
      <c r="AI141" s="224">
        <f t="shared" si="43"/>
        <v>1.0977124174024586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'2023'!Wh/'2023'!Env_an*'2024'!Env_an</f>
        <v>48.317443986240662</v>
      </c>
      <c r="C142" s="829"/>
      <c r="D142" s="391">
        <f t="shared" si="25"/>
        <v>50.145778749359465</v>
      </c>
      <c r="E142" s="383">
        <f t="shared" si="47"/>
        <v>52.295158630738982</v>
      </c>
      <c r="F142" s="383">
        <f t="shared" si="26"/>
        <v>52.304637136823189</v>
      </c>
      <c r="G142" s="110">
        <f t="shared" si="48"/>
        <v>0.82539294843701294</v>
      </c>
      <c r="H142" s="412" t="b">
        <f>Wh_hp&gt;='2023'!Maxi_hp</f>
        <v>0</v>
      </c>
      <c r="I142" s="388">
        <f>IF(H142,Wh_hp,'2023'!Maxi_hp)</f>
        <v>59.443974291396984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3.6460392254695106E-2</v>
      </c>
      <c r="M142" s="832"/>
      <c r="N142" s="832"/>
      <c r="O142" s="48">
        <f>IF(t&lt;Tnet,'2023'!Resal+('2023'!Salim-'2023'!Resal)*(1-EXP(('2023'!Tnet-t)/('2023'!Tau_j))),Resal+(Salim-Resal)*(1-EXP((Tnet-t)/(Tau_j))))*Salcycl</f>
        <v>4.1100934343779164E-2</v>
      </c>
      <c r="P142" s="169">
        <f>(INDEX(Models!$BJ142:$BT142,,T142)*(1-R142)+INDEX(Models!$BJ142:$BT142,,T142+1)*R142-ERP_i)*Q142*Ramure*Pc/MaxiM</f>
        <v>2.4141953967504113E-4</v>
      </c>
      <c r="Q142" s="304">
        <f t="shared" si="28"/>
        <v>0.6</v>
      </c>
      <c r="R142" s="177">
        <f t="shared" si="29"/>
        <v>0.10102470320059154</v>
      </c>
      <c r="S142" s="799">
        <f t="shared" si="30"/>
        <v>1</v>
      </c>
      <c r="T142" s="176">
        <f t="shared" si="31"/>
        <v>7</v>
      </c>
      <c r="U142" s="250">
        <f t="shared" si="32"/>
        <v>1.1010247032005915</v>
      </c>
      <c r="V142" s="382">
        <f t="shared" si="33"/>
        <v>58.535191914414426</v>
      </c>
      <c r="W142" s="400">
        <f t="shared" si="34"/>
        <v>48.317443986240662</v>
      </c>
      <c r="X142" s="157">
        <f t="shared" si="35"/>
        <v>45419</v>
      </c>
      <c r="Y142" s="383">
        <f t="shared" si="36"/>
        <v>47.333390006978689</v>
      </c>
      <c r="Z142" s="383">
        <f t="shared" si="37"/>
        <v>49.124488112885608</v>
      </c>
      <c r="AA142" s="384">
        <f t="shared" si="38"/>
        <v>52.295158630738982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6.0630287790917267E-2</v>
      </c>
      <c r="AD142" s="230">
        <f>(INDEX(Models!$BJ142:$BT142,,AH142)*(1-AF142)+INDEX(Models!$BJ142:$BT142,,AH142+1)*AF142-ERP_i)*AE142*Ramure*Pc/MaxiM</f>
        <v>2.4141953967504113E-4</v>
      </c>
      <c r="AE142" s="304">
        <f t="shared" si="40"/>
        <v>0.6</v>
      </c>
      <c r="AF142" s="177">
        <f t="shared" si="41"/>
        <v>0.10102470320059154</v>
      </c>
      <c r="AG142" s="799">
        <f t="shared" si="49"/>
        <v>1</v>
      </c>
      <c r="AH142" s="176">
        <f t="shared" si="42"/>
        <v>7</v>
      </c>
      <c r="AI142" s="224">
        <f t="shared" si="43"/>
        <v>1.1010247032005915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'2023'!Wh/'2023'!Env_an*'2024'!Env_an</f>
        <v>55.483455824474042</v>
      </c>
      <c r="C143" s="829"/>
      <c r="D143" s="391">
        <f t="shared" ref="D143:D206" si="50">Wh/(1-Ppv)</f>
        <v>57.584056458727652</v>
      </c>
      <c r="E143" s="383">
        <f t="shared" si="47"/>
        <v>60.058374881206028</v>
      </c>
      <c r="F143" s="383">
        <f t="shared" ref="F143:F206" si="51">Wh_sa/(1-Pvg*MEDIAN((-Sdif+Wh/Env_an)/Csdif,0,1))</f>
        <v>60.071663894271346</v>
      </c>
      <c r="G143" s="110">
        <f t="shared" si="48"/>
        <v>0.94684682806262099</v>
      </c>
      <c r="H143" s="412" t="b">
        <f>Wh_hp&gt;='2023'!Maxi_hp</f>
        <v>0</v>
      </c>
      <c r="I143" s="388">
        <f>IF(H143,Wh_hp,'2023'!Maxi_hp)</f>
        <v>60.07223224205881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3.6478858271458803E-2</v>
      </c>
      <c r="M143" s="832"/>
      <c r="N143" s="832"/>
      <c r="O143" s="48">
        <f>IF(t&lt;Tnet,'2023'!Resal+('2023'!Salim-'2023'!Resal)*(1-EXP(('2023'!Tnet-t)/('2023'!Tau_j))),Resal+(Salim-Resal)*(1-EXP((Tnet-t)/(Tau_j))))*Salcycl</f>
        <v>4.1198557692786728E-2</v>
      </c>
      <c r="P143" s="169">
        <f>(INDEX(Models!$BJ143:$BT143,,T143)*(1-R143)+INDEX(Models!$BJ143:$BT143,,T143+1)*R143-ERP_i)*Q143*Ramure*Pc/MaxiM</f>
        <v>2.3939115463899075E-4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0.10441831241793698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1.104418312417937</v>
      </c>
      <c r="V143" s="382">
        <f t="shared" ref="V143:V206" si="58">MaxiM*(1-Ppv)*(1-Pvg)*(1-Psa)</f>
        <v>58.597067362118594</v>
      </c>
      <c r="W143" s="400">
        <f t="shared" ref="W143:W206" si="59">Wh*(A143&gt;Tmaj)</f>
        <v>55.483455824474042</v>
      </c>
      <c r="X143" s="157">
        <f t="shared" ref="X143:X206" si="60">t</f>
        <v>45420</v>
      </c>
      <c r="Y143" s="383">
        <f t="shared" ref="Y143:Y206" si="61">Wh_pvt_s*(1-Ppv)</f>
        <v>54.353812589550031</v>
      </c>
      <c r="Z143" s="383">
        <f t="shared" ref="Z143:Z206" si="62">Wh_sa_s*(1-Psa_s)</f>
        <v>56.411644992075814</v>
      </c>
      <c r="AA143" s="384">
        <f t="shared" ref="AA143:AA206" si="63">Wh_hp*(1-Pvg_s*MEDIAN((-Sdif+Wh/Env_an)/Csdif,0,1))</f>
        <v>60.058374881206028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6.0719756342780727E-2</v>
      </c>
      <c r="AD143" s="230">
        <f>(INDEX(Models!$BJ143:$BT143,,AH143)*(1-AF143)+INDEX(Models!$BJ143:$BT143,,AH143+1)*AF143-ERP_i)*AE143*Ramure*Pc/MaxiM</f>
        <v>2.3939115463899075E-4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0.10441831241793698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1.104418312417937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'2023'!Wh/'2023'!Env_an*'2024'!Env_an</f>
        <v>51.82784148352863</v>
      </c>
      <c r="C144" s="829"/>
      <c r="D144" s="391">
        <f t="shared" si="50"/>
        <v>53.791071650325058</v>
      </c>
      <c r="E144" s="383">
        <f t="shared" ref="E144:E169" si="72">Wh_pvt/(1-Psa)</f>
        <v>56.108149475462859</v>
      </c>
      <c r="F144" s="383">
        <f t="shared" si="51"/>
        <v>56.119260539777059</v>
      </c>
      <c r="G144" s="110">
        <f t="shared" ref="G144:G169" si="73">+Wh_hp/MaxiM</f>
        <v>0.88357747553062194</v>
      </c>
      <c r="H144" s="412" t="b">
        <f>Wh_hp&gt;='2023'!Maxi_hp</f>
        <v>0</v>
      </c>
      <c r="I144" s="388">
        <f>IF(H144,Wh_hp,'2023'!Maxi_hp)</f>
        <v>56.120412695618967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3.6497323934325476E-2</v>
      </c>
      <c r="M144" s="832"/>
      <c r="N144" s="832"/>
      <c r="O144" s="48">
        <f>IF(t&lt;Tnet,'2023'!Resal+('2023'!Salim-'2023'!Resal)*(1-EXP(('2023'!Tnet-t)/('2023'!Tau_j))),Resal+(Salim-Resal)*(1-EXP((Tnet-t)/(Tau_j))))*Salcycl</f>
        <v>4.1296635993156493E-2</v>
      </c>
      <c r="P144" s="169">
        <f>(INDEX(Models!$BJ144:$BT144,,T144)*(1-R144)+INDEX(Models!$BJ144:$BT144,,T144+1)*R144-ERP_i)*Q144*Ramure*Pc/MaxiM</f>
        <v>2.3747465865672229E-4</v>
      </c>
      <c r="Q144" s="304">
        <f t="shared" si="53"/>
        <v>0.6</v>
      </c>
      <c r="R144" s="177">
        <f t="shared" si="54"/>
        <v>0.10789330596465518</v>
      </c>
      <c r="S144" s="799">
        <f t="shared" si="55"/>
        <v>1</v>
      </c>
      <c r="T144" s="176">
        <f t="shared" si="56"/>
        <v>7</v>
      </c>
      <c r="U144" s="250">
        <f t="shared" si="57"/>
        <v>1.1078933059646552</v>
      </c>
      <c r="V144" s="382">
        <f t="shared" si="58"/>
        <v>58.654499599525948</v>
      </c>
      <c r="W144" s="400">
        <f t="shared" si="59"/>
        <v>51.82784148352863</v>
      </c>
      <c r="X144" s="157">
        <f t="shared" si="60"/>
        <v>45421</v>
      </c>
      <c r="Y144" s="383">
        <f t="shared" si="61"/>
        <v>50.772948402562236</v>
      </c>
      <c r="Z144" s="383">
        <f t="shared" si="62"/>
        <v>52.696219391819767</v>
      </c>
      <c r="AA144" s="384">
        <f t="shared" si="63"/>
        <v>56.108149475462859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6.0809884402535749E-2</v>
      </c>
      <c r="AD144" s="230">
        <f>(INDEX(Models!$BJ144:$BT144,,AH144)*(1-AF144)+INDEX(Models!$BJ144:$BT144,,AH144+1)*AF144-ERP_i)*AE144*Ramure*Pc/MaxiM</f>
        <v>2.3747465865672229E-4</v>
      </c>
      <c r="AE144" s="304">
        <f t="shared" si="65"/>
        <v>0.6</v>
      </c>
      <c r="AF144" s="177">
        <f t="shared" si="66"/>
        <v>0.10789330596465518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1.1078933059646552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'2023'!Wh/'2023'!Env_an*'2024'!Env_an</f>
        <v>55.887389084819738</v>
      </c>
      <c r="C145" s="829"/>
      <c r="D145" s="391">
        <f t="shared" si="50"/>
        <v>58.005505913716107</v>
      </c>
      <c r="E145" s="383">
        <f t="shared" si="72"/>
        <v>60.510340668540024</v>
      </c>
      <c r="F145" s="383">
        <f t="shared" si="51"/>
        <v>60.523625205670641</v>
      </c>
      <c r="G145" s="110">
        <f t="shared" si="73"/>
        <v>0.95194152885112127</v>
      </c>
      <c r="H145" s="412" t="b">
        <f>Wh_hp&gt;='2023'!Maxi_hp</f>
        <v>0</v>
      </c>
      <c r="I145" s="388">
        <f>IF(H145,Wh_hp,'2023'!Maxi_hp)</f>
        <v>60.524133563423938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3.651578924330201E-2</v>
      </c>
      <c r="M145" s="832"/>
      <c r="N145" s="832"/>
      <c r="O145" s="48">
        <f>IF(t&lt;Tnet,'2023'!Resal+('2023'!Salim-'2023'!Resal)*(1-EXP(('2023'!Tnet-t)/('2023'!Tau_j))),Resal+(Salim-Resal)*(1-EXP((Tnet-t)/(Tau_j))))*Salcycl</f>
        <v>4.13951520872234E-2</v>
      </c>
      <c r="P145" s="169">
        <f>(INDEX(Models!$BJ145:$BT145,,T145)*(1-R145)+INDEX(Models!$BJ145:$BT145,,T145+1)*R145-ERP_i)*Q145*Ramure*Pc/MaxiM</f>
        <v>2.3566800637530474E-4</v>
      </c>
      <c r="Q145" s="304">
        <f t="shared" si="53"/>
        <v>0.6</v>
      </c>
      <c r="R145" s="177">
        <f t="shared" si="54"/>
        <v>0.11144960702301954</v>
      </c>
      <c r="S145" s="799">
        <f t="shared" si="55"/>
        <v>1</v>
      </c>
      <c r="T145" s="176">
        <f t="shared" si="56"/>
        <v>7</v>
      </c>
      <c r="U145" s="250">
        <f t="shared" si="57"/>
        <v>1.1114496070230195</v>
      </c>
      <c r="V145" s="382">
        <f t="shared" si="58"/>
        <v>58.707896689916247</v>
      </c>
      <c r="W145" s="400">
        <f t="shared" si="59"/>
        <v>55.887389084819738</v>
      </c>
      <c r="X145" s="157">
        <f t="shared" si="60"/>
        <v>45422</v>
      </c>
      <c r="Y145" s="383">
        <f t="shared" si="61"/>
        <v>54.750204064188047</v>
      </c>
      <c r="Z145" s="383">
        <f t="shared" si="62"/>
        <v>56.825221890443345</v>
      </c>
      <c r="AA145" s="384">
        <f t="shared" si="63"/>
        <v>60.510340668540024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6.0900645036570049E-2</v>
      </c>
      <c r="AD145" s="230">
        <f>(INDEX(Models!$BJ145:$BT145,,AH145)*(1-AF145)+INDEX(Models!$BJ145:$BT145,,AH145+1)*AF145-ERP_i)*AE145*Ramure*Pc/MaxiM</f>
        <v>2.3566800637530474E-4</v>
      </c>
      <c r="AE145" s="304">
        <f t="shared" si="65"/>
        <v>0.6</v>
      </c>
      <c r="AF145" s="177">
        <f t="shared" si="66"/>
        <v>0.11144960702301954</v>
      </c>
      <c r="AG145" s="799">
        <f t="shared" si="74"/>
        <v>1</v>
      </c>
      <c r="AH145" s="176">
        <f t="shared" si="67"/>
        <v>7</v>
      </c>
      <c r="AI145" s="224">
        <f t="shared" si="68"/>
        <v>1.1114496070230195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'2023'!Wh/'2023'!Env_an*'2024'!Env_an</f>
        <v>41.667471288709883</v>
      </c>
      <c r="C146" s="829"/>
      <c r="D146" s="391">
        <f t="shared" si="50"/>
        <v>43.247485933236256</v>
      </c>
      <c r="E146" s="383">
        <f t="shared" si="72"/>
        <v>45.119686129362556</v>
      </c>
      <c r="F146" s="383">
        <f t="shared" si="51"/>
        <v>45.125857186111823</v>
      </c>
      <c r="G146" s="110">
        <f t="shared" si="73"/>
        <v>0.70907206407552714</v>
      </c>
      <c r="H146" s="412" t="b">
        <f>Wh_hp&gt;='2023'!Maxi_hp</f>
        <v>0</v>
      </c>
      <c r="I146" s="388">
        <f>IF(H146,Wh_hp,'2023'!Maxi_hp)</f>
        <v>56.127004376201441</v>
      </c>
      <c r="J146" s="85">
        <f>IF(H146,An,'2023'!An_max)</f>
        <v>2018</v>
      </c>
      <c r="K146" s="197">
        <f t="shared" si="52"/>
        <v>45423</v>
      </c>
      <c r="L146" s="147">
        <f>IF(t&lt;Tvie,1-EXP((T0-t)*PertePVj)+'2023'!Pspv,1-EXP((T0-t)*PertePVj)+Pspv)</f>
        <v>3.6534254198395177E-2</v>
      </c>
      <c r="M146" s="832"/>
      <c r="N146" s="832"/>
      <c r="O146" s="48">
        <f>IF(t&lt;Tnet,'2023'!Resal+('2023'!Salim-'2023'!Resal)*(1-EXP(('2023'!Tnet-t)/('2023'!Tau_j))),Resal+(Salim-Resal)*(1-EXP((Tnet-t)/(Tau_j))))*Salcycl</f>
        <v>4.1494087320521608E-2</v>
      </c>
      <c r="P146" s="169">
        <f>(INDEX(Models!$BJ146:$BT146,,T146)*(1-R146)+INDEX(Models!$BJ146:$BT146,,T146+1)*R146-ERP_i)*Q146*Ramure*Pc/MaxiM</f>
        <v>2.3396941983517695E-4</v>
      </c>
      <c r="Q146" s="304">
        <f t="shared" si="53"/>
        <v>0.6</v>
      </c>
      <c r="R146" s="177">
        <f t="shared" si="54"/>
        <v>0.11508699467084815</v>
      </c>
      <c r="S146" s="799">
        <f t="shared" si="55"/>
        <v>1</v>
      </c>
      <c r="T146" s="176">
        <f t="shared" si="56"/>
        <v>7</v>
      </c>
      <c r="U146" s="250">
        <f t="shared" si="57"/>
        <v>1.1150869946708482</v>
      </c>
      <c r="V146" s="382">
        <f t="shared" si="58"/>
        <v>58.757666599166662</v>
      </c>
      <c r="W146" s="400">
        <f t="shared" si="59"/>
        <v>41.667471288709883</v>
      </c>
      <c r="X146" s="157">
        <f t="shared" si="60"/>
        <v>45423</v>
      </c>
      <c r="Y146" s="383">
        <f t="shared" si="61"/>
        <v>40.819871821638941</v>
      </c>
      <c r="Z146" s="383">
        <f t="shared" si="62"/>
        <v>42.367745817135152</v>
      </c>
      <c r="AA146" s="384">
        <f t="shared" si="63"/>
        <v>45.119686129362556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6.0992009216050871E-2</v>
      </c>
      <c r="AD146" s="230">
        <f>(INDEX(Models!$BJ146:$BT146,,AH146)*(1-AF146)+INDEX(Models!$BJ146:$BT146,,AH146+1)*AF146-ERP_i)*AE146*Ramure*Pc/MaxiM</f>
        <v>2.3396941983517695E-4</v>
      </c>
      <c r="AE146" s="304">
        <f t="shared" si="65"/>
        <v>0.6</v>
      </c>
      <c r="AF146" s="177">
        <f t="shared" si="66"/>
        <v>0.11508699467084815</v>
      </c>
      <c r="AG146" s="799">
        <f t="shared" si="74"/>
        <v>1</v>
      </c>
      <c r="AH146" s="176">
        <f t="shared" si="67"/>
        <v>7</v>
      </c>
      <c r="AI146" s="224">
        <f t="shared" si="68"/>
        <v>1.1150869946708482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'2023'!Wh/'2023'!Env_an*'2024'!Env_an</f>
        <v>43.643877230809061</v>
      </c>
      <c r="C147" s="829"/>
      <c r="D147" s="391">
        <f t="shared" si="50"/>
        <v>45.299704594559465</v>
      </c>
      <c r="E147" s="383">
        <f t="shared" si="72"/>
        <v>47.265644469522968</v>
      </c>
      <c r="F147" s="383">
        <f t="shared" si="51"/>
        <v>47.272583737493676</v>
      </c>
      <c r="G147" s="110">
        <f t="shared" si="73"/>
        <v>0.74212605012256827</v>
      </c>
      <c r="H147" s="412" t="b">
        <f>Wh_hp&gt;='2023'!Maxi_hp</f>
        <v>0</v>
      </c>
      <c r="I147" s="388">
        <f>IF(H147,Wh_hp,'2023'!Maxi_hp)</f>
        <v>64.735176440204555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3.6552718799611528E-2</v>
      </c>
      <c r="M147" s="832"/>
      <c r="N147" s="832"/>
      <c r="O147" s="48">
        <f>IF(t&lt;Tnet,'2023'!Resal+('2023'!Salim-'2023'!Resal)*(1-EXP(('2023'!Tnet-t)/('2023'!Tau_j))),Resal+(Salim-Resal)*(1-EXP((Tnet-t)/(Tau_j))))*Salcycl</f>
        <v>4.1593421543868879E-2</v>
      </c>
      <c r="P147" s="169">
        <f>(INDEX(Models!$BJ147:$BT147,,T147)*(1-R147)+INDEX(Models!$BJ147:$BT147,,T147+1)*R147-ERP_i)*Q147*Ramure*Pc/MaxiM</f>
        <v>2.3237738223956623E-4</v>
      </c>
      <c r="Q147" s="304">
        <f t="shared" si="53"/>
        <v>0.6</v>
      </c>
      <c r="R147" s="177">
        <f t="shared" si="54"/>
        <v>0.11880509779630022</v>
      </c>
      <c r="S147" s="799">
        <f t="shared" si="55"/>
        <v>1</v>
      </c>
      <c r="T147" s="176">
        <f t="shared" si="56"/>
        <v>7</v>
      </c>
      <c r="U147" s="250">
        <f t="shared" si="57"/>
        <v>1.1188050977963002</v>
      </c>
      <c r="V147" s="382">
        <f t="shared" si="58"/>
        <v>58.804217188964863</v>
      </c>
      <c r="W147" s="400">
        <f t="shared" si="59"/>
        <v>43.643877230809061</v>
      </c>
      <c r="X147" s="157">
        <f t="shared" si="60"/>
        <v>45424</v>
      </c>
      <c r="Y147" s="383">
        <f t="shared" si="61"/>
        <v>42.756318580685438</v>
      </c>
      <c r="Z147" s="383">
        <f t="shared" si="62"/>
        <v>44.378472403195772</v>
      </c>
      <c r="AA147" s="384">
        <f t="shared" si="63"/>
        <v>47.265644469522968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6.1083945828536296E-2</v>
      </c>
      <c r="AD147" s="230">
        <f>(INDEX(Models!$BJ147:$BT147,,AH147)*(1-AF147)+INDEX(Models!$BJ147:$BT147,,AH147+1)*AF147-ERP_i)*AE147*Ramure*Pc/MaxiM</f>
        <v>2.3237738223956623E-4</v>
      </c>
      <c r="AE147" s="304">
        <f t="shared" si="65"/>
        <v>0.6</v>
      </c>
      <c r="AF147" s="177">
        <f t="shared" si="66"/>
        <v>0.11880509779630022</v>
      </c>
      <c r="AG147" s="799">
        <f t="shared" si="74"/>
        <v>1</v>
      </c>
      <c r="AH147" s="176">
        <f t="shared" si="67"/>
        <v>7</v>
      </c>
      <c r="AI147" s="224">
        <f t="shared" si="68"/>
        <v>1.1188050977963002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'2023'!Wh/'2023'!Env_an*'2024'!Env_an</f>
        <v>49.733066775931938</v>
      </c>
      <c r="C148" s="829"/>
      <c r="D148" s="391">
        <f t="shared" si="50"/>
        <v>51.620904316749282</v>
      </c>
      <c r="E148" s="383">
        <f t="shared" si="72"/>
        <v>53.866779109015617</v>
      </c>
      <c r="F148" s="383">
        <f t="shared" si="51"/>
        <v>53.876466179897051</v>
      </c>
      <c r="G148" s="110">
        <f t="shared" si="73"/>
        <v>0.84506801424181399</v>
      </c>
      <c r="H148" s="412" t="b">
        <f>Wh_hp&gt;='2023'!Maxi_hp</f>
        <v>0</v>
      </c>
      <c r="I148" s="388">
        <f>IF(H148,Wh_hp,'2023'!Maxi_hp)</f>
        <v>63.17753058579234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3.6571183046958056E-2</v>
      </c>
      <c r="M148" s="832"/>
      <c r="N148" s="832"/>
      <c r="O148" s="48">
        <f>IF(t&lt;Tnet,'2023'!Resal+('2023'!Salim-'2023'!Resal)*(1-EXP(('2023'!Tnet-t)/('2023'!Tau_j))),Resal+(Salim-Resal)*(1-EXP((Tnet-t)/(Tau_j))))*Salcycl</f>
        <v>4.1693133122385727E-2</v>
      </c>
      <c r="P148" s="169">
        <f>(INDEX(Models!$BJ148:$BT148,,T148)*(1-R148)+INDEX(Models!$BJ148:$BT148,,T148+1)*R148-ERP_i)*Q148*Ramure*Pc/MaxiM</f>
        <v>2.3089063162577906E-4</v>
      </c>
      <c r="Q148" s="304">
        <f t="shared" si="53"/>
        <v>0.6</v>
      </c>
      <c r="R148" s="177">
        <f t="shared" si="54"/>
        <v>0.12260338936190274</v>
      </c>
      <c r="S148" s="799">
        <f t="shared" si="55"/>
        <v>1</v>
      </c>
      <c r="T148" s="176">
        <f t="shared" si="56"/>
        <v>7</v>
      </c>
      <c r="U148" s="250">
        <f t="shared" si="57"/>
        <v>1.1226033893619027</v>
      </c>
      <c r="V148" s="382">
        <f t="shared" si="58"/>
        <v>58.847956215413191</v>
      </c>
      <c r="W148" s="400">
        <f t="shared" si="59"/>
        <v>49.733066775931938</v>
      </c>
      <c r="X148" s="157">
        <f t="shared" si="60"/>
        <v>45425</v>
      </c>
      <c r="Y148" s="383">
        <f t="shared" si="61"/>
        <v>48.721946303651542</v>
      </c>
      <c r="Z148" s="383">
        <f t="shared" si="62"/>
        <v>50.571402314641659</v>
      </c>
      <c r="AA148" s="384">
        <f t="shared" si="63"/>
        <v>53.866779109015617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6.1176421699630001E-2</v>
      </c>
      <c r="AD148" s="230">
        <f>(INDEX(Models!$BJ148:$BT148,,AH148)*(1-AF148)+INDEX(Models!$BJ148:$BT148,,AH148+1)*AF148-ERP_i)*AE148*Ramure*Pc/MaxiM</f>
        <v>2.3089063162577906E-4</v>
      </c>
      <c r="AE148" s="304">
        <f t="shared" si="65"/>
        <v>0.6</v>
      </c>
      <c r="AF148" s="177">
        <f t="shared" si="66"/>
        <v>0.12260338936190274</v>
      </c>
      <c r="AG148" s="799">
        <f t="shared" si="74"/>
        <v>1</v>
      </c>
      <c r="AH148" s="176">
        <f t="shared" si="67"/>
        <v>7</v>
      </c>
      <c r="AI148" s="224">
        <f t="shared" si="68"/>
        <v>1.1226033893619027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'2023'!Wh/'2023'!Env_an*'2024'!Env_an</f>
        <v>52.336121887687135</v>
      </c>
      <c r="C149" s="829"/>
      <c r="D149" s="391">
        <f t="shared" si="50"/>
        <v>54.323810950837576</v>
      </c>
      <c r="E149" s="383">
        <f t="shared" si="72"/>
        <v>56.693201187272379</v>
      </c>
      <c r="F149" s="383">
        <f t="shared" si="51"/>
        <v>56.704147074211768</v>
      </c>
      <c r="G149" s="110">
        <f t="shared" si="73"/>
        <v>0.88871001754774448</v>
      </c>
      <c r="H149" s="412" t="b">
        <f>Wh_hp&gt;='2023'!Maxi_hp</f>
        <v>0</v>
      </c>
      <c r="I149" s="388">
        <f>IF(H149,Wh_hp,'2023'!Maxi_hp)</f>
        <v>63.749746861981109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3.6589646940441534E-2</v>
      </c>
      <c r="M149" s="832"/>
      <c r="N149" s="832"/>
      <c r="O149" s="48">
        <f>IF(t&lt;Tnet,'2023'!Resal+('2023'!Salim-'2023'!Resal)*(1-EXP(('2023'!Tnet-t)/('2023'!Tau_j))),Resal+(Salim-Resal)*(1-EXP((Tnet-t)/(Tau_j))))*Salcycl</f>
        <v>4.179319895181241E-2</v>
      </c>
      <c r="P149" s="169">
        <f>(INDEX(Models!$BJ149:$BT149,,T149)*(1-R149)+INDEX(Models!$BJ149:$BT149,,T149+1)*R149-ERP_i)*Q149*Ramure*Pc/MaxiM</f>
        <v>2.2951381360634488E-4</v>
      </c>
      <c r="Q149" s="304">
        <f t="shared" si="53"/>
        <v>0.6</v>
      </c>
      <c r="R149" s="177">
        <f t="shared" si="54"/>
        <v>0.12648118107694239</v>
      </c>
      <c r="S149" s="799">
        <f t="shared" si="55"/>
        <v>1</v>
      </c>
      <c r="T149" s="176">
        <f t="shared" si="56"/>
        <v>7</v>
      </c>
      <c r="U149" s="250">
        <f t="shared" si="57"/>
        <v>1.1264811810769424</v>
      </c>
      <c r="V149" s="382">
        <f t="shared" si="58"/>
        <v>58.887838921424908</v>
      </c>
      <c r="W149" s="400">
        <f t="shared" si="59"/>
        <v>52.336121887687135</v>
      </c>
      <c r="X149" s="157">
        <f t="shared" si="60"/>
        <v>45426</v>
      </c>
      <c r="Y149" s="383">
        <f t="shared" si="61"/>
        <v>51.272354738564282</v>
      </c>
      <c r="Z149" s="383">
        <f t="shared" si="62"/>
        <v>53.219642674313882</v>
      </c>
      <c r="AA149" s="384">
        <f t="shared" si="63"/>
        <v>56.693201187272379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6.1269401625151355E-2</v>
      </c>
      <c r="AD149" s="230">
        <f>(INDEX(Models!$BJ149:$BT149,,AH149)*(1-AF149)+INDEX(Models!$BJ149:$BT149,,AH149+1)*AF149-ERP_i)*AE149*Ramure*Pc/MaxiM</f>
        <v>2.2951381360634488E-4</v>
      </c>
      <c r="AE149" s="304">
        <f t="shared" si="65"/>
        <v>0.6</v>
      </c>
      <c r="AF149" s="177">
        <f t="shared" si="66"/>
        <v>0.12648118107694239</v>
      </c>
      <c r="AG149" s="799">
        <f t="shared" si="74"/>
        <v>1</v>
      </c>
      <c r="AH149" s="176">
        <f t="shared" si="67"/>
        <v>7</v>
      </c>
      <c r="AI149" s="224">
        <f t="shared" si="68"/>
        <v>1.1264811810769424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'2023'!Wh/'2023'!Env_an*'2024'!Env_an</f>
        <v>50.770089237156611</v>
      </c>
      <c r="C150" s="829"/>
      <c r="D150" s="391">
        <f t="shared" si="50"/>
        <v>52.699311453053546</v>
      </c>
      <c r="E150" s="383">
        <f t="shared" si="72"/>
        <v>55.003610402318472</v>
      </c>
      <c r="F150" s="383">
        <f t="shared" si="51"/>
        <v>55.013684719657078</v>
      </c>
      <c r="G150" s="110">
        <f t="shared" si="73"/>
        <v>0.8616001923353136</v>
      </c>
      <c r="H150" s="412" t="b">
        <f>Wh_hp&gt;='2023'!Maxi_hp</f>
        <v>0</v>
      </c>
      <c r="I150" s="388">
        <f>IF(H150,Wh_hp,'2023'!Maxi_hp)</f>
        <v>55.014965480142017</v>
      </c>
      <c r="J150" s="85">
        <f>IF(H150,An,'2023'!An_max)</f>
        <v>2022</v>
      </c>
      <c r="K150" s="197">
        <f t="shared" si="52"/>
        <v>45427</v>
      </c>
      <c r="L150" s="147">
        <f>IF(t&lt;Tvie,1-EXP((T0-t)*PertePVj)+'2023'!Pspv,1-EXP((T0-t)*PertePVj)+Pspv)</f>
        <v>3.6608110480068734E-2</v>
      </c>
      <c r="M150" s="832"/>
      <c r="N150" s="832"/>
      <c r="O150" s="48">
        <f>IF(t&lt;Tnet,'2023'!Resal+('2023'!Salim-'2023'!Resal)*(1-EXP(('2023'!Tnet-t)/('2023'!Tau_j))),Resal+(Salim-Resal)*(1-EXP((Tnet-t)/(Tau_j))))*Salcycl</f>
        <v>4.1893594482441475E-2</v>
      </c>
      <c r="P150" s="169">
        <f>(INDEX(Models!$BJ150:$BT150,,T150)*(1-R150)+INDEX(Models!$BJ150:$BT150,,T150+1)*R150-ERP_i)*Q150*Ramure*Pc/MaxiM</f>
        <v>2.2823677431369122E-4</v>
      </c>
      <c r="Q150" s="304">
        <f t="shared" si="53"/>
        <v>0.6</v>
      </c>
      <c r="R150" s="177">
        <f t="shared" si="54"/>
        <v>0.13043761853806846</v>
      </c>
      <c r="S150" s="799">
        <f t="shared" si="55"/>
        <v>1</v>
      </c>
      <c r="T150" s="176">
        <f t="shared" si="56"/>
        <v>7</v>
      </c>
      <c r="U150" s="250">
        <f t="shared" si="57"/>
        <v>1.1304376185380685</v>
      </c>
      <c r="V150" s="382">
        <f t="shared" si="58"/>
        <v>58.922686974431592</v>
      </c>
      <c r="W150" s="400">
        <f t="shared" si="59"/>
        <v>50.770089237156611</v>
      </c>
      <c r="X150" s="157">
        <f t="shared" si="60"/>
        <v>45427</v>
      </c>
      <c r="Y150" s="383">
        <f t="shared" si="61"/>
        <v>49.738412845259944</v>
      </c>
      <c r="Z150" s="383">
        <f t="shared" si="62"/>
        <v>51.628432194965995</v>
      </c>
      <c r="AA150" s="384">
        <f t="shared" si="63"/>
        <v>55.003610402318472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6.13628484142235E-2</v>
      </c>
      <c r="AD150" s="230">
        <f>(INDEX(Models!$BJ150:$BT150,,AH150)*(1-AF150)+INDEX(Models!$BJ150:$BT150,,AH150+1)*AF150-ERP_i)*AE150*Ramure*Pc/MaxiM</f>
        <v>2.2823677431369122E-4</v>
      </c>
      <c r="AE150" s="304">
        <f t="shared" si="65"/>
        <v>0.6</v>
      </c>
      <c r="AF150" s="177">
        <f t="shared" si="66"/>
        <v>0.13043761853806846</v>
      </c>
      <c r="AG150" s="799">
        <f t="shared" si="74"/>
        <v>1</v>
      </c>
      <c r="AH150" s="176">
        <f t="shared" si="67"/>
        <v>7</v>
      </c>
      <c r="AI150" s="224">
        <f t="shared" si="68"/>
        <v>1.1304376185380685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'2023'!Wh/'2023'!Env_an*'2024'!Env_an</f>
        <v>54.14761895567311</v>
      </c>
      <c r="C151" s="829"/>
      <c r="D151" s="391">
        <f t="shared" si="50"/>
        <v>56.206261741842553</v>
      </c>
      <c r="E151" s="383">
        <f t="shared" si="72"/>
        <v>58.670069891243116</v>
      </c>
      <c r="F151" s="383">
        <f t="shared" si="51"/>
        <v>58.681834102742549</v>
      </c>
      <c r="G151" s="110">
        <f t="shared" si="73"/>
        <v>0.91846808280849956</v>
      </c>
      <c r="H151" s="412" t="b">
        <f>Wh_hp&gt;='2023'!Maxi_hp</f>
        <v>0</v>
      </c>
      <c r="I151" s="388">
        <f>IF(H151,Wh_hp,'2023'!Maxi_hp)</f>
        <v>58.682633435101266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3.6626573665846429E-2</v>
      </c>
      <c r="M151" s="832"/>
      <c r="N151" s="832"/>
      <c r="O151" s="48">
        <f>IF(t&lt;Tnet,'2023'!Resal+('2023'!Salim-'2023'!Resal)*(1-EXP(('2023'!Tnet-t)/('2023'!Tau_j))),Resal+(Salim-Resal)*(1-EXP((Tnet-t)/(Tau_j))))*Salcycl</f>
        <v>4.1994293750931805E-2</v>
      </c>
      <c r="P151" s="169">
        <f>(INDEX(Models!$BJ151:$BT151,,T151)*(1-R151)+INDEX(Models!$BJ151:$BT151,,T151+1)*R151-ERP_i)*Q151*Ramure*Pc/MaxiM</f>
        <v>2.2689391539355499E-4</v>
      </c>
      <c r="Q151" s="304">
        <f t="shared" si="53"/>
        <v>0.6</v>
      </c>
      <c r="R151" s="177">
        <f t="shared" si="54"/>
        <v>0.13447167689804229</v>
      </c>
      <c r="S151" s="799">
        <f t="shared" si="55"/>
        <v>1</v>
      </c>
      <c r="T151" s="176">
        <f t="shared" si="56"/>
        <v>7</v>
      </c>
      <c r="U151" s="250">
        <f t="shared" si="57"/>
        <v>1.1344716768980423</v>
      </c>
      <c r="V151" s="382">
        <f t="shared" si="58"/>
        <v>58.952716086723271</v>
      </c>
      <c r="W151" s="400">
        <f t="shared" si="59"/>
        <v>54.14761895567311</v>
      </c>
      <c r="X151" s="157">
        <f t="shared" si="60"/>
        <v>45428</v>
      </c>
      <c r="Y151" s="383">
        <f t="shared" si="61"/>
        <v>53.047579370311169</v>
      </c>
      <c r="Z151" s="383">
        <f t="shared" si="62"/>
        <v>55.064399660855088</v>
      </c>
      <c r="AA151" s="384">
        <f t="shared" si="63"/>
        <v>58.670069891243116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6.1456722943604269E-2</v>
      </c>
      <c r="AD151" s="230">
        <f>(INDEX(Models!$BJ151:$BT151,,AH151)*(1-AF151)+INDEX(Models!$BJ151:$BT151,,AH151+1)*AF151-ERP_i)*AE151*Ramure*Pc/MaxiM</f>
        <v>2.2689391539355499E-4</v>
      </c>
      <c r="AE151" s="304">
        <f t="shared" si="65"/>
        <v>0.6</v>
      </c>
      <c r="AF151" s="177">
        <f t="shared" si="66"/>
        <v>0.13447167689804229</v>
      </c>
      <c r="AG151" s="799">
        <f t="shared" si="74"/>
        <v>1</v>
      </c>
      <c r="AH151" s="176">
        <f t="shared" si="67"/>
        <v>7</v>
      </c>
      <c r="AI151" s="224">
        <f t="shared" si="68"/>
        <v>1.1344716768980423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'2023'!Wh/'2023'!Env_an*'2024'!Env_an</f>
        <v>52.37172157222281</v>
      </c>
      <c r="C152" s="829"/>
      <c r="D152" s="391">
        <f t="shared" si="50"/>
        <v>54.363888240974632</v>
      </c>
      <c r="E152" s="383">
        <f t="shared" si="72"/>
        <v>56.752917597630081</v>
      </c>
      <c r="F152" s="383">
        <f t="shared" si="51"/>
        <v>56.763668526061267</v>
      </c>
      <c r="G152" s="110">
        <f t="shared" si="73"/>
        <v>0.88795337001967756</v>
      </c>
      <c r="H152" s="412" t="b">
        <f>Wh_hp&gt;='2023'!Maxi_hp</f>
        <v>0</v>
      </c>
      <c r="I152" s="388">
        <f>IF(H152,Wh_hp,'2023'!Maxi_hp)</f>
        <v>65.112138934007149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3.664503649778128E-2</v>
      </c>
      <c r="M152" s="832"/>
      <c r="N152" s="832"/>
      <c r="O152" s="48">
        <f>IF(t&lt;Tnet,'2023'!Resal+('2023'!Salim-'2023'!Resal)*(1-EXP(('2023'!Tnet-t)/('2023'!Tau_j))),Resal+(Salim-Resal)*(1-EXP((Tnet-t)/(Tau_j))))*Salcycl</f>
        <v>4.2095269420214118E-2</v>
      </c>
      <c r="P152" s="169">
        <f>(INDEX(Models!$BJ152:$BT152,,T152)*(1-R152)+INDEX(Models!$BJ152:$BT152,,T152+1)*R152-ERP_i)*Q152*Ramure*Pc/MaxiM</f>
        <v>2.2547946793009441E-4</v>
      </c>
      <c r="Q152" s="304">
        <f t="shared" si="53"/>
        <v>0.6</v>
      </c>
      <c r="R152" s="177">
        <f t="shared" si="54"/>
        <v>0.13858215712199939</v>
      </c>
      <c r="S152" s="799">
        <f t="shared" si="55"/>
        <v>1</v>
      </c>
      <c r="T152" s="176">
        <f t="shared" si="56"/>
        <v>7</v>
      </c>
      <c r="U152" s="250">
        <f t="shared" si="57"/>
        <v>1.1385821571219994</v>
      </c>
      <c r="V152" s="382">
        <f t="shared" si="58"/>
        <v>58.978132565005822</v>
      </c>
      <c r="W152" s="400">
        <f t="shared" si="59"/>
        <v>52.37172157222281</v>
      </c>
      <c r="X152" s="157">
        <f t="shared" si="60"/>
        <v>45429</v>
      </c>
      <c r="Y152" s="383">
        <f t="shared" si="61"/>
        <v>51.308015291067271</v>
      </c>
      <c r="Z152" s="383">
        <f t="shared" si="62"/>
        <v>53.259719661940686</v>
      </c>
      <c r="AA152" s="384">
        <f t="shared" si="63"/>
        <v>56.752917597630081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6.1550984223501255E-2</v>
      </c>
      <c r="AD152" s="230">
        <f>(INDEX(Models!$BJ152:$BT152,,AH152)*(1-AF152)+INDEX(Models!$BJ152:$BT152,,AH152+1)*AF152-ERP_i)*AE152*Ramure*Pc/MaxiM</f>
        <v>2.2547946793009441E-4</v>
      </c>
      <c r="AE152" s="304">
        <f t="shared" si="65"/>
        <v>0.6</v>
      </c>
      <c r="AF152" s="177">
        <f t="shared" si="66"/>
        <v>0.13858215712199939</v>
      </c>
      <c r="AG152" s="799">
        <f t="shared" si="74"/>
        <v>1</v>
      </c>
      <c r="AH152" s="176">
        <f t="shared" si="67"/>
        <v>7</v>
      </c>
      <c r="AI152" s="224">
        <f t="shared" si="68"/>
        <v>1.1385821571219994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'2023'!Wh/'2023'!Env_an*'2024'!Env_an</f>
        <v>55.054870315654128</v>
      </c>
      <c r="C153" s="829"/>
      <c r="D153" s="391">
        <f t="shared" si="50"/>
        <v>57.150196485989554</v>
      </c>
      <c r="E153" s="383">
        <f t="shared" si="72"/>
        <v>59.667975798824266</v>
      </c>
      <c r="F153" s="383">
        <f t="shared" si="51"/>
        <v>59.680066734531337</v>
      </c>
      <c r="G153" s="110">
        <f t="shared" si="73"/>
        <v>0.93312698849172093</v>
      </c>
      <c r="H153" s="412" t="b">
        <f>Wh_hp&gt;='2023'!Maxi_hp</f>
        <v>0</v>
      </c>
      <c r="I153" s="388">
        <f>IF(H153,Wh_hp,'2023'!Maxi_hp)</f>
        <v>63.796579298765408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3.6663498975880171E-2</v>
      </c>
      <c r="M153" s="832"/>
      <c r="N153" s="832"/>
      <c r="O153" s="48">
        <f>IF(t&lt;Tnet,'2023'!Resal+('2023'!Salim-'2023'!Resal)*(1-EXP(('2023'!Tnet-t)/('2023'!Tau_j))),Resal+(Salim-Resal)*(1-EXP((Tnet-t)/(Tau_j))))*Salcycl</f>
        <v>4.219649282763701E-2</v>
      </c>
      <c r="P153" s="169">
        <f>(INDEX(Models!$BJ153:$BT153,,T153)*(1-R153)+INDEX(Models!$BJ153:$BT153,,T153+1)*R153-ERP_i)*Q153*Ramure*Pc/MaxiM</f>
        <v>2.2398767909542885E-4</v>
      </c>
      <c r="Q153" s="304">
        <f t="shared" si="53"/>
        <v>0.6</v>
      </c>
      <c r="R153" s="177">
        <f t="shared" si="54"/>
        <v>0.14276768288929587</v>
      </c>
      <c r="S153" s="799">
        <f t="shared" si="55"/>
        <v>1</v>
      </c>
      <c r="T153" s="176">
        <f t="shared" si="56"/>
        <v>7</v>
      </c>
      <c r="U153" s="250">
        <f t="shared" si="57"/>
        <v>1.1427676828892959</v>
      </c>
      <c r="V153" s="382">
        <f t="shared" si="58"/>
        <v>58.999142703319933</v>
      </c>
      <c r="W153" s="400">
        <f t="shared" si="59"/>
        <v>55.054870315654128</v>
      </c>
      <c r="X153" s="157">
        <f t="shared" si="60"/>
        <v>45430</v>
      </c>
      <c r="Y153" s="383">
        <f t="shared" si="61"/>
        <v>53.936929646550126</v>
      </c>
      <c r="Z153" s="383">
        <f t="shared" si="62"/>
        <v>55.989708257924363</v>
      </c>
      <c r="AA153" s="384">
        <f t="shared" si="63"/>
        <v>59.667975798824266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6.164558947502255E-2</v>
      </c>
      <c r="AD153" s="230">
        <f>(INDEX(Models!$BJ153:$BT153,,AH153)*(1-AF153)+INDEX(Models!$BJ153:$BT153,,AH153+1)*AF153-ERP_i)*AE153*Ramure*Pc/MaxiM</f>
        <v>2.2398767909542885E-4</v>
      </c>
      <c r="AE153" s="304">
        <f t="shared" si="65"/>
        <v>0.6</v>
      </c>
      <c r="AF153" s="177">
        <f t="shared" si="66"/>
        <v>0.14276768288929587</v>
      </c>
      <c r="AG153" s="799">
        <f t="shared" si="74"/>
        <v>1</v>
      </c>
      <c r="AH153" s="176">
        <f t="shared" si="67"/>
        <v>7</v>
      </c>
      <c r="AI153" s="224">
        <f t="shared" si="68"/>
        <v>1.1427676828892959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'2023'!Wh/'2023'!Env_an*'2024'!Env_an</f>
        <v>49.127008746514846</v>
      </c>
      <c r="C154" s="829"/>
      <c r="D154" s="391">
        <f t="shared" si="50"/>
        <v>50.997704561434318</v>
      </c>
      <c r="E154" s="383">
        <f t="shared" si="72"/>
        <v>53.250072620852961</v>
      </c>
      <c r="F154" s="383">
        <f t="shared" si="51"/>
        <v>53.259082582765629</v>
      </c>
      <c r="G154" s="110">
        <f t="shared" si="73"/>
        <v>0.8323917592016925</v>
      </c>
      <c r="H154" s="412" t="b">
        <f>Wh_hp&gt;='2023'!Maxi_hp</f>
        <v>0</v>
      </c>
      <c r="I154" s="388">
        <f>IF(H154,Wh_hp,'2023'!Maxi_hp)</f>
        <v>63.305602398396879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3.6681961100149985E-2</v>
      </c>
      <c r="M154" s="832"/>
      <c r="N154" s="832"/>
      <c r="O154" s="48">
        <f>IF(t&lt;Tnet,'2023'!Resal+('2023'!Salim-'2023'!Resal)*(1-EXP(('2023'!Tnet-t)/('2023'!Tau_j))),Resal+(Salim-Resal)*(1-EXP((Tnet-t)/(Tau_j))))*Salcycl</f>
        <v>4.2297934041438341E-2</v>
      </c>
      <c r="P154" s="169">
        <f>(INDEX(Models!$BJ154:$BT154,,T154)*(1-R154)+INDEX(Models!$BJ154:$BT154,,T154+1)*R154-ERP_i)*Q154*Ramure*Pc/MaxiM</f>
        <v>2.224128277137792E-4</v>
      </c>
      <c r="Q154" s="304">
        <f t="shared" si="53"/>
        <v>0.6</v>
      </c>
      <c r="R154" s="177">
        <f t="shared" si="54"/>
        <v>0.14702669819695657</v>
      </c>
      <c r="S154" s="799">
        <f t="shared" si="55"/>
        <v>1</v>
      </c>
      <c r="T154" s="176">
        <f t="shared" si="56"/>
        <v>7</v>
      </c>
      <c r="U154" s="250">
        <f t="shared" si="57"/>
        <v>1.1470266981969566</v>
      </c>
      <c r="V154" s="382">
        <f t="shared" si="58"/>
        <v>59.015952781161523</v>
      </c>
      <c r="W154" s="400">
        <f t="shared" si="59"/>
        <v>49.127008746514846</v>
      </c>
      <c r="X154" s="157">
        <f t="shared" si="60"/>
        <v>45431</v>
      </c>
      <c r="Y154" s="383">
        <f t="shared" si="61"/>
        <v>48.129668490223928</v>
      </c>
      <c r="Z154" s="383">
        <f t="shared" si="62"/>
        <v>49.962386820026794</v>
      </c>
      <c r="AA154" s="384">
        <f t="shared" si="63"/>
        <v>53.250072620852961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6.1740494219320513E-2</v>
      </c>
      <c r="AD154" s="230">
        <f>(INDEX(Models!$BJ154:$BT154,,AH154)*(1-AF154)+INDEX(Models!$BJ154:$BT154,,AH154+1)*AF154-ERP_i)*AE154*Ramure*Pc/MaxiM</f>
        <v>2.224128277137792E-4</v>
      </c>
      <c r="AE154" s="304">
        <f t="shared" si="65"/>
        <v>0.6</v>
      </c>
      <c r="AF154" s="177">
        <f t="shared" si="66"/>
        <v>0.14702669819695657</v>
      </c>
      <c r="AG154" s="799">
        <f t="shared" si="74"/>
        <v>1</v>
      </c>
      <c r="AH154" s="176">
        <f t="shared" si="67"/>
        <v>7</v>
      </c>
      <c r="AI154" s="224">
        <f t="shared" si="68"/>
        <v>1.1470266981969566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'2023'!Wh/'2023'!Env_an*'2024'!Env_an</f>
        <v>49.222451215332484</v>
      </c>
      <c r="C155" s="829"/>
      <c r="D155" s="391">
        <f t="shared" si="50"/>
        <v>51.09776063850623</v>
      </c>
      <c r="E155" s="383">
        <f t="shared" si="72"/>
        <v>53.360210174145749</v>
      </c>
      <c r="F155" s="383">
        <f t="shared" si="51"/>
        <v>53.369195403434169</v>
      </c>
      <c r="G155" s="110">
        <f t="shared" si="73"/>
        <v>0.8338285353257926</v>
      </c>
      <c r="H155" s="412" t="b">
        <f>Wh_hp&gt;='2023'!Maxi_hp</f>
        <v>0</v>
      </c>
      <c r="I155" s="388">
        <f>IF(H155,Wh_hp,'2023'!Maxi_hp)</f>
        <v>61.653025263591708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3.6700422870597382E-2</v>
      </c>
      <c r="M155" s="832"/>
      <c r="N155" s="832"/>
      <c r="O155" s="48">
        <f>IF(t&lt;Tnet,'2023'!Resal+('2023'!Salim-'2023'!Resal)*(1-EXP(('2023'!Tnet-t)/('2023'!Tau_j))),Resal+(Salim-Resal)*(1-EXP((Tnet-t)/(Tau_j))))*Salcycl</f>
        <v>4.2399561925558667E-2</v>
      </c>
      <c r="P155" s="169">
        <f>(INDEX(Models!$BJ155:$BT155,,T155)*(1-R155)+INDEX(Models!$BJ155:$BT155,,T155+1)*R155-ERP_i)*Q155*Ramure*Pc/MaxiM</f>
        <v>2.2074924078507898E-4</v>
      </c>
      <c r="Q155" s="304">
        <f t="shared" si="53"/>
        <v>0.6</v>
      </c>
      <c r="R155" s="177">
        <f t="shared" si="54"/>
        <v>0.15135746571789932</v>
      </c>
      <c r="S155" s="799">
        <f t="shared" si="55"/>
        <v>1</v>
      </c>
      <c r="T155" s="176">
        <f t="shared" si="56"/>
        <v>7</v>
      </c>
      <c r="U155" s="250">
        <f t="shared" si="57"/>
        <v>1.1513574657178993</v>
      </c>
      <c r="V155" s="382">
        <f t="shared" si="58"/>
        <v>59.028769058894063</v>
      </c>
      <c r="W155" s="400">
        <f t="shared" si="59"/>
        <v>49.222451215332484</v>
      </c>
      <c r="X155" s="157">
        <f t="shared" si="60"/>
        <v>45432</v>
      </c>
      <c r="Y155" s="383">
        <f t="shared" si="61"/>
        <v>48.223399861455853</v>
      </c>
      <c r="Z155" s="383">
        <f t="shared" si="62"/>
        <v>50.060646766979609</v>
      </c>
      <c r="AA155" s="384">
        <f t="shared" si="63"/>
        <v>53.360210174145749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6.1835652378386896E-2</v>
      </c>
      <c r="AD155" s="230">
        <f>(INDEX(Models!$BJ155:$BT155,,AH155)*(1-AF155)+INDEX(Models!$BJ155:$BT155,,AH155+1)*AF155-ERP_i)*AE155*Ramure*Pc/MaxiM</f>
        <v>2.2074924078507898E-4</v>
      </c>
      <c r="AE155" s="304">
        <f t="shared" si="65"/>
        <v>0.6</v>
      </c>
      <c r="AF155" s="177">
        <f t="shared" si="66"/>
        <v>0.15135746571789932</v>
      </c>
      <c r="AG155" s="799">
        <f t="shared" si="74"/>
        <v>1</v>
      </c>
      <c r="AH155" s="176">
        <f t="shared" si="67"/>
        <v>7</v>
      </c>
      <c r="AI155" s="224">
        <f t="shared" si="68"/>
        <v>1.1513574657178993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'2023'!Wh/'2023'!Env_an*'2024'!Env_an</f>
        <v>37.38949343657854</v>
      </c>
      <c r="C156" s="829"/>
      <c r="D156" s="391">
        <f t="shared" si="50"/>
        <v>38.814726902346187</v>
      </c>
      <c r="E156" s="383">
        <f t="shared" si="72"/>
        <v>40.537630698220312</v>
      </c>
      <c r="F156" s="383">
        <f t="shared" si="51"/>
        <v>40.541860099145175</v>
      </c>
      <c r="G156" s="110">
        <f t="shared" si="73"/>
        <v>0.6332418716450412</v>
      </c>
      <c r="H156" s="412" t="b">
        <f>Wh_hp&gt;='2023'!Maxi_hp</f>
        <v>0</v>
      </c>
      <c r="I156" s="388">
        <f>IF(H156,Wh_hp,'2023'!Maxi_hp)</f>
        <v>60.757180610940942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3.6718884287229026E-2</v>
      </c>
      <c r="M156" s="832"/>
      <c r="N156" s="832"/>
      <c r="O156" s="48">
        <f>IF(t&lt;Tnet,'2023'!Resal+('2023'!Salim-'2023'!Resal)*(1-EXP(('2023'!Tnet-t)/('2023'!Tau_j))),Resal+(Salim-Resal)*(1-EXP((Tnet-t)/(Tau_j))))*Salcycl</f>
        <v>4.2501344212743083E-2</v>
      </c>
      <c r="P156" s="169">
        <f>(INDEX(Models!$BJ156:$BT156,,T156)*(1-R156)+INDEX(Models!$BJ156:$BT156,,T156+1)*R156-ERP_i)*Q156*Ramure*Pc/MaxiM</f>
        <v>2.1908817463454303E-4</v>
      </c>
      <c r="Q156" s="304">
        <f t="shared" si="53"/>
        <v>0.6</v>
      </c>
      <c r="R156" s="177">
        <f t="shared" si="54"/>
        <v>0.15575806596345498</v>
      </c>
      <c r="S156" s="799">
        <f t="shared" si="55"/>
        <v>1</v>
      </c>
      <c r="T156" s="176">
        <f t="shared" si="56"/>
        <v>7</v>
      </c>
      <c r="U156" s="250">
        <f t="shared" si="57"/>
        <v>1.155758065963455</v>
      </c>
      <c r="V156" s="382">
        <f t="shared" si="58"/>
        <v>59.037792046455294</v>
      </c>
      <c r="W156" s="400">
        <f t="shared" si="59"/>
        <v>37.38949343657854</v>
      </c>
      <c r="X156" s="157">
        <f t="shared" si="60"/>
        <v>45433</v>
      </c>
      <c r="Y156" s="383">
        <f t="shared" si="61"/>
        <v>36.630781561781944</v>
      </c>
      <c r="Z156" s="383">
        <f t="shared" si="62"/>
        <v>38.02709402714423</v>
      </c>
      <c r="AA156" s="384">
        <f t="shared" si="63"/>
        <v>40.537630698220312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6.1931016387356305E-2</v>
      </c>
      <c r="AD156" s="230">
        <f>(INDEX(Models!$BJ156:$BT156,,AH156)*(1-AF156)+INDEX(Models!$BJ156:$BT156,,AH156+1)*AF156-ERP_i)*AE156*Ramure*Pc/MaxiM</f>
        <v>2.1908817463454303E-4</v>
      </c>
      <c r="AE156" s="304">
        <f t="shared" si="65"/>
        <v>0.6</v>
      </c>
      <c r="AF156" s="177">
        <f t="shared" si="66"/>
        <v>0.15575806596345498</v>
      </c>
      <c r="AG156" s="799">
        <f t="shared" si="74"/>
        <v>1</v>
      </c>
      <c r="AH156" s="176">
        <f t="shared" si="67"/>
        <v>7</v>
      </c>
      <c r="AI156" s="224">
        <f t="shared" si="68"/>
        <v>1.155758065963455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'2023'!Wh/'2023'!Env_an*'2024'!Env_an</f>
        <v>19.741099360638756</v>
      </c>
      <c r="C157" s="829"/>
      <c r="D157" s="391">
        <f t="shared" si="50"/>
        <v>20.493994307100714</v>
      </c>
      <c r="E157" s="383">
        <f t="shared" si="72"/>
        <v>21.405957619369989</v>
      </c>
      <c r="F157" s="383">
        <f t="shared" si="51"/>
        <v>21.406186031311808</v>
      </c>
      <c r="G157" s="110">
        <f t="shared" si="73"/>
        <v>0.33428080512064079</v>
      </c>
      <c r="H157" s="412" t="b">
        <f>Wh_hp&gt;='2023'!Maxi_hp</f>
        <v>0</v>
      </c>
      <c r="I157" s="388">
        <f>IF(H157,Wh_hp,'2023'!Maxi_hp)</f>
        <v>57.940082195716684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3.6737345350051909E-2</v>
      </c>
      <c r="M157" s="832"/>
      <c r="N157" s="832"/>
      <c r="O157" s="48">
        <f>IF(t&lt;Tnet,'2023'!Resal+('2023'!Salim-'2023'!Resal)*(1-EXP(('2023'!Tnet-t)/('2023'!Tau_j))),Resal+(Salim-Resal)*(1-EXP((Tnet-t)/(Tau_j))))*Salcycl</f>
        <v>4.2603247585805366E-2</v>
      </c>
      <c r="P157" s="169">
        <f>(INDEX(Models!$BJ157:$BT157,,T157)*(1-R157)+INDEX(Models!$BJ157:$BT157,,T157+1)*R157-ERP_i)*Q157*Ramure*Pc/MaxiM</f>
        <v>2.1744606422915454E-4</v>
      </c>
      <c r="Q157" s="304">
        <f t="shared" si="53"/>
        <v>0.6</v>
      </c>
      <c r="R157" s="177">
        <f t="shared" si="54"/>
        <v>0.16022639729522736</v>
      </c>
      <c r="S157" s="799">
        <f t="shared" si="55"/>
        <v>1</v>
      </c>
      <c r="T157" s="176">
        <f t="shared" si="56"/>
        <v>7</v>
      </c>
      <c r="U157" s="250">
        <f t="shared" si="57"/>
        <v>1.1602263972952274</v>
      </c>
      <c r="V157" s="382">
        <f t="shared" si="58"/>
        <v>59.043226638302421</v>
      </c>
      <c r="W157" s="400">
        <f t="shared" si="59"/>
        <v>19.741099360638756</v>
      </c>
      <c r="X157" s="157">
        <f t="shared" si="60"/>
        <v>45434</v>
      </c>
      <c r="Y157" s="383">
        <f t="shared" si="61"/>
        <v>19.340599681119013</v>
      </c>
      <c r="Z157" s="383">
        <f t="shared" si="62"/>
        <v>20.078220190263092</v>
      </c>
      <c r="AA157" s="384">
        <f t="shared" si="63"/>
        <v>21.405957619369989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6.2026537318070785E-2</v>
      </c>
      <c r="AD157" s="230">
        <f>(INDEX(Models!$BJ157:$BT157,,AH157)*(1-AF157)+INDEX(Models!$BJ157:$BT157,,AH157+1)*AF157-ERP_i)*AE157*Ramure*Pc/MaxiM</f>
        <v>2.1744606422915454E-4</v>
      </c>
      <c r="AE157" s="304">
        <f t="shared" si="65"/>
        <v>0.6</v>
      </c>
      <c r="AF157" s="177">
        <f t="shared" si="66"/>
        <v>0.16022639729522736</v>
      </c>
      <c r="AG157" s="799">
        <f t="shared" si="74"/>
        <v>1</v>
      </c>
      <c r="AH157" s="176">
        <f t="shared" si="67"/>
        <v>7</v>
      </c>
      <c r="AI157" s="224">
        <f t="shared" si="68"/>
        <v>1.1602263972952274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'2023'!Wh/'2023'!Env_an*'2024'!Env_an</f>
        <v>16.3197808593203</v>
      </c>
      <c r="C158" s="829"/>
      <c r="D158" s="391">
        <f t="shared" si="50"/>
        <v>16.942516717958171</v>
      </c>
      <c r="E158" s="383">
        <f t="shared" si="72"/>
        <v>17.698328024312204</v>
      </c>
      <c r="F158" s="383">
        <f t="shared" si="51"/>
        <v>17.698328024312204</v>
      </c>
      <c r="G158" s="110">
        <f t="shared" si="73"/>
        <v>0.27633468831721636</v>
      </c>
      <c r="H158" s="412" t="b">
        <f>Wh_hp&gt;='2023'!Maxi_hp</f>
        <v>0</v>
      </c>
      <c r="I158" s="388">
        <f>IF(H158,Wh_hp,'2023'!Maxi_hp)</f>
        <v>27.39141049073487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3.6755806059072804E-2</v>
      </c>
      <c r="M158" s="832"/>
      <c r="N158" s="832"/>
      <c r="O158" s="48">
        <f>IF(t&lt;Tnet,'2023'!Resal+('2023'!Salim-'2023'!Resal)*(1-EXP(('2023'!Tnet-t)/('2023'!Tau_j))),Resal+(Salim-Resal)*(1-EXP((Tnet-t)/(Tau_j))))*Salcycl</f>
        <v>4.2705237766854337E-2</v>
      </c>
      <c r="P158" s="169">
        <f>(INDEX(Models!$BJ158:$BT158,,T158)*(1-R158)+INDEX(Models!$BJ158:$BT158,,T158+1)*R158-ERP_i)*Q158*Ramure*Pc/MaxiM</f>
        <v>2.158201478516959E-4</v>
      </c>
      <c r="Q158" s="304">
        <f t="shared" si="53"/>
        <v>0.6</v>
      </c>
      <c r="R158" s="177">
        <f t="shared" si="54"/>
        <v>0.1647601768260567</v>
      </c>
      <c r="S158" s="799">
        <f t="shared" si="55"/>
        <v>1</v>
      </c>
      <c r="T158" s="176">
        <f t="shared" si="56"/>
        <v>7</v>
      </c>
      <c r="U158" s="250">
        <f t="shared" si="57"/>
        <v>1.1647601768260567</v>
      </c>
      <c r="V158" s="382">
        <f t="shared" si="58"/>
        <v>59.045278828954714</v>
      </c>
      <c r="W158" s="400">
        <f t="shared" si="59"/>
        <v>16.3197808593203</v>
      </c>
      <c r="X158" s="157">
        <f t="shared" si="60"/>
        <v>45435</v>
      </c>
      <c r="Y158" s="383">
        <f t="shared" si="61"/>
        <v>15.988764739595288</v>
      </c>
      <c r="Z158" s="383">
        <f t="shared" si="62"/>
        <v>16.598869570321884</v>
      </c>
      <c r="AA158" s="384">
        <f t="shared" si="63"/>
        <v>17.698328024312204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6.2122165013553554E-2</v>
      </c>
      <c r="AD158" s="230">
        <f>(INDEX(Models!$BJ158:$BT158,,AH158)*(1-AF158)+INDEX(Models!$BJ158:$BT158,,AH158+1)*AF158-ERP_i)*AE158*Ramure*Pc/MaxiM</f>
        <v>2.158201478516959E-4</v>
      </c>
      <c r="AE158" s="304">
        <f t="shared" si="65"/>
        <v>0.6</v>
      </c>
      <c r="AF158" s="177">
        <f t="shared" si="66"/>
        <v>0.1647601768260567</v>
      </c>
      <c r="AG158" s="799">
        <f t="shared" si="74"/>
        <v>1</v>
      </c>
      <c r="AH158" s="176">
        <f t="shared" si="67"/>
        <v>7</v>
      </c>
      <c r="AI158" s="224">
        <f t="shared" si="68"/>
        <v>1.1647601768260567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'2023'!Wh/'2023'!Env_an*'2024'!Env_an</f>
        <v>41.052246203393302</v>
      </c>
      <c r="C159" s="829"/>
      <c r="D159" s="391">
        <f t="shared" si="50"/>
        <v>42.619548847155812</v>
      </c>
      <c r="E159" s="383">
        <f t="shared" si="72"/>
        <v>44.525567254604923</v>
      </c>
      <c r="F159" s="383">
        <f t="shared" si="51"/>
        <v>44.530953762697251</v>
      </c>
      <c r="G159" s="110">
        <f t="shared" si="73"/>
        <v>0.69521560697569507</v>
      </c>
      <c r="H159" s="412" t="b">
        <f>Wh_hp&gt;='2023'!Maxi_hp</f>
        <v>0</v>
      </c>
      <c r="I159" s="388">
        <f>IF(H159,Wh_hp,'2023'!Maxi_hp)</f>
        <v>59.825577923222795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3.6774266414298373E-2</v>
      </c>
      <c r="M159" s="832"/>
      <c r="N159" s="832"/>
      <c r="O159" s="48">
        <f>IF(t&lt;Tnet,'2023'!Resal+('2023'!Salim-'2023'!Resal)*(1-EXP(('2023'!Tnet-t)/('2023'!Tau_j))),Resal+(Salim-Resal)*(1-EXP((Tnet-t)/(Tau_j))))*Salcycl</f>
        <v>4.2807279614208278E-2</v>
      </c>
      <c r="P159" s="169">
        <f>(INDEX(Models!$BJ159:$BT159,,T159)*(1-R159)+INDEX(Models!$BJ159:$BT159,,T159+1)*R159-ERP_i)*Q159*Ramure*Pc/MaxiM</f>
        <v>2.1420915405890903E-4</v>
      </c>
      <c r="Q159" s="304">
        <f t="shared" si="53"/>
        <v>0.6</v>
      </c>
      <c r="R159" s="177">
        <f t="shared" si="54"/>
        <v>0.16935694224377396</v>
      </c>
      <c r="S159" s="799">
        <f t="shared" si="55"/>
        <v>1</v>
      </c>
      <c r="T159" s="176">
        <f t="shared" si="56"/>
        <v>7</v>
      </c>
      <c r="U159" s="250">
        <f t="shared" si="57"/>
        <v>1.169356942243774</v>
      </c>
      <c r="V159" s="382">
        <f t="shared" si="58"/>
        <v>59.044154477664314</v>
      </c>
      <c r="W159" s="400">
        <f t="shared" si="59"/>
        <v>41.052246203393302</v>
      </c>
      <c r="X159" s="157">
        <f t="shared" si="60"/>
        <v>45436</v>
      </c>
      <c r="Y159" s="383">
        <f t="shared" si="61"/>
        <v>40.219762394320171</v>
      </c>
      <c r="Z159" s="383">
        <f t="shared" si="62"/>
        <v>41.755282268672566</v>
      </c>
      <c r="AA159" s="384">
        <f t="shared" si="63"/>
        <v>44.525567254604923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6.2217848232935052E-2</v>
      </c>
      <c r="AD159" s="230">
        <f>(INDEX(Models!$BJ159:$BT159,,AH159)*(1-AF159)+INDEX(Models!$BJ159:$BT159,,AH159+1)*AF159-ERP_i)*AE159*Ramure*Pc/MaxiM</f>
        <v>2.1420915405890903E-4</v>
      </c>
      <c r="AE159" s="304">
        <f t="shared" si="65"/>
        <v>0.6</v>
      </c>
      <c r="AF159" s="177">
        <f t="shared" si="66"/>
        <v>0.16935694224377396</v>
      </c>
      <c r="AG159" s="799">
        <f t="shared" si="74"/>
        <v>1</v>
      </c>
      <c r="AH159" s="176">
        <f t="shared" si="67"/>
        <v>7</v>
      </c>
      <c r="AI159" s="224">
        <f t="shared" si="68"/>
        <v>1.169356942243774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'2023'!Wh/'2023'!Env_an*'2024'!Env_an</f>
        <v>24.95471046155955</v>
      </c>
      <c r="C160" s="829"/>
      <c r="D160" s="391">
        <f t="shared" si="50"/>
        <v>25.907933988806644</v>
      </c>
      <c r="E160" s="383">
        <f t="shared" si="72"/>
        <v>27.069466871334328</v>
      </c>
      <c r="F160" s="383">
        <f t="shared" si="51"/>
        <v>27.070475517491488</v>
      </c>
      <c r="G160" s="110">
        <f t="shared" si="73"/>
        <v>0.42260009052383857</v>
      </c>
      <c r="H160" s="412" t="b">
        <f>Wh_hp&gt;='2023'!Maxi_hp</f>
        <v>0</v>
      </c>
      <c r="I160" s="388">
        <f>IF(H160,Wh_hp,'2023'!Maxi_hp)</f>
        <v>62.596709791929555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3.6792726415735388E-2</v>
      </c>
      <c r="M160" s="832"/>
      <c r="N160" s="832"/>
      <c r="O160" s="48">
        <f>IF(t&lt;Tnet,'2023'!Resal+('2023'!Salim-'2023'!Resal)*(1-EXP(('2023'!Tnet-t)/('2023'!Tau_j))),Resal+(Salim-Resal)*(1-EXP((Tnet-t)/(Tau_j))))*Salcycl</f>
        <v>4.2909337226648803E-2</v>
      </c>
      <c r="P160" s="169">
        <f>(INDEX(Models!$BJ160:$BT160,,T160)*(1-R160)+INDEX(Models!$BJ160:$BT160,,T160+1)*R160-ERP_i)*Q160*Ramure*Pc/MaxiM</f>
        <v>2.1261197591209059E-4</v>
      </c>
      <c r="Q160" s="304">
        <f t="shared" si="53"/>
        <v>0.6</v>
      </c>
      <c r="R160" s="177">
        <f t="shared" si="54"/>
        <v>0.17401405458460628</v>
      </c>
      <c r="S160" s="799">
        <f t="shared" si="55"/>
        <v>1</v>
      </c>
      <c r="T160" s="176">
        <f t="shared" si="56"/>
        <v>7</v>
      </c>
      <c r="U160" s="250">
        <f t="shared" si="57"/>
        <v>1.1740140545846063</v>
      </c>
      <c r="V160" s="382">
        <f t="shared" si="58"/>
        <v>59.040059385729052</v>
      </c>
      <c r="W160" s="400">
        <f t="shared" si="59"/>
        <v>24.95471046155955</v>
      </c>
      <c r="X160" s="157">
        <f t="shared" si="60"/>
        <v>45437</v>
      </c>
      <c r="Y160" s="383">
        <f t="shared" si="61"/>
        <v>24.448774972715469</v>
      </c>
      <c r="Z160" s="383">
        <f t="shared" si="62"/>
        <v>25.382672705260266</v>
      </c>
      <c r="AA160" s="384">
        <f t="shared" si="63"/>
        <v>27.069466871334328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6.2313534806269916E-2</v>
      </c>
      <c r="AD160" s="230">
        <f>(INDEX(Models!$BJ160:$BT160,,AH160)*(1-AF160)+INDEX(Models!$BJ160:$BT160,,AH160+1)*AF160-ERP_i)*AE160*Ramure*Pc/MaxiM</f>
        <v>2.1261197591209059E-4</v>
      </c>
      <c r="AE160" s="304">
        <f t="shared" si="65"/>
        <v>0.6</v>
      </c>
      <c r="AF160" s="177">
        <f t="shared" si="66"/>
        <v>0.17401405458460628</v>
      </c>
      <c r="AG160" s="799">
        <f t="shared" si="74"/>
        <v>1</v>
      </c>
      <c r="AH160" s="176">
        <f t="shared" si="67"/>
        <v>7</v>
      </c>
      <c r="AI160" s="224">
        <f t="shared" si="68"/>
        <v>1.1740140545846063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'2023'!Wh/'2023'!Env_an*'2024'!Env_an</f>
        <v>45.944438890660578</v>
      </c>
      <c r="C161" s="829"/>
      <c r="D161" s="391">
        <f t="shared" si="50"/>
        <v>47.700345172077903</v>
      </c>
      <c r="E161" s="383">
        <f t="shared" si="72"/>
        <v>49.844213273647668</v>
      </c>
      <c r="F161" s="383">
        <f t="shared" si="51"/>
        <v>49.851401176542112</v>
      </c>
      <c r="G161" s="110">
        <f t="shared" si="73"/>
        <v>0.77822933583960496</v>
      </c>
      <c r="H161" s="412" t="b">
        <f>Wh_hp&gt;='2023'!Maxi_hp</f>
        <v>0</v>
      </c>
      <c r="I161" s="388">
        <f>IF(H161,Wh_hp,'2023'!Maxi_hp)</f>
        <v>62.270971233570506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3.6811186063390733E-2</v>
      </c>
      <c r="M161" s="832"/>
      <c r="N161" s="832"/>
      <c r="O161" s="48">
        <f>IF(t&lt;Tnet,'2023'!Resal+('2023'!Salim-'2023'!Resal)*(1-EXP(('2023'!Tnet-t)/('2023'!Tau_j))),Resal+(Salim-Resal)*(1-EXP((Tnet-t)/(Tau_j))))*Salcycl</f>
        <v>4.301137405459303E-2</v>
      </c>
      <c r="P161" s="169">
        <f>(INDEX(Models!$BJ161:$BT161,,T161)*(1-R161)+INDEX(Models!$BJ161:$BT161,,T161+1)*R161-ERP_i)*Q161*Ramure*Pc/MaxiM</f>
        <v>2.1102767406155454E-4</v>
      </c>
      <c r="Q161" s="304">
        <f t="shared" si="53"/>
        <v>0.6</v>
      </c>
      <c r="R161" s="177">
        <f t="shared" si="54"/>
        <v>0.1787287019755821</v>
      </c>
      <c r="S161" s="799">
        <f t="shared" si="55"/>
        <v>1</v>
      </c>
      <c r="T161" s="176">
        <f t="shared" si="56"/>
        <v>7</v>
      </c>
      <c r="U161" s="250">
        <f t="shared" si="57"/>
        <v>1.1787287019755821</v>
      </c>
      <c r="V161" s="382">
        <f t="shared" si="58"/>
        <v>59.033199283780966</v>
      </c>
      <c r="W161" s="400">
        <f t="shared" si="59"/>
        <v>45.944438890660578</v>
      </c>
      <c r="X161" s="157">
        <f t="shared" si="60"/>
        <v>45438</v>
      </c>
      <c r="Y161" s="383">
        <f t="shared" si="61"/>
        <v>45.01316247953114</v>
      </c>
      <c r="Z161" s="383">
        <f t="shared" si="62"/>
        <v>46.733477204287389</v>
      </c>
      <c r="AA161" s="384">
        <f t="shared" si="63"/>
        <v>49.844213273647668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6.2409171798582824E-2</v>
      </c>
      <c r="AD161" s="230">
        <f>(INDEX(Models!$BJ161:$BT161,,AH161)*(1-AF161)+INDEX(Models!$BJ161:$BT161,,AH161+1)*AF161-ERP_i)*AE161*Ramure*Pc/MaxiM</f>
        <v>2.1102767406155454E-4</v>
      </c>
      <c r="AE161" s="304">
        <f t="shared" si="65"/>
        <v>0.6</v>
      </c>
      <c r="AF161" s="177">
        <f t="shared" si="66"/>
        <v>0.1787287019755821</v>
      </c>
      <c r="AG161" s="799">
        <f t="shared" si="74"/>
        <v>1</v>
      </c>
      <c r="AH161" s="176">
        <f t="shared" si="67"/>
        <v>7</v>
      </c>
      <c r="AI161" s="224">
        <f t="shared" si="68"/>
        <v>1.1787287019755821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'2023'!Wh/'2023'!Env_an*'2024'!Env_an</f>
        <v>55.261371711594002</v>
      </c>
      <c r="C162" s="829"/>
      <c r="D162" s="391">
        <f t="shared" si="50"/>
        <v>57.374452447814633</v>
      </c>
      <c r="E162" s="383">
        <f t="shared" si="72"/>
        <v>59.959507877713499</v>
      </c>
      <c r="F162" s="383">
        <f t="shared" si="51"/>
        <v>59.970925255436946</v>
      </c>
      <c r="G162" s="110">
        <f t="shared" si="73"/>
        <v>0.93623820166569605</v>
      </c>
      <c r="H162" s="412" t="b">
        <f>Wh_hp&gt;='2023'!Maxi_hp</f>
        <v>0</v>
      </c>
      <c r="I162" s="388">
        <f>IF(H162,Wh_hp,'2023'!Maxi_hp)</f>
        <v>61.405954695216622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3.6829645357271179E-2</v>
      </c>
      <c r="M162" s="832"/>
      <c r="N162" s="832"/>
      <c r="O162" s="48">
        <f>IF(t&lt;Tnet,'2023'!Resal+('2023'!Salim-'2023'!Resal)*(1-EXP(('2023'!Tnet-t)/('2023'!Tau_j))),Resal+(Salim-Resal)*(1-EXP((Tnet-t)/(Tau_j))))*Salcycl</f>
        <v>4.3113353017690599E-2</v>
      </c>
      <c r="P162" s="169">
        <f>(INDEX(Models!$BJ162:$BT162,,T162)*(1-R162)+INDEX(Models!$BJ162:$BT162,,T162+1)*R162-ERP_i)*Q162*Ramure*Pc/MaxiM</f>
        <v>2.0945547939784669E-4</v>
      </c>
      <c r="Q162" s="304">
        <f t="shared" si="53"/>
        <v>0.6</v>
      </c>
      <c r="R162" s="177">
        <f t="shared" si="54"/>
        <v>0.18349790435712432</v>
      </c>
      <c r="S162" s="799">
        <f t="shared" si="55"/>
        <v>1</v>
      </c>
      <c r="T162" s="176">
        <f t="shared" si="56"/>
        <v>7</v>
      </c>
      <c r="U162" s="250">
        <f t="shared" si="57"/>
        <v>1.1834979043571243</v>
      </c>
      <c r="V162" s="382">
        <f t="shared" si="58"/>
        <v>59.023779823890102</v>
      </c>
      <c r="W162" s="400">
        <f t="shared" si="59"/>
        <v>55.261371711594002</v>
      </c>
      <c r="X162" s="157">
        <f t="shared" si="60"/>
        <v>45439</v>
      </c>
      <c r="Y162" s="383">
        <f t="shared" si="61"/>
        <v>54.141497428706337</v>
      </c>
      <c r="Z162" s="383">
        <f t="shared" si="62"/>
        <v>56.211756484956574</v>
      </c>
      <c r="AA162" s="384">
        <f t="shared" si="63"/>
        <v>59.959507877713499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6.2504705682381631E-2</v>
      </c>
      <c r="AD162" s="230">
        <f>(INDEX(Models!$BJ162:$BT162,,AH162)*(1-AF162)+INDEX(Models!$BJ162:$BT162,,AH162+1)*AF162-ERP_i)*AE162*Ramure*Pc/MaxiM</f>
        <v>2.0945547939784669E-4</v>
      </c>
      <c r="AE162" s="304">
        <f t="shared" si="65"/>
        <v>0.6</v>
      </c>
      <c r="AF162" s="177">
        <f t="shared" si="66"/>
        <v>0.18349790435712432</v>
      </c>
      <c r="AG162" s="799">
        <f t="shared" si="74"/>
        <v>1</v>
      </c>
      <c r="AH162" s="176">
        <f t="shared" si="67"/>
        <v>7</v>
      </c>
      <c r="AI162" s="224">
        <f t="shared" si="68"/>
        <v>1.1834979043571243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'2023'!Wh/'2023'!Env_an*'2024'!Env_an</f>
        <v>59.751043442173831</v>
      </c>
      <c r="C163" s="829"/>
      <c r="D163" s="391">
        <f t="shared" si="50"/>
        <v>62.036988878670712</v>
      </c>
      <c r="E163" s="383">
        <f t="shared" si="72"/>
        <v>64.839022582311998</v>
      </c>
      <c r="F163" s="383">
        <f t="shared" si="51"/>
        <v>64.852505396426309</v>
      </c>
      <c r="G163" s="110">
        <f t="shared" si="73"/>
        <v>1.0125472202397048</v>
      </c>
      <c r="H163" s="412" t="b">
        <f>Wh_hp&gt;='2023'!Maxi_hp</f>
        <v>1</v>
      </c>
      <c r="I163" s="388">
        <f>IF(H163,Wh_hp,'2023'!Maxi_hp)</f>
        <v>64.852505396426309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3.6848104297383499E-2</v>
      </c>
      <c r="M163" s="832"/>
      <c r="N163" s="832"/>
      <c r="O163" s="48">
        <f>IF(t&lt;Tnet,'2023'!Resal+('2023'!Salim-'2023'!Resal)*(1-EXP(('2023'!Tnet-t)/('2023'!Tau_j))),Resal+(Salim-Resal)*(1-EXP((Tnet-t)/(Tau_j))))*Salcycl</f>
        <v>4.3215236628284331E-2</v>
      </c>
      <c r="P163" s="169">
        <f>(INDEX(Models!$BJ163:$BT163,,T163)*(1-R163)+INDEX(Models!$BJ163:$BT163,,T163+1)*R163-ERP_i)*Q163*Ramure*Pc/MaxiM</f>
        <v>2.0789966450645032E-4</v>
      </c>
      <c r="Q163" s="304">
        <f t="shared" si="53"/>
        <v>0.6</v>
      </c>
      <c r="R163" s="177">
        <f t="shared" si="54"/>
        <v>0.1883185191883463</v>
      </c>
      <c r="S163" s="799">
        <f t="shared" si="55"/>
        <v>1</v>
      </c>
      <c r="T163" s="176">
        <f t="shared" si="56"/>
        <v>7</v>
      </c>
      <c r="U163" s="250">
        <f t="shared" si="57"/>
        <v>1.1883185191883463</v>
      </c>
      <c r="V163" s="382">
        <f t="shared" si="58"/>
        <v>59.010624144549723</v>
      </c>
      <c r="W163" s="400">
        <f t="shared" si="59"/>
        <v>59.751043442173831</v>
      </c>
      <c r="X163" s="157">
        <f t="shared" si="60"/>
        <v>45440</v>
      </c>
      <c r="Y163" s="383">
        <f t="shared" si="61"/>
        <v>58.540463159957049</v>
      </c>
      <c r="Z163" s="383">
        <f t="shared" si="62"/>
        <v>60.7800944182869</v>
      </c>
      <c r="AA163" s="384">
        <f t="shared" si="63"/>
        <v>64.839022582311998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6.2600082517782638E-2</v>
      </c>
      <c r="AD163" s="230">
        <f>(INDEX(Models!$BJ163:$BT163,,AH163)*(1-AF163)+INDEX(Models!$BJ163:$BT163,,AH163+1)*AF163-ERP_i)*AE163*Ramure*Pc/MaxiM</f>
        <v>2.0789966450645032E-4</v>
      </c>
      <c r="AE163" s="304">
        <f t="shared" si="65"/>
        <v>0.6</v>
      </c>
      <c r="AF163" s="177">
        <f t="shared" si="66"/>
        <v>0.1883185191883463</v>
      </c>
      <c r="AG163" s="799">
        <f t="shared" si="74"/>
        <v>1</v>
      </c>
      <c r="AH163" s="176">
        <f t="shared" si="67"/>
        <v>7</v>
      </c>
      <c r="AI163" s="224">
        <f t="shared" si="68"/>
        <v>1.1883185191883463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'2023'!Wh/'2023'!Env_an*'2024'!Env_an</f>
        <v>50.698390980213297</v>
      </c>
      <c r="C164" s="829"/>
      <c r="D164" s="391">
        <f t="shared" si="50"/>
        <v>52.639010366009323</v>
      </c>
      <c r="E164" s="383">
        <f t="shared" si="72"/>
        <v>55.022415635405338</v>
      </c>
      <c r="F164" s="383">
        <f t="shared" si="51"/>
        <v>55.031492192246752</v>
      </c>
      <c r="G164" s="110">
        <f t="shared" si="73"/>
        <v>0.8593656175266613</v>
      </c>
      <c r="H164" s="412" t="b">
        <f>Wh_hp&gt;='2023'!Maxi_hp</f>
        <v>0</v>
      </c>
      <c r="I164" s="388">
        <f>IF(H164,Wh_hp,'2023'!Maxi_hp)</f>
        <v>59.25879141798292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3.6866562883734355E-2</v>
      </c>
      <c r="M164" s="832"/>
      <c r="N164" s="832"/>
      <c r="O164" s="48">
        <f>IF(t&lt;Tnet,'2023'!Resal+('2023'!Salim-'2023'!Resal)*(1-EXP(('2023'!Tnet-t)/('2023'!Tau_j))),Resal+(Salim-Resal)*(1-EXP((Tnet-t)/(Tau_j))))*Salcycl</f>
        <v>4.3316987120106835E-2</v>
      </c>
      <c r="P164" s="169">
        <f>(INDEX(Models!$BJ164:$BT164,,T164)*(1-R164)+INDEX(Models!$BJ164:$BT164,,T164+1)*R164-ERP_i)*Q164*Ramure*Pc/MaxiM</f>
        <v>2.0638800400524549E-4</v>
      </c>
      <c r="Q164" s="304">
        <f t="shared" si="53"/>
        <v>0.6</v>
      </c>
      <c r="R164" s="177">
        <f t="shared" si="54"/>
        <v>0.19318724812843402</v>
      </c>
      <c r="S164" s="799">
        <f t="shared" si="55"/>
        <v>1</v>
      </c>
      <c r="T164" s="176">
        <f t="shared" si="56"/>
        <v>7</v>
      </c>
      <c r="U164" s="250">
        <f t="shared" si="57"/>
        <v>1.193187248128434</v>
      </c>
      <c r="V164" s="382">
        <f t="shared" si="58"/>
        <v>58.992689422937353</v>
      </c>
      <c r="W164" s="400">
        <f t="shared" si="59"/>
        <v>50.698390980213297</v>
      </c>
      <c r="X164" s="157">
        <f t="shared" si="60"/>
        <v>45441</v>
      </c>
      <c r="Y164" s="383">
        <f t="shared" si="61"/>
        <v>49.671460805389309</v>
      </c>
      <c r="Z164" s="383">
        <f t="shared" si="62"/>
        <v>51.572771633919679</v>
      </c>
      <c r="AA164" s="384">
        <f t="shared" si="63"/>
        <v>55.022415635405338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6.2695248139304022E-2</v>
      </c>
      <c r="AD164" s="230">
        <f>(INDEX(Models!$BJ164:$BT164,,AH164)*(1-AF164)+INDEX(Models!$BJ164:$BT164,,AH164+1)*AF164-ERP_i)*AE164*Ramure*Pc/MaxiM</f>
        <v>2.0638800400524549E-4</v>
      </c>
      <c r="AE164" s="304">
        <f t="shared" si="65"/>
        <v>0.6</v>
      </c>
      <c r="AF164" s="177">
        <f t="shared" si="66"/>
        <v>0.19318724812843402</v>
      </c>
      <c r="AG164" s="799">
        <f t="shared" si="74"/>
        <v>1</v>
      </c>
      <c r="AH164" s="176">
        <f t="shared" si="67"/>
        <v>7</v>
      </c>
      <c r="AI164" s="224">
        <f t="shared" si="68"/>
        <v>1.193187248128434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'2023'!Wh/'2023'!Env_an*'2024'!Env_an</f>
        <v>54.959158357645521</v>
      </c>
      <c r="C165" s="829"/>
      <c r="D165" s="391">
        <f t="shared" si="50"/>
        <v>57.063963869970927</v>
      </c>
      <c r="E165" s="383">
        <f t="shared" si="72"/>
        <v>59.654057539089997</v>
      </c>
      <c r="F165" s="383">
        <f t="shared" si="51"/>
        <v>59.665096935811953</v>
      </c>
      <c r="G165" s="110">
        <f t="shared" si="73"/>
        <v>0.93196042945764468</v>
      </c>
      <c r="H165" s="412" t="b">
        <f>Wh_hp&gt;='2023'!Maxi_hp</f>
        <v>0</v>
      </c>
      <c r="I165" s="388">
        <f>IF(H165,Wh_hp,'2023'!Maxi_hp)</f>
        <v>62.682352866116169</v>
      </c>
      <c r="J165" s="85">
        <f>IF(H165,An,'2023'!An_max)</f>
        <v>2018</v>
      </c>
      <c r="K165" s="197">
        <f t="shared" si="52"/>
        <v>45442</v>
      </c>
      <c r="L165" s="147">
        <f>IF(t&lt;Tvie,1-EXP((T0-t)*PertePVj)+'2023'!Pspv,1-EXP((T0-t)*PertePVj)+Pspv)</f>
        <v>3.688502111633063E-2</v>
      </c>
      <c r="M165" s="832"/>
      <c r="N165" s="832"/>
      <c r="O165" s="48">
        <f>IF(t&lt;Tnet,'2023'!Resal+('2023'!Salim-'2023'!Resal)*(1-EXP(('2023'!Tnet-t)/('2023'!Tau_j))),Resal+(Salim-Resal)*(1-EXP((Tnet-t)/(Tau_j))))*Salcycl</f>
        <v>4.3418566581524431E-2</v>
      </c>
      <c r="P165" s="169">
        <f>(INDEX(Models!$BJ165:$BT165,,T165)*(1-R165)+INDEX(Models!$BJ165:$BT165,,T165+1)*R165-ERP_i)*Q165*Ramure*Pc/MaxiM</f>
        <v>2.0493700640326974E-4</v>
      </c>
      <c r="Q165" s="304">
        <f t="shared" si="53"/>
        <v>0.6</v>
      </c>
      <c r="R165" s="177">
        <f t="shared" si="54"/>
        <v>0.19810064467806066</v>
      </c>
      <c r="S165" s="799">
        <f t="shared" si="55"/>
        <v>1</v>
      </c>
      <c r="T165" s="176">
        <f t="shared" si="56"/>
        <v>7</v>
      </c>
      <c r="U165" s="250">
        <f t="shared" si="57"/>
        <v>1.1981006446780607</v>
      </c>
      <c r="V165" s="382">
        <f t="shared" si="58"/>
        <v>58.970383230764817</v>
      </c>
      <c r="W165" s="400">
        <f t="shared" si="59"/>
        <v>54.959158357645521</v>
      </c>
      <c r="X165" s="157">
        <f t="shared" si="60"/>
        <v>45442</v>
      </c>
      <c r="Y165" s="383">
        <f t="shared" si="61"/>
        <v>53.846188993235316</v>
      </c>
      <c r="Z165" s="383">
        <f t="shared" si="62"/>
        <v>55.908370416632437</v>
      </c>
      <c r="AA165" s="384">
        <f t="shared" si="63"/>
        <v>59.654057539089997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6.279014834830117E-2</v>
      </c>
      <c r="AD165" s="230">
        <f>(INDEX(Models!$BJ165:$BT165,,AH165)*(1-AF165)+INDEX(Models!$BJ165:$BT165,,AH165+1)*AF165-ERP_i)*AE165*Ramure*Pc/MaxiM</f>
        <v>2.0493700640326974E-4</v>
      </c>
      <c r="AE165" s="304">
        <f t="shared" si="65"/>
        <v>0.6</v>
      </c>
      <c r="AF165" s="177">
        <f t="shared" si="66"/>
        <v>0.19810064467806066</v>
      </c>
      <c r="AG165" s="799">
        <f t="shared" si="74"/>
        <v>1</v>
      </c>
      <c r="AH165" s="176">
        <f t="shared" si="67"/>
        <v>7</v>
      </c>
      <c r="AI165" s="224">
        <f t="shared" si="68"/>
        <v>1.1981006446780607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'2023'!Wh/'2023'!Env_an*'2024'!Env_an</f>
        <v>56.002700254070923</v>
      </c>
      <c r="C166" s="829"/>
      <c r="D166" s="391">
        <f t="shared" si="50"/>
        <v>58.148585352215797</v>
      </c>
      <c r="E166" s="383">
        <f t="shared" si="72"/>
        <v>60.79435171441132</v>
      </c>
      <c r="F166" s="383">
        <f t="shared" si="51"/>
        <v>60.805846233887813</v>
      </c>
      <c r="G166" s="110">
        <f t="shared" si="73"/>
        <v>0.95008447452592393</v>
      </c>
      <c r="H166" s="412" t="b">
        <f>Wh_hp&gt;='2023'!Maxi_hp</f>
        <v>0</v>
      </c>
      <c r="I166" s="388">
        <f>IF(H166,Wh_hp,'2023'!Maxi_hp)</f>
        <v>63.124729427681508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3.6903478995179095E-2</v>
      </c>
      <c r="M166" s="832"/>
      <c r="N166" s="832"/>
      <c r="O166" s="48">
        <f>IF(t&lt;Tnet,'2023'!Resal+('2023'!Salim-'2023'!Resal)*(1-EXP(('2023'!Tnet-t)/('2023'!Tau_j))),Resal+(Salim-Resal)*(1-EXP((Tnet-t)/(Tau_j))))*Salcycl</f>
        <v>4.3519937092582575E-2</v>
      </c>
      <c r="P166" s="169">
        <f>(INDEX(Models!$BJ166:$BT166,,T166)*(1-R166)+INDEX(Models!$BJ166:$BT166,,T166+1)*R166-ERP_i)*Q166*Ramure*Pc/MaxiM</f>
        <v>2.0354691175445859E-4</v>
      </c>
      <c r="Q166" s="304">
        <f t="shared" si="53"/>
        <v>0.6</v>
      </c>
      <c r="R166" s="177">
        <f t="shared" si="54"/>
        <v>0.20305512275514292</v>
      </c>
      <c r="S166" s="799">
        <f t="shared" si="55"/>
        <v>1</v>
      </c>
      <c r="T166" s="176">
        <f t="shared" si="56"/>
        <v>7</v>
      </c>
      <c r="U166" s="250">
        <f t="shared" si="57"/>
        <v>1.2030551227551429</v>
      </c>
      <c r="V166" s="382">
        <f t="shared" si="58"/>
        <v>58.944113892230234</v>
      </c>
      <c r="W166" s="400">
        <f t="shared" si="59"/>
        <v>56.002700254070923</v>
      </c>
      <c r="X166" s="157">
        <f t="shared" si="60"/>
        <v>45443</v>
      </c>
      <c r="Y166" s="383">
        <f t="shared" si="61"/>
        <v>54.868875635150886</v>
      </c>
      <c r="Z166" s="383">
        <f t="shared" si="62"/>
        <v>56.971315375436014</v>
      </c>
      <c r="AA166" s="384">
        <f t="shared" si="63"/>
        <v>60.79435171441132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6.2884729109942292E-2</v>
      </c>
      <c r="AD166" s="230">
        <f>(INDEX(Models!$BJ166:$BT166,,AH166)*(1-AF166)+INDEX(Models!$BJ166:$BT166,,AH166+1)*AF166-ERP_i)*AE166*Ramure*Pc/MaxiM</f>
        <v>2.0354691175445859E-4</v>
      </c>
      <c r="AE166" s="304">
        <f t="shared" si="65"/>
        <v>0.6</v>
      </c>
      <c r="AF166" s="177">
        <f t="shared" si="66"/>
        <v>0.20305512275514292</v>
      </c>
      <c r="AG166" s="799">
        <f t="shared" si="74"/>
        <v>1</v>
      </c>
      <c r="AH166" s="176">
        <f t="shared" si="67"/>
        <v>7</v>
      </c>
      <c r="AI166" s="224">
        <f t="shared" si="68"/>
        <v>1.2030551227551429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'2023'!Wh/'2023'!Env_an*'2024'!Env_an</f>
        <v>44.664675364881035</v>
      </c>
      <c r="C167" s="829"/>
      <c r="D167" s="391">
        <f t="shared" si="50"/>
        <v>46.377004168802628</v>
      </c>
      <c r="E167" s="383">
        <f t="shared" si="72"/>
        <v>48.49228927055961</v>
      </c>
      <c r="F167" s="383">
        <f t="shared" si="51"/>
        <v>48.498707877341843</v>
      </c>
      <c r="G167" s="110">
        <f t="shared" si="73"/>
        <v>0.75807676721841499</v>
      </c>
      <c r="H167" s="412" t="b">
        <f>Wh_hp&gt;='2023'!Maxi_hp</f>
        <v>0</v>
      </c>
      <c r="I167" s="388">
        <f>IF(H167,Wh_hp,'2023'!Maxi_hp)</f>
        <v>62.353294055215706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3.6921936520286525E-2</v>
      </c>
      <c r="M167" s="832"/>
      <c r="N167" s="832"/>
      <c r="O167" s="48">
        <f>IF(t&lt;Tnet,'2023'!Resal+('2023'!Salim-'2023'!Resal)*(1-EXP(('2023'!Tnet-t)/('2023'!Tau_j))),Resal+(Salim-Resal)*(1-EXP((Tnet-t)/(Tau_j))))*Salcycl</f>
        <v>4.3621060865055995E-2</v>
      </c>
      <c r="P167" s="169">
        <f>(INDEX(Models!$BJ167:$BT167,,T167)*(1-R167)+INDEX(Models!$BJ167:$BT167,,T167+1)*R167-ERP_i)*Q167*Ramure*Pc/MaxiM</f>
        <v>2.0221815846084757E-4</v>
      </c>
      <c r="Q167" s="304">
        <f t="shared" si="53"/>
        <v>0.6</v>
      </c>
      <c r="R167" s="177">
        <f t="shared" si="54"/>
        <v>0.20804696616955543</v>
      </c>
      <c r="S167" s="799">
        <f t="shared" si="55"/>
        <v>1</v>
      </c>
      <c r="T167" s="176">
        <f t="shared" si="56"/>
        <v>7</v>
      </c>
      <c r="U167" s="250">
        <f t="shared" si="57"/>
        <v>1.2080469661695554</v>
      </c>
      <c r="V167" s="382">
        <f t="shared" si="58"/>
        <v>58.914289505853354</v>
      </c>
      <c r="W167" s="400">
        <f t="shared" si="59"/>
        <v>44.664675364881035</v>
      </c>
      <c r="X167" s="157">
        <f t="shared" si="60"/>
        <v>45444</v>
      </c>
      <c r="Y167" s="383">
        <f t="shared" si="61"/>
        <v>43.760626554379627</v>
      </c>
      <c r="Z167" s="383">
        <f t="shared" si="62"/>
        <v>45.43829645155386</v>
      </c>
      <c r="AA167" s="384">
        <f t="shared" si="63"/>
        <v>48.49228927055961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6.2978936753556647E-2</v>
      </c>
      <c r="AD167" s="230">
        <f>(INDEX(Models!$BJ167:$BT167,,AH167)*(1-AF167)+INDEX(Models!$BJ167:$BT167,,AH167+1)*AF167-ERP_i)*AE167*Ramure*Pc/MaxiM</f>
        <v>2.0221815846084757E-4</v>
      </c>
      <c r="AE167" s="304">
        <f t="shared" si="65"/>
        <v>0.6</v>
      </c>
      <c r="AF167" s="177">
        <f t="shared" si="66"/>
        <v>0.20804696616955543</v>
      </c>
      <c r="AG167" s="799">
        <f t="shared" si="74"/>
        <v>1</v>
      </c>
      <c r="AH167" s="176">
        <f t="shared" si="67"/>
        <v>7</v>
      </c>
      <c r="AI167" s="224">
        <f t="shared" si="68"/>
        <v>1.2080469661695554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'2023'!Wh/'2023'!Env_an*'2024'!Env_an</f>
        <v>54.631252019676836</v>
      </c>
      <c r="C168" s="829"/>
      <c r="D168" s="391">
        <f t="shared" si="50"/>
        <v>56.726760900182214</v>
      </c>
      <c r="E168" s="383">
        <f t="shared" si="72"/>
        <v>59.320359760409055</v>
      </c>
      <c r="F168" s="383">
        <f t="shared" si="51"/>
        <v>59.331053017264573</v>
      </c>
      <c r="G168" s="110">
        <f t="shared" si="73"/>
        <v>0.9278005607980524</v>
      </c>
      <c r="H168" s="412" t="b">
        <f>Wh_hp&gt;='2023'!Maxi_hp</f>
        <v>0</v>
      </c>
      <c r="I168" s="388">
        <f>IF(H168,Wh_hp,'2023'!Maxi_hp)</f>
        <v>59.33169374417173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3.694039369165969E-2</v>
      </c>
      <c r="M168" s="832"/>
      <c r="N168" s="832"/>
      <c r="O168" s="48">
        <f>IF(t&lt;Tnet,'2023'!Resal+('2023'!Salim-'2023'!Resal)*(1-EXP(('2023'!Tnet-t)/('2023'!Tau_j))),Resal+(Salim-Resal)*(1-EXP((Tnet-t)/(Tau_j))))*Salcycl</f>
        <v>4.3721900384660672E-2</v>
      </c>
      <c r="P168" s="169">
        <f>(INDEX(Models!$BJ168:$BT168,,T168)*(1-R168)+INDEX(Models!$BJ168:$BT168,,T168+1)*R168-ERP_i)*Q168*Ramure*Pc/MaxiM</f>
        <v>2.0095137466780359E-4</v>
      </c>
      <c r="Q168" s="304">
        <f t="shared" si="53"/>
        <v>0.6</v>
      </c>
      <c r="R168" s="177">
        <f t="shared" si="54"/>
        <v>0.21307233895182742</v>
      </c>
      <c r="S168" s="799">
        <f t="shared" si="55"/>
        <v>1</v>
      </c>
      <c r="T168" s="176">
        <f t="shared" si="56"/>
        <v>7</v>
      </c>
      <c r="U168" s="250">
        <f t="shared" si="57"/>
        <v>1.2130723389518274</v>
      </c>
      <c r="V168" s="382">
        <f t="shared" si="58"/>
        <v>58.881317934834804</v>
      </c>
      <c r="W168" s="400">
        <f t="shared" si="59"/>
        <v>54.631252019676836</v>
      </c>
      <c r="X168" s="157">
        <f t="shared" si="60"/>
        <v>45445</v>
      </c>
      <c r="Y168" s="383">
        <f t="shared" si="61"/>
        <v>53.525758331257968</v>
      </c>
      <c r="Z168" s="383">
        <f t="shared" si="62"/>
        <v>55.578863427193482</v>
      </c>
      <c r="AA168" s="384">
        <f t="shared" si="63"/>
        <v>59.320359760409055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6.3072718175129494E-2</v>
      </c>
      <c r="AD168" s="230">
        <f>(INDEX(Models!$BJ168:$BT168,,AH168)*(1-AF168)+INDEX(Models!$BJ168:$BT168,,AH168+1)*AF168-ERP_i)*AE168*Ramure*Pc/MaxiM</f>
        <v>2.0095137466780359E-4</v>
      </c>
      <c r="AE168" s="304">
        <f t="shared" si="65"/>
        <v>0.6</v>
      </c>
      <c r="AF168" s="177">
        <f t="shared" si="66"/>
        <v>0.21307233895182742</v>
      </c>
      <c r="AG168" s="799">
        <f t="shared" si="74"/>
        <v>1</v>
      </c>
      <c r="AH168" s="176">
        <f t="shared" si="67"/>
        <v>7</v>
      </c>
      <c r="AI168" s="224">
        <f t="shared" si="68"/>
        <v>1.2130723389518274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'2023'!Wh/'2023'!Env_an*'2024'!Env_an</f>
        <v>26.044221015648901</v>
      </c>
      <c r="C169" s="829"/>
      <c r="D169" s="391">
        <f t="shared" si="50"/>
        <v>27.0437260437131</v>
      </c>
      <c r="E169" s="383">
        <f t="shared" si="72"/>
        <v>28.28316263473895</v>
      </c>
      <c r="F169" s="383">
        <f t="shared" si="51"/>
        <v>28.284313447006852</v>
      </c>
      <c r="G169" s="110">
        <f t="shared" si="73"/>
        <v>0.44251524742769205</v>
      </c>
      <c r="H169" s="412" t="b">
        <f>Wh_hp&gt;='2023'!Maxi_hp</f>
        <v>0</v>
      </c>
      <c r="I169" s="388">
        <f>IF(H169,Wh_hp,'2023'!Maxi_hp)</f>
        <v>57.206955445857666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3.6958850509305363E-2</v>
      </c>
      <c r="M169" s="832"/>
      <c r="N169" s="832"/>
      <c r="O169" s="48">
        <f>IF(t&lt;Tnet,'2023'!Resal+('2023'!Salim-'2023'!Resal)*(1-EXP(('2023'!Tnet-t)/('2023'!Tau_j))),Resal+(Salim-Resal)*(1-EXP((Tnet-t)/(Tau_j))))*Salcycl</f>
        <v>4.3822418554546869E-2</v>
      </c>
      <c r="P169" s="169">
        <f>(INDEX(Models!$BJ169:$BT169,,T169)*(1-R169)+INDEX(Models!$BJ169:$BT169,,T169+1)*R169-ERP_i)*Q169*Ramure*Pc/MaxiM</f>
        <v>1.9974736906947817E-4</v>
      </c>
      <c r="Q169" s="304">
        <f t="shared" si="53"/>
        <v>0.6</v>
      </c>
      <c r="R169" s="177">
        <f t="shared" si="54"/>
        <v>0.21812729648148732</v>
      </c>
      <c r="S169" s="799">
        <f t="shared" si="55"/>
        <v>1</v>
      </c>
      <c r="T169" s="176">
        <f t="shared" si="56"/>
        <v>7</v>
      </c>
      <c r="U169" s="250">
        <f t="shared" si="57"/>
        <v>1.2181272964814873</v>
      </c>
      <c r="V169" s="382">
        <f t="shared" si="58"/>
        <v>58.845606796136515</v>
      </c>
      <c r="W169" s="400">
        <f t="shared" si="59"/>
        <v>26.044221015648901</v>
      </c>
      <c r="X169" s="157">
        <f t="shared" si="60"/>
        <v>45446</v>
      </c>
      <c r="Y169" s="383">
        <f t="shared" si="61"/>
        <v>25.51734288321467</v>
      </c>
      <c r="Z169" s="383">
        <f t="shared" si="62"/>
        <v>26.496627788656326</v>
      </c>
      <c r="AA169" s="384">
        <f t="shared" si="63"/>
        <v>28.28316263473895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6.3166021040670497E-2</v>
      </c>
      <c r="AD169" s="230">
        <f>(INDEX(Models!$BJ169:$BT169,,AH169)*(1-AF169)+INDEX(Models!$BJ169:$BT169,,AH169+1)*AF169-ERP_i)*AE169*Ramure*Pc/MaxiM</f>
        <v>1.9974736906947817E-4</v>
      </c>
      <c r="AE169" s="304">
        <f t="shared" si="65"/>
        <v>0.6</v>
      </c>
      <c r="AF169" s="177">
        <f t="shared" si="66"/>
        <v>0.21812729648148732</v>
      </c>
      <c r="AG169" s="799">
        <f t="shared" si="74"/>
        <v>1</v>
      </c>
      <c r="AH169" s="176">
        <f t="shared" si="67"/>
        <v>7</v>
      </c>
      <c r="AI169" s="224">
        <f t="shared" si="68"/>
        <v>1.2181272964814873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'2023'!Wh/'2023'!Env_an*'2024'!Env_an</f>
        <v>35.887772082567686</v>
      </c>
      <c r="C170" s="829"/>
      <c r="D170" s="391">
        <f t="shared" si="50"/>
        <v>37.265759511619422</v>
      </c>
      <c r="E170" s="383">
        <f t="shared" ref="E170:E232" si="75">Wh_pvt/(1-Psa)</f>
        <v>38.977763397416574</v>
      </c>
      <c r="F170" s="383">
        <f t="shared" si="51"/>
        <v>38.981196924545003</v>
      </c>
      <c r="G170" s="110">
        <f t="shared" ref="G170:G232" si="76">+Wh_hp/MaxiM</f>
        <v>0.61019030733091795</v>
      </c>
      <c r="H170" s="412" t="b">
        <f>Wh_hp&gt;='2023'!Maxi_hp</f>
        <v>0</v>
      </c>
      <c r="I170" s="388">
        <f>IF(H170,Wh_hp,'2023'!Maxi_hp)</f>
        <v>45.501902889660293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3.6977306973230428E-2</v>
      </c>
      <c r="M170" s="832"/>
      <c r="N170" s="832"/>
      <c r="O170" s="48">
        <f>IF(t&lt;Tnet,'2023'!Resal+('2023'!Salim-'2023'!Resal)*(1-EXP(('2023'!Tnet-t)/('2023'!Tau_j))),Resal+(Salim-Resal)*(1-EXP((Tnet-t)/(Tau_j))))*Salcycl</f>
        <v>4.3922578839159919E-2</v>
      </c>
      <c r="P170" s="169">
        <f>(INDEX(Models!$BJ170:$BT170,,T170)*(1-R170)+INDEX(Models!$BJ170:$BT170,,T170+1)*R170-ERP_i)*Q170*Ramure*Pc/MaxiM</f>
        <v>1.9872870078660484E-4</v>
      </c>
      <c r="Q170" s="304">
        <f t="shared" si="53"/>
        <v>0.6</v>
      </c>
      <c r="R170" s="177">
        <f t="shared" si="54"/>
        <v>0.22320779735175922</v>
      </c>
      <c r="S170" s="799">
        <f t="shared" si="55"/>
        <v>1</v>
      </c>
      <c r="T170" s="176">
        <f t="shared" si="56"/>
        <v>7</v>
      </c>
      <c r="U170" s="250">
        <f t="shared" si="57"/>
        <v>1.2232077973517592</v>
      </c>
      <c r="V170" s="382">
        <f t="shared" si="58"/>
        <v>58.807556305937517</v>
      </c>
      <c r="W170" s="400">
        <f t="shared" si="59"/>
        <v>35.887772082567686</v>
      </c>
      <c r="X170" s="157">
        <f t="shared" si="60"/>
        <v>45447</v>
      </c>
      <c r="Y170" s="383">
        <f t="shared" si="61"/>
        <v>35.161958809622085</v>
      </c>
      <c r="Z170" s="383">
        <f t="shared" si="62"/>
        <v>36.512077092501777</v>
      </c>
      <c r="AA170" s="384">
        <f t="shared" si="63"/>
        <v>38.977763397416574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6.3258793989144635E-2</v>
      </c>
      <c r="AD170" s="230">
        <f>(INDEX(Models!$BJ170:$BT170,,AH170)*(1-AF170)+INDEX(Models!$BJ170:$BT170,,AH170+1)*AF170-ERP_i)*AE170*Ramure*Pc/MaxiM</f>
        <v>1.9872870078660484E-4</v>
      </c>
      <c r="AE170" s="304">
        <f t="shared" si="65"/>
        <v>0.6</v>
      </c>
      <c r="AF170" s="177">
        <f t="shared" si="66"/>
        <v>0.22320779735175922</v>
      </c>
      <c r="AG170" s="799">
        <f t="shared" si="74"/>
        <v>1</v>
      </c>
      <c r="AH170" s="176">
        <f t="shared" si="67"/>
        <v>7</v>
      </c>
      <c r="AI170" s="224">
        <f t="shared" si="68"/>
        <v>1.2232077973517592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'2023'!Wh/'2023'!Env_an*'2024'!Env_an</f>
        <v>46.812060341036435</v>
      </c>
      <c r="C171" s="829"/>
      <c r="D171" s="391">
        <f t="shared" si="50"/>
        <v>48.610440688115645</v>
      </c>
      <c r="E171" s="383">
        <f t="shared" si="75"/>
        <v>50.848929841187768</v>
      </c>
      <c r="F171" s="383">
        <f t="shared" si="51"/>
        <v>50.856065201540986</v>
      </c>
      <c r="G171" s="110">
        <f t="shared" si="76"/>
        <v>0.7965168737087206</v>
      </c>
      <c r="H171" s="412" t="b">
        <f>Wh_hp&gt;='2023'!Maxi_hp</f>
        <v>0</v>
      </c>
      <c r="I171" s="388">
        <f>IF(H171,Wh_hp,'2023'!Maxi_hp)</f>
        <v>58.87079114151684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3.6995763083441435E-2</v>
      </c>
      <c r="M171" s="832"/>
      <c r="N171" s="832"/>
      <c r="O171" s="48">
        <f>IF(t&lt;Tnet,'2023'!Resal+('2023'!Salim-'2023'!Resal)*(1-EXP(('2023'!Tnet-t)/('2023'!Tau_j))),Resal+(Salim-Resal)*(1-EXP((Tnet-t)/(Tau_j))))*Salcycl</f>
        <v>4.4022345407531936E-2</v>
      </c>
      <c r="P171" s="169">
        <f>(INDEX(Models!$BJ171:$BT171,,T171)*(1-R171)+INDEX(Models!$BJ171:$BT171,,T171+1)*R171-ERP_i)*Q171*Ramure*Pc/MaxiM</f>
        <v>1.9778672072270925E-4</v>
      </c>
      <c r="Q171" s="304">
        <f t="shared" si="53"/>
        <v>0.6</v>
      </c>
      <c r="R171" s="177">
        <f t="shared" si="54"/>
        <v>0.22830971589889915</v>
      </c>
      <c r="S171" s="799">
        <f t="shared" si="55"/>
        <v>1</v>
      </c>
      <c r="T171" s="176">
        <f t="shared" si="56"/>
        <v>7</v>
      </c>
      <c r="U171" s="250">
        <f t="shared" si="57"/>
        <v>1.2283097158988991</v>
      </c>
      <c r="V171" s="382">
        <f t="shared" si="58"/>
        <v>58.767580036100327</v>
      </c>
      <c r="W171" s="400">
        <f t="shared" si="59"/>
        <v>46.812060341036435</v>
      </c>
      <c r="X171" s="157">
        <f t="shared" si="60"/>
        <v>45448</v>
      </c>
      <c r="Y171" s="383">
        <f t="shared" si="61"/>
        <v>45.865580552097825</v>
      </c>
      <c r="Z171" s="383">
        <f t="shared" si="62"/>
        <v>47.627599956314562</v>
      </c>
      <c r="AA171" s="384">
        <f t="shared" si="63"/>
        <v>50.848929841187768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6.33509868336289E-2</v>
      </c>
      <c r="AD171" s="230">
        <f>(INDEX(Models!$BJ171:$BT171,,AH171)*(1-AF171)+INDEX(Models!$BJ171:$BT171,,AH171+1)*AF171-ERP_i)*AE171*Ramure*Pc/MaxiM</f>
        <v>1.9778672072270925E-4</v>
      </c>
      <c r="AE171" s="304">
        <f t="shared" si="65"/>
        <v>0.6</v>
      </c>
      <c r="AF171" s="177">
        <f t="shared" si="66"/>
        <v>0.22830971589889915</v>
      </c>
      <c r="AG171" s="799">
        <f t="shared" si="74"/>
        <v>1</v>
      </c>
      <c r="AH171" s="176">
        <f t="shared" si="67"/>
        <v>7</v>
      </c>
      <c r="AI171" s="224">
        <f t="shared" si="68"/>
        <v>1.2283097158988991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'2023'!Wh/'2023'!Env_an*'2024'!Env_an</f>
        <v>28.396535386699693</v>
      </c>
      <c r="C172" s="829"/>
      <c r="D172" s="391">
        <f t="shared" si="50"/>
        <v>29.488011082045251</v>
      </c>
      <c r="E172" s="383">
        <f t="shared" si="75"/>
        <v>30.849126469441956</v>
      </c>
      <c r="F172" s="383">
        <f t="shared" si="51"/>
        <v>30.850719410127521</v>
      </c>
      <c r="G172" s="110">
        <f t="shared" si="76"/>
        <v>0.48347186018435073</v>
      </c>
      <c r="H172" s="412" t="b">
        <f>Wh_hp&gt;='2023'!Maxi_hp</f>
        <v>0</v>
      </c>
      <c r="I172" s="388">
        <f>IF(H172,Wh_hp,'2023'!Maxi_hp)</f>
        <v>52.613805955532094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3.7014218839945379E-2</v>
      </c>
      <c r="M172" s="832"/>
      <c r="N172" s="832"/>
      <c r="O172" s="48">
        <f>IF(t&lt;Tnet,'2023'!Resal+('2023'!Salim-'2023'!Resal)*(1-EXP(('2023'!Tnet-t)/('2023'!Tau_j))),Resal+(Salim-Resal)*(1-EXP((Tnet-t)/(Tau_j))))*Salcycl</f>
        <v>4.4121683275050887E-2</v>
      </c>
      <c r="P172" s="169">
        <f>(INDEX(Models!$BJ172:$BT172,,T172)*(1-R172)+INDEX(Models!$BJ172:$BT172,,T172+1)*R172-ERP_i)*Q172*Ramure*Pc/MaxiM</f>
        <v>1.9692307633051114E-4</v>
      </c>
      <c r="Q172" s="304">
        <f t="shared" si="53"/>
        <v>0.6</v>
      </c>
      <c r="R172" s="177">
        <f t="shared" si="54"/>
        <v>0.23342885531672519</v>
      </c>
      <c r="S172" s="799">
        <f t="shared" si="55"/>
        <v>1</v>
      </c>
      <c r="T172" s="176">
        <f t="shared" si="56"/>
        <v>7</v>
      </c>
      <c r="U172" s="250">
        <f t="shared" si="57"/>
        <v>1.2334288553167252</v>
      </c>
      <c r="V172" s="382">
        <f t="shared" si="58"/>
        <v>58.726084805649059</v>
      </c>
      <c r="W172" s="400">
        <f t="shared" si="59"/>
        <v>28.396535386699693</v>
      </c>
      <c r="X172" s="157">
        <f t="shared" si="60"/>
        <v>45449</v>
      </c>
      <c r="Y172" s="383">
        <f t="shared" si="61"/>
        <v>27.822565156786741</v>
      </c>
      <c r="Z172" s="383">
        <f t="shared" si="62"/>
        <v>28.891979197523007</v>
      </c>
      <c r="AA172" s="384">
        <f t="shared" si="63"/>
        <v>30.849126469441956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6.3442550759342589E-2</v>
      </c>
      <c r="AD172" s="230">
        <f>(INDEX(Models!$BJ172:$BT172,,AH172)*(1-AF172)+INDEX(Models!$BJ172:$BT172,,AH172+1)*AF172-ERP_i)*AE172*Ramure*Pc/MaxiM</f>
        <v>1.9692307633051114E-4</v>
      </c>
      <c r="AE172" s="304">
        <f t="shared" si="65"/>
        <v>0.6</v>
      </c>
      <c r="AF172" s="177">
        <f t="shared" si="66"/>
        <v>0.23342885531672519</v>
      </c>
      <c r="AG172" s="799">
        <f t="shared" si="74"/>
        <v>1</v>
      </c>
      <c r="AH172" s="176">
        <f t="shared" si="67"/>
        <v>7</v>
      </c>
      <c r="AI172" s="224">
        <f t="shared" si="68"/>
        <v>1.2334288553167252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'2023'!Wh/'2023'!Env_an*'2024'!Env_an</f>
        <v>21.170360252195952</v>
      </c>
      <c r="C173" s="829"/>
      <c r="D173" s="391">
        <f t="shared" si="50"/>
        <v>21.984505274411219</v>
      </c>
      <c r="E173" s="383">
        <f t="shared" si="75"/>
        <v>23.00165113260001</v>
      </c>
      <c r="F173" s="383">
        <f t="shared" si="51"/>
        <v>23.002042708405824</v>
      </c>
      <c r="G173" s="110">
        <f t="shared" si="76"/>
        <v>0.36069042364287196</v>
      </c>
      <c r="H173" s="412" t="b">
        <f>Wh_hp&gt;='2023'!Maxi_hp</f>
        <v>0</v>
      </c>
      <c r="I173" s="388">
        <f>IF(H173,Wh_hp,'2023'!Maxi_hp)</f>
        <v>63.747853574878313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3.703267424274892E-2</v>
      </c>
      <c r="M173" s="832"/>
      <c r="N173" s="832"/>
      <c r="O173" s="48">
        <f>IF(t&lt;Tnet,'2023'!Resal+('2023'!Salim-'2023'!Resal)*(1-EXP(('2023'!Tnet-t)/('2023'!Tau_j))),Resal+(Salim-Resal)*(1-EXP((Tnet-t)/(Tau_j))))*Salcycl</f>
        <v>4.4220558442745903E-2</v>
      </c>
      <c r="P173" s="169">
        <f>(INDEX(Models!$BJ173:$BT173,,T173)*(1-R173)+INDEX(Models!$BJ173:$BT173,,T173+1)*R173-ERP_i)*Q173*Ramure*Pc/MaxiM</f>
        <v>1.9613954396936466E-4</v>
      </c>
      <c r="Q173" s="304">
        <f t="shared" si="53"/>
        <v>0.6</v>
      </c>
      <c r="R173" s="177">
        <f t="shared" si="54"/>
        <v>0.23856096126999171</v>
      </c>
      <c r="S173" s="799">
        <f t="shared" si="55"/>
        <v>1</v>
      </c>
      <c r="T173" s="176">
        <f t="shared" si="56"/>
        <v>7</v>
      </c>
      <c r="U173" s="250">
        <f t="shared" si="57"/>
        <v>1.2385609612699917</v>
      </c>
      <c r="V173" s="382">
        <f t="shared" si="58"/>
        <v>58.683477157995341</v>
      </c>
      <c r="W173" s="400">
        <f t="shared" si="59"/>
        <v>21.170360252195952</v>
      </c>
      <c r="X173" s="157">
        <f t="shared" si="60"/>
        <v>45450</v>
      </c>
      <c r="Y173" s="383">
        <f t="shared" si="61"/>
        <v>20.742583077979454</v>
      </c>
      <c r="Z173" s="383">
        <f t="shared" si="62"/>
        <v>21.540277144572954</v>
      </c>
      <c r="AA173" s="384">
        <f t="shared" si="63"/>
        <v>23.00165113260001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6.3533438517196922E-2</v>
      </c>
      <c r="AD173" s="230">
        <f>(INDEX(Models!$BJ173:$BT173,,AH173)*(1-AF173)+INDEX(Models!$BJ173:$BT173,,AH173+1)*AF173-ERP_i)*AE173*Ramure*Pc/MaxiM</f>
        <v>1.9613954396936466E-4</v>
      </c>
      <c r="AE173" s="304">
        <f t="shared" si="65"/>
        <v>0.6</v>
      </c>
      <c r="AF173" s="177">
        <f t="shared" si="66"/>
        <v>0.23856096126999171</v>
      </c>
      <c r="AG173" s="799">
        <f t="shared" si="74"/>
        <v>1</v>
      </c>
      <c r="AH173" s="176">
        <f t="shared" si="67"/>
        <v>7</v>
      </c>
      <c r="AI173" s="224">
        <f t="shared" si="68"/>
        <v>1.2385609612699917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'2023'!Wh/'2023'!Env_an*'2024'!Env_an</f>
        <v>46.123767733857335</v>
      </c>
      <c r="C174" s="829"/>
      <c r="D174" s="391">
        <f t="shared" si="50"/>
        <v>47.898459759279298</v>
      </c>
      <c r="E174" s="383">
        <f t="shared" si="75"/>
        <v>50.119712177512689</v>
      </c>
      <c r="F174" s="383">
        <f t="shared" si="51"/>
        <v>50.126521616514289</v>
      </c>
      <c r="G174" s="110">
        <f t="shared" si="76"/>
        <v>0.78650904204558048</v>
      </c>
      <c r="H174" s="412" t="b">
        <f>Wh_hp&gt;='2023'!Maxi_hp</f>
        <v>0</v>
      </c>
      <c r="I174" s="388">
        <f>IF(H174,Wh_hp,'2023'!Maxi_hp)</f>
        <v>60.451525350346095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3.7051129291858942E-2</v>
      </c>
      <c r="M174" s="832"/>
      <c r="N174" s="832"/>
      <c r="O174" s="48">
        <f>IF(t&lt;Tnet,'2023'!Resal+('2023'!Salim-'2023'!Resal)*(1-EXP(('2023'!Tnet-t)/('2023'!Tau_j))),Resal+(Salim-Resal)*(1-EXP((Tnet-t)/(Tau_j))))*Salcycl</f>
        <v>4.4318938033127891E-2</v>
      </c>
      <c r="P174" s="169">
        <f>(INDEX(Models!$BJ174:$BT174,,T174)*(1-R174)+INDEX(Models!$BJ174:$BT174,,T174+1)*R174-ERP_i)*Q174*Ramure*Pc/MaxiM</f>
        <v>1.9543801468809106E-4</v>
      </c>
      <c r="Q174" s="304">
        <f t="shared" si="53"/>
        <v>0.6</v>
      </c>
      <c r="R174" s="177">
        <f t="shared" si="54"/>
        <v>0.24370173591429745</v>
      </c>
      <c r="S174" s="799">
        <f t="shared" si="55"/>
        <v>1</v>
      </c>
      <c r="T174" s="176">
        <f t="shared" si="56"/>
        <v>7</v>
      </c>
      <c r="U174" s="250">
        <f t="shared" si="57"/>
        <v>1.2437017359142974</v>
      </c>
      <c r="V174" s="382">
        <f t="shared" si="58"/>
        <v>58.640163357351369</v>
      </c>
      <c r="W174" s="400">
        <f t="shared" si="59"/>
        <v>46.123767733857335</v>
      </c>
      <c r="X174" s="157">
        <f t="shared" si="60"/>
        <v>45451</v>
      </c>
      <c r="Y174" s="383">
        <f t="shared" si="61"/>
        <v>45.19207201142806</v>
      </c>
      <c r="Z174" s="383">
        <f t="shared" si="62"/>
        <v>46.930915426687555</v>
      </c>
      <c r="AA174" s="384">
        <f t="shared" si="63"/>
        <v>50.119712177512689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6.3623604611517615E-2</v>
      </c>
      <c r="AD174" s="230">
        <f>(INDEX(Models!$BJ174:$BT174,,AH174)*(1-AF174)+INDEX(Models!$BJ174:$BT174,,AH174+1)*AF174-ERP_i)*AE174*Ramure*Pc/MaxiM</f>
        <v>1.9543801468809106E-4</v>
      </c>
      <c r="AE174" s="304">
        <f t="shared" si="65"/>
        <v>0.6</v>
      </c>
      <c r="AF174" s="177">
        <f t="shared" si="66"/>
        <v>0.24370173591429745</v>
      </c>
      <c r="AG174" s="799">
        <f t="shared" si="74"/>
        <v>1</v>
      </c>
      <c r="AH174" s="176">
        <f t="shared" si="67"/>
        <v>7</v>
      </c>
      <c r="AI174" s="224">
        <f t="shared" si="68"/>
        <v>1.2437017359142974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'2023'!Wh/'2023'!Env_an*'2024'!Env_an</f>
        <v>57.540442627520619</v>
      </c>
      <c r="C175" s="829"/>
      <c r="D175" s="391">
        <f t="shared" si="50"/>
        <v>59.755556238199304</v>
      </c>
      <c r="E175" s="383">
        <f t="shared" si="75"/>
        <v>62.533074712107314</v>
      </c>
      <c r="F175" s="383">
        <f t="shared" si="51"/>
        <v>62.544946012323805</v>
      </c>
      <c r="G175" s="110">
        <f t="shared" si="76"/>
        <v>0.98197171245413128</v>
      </c>
      <c r="H175" s="412" t="b">
        <f>Wh_hp&gt;='2023'!Maxi_hp</f>
        <v>0</v>
      </c>
      <c r="I175" s="388">
        <f>IF(H175,Wh_hp,'2023'!Maxi_hp)</f>
        <v>62.54511086114735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3.7069583987282106E-2</v>
      </c>
      <c r="M175" s="832"/>
      <c r="N175" s="832"/>
      <c r="O175" s="48">
        <f>IF(t&lt;Tnet,'2023'!Resal+('2023'!Salim-'2023'!Resal)*(1-EXP(('2023'!Tnet-t)/('2023'!Tau_j))),Resal+(Salim-Resal)*(1-EXP((Tnet-t)/(Tau_j))))*Salcycl</f>
        <v>4.4416790421633344E-2</v>
      </c>
      <c r="P175" s="169">
        <f>(INDEX(Models!$BJ175:$BT175,,T175)*(1-R175)+INDEX(Models!$BJ175:$BT175,,T175+1)*R175-ERP_i)*Q175*Ramure*Pc/MaxiM</f>
        <v>1.9482047946090255E-4</v>
      </c>
      <c r="Q175" s="304">
        <f t="shared" si="53"/>
        <v>0.6</v>
      </c>
      <c r="R175" s="177">
        <f t="shared" si="54"/>
        <v>0.24884685222530911</v>
      </c>
      <c r="S175" s="799">
        <f t="shared" si="55"/>
        <v>1</v>
      </c>
      <c r="T175" s="176">
        <f t="shared" si="56"/>
        <v>7</v>
      </c>
      <c r="U175" s="250">
        <f t="shared" si="57"/>
        <v>1.2488468522253091</v>
      </c>
      <c r="V175" s="382">
        <f t="shared" si="58"/>
        <v>58.596549381463177</v>
      </c>
      <c r="W175" s="400">
        <f t="shared" si="59"/>
        <v>57.540442627520619</v>
      </c>
      <c r="X175" s="157">
        <f t="shared" si="60"/>
        <v>45452</v>
      </c>
      <c r="Y175" s="383">
        <f t="shared" si="61"/>
        <v>56.378521044553906</v>
      </c>
      <c r="Z175" s="383">
        <f t="shared" si="62"/>
        <v>58.548904580255034</v>
      </c>
      <c r="AA175" s="384">
        <f t="shared" si="63"/>
        <v>62.533074712107314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6.3713005480616328E-2</v>
      </c>
      <c r="AD175" s="230">
        <f>(INDEX(Models!$BJ175:$BT175,,AH175)*(1-AF175)+INDEX(Models!$BJ175:$BT175,,AH175+1)*AF175-ERP_i)*AE175*Ramure*Pc/MaxiM</f>
        <v>1.9482047946090255E-4</v>
      </c>
      <c r="AE175" s="304">
        <f t="shared" si="65"/>
        <v>0.6</v>
      </c>
      <c r="AF175" s="177">
        <f t="shared" si="66"/>
        <v>0.24884685222530911</v>
      </c>
      <c r="AG175" s="799">
        <f t="shared" si="74"/>
        <v>1</v>
      </c>
      <c r="AH175" s="176">
        <f t="shared" si="67"/>
        <v>7</v>
      </c>
      <c r="AI175" s="224">
        <f t="shared" si="68"/>
        <v>1.2488468522253091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'2023'!Wh/'2023'!Env_an*'2024'!Env_an</f>
        <v>55.605307237768564</v>
      </c>
      <c r="C176" s="829"/>
      <c r="D176" s="391">
        <f t="shared" si="50"/>
        <v>57.747031349859583</v>
      </c>
      <c r="E176" s="383">
        <f t="shared" si="75"/>
        <v>60.437344460260803</v>
      </c>
      <c r="F176" s="383">
        <f t="shared" si="51"/>
        <v>60.44824424800693</v>
      </c>
      <c r="G176" s="110">
        <f t="shared" si="76"/>
        <v>0.94964376324041888</v>
      </c>
      <c r="H176" s="412" t="b">
        <f>Wh_hp&gt;='2023'!Maxi_hp</f>
        <v>0</v>
      </c>
      <c r="I176" s="388">
        <f>IF(H176,Wh_hp,'2023'!Maxi_hp)</f>
        <v>60.448688456997267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3.7088038329025297E-2</v>
      </c>
      <c r="M176" s="832"/>
      <c r="N176" s="832"/>
      <c r="O176" s="48">
        <f>IF(t&lt;Tnet,'2023'!Resal+('2023'!Salim-'2023'!Resal)*(1-EXP(('2023'!Tnet-t)/('2023'!Tau_j))),Resal+(Salim-Resal)*(1-EXP((Tnet-t)/(Tau_j))))*Salcycl</f>
        <v>4.4514085362737432E-2</v>
      </c>
      <c r="P176" s="169">
        <f>(INDEX(Models!$BJ176:$BT176,,T176)*(1-R176)+INDEX(Models!$BJ176:$BT176,,T176+1)*R176-ERP_i)*Q176*Ramure*Pc/MaxiM</f>
        <v>1.9428901390340867E-4</v>
      </c>
      <c r="Q176" s="304">
        <f t="shared" si="53"/>
        <v>0.6</v>
      </c>
      <c r="R176" s="177">
        <f t="shared" si="54"/>
        <v>0.25399196853632056</v>
      </c>
      <c r="S176" s="799">
        <f t="shared" si="55"/>
        <v>1</v>
      </c>
      <c r="T176" s="176">
        <f t="shared" si="56"/>
        <v>7</v>
      </c>
      <c r="U176" s="250">
        <f t="shared" si="57"/>
        <v>1.2539919685363206</v>
      </c>
      <c r="V176" s="382">
        <f t="shared" si="58"/>
        <v>58.553040917301942</v>
      </c>
      <c r="W176" s="400">
        <f t="shared" si="59"/>
        <v>55.605307237768564</v>
      </c>
      <c r="X176" s="157">
        <f t="shared" si="60"/>
        <v>45453</v>
      </c>
      <c r="Y176" s="383">
        <f t="shared" si="61"/>
        <v>54.482854104322556</v>
      </c>
      <c r="Z176" s="383">
        <f t="shared" si="62"/>
        <v>56.581345203954641</v>
      </c>
      <c r="AA176" s="384">
        <f t="shared" si="63"/>
        <v>60.437344460260803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6.3801599668919753E-2</v>
      </c>
      <c r="AD176" s="230">
        <f>(INDEX(Models!$BJ176:$BT176,,AH176)*(1-AF176)+INDEX(Models!$BJ176:$BT176,,AH176+1)*AF176-ERP_i)*AE176*Ramure*Pc/MaxiM</f>
        <v>1.9428901390340867E-4</v>
      </c>
      <c r="AE176" s="304">
        <f t="shared" si="65"/>
        <v>0.6</v>
      </c>
      <c r="AF176" s="177">
        <f t="shared" si="66"/>
        <v>0.25399196853632056</v>
      </c>
      <c r="AG176" s="799">
        <f t="shared" si="74"/>
        <v>1</v>
      </c>
      <c r="AH176" s="176">
        <f t="shared" si="67"/>
        <v>7</v>
      </c>
      <c r="AI176" s="224">
        <f t="shared" si="68"/>
        <v>1.2539919685363206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'2023'!Wh/'2023'!Env_an*'2024'!Env_an</f>
        <v>43.163539895096527</v>
      </c>
      <c r="C177" s="829"/>
      <c r="D177" s="391">
        <f t="shared" si="50"/>
        <v>44.826909259119155</v>
      </c>
      <c r="E177" s="383">
        <f t="shared" si="75"/>
        <v>46.920049946924237</v>
      </c>
      <c r="F177" s="383">
        <f t="shared" si="51"/>
        <v>46.925738182897042</v>
      </c>
      <c r="G177" s="110">
        <f t="shared" si="76"/>
        <v>0.7376707810445744</v>
      </c>
      <c r="H177" s="412" t="b">
        <f>Wh_hp&gt;='2023'!Maxi_hp</f>
        <v>0</v>
      </c>
      <c r="I177" s="388">
        <f>IF(H177,Wh_hp,'2023'!Maxi_hp)</f>
        <v>56.41651381708197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3.7106492317095174E-2</v>
      </c>
      <c r="M177" s="832"/>
      <c r="N177" s="832"/>
      <c r="O177" s="48">
        <f>IF(t&lt;Tnet,'2023'!Resal+('2023'!Salim-'2023'!Resal)*(1-EXP(('2023'!Tnet-t)/('2023'!Tau_j))),Resal+(Salim-Resal)*(1-EXP((Tnet-t)/(Tau_j))))*Salcycl</f>
        <v>4.4610794109827948E-2</v>
      </c>
      <c r="P177" s="169">
        <f>(INDEX(Models!$BJ177:$BT177,,T177)*(1-R177)+INDEX(Models!$BJ177:$BT177,,T177+1)*R177-ERP_i)*Q177*Ramure*Pc/MaxiM</f>
        <v>1.9384910741172934E-4</v>
      </c>
      <c r="Q177" s="304">
        <f t="shared" si="53"/>
        <v>0.6</v>
      </c>
      <c r="R177" s="177">
        <f t="shared" si="54"/>
        <v>0.25913274318062651</v>
      </c>
      <c r="S177" s="799">
        <f t="shared" si="55"/>
        <v>1</v>
      </c>
      <c r="T177" s="176">
        <f t="shared" si="56"/>
        <v>7</v>
      </c>
      <c r="U177" s="250">
        <f t="shared" si="57"/>
        <v>1.2591327431806265</v>
      </c>
      <c r="V177" s="382">
        <f t="shared" si="58"/>
        <v>58.509033570105835</v>
      </c>
      <c r="W177" s="400">
        <f t="shared" si="59"/>
        <v>43.163539895096527</v>
      </c>
      <c r="X177" s="157">
        <f t="shared" si="60"/>
        <v>45454</v>
      </c>
      <c r="Y177" s="383">
        <f t="shared" si="61"/>
        <v>42.292553888167802</v>
      </c>
      <c r="Z177" s="383">
        <f t="shared" si="62"/>
        <v>43.922358548184718</v>
      </c>
      <c r="AA177" s="384">
        <f t="shared" si="63"/>
        <v>46.920049946924237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6.3889347989409609E-2</v>
      </c>
      <c r="AD177" s="230">
        <f>(INDEX(Models!$BJ177:$BT177,,AH177)*(1-AF177)+INDEX(Models!$BJ177:$BT177,,AH177+1)*AF177-ERP_i)*AE177*Ramure*Pc/MaxiM</f>
        <v>1.9384910741172934E-4</v>
      </c>
      <c r="AE177" s="304">
        <f t="shared" si="65"/>
        <v>0.6</v>
      </c>
      <c r="AF177" s="177">
        <f t="shared" si="66"/>
        <v>0.25913274318062651</v>
      </c>
      <c r="AG177" s="799">
        <f t="shared" si="74"/>
        <v>1</v>
      </c>
      <c r="AH177" s="176">
        <f t="shared" si="67"/>
        <v>7</v>
      </c>
      <c r="AI177" s="224">
        <f t="shared" si="68"/>
        <v>1.2591327431806265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'2023'!Wh/'2023'!Env_an*'2024'!Env_an</f>
        <v>54.281837692363162</v>
      </c>
      <c r="C178" s="829"/>
      <c r="D178" s="391">
        <f t="shared" si="50"/>
        <v>56.37474713269382</v>
      </c>
      <c r="E178" s="383">
        <f t="shared" si="75"/>
        <v>59.013036433223839</v>
      </c>
      <c r="F178" s="383">
        <f t="shared" si="51"/>
        <v>59.023296023428159</v>
      </c>
      <c r="G178" s="110">
        <f t="shared" si="76"/>
        <v>0.92845324212699465</v>
      </c>
      <c r="H178" s="412" t="b">
        <f>Wh_hp&gt;='2023'!Maxi_hp</f>
        <v>0</v>
      </c>
      <c r="I178" s="388">
        <f>IF(H178,Wh_hp,'2023'!Maxi_hp)</f>
        <v>64.279104061315721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3.7124945951498622E-2</v>
      </c>
      <c r="M178" s="832"/>
      <c r="N178" s="832"/>
      <c r="O178" s="48">
        <f>IF(t&lt;Tnet,'2023'!Resal+('2023'!Salim-'2023'!Resal)*(1-EXP(('2023'!Tnet-t)/('2023'!Tau_j))),Resal+(Salim-Resal)*(1-EXP((Tnet-t)/(Tau_j))))*Salcycl</f>
        <v>4.4706889527966837E-2</v>
      </c>
      <c r="P178" s="169">
        <f>(INDEX(Models!$BJ178:$BT178,,T178)*(1-R178)+INDEX(Models!$BJ178:$BT178,,T178+1)*R178-ERP_i)*Q178*Ramure*Pc/MaxiM</f>
        <v>1.9360605232878587E-4</v>
      </c>
      <c r="Q178" s="304">
        <f t="shared" si="53"/>
        <v>0.6</v>
      </c>
      <c r="R178" s="177">
        <f t="shared" si="54"/>
        <v>0.26426484913389303</v>
      </c>
      <c r="S178" s="799">
        <f t="shared" si="55"/>
        <v>1</v>
      </c>
      <c r="T178" s="176">
        <f t="shared" si="56"/>
        <v>7</v>
      </c>
      <c r="U178" s="250">
        <f t="shared" si="57"/>
        <v>1.264264849133893</v>
      </c>
      <c r="V178" s="382">
        <f t="shared" si="58"/>
        <v>58.463648105744959</v>
      </c>
      <c r="W178" s="400">
        <f t="shared" si="59"/>
        <v>54.281837692363162</v>
      </c>
      <c r="X178" s="157">
        <f t="shared" si="60"/>
        <v>45455</v>
      </c>
      <c r="Y178" s="383">
        <f t="shared" si="61"/>
        <v>53.186912674758865</v>
      </c>
      <c r="Z178" s="383">
        <f t="shared" si="62"/>
        <v>55.237605804750409</v>
      </c>
      <c r="AA178" s="384">
        <f t="shared" si="63"/>
        <v>59.013036433223839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6.3976213675185384E-2</v>
      </c>
      <c r="AD178" s="230">
        <f>(INDEX(Models!$BJ178:$BT178,,AH178)*(1-AF178)+INDEX(Models!$BJ178:$BT178,,AH178+1)*AF178-ERP_i)*AE178*Ramure*Pc/MaxiM</f>
        <v>1.9360605232878587E-4</v>
      </c>
      <c r="AE178" s="304">
        <f t="shared" si="65"/>
        <v>0.6</v>
      </c>
      <c r="AF178" s="177">
        <f t="shared" si="66"/>
        <v>0.26426484913389303</v>
      </c>
      <c r="AG178" s="799">
        <f t="shared" si="74"/>
        <v>1</v>
      </c>
      <c r="AH178" s="176">
        <f t="shared" si="67"/>
        <v>7</v>
      </c>
      <c r="AI178" s="224">
        <f t="shared" si="68"/>
        <v>1.264264849133893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'2023'!Wh/'2023'!Env_an*'2024'!Env_an</f>
        <v>48.254678334905321</v>
      </c>
      <c r="C179" s="829"/>
      <c r="D179" s="391">
        <f t="shared" si="50"/>
        <v>50.116162984631622</v>
      </c>
      <c r="E179" s="383">
        <f t="shared" si="75"/>
        <v>52.466798662235021</v>
      </c>
      <c r="F179" s="383">
        <f t="shared" si="51"/>
        <v>52.474430569490607</v>
      </c>
      <c r="G179" s="110">
        <f t="shared" si="76"/>
        <v>0.82600013241442527</v>
      </c>
      <c r="H179" s="412" t="b">
        <f>Wh_hp&gt;='2023'!Maxi_hp</f>
        <v>0</v>
      </c>
      <c r="I179" s="388">
        <f>IF(H179,Wh_hp,'2023'!Maxi_hp)</f>
        <v>56.161235442538548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3.7143399232242413E-2</v>
      </c>
      <c r="M179" s="832"/>
      <c r="N179" s="832"/>
      <c r="O179" s="48">
        <f>IF(t&lt;Tnet,'2023'!Resal+('2023'!Salim-'2023'!Resal)*(1-EXP(('2023'!Tnet-t)/('2023'!Tau_j))),Resal+(Salim-Resal)*(1-EXP((Tnet-t)/(Tau_j))))*Salcycl</f>
        <v>4.4802346198708737E-2</v>
      </c>
      <c r="P179" s="169">
        <f>(INDEX(Models!$BJ179:$BT179,,T179)*(1-R179)+INDEX(Models!$BJ179:$BT179,,T179+1)*R179-ERP_i)*Q179*Ramure*Pc/MaxiM</f>
        <v>1.9353732291548515E-4</v>
      </c>
      <c r="Q179" s="304">
        <f t="shared" si="53"/>
        <v>0.6</v>
      </c>
      <c r="R179" s="177">
        <f t="shared" si="54"/>
        <v>0.26938398855171886</v>
      </c>
      <c r="S179" s="799">
        <f t="shared" si="55"/>
        <v>1</v>
      </c>
      <c r="T179" s="176">
        <f t="shared" si="56"/>
        <v>7</v>
      </c>
      <c r="U179" s="250">
        <f t="shared" si="57"/>
        <v>1.2693839885517189</v>
      </c>
      <c r="V179" s="382">
        <f t="shared" si="58"/>
        <v>58.416887851326855</v>
      </c>
      <c r="W179" s="400">
        <f t="shared" si="59"/>
        <v>48.254678334905321</v>
      </c>
      <c r="X179" s="157">
        <f t="shared" si="60"/>
        <v>45456</v>
      </c>
      <c r="Y179" s="383">
        <f t="shared" si="61"/>
        <v>47.281710868300017</v>
      </c>
      <c r="Z179" s="383">
        <f t="shared" si="62"/>
        <v>49.105662079481796</v>
      </c>
      <c r="AA179" s="384">
        <f t="shared" si="63"/>
        <v>52.466798662235021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6.4062162519028035E-2</v>
      </c>
      <c r="AD179" s="230">
        <f>(INDEX(Models!$BJ179:$BT179,,AH179)*(1-AF179)+INDEX(Models!$BJ179:$BT179,,AH179+1)*AF179-ERP_i)*AE179*Ramure*Pc/MaxiM</f>
        <v>1.9353732291548515E-4</v>
      </c>
      <c r="AE179" s="304">
        <f t="shared" si="65"/>
        <v>0.6</v>
      </c>
      <c r="AF179" s="177">
        <f t="shared" si="66"/>
        <v>0.26938398855171886</v>
      </c>
      <c r="AG179" s="799">
        <f t="shared" si="74"/>
        <v>1</v>
      </c>
      <c r="AH179" s="176">
        <f t="shared" si="67"/>
        <v>7</v>
      </c>
      <c r="AI179" s="224">
        <f t="shared" si="68"/>
        <v>1.2693839885517189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'2023'!Wh/'2023'!Env_an*'2024'!Env_an</f>
        <v>54.398758223032473</v>
      </c>
      <c r="C180" s="829"/>
      <c r="D180" s="391">
        <f t="shared" si="50"/>
        <v>56.498341226956178</v>
      </c>
      <c r="E180" s="383">
        <f t="shared" si="75"/>
        <v>59.154195452300684</v>
      </c>
      <c r="F180" s="383">
        <f t="shared" si="51"/>
        <v>59.164539322626361</v>
      </c>
      <c r="G180" s="110">
        <f t="shared" si="76"/>
        <v>0.93196668408426586</v>
      </c>
      <c r="H180" s="412" t="b">
        <f>Wh_hp&gt;='2023'!Maxi_hp</f>
        <v>0</v>
      </c>
      <c r="I180" s="388">
        <f>IF(H180,Wh_hp,'2023'!Maxi_hp)</f>
        <v>59.165126104140107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3.7161852159333209E-2</v>
      </c>
      <c r="M180" s="832"/>
      <c r="N180" s="832"/>
      <c r="O180" s="48">
        <f>IF(t&lt;Tnet,'2023'!Resal+('2023'!Salim-'2023'!Resal)*(1-EXP(('2023'!Tnet-t)/('2023'!Tau_j))),Resal+(Salim-Resal)*(1-EXP((Tnet-t)/(Tau_j))))*Salcycl</f>
        <v>4.4897140516196657E-2</v>
      </c>
      <c r="P180" s="169">
        <f>(INDEX(Models!$BJ180:$BT180,,T180)*(1-R180)+INDEX(Models!$BJ180:$BT180,,T180+1)*R180-ERP_i)*Q180*Ramure*Pc/MaxiM</f>
        <v>1.9364816384223696E-4</v>
      </c>
      <c r="Q180" s="304">
        <f t="shared" si="53"/>
        <v>0.6</v>
      </c>
      <c r="R180" s="177">
        <f t="shared" si="54"/>
        <v>0.27448590709885901</v>
      </c>
      <c r="S180" s="799">
        <f t="shared" si="55"/>
        <v>1</v>
      </c>
      <c r="T180" s="176">
        <f t="shared" si="56"/>
        <v>7</v>
      </c>
      <c r="U180" s="250">
        <f t="shared" si="57"/>
        <v>1.274485907098859</v>
      </c>
      <c r="V180" s="382">
        <f t="shared" si="58"/>
        <v>58.368754389416395</v>
      </c>
      <c r="W180" s="400">
        <f t="shared" si="59"/>
        <v>54.398758223032473</v>
      </c>
      <c r="X180" s="157">
        <f t="shared" si="60"/>
        <v>45457</v>
      </c>
      <c r="Y180" s="383">
        <f t="shared" si="61"/>
        <v>53.302355559715004</v>
      </c>
      <c r="Z180" s="383">
        <f t="shared" si="62"/>
        <v>55.35962163449264</v>
      </c>
      <c r="AA180" s="384">
        <f t="shared" si="63"/>
        <v>59.154195452300684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6.4147162999923124E-2</v>
      </c>
      <c r="AD180" s="230">
        <f>(INDEX(Models!$BJ180:$BT180,,AH180)*(1-AF180)+INDEX(Models!$BJ180:$BT180,,AH180+1)*AF180-ERP_i)*AE180*Ramure*Pc/MaxiM</f>
        <v>1.9364816384223696E-4</v>
      </c>
      <c r="AE180" s="304">
        <f t="shared" si="65"/>
        <v>0.6</v>
      </c>
      <c r="AF180" s="177">
        <f t="shared" si="66"/>
        <v>0.27448590709885901</v>
      </c>
      <c r="AG180" s="799">
        <f t="shared" si="74"/>
        <v>1</v>
      </c>
      <c r="AH180" s="176">
        <f t="shared" si="67"/>
        <v>7</v>
      </c>
      <c r="AI180" s="224">
        <f t="shared" si="68"/>
        <v>1.274485907098859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'2023'!Wh/'2023'!Env_an*'2024'!Env_an</f>
        <v>52.248095319483305</v>
      </c>
      <c r="C181" s="829"/>
      <c r="D181" s="391">
        <f t="shared" si="50"/>
        <v>54.265710990656778</v>
      </c>
      <c r="E181" s="383">
        <f t="shared" si="75"/>
        <v>56.822213445297315</v>
      </c>
      <c r="F181" s="383">
        <f t="shared" si="51"/>
        <v>56.831596399483459</v>
      </c>
      <c r="G181" s="110">
        <f t="shared" si="76"/>
        <v>0.89587209752222885</v>
      </c>
      <c r="H181" s="412" t="b">
        <f>Wh_hp&gt;='2023'!Maxi_hp</f>
        <v>0</v>
      </c>
      <c r="I181" s="388">
        <f>IF(H181,Wh_hp,'2023'!Maxi_hp)</f>
        <v>63.760579589282713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3.7180304732777891E-2</v>
      </c>
      <c r="M181" s="832"/>
      <c r="N181" s="832"/>
      <c r="O181" s="48">
        <f>IF(t&lt;Tnet,'2023'!Resal+('2023'!Salim-'2023'!Resal)*(1-EXP(('2023'!Tnet-t)/('2023'!Tau_j))),Resal+(Salim-Resal)*(1-EXP((Tnet-t)/(Tau_j))))*Salcycl</f>
        <v>4.4991250773813558E-2</v>
      </c>
      <c r="P181" s="169">
        <f>(INDEX(Models!$BJ181:$BT181,,T181)*(1-R181)+INDEX(Models!$BJ181:$BT181,,T181+1)*R181-ERP_i)*Q181*Ramure*Pc/MaxiM</f>
        <v>1.9394379737943282E-4</v>
      </c>
      <c r="Q181" s="304">
        <f t="shared" si="53"/>
        <v>0.6</v>
      </c>
      <c r="R181" s="177">
        <f t="shared" si="54"/>
        <v>0.2795664079691309</v>
      </c>
      <c r="S181" s="799">
        <f t="shared" si="55"/>
        <v>1</v>
      </c>
      <c r="T181" s="176">
        <f t="shared" si="56"/>
        <v>7</v>
      </c>
      <c r="U181" s="250">
        <f t="shared" si="57"/>
        <v>1.2795664079691309</v>
      </c>
      <c r="V181" s="382">
        <f t="shared" si="58"/>
        <v>58.319249181483123</v>
      </c>
      <c r="W181" s="400">
        <f t="shared" si="59"/>
        <v>52.248095319483305</v>
      </c>
      <c r="X181" s="157">
        <f t="shared" si="60"/>
        <v>45458</v>
      </c>
      <c r="Y181" s="383">
        <f t="shared" si="61"/>
        <v>51.195487172048182</v>
      </c>
      <c r="Z181" s="383">
        <f t="shared" si="62"/>
        <v>53.172455262082401</v>
      </c>
      <c r="AA181" s="384">
        <f t="shared" si="63"/>
        <v>56.822213445297315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6.4231186395590306E-2</v>
      </c>
      <c r="AD181" s="230">
        <f>(INDEX(Models!$BJ181:$BT181,,AH181)*(1-AF181)+INDEX(Models!$BJ181:$BT181,,AH181+1)*AF181-ERP_i)*AE181*Ramure*Pc/MaxiM</f>
        <v>1.9394379737943282E-4</v>
      </c>
      <c r="AE181" s="304">
        <f t="shared" si="65"/>
        <v>0.6</v>
      </c>
      <c r="AF181" s="177">
        <f t="shared" si="66"/>
        <v>0.2795664079691309</v>
      </c>
      <c r="AG181" s="799">
        <f t="shared" si="74"/>
        <v>1</v>
      </c>
      <c r="AH181" s="176">
        <f t="shared" si="67"/>
        <v>7</v>
      </c>
      <c r="AI181" s="224">
        <f t="shared" si="68"/>
        <v>1.2795664079691309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'2023'!Wh/'2023'!Env_an*'2024'!Env_an</f>
        <v>52.38863288044972</v>
      </c>
      <c r="C182" s="829"/>
      <c r="D182" s="391">
        <f t="shared" si="50"/>
        <v>54.412718366078849</v>
      </c>
      <c r="E182" s="383">
        <f t="shared" si="75"/>
        <v>56.981719666217856</v>
      </c>
      <c r="F182" s="383">
        <f t="shared" si="51"/>
        <v>56.991203093586122</v>
      </c>
      <c r="G182" s="110">
        <f t="shared" si="76"/>
        <v>0.8990668710209806</v>
      </c>
      <c r="H182" s="412" t="b">
        <f>Wh_hp&gt;='2023'!Maxi_hp</f>
        <v>0</v>
      </c>
      <c r="I182" s="388">
        <f>IF(H182,Wh_hp,'2023'!Maxi_hp)</f>
        <v>62.238525909161851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3.7198756952583234E-2</v>
      </c>
      <c r="M182" s="832"/>
      <c r="N182" s="832"/>
      <c r="O182" s="48">
        <f>IF(t&lt;Tnet,'2023'!Resal+('2023'!Salim-'2023'!Resal)*(1-EXP(('2023'!Tnet-t)/('2023'!Tau_j))),Resal+(Salim-Resal)*(1-EXP((Tnet-t)/(Tau_j))))*Salcycl</f>
        <v>4.5084657240733753E-2</v>
      </c>
      <c r="P182" s="169">
        <f>(INDEX(Models!$BJ182:$BT182,,T182)*(1-R182)+INDEX(Models!$BJ182:$BT182,,T182+1)*R182-ERP_i)*Q182*Ramure*Pc/MaxiM</f>
        <v>1.9442941201726501E-4</v>
      </c>
      <c r="Q182" s="304">
        <f t="shared" si="53"/>
        <v>0.6</v>
      </c>
      <c r="R182" s="177">
        <f t="shared" si="54"/>
        <v>0.28462136549879058</v>
      </c>
      <c r="S182" s="799">
        <f t="shared" si="55"/>
        <v>1</v>
      </c>
      <c r="T182" s="176">
        <f t="shared" si="56"/>
        <v>7</v>
      </c>
      <c r="U182" s="250">
        <f t="shared" si="57"/>
        <v>1.2846213654987906</v>
      </c>
      <c r="V182" s="382">
        <f t="shared" si="58"/>
        <v>58.268373561377715</v>
      </c>
      <c r="W182" s="400">
        <f t="shared" si="59"/>
        <v>52.38863288044972</v>
      </c>
      <c r="X182" s="157">
        <f t="shared" si="60"/>
        <v>45459</v>
      </c>
      <c r="Y182" s="383">
        <f t="shared" si="61"/>
        <v>51.333659971955456</v>
      </c>
      <c r="Z182" s="383">
        <f t="shared" si="62"/>
        <v>53.316985559217166</v>
      </c>
      <c r="AA182" s="384">
        <f t="shared" si="63"/>
        <v>56.981719666217856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6.4314206880164732E-2</v>
      </c>
      <c r="AD182" s="230">
        <f>(INDEX(Models!$BJ182:$BT182,,AH182)*(1-AF182)+INDEX(Models!$BJ182:$BT182,,AH182+1)*AF182-ERP_i)*AE182*Ramure*Pc/MaxiM</f>
        <v>1.9442941201726501E-4</v>
      </c>
      <c r="AE182" s="304">
        <f t="shared" si="65"/>
        <v>0.6</v>
      </c>
      <c r="AF182" s="177">
        <f t="shared" si="66"/>
        <v>0.28462136549879058</v>
      </c>
      <c r="AG182" s="799">
        <f t="shared" si="74"/>
        <v>1</v>
      </c>
      <c r="AH182" s="176">
        <f t="shared" si="67"/>
        <v>7</v>
      </c>
      <c r="AI182" s="224">
        <f t="shared" si="68"/>
        <v>1.2846213654987906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'2023'!Wh/'2023'!Env_an*'2024'!Env_an</f>
        <v>54.779396559306782</v>
      </c>
      <c r="C183" s="829"/>
      <c r="D183" s="391">
        <f t="shared" si="50"/>
        <v>56.896941928197123</v>
      </c>
      <c r="E183" s="383">
        <f t="shared" si="75"/>
        <v>59.589015263786202</v>
      </c>
      <c r="F183" s="383">
        <f t="shared" si="51"/>
        <v>59.599663081577077</v>
      </c>
      <c r="G183" s="110">
        <f t="shared" si="76"/>
        <v>0.940950492960832</v>
      </c>
      <c r="H183" s="412" t="b">
        <f>Wh_hp&gt;='2023'!Maxi_hp</f>
        <v>0</v>
      </c>
      <c r="I183" s="388">
        <f>IF(H183,Wh_hp,'2023'!Maxi_hp)</f>
        <v>59.600179801280198</v>
      </c>
      <c r="J183" s="85">
        <f>IF(H183,An,'2023'!An_max)</f>
        <v>2022</v>
      </c>
      <c r="K183" s="197">
        <f t="shared" si="52"/>
        <v>45460</v>
      </c>
      <c r="L183" s="147">
        <f>IF(t&lt;Tvie,1-EXP((T0-t)*PertePVj)+'2023'!Pspv,1-EXP((T0-t)*PertePVj)+Pspv)</f>
        <v>3.7217208818755898E-2</v>
      </c>
      <c r="M183" s="832"/>
      <c r="N183" s="832"/>
      <c r="O183" s="48">
        <f>IF(t&lt;Tnet,'2023'!Resal+('2023'!Salim-'2023'!Resal)*(1-EXP(('2023'!Tnet-t)/('2023'!Tau_j))),Resal+(Salim-Resal)*(1-EXP((Tnet-t)/(Tau_j))))*Salcycl</f>
        <v>4.5177342227790129E-2</v>
      </c>
      <c r="P183" s="169">
        <f>(INDEX(Models!$BJ183:$BT183,,T183)*(1-R183)+INDEX(Models!$BJ183:$BT183,,T183+1)*R183-ERP_i)*Q183*Ramure*Pc/MaxiM</f>
        <v>1.9511015206994978E-4</v>
      </c>
      <c r="Q183" s="304">
        <f t="shared" si="53"/>
        <v>0.6</v>
      </c>
      <c r="R183" s="177">
        <f t="shared" si="54"/>
        <v>0.28964673828106258</v>
      </c>
      <c r="S183" s="799">
        <f t="shared" si="55"/>
        <v>1</v>
      </c>
      <c r="T183" s="176">
        <f t="shared" si="56"/>
        <v>7</v>
      </c>
      <c r="U183" s="250">
        <f t="shared" si="57"/>
        <v>1.2896467382810626</v>
      </c>
      <c r="V183" s="382">
        <f t="shared" si="58"/>
        <v>58.216128735236872</v>
      </c>
      <c r="W183" s="400">
        <f t="shared" si="59"/>
        <v>54.779396559306782</v>
      </c>
      <c r="X183" s="157">
        <f t="shared" si="60"/>
        <v>45460</v>
      </c>
      <c r="Y183" s="383">
        <f t="shared" si="61"/>
        <v>53.676786026615396</v>
      </c>
      <c r="Z183" s="383">
        <f t="shared" si="62"/>
        <v>55.751709023339544</v>
      </c>
      <c r="AA183" s="384">
        <f t="shared" si="63"/>
        <v>59.589015263786202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6.4396201606283149E-2</v>
      </c>
      <c r="AD183" s="230">
        <f>(INDEX(Models!$BJ183:$BT183,,AH183)*(1-AF183)+INDEX(Models!$BJ183:$BT183,,AH183+1)*AF183-ERP_i)*AE183*Ramure*Pc/MaxiM</f>
        <v>1.9511015206994978E-4</v>
      </c>
      <c r="AE183" s="304">
        <f t="shared" si="65"/>
        <v>0.6</v>
      </c>
      <c r="AF183" s="177">
        <f t="shared" si="66"/>
        <v>0.28964673828106258</v>
      </c>
      <c r="AG183" s="799">
        <f t="shared" si="74"/>
        <v>1</v>
      </c>
      <c r="AH183" s="176">
        <f t="shared" si="67"/>
        <v>7</v>
      </c>
      <c r="AI183" s="224">
        <f t="shared" si="68"/>
        <v>1.2896467382810626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'2023'!Wh/'2023'!Env_an*'2024'!Env_an</f>
        <v>56.111400048336328</v>
      </c>
      <c r="C184" s="829"/>
      <c r="D184" s="391">
        <f t="shared" si="50"/>
        <v>58.281552126915265</v>
      </c>
      <c r="E184" s="383">
        <f t="shared" si="75"/>
        <v>61.04501669962297</v>
      </c>
      <c r="F184" s="383">
        <f t="shared" si="51"/>
        <v>61.056386377557324</v>
      </c>
      <c r="G184" s="110">
        <f t="shared" si="76"/>
        <v>0.96472531671262174</v>
      </c>
      <c r="H184" s="412" t="b">
        <f>Wh_hp&gt;='2023'!Maxi_hp</f>
        <v>0</v>
      </c>
      <c r="I184" s="388">
        <f>IF(H184,Wh_hp,'2023'!Maxi_hp)</f>
        <v>61.056703983579069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3.7235660331302878E-2</v>
      </c>
      <c r="M184" s="832"/>
      <c r="N184" s="832"/>
      <c r="O184" s="48">
        <f>IF(t&lt;Tnet,'2023'!Resal+('2023'!Salim-'2023'!Resal)*(1-EXP(('2023'!Tnet-t)/('2023'!Tau_j))),Resal+(Salim-Resal)*(1-EXP((Tnet-t)/(Tau_j))))*Salcycl</f>
        <v>4.5269290142151315E-2</v>
      </c>
      <c r="P184" s="169">
        <f>(INDEX(Models!$BJ184:$BT184,,T184)*(1-R184)+INDEX(Models!$BJ184:$BT184,,T184+1)*R184-ERP_i)*Q184*Ramure*Pc/MaxiM</f>
        <v>1.9609506229923342E-4</v>
      </c>
      <c r="Q184" s="304">
        <f t="shared" si="53"/>
        <v>0.6</v>
      </c>
      <c r="R184" s="177">
        <f t="shared" si="54"/>
        <v>0.29463858169547508</v>
      </c>
      <c r="S184" s="799">
        <f t="shared" si="55"/>
        <v>1</v>
      </c>
      <c r="T184" s="176">
        <f t="shared" si="56"/>
        <v>7</v>
      </c>
      <c r="U184" s="250">
        <f t="shared" si="57"/>
        <v>1.2946385816954751</v>
      </c>
      <c r="V184" s="382">
        <f t="shared" si="58"/>
        <v>58.162509728690189</v>
      </c>
      <c r="W184" s="400">
        <f t="shared" si="59"/>
        <v>56.111400048336328</v>
      </c>
      <c r="X184" s="157">
        <f t="shared" si="60"/>
        <v>45461</v>
      </c>
      <c r="Y184" s="383">
        <f t="shared" si="61"/>
        <v>54.982516332031402</v>
      </c>
      <c r="Z184" s="383">
        <f t="shared" si="62"/>
        <v>57.109007954066705</v>
      </c>
      <c r="AA184" s="384">
        <f t="shared" si="63"/>
        <v>61.04501669962297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6.4477150770942057E-2</v>
      </c>
      <c r="AD184" s="230">
        <f>(INDEX(Models!$BJ184:$BT184,,AH184)*(1-AF184)+INDEX(Models!$BJ184:$BT184,,AH184+1)*AF184-ERP_i)*AE184*Ramure*Pc/MaxiM</f>
        <v>1.9609506229923342E-4</v>
      </c>
      <c r="AE184" s="304">
        <f t="shared" si="65"/>
        <v>0.6</v>
      </c>
      <c r="AF184" s="177">
        <f t="shared" si="66"/>
        <v>0.29463858169547508</v>
      </c>
      <c r="AG184" s="799">
        <f t="shared" si="74"/>
        <v>1</v>
      </c>
      <c r="AH184" s="176">
        <f t="shared" si="67"/>
        <v>7</v>
      </c>
      <c r="AI184" s="224">
        <f t="shared" si="68"/>
        <v>1.2946385816954751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'2023'!Wh/'2023'!Env_an*'2024'!Env_an</f>
        <v>31.653991627623576</v>
      </c>
      <c r="C185" s="829"/>
      <c r="D185" s="391">
        <f t="shared" si="50"/>
        <v>32.878864511819074</v>
      </c>
      <c r="E185" s="383">
        <f t="shared" si="75"/>
        <v>34.441131005318177</v>
      </c>
      <c r="F185" s="383">
        <f t="shared" si="51"/>
        <v>34.443506488682317</v>
      </c>
      <c r="G185" s="110">
        <f t="shared" si="76"/>
        <v>0.54467868619952287</v>
      </c>
      <c r="H185" s="412" t="b">
        <f>Wh_hp&gt;='2023'!Maxi_hp</f>
        <v>0</v>
      </c>
      <c r="I185" s="388">
        <f>IF(H185,Wh_hp,'2023'!Maxi_hp)</f>
        <v>56.990075158502776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3.7254111490230724E-2</v>
      </c>
      <c r="M185" s="832"/>
      <c r="N185" s="832"/>
      <c r="O185" s="48">
        <f>IF(t&lt;Tnet,'2023'!Resal+('2023'!Salim-'2023'!Resal)*(1-EXP(('2023'!Tnet-t)/('2023'!Tau_j))),Resal+(Salim-Resal)*(1-EXP((Tnet-t)/(Tau_j))))*Salcycl</f>
        <v>4.5360487530385338E-2</v>
      </c>
      <c r="P185" s="169">
        <f>(INDEX(Models!$BJ185:$BT185,,T185)*(1-R185)+INDEX(Models!$BJ185:$BT185,,T185+1)*R185-ERP_i)*Q185*Ramure*Pc/MaxiM</f>
        <v>1.9725249496774445E-4</v>
      </c>
      <c r="Q185" s="304">
        <f t="shared" si="53"/>
        <v>0.6</v>
      </c>
      <c r="R185" s="177">
        <f t="shared" si="54"/>
        <v>0.29959305977255735</v>
      </c>
      <c r="S185" s="799">
        <f t="shared" si="55"/>
        <v>1</v>
      </c>
      <c r="T185" s="176">
        <f t="shared" si="56"/>
        <v>7</v>
      </c>
      <c r="U185" s="250">
        <f t="shared" si="57"/>
        <v>1.2995930597725573</v>
      </c>
      <c r="V185" s="382">
        <f t="shared" si="58"/>
        <v>58.107525442180346</v>
      </c>
      <c r="W185" s="400">
        <f t="shared" si="59"/>
        <v>31.653991627623576</v>
      </c>
      <c r="X185" s="157">
        <f t="shared" si="60"/>
        <v>45462</v>
      </c>
      <c r="Y185" s="383">
        <f t="shared" si="61"/>
        <v>31.017471318867191</v>
      </c>
      <c r="Z185" s="383">
        <f t="shared" si="62"/>
        <v>32.217713613795866</v>
      </c>
      <c r="AA185" s="384">
        <f t="shared" si="63"/>
        <v>34.441131005318177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6.4557037664616318E-2</v>
      </c>
      <c r="AD185" s="230">
        <f>(INDEX(Models!$BJ185:$BT185,,AH185)*(1-AF185)+INDEX(Models!$BJ185:$BT185,,AH185+1)*AF185-ERP_i)*AE185*Ramure*Pc/MaxiM</f>
        <v>1.9725249496774445E-4</v>
      </c>
      <c r="AE185" s="304">
        <f t="shared" si="65"/>
        <v>0.6</v>
      </c>
      <c r="AF185" s="177">
        <f t="shared" si="66"/>
        <v>0.29959305977255735</v>
      </c>
      <c r="AG185" s="799">
        <f t="shared" si="74"/>
        <v>1</v>
      </c>
      <c r="AH185" s="176">
        <f t="shared" si="67"/>
        <v>7</v>
      </c>
      <c r="AI185" s="224">
        <f t="shared" si="68"/>
        <v>1.2995930597725573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'2023'!Wh/'2023'!Env_an*'2024'!Env_an</f>
        <v>22.780101318489475</v>
      </c>
      <c r="C186" s="829"/>
      <c r="D186" s="391">
        <f t="shared" si="50"/>
        <v>23.662046417630727</v>
      </c>
      <c r="E186" s="383">
        <f t="shared" si="75"/>
        <v>24.788716463603006</v>
      </c>
      <c r="F186" s="383">
        <f t="shared" si="51"/>
        <v>24.789366377286335</v>
      </c>
      <c r="G186" s="110">
        <f t="shared" si="76"/>
        <v>0.3923464762324157</v>
      </c>
      <c r="H186" s="412" t="b">
        <f>Wh_hp&gt;='2023'!Maxi_hp</f>
        <v>0</v>
      </c>
      <c r="I186" s="388">
        <f>IF(H186,Wh_hp,'2023'!Maxi_hp)</f>
        <v>52.195932812822107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3.727256229554643E-2</v>
      </c>
      <c r="M186" s="832"/>
      <c r="N186" s="832"/>
      <c r="O186" s="48">
        <f>IF(t&lt;Tnet,'2023'!Resal+('2023'!Salim-'2023'!Resal)*(1-EXP(('2023'!Tnet-t)/('2023'!Tau_j))),Resal+(Salim-Resal)*(1-EXP((Tnet-t)/(Tau_j))))*Salcycl</f>
        <v>4.5450923109575075E-2</v>
      </c>
      <c r="P186" s="169">
        <f>(INDEX(Models!$BJ186:$BT186,,T186)*(1-R186)+INDEX(Models!$BJ186:$BT186,,T186+1)*R186-ERP_i)*Q186*Ramure*Pc/MaxiM</f>
        <v>1.9858661405742169E-4</v>
      </c>
      <c r="Q186" s="304">
        <f t="shared" si="53"/>
        <v>0.6</v>
      </c>
      <c r="R186" s="177">
        <f t="shared" si="54"/>
        <v>0.30450645632218398</v>
      </c>
      <c r="S186" s="799">
        <f t="shared" si="55"/>
        <v>1</v>
      </c>
      <c r="T186" s="176">
        <f t="shared" si="56"/>
        <v>7</v>
      </c>
      <c r="U186" s="250">
        <f t="shared" si="57"/>
        <v>1.304506456322184</v>
      </c>
      <c r="V186" s="382">
        <f t="shared" si="58"/>
        <v>58.051176722590526</v>
      </c>
      <c r="W186" s="400">
        <f t="shared" si="59"/>
        <v>22.780101318489475</v>
      </c>
      <c r="X186" s="157">
        <f t="shared" si="60"/>
        <v>45463</v>
      </c>
      <c r="Y186" s="383">
        <f t="shared" si="61"/>
        <v>22.322257338130299</v>
      </c>
      <c r="Z186" s="383">
        <f t="shared" si="62"/>
        <v>23.186476736713697</v>
      </c>
      <c r="AA186" s="384">
        <f t="shared" si="63"/>
        <v>24.788716463603006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6.4635848703254076E-2</v>
      </c>
      <c r="AD186" s="230">
        <f>(INDEX(Models!$BJ186:$BT186,,AH186)*(1-AF186)+INDEX(Models!$BJ186:$BT186,,AH186+1)*AF186-ERP_i)*AE186*Ramure*Pc/MaxiM</f>
        <v>1.9858661405742169E-4</v>
      </c>
      <c r="AE186" s="304">
        <f t="shared" si="65"/>
        <v>0.6</v>
      </c>
      <c r="AF186" s="177">
        <f t="shared" si="66"/>
        <v>0.30450645632218398</v>
      </c>
      <c r="AG186" s="799">
        <f t="shared" si="74"/>
        <v>1</v>
      </c>
      <c r="AH186" s="176">
        <f t="shared" si="67"/>
        <v>7</v>
      </c>
      <c r="AI186" s="224">
        <f t="shared" si="68"/>
        <v>1.304506456322184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'2023'!Wh/'2023'!Env_an*'2024'!Env_an</f>
        <v>44.122085483542982</v>
      </c>
      <c r="C187" s="829"/>
      <c r="D187" s="391">
        <f t="shared" si="50"/>
        <v>45.831176469488447</v>
      </c>
      <c r="E187" s="383">
        <f t="shared" si="75"/>
        <v>48.017941761597051</v>
      </c>
      <c r="F187" s="383">
        <f t="shared" si="51"/>
        <v>48.024267865184932</v>
      </c>
      <c r="G187" s="110">
        <f t="shared" si="76"/>
        <v>0.76075931689247278</v>
      </c>
      <c r="H187" s="412" t="b">
        <f>Wh_hp&gt;='2023'!Maxi_hp</f>
        <v>0</v>
      </c>
      <c r="I187" s="388">
        <f>IF(H187,Wh_hp,'2023'!Maxi_hp)</f>
        <v>63.676809848065162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3.7291012747256658E-2</v>
      </c>
      <c r="M187" s="832"/>
      <c r="N187" s="832"/>
      <c r="O187" s="48">
        <f>IF(t&lt;Tnet,'2023'!Resal+('2023'!Salim-'2023'!Resal)*(1-EXP(('2023'!Tnet-t)/('2023'!Tau_j))),Resal+(Salim-Resal)*(1-EXP((Tnet-t)/(Tau_j))))*Salcycl</f>
        <v>4.5540587786240726E-2</v>
      </c>
      <c r="P187" s="169">
        <f>(INDEX(Models!$BJ187:$BT187,,T187)*(1-R187)+INDEX(Models!$BJ187:$BT187,,T187+1)*R187-ERP_i)*Q187*Ramure*Pc/MaxiM</f>
        <v>2.0010153717014333E-4</v>
      </c>
      <c r="Q187" s="304">
        <f t="shared" si="53"/>
        <v>0.6</v>
      </c>
      <c r="R187" s="177">
        <f t="shared" si="54"/>
        <v>0.3093751852622717</v>
      </c>
      <c r="S187" s="799">
        <f t="shared" si="55"/>
        <v>1</v>
      </c>
      <c r="T187" s="176">
        <f t="shared" si="56"/>
        <v>7</v>
      </c>
      <c r="U187" s="250">
        <f t="shared" si="57"/>
        <v>1.3093751852622717</v>
      </c>
      <c r="V187" s="382">
        <f t="shared" si="58"/>
        <v>57.993464278700941</v>
      </c>
      <c r="W187" s="400">
        <f t="shared" si="59"/>
        <v>44.122085483542982</v>
      </c>
      <c r="X187" s="157">
        <f t="shared" si="60"/>
        <v>45464</v>
      </c>
      <c r="Y187" s="383">
        <f t="shared" si="61"/>
        <v>43.235770045408721</v>
      </c>
      <c r="Z187" s="383">
        <f t="shared" si="62"/>
        <v>44.910529160831324</v>
      </c>
      <c r="AA187" s="384">
        <f t="shared" si="63"/>
        <v>48.017941761597051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6.4713573442894162E-2</v>
      </c>
      <c r="AD187" s="230">
        <f>(INDEX(Models!$BJ187:$BT187,,AH187)*(1-AF187)+INDEX(Models!$BJ187:$BT187,,AH187+1)*AF187-ERP_i)*AE187*Ramure*Pc/MaxiM</f>
        <v>2.0010153717014333E-4</v>
      </c>
      <c r="AE187" s="304">
        <f t="shared" si="65"/>
        <v>0.6</v>
      </c>
      <c r="AF187" s="177">
        <f t="shared" si="66"/>
        <v>0.3093751852622717</v>
      </c>
      <c r="AG187" s="799">
        <f t="shared" si="74"/>
        <v>1</v>
      </c>
      <c r="AH187" s="176">
        <f t="shared" si="67"/>
        <v>7</v>
      </c>
      <c r="AI187" s="224">
        <f t="shared" si="68"/>
        <v>1.3093751852622717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'2023'!Wh/'2023'!Env_an*'2024'!Env_an</f>
        <v>41.618438960417812</v>
      </c>
      <c r="C188" s="829"/>
      <c r="D188" s="391">
        <f t="shared" si="50"/>
        <v>43.231378469167254</v>
      </c>
      <c r="E188" s="383">
        <f t="shared" si="75"/>
        <v>45.298316871110522</v>
      </c>
      <c r="F188" s="383">
        <f t="shared" si="51"/>
        <v>45.303780969870758</v>
      </c>
      <c r="G188" s="110">
        <f t="shared" si="76"/>
        <v>0.71831360355934881</v>
      </c>
      <c r="H188" s="412" t="b">
        <f>Wh_hp&gt;='2023'!Maxi_hp</f>
        <v>0</v>
      </c>
      <c r="I188" s="388">
        <f>IF(H188,Wh_hp,'2023'!Maxi_hp)</f>
        <v>54.409239843799597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3.7309462845368069E-2</v>
      </c>
      <c r="M188" s="832"/>
      <c r="N188" s="832"/>
      <c r="O188" s="48">
        <f>IF(t&lt;Tnet,'2023'!Resal+('2023'!Salim-'2023'!Resal)*(1-EXP(('2023'!Tnet-t)/('2023'!Tau_j))),Resal+(Salim-Resal)*(1-EXP((Tnet-t)/(Tau_j))))*Salcycl</f>
        <v>4.5629474662920201E-2</v>
      </c>
      <c r="P188" s="169">
        <f>(INDEX(Models!$BJ188:$BT188,,T188)*(1-R188)+INDEX(Models!$BJ188:$BT188,,T188+1)*R188-ERP_i)*Q188*Ramure*Pc/MaxiM</f>
        <v>2.0179926875428549E-4</v>
      </c>
      <c r="Q188" s="304">
        <f t="shared" si="53"/>
        <v>0.6</v>
      </c>
      <c r="R188" s="177">
        <f t="shared" si="54"/>
        <v>0.31419580009349368</v>
      </c>
      <c r="S188" s="799">
        <f t="shared" si="55"/>
        <v>1</v>
      </c>
      <c r="T188" s="176">
        <f t="shared" si="56"/>
        <v>7</v>
      </c>
      <c r="U188" s="250">
        <f t="shared" si="57"/>
        <v>1.3141958000934937</v>
      </c>
      <c r="V188" s="382">
        <f t="shared" si="58"/>
        <v>57.934388803082825</v>
      </c>
      <c r="W188" s="400">
        <f t="shared" si="59"/>
        <v>41.618438960417812</v>
      </c>
      <c r="X188" s="157">
        <f t="shared" si="60"/>
        <v>45465</v>
      </c>
      <c r="Y188" s="383">
        <f t="shared" si="61"/>
        <v>40.782872849367095</v>
      </c>
      <c r="Z188" s="383">
        <f t="shared" si="62"/>
        <v>42.363429654047131</v>
      </c>
      <c r="AA188" s="384">
        <f t="shared" si="63"/>
        <v>45.298316871110522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6.4790204576787414E-2</v>
      </c>
      <c r="AD188" s="230">
        <f>(INDEX(Models!$BJ188:$BT188,,AH188)*(1-AF188)+INDEX(Models!$BJ188:$BT188,,AH188+1)*AF188-ERP_i)*AE188*Ramure*Pc/MaxiM</f>
        <v>2.0179926875428549E-4</v>
      </c>
      <c r="AE188" s="304">
        <f t="shared" si="65"/>
        <v>0.6</v>
      </c>
      <c r="AF188" s="177">
        <f t="shared" si="66"/>
        <v>0.31419580009349368</v>
      </c>
      <c r="AG188" s="799">
        <f t="shared" si="74"/>
        <v>1</v>
      </c>
      <c r="AH188" s="176">
        <f t="shared" si="67"/>
        <v>7</v>
      </c>
      <c r="AI188" s="224">
        <f t="shared" si="68"/>
        <v>1.3141958000934937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'2023'!Wh/'2023'!Env_an*'2024'!Env_an</f>
        <v>39.255947620985744</v>
      </c>
      <c r="C189" s="829"/>
      <c r="D189" s="391">
        <f t="shared" si="50"/>
        <v>40.778109321312584</v>
      </c>
      <c r="E189" s="383">
        <f t="shared" si="75"/>
        <v>42.731699154599738</v>
      </c>
      <c r="F189" s="383">
        <f t="shared" si="51"/>
        <v>42.736403388872134</v>
      </c>
      <c r="G189" s="110">
        <f t="shared" si="76"/>
        <v>0.67823730779800939</v>
      </c>
      <c r="H189" s="412" t="b">
        <f>Wh_hp&gt;='2023'!Maxi_hp</f>
        <v>0</v>
      </c>
      <c r="I189" s="388">
        <f>IF(H189,Wh_hp,'2023'!Maxi_hp)</f>
        <v>62.441537989908561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3.7327912589887657E-2</v>
      </c>
      <c r="M189" s="832"/>
      <c r="N189" s="832"/>
      <c r="O189" s="48">
        <f>IF(t&lt;Tnet,'2023'!Resal+('2023'!Salim-'2023'!Resal)*(1-EXP(('2023'!Tnet-t)/('2023'!Tau_j))),Resal+(Salim-Resal)*(1-EXP((Tnet-t)/(Tau_j))))*Salcycl</f>
        <v>4.5717579032353198E-2</v>
      </c>
      <c r="P189" s="169">
        <f>(INDEX(Models!$BJ189:$BT189,,T189)*(1-R189)+INDEX(Models!$BJ189:$BT189,,T189+1)*R189-ERP_i)*Q189*Ramure*Pc/MaxiM</f>
        <v>2.0368157424045411E-4</v>
      </c>
      <c r="Q189" s="304">
        <f t="shared" si="53"/>
        <v>0.6</v>
      </c>
      <c r="R189" s="177">
        <f t="shared" si="54"/>
        <v>0.31896500247503612</v>
      </c>
      <c r="S189" s="799">
        <f t="shared" si="55"/>
        <v>1</v>
      </c>
      <c r="T189" s="176">
        <f t="shared" si="56"/>
        <v>7</v>
      </c>
      <c r="U189" s="250">
        <f t="shared" si="57"/>
        <v>1.3189650024750361</v>
      </c>
      <c r="V189" s="382">
        <f t="shared" si="58"/>
        <v>57.873950862097502</v>
      </c>
      <c r="W189" s="400">
        <f t="shared" si="59"/>
        <v>39.255947620985744</v>
      </c>
      <c r="X189" s="157">
        <f t="shared" si="60"/>
        <v>45466</v>
      </c>
      <c r="Y189" s="383">
        <f t="shared" si="61"/>
        <v>38.468257199763478</v>
      </c>
      <c r="Z189" s="383">
        <f t="shared" si="62"/>
        <v>39.959875956573192</v>
      </c>
      <c r="AA189" s="384">
        <f t="shared" si="63"/>
        <v>42.731699154599738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6.4865737915038732E-2</v>
      </c>
      <c r="AD189" s="230">
        <f>(INDEX(Models!$BJ189:$BT189,,AH189)*(1-AF189)+INDEX(Models!$BJ189:$BT189,,AH189+1)*AF189-ERP_i)*AE189*Ramure*Pc/MaxiM</f>
        <v>2.0368157424045411E-4</v>
      </c>
      <c r="AE189" s="304">
        <f t="shared" si="65"/>
        <v>0.6</v>
      </c>
      <c r="AF189" s="177">
        <f t="shared" si="66"/>
        <v>0.31896500247503612</v>
      </c>
      <c r="AG189" s="799">
        <f t="shared" si="74"/>
        <v>1</v>
      </c>
      <c r="AH189" s="176">
        <f t="shared" si="67"/>
        <v>7</v>
      </c>
      <c r="AI189" s="224">
        <f t="shared" si="68"/>
        <v>1.3189650024750361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'2023'!Wh/'2023'!Env_an*'2024'!Env_an</f>
        <v>34.066920733350678</v>
      </c>
      <c r="C190" s="829"/>
      <c r="D190" s="391">
        <f t="shared" si="50"/>
        <v>35.388554499673539</v>
      </c>
      <c r="E190" s="383">
        <f t="shared" si="75"/>
        <v>37.087336163039211</v>
      </c>
      <c r="F190" s="383">
        <f t="shared" si="51"/>
        <v>37.090489795317382</v>
      </c>
      <c r="G190" s="110">
        <f t="shared" si="76"/>
        <v>0.58919806889602055</v>
      </c>
      <c r="H190" s="412" t="b">
        <f>Wh_hp&gt;='2023'!Maxi_hp</f>
        <v>0</v>
      </c>
      <c r="I190" s="388">
        <f>IF(H190,Wh_hp,'2023'!Maxi_hp)</f>
        <v>58.359170518097258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3.7346361980822085E-2</v>
      </c>
      <c r="M190" s="832"/>
      <c r="N190" s="832"/>
      <c r="O190" s="48">
        <f>IF(t&lt;Tnet,'2023'!Resal+('2023'!Salim-'2023'!Resal)*(1-EXP(('2023'!Tnet-t)/('2023'!Tau_j))),Resal+(Salim-Resal)*(1-EXP((Tnet-t)/(Tau_j))))*Salcycl</f>
        <v>4.5804898359312694E-2</v>
      </c>
      <c r="P190" s="169">
        <f>(INDEX(Models!$BJ190:$BT190,,T190)*(1-R190)+INDEX(Models!$BJ190:$BT190,,T190+1)*R190-ERP_i)*Q190*Ramure*Pc/MaxiM</f>
        <v>2.0575211391420258E-4</v>
      </c>
      <c r="Q190" s="304">
        <f t="shared" si="53"/>
        <v>0.6</v>
      </c>
      <c r="R190" s="177">
        <f t="shared" si="54"/>
        <v>0.32367964986601194</v>
      </c>
      <c r="S190" s="799">
        <f t="shared" si="55"/>
        <v>1</v>
      </c>
      <c r="T190" s="176">
        <f t="shared" si="56"/>
        <v>7</v>
      </c>
      <c r="U190" s="250">
        <f t="shared" si="57"/>
        <v>1.3236796498660119</v>
      </c>
      <c r="V190" s="382">
        <f t="shared" si="58"/>
        <v>57.812150774229927</v>
      </c>
      <c r="W190" s="400">
        <f t="shared" si="59"/>
        <v>34.066920733350678</v>
      </c>
      <c r="X190" s="157">
        <f t="shared" si="60"/>
        <v>45467</v>
      </c>
      <c r="Y190" s="383">
        <f t="shared" si="61"/>
        <v>33.383748223843952</v>
      </c>
      <c r="Z190" s="383">
        <f t="shared" si="62"/>
        <v>34.678878160723144</v>
      </c>
      <c r="AA190" s="384">
        <f t="shared" si="63"/>
        <v>37.087336163039211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6.4940172346923716E-2</v>
      </c>
      <c r="AD190" s="230">
        <f>(INDEX(Models!$BJ190:$BT190,,AH190)*(1-AF190)+INDEX(Models!$BJ190:$BT190,,AH190+1)*AF190-ERP_i)*AE190*Ramure*Pc/MaxiM</f>
        <v>2.0575211391420258E-4</v>
      </c>
      <c r="AE190" s="304">
        <f t="shared" si="65"/>
        <v>0.6</v>
      </c>
      <c r="AF190" s="177">
        <f t="shared" si="66"/>
        <v>0.32367964986601194</v>
      </c>
      <c r="AG190" s="799">
        <f t="shared" si="74"/>
        <v>1</v>
      </c>
      <c r="AH190" s="176">
        <f t="shared" si="67"/>
        <v>7</v>
      </c>
      <c r="AI190" s="224">
        <f t="shared" si="68"/>
        <v>1.3236796498660119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'2023'!Wh/'2023'!Env_an*'2024'!Env_an</f>
        <v>12.095061834495272</v>
      </c>
      <c r="C191" s="829"/>
      <c r="D191" s="391">
        <f t="shared" si="50"/>
        <v>12.56453324471569</v>
      </c>
      <c r="E191" s="383">
        <f t="shared" si="75"/>
        <v>13.168871624692162</v>
      </c>
      <c r="F191" s="383">
        <f t="shared" si="51"/>
        <v>13.168871624692162</v>
      </c>
      <c r="G191" s="110">
        <f t="shared" si="76"/>
        <v>0.20939840077978897</v>
      </c>
      <c r="H191" s="412" t="b">
        <f>Wh_hp&gt;='2023'!Maxi_hp</f>
        <v>0</v>
      </c>
      <c r="I191" s="388">
        <f>IF(H191,Wh_hp,'2023'!Maxi_hp)</f>
        <v>60.460509614669505</v>
      </c>
      <c r="J191" s="85">
        <f>IF(H191,An,'2023'!An_max)</f>
        <v>2021</v>
      </c>
      <c r="K191" s="197">
        <f t="shared" si="52"/>
        <v>45468</v>
      </c>
      <c r="L191" s="147">
        <f>IF(t&lt;Tvie,1-EXP((T0-t)*PertePVj)+'2023'!Pspv,1-EXP((T0-t)*PertePVj)+Pspv)</f>
        <v>3.7364811018178123E-2</v>
      </c>
      <c r="M191" s="832"/>
      <c r="N191" s="832"/>
      <c r="O191" s="48">
        <f>IF(t&lt;Tnet,'2023'!Resal+('2023'!Salim-'2023'!Resal)*(1-EXP(('2023'!Tnet-t)/('2023'!Tau_j))),Resal+(Salim-Resal)*(1-EXP((Tnet-t)/(Tau_j))))*Salcycl</f>
        <v>4.5891432250225052E-2</v>
      </c>
      <c r="P191" s="169">
        <f>(INDEX(Models!$BJ191:$BT191,,T191)*(1-R191)+INDEX(Models!$BJ191:$BT191,,T191+1)*R191-ERP_i)*Q191*Ramure*Pc/MaxiM</f>
        <v>2.0801446394526211E-4</v>
      </c>
      <c r="Q191" s="304">
        <f t="shared" si="53"/>
        <v>0.6</v>
      </c>
      <c r="R191" s="177">
        <f t="shared" si="54"/>
        <v>0.32833676220684405</v>
      </c>
      <c r="S191" s="799">
        <f t="shared" si="55"/>
        <v>1</v>
      </c>
      <c r="T191" s="176">
        <f t="shared" si="56"/>
        <v>7</v>
      </c>
      <c r="U191" s="250">
        <f t="shared" si="57"/>
        <v>1.328336762206844</v>
      </c>
      <c r="V191" s="382">
        <f t="shared" si="58"/>
        <v>57.748988729901292</v>
      </c>
      <c r="W191" s="400">
        <f t="shared" si="59"/>
        <v>12.095061834495272</v>
      </c>
      <c r="X191" s="157">
        <f t="shared" si="60"/>
        <v>45468</v>
      </c>
      <c r="Y191" s="383">
        <f t="shared" si="61"/>
        <v>11.852654714363501</v>
      </c>
      <c r="Z191" s="383">
        <f t="shared" si="62"/>
        <v>12.312717060447417</v>
      </c>
      <c r="AA191" s="384">
        <f t="shared" si="63"/>
        <v>13.168871624692162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6.5013509786170348E-2</v>
      </c>
      <c r="AD191" s="230">
        <f>(INDEX(Models!$BJ191:$BT191,,AH191)*(1-AF191)+INDEX(Models!$BJ191:$BT191,,AH191+1)*AF191-ERP_i)*AE191*Ramure*Pc/MaxiM</f>
        <v>2.0801446394526211E-4</v>
      </c>
      <c r="AE191" s="304">
        <f t="shared" si="65"/>
        <v>0.6</v>
      </c>
      <c r="AF191" s="177">
        <f t="shared" si="66"/>
        <v>0.32833676220684405</v>
      </c>
      <c r="AG191" s="799">
        <f t="shared" si="74"/>
        <v>1</v>
      </c>
      <c r="AH191" s="176">
        <f t="shared" si="67"/>
        <v>7</v>
      </c>
      <c r="AI191" s="224">
        <f t="shared" si="68"/>
        <v>1.328336762206844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'2023'!Wh/'2023'!Env_an*'2024'!Env_an</f>
        <v>14.696622372985054</v>
      </c>
      <c r="C192" s="829"/>
      <c r="D192" s="391">
        <f t="shared" si="50"/>
        <v>15.267366292045583</v>
      </c>
      <c r="E192" s="383">
        <f t="shared" si="75"/>
        <v>16.00314584783855</v>
      </c>
      <c r="F192" s="383">
        <f t="shared" si="51"/>
        <v>16.00314584783855</v>
      </c>
      <c r="G192" s="110">
        <f t="shared" si="76"/>
        <v>0.25472246638880663</v>
      </c>
      <c r="H192" s="412" t="b">
        <f>Wh_hp&gt;='2023'!Maxi_hp</f>
        <v>0</v>
      </c>
      <c r="I192" s="388">
        <f>IF(H192,Wh_hp,'2023'!Maxi_hp)</f>
        <v>59.284461981263078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3.7383259701962546E-2</v>
      </c>
      <c r="M192" s="832"/>
      <c r="N192" s="832"/>
      <c r="O192" s="48">
        <f>IF(t&lt;Tnet,'2023'!Resal+('2023'!Salim-'2023'!Resal)*(1-EXP(('2023'!Tnet-t)/('2023'!Tau_j))),Resal+(Salim-Resal)*(1-EXP((Tnet-t)/(Tau_j))))*Salcycl</f>
        <v>4.5977182410816018E-2</v>
      </c>
      <c r="P192" s="169">
        <f>(INDEX(Models!$BJ192:$BT192,,T192)*(1-R192)+INDEX(Models!$BJ192:$BT192,,T192+1)*R192-ERP_i)*Q192*Ramure*Pc/MaxiM</f>
        <v>2.1061800834977411E-4</v>
      </c>
      <c r="Q192" s="304">
        <f t="shared" si="53"/>
        <v>0.6</v>
      </c>
      <c r="R192" s="177">
        <f t="shared" si="54"/>
        <v>0.3329335276245613</v>
      </c>
      <c r="S192" s="799">
        <f t="shared" si="55"/>
        <v>1</v>
      </c>
      <c r="T192" s="176">
        <f t="shared" si="56"/>
        <v>7</v>
      </c>
      <c r="U192" s="250">
        <f t="shared" si="57"/>
        <v>1.3329335276245613</v>
      </c>
      <c r="V192" s="382">
        <f t="shared" si="58"/>
        <v>57.684456373091521</v>
      </c>
      <c r="W192" s="400">
        <f t="shared" si="59"/>
        <v>14.696622372985054</v>
      </c>
      <c r="X192" s="157">
        <f t="shared" si="60"/>
        <v>45469</v>
      </c>
      <c r="Y192" s="383">
        <f t="shared" si="61"/>
        <v>14.402256796274962</v>
      </c>
      <c r="Z192" s="383">
        <f t="shared" si="62"/>
        <v>14.961569016362477</v>
      </c>
      <c r="AA192" s="384">
        <f t="shared" si="63"/>
        <v>16.00314584783855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6.5085755099629494E-2</v>
      </c>
      <c r="AD192" s="230">
        <f>(INDEX(Models!$BJ192:$BT192,,AH192)*(1-AF192)+INDEX(Models!$BJ192:$BT192,,AH192+1)*AF192-ERP_i)*AE192*Ramure*Pc/MaxiM</f>
        <v>2.1061800834977411E-4</v>
      </c>
      <c r="AE192" s="304">
        <f t="shared" si="65"/>
        <v>0.6</v>
      </c>
      <c r="AF192" s="177">
        <f t="shared" si="66"/>
        <v>0.3329335276245613</v>
      </c>
      <c r="AG192" s="799">
        <f t="shared" si="74"/>
        <v>1</v>
      </c>
      <c r="AH192" s="176">
        <f t="shared" si="67"/>
        <v>7</v>
      </c>
      <c r="AI192" s="224">
        <f t="shared" si="68"/>
        <v>1.3329335276245613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'2023'!Wh/'2023'!Env_an*'2024'!Env_an</f>
        <v>58.303470056236357</v>
      </c>
      <c r="C193" s="829"/>
      <c r="D193" s="391">
        <f t="shared" si="50"/>
        <v>60.568848441490481</v>
      </c>
      <c r="E193" s="383">
        <f t="shared" si="75"/>
        <v>63.493495520775234</v>
      </c>
      <c r="F193" s="383">
        <f t="shared" si="51"/>
        <v>63.507051622398635</v>
      </c>
      <c r="G193" s="110">
        <f t="shared" si="76"/>
        <v>1.0118869712014775</v>
      </c>
      <c r="H193" s="412" t="b">
        <f>Wh_hp&gt;='2023'!Maxi_hp</f>
        <v>1</v>
      </c>
      <c r="I193" s="388">
        <f>IF(H193,Wh_hp,'2023'!Maxi_hp)</f>
        <v>63.507051622398635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3.7401708032182235E-2</v>
      </c>
      <c r="M193" s="832"/>
      <c r="N193" s="832"/>
      <c r="O193" s="48">
        <f>IF(t&lt;Tnet,'2023'!Resal+('2023'!Salim-'2023'!Resal)*(1-EXP(('2023'!Tnet-t)/('2023'!Tau_j))),Resal+(Salim-Resal)*(1-EXP((Tnet-t)/(Tau_j))))*Salcycl</f>
        <v>4.6062152592115498E-2</v>
      </c>
      <c r="P193" s="169">
        <f>(INDEX(Models!$BJ193:$BT193,,T193)*(1-R193)+INDEX(Models!$BJ193:$BT193,,T193+1)*R193-ERP_i)*Q193*Ramure*Pc/MaxiM</f>
        <v>2.134582109716438E-4</v>
      </c>
      <c r="Q193" s="304">
        <f t="shared" si="53"/>
        <v>0.6</v>
      </c>
      <c r="R193" s="177">
        <f t="shared" si="54"/>
        <v>0.33746730715539086</v>
      </c>
      <c r="S193" s="799">
        <f t="shared" si="55"/>
        <v>1</v>
      </c>
      <c r="T193" s="176">
        <f t="shared" si="56"/>
        <v>7</v>
      </c>
      <c r="U193" s="250">
        <f t="shared" si="57"/>
        <v>1.3374673071553909</v>
      </c>
      <c r="V193" s="382">
        <f t="shared" si="58"/>
        <v>57.618559894104528</v>
      </c>
      <c r="W193" s="400">
        <f t="shared" si="59"/>
        <v>58.303470056236357</v>
      </c>
      <c r="X193" s="157">
        <f t="shared" si="60"/>
        <v>45470</v>
      </c>
      <c r="Y193" s="383">
        <f t="shared" si="61"/>
        <v>57.136422359400292</v>
      </c>
      <c r="Z193" s="383">
        <f t="shared" si="62"/>
        <v>59.356455165318863</v>
      </c>
      <c r="AA193" s="384">
        <f t="shared" si="63"/>
        <v>63.493495520775234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6.5156916019889349E-2</v>
      </c>
      <c r="AD193" s="230">
        <f>(INDEX(Models!$BJ193:$BT193,,AH193)*(1-AF193)+INDEX(Models!$BJ193:$BT193,,AH193+1)*AF193-ERP_i)*AE193*Ramure*Pc/MaxiM</f>
        <v>2.134582109716438E-4</v>
      </c>
      <c r="AE193" s="304">
        <f t="shared" si="65"/>
        <v>0.6</v>
      </c>
      <c r="AF193" s="177">
        <f t="shared" si="66"/>
        <v>0.33746730715539086</v>
      </c>
      <c r="AG193" s="799">
        <f t="shared" si="74"/>
        <v>1</v>
      </c>
      <c r="AH193" s="176">
        <f t="shared" si="67"/>
        <v>7</v>
      </c>
      <c r="AI193" s="224">
        <f t="shared" si="68"/>
        <v>1.3374673071553909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'2023'!Wh/'2023'!Env_an*'2024'!Env_an</f>
        <v>56.6318102711978</v>
      </c>
      <c r="C194" s="829"/>
      <c r="D194" s="391">
        <f t="shared" si="50"/>
        <v>58.833363927905097</v>
      </c>
      <c r="E194" s="383">
        <f t="shared" si="75"/>
        <v>61.679654774024051</v>
      </c>
      <c r="F194" s="383">
        <f t="shared" si="51"/>
        <v>61.692708744194491</v>
      </c>
      <c r="G194" s="110">
        <f t="shared" si="76"/>
        <v>0.9840182796046808</v>
      </c>
      <c r="H194" s="412" t="b">
        <f>Wh_hp&gt;='2023'!Maxi_hp</f>
        <v>0</v>
      </c>
      <c r="I194" s="388">
        <f>IF(H194,Wh_hp,'2023'!Maxi_hp)</f>
        <v>61.692866587615413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3.7420156008843852E-2</v>
      </c>
      <c r="M194" s="832"/>
      <c r="N194" s="832"/>
      <c r="O194" s="48">
        <f>IF(t&lt;Tnet,'2023'!Resal+('2023'!Salim-'2023'!Resal)*(1-EXP(('2023'!Tnet-t)/('2023'!Tau_j))),Resal+(Salim-Resal)*(1-EXP((Tnet-t)/(Tau_j))))*Salcycl</f>
        <v>4.6146348525245823E-2</v>
      </c>
      <c r="P194" s="169">
        <f>(INDEX(Models!$BJ194:$BT194,,T194)*(1-R194)+INDEX(Models!$BJ194:$BT194,,T194+1)*R194-ERP_i)*Q194*Ramure*Pc/MaxiM</f>
        <v>2.1653894691872394E-4</v>
      </c>
      <c r="Q194" s="304">
        <f t="shared" si="53"/>
        <v>0.6</v>
      </c>
      <c r="R194" s="177">
        <f t="shared" si="54"/>
        <v>0.34193563848716302</v>
      </c>
      <c r="S194" s="799">
        <f t="shared" si="55"/>
        <v>1</v>
      </c>
      <c r="T194" s="176">
        <f t="shared" si="56"/>
        <v>7</v>
      </c>
      <c r="U194" s="250">
        <f t="shared" si="57"/>
        <v>1.341935638487163</v>
      </c>
      <c r="V194" s="382">
        <f t="shared" si="58"/>
        <v>57.551299090895583</v>
      </c>
      <c r="W194" s="400">
        <f t="shared" si="59"/>
        <v>56.6318102711978</v>
      </c>
      <c r="X194" s="157">
        <f t="shared" si="60"/>
        <v>45471</v>
      </c>
      <c r="Y194" s="383">
        <f t="shared" si="61"/>
        <v>55.498961427141268</v>
      </c>
      <c r="Z194" s="383">
        <f t="shared" si="62"/>
        <v>57.656475744417492</v>
      </c>
      <c r="AA194" s="384">
        <f t="shared" si="63"/>
        <v>61.679654774024051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6.5227003042515233E-2</v>
      </c>
      <c r="AD194" s="230">
        <f>(INDEX(Models!$BJ194:$BT194,,AH194)*(1-AF194)+INDEX(Models!$BJ194:$BT194,,AH194+1)*AF194-ERP_i)*AE194*Ramure*Pc/MaxiM</f>
        <v>2.1653894691872394E-4</v>
      </c>
      <c r="AE194" s="304">
        <f t="shared" si="65"/>
        <v>0.6</v>
      </c>
      <c r="AF194" s="177">
        <f t="shared" si="66"/>
        <v>0.34193563848716302</v>
      </c>
      <c r="AG194" s="799">
        <f t="shared" si="74"/>
        <v>1</v>
      </c>
      <c r="AH194" s="176">
        <f t="shared" si="67"/>
        <v>7</v>
      </c>
      <c r="AI194" s="224">
        <f t="shared" si="68"/>
        <v>1.341935638487163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'2023'!Wh/'2023'!Env_an*'2024'!Env_an</f>
        <v>13.966367060573962</v>
      </c>
      <c r="C195" s="829"/>
      <c r="D195" s="391">
        <f t="shared" si="50"/>
        <v>14.509585688011292</v>
      </c>
      <c r="E195" s="383">
        <f t="shared" si="75"/>
        <v>15.212873447899502</v>
      </c>
      <c r="F195" s="383">
        <f t="shared" si="51"/>
        <v>15.212873447899502</v>
      </c>
      <c r="G195" s="110">
        <f t="shared" si="76"/>
        <v>0.24291313317273888</v>
      </c>
      <c r="H195" s="412" t="b">
        <f>Wh_hp&gt;='2023'!Maxi_hp</f>
        <v>0</v>
      </c>
      <c r="I195" s="388">
        <f>IF(H195,Wh_hp,'2023'!Maxi_hp)</f>
        <v>52.702185547178217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3.743860363195417E-2</v>
      </c>
      <c r="M195" s="832"/>
      <c r="N195" s="832"/>
      <c r="O195" s="48">
        <f>IF(t&lt;Tnet,'2023'!Resal+('2023'!Salim-'2023'!Resal)*(1-EXP(('2023'!Tnet-t)/('2023'!Tau_j))),Resal+(Salim-Resal)*(1-EXP((Tnet-t)/(Tau_j))))*Salcycl</f>
        <v>4.6229777845507282E-2</v>
      </c>
      <c r="P195" s="169">
        <f>(INDEX(Models!$BJ195:$BT195,,T195)*(1-R195)+INDEX(Models!$BJ195:$BT195,,T195+1)*R195-ERP_i)*Q195*Ramure*Pc/MaxiM</f>
        <v>2.1986397651492742E-4</v>
      </c>
      <c r="Q195" s="304">
        <f t="shared" si="53"/>
        <v>0.6</v>
      </c>
      <c r="R195" s="177">
        <f t="shared" si="54"/>
        <v>0.34633623873271868</v>
      </c>
      <c r="S195" s="799">
        <f t="shared" si="55"/>
        <v>1</v>
      </c>
      <c r="T195" s="176">
        <f t="shared" si="56"/>
        <v>7</v>
      </c>
      <c r="U195" s="250">
        <f t="shared" si="57"/>
        <v>1.3463362387327187</v>
      </c>
      <c r="V195" s="382">
        <f t="shared" si="58"/>
        <v>57.48267365044056</v>
      </c>
      <c r="W195" s="400">
        <f t="shared" si="59"/>
        <v>13.966367060573962</v>
      </c>
      <c r="X195" s="157">
        <f t="shared" si="60"/>
        <v>45472</v>
      </c>
      <c r="Y195" s="383">
        <f t="shared" si="61"/>
        <v>13.68717374941893</v>
      </c>
      <c r="Z195" s="383">
        <f t="shared" si="62"/>
        <v>14.219533217375664</v>
      </c>
      <c r="AA195" s="384">
        <f t="shared" si="63"/>
        <v>15.212873447899502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6.529602930871635E-2</v>
      </c>
      <c r="AD195" s="230">
        <f>(INDEX(Models!$BJ195:$BT195,,AH195)*(1-AF195)+INDEX(Models!$BJ195:$BT195,,AH195+1)*AF195-ERP_i)*AE195*Ramure*Pc/MaxiM</f>
        <v>2.1986397651492742E-4</v>
      </c>
      <c r="AE195" s="304">
        <f t="shared" si="65"/>
        <v>0.6</v>
      </c>
      <c r="AF195" s="177">
        <f t="shared" si="66"/>
        <v>0.34633623873271868</v>
      </c>
      <c r="AG195" s="799">
        <f t="shared" si="74"/>
        <v>1</v>
      </c>
      <c r="AH195" s="176">
        <f t="shared" si="67"/>
        <v>7</v>
      </c>
      <c r="AI195" s="224">
        <f t="shared" si="68"/>
        <v>1.3463362387327187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'2023'!Wh/'2023'!Env_an*'2024'!Env_an</f>
        <v>50.375883834204458</v>
      </c>
      <c r="C196" s="829"/>
      <c r="D196" s="391">
        <f t="shared" si="50"/>
        <v>52.33624523600389</v>
      </c>
      <c r="E196" s="383">
        <f t="shared" si="75"/>
        <v>54.87776917749725</v>
      </c>
      <c r="F196" s="383">
        <f t="shared" si="51"/>
        <v>54.887885819444044</v>
      </c>
      <c r="G196" s="110">
        <f t="shared" si="76"/>
        <v>0.8774004258606326</v>
      </c>
      <c r="H196" s="412" t="b">
        <f>Wh_hp&gt;='2023'!Maxi_hp</f>
        <v>0</v>
      </c>
      <c r="I196" s="388">
        <f>IF(H196,Wh_hp,'2023'!Maxi_hp)</f>
        <v>60.959454139649438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3.7457050901520073E-2</v>
      </c>
      <c r="M196" s="832"/>
      <c r="N196" s="832"/>
      <c r="O196" s="48">
        <f>IF(t&lt;Tnet,'2023'!Resal+('2023'!Salim-'2023'!Resal)*(1-EXP(('2023'!Tnet-t)/('2023'!Tau_j))),Resal+(Salim-Resal)*(1-EXP((Tnet-t)/(Tau_j))))*Salcycl</f>
        <v>4.6312450006359147E-2</v>
      </c>
      <c r="P196" s="169">
        <f>(INDEX(Models!$BJ196:$BT196,,T196)*(1-R196)+INDEX(Models!$BJ196:$BT196,,T196+1)*R196-ERP_i)*Q196*Ramure*Pc/MaxiM</f>
        <v>2.2343694944899252E-4</v>
      </c>
      <c r="Q196" s="304">
        <f t="shared" si="53"/>
        <v>0.6</v>
      </c>
      <c r="R196" s="177">
        <f t="shared" si="54"/>
        <v>0.35066700625366165</v>
      </c>
      <c r="S196" s="799">
        <f t="shared" si="55"/>
        <v>1</v>
      </c>
      <c r="T196" s="176">
        <f t="shared" si="56"/>
        <v>7</v>
      </c>
      <c r="U196" s="250">
        <f t="shared" si="57"/>
        <v>1.3506670062536617</v>
      </c>
      <c r="V196" s="382">
        <f t="shared" si="58"/>
        <v>57.41268315604696</v>
      </c>
      <c r="W196" s="400">
        <f t="shared" si="59"/>
        <v>50.375883834204458</v>
      </c>
      <c r="X196" s="157">
        <f t="shared" si="60"/>
        <v>45473</v>
      </c>
      <c r="Y196" s="383">
        <f t="shared" si="61"/>
        <v>49.36953831045038</v>
      </c>
      <c r="Z196" s="383">
        <f t="shared" si="62"/>
        <v>51.290738098170074</v>
      </c>
      <c r="AA196" s="384">
        <f t="shared" si="63"/>
        <v>54.87776917749725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6.5364010474355139E-2</v>
      </c>
      <c r="AD196" s="230">
        <f>(INDEX(Models!$BJ196:$BT196,,AH196)*(1-AF196)+INDEX(Models!$BJ196:$BT196,,AH196+1)*AF196-ERP_i)*AE196*Ramure*Pc/MaxiM</f>
        <v>2.2343694944899252E-4</v>
      </c>
      <c r="AE196" s="304">
        <f t="shared" si="65"/>
        <v>0.6</v>
      </c>
      <c r="AF196" s="177">
        <f t="shared" si="66"/>
        <v>0.35066700625366165</v>
      </c>
      <c r="AG196" s="799">
        <f t="shared" si="74"/>
        <v>1</v>
      </c>
      <c r="AH196" s="176">
        <f t="shared" si="67"/>
        <v>7</v>
      </c>
      <c r="AI196" s="224">
        <f t="shared" si="68"/>
        <v>1.3506670062536617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'2023'!Wh/'2023'!Env_an*'2024'!Env_an</f>
        <v>55.648373387090928</v>
      </c>
      <c r="C197" s="829"/>
      <c r="D197" s="391">
        <f t="shared" si="50"/>
        <v>57.815020044593595</v>
      </c>
      <c r="E197" s="383">
        <f t="shared" si="75"/>
        <v>60.627809443107367</v>
      </c>
      <c r="F197" s="383">
        <f t="shared" si="51"/>
        <v>60.641009543126998</v>
      </c>
      <c r="G197" s="110">
        <f t="shared" si="76"/>
        <v>0.9704665498392635</v>
      </c>
      <c r="H197" s="412" t="b">
        <f>Wh_hp&gt;='2023'!Maxi_hp</f>
        <v>0</v>
      </c>
      <c r="I197" s="388">
        <f>IF(H197,Wh_hp,'2023'!Maxi_hp)</f>
        <v>60.641307786297681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3.7475497817548109E-2</v>
      </c>
      <c r="M197" s="832"/>
      <c r="N197" s="832"/>
      <c r="O197" s="48">
        <f>IF(t&lt;Tnet,'2023'!Resal+('2023'!Salim-'2023'!Resal)*(1-EXP(('2023'!Tnet-t)/('2023'!Tau_j))),Resal+(Salim-Resal)*(1-EXP((Tnet-t)/(Tau_j))))*Salcycl</f>
        <v>4.6394376183973407E-2</v>
      </c>
      <c r="P197" s="169">
        <f>(INDEX(Models!$BJ197:$BT197,,T197)*(1-R197)+INDEX(Models!$BJ197:$BT197,,T197+1)*R197-ERP_i)*Q197*Ramure*Pc/MaxiM</f>
        <v>2.2726141007123565E-4</v>
      </c>
      <c r="Q197" s="304">
        <f t="shared" si="53"/>
        <v>0.6</v>
      </c>
      <c r="R197" s="177">
        <f t="shared" si="54"/>
        <v>0.35492602156132236</v>
      </c>
      <c r="S197" s="799">
        <f t="shared" si="55"/>
        <v>1</v>
      </c>
      <c r="T197" s="176">
        <f t="shared" si="56"/>
        <v>7</v>
      </c>
      <c r="U197" s="250">
        <f t="shared" si="57"/>
        <v>1.3549260215613224</v>
      </c>
      <c r="V197" s="382">
        <f t="shared" si="58"/>
        <v>57.341327091276433</v>
      </c>
      <c r="W197" s="400">
        <f t="shared" si="59"/>
        <v>55.648373387090928</v>
      </c>
      <c r="X197" s="157">
        <f t="shared" si="60"/>
        <v>45474</v>
      </c>
      <c r="Y197" s="383">
        <f t="shared" si="61"/>
        <v>54.53747895457073</v>
      </c>
      <c r="Z197" s="383">
        <f t="shared" si="62"/>
        <v>56.66087339170182</v>
      </c>
      <c r="AA197" s="384">
        <f t="shared" si="63"/>
        <v>60.627809443107367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6.5430964566319777E-2</v>
      </c>
      <c r="AD197" s="230">
        <f>(INDEX(Models!$BJ197:$BT197,,AH197)*(1-AF197)+INDEX(Models!$BJ197:$BT197,,AH197+1)*AF197-ERP_i)*AE197*Ramure*Pc/MaxiM</f>
        <v>2.2726141007123565E-4</v>
      </c>
      <c r="AE197" s="304">
        <f t="shared" si="65"/>
        <v>0.6</v>
      </c>
      <c r="AF197" s="177">
        <f t="shared" si="66"/>
        <v>0.35492602156132236</v>
      </c>
      <c r="AG197" s="799">
        <f t="shared" si="74"/>
        <v>1</v>
      </c>
      <c r="AH197" s="176">
        <f t="shared" si="67"/>
        <v>7</v>
      </c>
      <c r="AI197" s="224">
        <f t="shared" si="68"/>
        <v>1.3549260215613224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'2023'!Wh/'2023'!Env_an*'2024'!Env_an</f>
        <v>45.84173579513989</v>
      </c>
      <c r="C198" s="829"/>
      <c r="D198" s="391">
        <f t="shared" si="50"/>
        <v>47.627477798685653</v>
      </c>
      <c r="E198" s="383">
        <f t="shared" si="75"/>
        <v>49.948880447020656</v>
      </c>
      <c r="F198" s="383">
        <f t="shared" si="51"/>
        <v>49.95714448644123</v>
      </c>
      <c r="G198" s="110">
        <f t="shared" si="76"/>
        <v>0.80041610251780659</v>
      </c>
      <c r="H198" s="412" t="b">
        <f>Wh_hp&gt;='2023'!Maxi_hp</f>
        <v>0</v>
      </c>
      <c r="I198" s="388">
        <f>IF(H198,Wh_hp,'2023'!Maxi_hp)</f>
        <v>49.958829458254328</v>
      </c>
      <c r="J198" s="85">
        <f>IF(H198,An,'2023'!An_max)</f>
        <v>2022</v>
      </c>
      <c r="K198" s="197">
        <f t="shared" si="52"/>
        <v>45475</v>
      </c>
      <c r="L198" s="147">
        <f>IF(t&lt;Tvie,1-EXP((T0-t)*PertePVj)+'2023'!Pspv,1-EXP((T0-t)*PertePVj)+Pspv)</f>
        <v>3.7493944380045385E-2</v>
      </c>
      <c r="M198" s="832"/>
      <c r="N198" s="832"/>
      <c r="O198" s="48">
        <f>IF(t&lt;Tnet,'2023'!Resal+('2023'!Salim-'2023'!Resal)*(1-EXP(('2023'!Tnet-t)/('2023'!Tau_j))),Resal+(Salim-Resal)*(1-EXP((Tnet-t)/(Tau_j))))*Salcycl</f>
        <v>4.6475569173111846E-2</v>
      </c>
      <c r="P198" s="169">
        <f>(INDEX(Models!$BJ198:$BT198,,T198)*(1-R198)+INDEX(Models!$BJ198:$BT198,,T198+1)*R198-ERP_i)*Q198*Ramure*Pc/MaxiM</f>
        <v>2.3137461843625326E-4</v>
      </c>
      <c r="Q198" s="304">
        <f t="shared" si="53"/>
        <v>0.6</v>
      </c>
      <c r="R198" s="177">
        <f t="shared" si="54"/>
        <v>0.35911154732861883</v>
      </c>
      <c r="S198" s="799">
        <f t="shared" si="55"/>
        <v>1</v>
      </c>
      <c r="T198" s="176">
        <f t="shared" si="56"/>
        <v>7</v>
      </c>
      <c r="U198" s="250">
        <f t="shared" si="57"/>
        <v>1.3591115473286188</v>
      </c>
      <c r="V198" s="382">
        <f t="shared" si="58"/>
        <v>57.268602911072236</v>
      </c>
      <c r="W198" s="400">
        <f t="shared" si="59"/>
        <v>45.84173579513989</v>
      </c>
      <c r="X198" s="157">
        <f t="shared" si="60"/>
        <v>45475</v>
      </c>
      <c r="Y198" s="383">
        <f t="shared" si="61"/>
        <v>44.927263825429037</v>
      </c>
      <c r="Z198" s="383">
        <f t="shared" si="62"/>
        <v>46.677383028505915</v>
      </c>
      <c r="AA198" s="384">
        <f t="shared" si="63"/>
        <v>49.948880447020656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6.5496911827377671E-2</v>
      </c>
      <c r="AD198" s="230">
        <f>(INDEX(Models!$BJ198:$BT198,,AH198)*(1-AF198)+INDEX(Models!$BJ198:$BT198,,AH198+1)*AF198-ERP_i)*AE198*Ramure*Pc/MaxiM</f>
        <v>2.3137461843625326E-4</v>
      </c>
      <c r="AE198" s="304">
        <f t="shared" si="65"/>
        <v>0.6</v>
      </c>
      <c r="AF198" s="177">
        <f t="shared" si="66"/>
        <v>0.35911154732861883</v>
      </c>
      <c r="AG198" s="799">
        <f t="shared" si="74"/>
        <v>1</v>
      </c>
      <c r="AH198" s="176">
        <f t="shared" si="67"/>
        <v>7</v>
      </c>
      <c r="AI198" s="224">
        <f t="shared" si="68"/>
        <v>1.3591115473286188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'2023'!Wh/'2023'!Env_an*'2024'!Env_an</f>
        <v>44.35118433217356</v>
      </c>
      <c r="C199" s="829"/>
      <c r="D199" s="391">
        <f t="shared" si="50"/>
        <v>46.079745753106764</v>
      </c>
      <c r="E199" s="383">
        <f t="shared" si="75"/>
        <v>48.329789525745973</v>
      </c>
      <c r="F199" s="383">
        <f t="shared" si="51"/>
        <v>48.337526727946923</v>
      </c>
      <c r="G199" s="110">
        <f t="shared" si="76"/>
        <v>0.77538606159192969</v>
      </c>
      <c r="H199" s="412" t="b">
        <f>Wh_hp&gt;='2023'!Maxi_hp</f>
        <v>0</v>
      </c>
      <c r="I199" s="388">
        <f>IF(H199,Wh_hp,'2023'!Maxi_hp)</f>
        <v>58.082093863284776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3.7512390589018452E-2</v>
      </c>
      <c r="M199" s="832"/>
      <c r="N199" s="832"/>
      <c r="O199" s="48">
        <f>IF(t&lt;Tnet,'2023'!Resal+('2023'!Salim-'2023'!Resal)*(1-EXP(('2023'!Tnet-t)/('2023'!Tau_j))),Resal+(Salim-Resal)*(1-EXP((Tnet-t)/(Tau_j))))*Salcycl</f>
        <v>4.6556043275143642E-2</v>
      </c>
      <c r="P199" s="169">
        <f>(INDEX(Models!$BJ199:$BT199,,T199)*(1-R199)+INDEX(Models!$BJ199:$BT199,,T199+1)*R199-ERP_i)*Q199*Ramure*Pc/MaxiM</f>
        <v>2.3566633930477982E-4</v>
      </c>
      <c r="Q199" s="304">
        <f t="shared" si="53"/>
        <v>0.6</v>
      </c>
      <c r="R199" s="177">
        <f t="shared" si="54"/>
        <v>0.36322202755257571</v>
      </c>
      <c r="S199" s="799">
        <f t="shared" si="55"/>
        <v>1</v>
      </c>
      <c r="T199" s="176">
        <f t="shared" si="56"/>
        <v>7</v>
      </c>
      <c r="U199" s="250">
        <f t="shared" si="57"/>
        <v>1.3632220275525757</v>
      </c>
      <c r="V199" s="382">
        <f t="shared" si="58"/>
        <v>57.194516428082139</v>
      </c>
      <c r="W199" s="400">
        <f t="shared" si="59"/>
        <v>44.35118433217356</v>
      </c>
      <c r="X199" s="157">
        <f t="shared" si="60"/>
        <v>45476</v>
      </c>
      <c r="Y199" s="383">
        <f t="shared" si="61"/>
        <v>43.467093431661155</v>
      </c>
      <c r="Z199" s="383">
        <f t="shared" si="62"/>
        <v>45.161197927796636</v>
      </c>
      <c r="AA199" s="384">
        <f t="shared" si="63"/>
        <v>48.329789525745973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6.5561874550713384E-2</v>
      </c>
      <c r="AD199" s="230">
        <f>(INDEX(Models!$BJ199:$BT199,,AH199)*(1-AF199)+INDEX(Models!$BJ199:$BT199,,AH199+1)*AF199-ERP_i)*AE199*Ramure*Pc/MaxiM</f>
        <v>2.3566633930477982E-4</v>
      </c>
      <c r="AE199" s="304">
        <f t="shared" si="65"/>
        <v>0.6</v>
      </c>
      <c r="AF199" s="177">
        <f t="shared" si="66"/>
        <v>0.36322202755257571</v>
      </c>
      <c r="AG199" s="799">
        <f t="shared" si="74"/>
        <v>1</v>
      </c>
      <c r="AH199" s="176">
        <f t="shared" si="67"/>
        <v>7</v>
      </c>
      <c r="AI199" s="224">
        <f t="shared" si="68"/>
        <v>1.3632220275525757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'2023'!Wh/'2023'!Env_an*'2024'!Env_an</f>
        <v>55.597150658487394</v>
      </c>
      <c r="C200" s="829"/>
      <c r="D200" s="391">
        <f t="shared" si="50"/>
        <v>57.765124082627224</v>
      </c>
      <c r="E200" s="383">
        <f t="shared" si="75"/>
        <v>60.590826613532748</v>
      </c>
      <c r="F200" s="383">
        <f t="shared" si="51"/>
        <v>60.60482622081318</v>
      </c>
      <c r="G200" s="110">
        <f t="shared" si="76"/>
        <v>0.97334647353389325</v>
      </c>
      <c r="H200" s="412" t="b">
        <f>Wh_hp&gt;='2023'!Maxi_hp</f>
        <v>0</v>
      </c>
      <c r="I200" s="388">
        <f>IF(H200,Wh_hp,'2023'!Maxi_hp)</f>
        <v>61.390169549077257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3.7530836444474081E-2</v>
      </c>
      <c r="M200" s="832"/>
      <c r="N200" s="832"/>
      <c r="O200" s="48">
        <f>IF(t&lt;Tnet,'2023'!Resal+('2023'!Salim-'2023'!Resal)*(1-EXP(('2023'!Tnet-t)/('2023'!Tau_j))),Resal+(Salim-Resal)*(1-EXP((Tnet-t)/(Tau_j))))*Salcycl</f>
        <v>4.6635814179079305E-2</v>
      </c>
      <c r="P200" s="169">
        <f>(INDEX(Models!$BJ200:$BT200,,T200)*(1-R200)+INDEX(Models!$BJ200:$BT200,,T200+1)*R200-ERP_i)*Q200*Ramure*Pc/MaxiM</f>
        <v>2.4013880936975301E-4</v>
      </c>
      <c r="Q200" s="304">
        <f t="shared" si="53"/>
        <v>0.6</v>
      </c>
      <c r="R200" s="177">
        <f t="shared" si="54"/>
        <v>0.36725608591254977</v>
      </c>
      <c r="S200" s="799">
        <f t="shared" si="55"/>
        <v>1</v>
      </c>
      <c r="T200" s="176">
        <f t="shared" si="56"/>
        <v>7</v>
      </c>
      <c r="U200" s="250">
        <f t="shared" si="57"/>
        <v>1.3672560859125498</v>
      </c>
      <c r="V200" s="382">
        <f t="shared" si="58"/>
        <v>57.119066912286037</v>
      </c>
      <c r="W200" s="400">
        <f t="shared" si="59"/>
        <v>55.597150658487394</v>
      </c>
      <c r="X200" s="157">
        <f t="shared" si="60"/>
        <v>45477</v>
      </c>
      <c r="Y200" s="383">
        <f t="shared" si="61"/>
        <v>54.489710926521852</v>
      </c>
      <c r="Z200" s="383">
        <f t="shared" si="62"/>
        <v>56.614500484594778</v>
      </c>
      <c r="AA200" s="384">
        <f t="shared" si="63"/>
        <v>60.590826613532748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6.5625876905430314E-2</v>
      </c>
      <c r="AD200" s="230">
        <f>(INDEX(Models!$BJ200:$BT200,,AH200)*(1-AF200)+INDEX(Models!$BJ200:$BT200,,AH200+1)*AF200-ERP_i)*AE200*Ramure*Pc/MaxiM</f>
        <v>2.4013880936975301E-4</v>
      </c>
      <c r="AE200" s="304">
        <f t="shared" si="65"/>
        <v>0.6</v>
      </c>
      <c r="AF200" s="177">
        <f t="shared" si="66"/>
        <v>0.36725608591254977</v>
      </c>
      <c r="AG200" s="799">
        <f t="shared" si="74"/>
        <v>1</v>
      </c>
      <c r="AH200" s="176">
        <f t="shared" si="67"/>
        <v>7</v>
      </c>
      <c r="AI200" s="224">
        <f t="shared" si="68"/>
        <v>1.3672560859125498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'2023'!Wh/'2023'!Env_an*'2024'!Env_an</f>
        <v>47.258474269379114</v>
      </c>
      <c r="C201" s="829"/>
      <c r="D201" s="391">
        <f t="shared" si="50"/>
        <v>49.102227659980997</v>
      </c>
      <c r="E201" s="383">
        <f t="shared" si="75"/>
        <v>51.5084391857729</v>
      </c>
      <c r="F201" s="383">
        <f t="shared" si="51"/>
        <v>51.517960391547575</v>
      </c>
      <c r="G201" s="110">
        <f t="shared" si="76"/>
        <v>0.82843219173161287</v>
      </c>
      <c r="H201" s="412" t="b">
        <f>Wh_hp&gt;='2023'!Maxi_hp</f>
        <v>0</v>
      </c>
      <c r="I201" s="388">
        <f>IF(H201,Wh_hp,'2023'!Maxi_hp)</f>
        <v>60.936475957669771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3.7549281946419044E-2</v>
      </c>
      <c r="M201" s="832"/>
      <c r="N201" s="832"/>
      <c r="O201" s="48">
        <f>IF(t&lt;Tnet,'2023'!Resal+('2023'!Salim-'2023'!Resal)*(1-EXP(('2023'!Tnet-t)/('2023'!Tau_j))),Resal+(Salim-Resal)*(1-EXP((Tnet-t)/(Tau_j))))*Salcycl</f>
        <v>4.6714898836548668E-2</v>
      </c>
      <c r="P201" s="169">
        <f>(INDEX(Models!$BJ201:$BT201,,T201)*(1-R201)+INDEX(Models!$BJ201:$BT201,,T201+1)*R201-ERP_i)*Q201*Ramure*Pc/MaxiM</f>
        <v>2.4479425296771877E-4</v>
      </c>
      <c r="Q201" s="304">
        <f t="shared" si="53"/>
        <v>0.6</v>
      </c>
      <c r="R201" s="177">
        <f t="shared" si="54"/>
        <v>0.37121252337367583</v>
      </c>
      <c r="S201" s="799">
        <f t="shared" si="55"/>
        <v>1</v>
      </c>
      <c r="T201" s="176">
        <f t="shared" si="56"/>
        <v>7</v>
      </c>
      <c r="U201" s="250">
        <f t="shared" si="57"/>
        <v>1.3712125233736758</v>
      </c>
      <c r="V201" s="382">
        <f t="shared" si="58"/>
        <v>57.042253560538889</v>
      </c>
      <c r="W201" s="400">
        <f t="shared" si="59"/>
        <v>47.258474269379114</v>
      </c>
      <c r="X201" s="157">
        <f t="shared" si="60"/>
        <v>45478</v>
      </c>
      <c r="Y201" s="383">
        <f t="shared" si="61"/>
        <v>46.31784857440234</v>
      </c>
      <c r="Z201" s="383">
        <f t="shared" si="62"/>
        <v>48.124904169715379</v>
      </c>
      <c r="AA201" s="384">
        <f t="shared" si="63"/>
        <v>51.5084391857729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6.5688944754359449E-2</v>
      </c>
      <c r="AD201" s="230">
        <f>(INDEX(Models!$BJ201:$BT201,,AH201)*(1-AF201)+INDEX(Models!$BJ201:$BT201,,AH201+1)*AF201-ERP_i)*AE201*Ramure*Pc/MaxiM</f>
        <v>2.4479425296771877E-4</v>
      </c>
      <c r="AE201" s="304">
        <f t="shared" si="65"/>
        <v>0.6</v>
      </c>
      <c r="AF201" s="177">
        <f t="shared" si="66"/>
        <v>0.37121252337367583</v>
      </c>
      <c r="AG201" s="799">
        <f t="shared" si="74"/>
        <v>1</v>
      </c>
      <c r="AH201" s="176">
        <f t="shared" si="67"/>
        <v>7</v>
      </c>
      <c r="AI201" s="224">
        <f t="shared" si="68"/>
        <v>1.3712125233736758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'2023'!Wh/'2023'!Env_an*'2024'!Env_an</f>
        <v>55.046307154484587</v>
      </c>
      <c r="C202" s="829"/>
      <c r="D202" s="391">
        <f t="shared" si="50"/>
        <v>57.194993044367834</v>
      </c>
      <c r="E202" s="383">
        <f t="shared" si="75"/>
        <v>60.002719204880819</v>
      </c>
      <c r="F202" s="383">
        <f t="shared" si="51"/>
        <v>60.016980966693446</v>
      </c>
      <c r="G202" s="110">
        <f t="shared" si="76"/>
        <v>0.96632211828826475</v>
      </c>
      <c r="H202" s="412" t="b">
        <f>Wh_hp&gt;='2023'!Maxi_hp</f>
        <v>0</v>
      </c>
      <c r="I202" s="388">
        <f>IF(H202,Wh_hp,'2023'!Maxi_hp)</f>
        <v>60.017344561452532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3.7567727094860337E-2</v>
      </c>
      <c r="M202" s="832"/>
      <c r="N202" s="832"/>
      <c r="O202" s="48">
        <f>IF(t&lt;Tnet,'2023'!Resal+('2023'!Salim-'2023'!Resal)*(1-EXP(('2023'!Tnet-t)/('2023'!Tau_j))),Resal+(Salim-Resal)*(1-EXP((Tnet-t)/(Tau_j))))*Salcycl</f>
        <v>4.6793315331692446E-2</v>
      </c>
      <c r="P202" s="169">
        <f>(INDEX(Models!$BJ202:$BT202,,T202)*(1-R202)+INDEX(Models!$BJ202:$BT202,,T202+1)*R202-ERP_i)*Q202*Ramure*Pc/MaxiM</f>
        <v>2.4963488785883722E-4</v>
      </c>
      <c r="Q202" s="304">
        <f t="shared" si="53"/>
        <v>0.6</v>
      </c>
      <c r="R202" s="177">
        <f t="shared" si="54"/>
        <v>0.37509031508871526</v>
      </c>
      <c r="S202" s="799">
        <f t="shared" si="55"/>
        <v>1</v>
      </c>
      <c r="T202" s="176">
        <f t="shared" si="56"/>
        <v>7</v>
      </c>
      <c r="U202" s="250">
        <f t="shared" si="57"/>
        <v>1.3750903150887153</v>
      </c>
      <c r="V202" s="382">
        <f t="shared" si="58"/>
        <v>56.964075501930708</v>
      </c>
      <c r="W202" s="400">
        <f t="shared" si="59"/>
        <v>55.046307154484587</v>
      </c>
      <c r="X202" s="157">
        <f t="shared" si="60"/>
        <v>45479</v>
      </c>
      <c r="Y202" s="383">
        <f t="shared" si="61"/>
        <v>53.951522198121403</v>
      </c>
      <c r="Z202" s="383">
        <f t="shared" si="62"/>
        <v>56.057474086219713</v>
      </c>
      <c r="AA202" s="384">
        <f t="shared" si="63"/>
        <v>60.002719204880819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6.5751105465570031E-2</v>
      </c>
      <c r="AD202" s="230">
        <f>(INDEX(Models!$BJ202:$BT202,,AH202)*(1-AF202)+INDEX(Models!$BJ202:$BT202,,AH202+1)*AF202-ERP_i)*AE202*Ramure*Pc/MaxiM</f>
        <v>2.4963488785883722E-4</v>
      </c>
      <c r="AE202" s="304">
        <f t="shared" si="65"/>
        <v>0.6</v>
      </c>
      <c r="AF202" s="177">
        <f t="shared" si="66"/>
        <v>0.37509031508871526</v>
      </c>
      <c r="AG202" s="799">
        <f t="shared" si="74"/>
        <v>1</v>
      </c>
      <c r="AH202" s="176">
        <f t="shared" si="67"/>
        <v>7</v>
      </c>
      <c r="AI202" s="224">
        <f t="shared" si="68"/>
        <v>1.3750903150887153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'2023'!Wh/'2023'!Env_an*'2024'!Env_an</f>
        <v>57.418019341398711</v>
      </c>
      <c r="C203" s="829"/>
      <c r="D203" s="391">
        <f t="shared" si="50"/>
        <v>59.660426382427659</v>
      </c>
      <c r="E203" s="383">
        <f t="shared" si="75"/>
        <v>62.594288456143332</v>
      </c>
      <c r="F203" s="383">
        <f t="shared" si="51"/>
        <v>62.610232961581055</v>
      </c>
      <c r="G203" s="110">
        <f t="shared" si="76"/>
        <v>1.0093784288127614</v>
      </c>
      <c r="H203" s="412" t="b">
        <f>Wh_hp&gt;='2023'!Maxi_hp</f>
        <v>0</v>
      </c>
      <c r="I203" s="388">
        <f>IF(H203,Wh_hp,'2023'!Maxi_hp)</f>
        <v>63.179240618782657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3.7586171889804398E-2</v>
      </c>
      <c r="M203" s="832"/>
      <c r="N203" s="832"/>
      <c r="O203" s="48">
        <f>IF(t&lt;Tnet,'2023'!Resal+('2023'!Salim-'2023'!Resal)*(1-EXP(('2023'!Tnet-t)/('2023'!Tau_j))),Resal+(Salim-Resal)*(1-EXP((Tnet-t)/(Tau_j))))*Salcycl</f>
        <v>4.6871082746971153E-2</v>
      </c>
      <c r="P203" s="169">
        <f>(INDEX(Models!$BJ203:$BT203,,T203)*(1-R203)+INDEX(Models!$BJ203:$BT203,,T203+1)*R203-ERP_i)*Q203*Ramure*Pc/MaxiM</f>
        <v>2.5466293101807737E-4</v>
      </c>
      <c r="Q203" s="304">
        <f t="shared" si="53"/>
        <v>0.6</v>
      </c>
      <c r="R203" s="177">
        <f t="shared" si="54"/>
        <v>0.37888860665431778</v>
      </c>
      <c r="S203" s="799">
        <f t="shared" si="55"/>
        <v>1</v>
      </c>
      <c r="T203" s="176">
        <f t="shared" si="56"/>
        <v>7</v>
      </c>
      <c r="U203" s="250">
        <f t="shared" si="57"/>
        <v>1.3788886066543178</v>
      </c>
      <c r="V203" s="382">
        <f t="shared" si="58"/>
        <v>56.884531809278137</v>
      </c>
      <c r="W203" s="400">
        <f t="shared" si="59"/>
        <v>57.418019341398711</v>
      </c>
      <c r="X203" s="157">
        <f t="shared" si="60"/>
        <v>45480</v>
      </c>
      <c r="Y203" s="383">
        <f t="shared" si="61"/>
        <v>56.276964657662312</v>
      </c>
      <c r="Z203" s="383">
        <f t="shared" si="62"/>
        <v>58.474808875271734</v>
      </c>
      <c r="AA203" s="384">
        <f t="shared" si="63"/>
        <v>62.594288456143332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6.5812387719015444E-2</v>
      </c>
      <c r="AD203" s="230">
        <f>(INDEX(Models!$BJ203:$BT203,,AH203)*(1-AF203)+INDEX(Models!$BJ203:$BT203,,AH203+1)*AF203-ERP_i)*AE203*Ramure*Pc/MaxiM</f>
        <v>2.5466293101807737E-4</v>
      </c>
      <c r="AE203" s="304">
        <f t="shared" si="65"/>
        <v>0.6</v>
      </c>
      <c r="AF203" s="177">
        <f t="shared" si="66"/>
        <v>0.37888860665431778</v>
      </c>
      <c r="AG203" s="799">
        <f t="shared" si="74"/>
        <v>1</v>
      </c>
      <c r="AH203" s="176">
        <f t="shared" si="67"/>
        <v>7</v>
      </c>
      <c r="AI203" s="224">
        <f t="shared" si="68"/>
        <v>1.3788886066543178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'2023'!Wh/'2023'!Env_an*'2024'!Env_an</f>
        <v>56.747183738720068</v>
      </c>
      <c r="C204" s="829"/>
      <c r="D204" s="391">
        <f t="shared" si="50"/>
        <v>58.96452196434533</v>
      </c>
      <c r="E204" s="383">
        <f t="shared" si="75"/>
        <v>61.869169404224927</v>
      </c>
      <c r="F204" s="383">
        <f t="shared" si="51"/>
        <v>61.885229347621575</v>
      </c>
      <c r="G204" s="110">
        <f t="shared" si="76"/>
        <v>0.99900607210682935</v>
      </c>
      <c r="H204" s="412" t="b">
        <f>Wh_hp&gt;='2023'!Maxi_hp</f>
        <v>0</v>
      </c>
      <c r="I204" s="388">
        <f>IF(H204,Wh_hp,'2023'!Maxi_hp)</f>
        <v>61.885240787846676</v>
      </c>
      <c r="J204" s="85">
        <f>IF(H204,An,'2023'!An_max)</f>
        <v>2022</v>
      </c>
      <c r="K204" s="197">
        <f t="shared" si="52"/>
        <v>45481</v>
      </c>
      <c r="L204" s="147">
        <f>IF(t&lt;Tvie,1-EXP((T0-t)*PertePVj)+'2023'!Pspv,1-EXP((T0-t)*PertePVj)+Pspv)</f>
        <v>3.7604616331258334E-2</v>
      </c>
      <c r="M204" s="832"/>
      <c r="N204" s="832"/>
      <c r="O204" s="48">
        <f>IF(t&lt;Tnet,'2023'!Resal+('2023'!Salim-'2023'!Resal)*(1-EXP(('2023'!Tnet-t)/('2023'!Tau_j))),Resal+(Salim-Resal)*(1-EXP((Tnet-t)/(Tau_j))))*Salcycl</f>
        <v>4.6948221025919376E-2</v>
      </c>
      <c r="P204" s="169">
        <f>(INDEX(Models!$BJ204:$BT204,,T204)*(1-R204)+INDEX(Models!$BJ204:$BT204,,T204+1)*R204-ERP_i)*Q204*Ramure*Pc/MaxiM</f>
        <v>2.598806043932776E-4</v>
      </c>
      <c r="Q204" s="304">
        <f t="shared" si="53"/>
        <v>0.6</v>
      </c>
      <c r="R204" s="177">
        <f t="shared" si="54"/>
        <v>0.38260670977976985</v>
      </c>
      <c r="S204" s="799">
        <f t="shared" si="55"/>
        <v>1</v>
      </c>
      <c r="T204" s="176">
        <f t="shared" si="56"/>
        <v>7</v>
      </c>
      <c r="U204" s="250">
        <f t="shared" si="57"/>
        <v>1.3826067097797698</v>
      </c>
      <c r="V204" s="382">
        <f t="shared" si="58"/>
        <v>56.803621504978864</v>
      </c>
      <c r="W204" s="400">
        <f t="shared" si="59"/>
        <v>56.747183738720068</v>
      </c>
      <c r="X204" s="157">
        <f t="shared" si="60"/>
        <v>45481</v>
      </c>
      <c r="Y204" s="383">
        <f t="shared" si="61"/>
        <v>55.620363776591901</v>
      </c>
      <c r="Z204" s="383">
        <f t="shared" si="62"/>
        <v>57.793672663476258</v>
      </c>
      <c r="AA204" s="384">
        <f t="shared" si="63"/>
        <v>61.869169404224927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6.5872821309774315E-2</v>
      </c>
      <c r="AD204" s="230">
        <f>(INDEX(Models!$BJ204:$BT204,,AH204)*(1-AF204)+INDEX(Models!$BJ204:$BT204,,AH204+1)*AF204-ERP_i)*AE204*Ramure*Pc/MaxiM</f>
        <v>2.598806043932776E-4</v>
      </c>
      <c r="AE204" s="304">
        <f t="shared" si="65"/>
        <v>0.6</v>
      </c>
      <c r="AF204" s="177">
        <f t="shared" si="66"/>
        <v>0.38260670977976985</v>
      </c>
      <c r="AG204" s="799">
        <f t="shared" si="74"/>
        <v>1</v>
      </c>
      <c r="AH204" s="176">
        <f t="shared" si="67"/>
        <v>7</v>
      </c>
      <c r="AI204" s="224">
        <f t="shared" si="68"/>
        <v>1.3826067097797698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'2023'!Wh/'2023'!Env_an*'2024'!Env_an</f>
        <v>56.208011931796236</v>
      </c>
      <c r="C205" s="829"/>
      <c r="D205" s="391">
        <f t="shared" si="50"/>
        <v>58.405401896144198</v>
      </c>
      <c r="E205" s="383">
        <f t="shared" si="75"/>
        <v>61.287427923496516</v>
      </c>
      <c r="F205" s="383">
        <f t="shared" si="51"/>
        <v>61.303480570497712</v>
      </c>
      <c r="G205" s="110">
        <f t="shared" si="76"/>
        <v>0.99093891496218356</v>
      </c>
      <c r="H205" s="412" t="b">
        <f>Wh_hp&gt;='2023'!Maxi_hp</f>
        <v>0</v>
      </c>
      <c r="I205" s="388">
        <f>IF(H205,Wh_hp,'2023'!Maxi_hp)</f>
        <v>61.303585673539317</v>
      </c>
      <c r="J205" s="85">
        <f>IF(H205,An,'2023'!An_max)</f>
        <v>2022</v>
      </c>
      <c r="K205" s="197">
        <f t="shared" si="52"/>
        <v>45482</v>
      </c>
      <c r="L205" s="147">
        <f>IF(t&lt;Tvie,1-EXP((T0-t)*PertePVj)+'2023'!Pspv,1-EXP((T0-t)*PertePVj)+Pspv)</f>
        <v>3.7623060419228582E-2</v>
      </c>
      <c r="M205" s="832"/>
      <c r="N205" s="832"/>
      <c r="O205" s="48">
        <f>IF(t&lt;Tnet,'2023'!Resal+('2023'!Salim-'2023'!Resal)*(1-EXP(('2023'!Tnet-t)/('2023'!Tau_j))),Resal+(Salim-Resal)*(1-EXP((Tnet-t)/(Tau_j))))*Salcycl</f>
        <v>4.7024750833888351E-2</v>
      </c>
      <c r="P205" s="169">
        <f>(INDEX(Models!$BJ205:$BT205,,T205)*(1-R205)+INDEX(Models!$BJ205:$BT205,,T205+1)*R205-ERP_i)*Q205*Ramure*Pc/MaxiM</f>
        <v>2.6528810077642233E-4</v>
      </c>
      <c r="Q205" s="304">
        <f t="shared" si="53"/>
        <v>0.6</v>
      </c>
      <c r="R205" s="177">
        <f t="shared" si="54"/>
        <v>0.38624409742759847</v>
      </c>
      <c r="S205" s="799">
        <f t="shared" si="55"/>
        <v>1</v>
      </c>
      <c r="T205" s="176">
        <f t="shared" si="56"/>
        <v>7</v>
      </c>
      <c r="U205" s="250">
        <f t="shared" si="57"/>
        <v>1.3862440974275985</v>
      </c>
      <c r="V205" s="382">
        <f t="shared" si="58"/>
        <v>56.721779805900844</v>
      </c>
      <c r="W205" s="400">
        <f t="shared" si="59"/>
        <v>56.208011931796236</v>
      </c>
      <c r="X205" s="157">
        <f t="shared" si="60"/>
        <v>45482</v>
      </c>
      <c r="Y205" s="383">
        <f t="shared" si="61"/>
        <v>55.092806214007737</v>
      </c>
      <c r="Z205" s="383">
        <f t="shared" si="62"/>
        <v>57.246598446142265</v>
      </c>
      <c r="AA205" s="384">
        <f t="shared" si="63"/>
        <v>61.287427923496516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6.5932436949357937E-2</v>
      </c>
      <c r="AD205" s="230">
        <f>(INDEX(Models!$BJ205:$BT205,,AH205)*(1-AF205)+INDEX(Models!$BJ205:$BT205,,AH205+1)*AF205-ERP_i)*AE205*Ramure*Pc/MaxiM</f>
        <v>2.6528810077642233E-4</v>
      </c>
      <c r="AE205" s="304">
        <f t="shared" si="65"/>
        <v>0.6</v>
      </c>
      <c r="AF205" s="177">
        <f t="shared" si="66"/>
        <v>0.38624409742759847</v>
      </c>
      <c r="AG205" s="799">
        <f t="shared" si="74"/>
        <v>1</v>
      </c>
      <c r="AH205" s="176">
        <f t="shared" si="67"/>
        <v>7</v>
      </c>
      <c r="AI205" s="224">
        <f t="shared" si="68"/>
        <v>1.3862440974275985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'2023'!Wh/'2023'!Env_an*'2024'!Env_an</f>
        <v>54.731877252546631</v>
      </c>
      <c r="C206" s="829"/>
      <c r="D206" s="391">
        <f t="shared" si="50"/>
        <v>56.872649318086573</v>
      </c>
      <c r="E206" s="383">
        <f t="shared" si="75"/>
        <v>59.683797569415127</v>
      </c>
      <c r="F206" s="383">
        <f t="shared" si="51"/>
        <v>59.69919938137577</v>
      </c>
      <c r="G206" s="110">
        <f t="shared" si="76"/>
        <v>0.96631074182468735</v>
      </c>
      <c r="H206" s="412" t="b">
        <f>Wh_hp&gt;='2023'!Maxi_hp</f>
        <v>0</v>
      </c>
      <c r="I206" s="388">
        <f>IF(H206,Wh_hp,'2023'!Maxi_hp)</f>
        <v>60.983970970198122</v>
      </c>
      <c r="J206" s="85">
        <f>IF(H206,An,'2023'!An_max)</f>
        <v>2018</v>
      </c>
      <c r="K206" s="197">
        <f t="shared" si="52"/>
        <v>45483</v>
      </c>
      <c r="L206" s="147">
        <f>IF(t&lt;Tvie,1-EXP((T0-t)*PertePVj)+'2023'!Pspv,1-EXP((T0-t)*PertePVj)+Pspv)</f>
        <v>3.7641504153722249E-2</v>
      </c>
      <c r="M206" s="832"/>
      <c r="N206" s="832"/>
      <c r="O206" s="48">
        <f>IF(t&lt;Tnet,'2023'!Resal+('2023'!Salim-'2023'!Resal)*(1-EXP(('2023'!Tnet-t)/('2023'!Tau_j))),Resal+(Salim-Resal)*(1-EXP((Tnet-t)/(Tau_j))))*Salcycl</f>
        <v>4.71006934178251E-2</v>
      </c>
      <c r="P206" s="169">
        <f>(INDEX(Models!$BJ206:$BT206,,T206)*(1-R206)+INDEX(Models!$BJ206:$BT206,,T206+1)*R206-ERP_i)*Q206*Ramure*Pc/MaxiM</f>
        <v>2.7102934818239231E-4</v>
      </c>
      <c r="Q206" s="304">
        <f t="shared" si="53"/>
        <v>0.6</v>
      </c>
      <c r="R206" s="177">
        <f t="shared" si="54"/>
        <v>0.38980039848596282</v>
      </c>
      <c r="S206" s="799">
        <f t="shared" si="55"/>
        <v>1</v>
      </c>
      <c r="T206" s="176">
        <f t="shared" si="56"/>
        <v>7</v>
      </c>
      <c r="U206" s="250">
        <f t="shared" si="57"/>
        <v>1.3898003984859628</v>
      </c>
      <c r="V206" s="382">
        <f t="shared" si="58"/>
        <v>56.63929939478033</v>
      </c>
      <c r="W206" s="400">
        <f t="shared" si="59"/>
        <v>54.731877252546631</v>
      </c>
      <c r="X206" s="157">
        <f t="shared" si="60"/>
        <v>45483</v>
      </c>
      <c r="Y206" s="383">
        <f t="shared" si="61"/>
        <v>53.646855470812945</v>
      </c>
      <c r="Z206" s="383">
        <f t="shared" si="62"/>
        <v>55.745188204149464</v>
      </c>
      <c r="AA206" s="384">
        <f t="shared" si="63"/>
        <v>59.683797569415127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6.5991266066554755E-2</v>
      </c>
      <c r="AD206" s="230">
        <f>(INDEX(Models!$BJ206:$BT206,,AH206)*(1-AF206)+INDEX(Models!$BJ206:$BT206,,AH206+1)*AF206-ERP_i)*AE206*Ramure*Pc/MaxiM</f>
        <v>2.7102934818239231E-4</v>
      </c>
      <c r="AE206" s="304">
        <f t="shared" si="65"/>
        <v>0.6</v>
      </c>
      <c r="AF206" s="177">
        <f t="shared" si="66"/>
        <v>0.38980039848596282</v>
      </c>
      <c r="AG206" s="799">
        <f t="shared" si="74"/>
        <v>1</v>
      </c>
      <c r="AH206" s="176">
        <f t="shared" si="67"/>
        <v>7</v>
      </c>
      <c r="AI206" s="224">
        <f t="shared" si="68"/>
        <v>1.3898003984859628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'2023'!Wh/'2023'!Env_an*'2024'!Env_an</f>
        <v>54.495147184819437</v>
      </c>
      <c r="C207" s="829"/>
      <c r="D207" s="391">
        <f t="shared" ref="D207:D270" si="77">Wh/(1-Ppv)</f>
        <v>56.627745094073198</v>
      </c>
      <c r="E207" s="383">
        <f t="shared" si="75"/>
        <v>59.431489217295493</v>
      </c>
      <c r="F207" s="383">
        <f t="shared" ref="F207:F270" si="78">Wh_sa/(1-Pvg*MEDIAN((-Sdif+Wh/Env_an)/Csdif,0,1))</f>
        <v>59.447096170717209</v>
      </c>
      <c r="G207" s="110">
        <f t="shared" si="76"/>
        <v>0.96354718034950027</v>
      </c>
      <c r="H207" s="412" t="b">
        <f>Wh_hp&gt;='2023'!Maxi_hp</f>
        <v>0</v>
      </c>
      <c r="I207" s="388">
        <f>IF(H207,Wh_hp,'2023'!Maxi_hp)</f>
        <v>61.397076269848142</v>
      </c>
      <c r="J207" s="85">
        <f>IF(H207,An,'2023'!An_max)</f>
        <v>2018</v>
      </c>
      <c r="K207" s="197">
        <f t="shared" ref="K207:K270" si="79">t</f>
        <v>45484</v>
      </c>
      <c r="L207" s="147">
        <f>IF(t&lt;Tvie,1-EXP((T0-t)*PertePVj)+'2023'!Pspv,1-EXP((T0-t)*PertePVj)+Pspv)</f>
        <v>3.7659947534745886E-2</v>
      </c>
      <c r="M207" s="832"/>
      <c r="N207" s="832"/>
      <c r="O207" s="48">
        <f>IF(t&lt;Tnet,'2023'!Resal+('2023'!Salim-'2023'!Resal)*(1-EXP(('2023'!Tnet-t)/('2023'!Tau_j))),Resal+(Salim-Resal)*(1-EXP((Tnet-t)/(Tau_j))))*Salcycl</f>
        <v>4.7176070466131884E-2</v>
      </c>
      <c r="P207" s="169">
        <f>(INDEX(Models!$BJ207:$BT207,,T207)*(1-R207)+INDEX(Models!$BJ207:$BT207,,T207+1)*R207-ERP_i)*Q207*Ramure*Pc/MaxiM</f>
        <v>2.7695207698879724E-4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0.39327539203268103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1.393275392032681</v>
      </c>
      <c r="V207" s="382">
        <f t="shared" ref="V207:V270" si="85">MaxiM*(1-Ppv)*(1-Pvg)*(1-Psa)</f>
        <v>56.555986503119094</v>
      </c>
      <c r="W207" s="400">
        <f t="shared" ref="W207:W270" si="86">Wh*(A207&gt;Tmaj)</f>
        <v>54.495147184819437</v>
      </c>
      <c r="X207" s="157">
        <f t="shared" ref="X207:X270" si="87">t</f>
        <v>45484</v>
      </c>
      <c r="Y207" s="383">
        <f t="shared" ref="Y207:Y270" si="88">Wh_pvt_s*(1-Ppv)</f>
        <v>53.415722537274959</v>
      </c>
      <c r="Z207" s="383">
        <f t="shared" ref="Z207:Z270" si="89">Wh_sa_s*(1-Psa_s)</f>
        <v>55.506078543066323</v>
      </c>
      <c r="AA207" s="384">
        <f t="shared" ref="AA207:AA270" si="90">Wh_hp*(1-Pvg_s*MEDIAN((-Sdif+Wh/Env_an)/Csdif,0,1))</f>
        <v>59.431489217295493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6.6049340609267732E-2</v>
      </c>
      <c r="AD207" s="230">
        <f>(INDEX(Models!$BJ207:$BT207,,AH207)*(1-AF207)+INDEX(Models!$BJ207:$BT207,,AH207+1)*AF207-ERP_i)*AE207*Ramure*Pc/MaxiM</f>
        <v>2.7695207698879724E-4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0.39327539203268103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1.393275392032681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'2023'!Wh/'2023'!Env_an*'2024'!Env_an</f>
        <v>54.218347163953908</v>
      </c>
      <c r="C208" s="829"/>
      <c r="D208" s="391">
        <f t="shared" si="77"/>
        <v>56.341192624402268</v>
      </c>
      <c r="E208" s="383">
        <f t="shared" si="75"/>
        <v>59.13539342010214</v>
      </c>
      <c r="F208" s="383">
        <f t="shared" si="78"/>
        <v>59.151182304780804</v>
      </c>
      <c r="G208" s="110">
        <f t="shared" si="76"/>
        <v>0.96008321076083658</v>
      </c>
      <c r="H208" s="412" t="b">
        <f>Wh_hp&gt;='2023'!Maxi_hp</f>
        <v>0</v>
      </c>
      <c r="I208" s="388">
        <f>IF(H208,Wh_hp,'2023'!Maxi_hp)</f>
        <v>59.151654034195076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3.7678390562306263E-2</v>
      </c>
      <c r="M208" s="832"/>
      <c r="N208" s="832"/>
      <c r="O208" s="48">
        <f>IF(t&lt;Tnet,'2023'!Resal+('2023'!Salim-'2023'!Resal)*(1-EXP(('2023'!Tnet-t)/('2023'!Tau_j))),Resal+(Salim-Resal)*(1-EXP((Tnet-t)/(Tau_j))))*Salcycl</f>
        <v>4.7250903969635688E-2</v>
      </c>
      <c r="P208" s="169">
        <f>(INDEX(Models!$BJ208:$BT208,,T208)*(1-R208)+INDEX(Models!$BJ208:$BT208,,T208+1)*R208-ERP_i)*Q208*Ramure*Pc/MaxiM</f>
        <v>2.8305913921374101E-4</v>
      </c>
      <c r="Q208" s="304">
        <f t="shared" si="80"/>
        <v>0.6</v>
      </c>
      <c r="R208" s="177">
        <f t="shared" si="81"/>
        <v>0.39666900125002647</v>
      </c>
      <c r="S208" s="799">
        <f t="shared" si="82"/>
        <v>1</v>
      </c>
      <c r="T208" s="176">
        <f t="shared" si="83"/>
        <v>7</v>
      </c>
      <c r="U208" s="250">
        <f t="shared" si="84"/>
        <v>1.3966690012500265</v>
      </c>
      <c r="V208" s="382">
        <f t="shared" si="85"/>
        <v>56.471638619868862</v>
      </c>
      <c r="W208" s="400">
        <f t="shared" si="86"/>
        <v>54.218347163953908</v>
      </c>
      <c r="X208" s="157">
        <f t="shared" si="87"/>
        <v>45485</v>
      </c>
      <c r="Y208" s="383">
        <f t="shared" si="88"/>
        <v>53.14531575226453</v>
      </c>
      <c r="Z208" s="383">
        <f t="shared" si="89"/>
        <v>55.226148130788147</v>
      </c>
      <c r="AA208" s="384">
        <f t="shared" si="90"/>
        <v>59.13539342010214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6.6106692848772103E-2</v>
      </c>
      <c r="AD208" s="230">
        <f>(INDEX(Models!$BJ208:$BT208,,AH208)*(1-AF208)+INDEX(Models!$BJ208:$BT208,,AH208+1)*AF208-ERP_i)*AE208*Ramure*Pc/MaxiM</f>
        <v>2.8305913921374101E-4</v>
      </c>
      <c r="AE208" s="304">
        <f t="shared" si="92"/>
        <v>0.6</v>
      </c>
      <c r="AF208" s="177">
        <f t="shared" si="93"/>
        <v>0.39666900125002647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1.3966690012500265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'2023'!Wh/'2023'!Env_an*'2024'!Env_an</f>
        <v>53.65147961809506</v>
      </c>
      <c r="C209" s="829"/>
      <c r="D209" s="391">
        <f t="shared" si="77"/>
        <v>55.753198650000591</v>
      </c>
      <c r="E209" s="383">
        <f t="shared" si="75"/>
        <v>58.522802945266093</v>
      </c>
      <c r="F209" s="383">
        <f t="shared" si="78"/>
        <v>58.538567764852729</v>
      </c>
      <c r="G209" s="110">
        <f t="shared" si="76"/>
        <v>0.95148357852026744</v>
      </c>
      <c r="H209" s="412" t="b">
        <f>Wh_hp&gt;='2023'!Maxi_hp</f>
        <v>0</v>
      </c>
      <c r="I209" s="388">
        <f>IF(H209,Wh_hp,'2023'!Maxi_hp)</f>
        <v>61.162094530225126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3.7696833236410376E-2</v>
      </c>
      <c r="M209" s="832"/>
      <c r="N209" s="832"/>
      <c r="O209" s="48">
        <f>IF(t&lt;Tnet,'2023'!Resal+('2023'!Salim-'2023'!Resal)*(1-EXP(('2023'!Tnet-t)/('2023'!Tau_j))),Resal+(Salim-Resal)*(1-EXP((Tnet-t)/(Tau_j))))*Salcycl</f>
        <v>4.7325216084673785E-2</v>
      </c>
      <c r="P209" s="169">
        <f>(INDEX(Models!$BJ209:$BT209,,T209)*(1-R209)+INDEX(Models!$BJ209:$BT209,,T209+1)*R209-ERP_i)*Q209*Ramure*Pc/MaxiM</f>
        <v>2.8935351359591125E-4</v>
      </c>
      <c r="Q209" s="304">
        <f t="shared" si="80"/>
        <v>0.6</v>
      </c>
      <c r="R209" s="177">
        <f t="shared" si="81"/>
        <v>0.39998128704815938</v>
      </c>
      <c r="S209" s="799">
        <f t="shared" si="82"/>
        <v>1</v>
      </c>
      <c r="T209" s="176">
        <f t="shared" si="83"/>
        <v>7</v>
      </c>
      <c r="U209" s="250">
        <f t="shared" si="84"/>
        <v>1.3999812870481594</v>
      </c>
      <c r="V209" s="382">
        <f t="shared" si="85"/>
        <v>56.386053306788213</v>
      </c>
      <c r="W209" s="400">
        <f t="shared" si="86"/>
        <v>53.65147961809506</v>
      </c>
      <c r="X209" s="157">
        <f t="shared" si="87"/>
        <v>45486</v>
      </c>
      <c r="Y209" s="383">
        <f t="shared" si="88"/>
        <v>52.590578192763545</v>
      </c>
      <c r="Z209" s="383">
        <f t="shared" si="89"/>
        <v>54.650737947413973</v>
      </c>
      <c r="AA209" s="384">
        <f t="shared" si="90"/>
        <v>58.522802945266093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6.6163355187780409E-2</v>
      </c>
      <c r="AD209" s="230">
        <f>(INDEX(Models!$BJ209:$BT209,,AH209)*(1-AF209)+INDEX(Models!$BJ209:$BT209,,AH209+1)*AF209-ERP_i)*AE209*Ramure*Pc/MaxiM</f>
        <v>2.8935351359591125E-4</v>
      </c>
      <c r="AE209" s="304">
        <f t="shared" si="92"/>
        <v>0.6</v>
      </c>
      <c r="AF209" s="177">
        <f t="shared" si="93"/>
        <v>0.39998128704815938</v>
      </c>
      <c r="AG209" s="799">
        <f t="shared" si="99"/>
        <v>1</v>
      </c>
      <c r="AH209" s="176">
        <f t="shared" si="94"/>
        <v>7</v>
      </c>
      <c r="AI209" s="224">
        <f t="shared" si="95"/>
        <v>1.3999812870481594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'2023'!Wh/'2023'!Env_an*'2024'!Env_an</f>
        <v>51.881366813781206</v>
      </c>
      <c r="C210" s="829"/>
      <c r="D210" s="391">
        <f t="shared" si="77"/>
        <v>53.914777503940144</v>
      </c>
      <c r="E210" s="383">
        <f t="shared" si="75"/>
        <v>56.597441263681787</v>
      </c>
      <c r="F210" s="383">
        <f t="shared" si="78"/>
        <v>56.612311946140167</v>
      </c>
      <c r="G210" s="110">
        <f t="shared" si="76"/>
        <v>0.92150162262837865</v>
      </c>
      <c r="H210" s="412" t="b">
        <f>Wh_hp&gt;='2023'!Maxi_hp</f>
        <v>0</v>
      </c>
      <c r="I210" s="388">
        <f>IF(H210,Wh_hp,'2023'!Maxi_hp)</f>
        <v>62.506291921724774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3.7715275557064776E-2</v>
      </c>
      <c r="M210" s="832"/>
      <c r="N210" s="832"/>
      <c r="O210" s="48">
        <f>IF(t&lt;Tnet,'2023'!Resal+('2023'!Salim-'2023'!Resal)*(1-EXP(('2023'!Tnet-t)/('2023'!Tau_j))),Resal+(Salim-Resal)*(1-EXP((Tnet-t)/(Tau_j))))*Salcycl</f>
        <v>4.7399028999268372E-2</v>
      </c>
      <c r="P210" s="169">
        <f>(INDEX(Models!$BJ210:$BT210,,T210)*(1-R210)+INDEX(Models!$BJ210:$BT210,,T210+1)*R210-ERP_i)*Q210*Ramure*Pc/MaxiM</f>
        <v>2.9583831620036411E-4</v>
      </c>
      <c r="Q210" s="304">
        <f t="shared" si="80"/>
        <v>0.6</v>
      </c>
      <c r="R210" s="177">
        <f t="shared" si="81"/>
        <v>0.40321244145331181</v>
      </c>
      <c r="S210" s="799">
        <f t="shared" si="82"/>
        <v>1</v>
      </c>
      <c r="T210" s="176">
        <f t="shared" si="83"/>
        <v>7</v>
      </c>
      <c r="U210" s="250">
        <f t="shared" si="84"/>
        <v>1.4032124414533118</v>
      </c>
      <c r="V210" s="382">
        <f t="shared" si="85"/>
        <v>56.299028205035448</v>
      </c>
      <c r="W210" s="400">
        <f t="shared" si="86"/>
        <v>51.881366813781206</v>
      </c>
      <c r="X210" s="157">
        <f t="shared" si="87"/>
        <v>45487</v>
      </c>
      <c r="Y210" s="383">
        <f t="shared" si="88"/>
        <v>50.856357891301556</v>
      </c>
      <c r="Z210" s="383">
        <f t="shared" si="89"/>
        <v>52.849594927054675</v>
      </c>
      <c r="AA210" s="384">
        <f t="shared" si="90"/>
        <v>56.597441263681787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6.621935997364746E-2</v>
      </c>
      <c r="AD210" s="230">
        <f>(INDEX(Models!$BJ210:$BT210,,AH210)*(1-AF210)+INDEX(Models!$BJ210:$BT210,,AH210+1)*AF210-ERP_i)*AE210*Ramure*Pc/MaxiM</f>
        <v>2.9583831620036411E-4</v>
      </c>
      <c r="AE210" s="304">
        <f t="shared" si="92"/>
        <v>0.6</v>
      </c>
      <c r="AF210" s="177">
        <f t="shared" si="93"/>
        <v>0.40321244145331181</v>
      </c>
      <c r="AG210" s="799">
        <f t="shared" si="99"/>
        <v>1</v>
      </c>
      <c r="AH210" s="176">
        <f t="shared" si="94"/>
        <v>7</v>
      </c>
      <c r="AI210" s="224">
        <f t="shared" si="95"/>
        <v>1.4032124414533118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'2023'!Wh/'2023'!Env_an*'2024'!Env_an</f>
        <v>53.390819136809696</v>
      </c>
      <c r="C211" s="829"/>
      <c r="D211" s="391">
        <f t="shared" si="77"/>
        <v>55.484453845192952</v>
      </c>
      <c r="E211" s="383">
        <f t="shared" si="75"/>
        <v>58.249705095156109</v>
      </c>
      <c r="F211" s="383">
        <f t="shared" si="78"/>
        <v>58.266068484706587</v>
      </c>
      <c r="G211" s="110">
        <f t="shared" si="76"/>
        <v>0.9498188666752102</v>
      </c>
      <c r="H211" s="412" t="b">
        <f>Wh_hp&gt;='2023'!Maxi_hp</f>
        <v>0</v>
      </c>
      <c r="I211" s="388">
        <f>IF(H211,Wh_hp,'2023'!Maxi_hp)</f>
        <v>60.8270261955942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3.7733717524276233E-2</v>
      </c>
      <c r="M211" s="832"/>
      <c r="N211" s="832"/>
      <c r="O211" s="48">
        <f>IF(t&lt;Tnet,'2023'!Resal+('2023'!Salim-'2023'!Resal)*(1-EXP(('2023'!Tnet-t)/('2023'!Tau_j))),Resal+(Salim-Resal)*(1-EXP((Tnet-t)/(Tau_j))))*Salcycl</f>
        <v>4.747236480332169E-2</v>
      </c>
      <c r="P211" s="169">
        <f>(INDEX(Models!$BJ211:$BT211,,T211)*(1-R211)+INDEX(Models!$BJ211:$BT211,,T211+1)*R211-ERP_i)*Q211*Ramure*Pc/MaxiM</f>
        <v>3.0251681075055893E-4</v>
      </c>
      <c r="Q211" s="304">
        <f t="shared" si="80"/>
        <v>0.6</v>
      </c>
      <c r="R211" s="177">
        <f t="shared" si="81"/>
        <v>0.40636278081465327</v>
      </c>
      <c r="S211" s="799">
        <f t="shared" si="82"/>
        <v>1</v>
      </c>
      <c r="T211" s="176">
        <f t="shared" si="83"/>
        <v>7</v>
      </c>
      <c r="U211" s="250">
        <f t="shared" si="84"/>
        <v>1.4063627808146533</v>
      </c>
      <c r="V211" s="382">
        <f t="shared" si="85"/>
        <v>56.210361042000741</v>
      </c>
      <c r="W211" s="400">
        <f t="shared" si="86"/>
        <v>53.390819136809696</v>
      </c>
      <c r="X211" s="157">
        <f t="shared" si="87"/>
        <v>45488</v>
      </c>
      <c r="Y211" s="383">
        <f t="shared" si="88"/>
        <v>52.336913570229946</v>
      </c>
      <c r="Z211" s="383">
        <f t="shared" si="89"/>
        <v>54.389221074625269</v>
      </c>
      <c r="AA211" s="384">
        <f t="shared" si="90"/>
        <v>58.249705095156109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6.6274739317982681E-2</v>
      </c>
      <c r="AD211" s="230">
        <f>(INDEX(Models!$BJ211:$BT211,,AH211)*(1-AF211)+INDEX(Models!$BJ211:$BT211,,AH211+1)*AF211-ERP_i)*AE211*Ramure*Pc/MaxiM</f>
        <v>3.0251681075055893E-4</v>
      </c>
      <c r="AE211" s="304">
        <f t="shared" si="92"/>
        <v>0.6</v>
      </c>
      <c r="AF211" s="177">
        <f t="shared" si="93"/>
        <v>0.40636278081465327</v>
      </c>
      <c r="AG211" s="799">
        <f t="shared" si="99"/>
        <v>1</v>
      </c>
      <c r="AH211" s="176">
        <f t="shared" si="94"/>
        <v>7</v>
      </c>
      <c r="AI211" s="224">
        <f t="shared" si="95"/>
        <v>1.4063627808146533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'2023'!Wh/'2023'!Env_an*'2024'!Env_an</f>
        <v>52.921267598063999</v>
      </c>
      <c r="C212" s="829"/>
      <c r="D212" s="391">
        <f t="shared" si="77"/>
        <v>54.997543616890802</v>
      </c>
      <c r="E212" s="383">
        <f t="shared" si="75"/>
        <v>57.74294616009621</v>
      </c>
      <c r="F212" s="383">
        <f t="shared" si="78"/>
        <v>57.759360498801819</v>
      </c>
      <c r="G212" s="110">
        <f t="shared" si="76"/>
        <v>0.94298066630419675</v>
      </c>
      <c r="H212" s="412" t="b">
        <f>Wh_hp&gt;='2023'!Maxi_hp</f>
        <v>0</v>
      </c>
      <c r="I212" s="388">
        <f>IF(H212,Wh_hp,'2023'!Maxi_hp)</f>
        <v>61.26677577265081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3.7752159138051744E-2</v>
      </c>
      <c r="M212" s="832"/>
      <c r="N212" s="832"/>
      <c r="O212" s="48">
        <f>IF(t&lt;Tnet,'2023'!Resal+('2023'!Salim-'2023'!Resal)*(1-EXP(('2023'!Tnet-t)/('2023'!Tau_j))),Resal+(Salim-Resal)*(1-EXP((Tnet-t)/(Tau_j))))*Salcycl</f>
        <v>4.7545245363712428E-2</v>
      </c>
      <c r="P212" s="169">
        <f>(INDEX(Models!$BJ212:$BT212,,T212)*(1-R212)+INDEX(Models!$BJ212:$BT212,,T212+1)*R212-ERP_i)*Q212*Ramure*Pc/MaxiM</f>
        <v>3.0937491101801245E-4</v>
      </c>
      <c r="Q212" s="304">
        <f t="shared" si="80"/>
        <v>0.6</v>
      </c>
      <c r="R212" s="177">
        <f t="shared" si="81"/>
        <v>0.40943273888122955</v>
      </c>
      <c r="S212" s="799">
        <f t="shared" si="82"/>
        <v>1</v>
      </c>
      <c r="T212" s="176">
        <f t="shared" si="83"/>
        <v>7</v>
      </c>
      <c r="U212" s="250">
        <f t="shared" si="84"/>
        <v>1.4094327388812296</v>
      </c>
      <c r="V212" s="382">
        <f t="shared" si="85"/>
        <v>56.119850621936529</v>
      </c>
      <c r="W212" s="400">
        <f t="shared" si="86"/>
        <v>52.921267598063999</v>
      </c>
      <c r="X212" s="157">
        <f t="shared" si="87"/>
        <v>45489</v>
      </c>
      <c r="Y212" s="383">
        <f t="shared" si="88"/>
        <v>51.877556198230607</v>
      </c>
      <c r="Z212" s="383">
        <f t="shared" si="89"/>
        <v>53.912883973593011</v>
      </c>
      <c r="AA212" s="384">
        <f t="shared" si="90"/>
        <v>57.74294616009621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6.6329524923859795E-2</v>
      </c>
      <c r="AD212" s="230">
        <f>(INDEX(Models!$BJ212:$BT212,,AH212)*(1-AF212)+INDEX(Models!$BJ212:$BT212,,AH212+1)*AF212-ERP_i)*AE212*Ramure*Pc/MaxiM</f>
        <v>3.0937491101801245E-4</v>
      </c>
      <c r="AE212" s="304">
        <f t="shared" si="92"/>
        <v>0.6</v>
      </c>
      <c r="AF212" s="177">
        <f t="shared" si="93"/>
        <v>0.40943273888122955</v>
      </c>
      <c r="AG212" s="799">
        <f t="shared" si="99"/>
        <v>1</v>
      </c>
      <c r="AH212" s="176">
        <f t="shared" si="94"/>
        <v>7</v>
      </c>
      <c r="AI212" s="224">
        <f t="shared" si="95"/>
        <v>1.4094327388812296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'2023'!Wh/'2023'!Env_an*'2024'!Env_an</f>
        <v>53.875433744345649</v>
      </c>
      <c r="C213" s="829"/>
      <c r="D213" s="391">
        <f t="shared" si="77"/>
        <v>55.990217890507225</v>
      </c>
      <c r="E213" s="383">
        <f t="shared" si="75"/>
        <v>58.789645116513348</v>
      </c>
      <c r="F213" s="383">
        <f t="shared" si="78"/>
        <v>58.807229694226635</v>
      </c>
      <c r="G213" s="110">
        <f t="shared" si="76"/>
        <v>0.96157589633443186</v>
      </c>
      <c r="H213" s="412" t="b">
        <f>Wh_hp&gt;='2023'!Maxi_hp</f>
        <v>0</v>
      </c>
      <c r="I213" s="388">
        <f>IF(H213,Wh_hp,'2023'!Maxi_hp)</f>
        <v>58.807726124673266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3.7770600398397858E-2</v>
      </c>
      <c r="M213" s="832"/>
      <c r="N213" s="832"/>
      <c r="O213" s="48">
        <f>IF(t&lt;Tnet,'2023'!Resal+('2023'!Salim-'2023'!Resal)*(1-EXP(('2023'!Tnet-t)/('2023'!Tau_j))),Resal+(Salim-Resal)*(1-EXP((Tnet-t)/(Tau_j))))*Salcycl</f>
        <v>4.7617692205115844E-2</v>
      </c>
      <c r="P213" s="169">
        <f>(INDEX(Models!$BJ213:$BT213,,T213)*(1-R213)+INDEX(Models!$BJ213:$BT213,,T213+1)*R213-ERP_i)*Q213*Ramure*Pc/MaxiM</f>
        <v>3.1637971288394782E-4</v>
      </c>
      <c r="Q213" s="304">
        <f t="shared" si="80"/>
        <v>0.6</v>
      </c>
      <c r="R213" s="177">
        <f t="shared" si="81"/>
        <v>0.41242285979751991</v>
      </c>
      <c r="S213" s="799">
        <f t="shared" si="82"/>
        <v>1</v>
      </c>
      <c r="T213" s="176">
        <f t="shared" si="83"/>
        <v>7</v>
      </c>
      <c r="U213" s="250">
        <f t="shared" si="84"/>
        <v>1.4124228597975199</v>
      </c>
      <c r="V213" s="382">
        <f t="shared" si="85"/>
        <v>56.027296903411987</v>
      </c>
      <c r="W213" s="400">
        <f t="shared" si="86"/>
        <v>53.875433744345649</v>
      </c>
      <c r="X213" s="157">
        <f t="shared" si="87"/>
        <v>45490</v>
      </c>
      <c r="Y213" s="383">
        <f t="shared" si="88"/>
        <v>52.813854394195978</v>
      </c>
      <c r="Z213" s="383">
        <f t="shared" si="89"/>
        <v>54.886968134690989</v>
      </c>
      <c r="AA213" s="384">
        <f t="shared" si="90"/>
        <v>58.789645116513348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6.6383747921726202E-2</v>
      </c>
      <c r="AD213" s="230">
        <f>(INDEX(Models!$BJ213:$BT213,,AH213)*(1-AF213)+INDEX(Models!$BJ213:$BT213,,AH213+1)*AF213-ERP_i)*AE213*Ramure*Pc/MaxiM</f>
        <v>3.1637971288394782E-4</v>
      </c>
      <c r="AE213" s="304">
        <f t="shared" si="92"/>
        <v>0.6</v>
      </c>
      <c r="AF213" s="177">
        <f t="shared" si="93"/>
        <v>0.41242285979751991</v>
      </c>
      <c r="AG213" s="799">
        <f t="shared" si="99"/>
        <v>1</v>
      </c>
      <c r="AH213" s="176">
        <f t="shared" si="94"/>
        <v>7</v>
      </c>
      <c r="AI213" s="224">
        <f t="shared" si="95"/>
        <v>1.4124228597975199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'2023'!Wh/'2023'!Env_an*'2024'!Env_an</f>
        <v>44.52081115709197</v>
      </c>
      <c r="C214" s="829"/>
      <c r="D214" s="391">
        <f t="shared" si="77"/>
        <v>46.269283003685857</v>
      </c>
      <c r="E214" s="383">
        <f t="shared" si="75"/>
        <v>48.586352879134679</v>
      </c>
      <c r="F214" s="383">
        <f t="shared" si="78"/>
        <v>48.597493140766446</v>
      </c>
      <c r="G214" s="110">
        <f t="shared" si="76"/>
        <v>0.79589887043802143</v>
      </c>
      <c r="H214" s="412" t="b">
        <f>Wh_hp&gt;='2023'!Maxi_hp</f>
        <v>0</v>
      </c>
      <c r="I214" s="388">
        <f>IF(H214,Wh_hp,'2023'!Maxi_hp)</f>
        <v>60.996282625351171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3.7789041305321347E-2</v>
      </c>
      <c r="M214" s="832"/>
      <c r="N214" s="832"/>
      <c r="O214" s="48">
        <f>IF(t&lt;Tnet,'2023'!Resal+('2023'!Salim-'2023'!Resal)*(1-EXP(('2023'!Tnet-t)/('2023'!Tau_j))),Resal+(Salim-Resal)*(1-EXP((Tnet-t)/(Tau_j))))*Salcycl</f>
        <v>4.7689726397304531E-2</v>
      </c>
      <c r="P214" s="169">
        <f>(INDEX(Models!$BJ214:$BT214,,T214)*(1-R214)+INDEX(Models!$BJ214:$BT214,,T214+1)*R214-ERP_i)*Q214*Ramure*Pc/MaxiM</f>
        <v>3.2353457495416218E-4</v>
      </c>
      <c r="Q214" s="304">
        <f t="shared" si="80"/>
        <v>0.6</v>
      </c>
      <c r="R214" s="177">
        <f t="shared" si="81"/>
        <v>0.41533379106308366</v>
      </c>
      <c r="S214" s="799">
        <f t="shared" si="82"/>
        <v>1</v>
      </c>
      <c r="T214" s="176">
        <f t="shared" si="83"/>
        <v>7</v>
      </c>
      <c r="U214" s="250">
        <f t="shared" si="84"/>
        <v>1.4153337910630837</v>
      </c>
      <c r="V214" s="382">
        <f t="shared" si="85"/>
        <v>55.932497919513175</v>
      </c>
      <c r="W214" s="400">
        <f t="shared" si="86"/>
        <v>44.52081115709197</v>
      </c>
      <c r="X214" s="157">
        <f t="shared" si="87"/>
        <v>45491</v>
      </c>
      <c r="Y214" s="383">
        <f t="shared" si="88"/>
        <v>43.644349584786603</v>
      </c>
      <c r="Z214" s="383">
        <f t="shared" si="89"/>
        <v>45.358400037340971</v>
      </c>
      <c r="AA214" s="384">
        <f t="shared" si="90"/>
        <v>48.586352879134679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6.64374387150172E-2</v>
      </c>
      <c r="AD214" s="230">
        <f>(INDEX(Models!$BJ214:$BT214,,AH214)*(1-AF214)+INDEX(Models!$BJ214:$BT214,,AH214+1)*AF214-ERP_i)*AE214*Ramure*Pc/MaxiM</f>
        <v>3.2353457495416218E-4</v>
      </c>
      <c r="AE214" s="304">
        <f t="shared" si="92"/>
        <v>0.6</v>
      </c>
      <c r="AF214" s="177">
        <f t="shared" si="93"/>
        <v>0.41533379106308366</v>
      </c>
      <c r="AG214" s="799">
        <f t="shared" si="99"/>
        <v>1</v>
      </c>
      <c r="AH214" s="176">
        <f t="shared" si="94"/>
        <v>7</v>
      </c>
      <c r="AI214" s="224">
        <f t="shared" si="95"/>
        <v>1.4153337910630837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'2023'!Wh/'2023'!Env_an*'2024'!Env_an</f>
        <v>44.086413586505898</v>
      </c>
      <c r="C215" s="829"/>
      <c r="D215" s="391">
        <f t="shared" si="77"/>
        <v>45.818703383471579</v>
      </c>
      <c r="E215" s="383">
        <f t="shared" si="75"/>
        <v>48.1168289810632</v>
      </c>
      <c r="F215" s="383">
        <f t="shared" si="78"/>
        <v>48.127965395669356</v>
      </c>
      <c r="G215" s="110">
        <f t="shared" si="76"/>
        <v>0.78950173394601653</v>
      </c>
      <c r="H215" s="412" t="b">
        <f>Wh_hp&gt;='2023'!Maxi_hp</f>
        <v>0</v>
      </c>
      <c r="I215" s="388">
        <f>IF(H215,Wh_hp,'2023'!Maxi_hp)</f>
        <v>59.776097909915435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3.7807481858829206E-2</v>
      </c>
      <c r="M215" s="832"/>
      <c r="N215" s="832"/>
      <c r="O215" s="48">
        <f>IF(t&lt;Tnet,'2023'!Resal+('2023'!Salim-'2023'!Resal)*(1-EXP(('2023'!Tnet-t)/('2023'!Tau_j))),Resal+(Salim-Resal)*(1-EXP((Tnet-t)/(Tau_j))))*Salcycl</f>
        <v>4.7761368449613914E-2</v>
      </c>
      <c r="P215" s="169">
        <f>(INDEX(Models!$BJ215:$BT215,,T215)*(1-R215)+INDEX(Models!$BJ215:$BT215,,T215+1)*R215-ERP_i)*Q215*Ramure*Pc/MaxiM</f>
        <v>3.3084304958621577E-4</v>
      </c>
      <c r="Q215" s="304">
        <f t="shared" si="80"/>
        <v>0.6</v>
      </c>
      <c r="R215" s="177">
        <f t="shared" si="81"/>
        <v>0.41816627649851879</v>
      </c>
      <c r="S215" s="799">
        <f t="shared" si="82"/>
        <v>1</v>
      </c>
      <c r="T215" s="176">
        <f t="shared" si="83"/>
        <v>7</v>
      </c>
      <c r="U215" s="250">
        <f t="shared" si="84"/>
        <v>1.4181662764985188</v>
      </c>
      <c r="V215" s="382">
        <f t="shared" si="85"/>
        <v>55.835251812207098</v>
      </c>
      <c r="W215" s="400">
        <f t="shared" si="86"/>
        <v>44.086413586505898</v>
      </c>
      <c r="X215" s="157">
        <f t="shared" si="87"/>
        <v>45492</v>
      </c>
      <c r="Y215" s="383">
        <f t="shared" si="88"/>
        <v>43.219292883722751</v>
      </c>
      <c r="Z215" s="383">
        <f t="shared" si="89"/>
        <v>44.917510860733707</v>
      </c>
      <c r="AA215" s="384">
        <f t="shared" si="90"/>
        <v>48.1168289810632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6.6490626836373898E-2</v>
      </c>
      <c r="AD215" s="230">
        <f>(INDEX(Models!$BJ215:$BT215,,AH215)*(1-AF215)+INDEX(Models!$BJ215:$BT215,,AH215+1)*AF215-ERP_i)*AE215*Ramure*Pc/MaxiM</f>
        <v>3.3084304958621577E-4</v>
      </c>
      <c r="AE215" s="304">
        <f t="shared" si="92"/>
        <v>0.6</v>
      </c>
      <c r="AF215" s="177">
        <f t="shared" si="93"/>
        <v>0.41816627649851879</v>
      </c>
      <c r="AG215" s="799">
        <f t="shared" si="99"/>
        <v>1</v>
      </c>
      <c r="AH215" s="176">
        <f t="shared" si="94"/>
        <v>7</v>
      </c>
      <c r="AI215" s="224">
        <f t="shared" si="95"/>
        <v>1.4181662764985188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'2023'!Wh/'2023'!Env_an*'2024'!Env_an</f>
        <v>52.135627115139954</v>
      </c>
      <c r="C216" s="829"/>
      <c r="D216" s="391">
        <f t="shared" si="77"/>
        <v>54.185233535602464</v>
      </c>
      <c r="E216" s="383">
        <f t="shared" si="75"/>
        <v>56.907257810138923</v>
      </c>
      <c r="F216" s="383">
        <f t="shared" si="78"/>
        <v>56.924739085812888</v>
      </c>
      <c r="G216" s="110">
        <f t="shared" si="76"/>
        <v>0.93538468566586541</v>
      </c>
      <c r="H216" s="412" t="b">
        <f>Wh_hp&gt;='2023'!Maxi_hp</f>
        <v>0</v>
      </c>
      <c r="I216" s="388">
        <f>IF(H216,Wh_hp,'2023'!Maxi_hp)</f>
        <v>56.925596291857346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3.7825922058927985E-2</v>
      </c>
      <c r="M216" s="832"/>
      <c r="N216" s="832"/>
      <c r="O216" s="48">
        <f>IF(t&lt;Tnet,'2023'!Resal+('2023'!Salim-'2023'!Resal)*(1-EXP(('2023'!Tnet-t)/('2023'!Tau_j))),Resal+(Salim-Resal)*(1-EXP((Tnet-t)/(Tau_j))))*Salcycl</f>
        <v>4.7832638213178631E-2</v>
      </c>
      <c r="P216" s="169">
        <f>(INDEX(Models!$BJ216:$BT216,,T216)*(1-R216)+INDEX(Models!$BJ216:$BT216,,T216+1)*R216-ERP_i)*Q216*Ramure*Pc/MaxiM</f>
        <v>3.3830888720998945E-4</v>
      </c>
      <c r="Q216" s="304">
        <f t="shared" si="80"/>
        <v>0.6</v>
      </c>
      <c r="R216" s="177">
        <f t="shared" si="81"/>
        <v>0.42092114925657875</v>
      </c>
      <c r="S216" s="799">
        <f t="shared" si="82"/>
        <v>1</v>
      </c>
      <c r="T216" s="176">
        <f t="shared" si="83"/>
        <v>7</v>
      </c>
      <c r="U216" s="250">
        <f t="shared" si="84"/>
        <v>1.4209211492565788</v>
      </c>
      <c r="V216" s="382">
        <f t="shared" si="85"/>
        <v>55.735356836350682</v>
      </c>
      <c r="W216" s="400">
        <f t="shared" si="86"/>
        <v>52.135627115139954</v>
      </c>
      <c r="X216" s="157">
        <f t="shared" si="87"/>
        <v>45493</v>
      </c>
      <c r="Y216" s="383">
        <f t="shared" si="88"/>
        <v>51.111128426071993</v>
      </c>
      <c r="Z216" s="383">
        <f t="shared" si="89"/>
        <v>53.12045875881752</v>
      </c>
      <c r="AA216" s="384">
        <f t="shared" si="90"/>
        <v>56.907257810138923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6.6543340815250554E-2</v>
      </c>
      <c r="AD216" s="230">
        <f>(INDEX(Models!$BJ216:$BT216,,AH216)*(1-AF216)+INDEX(Models!$BJ216:$BT216,,AH216+1)*AF216-ERP_i)*AE216*Ramure*Pc/MaxiM</f>
        <v>3.3830888720998945E-4</v>
      </c>
      <c r="AE216" s="304">
        <f t="shared" si="92"/>
        <v>0.6</v>
      </c>
      <c r="AF216" s="177">
        <f t="shared" si="93"/>
        <v>0.42092114925657875</v>
      </c>
      <c r="AG216" s="799">
        <f t="shared" si="99"/>
        <v>1</v>
      </c>
      <c r="AH216" s="176">
        <f t="shared" si="94"/>
        <v>7</v>
      </c>
      <c r="AI216" s="224">
        <f t="shared" si="95"/>
        <v>1.4209211492565788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'2023'!Wh/'2023'!Env_an*'2024'!Env_an</f>
        <v>42.096276978320745</v>
      </c>
      <c r="C217" s="829"/>
      <c r="D217" s="391">
        <f t="shared" si="77"/>
        <v>43.752045211412693</v>
      </c>
      <c r="E217" s="383">
        <f t="shared" si="75"/>
        <v>45.953375240078394</v>
      </c>
      <c r="F217" s="383">
        <f t="shared" si="78"/>
        <v>45.963748816192577</v>
      </c>
      <c r="G217" s="110">
        <f t="shared" si="76"/>
        <v>0.75659245369838934</v>
      </c>
      <c r="H217" s="412" t="b">
        <f>Wh_hp&gt;='2023'!Maxi_hp</f>
        <v>0</v>
      </c>
      <c r="I217" s="388">
        <f>IF(H217,Wh_hp,'2023'!Maxi_hp)</f>
        <v>55.348148280408218</v>
      </c>
      <c r="J217" s="85">
        <f>IF(H217,An,'2023'!An_max)</f>
        <v>2020</v>
      </c>
      <c r="K217" s="197">
        <f t="shared" si="79"/>
        <v>45494</v>
      </c>
      <c r="L217" s="147">
        <f>IF(t&lt;Tvie,1-EXP((T0-t)*PertePVj)+'2023'!Pspv,1-EXP((T0-t)*PertePVj)+Pspv)</f>
        <v>3.7844361905624457E-2</v>
      </c>
      <c r="M217" s="832"/>
      <c r="N217" s="832"/>
      <c r="O217" s="48">
        <f>IF(t&lt;Tnet,'2023'!Resal+('2023'!Salim-'2023'!Resal)*(1-EXP(('2023'!Tnet-t)/('2023'!Tau_j))),Resal+(Salim-Resal)*(1-EXP((Tnet-t)/(Tau_j))))*Salcycl</f>
        <v>4.7903554791461959E-2</v>
      </c>
      <c r="P217" s="169">
        <f>(INDEX(Models!$BJ217:$BT217,,T217)*(1-R217)+INDEX(Models!$BJ217:$BT217,,T217+1)*R217-ERP_i)*Q217*Ramure*Pc/MaxiM</f>
        <v>3.459360406126037E-4</v>
      </c>
      <c r="Q217" s="304">
        <f t="shared" si="80"/>
        <v>0.6</v>
      </c>
      <c r="R217" s="177">
        <f t="shared" si="81"/>
        <v>0.42359932491385788</v>
      </c>
      <c r="S217" s="799">
        <f t="shared" si="82"/>
        <v>1</v>
      </c>
      <c r="T217" s="176">
        <f t="shared" si="83"/>
        <v>7</v>
      </c>
      <c r="U217" s="250">
        <f t="shared" si="84"/>
        <v>1.4235993249138579</v>
      </c>
      <c r="V217" s="382">
        <f t="shared" si="85"/>
        <v>55.63261136880098</v>
      </c>
      <c r="W217" s="400">
        <f t="shared" si="86"/>
        <v>42.096276978320745</v>
      </c>
      <c r="X217" s="157">
        <f t="shared" si="87"/>
        <v>45494</v>
      </c>
      <c r="Y217" s="383">
        <f t="shared" si="88"/>
        <v>41.269820944854992</v>
      </c>
      <c r="Z217" s="383">
        <f t="shared" si="89"/>
        <v>42.893082273667382</v>
      </c>
      <c r="AA217" s="384">
        <f t="shared" si="90"/>
        <v>45.953375240078394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6.6595608057576708E-2</v>
      </c>
      <c r="AD217" s="230">
        <f>(INDEX(Models!$BJ217:$BT217,,AH217)*(1-AF217)+INDEX(Models!$BJ217:$BT217,,AH217+1)*AF217-ERP_i)*AE217*Ramure*Pc/MaxiM</f>
        <v>3.459360406126037E-4</v>
      </c>
      <c r="AE217" s="304">
        <f t="shared" si="92"/>
        <v>0.6</v>
      </c>
      <c r="AF217" s="177">
        <f t="shared" si="93"/>
        <v>0.42359932491385788</v>
      </c>
      <c r="AG217" s="799">
        <f t="shared" si="99"/>
        <v>1</v>
      </c>
      <c r="AH217" s="176">
        <f t="shared" si="94"/>
        <v>7</v>
      </c>
      <c r="AI217" s="224">
        <f t="shared" si="95"/>
        <v>1.4235993249138579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'2023'!Wh/'2023'!Env_an*'2024'!Env_an</f>
        <v>48.373562478507566</v>
      </c>
      <c r="C218" s="829"/>
      <c r="D218" s="391">
        <f t="shared" si="77"/>
        <v>50.277198042900352</v>
      </c>
      <c r="E218" s="383">
        <f t="shared" si="75"/>
        <v>52.810748077709341</v>
      </c>
      <c r="F218" s="383">
        <f t="shared" si="78"/>
        <v>52.825995238027211</v>
      </c>
      <c r="G218" s="110">
        <f t="shared" si="76"/>
        <v>0.87111809777863836</v>
      </c>
      <c r="H218" s="412" t="b">
        <f>Wh_hp&gt;='2023'!Maxi_hp</f>
        <v>0</v>
      </c>
      <c r="I218" s="388">
        <f>IF(H218,Wh_hp,'2023'!Maxi_hp)</f>
        <v>56.109961045476417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3.7862801398925616E-2</v>
      </c>
      <c r="M218" s="832"/>
      <c r="N218" s="832"/>
      <c r="O218" s="48">
        <f>IF(t&lt;Tnet,'2023'!Resal+('2023'!Salim-'2023'!Resal)*(1-EXP(('2023'!Tnet-t)/('2023'!Tau_j))),Resal+(Salim-Resal)*(1-EXP((Tnet-t)/(Tau_j))))*Salcycl</f>
        <v>4.7974136459512991E-2</v>
      </c>
      <c r="P218" s="169">
        <f>(INDEX(Models!$BJ218:$BT218,,T218)*(1-R218)+INDEX(Models!$BJ218:$BT218,,T218+1)*R218-ERP_i)*Q218*Ramure*Pc/MaxiM</f>
        <v>3.5372866936270598E-4</v>
      </c>
      <c r="Q218" s="304">
        <f t="shared" si="80"/>
        <v>0.6</v>
      </c>
      <c r="R218" s="177">
        <f t="shared" si="81"/>
        <v>0.42620179467499009</v>
      </c>
      <c r="S218" s="799">
        <f t="shared" si="82"/>
        <v>1</v>
      </c>
      <c r="T218" s="176">
        <f t="shared" si="83"/>
        <v>7</v>
      </c>
      <c r="U218" s="250">
        <f t="shared" si="84"/>
        <v>1.4262017946749901</v>
      </c>
      <c r="V218" s="382">
        <f t="shared" si="85"/>
        <v>55.526813909622135</v>
      </c>
      <c r="W218" s="400">
        <f t="shared" si="86"/>
        <v>48.373562478507566</v>
      </c>
      <c r="X218" s="157">
        <f t="shared" si="87"/>
        <v>45495</v>
      </c>
      <c r="Y218" s="383">
        <f t="shared" si="88"/>
        <v>47.424749044945052</v>
      </c>
      <c r="Z218" s="383">
        <f t="shared" si="89"/>
        <v>49.291046135519508</v>
      </c>
      <c r="AA218" s="384">
        <f t="shared" si="90"/>
        <v>52.810748077709341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6.6647454738014644E-2</v>
      </c>
      <c r="AD218" s="230">
        <f>(INDEX(Models!$BJ218:$BT218,,AH218)*(1-AF218)+INDEX(Models!$BJ218:$BT218,,AH218+1)*AF218-ERP_i)*AE218*Ramure*Pc/MaxiM</f>
        <v>3.5372866936270598E-4</v>
      </c>
      <c r="AE218" s="304">
        <f t="shared" si="92"/>
        <v>0.6</v>
      </c>
      <c r="AF218" s="177">
        <f t="shared" si="93"/>
        <v>0.42620179467499009</v>
      </c>
      <c r="AG218" s="799">
        <f t="shared" si="99"/>
        <v>1</v>
      </c>
      <c r="AH218" s="176">
        <f t="shared" si="94"/>
        <v>7</v>
      </c>
      <c r="AI218" s="224">
        <f t="shared" si="95"/>
        <v>1.4262017946749901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'2023'!Wh/'2023'!Env_an*'2024'!Env_an</f>
        <v>52.367335750753448</v>
      </c>
      <c r="C219" s="829"/>
      <c r="D219" s="391">
        <f t="shared" si="77"/>
        <v>54.429180634708715</v>
      </c>
      <c r="E219" s="383">
        <f t="shared" si="75"/>
        <v>57.176175725605134</v>
      </c>
      <c r="F219" s="383">
        <f t="shared" si="78"/>
        <v>57.195235564224895</v>
      </c>
      <c r="G219" s="110">
        <f t="shared" si="76"/>
        <v>0.94492032340650089</v>
      </c>
      <c r="H219" s="412" t="b">
        <f>Wh_hp&gt;='2023'!Maxi_hp</f>
        <v>0</v>
      </c>
      <c r="I219" s="388">
        <f>IF(H219,Wh_hp,'2023'!Maxi_hp)</f>
        <v>57.196015224186993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3.7881240538838012E-2</v>
      </c>
      <c r="M219" s="832"/>
      <c r="N219" s="832"/>
      <c r="O219" s="48">
        <f>IF(t&lt;Tnet,'2023'!Resal+('2023'!Salim-'2023'!Resal)*(1-EXP(('2023'!Tnet-t)/('2023'!Tau_j))),Resal+(Salim-Resal)*(1-EXP((Tnet-t)/(Tau_j))))*Salcycl</f>
        <v>4.8044400592294825E-2</v>
      </c>
      <c r="P219" s="169">
        <f>(INDEX(Models!$BJ219:$BT219,,T219)*(1-R219)+INDEX(Models!$BJ219:$BT219,,T219+1)*R219-ERP_i)*Q219*Ramure*Pc/MaxiM</f>
        <v>3.6168728077191328E-4</v>
      </c>
      <c r="Q219" s="304">
        <f t="shared" si="80"/>
        <v>0.6</v>
      </c>
      <c r="R219" s="177">
        <f t="shared" si="81"/>
        <v>0.4287296187178673</v>
      </c>
      <c r="S219" s="799">
        <f t="shared" si="82"/>
        <v>1</v>
      </c>
      <c r="T219" s="176">
        <f t="shared" si="83"/>
        <v>7</v>
      </c>
      <c r="U219" s="250">
        <f t="shared" si="84"/>
        <v>1.4287296187178673</v>
      </c>
      <c r="V219" s="382">
        <f t="shared" si="85"/>
        <v>55.418265793162639</v>
      </c>
      <c r="W219" s="400">
        <f t="shared" si="86"/>
        <v>52.367335750753448</v>
      </c>
      <c r="X219" s="157">
        <f t="shared" si="87"/>
        <v>45496</v>
      </c>
      <c r="Y219" s="383">
        <f t="shared" si="88"/>
        <v>51.34114636427293</v>
      </c>
      <c r="Z219" s="383">
        <f t="shared" si="89"/>
        <v>53.362587372297696</v>
      </c>
      <c r="AA219" s="384">
        <f t="shared" si="90"/>
        <v>57.176175725605134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6.6698905705223771E-2</v>
      </c>
      <c r="AD219" s="230">
        <f>(INDEX(Models!$BJ219:$BT219,,AH219)*(1-AF219)+INDEX(Models!$BJ219:$BT219,,AH219+1)*AF219-ERP_i)*AE219*Ramure*Pc/MaxiM</f>
        <v>3.6168728077191328E-4</v>
      </c>
      <c r="AE219" s="304">
        <f t="shared" si="92"/>
        <v>0.6</v>
      </c>
      <c r="AF219" s="177">
        <f t="shared" si="93"/>
        <v>0.4287296187178673</v>
      </c>
      <c r="AG219" s="799">
        <f t="shared" si="99"/>
        <v>1</v>
      </c>
      <c r="AH219" s="176">
        <f t="shared" si="94"/>
        <v>7</v>
      </c>
      <c r="AI219" s="224">
        <f t="shared" si="95"/>
        <v>1.4287296187178673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'2023'!Wh/'2023'!Env_an*'2024'!Env_an</f>
        <v>26.686583212958364</v>
      </c>
      <c r="C220" s="829"/>
      <c r="D220" s="391">
        <f t="shared" si="77"/>
        <v>27.737838393241098</v>
      </c>
      <c r="E220" s="383">
        <f t="shared" si="75"/>
        <v>29.139885436461356</v>
      </c>
      <c r="F220" s="383">
        <f t="shared" si="78"/>
        <v>29.142695277740504</v>
      </c>
      <c r="G220" s="110">
        <f t="shared" si="76"/>
        <v>0.48238184065800921</v>
      </c>
      <c r="H220" s="412" t="b">
        <f>Wh_hp&gt;='2023'!Maxi_hp</f>
        <v>0</v>
      </c>
      <c r="I220" s="388">
        <f>IF(H220,Wh_hp,'2023'!Maxi_hp)</f>
        <v>59.315557328001788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3.7899679325368529E-2</v>
      </c>
      <c r="M220" s="832"/>
      <c r="N220" s="832"/>
      <c r="O220" s="48">
        <f>IF(t&lt;Tnet,'2023'!Resal+('2023'!Salim-'2023'!Resal)*(1-EXP(('2023'!Tnet-t)/('2023'!Tau_j))),Resal+(Salim-Resal)*(1-EXP((Tnet-t)/(Tau_j))))*Salcycl</f>
        <v>4.811436360233394E-2</v>
      </c>
      <c r="P220" s="169">
        <f>(INDEX(Models!$BJ220:$BT220,,T220)*(1-R220)+INDEX(Models!$BJ220:$BT220,,T220+1)*R220-ERP_i)*Q220*Ramure*Pc/MaxiM</f>
        <v>3.697894376378888E-4</v>
      </c>
      <c r="Q220" s="304">
        <f t="shared" si="80"/>
        <v>0.6</v>
      </c>
      <c r="R220" s="177">
        <f t="shared" si="81"/>
        <v>0.43118391970500225</v>
      </c>
      <c r="S220" s="799">
        <f t="shared" si="82"/>
        <v>1</v>
      </c>
      <c r="T220" s="176">
        <f t="shared" si="83"/>
        <v>7</v>
      </c>
      <c r="U220" s="250">
        <f t="shared" si="84"/>
        <v>1.4311839197050022</v>
      </c>
      <c r="V220" s="382">
        <f t="shared" si="85"/>
        <v>55.307403545010864</v>
      </c>
      <c r="W220" s="400">
        <f t="shared" si="86"/>
        <v>26.686583212958364</v>
      </c>
      <c r="X220" s="157">
        <f t="shared" si="87"/>
        <v>45497</v>
      </c>
      <c r="Y220" s="383">
        <f t="shared" si="88"/>
        <v>26.164124394233962</v>
      </c>
      <c r="Z220" s="383">
        <f t="shared" si="89"/>
        <v>27.194798538147761</v>
      </c>
      <c r="AA220" s="384">
        <f t="shared" si="90"/>
        <v>29.139885436461356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6.6749984400412271E-2</v>
      </c>
      <c r="AD220" s="230">
        <f>(INDEX(Models!$BJ220:$BT220,,AH220)*(1-AF220)+INDEX(Models!$BJ220:$BT220,,AH220+1)*AF220-ERP_i)*AE220*Ramure*Pc/MaxiM</f>
        <v>3.697894376378888E-4</v>
      </c>
      <c r="AE220" s="304">
        <f t="shared" si="92"/>
        <v>0.6</v>
      </c>
      <c r="AF220" s="177">
        <f t="shared" si="93"/>
        <v>0.43118391970500225</v>
      </c>
      <c r="AG220" s="799">
        <f t="shared" si="99"/>
        <v>1</v>
      </c>
      <c r="AH220" s="176">
        <f t="shared" si="94"/>
        <v>7</v>
      </c>
      <c r="AI220" s="224">
        <f t="shared" si="95"/>
        <v>1.4311839197050022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'2023'!Wh/'2023'!Env_an*'2024'!Env_an</f>
        <v>56.592218817645353</v>
      </c>
      <c r="C221" s="829"/>
      <c r="D221" s="391">
        <f t="shared" si="77"/>
        <v>58.822663499073244</v>
      </c>
      <c r="E221" s="383">
        <f t="shared" si="75"/>
        <v>61.800459359686187</v>
      </c>
      <c r="F221" s="383">
        <f t="shared" si="78"/>
        <v>61.823821811123061</v>
      </c>
      <c r="G221" s="110">
        <f t="shared" si="76"/>
        <v>1.0253284376351126</v>
      </c>
      <c r="H221" s="412" t="b">
        <f>Wh_hp&gt;='2023'!Maxi_hp</f>
        <v>1</v>
      </c>
      <c r="I221" s="388">
        <f>IF(H221,Wh_hp,'2023'!Maxi_hp)</f>
        <v>61.823821811123061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3.7918117758523939E-2</v>
      </c>
      <c r="M221" s="832"/>
      <c r="N221" s="832"/>
      <c r="O221" s="48">
        <f>IF(t&lt;Tnet,'2023'!Resal+('2023'!Salim-'2023'!Resal)*(1-EXP(('2023'!Tnet-t)/('2023'!Tau_j))),Resal+(Salim-Resal)*(1-EXP((Tnet-t)/(Tau_j))))*Salcycl</f>
        <v>4.8184040886845386E-2</v>
      </c>
      <c r="P221" s="169">
        <f>(INDEX(Models!$BJ221:$BT221,,T221)*(1-R221)+INDEX(Models!$BJ221:$BT221,,T221+1)*R221-ERP_i)*Q221*Ramure*Pc/MaxiM</f>
        <v>3.7788753190068786E-4</v>
      </c>
      <c r="Q221" s="304">
        <f t="shared" si="80"/>
        <v>0.6</v>
      </c>
      <c r="R221" s="177">
        <f t="shared" si="81"/>
        <v>0.43356587648286116</v>
      </c>
      <c r="S221" s="799">
        <f t="shared" si="82"/>
        <v>1</v>
      </c>
      <c r="T221" s="176">
        <f t="shared" si="83"/>
        <v>7</v>
      </c>
      <c r="U221" s="250">
        <f t="shared" si="84"/>
        <v>1.4335658764828612</v>
      </c>
      <c r="V221" s="382">
        <f t="shared" si="85"/>
        <v>55.194235076687725</v>
      </c>
      <c r="W221" s="400">
        <f t="shared" si="86"/>
        <v>56.592218817645353</v>
      </c>
      <c r="X221" s="157">
        <f t="shared" si="87"/>
        <v>45498</v>
      </c>
      <c r="Y221" s="383">
        <f t="shared" si="88"/>
        <v>55.485325452521479</v>
      </c>
      <c r="Z221" s="383">
        <f t="shared" si="89"/>
        <v>57.672144623751514</v>
      </c>
      <c r="AA221" s="384">
        <f t="shared" si="90"/>
        <v>61.800459359686187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6.6800712789323785E-2</v>
      </c>
      <c r="AD221" s="230">
        <f>(INDEX(Models!$BJ221:$BT221,,AH221)*(1-AF221)+INDEX(Models!$BJ221:$BT221,,AH221+1)*AF221-ERP_i)*AE221*Ramure*Pc/MaxiM</f>
        <v>3.7788753190068786E-4</v>
      </c>
      <c r="AE221" s="304">
        <f t="shared" si="92"/>
        <v>0.6</v>
      </c>
      <c r="AF221" s="177">
        <f t="shared" si="93"/>
        <v>0.43356587648286116</v>
      </c>
      <c r="AG221" s="799">
        <f t="shared" si="99"/>
        <v>1</v>
      </c>
      <c r="AH221" s="176">
        <f t="shared" si="94"/>
        <v>7</v>
      </c>
      <c r="AI221" s="224">
        <f t="shared" si="95"/>
        <v>1.4335658764828612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'2023'!Wh/'2023'!Env_an*'2024'!Env_an</f>
        <v>56.631370394952256</v>
      </c>
      <c r="C222" s="829"/>
      <c r="D222" s="391">
        <f t="shared" si="77"/>
        <v>58.86448626503941</v>
      </c>
      <c r="E222" s="383">
        <f t="shared" si="75"/>
        <v>61.848909319563766</v>
      </c>
      <c r="F222" s="383">
        <f t="shared" si="78"/>
        <v>61.872791150508775</v>
      </c>
      <c r="G222" s="110">
        <f t="shared" si="76"/>
        <v>1.0281889115450087</v>
      </c>
      <c r="H222" s="412" t="b">
        <f>Wh_hp&gt;='2023'!Maxi_hp</f>
        <v>1</v>
      </c>
      <c r="I222" s="388">
        <f>IF(H222,Wh_hp,'2023'!Maxi_hp)</f>
        <v>61.872791150508775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3.7936555838310904E-2</v>
      </c>
      <c r="M222" s="832"/>
      <c r="N222" s="832"/>
      <c r="O222" s="48">
        <f>IF(t&lt;Tnet,'2023'!Resal+('2023'!Salim-'2023'!Resal)*(1-EXP(('2023'!Tnet-t)/('2023'!Tau_j))),Resal+(Salim-Resal)*(1-EXP((Tnet-t)/(Tau_j))))*Salcycl</f>
        <v>4.8253446784393618E-2</v>
      </c>
      <c r="P222" s="169">
        <f>(INDEX(Models!$BJ222:$BT222,,T222)*(1-R222)+INDEX(Models!$BJ222:$BT222,,T222+1)*R222-ERP_i)*Q222*Ramure*Pc/MaxiM</f>
        <v>3.8598276400545893E-4</v>
      </c>
      <c r="Q222" s="304">
        <f t="shared" si="80"/>
        <v>0.6</v>
      </c>
      <c r="R222" s="177">
        <f t="shared" si="81"/>
        <v>0.43587671798782712</v>
      </c>
      <c r="S222" s="799">
        <f t="shared" si="82"/>
        <v>1</v>
      </c>
      <c r="T222" s="176">
        <f t="shared" si="83"/>
        <v>7</v>
      </c>
      <c r="U222" s="250">
        <f t="shared" si="84"/>
        <v>1.4358767179878271</v>
      </c>
      <c r="V222" s="382">
        <f t="shared" si="85"/>
        <v>55.078760098526161</v>
      </c>
      <c r="W222" s="400">
        <f t="shared" si="86"/>
        <v>56.631370394952256</v>
      </c>
      <c r="X222" s="157">
        <f t="shared" si="87"/>
        <v>45499</v>
      </c>
      <c r="Y222" s="383">
        <f t="shared" si="88"/>
        <v>55.524761472082453</v>
      </c>
      <c r="Z222" s="383">
        <f t="shared" si="89"/>
        <v>57.714240998383353</v>
      </c>
      <c r="AA222" s="384">
        <f t="shared" si="90"/>
        <v>61.848909319563766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6.685111130767428E-2</v>
      </c>
      <c r="AD222" s="230">
        <f>(INDEX(Models!$BJ222:$BT222,,AH222)*(1-AF222)+INDEX(Models!$BJ222:$BT222,,AH222+1)*AF222-ERP_i)*AE222*Ramure*Pc/MaxiM</f>
        <v>3.8598276400545893E-4</v>
      </c>
      <c r="AE222" s="304">
        <f t="shared" si="92"/>
        <v>0.6</v>
      </c>
      <c r="AF222" s="177">
        <f t="shared" si="93"/>
        <v>0.43587671798782712</v>
      </c>
      <c r="AG222" s="799">
        <f t="shared" si="99"/>
        <v>1</v>
      </c>
      <c r="AH222" s="176">
        <f t="shared" si="94"/>
        <v>7</v>
      </c>
      <c r="AI222" s="224">
        <f t="shared" si="95"/>
        <v>1.4358767179878271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'2023'!Wh/'2023'!Env_an*'2024'!Env_an</f>
        <v>44.154488418360266</v>
      </c>
      <c r="C223" s="829"/>
      <c r="D223" s="391">
        <f t="shared" si="77"/>
        <v>45.896489377320449</v>
      </c>
      <c r="E223" s="383">
        <f t="shared" si="75"/>
        <v>48.22694025733108</v>
      </c>
      <c r="F223" s="383">
        <f t="shared" si="78"/>
        <v>48.240610936992837</v>
      </c>
      <c r="G223" s="110">
        <f t="shared" si="76"/>
        <v>0.80328991265756478</v>
      </c>
      <c r="H223" s="412" t="b">
        <f>Wh_hp&gt;='2023'!Maxi_hp</f>
        <v>0</v>
      </c>
      <c r="I223" s="388">
        <f>IF(H223,Wh_hp,'2023'!Maxi_hp)</f>
        <v>56.218409152668862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3.7954993564736306E-2</v>
      </c>
      <c r="M223" s="832"/>
      <c r="N223" s="832"/>
      <c r="O223" s="48">
        <f>IF(t&lt;Tnet,'2023'!Resal+('2023'!Salim-'2023'!Resal)*(1-EXP(('2023'!Tnet-t)/('2023'!Tau_j))),Resal+(Salim-Resal)*(1-EXP((Tnet-t)/(Tau_j))))*Salcycl</f>
        <v>4.8322594541053733E-2</v>
      </c>
      <c r="P223" s="169">
        <f>(INDEX(Models!$BJ223:$BT223,,T223)*(1-R223)+INDEX(Models!$BJ223:$BT223,,T223+1)*R223-ERP_i)*Q223*Ramure*Pc/MaxiM</f>
        <v>3.9407634876565366E-4</v>
      </c>
      <c r="Q223" s="304">
        <f t="shared" si="80"/>
        <v>0.6</v>
      </c>
      <c r="R223" s="177">
        <f t="shared" si="81"/>
        <v>0.43811771737440863</v>
      </c>
      <c r="S223" s="799">
        <f t="shared" si="82"/>
        <v>1</v>
      </c>
      <c r="T223" s="176">
        <f t="shared" si="83"/>
        <v>7</v>
      </c>
      <c r="U223" s="250">
        <f t="shared" si="84"/>
        <v>1.4381177173744086</v>
      </c>
      <c r="V223" s="382">
        <f t="shared" si="85"/>
        <v>54.960978384398011</v>
      </c>
      <c r="W223" s="400">
        <f t="shared" si="86"/>
        <v>44.154488418360266</v>
      </c>
      <c r="X223" s="157">
        <f t="shared" si="87"/>
        <v>45500</v>
      </c>
      <c r="Y223" s="383">
        <f t="shared" si="88"/>
        <v>43.292506445524531</v>
      </c>
      <c r="Z223" s="383">
        <f t="shared" si="89"/>
        <v>45.000500138698754</v>
      </c>
      <c r="AA223" s="384">
        <f t="shared" si="90"/>
        <v>48.22694025733108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6.6901198819924484E-2</v>
      </c>
      <c r="AD223" s="230">
        <f>(INDEX(Models!$BJ223:$BT223,,AH223)*(1-AF223)+INDEX(Models!$BJ223:$BT223,,AH223+1)*AF223-ERP_i)*AE223*Ramure*Pc/MaxiM</f>
        <v>3.9407634876565366E-4</v>
      </c>
      <c r="AE223" s="304">
        <f t="shared" si="92"/>
        <v>0.6</v>
      </c>
      <c r="AF223" s="177">
        <f t="shared" si="93"/>
        <v>0.43811771737440863</v>
      </c>
      <c r="AG223" s="799">
        <f t="shared" si="99"/>
        <v>1</v>
      </c>
      <c r="AH223" s="176">
        <f t="shared" si="94"/>
        <v>7</v>
      </c>
      <c r="AI223" s="224">
        <f t="shared" si="95"/>
        <v>1.4381177173744086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'2023'!Wh/'2023'!Env_an*'2024'!Env_an</f>
        <v>31.536876373643405</v>
      </c>
      <c r="C224" s="829"/>
      <c r="D224" s="391">
        <f t="shared" si="77"/>
        <v>32.78171038912815</v>
      </c>
      <c r="E224" s="383">
        <f t="shared" si="75"/>
        <v>34.448736283023571</v>
      </c>
      <c r="F224" s="383">
        <f t="shared" si="78"/>
        <v>34.454181091470119</v>
      </c>
      <c r="G224" s="110">
        <f t="shared" si="76"/>
        <v>0.5749209376545944</v>
      </c>
      <c r="H224" s="412" t="b">
        <f>Wh_hp&gt;='2023'!Maxi_hp</f>
        <v>0</v>
      </c>
      <c r="I224" s="388">
        <f>IF(H224,Wh_hp,'2023'!Maxi_hp)</f>
        <v>59.204840320642759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3.7973430937806918E-2</v>
      </c>
      <c r="M224" s="832"/>
      <c r="N224" s="832"/>
      <c r="O224" s="48">
        <f>IF(t&lt;Tnet,'2023'!Resal+('2023'!Salim-'2023'!Resal)*(1-EXP(('2023'!Tnet-t)/('2023'!Tau_j))),Resal+(Salim-Resal)*(1-EXP((Tnet-t)/(Tau_j))))*Salcycl</f>
        <v>4.8391496285944677E-2</v>
      </c>
      <c r="P224" s="169">
        <f>(INDEX(Models!$BJ224:$BT224,,T224)*(1-R224)+INDEX(Models!$BJ224:$BT224,,T224+1)*R224-ERP_i)*Q224*Ramure*Pc/MaxiM</f>
        <v>4.0216950416320182E-4</v>
      </c>
      <c r="Q224" s="304">
        <f t="shared" si="80"/>
        <v>0.6</v>
      </c>
      <c r="R224" s="177">
        <f t="shared" si="81"/>
        <v>0.44029018637844208</v>
      </c>
      <c r="S224" s="799">
        <f t="shared" si="82"/>
        <v>1</v>
      </c>
      <c r="T224" s="176">
        <f t="shared" si="83"/>
        <v>7</v>
      </c>
      <c r="U224" s="250">
        <f t="shared" si="84"/>
        <v>1.4402901863784421</v>
      </c>
      <c r="V224" s="382">
        <f t="shared" si="85"/>
        <v>54.840889776919951</v>
      </c>
      <c r="W224" s="400">
        <f t="shared" si="86"/>
        <v>31.536876373643405</v>
      </c>
      <c r="X224" s="157">
        <f t="shared" si="87"/>
        <v>45501</v>
      </c>
      <c r="Y224" s="383">
        <f t="shared" si="88"/>
        <v>30.921803538281196</v>
      </c>
      <c r="Z224" s="383">
        <f t="shared" si="89"/>
        <v>32.142359195364556</v>
      </c>
      <c r="AA224" s="384">
        <f t="shared" si="90"/>
        <v>34.448736283023571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6.6950992591144898E-2</v>
      </c>
      <c r="AD224" s="230">
        <f>(INDEX(Models!$BJ224:$BT224,,AH224)*(1-AF224)+INDEX(Models!$BJ224:$BT224,,AH224+1)*AF224-ERP_i)*AE224*Ramure*Pc/MaxiM</f>
        <v>4.0216950416320182E-4</v>
      </c>
      <c r="AE224" s="304">
        <f t="shared" si="92"/>
        <v>0.6</v>
      </c>
      <c r="AF224" s="177">
        <f t="shared" si="93"/>
        <v>0.44029018637844208</v>
      </c>
      <c r="AG224" s="799">
        <f t="shared" si="99"/>
        <v>1</v>
      </c>
      <c r="AH224" s="176">
        <f t="shared" si="94"/>
        <v>7</v>
      </c>
      <c r="AI224" s="224">
        <f t="shared" si="95"/>
        <v>1.4402901863784421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'2023'!Wh/'2023'!Env_an*'2024'!Env_an</f>
        <v>48.776444209830359</v>
      </c>
      <c r="C225" s="829"/>
      <c r="D225" s="391">
        <f t="shared" si="77"/>
        <v>50.702735855539515</v>
      </c>
      <c r="E225" s="383">
        <f t="shared" si="75"/>
        <v>53.284932364200721</v>
      </c>
      <c r="F225" s="383">
        <f t="shared" si="78"/>
        <v>53.303408287771937</v>
      </c>
      <c r="G225" s="110">
        <f t="shared" si="76"/>
        <v>0.89135016346914431</v>
      </c>
      <c r="H225" s="412" t="b">
        <f>Wh_hp&gt;='2023'!Maxi_hp</f>
        <v>0</v>
      </c>
      <c r="I225" s="388">
        <f>IF(H225,Wh_hp,'2023'!Maxi_hp)</f>
        <v>53.305021788323607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3.7991867957529513E-2</v>
      </c>
      <c r="M225" s="832"/>
      <c r="N225" s="832"/>
      <c r="O225" s="48">
        <f>IF(t&lt;Tnet,'2023'!Resal+('2023'!Salim-'2023'!Resal)*(1-EXP(('2023'!Tnet-t)/('2023'!Tau_j))),Resal+(Salim-Resal)*(1-EXP((Tnet-t)/(Tau_j))))*Salcycl</f>
        <v>4.8460163015915568E-2</v>
      </c>
      <c r="P225" s="169">
        <f>(INDEX(Models!$BJ225:$BT225,,T225)*(1-R225)+INDEX(Models!$BJ225:$BT225,,T225+1)*R225-ERP_i)*Q225*Ramure*Pc/MaxiM</f>
        <v>4.1026344083575924E-4</v>
      </c>
      <c r="Q225" s="304">
        <f t="shared" si="80"/>
        <v>0.6</v>
      </c>
      <c r="R225" s="177">
        <f t="shared" si="81"/>
        <v>0.4423954699253243</v>
      </c>
      <c r="S225" s="799">
        <f t="shared" si="82"/>
        <v>1</v>
      </c>
      <c r="T225" s="176">
        <f t="shared" si="83"/>
        <v>7</v>
      </c>
      <c r="U225" s="250">
        <f t="shared" si="84"/>
        <v>1.4423954699253243</v>
      </c>
      <c r="V225" s="382">
        <f t="shared" si="85"/>
        <v>54.718494186231958</v>
      </c>
      <c r="W225" s="400">
        <f t="shared" si="86"/>
        <v>48.776444209830359</v>
      </c>
      <c r="X225" s="157">
        <f t="shared" si="87"/>
        <v>45502</v>
      </c>
      <c r="Y225" s="383">
        <f t="shared" si="88"/>
        <v>47.826056132688457</v>
      </c>
      <c r="Z225" s="383">
        <f t="shared" si="89"/>
        <v>49.714814812581068</v>
      </c>
      <c r="AA225" s="384">
        <f t="shared" si="90"/>
        <v>53.284932364200721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6.7000508271607084E-2</v>
      </c>
      <c r="AD225" s="230">
        <f>(INDEX(Models!$BJ225:$BT225,,AH225)*(1-AF225)+INDEX(Models!$BJ225:$BT225,,AH225+1)*AF225-ERP_i)*AE225*Ramure*Pc/MaxiM</f>
        <v>4.1026344083575924E-4</v>
      </c>
      <c r="AE225" s="304">
        <f t="shared" si="92"/>
        <v>0.6</v>
      </c>
      <c r="AF225" s="177">
        <f t="shared" si="93"/>
        <v>0.4423954699253243</v>
      </c>
      <c r="AG225" s="799">
        <f t="shared" si="99"/>
        <v>1</v>
      </c>
      <c r="AH225" s="176">
        <f t="shared" si="94"/>
        <v>7</v>
      </c>
      <c r="AI225" s="224">
        <f t="shared" si="95"/>
        <v>1.4423954699253243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'2023'!Wh/'2023'!Env_an*'2024'!Env_an</f>
        <v>54.158487417501156</v>
      </c>
      <c r="C226" s="829"/>
      <c r="D226" s="391">
        <f t="shared" si="77"/>
        <v>56.298407018100058</v>
      </c>
      <c r="E226" s="383">
        <f t="shared" si="75"/>
        <v>59.169836623187109</v>
      </c>
      <c r="F226" s="383">
        <f t="shared" si="78"/>
        <v>59.194336051020386</v>
      </c>
      <c r="G226" s="110">
        <f t="shared" si="76"/>
        <v>0.99202204522675819</v>
      </c>
      <c r="H226" s="412" t="b">
        <f>Wh_hp&gt;='2023'!Maxi_hp</f>
        <v>0</v>
      </c>
      <c r="I226" s="388">
        <f>IF(H226,Wh_hp,'2023'!Maxi_hp)</f>
        <v>59.194470240108124</v>
      </c>
      <c r="J226" s="85">
        <f>IF(H226,An,'2023'!An_max)</f>
        <v>2022</v>
      </c>
      <c r="K226" s="197">
        <f t="shared" si="79"/>
        <v>45503</v>
      </c>
      <c r="L226" s="147">
        <f>IF(t&lt;Tvie,1-EXP((T0-t)*PertePVj)+'2023'!Pspv,1-EXP((T0-t)*PertePVj)+Pspv)</f>
        <v>3.8010304623910751E-2</v>
      </c>
      <c r="M226" s="832"/>
      <c r="N226" s="832"/>
      <c r="O226" s="48">
        <f>IF(t&lt;Tnet,'2023'!Resal+('2023'!Salim-'2023'!Resal)*(1-EXP(('2023'!Tnet-t)/('2023'!Tau_j))),Resal+(Salim-Resal)*(1-EXP((Tnet-t)/(Tau_j))))*Salcycl</f>
        <v>4.8528604589078907E-2</v>
      </c>
      <c r="P226" s="169">
        <f>(INDEX(Models!$BJ226:$BT226,,T226)*(1-R226)+INDEX(Models!$BJ226:$BT226,,T226+1)*R226-ERP_i)*Q226*Ramure*Pc/MaxiM</f>
        <v>4.1864983899361693E-4</v>
      </c>
      <c r="Q226" s="304">
        <f t="shared" si="80"/>
        <v>0.6</v>
      </c>
      <c r="R226" s="177">
        <f t="shared" si="81"/>
        <v>0.4444349409907975</v>
      </c>
      <c r="S226" s="799">
        <f t="shared" si="82"/>
        <v>1</v>
      </c>
      <c r="T226" s="176">
        <f t="shared" si="83"/>
        <v>7</v>
      </c>
      <c r="U226" s="250">
        <f t="shared" si="84"/>
        <v>1.4444349409907975</v>
      </c>
      <c r="V226" s="382">
        <f t="shared" si="85"/>
        <v>54.593775726510856</v>
      </c>
      <c r="W226" s="400">
        <f t="shared" si="86"/>
        <v>54.158487417501156</v>
      </c>
      <c r="X226" s="157">
        <f t="shared" si="87"/>
        <v>45503</v>
      </c>
      <c r="Y226" s="383">
        <f t="shared" si="88"/>
        <v>53.10424893870249</v>
      </c>
      <c r="Z226" s="383">
        <f t="shared" si="89"/>
        <v>55.202513284657812</v>
      </c>
      <c r="AA226" s="384">
        <f t="shared" si="90"/>
        <v>59.169836623187109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6.704975989361793E-2</v>
      </c>
      <c r="AD226" s="230">
        <f>(INDEX(Models!$BJ226:$BT226,,AH226)*(1-AF226)+INDEX(Models!$BJ226:$BT226,,AH226+1)*AF226-ERP_i)*AE226*Ramure*Pc/MaxiM</f>
        <v>4.1864983899361693E-4</v>
      </c>
      <c r="AE226" s="304">
        <f t="shared" si="92"/>
        <v>0.6</v>
      </c>
      <c r="AF226" s="177">
        <f t="shared" si="93"/>
        <v>0.4444349409907975</v>
      </c>
      <c r="AG226" s="799">
        <f t="shared" si="99"/>
        <v>1</v>
      </c>
      <c r="AH226" s="176">
        <f t="shared" si="94"/>
        <v>7</v>
      </c>
      <c r="AI226" s="224">
        <f t="shared" si="95"/>
        <v>1.4444349409907975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'2023'!Wh/'2023'!Env_an*'2024'!Env_an</f>
        <v>53.791944818599589</v>
      </c>
      <c r="C227" s="829"/>
      <c r="D227" s="391">
        <f t="shared" si="77"/>
        <v>55.918453188500457</v>
      </c>
      <c r="E227" s="383">
        <f t="shared" si="75"/>
        <v>58.774718159120006</v>
      </c>
      <c r="F227" s="383">
        <f t="shared" si="78"/>
        <v>58.799401352942638</v>
      </c>
      <c r="G227" s="110">
        <f t="shared" si="76"/>
        <v>0.98760352193281298</v>
      </c>
      <c r="H227" s="412" t="b">
        <f>Wh_hp&gt;='2023'!Maxi_hp</f>
        <v>0</v>
      </c>
      <c r="I227" s="388">
        <f>IF(H227,Wh_hp,'2023'!Maxi_hp)</f>
        <v>58.799612686809596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3.8028740936957517E-2</v>
      </c>
      <c r="M227" s="832"/>
      <c r="N227" s="832"/>
      <c r="O227" s="48">
        <f>IF(t&lt;Tnet,'2023'!Resal+('2023'!Salim-'2023'!Resal)*(1-EXP(('2023'!Tnet-t)/('2023'!Tau_j))),Resal+(Salim-Resal)*(1-EXP((Tnet-t)/(Tau_j))))*Salcycl</f>
        <v>4.8596829726802189E-2</v>
      </c>
      <c r="P227" s="169">
        <f>(INDEX(Models!$BJ227:$BT227,,T227)*(1-R227)+INDEX(Models!$BJ227:$BT227,,T227+1)*R227-ERP_i)*Q227*Ramure*Pc/MaxiM</f>
        <v>4.2734996883518438E-4</v>
      </c>
      <c r="Q227" s="304">
        <f t="shared" si="80"/>
        <v>0.6</v>
      </c>
      <c r="R227" s="177">
        <f t="shared" si="81"/>
        <v>0.44640999571946671</v>
      </c>
      <c r="S227" s="799">
        <f t="shared" si="82"/>
        <v>1</v>
      </c>
      <c r="T227" s="176">
        <f t="shared" si="83"/>
        <v>7</v>
      </c>
      <c r="U227" s="250">
        <f t="shared" si="84"/>
        <v>1.4464099957194667</v>
      </c>
      <c r="V227" s="382">
        <f t="shared" si="85"/>
        <v>54.466733459781047</v>
      </c>
      <c r="W227" s="400">
        <f t="shared" si="86"/>
        <v>53.791944818599589</v>
      </c>
      <c r="X227" s="157">
        <f t="shared" si="87"/>
        <v>45504</v>
      </c>
      <c r="Y227" s="383">
        <f t="shared" si="88"/>
        <v>52.745853280400588</v>
      </c>
      <c r="Z227" s="383">
        <f t="shared" si="89"/>
        <v>54.831007458346427</v>
      </c>
      <c r="AA227" s="384">
        <f t="shared" si="90"/>
        <v>58.774718159120006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6.7098759880001871E-2</v>
      </c>
      <c r="AD227" s="230">
        <f>(INDEX(Models!$BJ227:$BT227,,AH227)*(1-AF227)+INDEX(Models!$BJ227:$BT227,,AH227+1)*AF227-ERP_i)*AE227*Ramure*Pc/MaxiM</f>
        <v>4.2734996883518438E-4</v>
      </c>
      <c r="AE227" s="304">
        <f t="shared" si="92"/>
        <v>0.6</v>
      </c>
      <c r="AF227" s="177">
        <f t="shared" si="93"/>
        <v>0.44640999571946671</v>
      </c>
      <c r="AG227" s="799">
        <f t="shared" si="99"/>
        <v>1</v>
      </c>
      <c r="AH227" s="176">
        <f t="shared" si="94"/>
        <v>7</v>
      </c>
      <c r="AI227" s="224">
        <f t="shared" si="95"/>
        <v>1.4464099957194667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'2023'!Wh/'2023'!Env_an*'2024'!Env_an</f>
        <v>53.781406130627026</v>
      </c>
      <c r="C228" s="829"/>
      <c r="D228" s="391">
        <f t="shared" si="77"/>
        <v>55.908569359071741</v>
      </c>
      <c r="E228" s="383">
        <f t="shared" si="75"/>
        <v>58.768530864637896</v>
      </c>
      <c r="F228" s="383">
        <f t="shared" si="78"/>
        <v>58.79381158330942</v>
      </c>
      <c r="G228" s="110">
        <f t="shared" si="76"/>
        <v>0.98976202657043932</v>
      </c>
      <c r="H228" s="412" t="b">
        <f>Wh_hp&gt;='2023'!Maxi_hp</f>
        <v>0</v>
      </c>
      <c r="I228" s="388">
        <f>IF(H228,Wh_hp,'2023'!Maxi_hp)</f>
        <v>58.793989724542534</v>
      </c>
      <c r="J228" s="85">
        <f>IF(H228,An,'2023'!An_max)</f>
        <v>2022</v>
      </c>
      <c r="K228" s="197">
        <f t="shared" si="79"/>
        <v>45505</v>
      </c>
      <c r="L228" s="147">
        <f>IF(t&lt;Tvie,1-EXP((T0-t)*PertePVj)+'2023'!Pspv,1-EXP((T0-t)*PertePVj)+Pspv)</f>
        <v>3.8047176896676582E-2</v>
      </c>
      <c r="M228" s="832"/>
      <c r="N228" s="832"/>
      <c r="O228" s="48">
        <f>IF(t&lt;Tnet,'2023'!Resal+('2023'!Salim-'2023'!Resal)*(1-EXP(('2023'!Tnet-t)/('2023'!Tau_j))),Resal+(Salim-Resal)*(1-EXP((Tnet-t)/(Tau_j))))*Salcycl</f>
        <v>4.8664846023691415E-2</v>
      </c>
      <c r="P228" s="169">
        <f>(INDEX(Models!$BJ228:$BT228,,T228)*(1-R228)+INDEX(Models!$BJ228:$BT228,,T228+1)*R228-ERP_i)*Q228*Ramure*Pc/MaxiM</f>
        <v>4.3636768483935759E-4</v>
      </c>
      <c r="Q228" s="304">
        <f t="shared" si="80"/>
        <v>0.6</v>
      </c>
      <c r="R228" s="177">
        <f t="shared" si="81"/>
        <v>0.44832204880410353</v>
      </c>
      <c r="S228" s="799">
        <f t="shared" si="82"/>
        <v>1</v>
      </c>
      <c r="T228" s="176">
        <f t="shared" si="83"/>
        <v>7</v>
      </c>
      <c r="U228" s="250">
        <f t="shared" si="84"/>
        <v>1.4483220488041035</v>
      </c>
      <c r="V228" s="382">
        <f t="shared" si="85"/>
        <v>54.337367477056546</v>
      </c>
      <c r="W228" s="400">
        <f t="shared" si="86"/>
        <v>53.781406130627026</v>
      </c>
      <c r="X228" s="157">
        <f t="shared" si="87"/>
        <v>45505</v>
      </c>
      <c r="Y228" s="383">
        <f t="shared" si="88"/>
        <v>52.736533415705686</v>
      </c>
      <c r="Z228" s="383">
        <f t="shared" si="89"/>
        <v>54.822369818068772</v>
      </c>
      <c r="AA228" s="384">
        <f t="shared" si="90"/>
        <v>58.768530864637896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6.7147519063533376E-2</v>
      </c>
      <c r="AD228" s="230">
        <f>(INDEX(Models!$BJ228:$BT228,,AH228)*(1-AF228)+INDEX(Models!$BJ228:$BT228,,AH228+1)*AF228-ERP_i)*AE228*Ramure*Pc/MaxiM</f>
        <v>4.3636768483935759E-4</v>
      </c>
      <c r="AE228" s="304">
        <f t="shared" si="92"/>
        <v>0.6</v>
      </c>
      <c r="AF228" s="177">
        <f t="shared" si="93"/>
        <v>0.44832204880410353</v>
      </c>
      <c r="AG228" s="799">
        <f t="shared" si="99"/>
        <v>1</v>
      </c>
      <c r="AH228" s="176">
        <f t="shared" si="94"/>
        <v>7</v>
      </c>
      <c r="AI228" s="224">
        <f t="shared" si="95"/>
        <v>1.4483220488041035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'2023'!Wh/'2023'!Env_an*'2024'!Env_an</f>
        <v>50.788044601349036</v>
      </c>
      <c r="C229" s="829"/>
      <c r="D229" s="391">
        <f t="shared" si="77"/>
        <v>52.797826194264594</v>
      </c>
      <c r="E229" s="383">
        <f t="shared" si="75"/>
        <v>55.502616322687643</v>
      </c>
      <c r="F229" s="383">
        <f t="shared" si="78"/>
        <v>55.525135195221331</v>
      </c>
      <c r="G229" s="110">
        <f t="shared" si="76"/>
        <v>0.9369130101587948</v>
      </c>
      <c r="H229" s="412" t="b">
        <f>Wh_hp&gt;='2023'!Maxi_hp</f>
        <v>0</v>
      </c>
      <c r="I229" s="388">
        <f>IF(H229,Wh_hp,'2023'!Maxi_hp)</f>
        <v>56.932913500318811</v>
      </c>
      <c r="J229" s="85">
        <f>IF(H229,An,'2023'!An_max)</f>
        <v>2018</v>
      </c>
      <c r="K229" s="197">
        <f t="shared" si="79"/>
        <v>45506</v>
      </c>
      <c r="L229" s="147">
        <f>IF(t&lt;Tvie,1-EXP((T0-t)*PertePVj)+'2023'!Pspv,1-EXP((T0-t)*PertePVj)+Pspv)</f>
        <v>3.8065612503074608E-2</v>
      </c>
      <c r="M229" s="832"/>
      <c r="N229" s="832"/>
      <c r="O229" s="48">
        <f>IF(t&lt;Tnet,'2023'!Resal+('2023'!Salim-'2023'!Resal)*(1-EXP(('2023'!Tnet-t)/('2023'!Tau_j))),Resal+(Salim-Resal)*(1-EXP((Tnet-t)/(Tau_j))))*Salcycl</f>
        <v>4.873265996502972E-2</v>
      </c>
      <c r="P229" s="169">
        <f>(INDEX(Models!$BJ229:$BT229,,T229)*(1-R229)+INDEX(Models!$BJ229:$BT229,,T229+1)*R229-ERP_i)*Q229*Ramure*Pc/MaxiM</f>
        <v>4.4570682061539739E-4</v>
      </c>
      <c r="Q229" s="304">
        <f t="shared" si="80"/>
        <v>0.6</v>
      </c>
      <c r="R229" s="177">
        <f t="shared" si="81"/>
        <v>0.45017252912682659</v>
      </c>
      <c r="S229" s="799">
        <f t="shared" si="82"/>
        <v>1</v>
      </c>
      <c r="T229" s="176">
        <f t="shared" si="83"/>
        <v>7</v>
      </c>
      <c r="U229" s="250">
        <f t="shared" si="84"/>
        <v>1.4501725291268266</v>
      </c>
      <c r="V229" s="382">
        <f t="shared" si="85"/>
        <v>54.205677939382944</v>
      </c>
      <c r="W229" s="400">
        <f t="shared" si="86"/>
        <v>50.788044601349036</v>
      </c>
      <c r="X229" s="157">
        <f t="shared" si="87"/>
        <v>45506</v>
      </c>
      <c r="Y229" s="383">
        <f t="shared" si="88"/>
        <v>49.802286686236968</v>
      </c>
      <c r="Z229" s="383">
        <f t="shared" si="89"/>
        <v>51.773059923378767</v>
      </c>
      <c r="AA229" s="384">
        <f t="shared" si="90"/>
        <v>55.502616322687643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6.7196046716528471E-2</v>
      </c>
      <c r="AD229" s="230">
        <f>(INDEX(Models!$BJ229:$BT229,,AH229)*(1-AF229)+INDEX(Models!$BJ229:$BT229,,AH229+1)*AF229-ERP_i)*AE229*Ramure*Pc/MaxiM</f>
        <v>4.4570682061539739E-4</v>
      </c>
      <c r="AE229" s="304">
        <f t="shared" si="92"/>
        <v>0.6</v>
      </c>
      <c r="AF229" s="177">
        <f t="shared" si="93"/>
        <v>0.45017252912682659</v>
      </c>
      <c r="AG229" s="799">
        <f t="shared" si="99"/>
        <v>1</v>
      </c>
      <c r="AH229" s="176">
        <f t="shared" si="94"/>
        <v>7</v>
      </c>
      <c r="AI229" s="224">
        <f t="shared" si="95"/>
        <v>1.4501725291268266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'2023'!Wh/'2023'!Env_an*'2024'!Env_an</f>
        <v>50.035781576174941</v>
      </c>
      <c r="C230" s="829"/>
      <c r="D230" s="391">
        <f t="shared" si="77"/>
        <v>52.016791549674899</v>
      </c>
      <c r="E230" s="383">
        <f t="shared" si="75"/>
        <v>54.685456996289602</v>
      </c>
      <c r="F230" s="383">
        <f t="shared" si="78"/>
        <v>54.707712964705557</v>
      </c>
      <c r="G230" s="110">
        <f t="shared" si="76"/>
        <v>0.925315523661144</v>
      </c>
      <c r="H230" s="412" t="b">
        <f>Wh_hp&gt;='2023'!Maxi_hp</f>
        <v>0</v>
      </c>
      <c r="I230" s="388">
        <f>IF(H230,Wh_hp,'2023'!Maxi_hp)</f>
        <v>54.708974263466324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3.8084047756158479E-2</v>
      </c>
      <c r="M230" s="832"/>
      <c r="N230" s="832"/>
      <c r="O230" s="48">
        <f>IF(t&lt;Tnet,'2023'!Resal+('2023'!Salim-'2023'!Resal)*(1-EXP(('2023'!Tnet-t)/('2023'!Tau_j))),Resal+(Salim-Resal)*(1-EXP((Tnet-t)/(Tau_j))))*Salcycl</f>
        <v>4.8800276951068977E-2</v>
      </c>
      <c r="P230" s="169">
        <f>(INDEX(Models!$BJ230:$BT230,,T230)*(1-R230)+INDEX(Models!$BJ230:$BT230,,T230+1)*R230-ERP_i)*Q230*Ramure*Pc/MaxiM</f>
        <v>4.5537118853947384E-4</v>
      </c>
      <c r="Q230" s="304">
        <f t="shared" si="80"/>
        <v>0.6</v>
      </c>
      <c r="R230" s="177">
        <f t="shared" si="81"/>
        <v>0.45196287566150328</v>
      </c>
      <c r="S230" s="799">
        <f t="shared" si="82"/>
        <v>1</v>
      </c>
      <c r="T230" s="176">
        <f t="shared" si="83"/>
        <v>7</v>
      </c>
      <c r="U230" s="250">
        <f t="shared" si="84"/>
        <v>1.4519628756615033</v>
      </c>
      <c r="V230" s="382">
        <f t="shared" si="85"/>
        <v>54.071665077537091</v>
      </c>
      <c r="W230" s="400">
        <f t="shared" si="86"/>
        <v>50.035781576174941</v>
      </c>
      <c r="X230" s="157">
        <f t="shared" si="87"/>
        <v>45507</v>
      </c>
      <c r="Y230" s="383">
        <f t="shared" si="88"/>
        <v>49.065571411478622</v>
      </c>
      <c r="Z230" s="383">
        <f t="shared" si="89"/>
        <v>51.008168953872087</v>
      </c>
      <c r="AA230" s="384">
        <f t="shared" si="90"/>
        <v>54.685456996289602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6.7244350589719296E-2</v>
      </c>
      <c r="AD230" s="230">
        <f>(INDEX(Models!$BJ230:$BT230,,AH230)*(1-AF230)+INDEX(Models!$BJ230:$BT230,,AH230+1)*AF230-ERP_i)*AE230*Ramure*Pc/MaxiM</f>
        <v>4.5537118853947384E-4</v>
      </c>
      <c r="AE230" s="304">
        <f t="shared" si="92"/>
        <v>0.6</v>
      </c>
      <c r="AF230" s="177">
        <f t="shared" si="93"/>
        <v>0.45196287566150328</v>
      </c>
      <c r="AG230" s="799">
        <f t="shared" si="99"/>
        <v>1</v>
      </c>
      <c r="AH230" s="176">
        <f t="shared" si="94"/>
        <v>7</v>
      </c>
      <c r="AI230" s="224">
        <f t="shared" si="95"/>
        <v>1.4519628756615033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'2023'!Wh/'2023'!Env_an*'2024'!Env_an</f>
        <v>45.439582687313496</v>
      </c>
      <c r="C231" s="829"/>
      <c r="D231" s="391">
        <f t="shared" si="77"/>
        <v>47.239525903735156</v>
      </c>
      <c r="E231" s="383">
        <f t="shared" si="75"/>
        <v>49.666619427884427</v>
      </c>
      <c r="F231" s="383">
        <f t="shared" si="78"/>
        <v>49.684537960703508</v>
      </c>
      <c r="G231" s="110">
        <f t="shared" si="76"/>
        <v>0.84239446177397759</v>
      </c>
      <c r="H231" s="412" t="b">
        <f>Wh_hp&gt;='2023'!Maxi_hp</f>
        <v>0</v>
      </c>
      <c r="I231" s="388">
        <f>IF(H231,Wh_hp,'2023'!Maxi_hp)</f>
        <v>57.498472641811972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3.8102482655934966E-2</v>
      </c>
      <c r="M231" s="832"/>
      <c r="N231" s="832"/>
      <c r="O231" s="48">
        <f>IF(t&lt;Tnet,'2023'!Resal+('2023'!Salim-'2023'!Resal)*(1-EXP(('2023'!Tnet-t)/('2023'!Tau_j))),Resal+(Salim-Resal)*(1-EXP((Tnet-t)/(Tau_j))))*Salcycl</f>
        <v>4.8867701327516271E-2</v>
      </c>
      <c r="P231" s="169">
        <f>(INDEX(Models!$BJ231:$BT231,,T231)*(1-R231)+INDEX(Models!$BJ231:$BT231,,T231+1)*R231-ERP_i)*Q231*Ramure*Pc/MaxiM</f>
        <v>4.6536457930575767E-4</v>
      </c>
      <c r="Q231" s="304">
        <f t="shared" si="80"/>
        <v>0.6</v>
      </c>
      <c r="R231" s="177">
        <f t="shared" si="81"/>
        <v>0.45369453363514567</v>
      </c>
      <c r="S231" s="799">
        <f t="shared" si="82"/>
        <v>1</v>
      </c>
      <c r="T231" s="176">
        <f t="shared" si="83"/>
        <v>7</v>
      </c>
      <c r="U231" s="250">
        <f t="shared" si="84"/>
        <v>1.4536945336351457</v>
      </c>
      <c r="V231" s="382">
        <f t="shared" si="85"/>
        <v>53.935329191357134</v>
      </c>
      <c r="W231" s="400">
        <f t="shared" si="86"/>
        <v>45.439582687313496</v>
      </c>
      <c r="X231" s="157">
        <f t="shared" si="87"/>
        <v>45508</v>
      </c>
      <c r="Y231" s="383">
        <f t="shared" si="88"/>
        <v>44.559355720562102</v>
      </c>
      <c r="Z231" s="383">
        <f t="shared" si="89"/>
        <v>46.324431571043846</v>
      </c>
      <c r="AA231" s="384">
        <f t="shared" si="90"/>
        <v>49.666619427884427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6.7292436959463561E-2</v>
      </c>
      <c r="AD231" s="230">
        <f>(INDEX(Models!$BJ231:$BT231,,AH231)*(1-AF231)+INDEX(Models!$BJ231:$BT231,,AH231+1)*AF231-ERP_i)*AE231*Ramure*Pc/MaxiM</f>
        <v>4.6536457930575767E-4</v>
      </c>
      <c r="AE231" s="304">
        <f t="shared" si="92"/>
        <v>0.6</v>
      </c>
      <c r="AF231" s="177">
        <f t="shared" si="93"/>
        <v>0.45369453363514567</v>
      </c>
      <c r="AG231" s="799">
        <f t="shared" si="99"/>
        <v>1</v>
      </c>
      <c r="AH231" s="176">
        <f t="shared" si="94"/>
        <v>7</v>
      </c>
      <c r="AI231" s="224">
        <f t="shared" si="95"/>
        <v>1.4536945336351457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'2023'!Wh/'2023'!Env_an*'2024'!Env_an</f>
        <v>49.896164101991751</v>
      </c>
      <c r="C232" s="829"/>
      <c r="D232" s="391">
        <f t="shared" si="77"/>
        <v>51.873634632817492</v>
      </c>
      <c r="E232" s="383">
        <f t="shared" si="75"/>
        <v>54.54267706736799</v>
      </c>
      <c r="F232" s="383">
        <f t="shared" si="78"/>
        <v>54.565945058999233</v>
      </c>
      <c r="G232" s="110">
        <f t="shared" si="76"/>
        <v>0.92744967330843431</v>
      </c>
      <c r="H232" s="412" t="b">
        <f>Wh_hp&gt;='2023'!Maxi_hp</f>
        <v>0</v>
      </c>
      <c r="I232" s="388">
        <f>IF(H232,Wh_hp,'2023'!Maxi_hp)</f>
        <v>58.413322100606401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3.8120917202410731E-2</v>
      </c>
      <c r="M232" s="832"/>
      <c r="N232" s="832"/>
      <c r="O232" s="48">
        <f>IF(t&lt;Tnet,'2023'!Resal+('2023'!Salim-'2023'!Resal)*(1-EXP(('2023'!Tnet-t)/('2023'!Tau_j))),Resal+(Salim-Resal)*(1-EXP((Tnet-t)/(Tau_j))))*Salcycl</f>
        <v>4.8934936421508084E-2</v>
      </c>
      <c r="P232" s="169">
        <f>(INDEX(Models!$BJ232:$BT232,,T232)*(1-R232)+INDEX(Models!$BJ232:$BT232,,T232+1)*R232-ERP_i)*Q232*Ramure*Pc/MaxiM</f>
        <v>4.7569076146362893E-4</v>
      </c>
      <c r="Q232" s="304">
        <f t="shared" si="80"/>
        <v>0.6</v>
      </c>
      <c r="R232" s="177">
        <f t="shared" si="81"/>
        <v>0.45536895094467722</v>
      </c>
      <c r="S232" s="799">
        <f t="shared" si="82"/>
        <v>1</v>
      </c>
      <c r="T232" s="176">
        <f t="shared" si="83"/>
        <v>7</v>
      </c>
      <c r="U232" s="250">
        <f t="shared" si="84"/>
        <v>1.4553689509446772</v>
      </c>
      <c r="V232" s="382">
        <f t="shared" si="85"/>
        <v>53.796670644318425</v>
      </c>
      <c r="W232" s="400">
        <f t="shared" si="86"/>
        <v>49.896164101991751</v>
      </c>
      <c r="X232" s="157">
        <f t="shared" si="87"/>
        <v>45509</v>
      </c>
      <c r="Y232" s="383">
        <f t="shared" si="88"/>
        <v>48.930554482163465</v>
      </c>
      <c r="Z232" s="383">
        <f t="shared" si="89"/>
        <v>50.869756248208226</v>
      </c>
      <c r="AA232" s="384">
        <f t="shared" si="90"/>
        <v>54.54267706736799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6.7340310682278845E-2</v>
      </c>
      <c r="AD232" s="230">
        <f>(INDEX(Models!$BJ232:$BT232,,AH232)*(1-AF232)+INDEX(Models!$BJ232:$BT232,,AH232+1)*AF232-ERP_i)*AE232*Ramure*Pc/MaxiM</f>
        <v>4.7569076146362893E-4</v>
      </c>
      <c r="AE232" s="304">
        <f t="shared" si="92"/>
        <v>0.6</v>
      </c>
      <c r="AF232" s="177">
        <f t="shared" si="93"/>
        <v>0.45536895094467722</v>
      </c>
      <c r="AG232" s="799">
        <f t="shared" si="99"/>
        <v>1</v>
      </c>
      <c r="AH232" s="176">
        <f t="shared" si="94"/>
        <v>7</v>
      </c>
      <c r="AI232" s="224">
        <f t="shared" si="95"/>
        <v>1.4553689509446772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'2023'!Wh/'2023'!Env_an*'2024'!Env_an</f>
        <v>52.506757382431118</v>
      </c>
      <c r="C233" s="829"/>
      <c r="D233" s="391">
        <f t="shared" si="77"/>
        <v>54.588736381527575</v>
      </c>
      <c r="E233" s="383">
        <f t="shared" ref="E233:E296" si="100">Wh_pvt/(1-Psa)</f>
        <v>57.401525025846027</v>
      </c>
      <c r="F233" s="383">
        <f t="shared" si="78"/>
        <v>57.428600690194529</v>
      </c>
      <c r="G233" s="110">
        <f t="shared" ref="G233:G296" si="101">+Wh_hp/MaxiM</f>
        <v>0.97856443413212812</v>
      </c>
      <c r="H233" s="412" t="b">
        <f>Wh_hp&gt;='2023'!Maxi_hp</f>
        <v>0</v>
      </c>
      <c r="I233" s="388">
        <f>IF(H233,Wh_hp,'2023'!Maxi_hp)</f>
        <v>57.429006468910806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3.8139351395592658E-2</v>
      </c>
      <c r="M233" s="832"/>
      <c r="N233" s="832"/>
      <c r="O233" s="48">
        <f>IF(t&lt;Tnet,'2023'!Resal+('2023'!Salim-'2023'!Resal)*(1-EXP(('2023'!Tnet-t)/('2023'!Tau_j))),Resal+(Salim-Resal)*(1-EXP((Tnet-t)/(Tau_j))))*Salcycl</f>
        <v>4.900198458232502E-2</v>
      </c>
      <c r="P233" s="169">
        <f>(INDEX(Models!$BJ233:$BT233,,T233)*(1-R233)+INDEX(Models!$BJ233:$BT233,,T233+1)*R233-ERP_i)*Q233*Ramure*Pc/MaxiM</f>
        <v>4.8634953899008928E-4</v>
      </c>
      <c r="Q233" s="304">
        <f t="shared" si="80"/>
        <v>0.6</v>
      </c>
      <c r="R233" s="177">
        <f t="shared" si="81"/>
        <v>0.45698757482424068</v>
      </c>
      <c r="S233" s="799">
        <f t="shared" si="82"/>
        <v>1</v>
      </c>
      <c r="T233" s="176">
        <f t="shared" si="83"/>
        <v>7</v>
      </c>
      <c r="U233" s="250">
        <f t="shared" si="84"/>
        <v>1.4569875748242407</v>
      </c>
      <c r="V233" s="382">
        <f t="shared" si="85"/>
        <v>53.656124957168799</v>
      </c>
      <c r="W233" s="400">
        <f t="shared" si="86"/>
        <v>52.506757382431118</v>
      </c>
      <c r="X233" s="157">
        <f t="shared" si="87"/>
        <v>45510</v>
      </c>
      <c r="Y233" s="383">
        <f t="shared" si="88"/>
        <v>51.491625136234475</v>
      </c>
      <c r="Z233" s="383">
        <f t="shared" si="89"/>
        <v>53.533352477768197</v>
      </c>
      <c r="AA233" s="384">
        <f t="shared" si="90"/>
        <v>57.401525025846027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6.7387975255641983E-2</v>
      </c>
      <c r="AD233" s="230">
        <f>(INDEX(Models!$BJ233:$BT233,,AH233)*(1-AF233)+INDEX(Models!$BJ233:$BT233,,AH233+1)*AF233-ERP_i)*AE233*Ramure*Pc/MaxiM</f>
        <v>4.8634953899008928E-4</v>
      </c>
      <c r="AE233" s="304">
        <f t="shared" si="92"/>
        <v>0.6</v>
      </c>
      <c r="AF233" s="177">
        <f t="shared" si="93"/>
        <v>0.45698757482424068</v>
      </c>
      <c r="AG233" s="799">
        <f t="shared" si="99"/>
        <v>1</v>
      </c>
      <c r="AH233" s="176">
        <f t="shared" si="94"/>
        <v>7</v>
      </c>
      <c r="AI233" s="224">
        <f t="shared" si="95"/>
        <v>1.4569875748242407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'2023'!Wh/'2023'!Env_an*'2024'!Env_an</f>
        <v>52.949569938236365</v>
      </c>
      <c r="C234" s="829"/>
      <c r="D234" s="391">
        <f t="shared" si="77"/>
        <v>55.050162204826904</v>
      </c>
      <c r="E234" s="383">
        <f t="shared" si="100"/>
        <v>57.89079687235175</v>
      </c>
      <c r="F234" s="383">
        <f t="shared" si="78"/>
        <v>57.919184361372409</v>
      </c>
      <c r="G234" s="110">
        <f t="shared" si="101"/>
        <v>0.98944563557369392</v>
      </c>
      <c r="H234" s="412" t="b">
        <f>Wh_hp&gt;='2023'!Maxi_hp</f>
        <v>0</v>
      </c>
      <c r="I234" s="388">
        <f>IF(H234,Wh_hp,'2023'!Maxi_hp)</f>
        <v>57.919390552745952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3.8157785235487518E-2</v>
      </c>
      <c r="M234" s="832"/>
      <c r="N234" s="832"/>
      <c r="O234" s="48">
        <f>IF(t&lt;Tnet,'2023'!Resal+('2023'!Salim-'2023'!Resal)*(1-EXP(('2023'!Tnet-t)/('2023'!Tau_j))),Resal+(Salim-Resal)*(1-EXP((Tnet-t)/(Tau_j))))*Salcycl</f>
        <v>4.9068847226069419E-2</v>
      </c>
      <c r="P234" s="169">
        <f>(INDEX(Models!$BJ234:$BT234,,T234)*(1-R234)+INDEX(Models!$BJ234:$BT234,,T234+1)*R234-ERP_i)*Q234*Ramure*Pc/MaxiM</f>
        <v>4.9762006066592275E-4</v>
      </c>
      <c r="Q234" s="304">
        <f t="shared" si="80"/>
        <v>0.6</v>
      </c>
      <c r="R234" s="177">
        <f t="shared" si="81"/>
        <v>0.45855184875716226</v>
      </c>
      <c r="S234" s="799">
        <f t="shared" si="82"/>
        <v>1</v>
      </c>
      <c r="T234" s="176">
        <f t="shared" si="83"/>
        <v>7</v>
      </c>
      <c r="U234" s="250">
        <f t="shared" si="84"/>
        <v>1.4585518487571623</v>
      </c>
      <c r="V234" s="382">
        <f t="shared" si="85"/>
        <v>53.513978779019709</v>
      </c>
      <c r="W234" s="400">
        <f t="shared" si="86"/>
        <v>52.949569938236365</v>
      </c>
      <c r="X234" s="157">
        <f t="shared" si="87"/>
        <v>45511</v>
      </c>
      <c r="Y234" s="383">
        <f t="shared" si="88"/>
        <v>51.926885163442577</v>
      </c>
      <c r="Z234" s="383">
        <f t="shared" si="89"/>
        <v>53.986905925267401</v>
      </c>
      <c r="AA234" s="384">
        <f t="shared" si="90"/>
        <v>57.89079687235175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6.7435432883958521E-2</v>
      </c>
      <c r="AD234" s="230">
        <f>(INDEX(Models!$BJ234:$BT234,,AH234)*(1-AF234)+INDEX(Models!$BJ234:$BT234,,AH234+1)*AF234-ERP_i)*AE234*Ramure*Pc/MaxiM</f>
        <v>4.9762006066592275E-4</v>
      </c>
      <c r="AE234" s="304">
        <f t="shared" si="92"/>
        <v>0.6</v>
      </c>
      <c r="AF234" s="177">
        <f t="shared" si="93"/>
        <v>0.45855184875716226</v>
      </c>
      <c r="AG234" s="799">
        <f t="shared" si="99"/>
        <v>1</v>
      </c>
      <c r="AH234" s="176">
        <f t="shared" si="94"/>
        <v>7</v>
      </c>
      <c r="AI234" s="224">
        <f t="shared" si="95"/>
        <v>1.4585518487571623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'2023'!Wh/'2023'!Env_an*'2024'!Env_an</f>
        <v>50.962938221810141</v>
      </c>
      <c r="C235" s="829"/>
      <c r="D235" s="391">
        <f t="shared" si="77"/>
        <v>52.985733160080301</v>
      </c>
      <c r="E235" s="383">
        <f t="shared" si="100"/>
        <v>55.723748806146979</v>
      </c>
      <c r="F235" s="383">
        <f t="shared" si="78"/>
        <v>55.750325096832427</v>
      </c>
      <c r="G235" s="110">
        <f t="shared" si="101"/>
        <v>0.95486668920875017</v>
      </c>
      <c r="H235" s="412" t="b">
        <f>Wh_hp&gt;='2023'!Maxi_hp</f>
        <v>0</v>
      </c>
      <c r="I235" s="388">
        <f>IF(H235,Wh_hp,'2023'!Maxi_hp)</f>
        <v>56.144783633335642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3.8176218722101973E-2</v>
      </c>
      <c r="M235" s="832"/>
      <c r="N235" s="832"/>
      <c r="O235" s="48">
        <f>IF(t&lt;Tnet,'2023'!Resal+('2023'!Salim-'2023'!Resal)*(1-EXP(('2023'!Tnet-t)/('2023'!Tau_j))),Resal+(Salim-Resal)*(1-EXP((Tnet-t)/(Tau_j))))*Salcycl</f>
        <v>4.9135524883506136E-2</v>
      </c>
      <c r="P235" s="169">
        <f>(INDEX(Models!$BJ235:$BT235,,T235)*(1-R235)+INDEX(Models!$BJ235:$BT235,,T235+1)*R235-ERP_i)*Q235*Ramure*Pc/MaxiM</f>
        <v>5.0953180944153964E-4</v>
      </c>
      <c r="Q235" s="304">
        <f t="shared" si="80"/>
        <v>0.6</v>
      </c>
      <c r="R235" s="177">
        <f t="shared" si="81"/>
        <v>0.46006320962579061</v>
      </c>
      <c r="S235" s="799">
        <f t="shared" si="82"/>
        <v>1</v>
      </c>
      <c r="T235" s="176">
        <f t="shared" si="83"/>
        <v>7</v>
      </c>
      <c r="U235" s="250">
        <f t="shared" si="84"/>
        <v>1.4600632096257906</v>
      </c>
      <c r="V235" s="382">
        <f t="shared" si="85"/>
        <v>53.370030492754047</v>
      </c>
      <c r="W235" s="400">
        <f t="shared" si="86"/>
        <v>50.962938221810141</v>
      </c>
      <c r="X235" s="157">
        <f t="shared" si="87"/>
        <v>45512</v>
      </c>
      <c r="Y235" s="383">
        <f t="shared" si="88"/>
        <v>49.979596022131901</v>
      </c>
      <c r="Z235" s="383">
        <f t="shared" si="89"/>
        <v>51.963360643597341</v>
      </c>
      <c r="AA235" s="384">
        <f t="shared" si="90"/>
        <v>55.723748806146979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6.7482684548581987E-2</v>
      </c>
      <c r="AD235" s="230">
        <f>(INDEX(Models!$BJ235:$BT235,,AH235)*(1-AF235)+INDEX(Models!$BJ235:$BT235,,AH235+1)*AF235-ERP_i)*AE235*Ramure*Pc/MaxiM</f>
        <v>5.0953180944153964E-4</v>
      </c>
      <c r="AE235" s="304">
        <f t="shared" si="92"/>
        <v>0.6</v>
      </c>
      <c r="AF235" s="177">
        <f t="shared" si="93"/>
        <v>0.46006320962579061</v>
      </c>
      <c r="AG235" s="799">
        <f t="shared" si="99"/>
        <v>1</v>
      </c>
      <c r="AH235" s="176">
        <f t="shared" si="94"/>
        <v>7</v>
      </c>
      <c r="AI235" s="224">
        <f t="shared" si="95"/>
        <v>1.4600632096257906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'2023'!Wh/'2023'!Env_an*'2024'!Env_an</f>
        <v>48.159084052607248</v>
      </c>
      <c r="C236" s="829"/>
      <c r="D236" s="391">
        <f t="shared" si="77"/>
        <v>50.071549451780605</v>
      </c>
      <c r="E236" s="383">
        <f t="shared" si="100"/>
        <v>52.662658482900596</v>
      </c>
      <c r="F236" s="383">
        <f t="shared" si="78"/>
        <v>52.686426133635948</v>
      </c>
      <c r="G236" s="110">
        <f t="shared" si="101"/>
        <v>0.90477213509925047</v>
      </c>
      <c r="H236" s="412" t="b">
        <f>Wh_hp&gt;='2023'!Maxi_hp</f>
        <v>0</v>
      </c>
      <c r="I236" s="388">
        <f>IF(H236,Wh_hp,'2023'!Maxi_hp)</f>
        <v>53.37794367209424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3.8194651855442907E-2</v>
      </c>
      <c r="M236" s="832"/>
      <c r="N236" s="832"/>
      <c r="O236" s="48">
        <f>IF(t&lt;Tnet,'2023'!Resal+('2023'!Salim-'2023'!Resal)*(1-EXP(('2023'!Tnet-t)/('2023'!Tau_j))),Resal+(Salim-Resal)*(1-EXP((Tnet-t)/(Tau_j))))*Salcycl</f>
        <v>4.9202017250255498E-2</v>
      </c>
      <c r="P236" s="169">
        <f>(INDEX(Models!$BJ236:$BT236,,T236)*(1-R236)+INDEX(Models!$BJ236:$BT236,,T236+1)*R236-ERP_i)*Q236*Ramure*Pc/MaxiM</f>
        <v>5.2209273047902573E-4</v>
      </c>
      <c r="Q236" s="304">
        <f t="shared" si="80"/>
        <v>0.6</v>
      </c>
      <c r="R236" s="177">
        <f t="shared" si="81"/>
        <v>0.4615230850916876</v>
      </c>
      <c r="S236" s="799">
        <f t="shared" si="82"/>
        <v>1</v>
      </c>
      <c r="T236" s="176">
        <f t="shared" si="83"/>
        <v>7</v>
      </c>
      <c r="U236" s="250">
        <f t="shared" si="84"/>
        <v>1.4615230850916876</v>
      </c>
      <c r="V236" s="382">
        <f t="shared" si="85"/>
        <v>53.224079778467818</v>
      </c>
      <c r="W236" s="400">
        <f t="shared" si="86"/>
        <v>48.159084052607248</v>
      </c>
      <c r="X236" s="157">
        <f t="shared" si="87"/>
        <v>45513</v>
      </c>
      <c r="Y236" s="383">
        <f t="shared" si="88"/>
        <v>47.230762917403119</v>
      </c>
      <c r="Z236" s="383">
        <f t="shared" si="89"/>
        <v>49.106363370215369</v>
      </c>
      <c r="AA236" s="384">
        <f t="shared" si="90"/>
        <v>52.662658482900596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6.7529730080754372E-2</v>
      </c>
      <c r="AD236" s="230">
        <f>(INDEX(Models!$BJ236:$BT236,,AH236)*(1-AF236)+INDEX(Models!$BJ236:$BT236,,AH236+1)*AF236-ERP_i)*AE236*Ramure*Pc/MaxiM</f>
        <v>5.2209273047902573E-4</v>
      </c>
      <c r="AE236" s="304">
        <f t="shared" si="92"/>
        <v>0.6</v>
      </c>
      <c r="AF236" s="177">
        <f t="shared" si="93"/>
        <v>0.4615230850916876</v>
      </c>
      <c r="AG236" s="799">
        <f t="shared" si="99"/>
        <v>1</v>
      </c>
      <c r="AH236" s="176">
        <f t="shared" si="94"/>
        <v>7</v>
      </c>
      <c r="AI236" s="224">
        <f t="shared" si="95"/>
        <v>1.4615230850916876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'2023'!Wh/'2023'!Env_an*'2024'!Env_an</f>
        <v>46.56941120862178</v>
      </c>
      <c r="C237" s="829"/>
      <c r="D237" s="391">
        <f t="shared" si="77"/>
        <v>48.419676400955858</v>
      </c>
      <c r="E237" s="383">
        <f t="shared" si="100"/>
        <v>50.928855727086123</v>
      </c>
      <c r="F237" s="383">
        <f t="shared" si="78"/>
        <v>50.951353991032363</v>
      </c>
      <c r="G237" s="110">
        <f t="shared" si="101"/>
        <v>0.87732888797880415</v>
      </c>
      <c r="H237" s="412" t="b">
        <f>Wh_hp&gt;='2023'!Maxi_hp</f>
        <v>0</v>
      </c>
      <c r="I237" s="388">
        <f>IF(H237,Wh_hp,'2023'!Maxi_hp)</f>
        <v>51.914944304147305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3.8213084635517092E-2</v>
      </c>
      <c r="M237" s="832"/>
      <c r="N237" s="832"/>
      <c r="O237" s="48">
        <f>IF(t&lt;Tnet,'2023'!Resal+('2023'!Salim-'2023'!Resal)*(1-EXP(('2023'!Tnet-t)/('2023'!Tau_j))),Resal+(Salim-Resal)*(1-EXP((Tnet-t)/(Tau_j))))*Salcycl</f>
        <v>4.9268323238524606E-2</v>
      </c>
      <c r="P237" s="169">
        <f>(INDEX(Models!$BJ237:$BT237,,T237)*(1-R237)+INDEX(Models!$BJ237:$BT237,,T237+1)*R237-ERP_i)*Q237*Ramure*Pc/MaxiM</f>
        <v>5.3531095355246648E-4</v>
      </c>
      <c r="Q237" s="304">
        <f t="shared" si="80"/>
        <v>0.6</v>
      </c>
      <c r="R237" s="177">
        <f t="shared" si="81"/>
        <v>0.46293289119803016</v>
      </c>
      <c r="S237" s="799">
        <f t="shared" si="82"/>
        <v>1</v>
      </c>
      <c r="T237" s="176">
        <f t="shared" si="83"/>
        <v>7</v>
      </c>
      <c r="U237" s="250">
        <f t="shared" si="84"/>
        <v>1.4629328911980302</v>
      </c>
      <c r="V237" s="382">
        <f t="shared" si="85"/>
        <v>53.075926439429757</v>
      </c>
      <c r="W237" s="400">
        <f t="shared" si="86"/>
        <v>46.56941120862178</v>
      </c>
      <c r="X237" s="157">
        <f t="shared" si="87"/>
        <v>45514</v>
      </c>
      <c r="Y237" s="383">
        <f t="shared" si="88"/>
        <v>45.672623807242935</v>
      </c>
      <c r="Z237" s="383">
        <f t="shared" si="89"/>
        <v>47.487258432845948</v>
      </c>
      <c r="AA237" s="384">
        <f t="shared" si="90"/>
        <v>50.928855727086123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6.7576568236340492E-2</v>
      </c>
      <c r="AD237" s="230">
        <f>(INDEX(Models!$BJ237:$BT237,,AH237)*(1-AF237)+INDEX(Models!$BJ237:$BT237,,AH237+1)*AF237-ERP_i)*AE237*Ramure*Pc/MaxiM</f>
        <v>5.3531095355246648E-4</v>
      </c>
      <c r="AE237" s="304">
        <f t="shared" si="92"/>
        <v>0.6</v>
      </c>
      <c r="AF237" s="177">
        <f t="shared" si="93"/>
        <v>0.46293289119803016</v>
      </c>
      <c r="AG237" s="799">
        <f t="shared" si="99"/>
        <v>1</v>
      </c>
      <c r="AH237" s="176">
        <f t="shared" si="94"/>
        <v>7</v>
      </c>
      <c r="AI237" s="224">
        <f t="shared" si="95"/>
        <v>1.4629328911980302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'2023'!Wh/'2023'!Env_an*'2024'!Env_an</f>
        <v>47.496102378804984</v>
      </c>
      <c r="C238" s="829"/>
      <c r="D238" s="391">
        <f t="shared" si="77"/>
        <v>49.384132690365107</v>
      </c>
      <c r="E238" s="383">
        <f t="shared" si="100"/>
        <v>51.946904170850743</v>
      </c>
      <c r="F238" s="383">
        <f t="shared" si="78"/>
        <v>51.971263701006848</v>
      </c>
      <c r="G238" s="110">
        <f t="shared" si="101"/>
        <v>0.8973442714283163</v>
      </c>
      <c r="H238" s="412" t="b">
        <f>Wh_hp&gt;='2023'!Maxi_hp</f>
        <v>0</v>
      </c>
      <c r="I238" s="388">
        <f>IF(H238,Wh_hp,'2023'!Maxi_hp)</f>
        <v>51.973251161233648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3.8231517062331188E-2</v>
      </c>
      <c r="M238" s="832"/>
      <c r="N238" s="832"/>
      <c r="O238" s="48">
        <f>IF(t&lt;Tnet,'2023'!Resal+('2023'!Salim-'2023'!Resal)*(1-EXP(('2023'!Tnet-t)/('2023'!Tau_j))),Resal+(Salim-Resal)*(1-EXP((Tnet-t)/(Tau_j))))*Salcycl</f>
        <v>4.933444102957156E-2</v>
      </c>
      <c r="P238" s="169">
        <f>(INDEX(Models!$BJ238:$BT238,,T238)*(1-R238)+INDEX(Models!$BJ238:$BT238,,T238+1)*R238-ERP_i)*Q238*Ramure*Pc/MaxiM</f>
        <v>5.4919482181263056E-4</v>
      </c>
      <c r="Q238" s="304">
        <f t="shared" si="80"/>
        <v>0.6</v>
      </c>
      <c r="R238" s="177">
        <f t="shared" si="81"/>
        <v>0.46429403018559623</v>
      </c>
      <c r="S238" s="799">
        <f t="shared" si="82"/>
        <v>1</v>
      </c>
      <c r="T238" s="176">
        <f t="shared" si="83"/>
        <v>7</v>
      </c>
      <c r="U238" s="250">
        <f t="shared" si="84"/>
        <v>1.4642940301855962</v>
      </c>
      <c r="V238" s="382">
        <f t="shared" si="85"/>
        <v>52.92537040176191</v>
      </c>
      <c r="W238" s="400">
        <f t="shared" si="86"/>
        <v>47.496102378804984</v>
      </c>
      <c r="X238" s="157">
        <f t="shared" si="87"/>
        <v>45515</v>
      </c>
      <c r="Y238" s="383">
        <f t="shared" si="88"/>
        <v>46.582379769532892</v>
      </c>
      <c r="Z238" s="383">
        <f t="shared" si="89"/>
        <v>48.4340884484482</v>
      </c>
      <c r="AA238" s="384">
        <f t="shared" si="90"/>
        <v>51.946904170850743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6.7623196771246868E-2</v>
      </c>
      <c r="AD238" s="230">
        <f>(INDEX(Models!$BJ238:$BT238,,AH238)*(1-AF238)+INDEX(Models!$BJ238:$BT238,,AH238+1)*AF238-ERP_i)*AE238*Ramure*Pc/MaxiM</f>
        <v>5.4919482181263056E-4</v>
      </c>
      <c r="AE238" s="304">
        <f t="shared" si="92"/>
        <v>0.6</v>
      </c>
      <c r="AF238" s="177">
        <f t="shared" si="93"/>
        <v>0.46429403018559623</v>
      </c>
      <c r="AG238" s="799">
        <f t="shared" si="99"/>
        <v>1</v>
      </c>
      <c r="AH238" s="176">
        <f t="shared" si="94"/>
        <v>7</v>
      </c>
      <c r="AI238" s="224">
        <f t="shared" si="95"/>
        <v>1.4642940301855962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'2023'!Wh/'2023'!Env_an*'2024'!Env_an</f>
        <v>35.745029758057221</v>
      </c>
      <c r="C239" s="829"/>
      <c r="D239" s="391">
        <f t="shared" si="77"/>
        <v>37.166652318802811</v>
      </c>
      <c r="E239" s="383">
        <f t="shared" si="100"/>
        <v>39.098113519713216</v>
      </c>
      <c r="F239" s="383">
        <f t="shared" si="78"/>
        <v>39.109999033379111</v>
      </c>
      <c r="G239" s="110">
        <f t="shared" si="101"/>
        <v>0.6771696185046161</v>
      </c>
      <c r="H239" s="412" t="b">
        <f>Wh_hp&gt;='2023'!Maxi_hp</f>
        <v>0</v>
      </c>
      <c r="I239" s="388">
        <f>IF(H239,Wh_hp,'2023'!Maxi_hp)</f>
        <v>49.870847104426645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3.824994913589197E-2</v>
      </c>
      <c r="M239" s="832"/>
      <c r="N239" s="832"/>
      <c r="O239" s="48">
        <f>IF(t&lt;Tnet,'2023'!Resal+('2023'!Salim-'2023'!Resal)*(1-EXP(('2023'!Tnet-t)/('2023'!Tau_j))),Resal+(Salim-Resal)*(1-EXP((Tnet-t)/(Tau_j))))*Salcycl</f>
        <v>4.9400368126113446E-2</v>
      </c>
      <c r="P239" s="169">
        <f>(INDEX(Models!$BJ239:$BT239,,T239)*(1-R239)+INDEX(Models!$BJ239:$BT239,,T239+1)*R239-ERP_i)*Q239*Ramure*Pc/MaxiM</f>
        <v>5.6375292114300361E-4</v>
      </c>
      <c r="Q239" s="304">
        <f t="shared" si="80"/>
        <v>0.6</v>
      </c>
      <c r="R239" s="177">
        <f t="shared" si="81"/>
        <v>0.4656078885133399</v>
      </c>
      <c r="S239" s="799">
        <f t="shared" si="82"/>
        <v>1</v>
      </c>
      <c r="T239" s="176">
        <f t="shared" si="83"/>
        <v>7</v>
      </c>
      <c r="U239" s="250">
        <f t="shared" si="84"/>
        <v>1.4656078885133399</v>
      </c>
      <c r="V239" s="382">
        <f t="shared" si="85"/>
        <v>52.772211708505004</v>
      </c>
      <c r="W239" s="400">
        <f t="shared" si="86"/>
        <v>35.745029758057221</v>
      </c>
      <c r="X239" s="157">
        <f t="shared" si="87"/>
        <v>45516</v>
      </c>
      <c r="Y239" s="383">
        <f t="shared" si="88"/>
        <v>35.058058437542108</v>
      </c>
      <c r="Z239" s="383">
        <f t="shared" si="89"/>
        <v>36.452359327710283</v>
      </c>
      <c r="AA239" s="384">
        <f t="shared" si="90"/>
        <v>39.098113519713216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6.7669612516444044E-2</v>
      </c>
      <c r="AD239" s="230">
        <f>(INDEX(Models!$BJ239:$BT239,,AH239)*(1-AF239)+INDEX(Models!$BJ239:$BT239,,AH239+1)*AF239-ERP_i)*AE239*Ramure*Pc/MaxiM</f>
        <v>5.6375292114300361E-4</v>
      </c>
      <c r="AE239" s="304">
        <f t="shared" si="92"/>
        <v>0.6</v>
      </c>
      <c r="AF239" s="177">
        <f t="shared" si="93"/>
        <v>0.4656078885133399</v>
      </c>
      <c r="AG239" s="799">
        <f t="shared" si="99"/>
        <v>1</v>
      </c>
      <c r="AH239" s="176">
        <f t="shared" si="94"/>
        <v>7</v>
      </c>
      <c r="AI239" s="224">
        <f t="shared" si="95"/>
        <v>1.4656078885133399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'2023'!Wh/'2023'!Env_an*'2024'!Env_an</f>
        <v>33.929762977660012</v>
      </c>
      <c r="C240" s="829"/>
      <c r="D240" s="391">
        <f t="shared" si="77"/>
        <v>35.279866339287935</v>
      </c>
      <c r="E240" s="383">
        <f t="shared" si="100"/>
        <v>37.115842361219812</v>
      </c>
      <c r="F240" s="383">
        <f t="shared" si="78"/>
        <v>37.126436145450867</v>
      </c>
      <c r="G240" s="110">
        <f t="shared" si="101"/>
        <v>0.64466388810046338</v>
      </c>
      <c r="H240" s="412" t="b">
        <f>Wh_hp&gt;='2023'!Maxi_hp</f>
        <v>0</v>
      </c>
      <c r="I240" s="388">
        <f>IF(H240,Wh_hp,'2023'!Maxi_hp)</f>
        <v>56.99494858795164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3.8268380856206319E-2</v>
      </c>
      <c r="M240" s="832"/>
      <c r="N240" s="832"/>
      <c r="O240" s="48">
        <f>IF(t&lt;Tnet,'2023'!Resal+('2023'!Salim-'2023'!Resal)*(1-EXP(('2023'!Tnet-t)/('2023'!Tau_j))),Resal+(Salim-Resal)*(1-EXP((Tnet-t)/(Tau_j))))*Salcycl</f>
        <v>4.946610140391642E-2</v>
      </c>
      <c r="P240" s="169">
        <f>(INDEX(Models!$BJ240:$BT240,,T240)*(1-R240)+INDEX(Models!$BJ240:$BT240,,T240+1)*R240-ERP_i)*Q240*Ramure*Pc/MaxiM</f>
        <v>5.7920371618357743E-4</v>
      </c>
      <c r="Q240" s="304">
        <f t="shared" si="80"/>
        <v>0.6</v>
      </c>
      <c r="R240" s="177">
        <f t="shared" si="81"/>
        <v>0.46687583507428876</v>
      </c>
      <c r="S240" s="799">
        <f t="shared" si="82"/>
        <v>1</v>
      </c>
      <c r="T240" s="176">
        <f t="shared" si="83"/>
        <v>7</v>
      </c>
      <c r="U240" s="250">
        <f t="shared" si="84"/>
        <v>1.4668758350742888</v>
      </c>
      <c r="V240" s="382">
        <f t="shared" si="85"/>
        <v>52.616239481817338</v>
      </c>
      <c r="W240" s="400">
        <f t="shared" si="86"/>
        <v>33.929762977660012</v>
      </c>
      <c r="X240" s="157">
        <f t="shared" si="87"/>
        <v>45517</v>
      </c>
      <c r="Y240" s="383">
        <f t="shared" si="88"/>
        <v>33.278330832797103</v>
      </c>
      <c r="Z240" s="383">
        <f t="shared" si="89"/>
        <v>34.602512978021863</v>
      </c>
      <c r="AA240" s="384">
        <f t="shared" si="90"/>
        <v>37.115842361219812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6.7715811451553726E-2</v>
      </c>
      <c r="AD240" s="230">
        <f>(INDEX(Models!$BJ240:$BT240,,AH240)*(1-AF240)+INDEX(Models!$BJ240:$BT240,,AH240+1)*AF240-ERP_i)*AE240*Ramure*Pc/MaxiM</f>
        <v>5.7920371618357743E-4</v>
      </c>
      <c r="AE240" s="304">
        <f t="shared" si="92"/>
        <v>0.6</v>
      </c>
      <c r="AF240" s="177">
        <f t="shared" si="93"/>
        <v>0.46687583507428876</v>
      </c>
      <c r="AG240" s="799">
        <f t="shared" si="99"/>
        <v>1</v>
      </c>
      <c r="AH240" s="176">
        <f t="shared" si="94"/>
        <v>7</v>
      </c>
      <c r="AI240" s="224">
        <f t="shared" si="95"/>
        <v>1.4668758350742888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'2023'!Wh/'2023'!Env_an*'2024'!Env_an</f>
        <v>38.436319059850447</v>
      </c>
      <c r="C241" s="829"/>
      <c r="D241" s="391">
        <f t="shared" si="77"/>
        <v>39.966509296505777</v>
      </c>
      <c r="E241" s="383">
        <f t="shared" si="100"/>
        <v>42.049278923038791</v>
      </c>
      <c r="F241" s="383">
        <f t="shared" si="78"/>
        <v>42.064757333897788</v>
      </c>
      <c r="G241" s="110">
        <f t="shared" si="101"/>
        <v>0.73255012642493789</v>
      </c>
      <c r="H241" s="412" t="b">
        <f>Wh_hp&gt;='2023'!Maxi_hp</f>
        <v>0</v>
      </c>
      <c r="I241" s="388">
        <f>IF(H241,Wh_hp,'2023'!Maxi_hp)</f>
        <v>50.673625731633024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3.8286812223281008E-2</v>
      </c>
      <c r="M241" s="832"/>
      <c r="N241" s="832"/>
      <c r="O241" s="48">
        <f>IF(t&lt;Tnet,'2023'!Resal+('2023'!Salim-'2023'!Resal)*(1-EXP(('2023'!Tnet-t)/('2023'!Tau_j))),Resal+(Salim-Resal)*(1-EXP((Tnet-t)/(Tau_j))))*Salcycl</f>
        <v>4.9531637161841141E-2</v>
      </c>
      <c r="P241" s="169">
        <f>(INDEX(Models!$BJ241:$BT241,,T241)*(1-R241)+INDEX(Models!$BJ241:$BT241,,T241+1)*R241-ERP_i)*Q241*Ramure*Pc/MaxiM</f>
        <v>5.9525402504974898E-4</v>
      </c>
      <c r="Q241" s="304">
        <f t="shared" si="80"/>
        <v>0.6</v>
      </c>
      <c r="R241" s="177">
        <f t="shared" si="81"/>
        <v>0.46809921959732903</v>
      </c>
      <c r="S241" s="799">
        <f t="shared" si="82"/>
        <v>1</v>
      </c>
      <c r="T241" s="176">
        <f t="shared" si="83"/>
        <v>7</v>
      </c>
      <c r="U241" s="250">
        <f t="shared" si="84"/>
        <v>1.468099219597329</v>
      </c>
      <c r="V241" s="382">
        <f t="shared" si="85"/>
        <v>52.457269956435539</v>
      </c>
      <c r="W241" s="400">
        <f t="shared" si="86"/>
        <v>38.436319059850447</v>
      </c>
      <c r="X241" s="157">
        <f t="shared" si="87"/>
        <v>45518</v>
      </c>
      <c r="Y241" s="383">
        <f t="shared" si="88"/>
        <v>37.69910364969251</v>
      </c>
      <c r="Z241" s="383">
        <f t="shared" si="89"/>
        <v>39.199944566472048</v>
      </c>
      <c r="AA241" s="384">
        <f t="shared" si="90"/>
        <v>42.049278923038791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6.7761788776016157E-2</v>
      </c>
      <c r="AD241" s="230">
        <f>(INDEX(Models!$BJ241:$BT241,,AH241)*(1-AF241)+INDEX(Models!$BJ241:$BT241,,AH241+1)*AF241-ERP_i)*AE241*Ramure*Pc/MaxiM</f>
        <v>5.9525402504974898E-4</v>
      </c>
      <c r="AE241" s="304">
        <f t="shared" si="92"/>
        <v>0.6</v>
      </c>
      <c r="AF241" s="177">
        <f t="shared" si="93"/>
        <v>0.46809921959732903</v>
      </c>
      <c r="AG241" s="799">
        <f t="shared" si="99"/>
        <v>1</v>
      </c>
      <c r="AH241" s="176">
        <f t="shared" si="94"/>
        <v>7</v>
      </c>
      <c r="AI241" s="224">
        <f t="shared" si="95"/>
        <v>1.468099219597329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'2023'!Wh/'2023'!Env_an*'2024'!Env_an</f>
        <v>35.550811654653728</v>
      </c>
      <c r="C242" s="829"/>
      <c r="D242" s="391">
        <f t="shared" si="77"/>
        <v>36.966835271432601</v>
      </c>
      <c r="E242" s="383">
        <f t="shared" si="100"/>
        <v>38.895956925692595</v>
      </c>
      <c r="F242" s="383">
        <f t="shared" si="78"/>
        <v>38.908875303882603</v>
      </c>
      <c r="G242" s="110">
        <f t="shared" si="101"/>
        <v>0.67962113900200916</v>
      </c>
      <c r="H242" s="412" t="b">
        <f>Wh_hp&gt;='2023'!Maxi_hp</f>
        <v>0</v>
      </c>
      <c r="I242" s="388">
        <f>IF(H242,Wh_hp,'2023'!Maxi_hp)</f>
        <v>55.891220971481495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3.8305243237122699E-2</v>
      </c>
      <c r="M242" s="832"/>
      <c r="N242" s="832"/>
      <c r="O242" s="48">
        <f>IF(t&lt;Tnet,'2023'!Resal+('2023'!Salim-'2023'!Resal)*(1-EXP(('2023'!Tnet-t)/('2023'!Tau_j))),Resal+(Salim-Resal)*(1-EXP((Tnet-t)/(Tau_j))))*Salcycl</f>
        <v>4.9596971169662073E-2</v>
      </c>
      <c r="P242" s="169">
        <f>(INDEX(Models!$BJ242:$BT242,,T242)*(1-R242)+INDEX(Models!$BJ242:$BT242,,T242+1)*R242-ERP_i)*Q242*Ramure*Pc/MaxiM</f>
        <v>6.1191242421914738E-4</v>
      </c>
      <c r="Q242" s="304">
        <f t="shared" si="80"/>
        <v>0.6</v>
      </c>
      <c r="R242" s="177">
        <f t="shared" si="81"/>
        <v>0.4692793712253478</v>
      </c>
      <c r="S242" s="799">
        <f t="shared" si="82"/>
        <v>1</v>
      </c>
      <c r="T242" s="176">
        <f t="shared" si="83"/>
        <v>7</v>
      </c>
      <c r="U242" s="250">
        <f t="shared" si="84"/>
        <v>1.4692793712253478</v>
      </c>
      <c r="V242" s="382">
        <f t="shared" si="85"/>
        <v>52.295103511954963</v>
      </c>
      <c r="W242" s="400">
        <f t="shared" si="86"/>
        <v>35.550811654653728</v>
      </c>
      <c r="X242" s="157">
        <f t="shared" si="87"/>
        <v>45519</v>
      </c>
      <c r="Y242" s="383">
        <f t="shared" si="88"/>
        <v>34.86962646626386</v>
      </c>
      <c r="Z242" s="383">
        <f t="shared" si="89"/>
        <v>36.258517810409124</v>
      </c>
      <c r="AA242" s="384">
        <f t="shared" si="90"/>
        <v>38.895956925692595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6.7807538976919254E-2</v>
      </c>
      <c r="AD242" s="230">
        <f>(INDEX(Models!$BJ242:$BT242,,AH242)*(1-AF242)+INDEX(Models!$BJ242:$BT242,,AH242+1)*AF242-ERP_i)*AE242*Ramure*Pc/MaxiM</f>
        <v>6.1191242421914738E-4</v>
      </c>
      <c r="AE242" s="304">
        <f t="shared" si="92"/>
        <v>0.6</v>
      </c>
      <c r="AF242" s="177">
        <f t="shared" si="93"/>
        <v>0.4692793712253478</v>
      </c>
      <c r="AG242" s="799">
        <f t="shared" si="99"/>
        <v>1</v>
      </c>
      <c r="AH242" s="176">
        <f t="shared" si="94"/>
        <v>7</v>
      </c>
      <c r="AI242" s="224">
        <f t="shared" si="95"/>
        <v>1.4692793712253478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'2023'!Wh/'2023'!Env_an*'2024'!Env_an</f>
        <v>28.522753917929155</v>
      </c>
      <c r="C243" s="829"/>
      <c r="D243" s="391">
        <f t="shared" si="77"/>
        <v>29.659411533539334</v>
      </c>
      <c r="E243" s="383">
        <f t="shared" si="100"/>
        <v>31.209332484134201</v>
      </c>
      <c r="F243" s="383">
        <f t="shared" si="78"/>
        <v>31.216267164042737</v>
      </c>
      <c r="G243" s="110">
        <f t="shared" si="101"/>
        <v>0.54692869227696417</v>
      </c>
      <c r="H243" s="412" t="b">
        <f>Wh_hp&gt;='2023'!Maxi_hp</f>
        <v>0</v>
      </c>
      <c r="I243" s="388">
        <f>IF(H243,Wh_hp,'2023'!Maxi_hp)</f>
        <v>54.973908818601828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3.8323673897738275E-2</v>
      </c>
      <c r="M243" s="832"/>
      <c r="N243" s="832"/>
      <c r="O243" s="48">
        <f>IF(t&lt;Tnet,'2023'!Resal+('2023'!Salim-'2023'!Resal)*(1-EXP(('2023'!Tnet-t)/('2023'!Tau_j))),Resal+(Salim-Resal)*(1-EXP((Tnet-t)/(Tau_j))))*Salcycl</f>
        <v>4.9662098713030602E-2</v>
      </c>
      <c r="P243" s="169">
        <f>(INDEX(Models!$BJ243:$BT243,,T243)*(1-R243)+INDEX(Models!$BJ243:$BT243,,T243+1)*R243-ERP_i)*Q243*Ramure*Pc/MaxiM</f>
        <v>6.2918784209284057E-4</v>
      </c>
      <c r="Q243" s="304">
        <f t="shared" si="80"/>
        <v>0.6</v>
      </c>
      <c r="R243" s="177">
        <f t="shared" si="81"/>
        <v>0.47041759726020049</v>
      </c>
      <c r="S243" s="799">
        <f t="shared" si="82"/>
        <v>1</v>
      </c>
      <c r="T243" s="176">
        <f t="shared" si="83"/>
        <v>7</v>
      </c>
      <c r="U243" s="250">
        <f t="shared" si="84"/>
        <v>1.4704175972602005</v>
      </c>
      <c r="V243" s="382">
        <f t="shared" si="85"/>
        <v>52.129540629295605</v>
      </c>
      <c r="W243" s="400">
        <f t="shared" si="86"/>
        <v>28.522753917929155</v>
      </c>
      <c r="X243" s="157">
        <f t="shared" si="87"/>
        <v>45520</v>
      </c>
      <c r="Y243" s="383">
        <f t="shared" si="88"/>
        <v>27.976783695692284</v>
      </c>
      <c r="Z243" s="383">
        <f t="shared" si="89"/>
        <v>29.091683902716056</v>
      </c>
      <c r="AA243" s="384">
        <f t="shared" si="90"/>
        <v>31.209332484134201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6.7853055892646466E-2</v>
      </c>
      <c r="AD243" s="230">
        <f>(INDEX(Models!$BJ243:$BT243,,AH243)*(1-AF243)+INDEX(Models!$BJ243:$BT243,,AH243+1)*AF243-ERP_i)*AE243*Ramure*Pc/MaxiM</f>
        <v>6.2918784209284057E-4</v>
      </c>
      <c r="AE243" s="304">
        <f t="shared" si="92"/>
        <v>0.6</v>
      </c>
      <c r="AF243" s="177">
        <f t="shared" si="93"/>
        <v>0.47041759726020049</v>
      </c>
      <c r="AG243" s="799">
        <f t="shared" si="99"/>
        <v>1</v>
      </c>
      <c r="AH243" s="176">
        <f t="shared" si="94"/>
        <v>7</v>
      </c>
      <c r="AI243" s="224">
        <f t="shared" si="95"/>
        <v>1.4704175972602005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'2023'!Wh/'2023'!Env_an*'2024'!Env_an</f>
        <v>36.188553709850105</v>
      </c>
      <c r="C244" s="829"/>
      <c r="D244" s="391">
        <f t="shared" si="77"/>
        <v>37.631421598153864</v>
      </c>
      <c r="E244" s="383">
        <f t="shared" si="100"/>
        <v>39.60064337059962</v>
      </c>
      <c r="F244" s="383">
        <f t="shared" si="78"/>
        <v>39.61516221178708</v>
      </c>
      <c r="G244" s="110">
        <f t="shared" si="101"/>
        <v>0.69626885784405323</v>
      </c>
      <c r="H244" s="412" t="b">
        <f>Wh_hp&gt;='2023'!Maxi_hp</f>
        <v>0</v>
      </c>
      <c r="I244" s="388">
        <f>IF(H244,Wh_hp,'2023'!Maxi_hp)</f>
        <v>54.287330596628593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3.8342104205134397E-2</v>
      </c>
      <c r="M244" s="832"/>
      <c r="N244" s="832"/>
      <c r="O244" s="48">
        <f>IF(t&lt;Tnet,'2023'!Resal+('2023'!Salim-'2023'!Resal)*(1-EXP(('2023'!Tnet-t)/('2023'!Tau_j))),Resal+(Salim-Resal)*(1-EXP((Tnet-t)/(Tau_j))))*Salcycl</f>
        <v>4.9727014635013465E-2</v>
      </c>
      <c r="P244" s="169">
        <f>(INDEX(Models!$BJ244:$BT244,,T244)*(1-R244)+INDEX(Models!$BJ244:$BT244,,T244+1)*R244-ERP_i)*Q244*Ramure*Pc/MaxiM</f>
        <v>6.4708958840415656E-4</v>
      </c>
      <c r="Q244" s="304">
        <f t="shared" si="80"/>
        <v>0.6</v>
      </c>
      <c r="R244" s="177">
        <f t="shared" si="81"/>
        <v>0.47151518206501408</v>
      </c>
      <c r="S244" s="799">
        <f t="shared" si="82"/>
        <v>1</v>
      </c>
      <c r="T244" s="176">
        <f t="shared" si="83"/>
        <v>7</v>
      </c>
      <c r="U244" s="250">
        <f t="shared" si="84"/>
        <v>1.4715151820650141</v>
      </c>
      <c r="V244" s="382">
        <f t="shared" si="85"/>
        <v>51.960381887351566</v>
      </c>
      <c r="W244" s="400">
        <f t="shared" si="86"/>
        <v>36.188553709850105</v>
      </c>
      <c r="X244" s="157">
        <f t="shared" si="87"/>
        <v>45521</v>
      </c>
      <c r="Y244" s="383">
        <f t="shared" si="88"/>
        <v>35.496548641315378</v>
      </c>
      <c r="Z244" s="383">
        <f t="shared" si="89"/>
        <v>36.911825709053673</v>
      </c>
      <c r="AA244" s="384">
        <f t="shared" si="90"/>
        <v>39.60064337059962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6.7898332771587883E-2</v>
      </c>
      <c r="AD244" s="230">
        <f>(INDEX(Models!$BJ244:$BT244,,AH244)*(1-AF244)+INDEX(Models!$BJ244:$BT244,,AH244+1)*AF244-ERP_i)*AE244*Ramure*Pc/MaxiM</f>
        <v>6.4708958840415656E-4</v>
      </c>
      <c r="AE244" s="304">
        <f t="shared" si="92"/>
        <v>0.6</v>
      </c>
      <c r="AF244" s="177">
        <f t="shared" si="93"/>
        <v>0.47151518206501408</v>
      </c>
      <c r="AG244" s="799">
        <f t="shared" si="99"/>
        <v>1</v>
      </c>
      <c r="AH244" s="176">
        <f t="shared" si="94"/>
        <v>7</v>
      </c>
      <c r="AI244" s="224">
        <f t="shared" si="95"/>
        <v>1.4715151820650141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'2023'!Wh/'2023'!Env_an*'2024'!Env_an</f>
        <v>41.222355123367592</v>
      </c>
      <c r="C245" s="829"/>
      <c r="D245" s="391">
        <f t="shared" si="77"/>
        <v>42.866746413459936</v>
      </c>
      <c r="E245" s="383">
        <f t="shared" si="100"/>
        <v>45.112999977781527</v>
      </c>
      <c r="F245" s="383">
        <f t="shared" si="78"/>
        <v>45.134286955499611</v>
      </c>
      <c r="G245" s="110">
        <f t="shared" si="101"/>
        <v>0.79583706334955517</v>
      </c>
      <c r="H245" s="412" t="b">
        <f>Wh_hp&gt;='2023'!Maxi_hp</f>
        <v>0</v>
      </c>
      <c r="I245" s="388">
        <f>IF(H245,Wh_hp,'2023'!Maxi_hp)</f>
        <v>46.197672752985881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3.8360534159317838E-2</v>
      </c>
      <c r="M245" s="832"/>
      <c r="N245" s="832"/>
      <c r="O245" s="48">
        <f>IF(t&lt;Tnet,'2023'!Resal+('2023'!Salim-'2023'!Resal)*(1-EXP(('2023'!Tnet-t)/('2023'!Tau_j))),Resal+(Salim-Resal)*(1-EXP((Tnet-t)/(Tau_j))))*Salcycl</f>
        <v>4.9791713373703625E-2</v>
      </c>
      <c r="P245" s="169">
        <f>(INDEX(Models!$BJ245:$BT245,,T245)*(1-R245)+INDEX(Models!$BJ245:$BT245,,T245+1)*R245-ERP_i)*Q245*Ramure*Pc/MaxiM</f>
        <v>6.6562738469211856E-4</v>
      </c>
      <c r="Q245" s="304">
        <f t="shared" si="80"/>
        <v>0.6</v>
      </c>
      <c r="R245" s="177">
        <f t="shared" si="81"/>
        <v>0.47257338611445343</v>
      </c>
      <c r="S245" s="799">
        <f t="shared" si="82"/>
        <v>1</v>
      </c>
      <c r="T245" s="176">
        <f t="shared" si="83"/>
        <v>7</v>
      </c>
      <c r="U245" s="250">
        <f t="shared" si="84"/>
        <v>1.4725733861144534</v>
      </c>
      <c r="V245" s="382">
        <f t="shared" si="85"/>
        <v>51.787427964157295</v>
      </c>
      <c r="W245" s="400">
        <f t="shared" si="86"/>
        <v>41.222355123367592</v>
      </c>
      <c r="X245" s="157">
        <f t="shared" si="87"/>
        <v>45522</v>
      </c>
      <c r="Y245" s="383">
        <f t="shared" si="88"/>
        <v>40.434892280023909</v>
      </c>
      <c r="Z245" s="383">
        <f t="shared" si="89"/>
        <v>42.047871074711992</v>
      </c>
      <c r="AA245" s="384">
        <f t="shared" si="90"/>
        <v>45.112999977781527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6.7943362325252929E-2</v>
      </c>
      <c r="AD245" s="230">
        <f>(INDEX(Models!$BJ245:$BT245,,AH245)*(1-AF245)+INDEX(Models!$BJ245:$BT245,,AH245+1)*AF245-ERP_i)*AE245*Ramure*Pc/MaxiM</f>
        <v>6.6562738469211856E-4</v>
      </c>
      <c r="AE245" s="304">
        <f t="shared" si="92"/>
        <v>0.6</v>
      </c>
      <c r="AF245" s="177">
        <f t="shared" si="93"/>
        <v>0.47257338611445343</v>
      </c>
      <c r="AG245" s="799">
        <f t="shared" si="99"/>
        <v>1</v>
      </c>
      <c r="AH245" s="176">
        <f t="shared" si="94"/>
        <v>7</v>
      </c>
      <c r="AI245" s="224">
        <f t="shared" si="95"/>
        <v>1.4725733861144534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'2023'!Wh/'2023'!Env_an*'2024'!Env_an</f>
        <v>49.504305631334923</v>
      </c>
      <c r="C246" s="829"/>
      <c r="D246" s="391">
        <f t="shared" si="77"/>
        <v>51.480056868259815</v>
      </c>
      <c r="E246" s="383">
        <f t="shared" si="100"/>
        <v>54.181331575304689</v>
      </c>
      <c r="F246" s="383">
        <f t="shared" si="78"/>
        <v>54.216295004322468</v>
      </c>
      <c r="G246" s="110">
        <f t="shared" si="101"/>
        <v>0.95915264351763385</v>
      </c>
      <c r="H246" s="412" t="b">
        <f>Wh_hp&gt;='2023'!Maxi_hp</f>
        <v>0</v>
      </c>
      <c r="I246" s="388">
        <f>IF(H246,Wh_hp,'2023'!Maxi_hp)</f>
        <v>54.217324757132701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3.8378963760295481E-2</v>
      </c>
      <c r="M246" s="832"/>
      <c r="N246" s="832"/>
      <c r="O246" s="48">
        <f>IF(t&lt;Tnet,'2023'!Resal+('2023'!Salim-'2023'!Resal)*(1-EXP(('2023'!Tnet-t)/('2023'!Tau_j))),Resal+(Salim-Resal)*(1-EXP((Tnet-t)/(Tau_j))))*Salcycl</f>
        <v>4.9856188995474761E-2</v>
      </c>
      <c r="P246" s="169">
        <f>(INDEX(Models!$BJ246:$BT246,,T246)*(1-R246)+INDEX(Models!$BJ246:$BT246,,T246+1)*R246-ERP_i)*Q246*Ramure*Pc/MaxiM</f>
        <v>6.8481139608052841E-4</v>
      </c>
      <c r="Q246" s="304">
        <f t="shared" si="80"/>
        <v>0.6</v>
      </c>
      <c r="R246" s="177">
        <f t="shared" si="81"/>
        <v>0.47359344518373869</v>
      </c>
      <c r="S246" s="799">
        <f t="shared" si="82"/>
        <v>1</v>
      </c>
      <c r="T246" s="176">
        <f t="shared" si="83"/>
        <v>7</v>
      </c>
      <c r="U246" s="250">
        <f t="shared" si="84"/>
        <v>1.4735934451837387</v>
      </c>
      <c r="V246" s="382">
        <f t="shared" si="85"/>
        <v>51.610479627273719</v>
      </c>
      <c r="W246" s="400">
        <f t="shared" si="86"/>
        <v>49.504305631334923</v>
      </c>
      <c r="X246" s="157">
        <f t="shared" si="87"/>
        <v>45523</v>
      </c>
      <c r="Y246" s="383">
        <f t="shared" si="88"/>
        <v>48.559596552367957</v>
      </c>
      <c r="Z246" s="383">
        <f t="shared" si="89"/>
        <v>50.497643793498966</v>
      </c>
      <c r="AA246" s="384">
        <f t="shared" si="90"/>
        <v>54.181331575304689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6.7988136775226665E-2</v>
      </c>
      <c r="AD246" s="230">
        <f>(INDEX(Models!$BJ246:$BT246,,AH246)*(1-AF246)+INDEX(Models!$BJ246:$BT246,,AH246+1)*AF246-ERP_i)*AE246*Ramure*Pc/MaxiM</f>
        <v>6.8481139608052841E-4</v>
      </c>
      <c r="AE246" s="304">
        <f t="shared" si="92"/>
        <v>0.6</v>
      </c>
      <c r="AF246" s="177">
        <f t="shared" si="93"/>
        <v>0.47359344518373869</v>
      </c>
      <c r="AG246" s="799">
        <f t="shared" si="99"/>
        <v>1</v>
      </c>
      <c r="AH246" s="176">
        <f t="shared" si="94"/>
        <v>7</v>
      </c>
      <c r="AI246" s="224">
        <f t="shared" si="95"/>
        <v>1.4735934451837387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'2023'!Wh/'2023'!Env_an*'2024'!Env_an</f>
        <v>33.440238824458731</v>
      </c>
      <c r="C247" s="829"/>
      <c r="D247" s="391">
        <f t="shared" si="77"/>
        <v>34.775528457713001</v>
      </c>
      <c r="E247" s="383">
        <f t="shared" si="100"/>
        <v>36.602753860825082</v>
      </c>
      <c r="F247" s="383">
        <f t="shared" si="78"/>
        <v>36.615662160972221</v>
      </c>
      <c r="G247" s="110">
        <f t="shared" si="101"/>
        <v>0.64998181141522937</v>
      </c>
      <c r="H247" s="412" t="b">
        <f>Wh_hp&gt;='2023'!Maxi_hp</f>
        <v>0</v>
      </c>
      <c r="I247" s="388">
        <f>IF(H247,Wh_hp,'2023'!Maxi_hp)</f>
        <v>54.553633144965026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3.8397393008073988E-2</v>
      </c>
      <c r="M247" s="832"/>
      <c r="N247" s="832"/>
      <c r="O247" s="48">
        <f>IF(t&lt;Tnet,'2023'!Resal+('2023'!Salim-'2023'!Resal)*(1-EXP(('2023'!Tnet-t)/('2023'!Tau_j))),Resal+(Salim-Resal)*(1-EXP((Tnet-t)/(Tau_j))))*Salcycl</f>
        <v>4.992043522352866E-2</v>
      </c>
      <c r="P247" s="169">
        <f>(INDEX(Models!$BJ247:$BT247,,T247)*(1-R247)+INDEX(Models!$BJ247:$BT247,,T247+1)*R247-ERP_i)*Q247*Ramure*Pc/MaxiM</f>
        <v>7.0464539892043851E-4</v>
      </c>
      <c r="Q247" s="304">
        <f t="shared" si="80"/>
        <v>0.6</v>
      </c>
      <c r="R247" s="177">
        <f t="shared" si="81"/>
        <v>0.47457656966740291</v>
      </c>
      <c r="S247" s="799">
        <f t="shared" si="82"/>
        <v>1</v>
      </c>
      <c r="T247" s="176">
        <f t="shared" si="83"/>
        <v>7</v>
      </c>
      <c r="U247" s="250">
        <f t="shared" si="84"/>
        <v>1.4745765696674029</v>
      </c>
      <c r="V247" s="382">
        <f t="shared" si="85"/>
        <v>51.429839153940101</v>
      </c>
      <c r="W247" s="400">
        <f t="shared" si="86"/>
        <v>33.440238824458731</v>
      </c>
      <c r="X247" s="157">
        <f t="shared" si="87"/>
        <v>45524</v>
      </c>
      <c r="Y247" s="383">
        <f t="shared" si="88"/>
        <v>32.802737777410712</v>
      </c>
      <c r="Z247" s="383">
        <f t="shared" si="89"/>
        <v>34.112571595478357</v>
      </c>
      <c r="AA247" s="384">
        <f t="shared" si="90"/>
        <v>36.602753860825082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6.8032647893520815E-2</v>
      </c>
      <c r="AD247" s="230">
        <f>(INDEX(Models!$BJ247:$BT247,,AH247)*(1-AF247)+INDEX(Models!$BJ247:$BT247,,AH247+1)*AF247-ERP_i)*AE247*Ramure*Pc/MaxiM</f>
        <v>7.0464539892043851E-4</v>
      </c>
      <c r="AE247" s="304">
        <f t="shared" si="92"/>
        <v>0.6</v>
      </c>
      <c r="AF247" s="177">
        <f t="shared" si="93"/>
        <v>0.47457656966740291</v>
      </c>
      <c r="AG247" s="799">
        <f t="shared" si="99"/>
        <v>1</v>
      </c>
      <c r="AH247" s="176">
        <f t="shared" si="94"/>
        <v>7</v>
      </c>
      <c r="AI247" s="224">
        <f t="shared" si="95"/>
        <v>1.4745765696674029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'2023'!Wh/'2023'!Env_an*'2024'!Env_an</f>
        <v>26.6513090384226</v>
      </c>
      <c r="C248" s="829"/>
      <c r="D248" s="391">
        <f t="shared" si="77"/>
        <v>27.716043634533186</v>
      </c>
      <c r="E248" s="383">
        <f t="shared" si="100"/>
        <v>29.17430509650568</v>
      </c>
      <c r="F248" s="383">
        <f t="shared" si="78"/>
        <v>29.180958681228873</v>
      </c>
      <c r="G248" s="110">
        <f t="shared" si="101"/>
        <v>0.51980812256943421</v>
      </c>
      <c r="H248" s="412" t="b">
        <f>Wh_hp&gt;='2023'!Maxi_hp</f>
        <v>0</v>
      </c>
      <c r="I248" s="388">
        <f>IF(H248,Wh_hp,'2023'!Maxi_hp)</f>
        <v>56.59830554422004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3.8415821902660241E-2</v>
      </c>
      <c r="M248" s="832"/>
      <c r="N248" s="832"/>
      <c r="O248" s="48">
        <f>IF(t&lt;Tnet,'2023'!Resal+('2023'!Salim-'2023'!Resal)*(1-EXP(('2023'!Tnet-t)/('2023'!Tau_j))),Resal+(Salim-Resal)*(1-EXP((Tnet-t)/(Tau_j))))*Salcycl</f>
        <v>4.9984445461467332E-2</v>
      </c>
      <c r="P248" s="169">
        <f>(INDEX(Models!$BJ248:$BT248,,T248)*(1-R248)+INDEX(Models!$BJ248:$BT248,,T248+1)*R248-ERP_i)*Q248*Ramure*Pc/MaxiM</f>
        <v>7.2526992428373468E-4</v>
      </c>
      <c r="Q248" s="304">
        <f t="shared" si="80"/>
        <v>0.6</v>
      </c>
      <c r="R248" s="177">
        <f t="shared" si="81"/>
        <v>0.47552394401902132</v>
      </c>
      <c r="S248" s="799">
        <f t="shared" si="82"/>
        <v>1</v>
      </c>
      <c r="T248" s="176">
        <f t="shared" si="83"/>
        <v>7</v>
      </c>
      <c r="U248" s="250">
        <f t="shared" si="84"/>
        <v>1.4755239440190213</v>
      </c>
      <c r="V248" s="382">
        <f t="shared" si="85"/>
        <v>51.245935303518628</v>
      </c>
      <c r="W248" s="400">
        <f t="shared" si="86"/>
        <v>26.6513090384226</v>
      </c>
      <c r="X248" s="157">
        <f t="shared" si="87"/>
        <v>45525</v>
      </c>
      <c r="Y248" s="383">
        <f t="shared" si="88"/>
        <v>26.143751820692298</v>
      </c>
      <c r="Z248" s="383">
        <f t="shared" si="89"/>
        <v>27.188209224097491</v>
      </c>
      <c r="AA248" s="384">
        <f t="shared" si="90"/>
        <v>29.17430509650568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6.807688703598537E-2</v>
      </c>
      <c r="AD248" s="230">
        <f>(INDEX(Models!$BJ248:$BT248,,AH248)*(1-AF248)+INDEX(Models!$BJ248:$BT248,,AH248+1)*AF248-ERP_i)*AE248*Ramure*Pc/MaxiM</f>
        <v>7.2526992428373468E-4</v>
      </c>
      <c r="AE248" s="304">
        <f t="shared" si="92"/>
        <v>0.6</v>
      </c>
      <c r="AF248" s="177">
        <f t="shared" si="93"/>
        <v>0.47552394401902132</v>
      </c>
      <c r="AG248" s="799">
        <f t="shared" si="99"/>
        <v>1</v>
      </c>
      <c r="AH248" s="176">
        <f t="shared" si="94"/>
        <v>7</v>
      </c>
      <c r="AI248" s="224">
        <f t="shared" si="95"/>
        <v>1.4755239440190213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'2023'!Wh/'2023'!Env_an*'2024'!Env_an</f>
        <v>48.333641246268009</v>
      </c>
      <c r="C249" s="829"/>
      <c r="D249" s="391">
        <f t="shared" si="77"/>
        <v>50.265560382728872</v>
      </c>
      <c r="E249" s="383">
        <f t="shared" si="100"/>
        <v>52.913801585138366</v>
      </c>
      <c r="F249" s="383">
        <f t="shared" si="78"/>
        <v>52.950310318746979</v>
      </c>
      <c r="G249" s="110">
        <f t="shared" si="101"/>
        <v>0.94657343123693716</v>
      </c>
      <c r="H249" s="412" t="b">
        <f>Wh_hp&gt;='2023'!Maxi_hp</f>
        <v>0</v>
      </c>
      <c r="I249" s="388">
        <f>IF(H249,Wh_hp,'2023'!Maxi_hp)</f>
        <v>53.920594526150673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3.8434250444060791E-2</v>
      </c>
      <c r="M249" s="832"/>
      <c r="N249" s="832"/>
      <c r="O249" s="48">
        <f>IF(t&lt;Tnet,'2023'!Resal+('2023'!Salim-'2023'!Resal)*(1-EXP(('2023'!Tnet-t)/('2023'!Tau_j))),Resal+(Salim-Resal)*(1-EXP((Tnet-t)/(Tau_j))))*Salcycl</f>
        <v>5.0048212811707911E-2</v>
      </c>
      <c r="P249" s="169">
        <f>(INDEX(Models!$BJ249:$BT249,,T249)*(1-R249)+INDEX(Models!$BJ249:$BT249,,T249+1)*R249-ERP_i)*Q249*Ramure*Pc/MaxiM</f>
        <v>7.4640103848045932E-4</v>
      </c>
      <c r="Q249" s="304">
        <f t="shared" si="80"/>
        <v>0.6</v>
      </c>
      <c r="R249" s="177">
        <f t="shared" si="81"/>
        <v>0.4764367263034075</v>
      </c>
      <c r="S249" s="799">
        <f t="shared" si="82"/>
        <v>1</v>
      </c>
      <c r="T249" s="176">
        <f t="shared" si="83"/>
        <v>7</v>
      </c>
      <c r="U249" s="250">
        <f t="shared" si="84"/>
        <v>1.4764367263034075</v>
      </c>
      <c r="V249" s="382">
        <f t="shared" si="85"/>
        <v>51.058784303241268</v>
      </c>
      <c r="W249" s="400">
        <f t="shared" si="86"/>
        <v>48.333641246268009</v>
      </c>
      <c r="X249" s="157">
        <f t="shared" si="87"/>
        <v>45526</v>
      </c>
      <c r="Y249" s="383">
        <f t="shared" si="88"/>
        <v>47.414103917644759</v>
      </c>
      <c r="Z249" s="383">
        <f t="shared" si="89"/>
        <v>49.309268700077006</v>
      </c>
      <c r="AA249" s="384">
        <f t="shared" si="90"/>
        <v>52.913801585138366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6.8120845168564606E-2</v>
      </c>
      <c r="AD249" s="230">
        <f>(INDEX(Models!$BJ249:$BT249,,AH249)*(1-AF249)+INDEX(Models!$BJ249:$BT249,,AH249+1)*AF249-ERP_i)*AE249*Ramure*Pc/MaxiM</f>
        <v>7.4640103848045932E-4</v>
      </c>
      <c r="AE249" s="304">
        <f t="shared" si="92"/>
        <v>0.6</v>
      </c>
      <c r="AF249" s="177">
        <f t="shared" si="93"/>
        <v>0.4764367263034075</v>
      </c>
      <c r="AG249" s="799">
        <f t="shared" si="99"/>
        <v>1</v>
      </c>
      <c r="AH249" s="176">
        <f t="shared" si="94"/>
        <v>7</v>
      </c>
      <c r="AI249" s="224">
        <f t="shared" si="95"/>
        <v>1.4764367263034075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'2023'!Wh/'2023'!Env_an*'2024'!Env_an</f>
        <v>46.078999130732626</v>
      </c>
      <c r="C250" s="829"/>
      <c r="D250" s="391">
        <f t="shared" si="77"/>
        <v>47.921717534597526</v>
      </c>
      <c r="E250" s="383">
        <f t="shared" si="100"/>
        <v>50.449846632035744</v>
      </c>
      <c r="F250" s="383">
        <f t="shared" si="78"/>
        <v>50.483404979864893</v>
      </c>
      <c r="G250" s="110">
        <f t="shared" si="101"/>
        <v>0.9057538114613114</v>
      </c>
      <c r="H250" s="412" t="b">
        <f>Wh_hp&gt;='2023'!Maxi_hp</f>
        <v>0</v>
      </c>
      <c r="I250" s="388">
        <f>IF(H250,Wh_hp,'2023'!Maxi_hp)</f>
        <v>53.710943273979339</v>
      </c>
      <c r="J250" s="85">
        <f>IF(H250,An,'2023'!An_max)</f>
        <v>2018</v>
      </c>
      <c r="K250" s="197">
        <f t="shared" si="79"/>
        <v>45527</v>
      </c>
      <c r="L250" s="147">
        <f>IF(t&lt;Tvie,1-EXP((T0-t)*PertePVj)+'2023'!Pspv,1-EXP((T0-t)*PertePVj)+Pspv)</f>
        <v>3.8452678632282633E-2</v>
      </c>
      <c r="M250" s="832"/>
      <c r="N250" s="832"/>
      <c r="O250" s="48">
        <f>IF(t&lt;Tnet,'2023'!Resal+('2023'!Salim-'2023'!Resal)*(1-EXP(('2023'!Tnet-t)/('2023'!Tau_j))),Resal+(Salim-Resal)*(1-EXP((Tnet-t)/(Tau_j))))*Salcycl</f>
        <v>5.0111730088647159E-2</v>
      </c>
      <c r="P250" s="169">
        <f>(INDEX(Models!$BJ250:$BT250,,T250)*(1-R250)+INDEX(Models!$BJ250:$BT250,,T250+1)*R250-ERP_i)*Q250*Ramure*Pc/MaxiM</f>
        <v>7.6804503502987101E-4</v>
      </c>
      <c r="Q250" s="304">
        <f t="shared" si="80"/>
        <v>0.6</v>
      </c>
      <c r="R250" s="177">
        <f t="shared" si="81"/>
        <v>0.4773160478530718</v>
      </c>
      <c r="S250" s="799">
        <f t="shared" si="82"/>
        <v>1</v>
      </c>
      <c r="T250" s="176">
        <f t="shared" si="83"/>
        <v>7</v>
      </c>
      <c r="U250" s="250">
        <f t="shared" si="84"/>
        <v>1.4773160478530718</v>
      </c>
      <c r="V250" s="382">
        <f t="shared" si="85"/>
        <v>50.868387410689564</v>
      </c>
      <c r="W250" s="400">
        <f t="shared" si="86"/>
        <v>46.078999130732626</v>
      </c>
      <c r="X250" s="157">
        <f t="shared" si="87"/>
        <v>45527</v>
      </c>
      <c r="Y250" s="383">
        <f t="shared" si="88"/>
        <v>45.203260173646484</v>
      </c>
      <c r="Z250" s="383">
        <f t="shared" si="89"/>
        <v>47.010957411174296</v>
      </c>
      <c r="AA250" s="384">
        <f t="shared" si="90"/>
        <v>50.449846632035744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6.8164512886303777E-2</v>
      </c>
      <c r="AD250" s="230">
        <f>(INDEX(Models!$BJ250:$BT250,,AH250)*(1-AF250)+INDEX(Models!$BJ250:$BT250,,AH250+1)*AF250-ERP_i)*AE250*Ramure*Pc/MaxiM</f>
        <v>7.6804503502987101E-4</v>
      </c>
      <c r="AE250" s="304">
        <f t="shared" si="92"/>
        <v>0.6</v>
      </c>
      <c r="AF250" s="177">
        <f t="shared" si="93"/>
        <v>0.4773160478530718</v>
      </c>
      <c r="AG250" s="799">
        <f t="shared" si="99"/>
        <v>1</v>
      </c>
      <c r="AH250" s="176">
        <f t="shared" si="94"/>
        <v>7</v>
      </c>
      <c r="AI250" s="224">
        <f t="shared" si="95"/>
        <v>1.4773160478530718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'2023'!Wh/'2023'!Env_an*'2024'!Env_an</f>
        <v>32.306561967184649</v>
      </c>
      <c r="C251" s="829"/>
      <c r="D251" s="391">
        <f t="shared" si="77"/>
        <v>33.599158781895774</v>
      </c>
      <c r="E251" s="383">
        <f t="shared" si="100"/>
        <v>35.374051453710315</v>
      </c>
      <c r="F251" s="383">
        <f t="shared" si="78"/>
        <v>35.387534984277416</v>
      </c>
      <c r="G251" s="110">
        <f t="shared" si="101"/>
        <v>0.63726688799889886</v>
      </c>
      <c r="H251" s="412" t="b">
        <f>Wh_hp&gt;='2023'!Maxi_hp</f>
        <v>0</v>
      </c>
      <c r="I251" s="388">
        <f>IF(H251,Wh_hp,'2023'!Maxi_hp)</f>
        <v>50.59926404911738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3.8471106467332539E-2</v>
      </c>
      <c r="M251" s="832"/>
      <c r="N251" s="832"/>
      <c r="O251" s="48">
        <f>IF(t&lt;Tnet,'2023'!Resal+('2023'!Salim-'2023'!Resal)*(1-EXP(('2023'!Tnet-t)/('2023'!Tau_j))),Resal+(Salim-Resal)*(1-EXP((Tnet-t)/(Tau_j))))*Salcycl</f>
        <v>5.0174989826571779E-2</v>
      </c>
      <c r="P251" s="169">
        <f>(INDEX(Models!$BJ251:$BT251,,T251)*(1-R251)+INDEX(Models!$BJ251:$BT251,,T251+1)*R251-ERP_i)*Q251*Ramure*Pc/MaxiM</f>
        <v>7.9020856903030923E-4</v>
      </c>
      <c r="Q251" s="304">
        <f t="shared" si="80"/>
        <v>0.6</v>
      </c>
      <c r="R251" s="177">
        <f t="shared" si="81"/>
        <v>0.47816301302103636</v>
      </c>
      <c r="S251" s="799">
        <f t="shared" si="82"/>
        <v>1</v>
      </c>
      <c r="T251" s="176">
        <f t="shared" si="83"/>
        <v>7</v>
      </c>
      <c r="U251" s="250">
        <f t="shared" si="84"/>
        <v>1.4781630130210364</v>
      </c>
      <c r="V251" s="382">
        <f t="shared" si="85"/>
        <v>50.674745883836508</v>
      </c>
      <c r="W251" s="400">
        <f t="shared" si="86"/>
        <v>32.306561967184649</v>
      </c>
      <c r="X251" s="157">
        <f t="shared" si="87"/>
        <v>45528</v>
      </c>
      <c r="Y251" s="383">
        <f t="shared" si="88"/>
        <v>31.693206147607388</v>
      </c>
      <c r="Z251" s="383">
        <f t="shared" si="89"/>
        <v>32.961262382003113</v>
      </c>
      <c r="AA251" s="384">
        <f t="shared" si="90"/>
        <v>35.374051453710315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6.8207880425133871E-2</v>
      </c>
      <c r="AD251" s="230">
        <f>(INDEX(Models!$BJ251:$BT251,,AH251)*(1-AF251)+INDEX(Models!$BJ251:$BT251,,AH251+1)*AF251-ERP_i)*AE251*Ramure*Pc/MaxiM</f>
        <v>7.9020856903030923E-4</v>
      </c>
      <c r="AE251" s="304">
        <f t="shared" si="92"/>
        <v>0.6</v>
      </c>
      <c r="AF251" s="177">
        <f t="shared" si="93"/>
        <v>0.47816301302103636</v>
      </c>
      <c r="AG251" s="799">
        <f t="shared" si="99"/>
        <v>1</v>
      </c>
      <c r="AH251" s="176">
        <f t="shared" si="94"/>
        <v>7</v>
      </c>
      <c r="AI251" s="224">
        <f t="shared" si="95"/>
        <v>1.4781630130210364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'2023'!Wh/'2023'!Env_an*'2024'!Env_an</f>
        <v>42.903402517393189</v>
      </c>
      <c r="C252" s="829"/>
      <c r="D252" s="391">
        <f t="shared" si="77"/>
        <v>44.620837767487401</v>
      </c>
      <c r="E252" s="383">
        <f t="shared" si="100"/>
        <v>46.981072130763039</v>
      </c>
      <c r="F252" s="383">
        <f t="shared" si="78"/>
        <v>47.011095369820737</v>
      </c>
      <c r="G252" s="110">
        <f t="shared" si="101"/>
        <v>0.84979673628142804</v>
      </c>
      <c r="H252" s="412" t="b">
        <f>Wh_hp&gt;='2023'!Maxi_hp</f>
        <v>0</v>
      </c>
      <c r="I252" s="388">
        <f>IF(H252,Wh_hp,'2023'!Maxi_hp)</f>
        <v>53.844483293966427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3.8489533949217059E-2</v>
      </c>
      <c r="M252" s="832"/>
      <c r="N252" s="832"/>
      <c r="O252" s="48">
        <f>IF(t&lt;Tnet,'2023'!Resal+('2023'!Salim-'2023'!Resal)*(1-EXP(('2023'!Tnet-t)/('2023'!Tau_j))),Resal+(Salim-Resal)*(1-EXP((Tnet-t)/(Tau_j))))*Salcycl</f>
        <v>5.0237984282401303E-2</v>
      </c>
      <c r="P252" s="169">
        <f>(INDEX(Models!$BJ252:$BT252,,T252)*(1-R252)+INDEX(Models!$BJ252:$BT252,,T252+1)*R252-ERP_i)*Q252*Ramure*Pc/MaxiM</f>
        <v>8.1289790437968597E-4</v>
      </c>
      <c r="Q252" s="304">
        <f t="shared" si="80"/>
        <v>0.6</v>
      </c>
      <c r="R252" s="177">
        <f t="shared" si="81"/>
        <v>0.47897869902244006</v>
      </c>
      <c r="S252" s="799">
        <f t="shared" si="82"/>
        <v>1</v>
      </c>
      <c r="T252" s="176">
        <f t="shared" si="83"/>
        <v>7</v>
      </c>
      <c r="U252" s="250">
        <f t="shared" si="84"/>
        <v>1.4789786990224401</v>
      </c>
      <c r="V252" s="382">
        <f t="shared" si="85"/>
        <v>50.477861020213865</v>
      </c>
      <c r="W252" s="400">
        <f t="shared" si="86"/>
        <v>42.903402517393189</v>
      </c>
      <c r="X252" s="157">
        <f t="shared" si="87"/>
        <v>45529</v>
      </c>
      <c r="Y252" s="383">
        <f t="shared" si="88"/>
        <v>42.089707110776267</v>
      </c>
      <c r="Z252" s="383">
        <f t="shared" si="89"/>
        <v>43.774569905257032</v>
      </c>
      <c r="AA252" s="384">
        <f t="shared" si="90"/>
        <v>46.981072130763039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6.8250937666584272E-2</v>
      </c>
      <c r="AD252" s="230">
        <f>(INDEX(Models!$BJ252:$BT252,,AH252)*(1-AF252)+INDEX(Models!$BJ252:$BT252,,AH252+1)*AF252-ERP_i)*AE252*Ramure*Pc/MaxiM</f>
        <v>8.1289790437968597E-4</v>
      </c>
      <c r="AE252" s="304">
        <f t="shared" si="92"/>
        <v>0.6</v>
      </c>
      <c r="AF252" s="177">
        <f t="shared" si="93"/>
        <v>0.47897869902244006</v>
      </c>
      <c r="AG252" s="799">
        <f t="shared" si="99"/>
        <v>1</v>
      </c>
      <c r="AH252" s="176">
        <f t="shared" si="94"/>
        <v>7</v>
      </c>
      <c r="AI252" s="224">
        <f t="shared" si="95"/>
        <v>1.4789786990224401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'2023'!Wh/'2023'!Env_an*'2024'!Env_an</f>
        <v>48.791301780159102</v>
      </c>
      <c r="C253" s="829"/>
      <c r="D253" s="391">
        <f t="shared" si="77"/>
        <v>50.745403815157701</v>
      </c>
      <c r="E253" s="383">
        <f t="shared" si="100"/>
        <v>53.433127838973206</v>
      </c>
      <c r="F253" s="383">
        <f t="shared" si="78"/>
        <v>53.47595169999736</v>
      </c>
      <c r="G253" s="110">
        <f t="shared" si="101"/>
        <v>0.97040127714820712</v>
      </c>
      <c r="H253" s="412" t="b">
        <f>Wh_hp&gt;='2023'!Maxi_hp</f>
        <v>0</v>
      </c>
      <c r="I253" s="388">
        <f>IF(H253,Wh_hp,'2023'!Maxi_hp)</f>
        <v>53.476850706483603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3.8507961077943076E-2</v>
      </c>
      <c r="M253" s="832"/>
      <c r="N253" s="832"/>
      <c r="O253" s="48">
        <f>IF(t&lt;Tnet,'2023'!Resal+('2023'!Salim-'2023'!Resal)*(1-EXP(('2023'!Tnet-t)/('2023'!Tau_j))),Resal+(Salim-Resal)*(1-EXP((Tnet-t)/(Tau_j))))*Salcycl</f>
        <v>5.0300705433439445E-2</v>
      </c>
      <c r="P253" s="169">
        <f>(INDEX(Models!$BJ253:$BT253,,T253)*(1-R253)+INDEX(Models!$BJ253:$BT253,,T253+1)*R253-ERP_i)*Q253*Ramure*Pc/MaxiM</f>
        <v>8.3611937696991597E-4</v>
      </c>
      <c r="Q253" s="304">
        <f t="shared" si="80"/>
        <v>0.6</v>
      </c>
      <c r="R253" s="177">
        <f t="shared" si="81"/>
        <v>0.47976415585768728</v>
      </c>
      <c r="S253" s="799">
        <f t="shared" si="82"/>
        <v>1</v>
      </c>
      <c r="T253" s="176">
        <f t="shared" si="83"/>
        <v>7</v>
      </c>
      <c r="U253" s="250">
        <f t="shared" si="84"/>
        <v>1.4797641558576873</v>
      </c>
      <c r="V253" s="382">
        <f t="shared" si="85"/>
        <v>50.277734129989938</v>
      </c>
      <c r="W253" s="400">
        <f t="shared" si="86"/>
        <v>48.791301780159102</v>
      </c>
      <c r="X253" s="157">
        <f t="shared" si="87"/>
        <v>45530</v>
      </c>
      <c r="Y253" s="383">
        <f t="shared" si="88"/>
        <v>47.866903530212717</v>
      </c>
      <c r="Z253" s="383">
        <f t="shared" si="89"/>
        <v>49.783983218287503</v>
      </c>
      <c r="AA253" s="384">
        <f t="shared" si="90"/>
        <v>53.433127838973206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6.8293674135693733E-2</v>
      </c>
      <c r="AD253" s="230">
        <f>(INDEX(Models!$BJ253:$BT253,,AH253)*(1-AF253)+INDEX(Models!$BJ253:$BT253,,AH253+1)*AF253-ERP_i)*AE253*Ramure*Pc/MaxiM</f>
        <v>8.3611937696991597E-4</v>
      </c>
      <c r="AE253" s="304">
        <f t="shared" si="92"/>
        <v>0.6</v>
      </c>
      <c r="AF253" s="177">
        <f t="shared" si="93"/>
        <v>0.47976415585768728</v>
      </c>
      <c r="AG253" s="799">
        <f t="shared" si="99"/>
        <v>1</v>
      </c>
      <c r="AH253" s="176">
        <f t="shared" si="94"/>
        <v>7</v>
      </c>
      <c r="AI253" s="224">
        <f t="shared" si="95"/>
        <v>1.4797641558576873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'2023'!Wh/'2023'!Env_an*'2024'!Env_an</f>
        <v>47.730058080435263</v>
      </c>
      <c r="C254" s="829"/>
      <c r="D254" s="391">
        <f t="shared" si="77"/>
        <v>49.642608468347113</v>
      </c>
      <c r="E254" s="383">
        <f t="shared" si="100"/>
        <v>52.275360002534491</v>
      </c>
      <c r="F254" s="383">
        <f t="shared" si="78"/>
        <v>52.317350769466664</v>
      </c>
      <c r="G254" s="110">
        <f t="shared" si="101"/>
        <v>0.95312883660208014</v>
      </c>
      <c r="H254" s="412" t="b">
        <f>Wh_hp&gt;='2023'!Maxi_hp</f>
        <v>0</v>
      </c>
      <c r="I254" s="388">
        <f>IF(H254,Wh_hp,'2023'!Maxi_hp)</f>
        <v>54.734917062438733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3.8526387853517474E-2</v>
      </c>
      <c r="M254" s="832"/>
      <c r="N254" s="832"/>
      <c r="O254" s="48">
        <f>IF(t&lt;Tnet,'2023'!Resal+('2023'!Salim-'2023'!Resal)*(1-EXP(('2023'!Tnet-t)/('2023'!Tau_j))),Resal+(Salim-Resal)*(1-EXP((Tnet-t)/(Tau_j))))*Salcycl</f>
        <v>5.0363144970397684E-2</v>
      </c>
      <c r="P254" s="169">
        <f>(INDEX(Models!$BJ254:$BT254,,T254)*(1-R254)+INDEX(Models!$BJ254:$BT254,,T254+1)*R254-ERP_i)*Q254*Ramure*Pc/MaxiM</f>
        <v>8.6014318883465284E-4</v>
      </c>
      <c r="Q254" s="304">
        <f t="shared" si="80"/>
        <v>0.6</v>
      </c>
      <c r="R254" s="177">
        <f t="shared" si="81"/>
        <v>0.48052040631024706</v>
      </c>
      <c r="S254" s="799">
        <f t="shared" si="82"/>
        <v>1</v>
      </c>
      <c r="T254" s="176">
        <f t="shared" si="83"/>
        <v>7</v>
      </c>
      <c r="U254" s="250">
        <f t="shared" si="84"/>
        <v>1.4805204063102471</v>
      </c>
      <c r="V254" s="382">
        <f t="shared" si="85"/>
        <v>50.074353317200519</v>
      </c>
      <c r="W254" s="400">
        <f t="shared" si="86"/>
        <v>47.730058080435263</v>
      </c>
      <c r="X254" s="157">
        <f t="shared" si="87"/>
        <v>45531</v>
      </c>
      <c r="Y254" s="383">
        <f t="shared" si="88"/>
        <v>46.826713628071566</v>
      </c>
      <c r="Z254" s="383">
        <f t="shared" si="89"/>
        <v>48.703066872039564</v>
      </c>
      <c r="AA254" s="384">
        <f t="shared" si="90"/>
        <v>52.275360002534491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6.8336078992506849E-2</v>
      </c>
      <c r="AD254" s="230">
        <f>(INDEX(Models!$BJ254:$BT254,,AH254)*(1-AF254)+INDEX(Models!$BJ254:$BT254,,AH254+1)*AF254-ERP_i)*AE254*Ramure*Pc/MaxiM</f>
        <v>8.6014318883465284E-4</v>
      </c>
      <c r="AE254" s="304">
        <f t="shared" si="92"/>
        <v>0.6</v>
      </c>
      <c r="AF254" s="177">
        <f t="shared" si="93"/>
        <v>0.48052040631024706</v>
      </c>
      <c r="AG254" s="799">
        <f t="shared" si="99"/>
        <v>1</v>
      </c>
      <c r="AH254" s="176">
        <f t="shared" si="94"/>
        <v>7</v>
      </c>
      <c r="AI254" s="224">
        <f t="shared" si="95"/>
        <v>1.4805204063102471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'2023'!Wh/'2023'!Env_an*'2024'!Env_an</f>
        <v>32.660315601020756</v>
      </c>
      <c r="C255" s="829"/>
      <c r="D255" s="391">
        <f t="shared" si="77"/>
        <v>33.969670231093417</v>
      </c>
      <c r="E255" s="383">
        <f t="shared" si="100"/>
        <v>35.773562655665408</v>
      </c>
      <c r="F255" s="383">
        <f t="shared" si="78"/>
        <v>35.78961865663149</v>
      </c>
      <c r="G255" s="110">
        <f t="shared" si="101"/>
        <v>0.65465310396923682</v>
      </c>
      <c r="H255" s="412" t="b">
        <f>Wh_hp&gt;='2023'!Maxi_hp</f>
        <v>0</v>
      </c>
      <c r="I255" s="388">
        <f>IF(H255,Wh_hp,'2023'!Maxi_hp)</f>
        <v>54.247939934538053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3.8544814275946915E-2</v>
      </c>
      <c r="M255" s="832"/>
      <c r="N255" s="832"/>
      <c r="O255" s="48">
        <f>IF(t&lt;Tnet,'2023'!Resal+('2023'!Salim-'2023'!Resal)*(1-EXP(('2023'!Tnet-t)/('2023'!Tau_j))),Resal+(Salim-Resal)*(1-EXP((Tnet-t)/(Tau_j))))*Salcycl</f>
        <v>5.0425294286039167E-2</v>
      </c>
      <c r="P255" s="169">
        <f>(INDEX(Models!$BJ255:$BT255,,T255)*(1-R255)+INDEX(Models!$BJ255:$BT255,,T255+1)*R255-ERP_i)*Q255*Ramure*Pc/MaxiM</f>
        <v>8.8475858636179031E-4</v>
      </c>
      <c r="Q255" s="304">
        <f t="shared" si="80"/>
        <v>0.6</v>
      </c>
      <c r="R255" s="177">
        <f t="shared" si="81"/>
        <v>0.48124844601254169</v>
      </c>
      <c r="S255" s="799">
        <f t="shared" si="82"/>
        <v>1</v>
      </c>
      <c r="T255" s="176">
        <f t="shared" si="83"/>
        <v>7</v>
      </c>
      <c r="U255" s="250">
        <f t="shared" si="84"/>
        <v>1.4812484460125417</v>
      </c>
      <c r="V255" s="382">
        <f t="shared" si="85"/>
        <v>49.867730929264141</v>
      </c>
      <c r="W255" s="400">
        <f t="shared" si="86"/>
        <v>32.660315601020756</v>
      </c>
      <c r="X255" s="157">
        <f t="shared" si="87"/>
        <v>45532</v>
      </c>
      <c r="Y255" s="383">
        <f t="shared" si="88"/>
        <v>32.042833230583668</v>
      </c>
      <c r="Z255" s="383">
        <f t="shared" si="89"/>
        <v>33.327432943692365</v>
      </c>
      <c r="AA255" s="384">
        <f t="shared" si="90"/>
        <v>35.773562655665408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6.8378141017656102E-2</v>
      </c>
      <c r="AD255" s="230">
        <f>(INDEX(Models!$BJ255:$BT255,,AH255)*(1-AF255)+INDEX(Models!$BJ255:$BT255,,AH255+1)*AF255-ERP_i)*AE255*Ramure*Pc/MaxiM</f>
        <v>8.8475858636179031E-4</v>
      </c>
      <c r="AE255" s="304">
        <f t="shared" si="92"/>
        <v>0.6</v>
      </c>
      <c r="AF255" s="177">
        <f t="shared" si="93"/>
        <v>0.48124844601254169</v>
      </c>
      <c r="AG255" s="799">
        <f t="shared" si="99"/>
        <v>1</v>
      </c>
      <c r="AH255" s="176">
        <f t="shared" si="94"/>
        <v>7</v>
      </c>
      <c r="AI255" s="224">
        <f t="shared" si="95"/>
        <v>1.4812484460125417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'2023'!Wh/'2023'!Env_an*'2024'!Env_an</f>
        <v>47.414996848347201</v>
      </c>
      <c r="C256" s="829"/>
      <c r="D256" s="391">
        <f t="shared" si="77"/>
        <v>49.316812959568182</v>
      </c>
      <c r="E256" s="383">
        <f t="shared" si="100"/>
        <v>51.939068198833851</v>
      </c>
      <c r="F256" s="383">
        <f t="shared" si="78"/>
        <v>51.983319420621953</v>
      </c>
      <c r="G256" s="110">
        <f t="shared" si="101"/>
        <v>0.95477740236562259</v>
      </c>
      <c r="H256" s="412" t="b">
        <f>Wh_hp&gt;='2023'!Maxi_hp</f>
        <v>0</v>
      </c>
      <c r="I256" s="388">
        <f>IF(H256,Wh_hp,'2023'!Maxi_hp)</f>
        <v>52.905760781813107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3.8563240345238059E-2</v>
      </c>
      <c r="M256" s="832"/>
      <c r="N256" s="832"/>
      <c r="O256" s="48">
        <f>IF(t&lt;Tnet,'2023'!Resal+('2023'!Salim-'2023'!Resal)*(1-EXP(('2023'!Tnet-t)/('2023'!Tau_j))),Resal+(Salim-Resal)*(1-EXP((Tnet-t)/(Tau_j))))*Salcycl</f>
        <v>5.0487144459871972E-2</v>
      </c>
      <c r="P256" s="169">
        <f>(INDEX(Models!$BJ256:$BT256,,T256)*(1-R256)+INDEX(Models!$BJ256:$BT256,,T256+1)*R256-ERP_i)*Q256*Ramure*Pc/MaxiM</f>
        <v>9.0997277809060366E-4</v>
      </c>
      <c r="Q256" s="304">
        <f t="shared" si="80"/>
        <v>0.6</v>
      </c>
      <c r="R256" s="177">
        <f t="shared" si="81"/>
        <v>0.48194924357371649</v>
      </c>
      <c r="S256" s="799">
        <f t="shared" si="82"/>
        <v>1</v>
      </c>
      <c r="T256" s="176">
        <f t="shared" si="83"/>
        <v>7</v>
      </c>
      <c r="U256" s="250">
        <f t="shared" si="84"/>
        <v>1.4819492435737165</v>
      </c>
      <c r="V256" s="382">
        <f t="shared" si="85"/>
        <v>49.657868318599732</v>
      </c>
      <c r="W256" s="400">
        <f t="shared" si="86"/>
        <v>47.414996848347201</v>
      </c>
      <c r="X256" s="157">
        <f t="shared" si="87"/>
        <v>45533</v>
      </c>
      <c r="Y256" s="383">
        <f t="shared" si="88"/>
        <v>46.519507013769164</v>
      </c>
      <c r="Z256" s="383">
        <f t="shared" si="89"/>
        <v>48.38540501662704</v>
      </c>
      <c r="AA256" s="384">
        <f t="shared" si="90"/>
        <v>51.939068198833851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6.8419848592636071E-2</v>
      </c>
      <c r="AD256" s="230">
        <f>(INDEX(Models!$BJ256:$BT256,,AH256)*(1-AF256)+INDEX(Models!$BJ256:$BT256,,AH256+1)*AF256-ERP_i)*AE256*Ramure*Pc/MaxiM</f>
        <v>9.0997277809060366E-4</v>
      </c>
      <c r="AE256" s="304">
        <f t="shared" si="92"/>
        <v>0.6</v>
      </c>
      <c r="AF256" s="177">
        <f t="shared" si="93"/>
        <v>0.48194924357371649</v>
      </c>
      <c r="AG256" s="799">
        <f t="shared" si="99"/>
        <v>1</v>
      </c>
      <c r="AH256" s="176">
        <f t="shared" si="94"/>
        <v>7</v>
      </c>
      <c r="AI256" s="224">
        <f t="shared" si="95"/>
        <v>1.4819492435737165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'2023'!Wh/'2023'!Env_an*'2024'!Env_an</f>
        <v>24.491198365774888</v>
      </c>
      <c r="C257" s="829"/>
      <c r="D257" s="391">
        <f t="shared" si="77"/>
        <v>25.474028839706879</v>
      </c>
      <c r="E257" s="383">
        <f t="shared" si="100"/>
        <v>26.83026340635509</v>
      </c>
      <c r="F257" s="383">
        <f t="shared" si="78"/>
        <v>26.837271123443529</v>
      </c>
      <c r="G257" s="110">
        <f t="shared" si="101"/>
        <v>0.49499010765873808</v>
      </c>
      <c r="H257" s="412" t="b">
        <f>Wh_hp&gt;='2023'!Maxi_hp</f>
        <v>0</v>
      </c>
      <c r="I257" s="388">
        <f>IF(H257,Wh_hp,'2023'!Maxi_hp)</f>
        <v>52.429420207764473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3.8581666061397901E-2</v>
      </c>
      <c r="M257" s="832"/>
      <c r="N257" s="832"/>
      <c r="O257" s="48">
        <f>IF(t&lt;Tnet,'2023'!Resal+('2023'!Salim-'2023'!Resal)*(1-EXP(('2023'!Tnet-t)/('2023'!Tau_j))),Resal+(Salim-Resal)*(1-EXP((Tnet-t)/(Tau_j))))*Salcycl</f>
        <v>5.0548686239396748E-2</v>
      </c>
      <c r="P257" s="169">
        <f>(INDEX(Models!$BJ257:$BT257,,T257)*(1-R257)+INDEX(Models!$BJ257:$BT257,,T257+1)*R257-ERP_i)*Q257*Ramure*Pc/MaxiM</f>
        <v>9.3579301218321427E-4</v>
      </c>
      <c r="Q257" s="304">
        <f t="shared" si="80"/>
        <v>0.6</v>
      </c>
      <c r="R257" s="177">
        <f t="shared" si="81"/>
        <v>0.48262374076341663</v>
      </c>
      <c r="S257" s="799">
        <f t="shared" si="82"/>
        <v>1</v>
      </c>
      <c r="T257" s="176">
        <f t="shared" si="83"/>
        <v>7</v>
      </c>
      <c r="U257" s="250">
        <f t="shared" si="84"/>
        <v>1.4826237407634166</v>
      </c>
      <c r="V257" s="382">
        <f t="shared" si="85"/>
        <v>49.444766859676179</v>
      </c>
      <c r="W257" s="400">
        <f t="shared" si="86"/>
        <v>24.491198365774888</v>
      </c>
      <c r="X257" s="157">
        <f t="shared" si="87"/>
        <v>45534</v>
      </c>
      <c r="Y257" s="383">
        <f t="shared" si="88"/>
        <v>24.029143420436998</v>
      </c>
      <c r="Z257" s="383">
        <f t="shared" si="89"/>
        <v>24.99343165424963</v>
      </c>
      <c r="AA257" s="384">
        <f t="shared" si="90"/>
        <v>26.83026340635509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6.8461189675476139E-2</v>
      </c>
      <c r="AD257" s="230">
        <f>(INDEX(Models!$BJ257:$BT257,,AH257)*(1-AF257)+INDEX(Models!$BJ257:$BT257,,AH257+1)*AF257-ERP_i)*AE257*Ramure*Pc/MaxiM</f>
        <v>9.3579301218321427E-4</v>
      </c>
      <c r="AE257" s="304">
        <f t="shared" si="92"/>
        <v>0.6</v>
      </c>
      <c r="AF257" s="177">
        <f t="shared" si="93"/>
        <v>0.48262374076341663</v>
      </c>
      <c r="AG257" s="799">
        <f t="shared" si="99"/>
        <v>1</v>
      </c>
      <c r="AH257" s="176">
        <f t="shared" si="94"/>
        <v>7</v>
      </c>
      <c r="AI257" s="224">
        <f t="shared" si="95"/>
        <v>1.4826237407634166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'2023'!Wh/'2023'!Env_an*'2024'!Env_an</f>
        <v>40.09017872192593</v>
      </c>
      <c r="C258" s="829"/>
      <c r="D258" s="391">
        <f t="shared" si="77"/>
        <v>41.699794606101534</v>
      </c>
      <c r="E258" s="383">
        <f t="shared" si="100"/>
        <v>43.922719487111337</v>
      </c>
      <c r="F258" s="383">
        <f t="shared" si="78"/>
        <v>43.953797392829436</v>
      </c>
      <c r="G258" s="110">
        <f t="shared" si="101"/>
        <v>0.81416253622188217</v>
      </c>
      <c r="H258" s="412" t="b">
        <f>Wh_hp&gt;='2023'!Maxi_hp</f>
        <v>0</v>
      </c>
      <c r="I258" s="388">
        <f>IF(H258,Wh_hp,'2023'!Maxi_hp)</f>
        <v>47.872949450269061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3.8600091424433103E-2</v>
      </c>
      <c r="M258" s="832"/>
      <c r="N258" s="832"/>
      <c r="O258" s="48">
        <f>IF(t&lt;Tnet,'2023'!Resal+('2023'!Salim-'2023'!Resal)*(1-EXP(('2023'!Tnet-t)/('2023'!Tau_j))),Resal+(Salim-Resal)*(1-EXP((Tnet-t)/(Tau_j))))*Salcycl</f>
        <v>5.0609910018483702E-2</v>
      </c>
      <c r="P258" s="169">
        <f>(INDEX(Models!$BJ258:$BT258,,T258)*(1-R258)+INDEX(Models!$BJ258:$BT258,,T258+1)*R258-ERP_i)*Q258*Ramure*Pc/MaxiM</f>
        <v>9.6222656522883655E-4</v>
      </c>
      <c r="Q258" s="304">
        <f t="shared" si="80"/>
        <v>0.6</v>
      </c>
      <c r="R258" s="177">
        <f t="shared" si="81"/>
        <v>0.48327285274603815</v>
      </c>
      <c r="S258" s="799">
        <f t="shared" si="82"/>
        <v>1</v>
      </c>
      <c r="T258" s="176">
        <f t="shared" si="83"/>
        <v>7</v>
      </c>
      <c r="U258" s="250">
        <f t="shared" si="84"/>
        <v>1.4832728527460382</v>
      </c>
      <c r="V258" s="382">
        <f t="shared" si="85"/>
        <v>49.228427945276728</v>
      </c>
      <c r="W258" s="400">
        <f t="shared" si="86"/>
        <v>40.09017872192593</v>
      </c>
      <c r="X258" s="157">
        <f t="shared" si="87"/>
        <v>45535</v>
      </c>
      <c r="Y258" s="383">
        <f t="shared" si="88"/>
        <v>39.334637688552853</v>
      </c>
      <c r="Z258" s="383">
        <f t="shared" si="89"/>
        <v>40.913918690539496</v>
      </c>
      <c r="AA258" s="384">
        <f t="shared" si="90"/>
        <v>43.922719487111337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6.8502151772609182E-2</v>
      </c>
      <c r="AD258" s="230">
        <f>(INDEX(Models!$BJ258:$BT258,,AH258)*(1-AF258)+INDEX(Models!$BJ258:$BT258,,AH258+1)*AF258-ERP_i)*AE258*Ramure*Pc/MaxiM</f>
        <v>9.6222656522883655E-4</v>
      </c>
      <c r="AE258" s="304">
        <f t="shared" si="92"/>
        <v>0.6</v>
      </c>
      <c r="AF258" s="177">
        <f t="shared" si="93"/>
        <v>0.48327285274603815</v>
      </c>
      <c r="AG258" s="799">
        <f t="shared" si="99"/>
        <v>1</v>
      </c>
      <c r="AH258" s="176">
        <f t="shared" si="94"/>
        <v>7</v>
      </c>
      <c r="AI258" s="224">
        <f t="shared" si="95"/>
        <v>1.4832728527460382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'2023'!Wh/'2023'!Env_an*'2024'!Env_an</f>
        <v>38.58376159587803</v>
      </c>
      <c r="C259" s="829"/>
      <c r="D259" s="391">
        <f t="shared" si="77"/>
        <v>40.133664165004973</v>
      </c>
      <c r="E259" s="383">
        <f t="shared" si="100"/>
        <v>42.27581371222557</v>
      </c>
      <c r="F259" s="383">
        <f t="shared" si="78"/>
        <v>42.304947205292592</v>
      </c>
      <c r="G259" s="110">
        <f t="shared" si="101"/>
        <v>0.78704462476977788</v>
      </c>
      <c r="H259" s="412" t="b">
        <f>Wh_hp&gt;='2023'!Maxi_hp</f>
        <v>0</v>
      </c>
      <c r="I259" s="388">
        <f>IF(H259,Wh_hp,'2023'!Maxi_hp)</f>
        <v>52.448101483562709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3.8618516434350325E-2</v>
      </c>
      <c r="M259" s="832"/>
      <c r="N259" s="832"/>
      <c r="O259" s="48">
        <f>IF(t&lt;Tnet,'2023'!Resal+('2023'!Salim-'2023'!Resal)*(1-EXP(('2023'!Tnet-t)/('2023'!Tau_j))),Resal+(Salim-Resal)*(1-EXP((Tnet-t)/(Tau_j))))*Salcycl</f>
        <v>5.0670805813516927E-2</v>
      </c>
      <c r="P259" s="169">
        <f>(INDEX(Models!$BJ259:$BT259,,T259)*(1-R259)+INDEX(Models!$BJ259:$BT259,,T259+1)*R259-ERP_i)*Q259*Ramure*Pc/MaxiM</f>
        <v>9.8928072906828159E-4</v>
      </c>
      <c r="Q259" s="304">
        <f t="shared" si="80"/>
        <v>0.6</v>
      </c>
      <c r="R259" s="177">
        <f t="shared" si="81"/>
        <v>0.48389746836024461</v>
      </c>
      <c r="S259" s="799">
        <f t="shared" si="82"/>
        <v>1</v>
      </c>
      <c r="T259" s="176">
        <f t="shared" si="83"/>
        <v>7</v>
      </c>
      <c r="U259" s="250">
        <f t="shared" si="84"/>
        <v>1.4838974683602446</v>
      </c>
      <c r="V259" s="382">
        <f t="shared" si="85"/>
        <v>49.008852990683003</v>
      </c>
      <c r="W259" s="400">
        <f t="shared" si="86"/>
        <v>38.58376159587803</v>
      </c>
      <c r="X259" s="157">
        <f t="shared" si="87"/>
        <v>45536</v>
      </c>
      <c r="Y259" s="383">
        <f t="shared" si="88"/>
        <v>37.857390012588802</v>
      </c>
      <c r="Z259" s="383">
        <f t="shared" si="89"/>
        <v>39.37811436952191</v>
      </c>
      <c r="AA259" s="384">
        <f t="shared" si="90"/>
        <v>42.27581371222557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6.854272190781481E-2</v>
      </c>
      <c r="AD259" s="230">
        <f>(INDEX(Models!$BJ259:$BT259,,AH259)*(1-AF259)+INDEX(Models!$BJ259:$BT259,,AH259+1)*AF259-ERP_i)*AE259*Ramure*Pc/MaxiM</f>
        <v>9.8928072906828159E-4</v>
      </c>
      <c r="AE259" s="304">
        <f t="shared" si="92"/>
        <v>0.6</v>
      </c>
      <c r="AF259" s="177">
        <f t="shared" si="93"/>
        <v>0.48389746836024461</v>
      </c>
      <c r="AG259" s="799">
        <f t="shared" si="99"/>
        <v>1</v>
      </c>
      <c r="AH259" s="176">
        <f t="shared" si="94"/>
        <v>7</v>
      </c>
      <c r="AI259" s="224">
        <f t="shared" si="95"/>
        <v>1.4838974683602446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'2023'!Wh/'2023'!Env_an*'2024'!Env_an</f>
        <v>37.670291048625529</v>
      </c>
      <c r="C260" s="829"/>
      <c r="D260" s="391">
        <f t="shared" si="77"/>
        <v>39.184250631995035</v>
      </c>
      <c r="E260" s="383">
        <f t="shared" si="100"/>
        <v>41.278358005858465</v>
      </c>
      <c r="F260" s="383">
        <f t="shared" si="78"/>
        <v>41.306692157919684</v>
      </c>
      <c r="G260" s="110">
        <f t="shared" si="101"/>
        <v>0.7718972544820718</v>
      </c>
      <c r="H260" s="412" t="b">
        <f>Wh_hp&gt;='2023'!Maxi_hp</f>
        <v>0</v>
      </c>
      <c r="I260" s="388">
        <f>IF(H260,Wh_hp,'2023'!Maxi_hp)</f>
        <v>55.043508007448153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3.8636941091156562E-2</v>
      </c>
      <c r="M260" s="832"/>
      <c r="N260" s="832"/>
      <c r="O260" s="48">
        <f>IF(t&lt;Tnet,'2023'!Resal+('2023'!Salim-'2023'!Resal)*(1-EXP(('2023'!Tnet-t)/('2023'!Tau_j))),Resal+(Salim-Resal)*(1-EXP((Tnet-t)/(Tau_j))))*Salcycl</f>
        <v>5.0731363238000551E-2</v>
      </c>
      <c r="P260" s="169">
        <f>(INDEX(Models!$BJ260:$BT260,,T260)*(1-R260)+INDEX(Models!$BJ260:$BT260,,T260+1)*R260-ERP_i)*Q260*Ramure*Pc/MaxiM</f>
        <v>1.0169627958330281E-3</v>
      </c>
      <c r="Q260" s="304">
        <f t="shared" si="80"/>
        <v>0.6</v>
      </c>
      <c r="R260" s="177">
        <f t="shared" si="81"/>
        <v>0.48449845043887008</v>
      </c>
      <c r="S260" s="799">
        <f t="shared" si="82"/>
        <v>1</v>
      </c>
      <c r="T260" s="176">
        <f t="shared" si="83"/>
        <v>7</v>
      </c>
      <c r="U260" s="250">
        <f t="shared" si="84"/>
        <v>1.4844984504388701</v>
      </c>
      <c r="V260" s="382">
        <f t="shared" si="85"/>
        <v>48.786043432813187</v>
      </c>
      <c r="W260" s="400">
        <f t="shared" si="86"/>
        <v>37.670291048625529</v>
      </c>
      <c r="X260" s="157">
        <f t="shared" si="87"/>
        <v>45537</v>
      </c>
      <c r="Y260" s="383">
        <f t="shared" si="88"/>
        <v>36.961880326667625</v>
      </c>
      <c r="Z260" s="383">
        <f t="shared" si="89"/>
        <v>38.447369060154784</v>
      </c>
      <c r="AA260" s="384">
        <f t="shared" si="90"/>
        <v>41.278358005858465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6.8582886589187667E-2</v>
      </c>
      <c r="AD260" s="230">
        <f>(INDEX(Models!$BJ260:$BT260,,AH260)*(1-AF260)+INDEX(Models!$BJ260:$BT260,,AH260+1)*AF260-ERP_i)*AE260*Ramure*Pc/MaxiM</f>
        <v>1.0169627958330281E-3</v>
      </c>
      <c r="AE260" s="304">
        <f t="shared" si="92"/>
        <v>0.6</v>
      </c>
      <c r="AF260" s="177">
        <f t="shared" si="93"/>
        <v>0.48449845043887008</v>
      </c>
      <c r="AG260" s="799">
        <f t="shared" si="99"/>
        <v>1</v>
      </c>
      <c r="AH260" s="176">
        <f t="shared" si="94"/>
        <v>7</v>
      </c>
      <c r="AI260" s="224">
        <f t="shared" si="95"/>
        <v>1.4844984504388701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'2023'!Wh/'2023'!Env_an*'2024'!Env_an</f>
        <v>45.528464621059491</v>
      </c>
      <c r="C261" s="829"/>
      <c r="D261" s="391">
        <f t="shared" si="77"/>
        <v>47.359149863835924</v>
      </c>
      <c r="E261" s="383">
        <f t="shared" si="100"/>
        <v>49.89330945733046</v>
      </c>
      <c r="F261" s="383">
        <f t="shared" si="78"/>
        <v>49.940856048078132</v>
      </c>
      <c r="G261" s="110">
        <f t="shared" si="101"/>
        <v>0.93748384737992274</v>
      </c>
      <c r="H261" s="412" t="b">
        <f>Wh_hp&gt;='2023'!Maxi_hp</f>
        <v>0</v>
      </c>
      <c r="I261" s="388">
        <f>IF(H261,Wh_hp,'2023'!Maxi_hp)</f>
        <v>53.392231312994895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3.8655365394858365E-2</v>
      </c>
      <c r="M261" s="832"/>
      <c r="N261" s="832"/>
      <c r="O261" s="48">
        <f>IF(t&lt;Tnet,'2023'!Resal+('2023'!Salim-'2023'!Resal)*(1-EXP(('2023'!Tnet-t)/('2023'!Tau_j))),Resal+(Salim-Resal)*(1-EXP((Tnet-t)/(Tau_j))))*Salcycl</f>
        <v>5.0791571476367751E-2</v>
      </c>
      <c r="P261" s="169">
        <f>(INDEX(Models!$BJ261:$BT261,,T261)*(1-R261)+INDEX(Models!$BJ261:$BT261,,T261+1)*R261-ERP_i)*Q261*Ramure*Pc/MaxiM</f>
        <v>1.0452800409573651E-3</v>
      </c>
      <c r="Q261" s="304">
        <f t="shared" si="80"/>
        <v>0.6</v>
      </c>
      <c r="R261" s="177">
        <f t="shared" si="81"/>
        <v>0.48507663616463437</v>
      </c>
      <c r="S261" s="799">
        <f t="shared" si="82"/>
        <v>1</v>
      </c>
      <c r="T261" s="176">
        <f t="shared" si="83"/>
        <v>7</v>
      </c>
      <c r="U261" s="250">
        <f t="shared" si="84"/>
        <v>1.4850766361646344</v>
      </c>
      <c r="V261" s="382">
        <f t="shared" si="85"/>
        <v>48.560000736606149</v>
      </c>
      <c r="W261" s="400">
        <f t="shared" si="86"/>
        <v>45.528464621059491</v>
      </c>
      <c r="X261" s="157">
        <f t="shared" si="87"/>
        <v>45538</v>
      </c>
      <c r="Y261" s="383">
        <f t="shared" si="88"/>
        <v>44.673203781002179</v>
      </c>
      <c r="Z261" s="383">
        <f t="shared" si="89"/>
        <v>46.469499254396993</v>
      </c>
      <c r="AA261" s="384">
        <f t="shared" si="90"/>
        <v>49.89330945733046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6.8622631775139359E-2</v>
      </c>
      <c r="AD261" s="230">
        <f>(INDEX(Models!$BJ261:$BT261,,AH261)*(1-AF261)+INDEX(Models!$BJ261:$BT261,,AH261+1)*AF261-ERP_i)*AE261*Ramure*Pc/MaxiM</f>
        <v>1.0452800409573651E-3</v>
      </c>
      <c r="AE261" s="304">
        <f t="shared" si="92"/>
        <v>0.6</v>
      </c>
      <c r="AF261" s="177">
        <f t="shared" si="93"/>
        <v>0.48507663616463437</v>
      </c>
      <c r="AG261" s="799">
        <f t="shared" si="99"/>
        <v>1</v>
      </c>
      <c r="AH261" s="176">
        <f t="shared" si="94"/>
        <v>7</v>
      </c>
      <c r="AI261" s="224">
        <f t="shared" si="95"/>
        <v>1.4850766361646344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'2023'!Wh/'2023'!Env_an*'2024'!Env_an</f>
        <v>39.795607338818989</v>
      </c>
      <c r="C262" s="829"/>
      <c r="D262" s="391">
        <f t="shared" si="77"/>
        <v>41.396569549189124</v>
      </c>
      <c r="E262" s="383">
        <f t="shared" si="100"/>
        <v>43.614424958437297</v>
      </c>
      <c r="F262" s="383">
        <f t="shared" si="78"/>
        <v>43.649505041620394</v>
      </c>
      <c r="G262" s="110">
        <f t="shared" si="101"/>
        <v>0.82317884344864656</v>
      </c>
      <c r="H262" s="412" t="b">
        <f>Wh_hp&gt;='2023'!Maxi_hp</f>
        <v>0</v>
      </c>
      <c r="I262" s="388">
        <f>IF(H262,Wh_hp,'2023'!Maxi_hp)</f>
        <v>53.427461866974461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3.8673789345462617E-2</v>
      </c>
      <c r="M262" s="832"/>
      <c r="N262" s="832"/>
      <c r="O262" s="48">
        <f>IF(t&lt;Tnet,'2023'!Resal+('2023'!Salim-'2023'!Resal)*(1-EXP(('2023'!Tnet-t)/('2023'!Tau_j))),Resal+(Salim-Resal)*(1-EXP((Tnet-t)/(Tau_j))))*Salcycl</f>
        <v>5.0851419257773055E-2</v>
      </c>
      <c r="P262" s="169">
        <f>(INDEX(Models!$BJ262:$BT262,,T262)*(1-R262)+INDEX(Models!$BJ262:$BT262,,T262+1)*R262-ERP_i)*Q262*Ramure*Pc/MaxiM</f>
        <v>1.0748397143152356E-3</v>
      </c>
      <c r="Q262" s="304">
        <f t="shared" si="80"/>
        <v>0.6</v>
      </c>
      <c r="R262" s="177">
        <f t="shared" si="81"/>
        <v>0.48563283745740637</v>
      </c>
      <c r="S262" s="799">
        <f t="shared" si="82"/>
        <v>1</v>
      </c>
      <c r="T262" s="176">
        <f t="shared" si="83"/>
        <v>7</v>
      </c>
      <c r="U262" s="250">
        <f t="shared" si="84"/>
        <v>1.4856328374574064</v>
      </c>
      <c r="V262" s="382">
        <f t="shared" si="85"/>
        <v>48.330697360248394</v>
      </c>
      <c r="W262" s="400">
        <f t="shared" si="86"/>
        <v>39.795607338818989</v>
      </c>
      <c r="X262" s="157">
        <f t="shared" si="87"/>
        <v>45539</v>
      </c>
      <c r="Y262" s="383">
        <f t="shared" si="88"/>
        <v>39.048853229528355</v>
      </c>
      <c r="Z262" s="383">
        <f t="shared" si="89"/>
        <v>40.619773804920179</v>
      </c>
      <c r="AA262" s="384">
        <f t="shared" si="90"/>
        <v>43.614424958437297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6.8661942840491208E-2</v>
      </c>
      <c r="AD262" s="230">
        <f>(INDEX(Models!$BJ262:$BT262,,AH262)*(1-AF262)+INDEX(Models!$BJ262:$BT262,,AH262+1)*AF262-ERP_i)*AE262*Ramure*Pc/MaxiM</f>
        <v>1.0748397143152356E-3</v>
      </c>
      <c r="AE262" s="304">
        <f t="shared" si="92"/>
        <v>0.6</v>
      </c>
      <c r="AF262" s="177">
        <f t="shared" si="93"/>
        <v>0.48563283745740637</v>
      </c>
      <c r="AG262" s="799">
        <f t="shared" si="99"/>
        <v>1</v>
      </c>
      <c r="AH262" s="176">
        <f t="shared" si="94"/>
        <v>7</v>
      </c>
      <c r="AI262" s="224">
        <f t="shared" si="95"/>
        <v>1.4856328374574064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'2023'!Wh/'2023'!Env_an*'2024'!Env_an</f>
        <v>45.03456763674042</v>
      </c>
      <c r="C263" s="829"/>
      <c r="D263" s="391">
        <f t="shared" si="77"/>
        <v>46.847189051292901</v>
      </c>
      <c r="E263" s="383">
        <f t="shared" si="100"/>
        <v>49.360158910406085</v>
      </c>
      <c r="F263" s="383">
        <f t="shared" si="78"/>
        <v>49.409811655607136</v>
      </c>
      <c r="G263" s="110">
        <f t="shared" si="101"/>
        <v>0.93621148545064892</v>
      </c>
      <c r="H263" s="412" t="b">
        <f>Wh_hp&gt;='2023'!Maxi_hp</f>
        <v>0</v>
      </c>
      <c r="I263" s="388">
        <f>IF(H263,Wh_hp,'2023'!Maxi_hp)</f>
        <v>54.427802265876565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3.869221294297609E-2</v>
      </c>
      <c r="M263" s="832"/>
      <c r="N263" s="832"/>
      <c r="O263" s="48">
        <f>IF(t&lt;Tnet,'2023'!Resal+('2023'!Salim-'2023'!Resal)*(1-EXP(('2023'!Tnet-t)/('2023'!Tau_j))),Resal+(Salim-Resal)*(1-EXP((Tnet-t)/(Tau_j))))*Salcycl</f>
        <v>5.0910894830676928E-2</v>
      </c>
      <c r="P263" s="169">
        <f>(INDEX(Models!$BJ263:$BT263,,T263)*(1-R263)+INDEX(Models!$BJ263:$BT263,,T263+1)*R263-ERP_i)*Q263*Ramure*Pc/MaxiM</f>
        <v>1.105508912548447E-3</v>
      </c>
      <c r="Q263" s="304">
        <f t="shared" si="80"/>
        <v>0.6</v>
      </c>
      <c r="R263" s="177">
        <f t="shared" si="81"/>
        <v>0.48616784138903801</v>
      </c>
      <c r="S263" s="799">
        <f t="shared" si="82"/>
        <v>1</v>
      </c>
      <c r="T263" s="176">
        <f t="shared" si="83"/>
        <v>7</v>
      </c>
      <c r="U263" s="250">
        <f t="shared" si="84"/>
        <v>1.486167841389038</v>
      </c>
      <c r="V263" s="382">
        <f t="shared" si="85"/>
        <v>48.098141982932255</v>
      </c>
      <c r="W263" s="400">
        <f t="shared" si="86"/>
        <v>45.03456763674042</v>
      </c>
      <c r="X263" s="157">
        <f t="shared" si="87"/>
        <v>45540</v>
      </c>
      <c r="Y263" s="383">
        <f t="shared" si="88"/>
        <v>44.190430992603225</v>
      </c>
      <c r="Z263" s="383">
        <f t="shared" si="89"/>
        <v>45.96907628085394</v>
      </c>
      <c r="AA263" s="384">
        <f t="shared" si="90"/>
        <v>49.360158910406085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6.8700804543747815E-2</v>
      </c>
      <c r="AD263" s="230">
        <f>(INDEX(Models!$BJ263:$BT263,,AH263)*(1-AF263)+INDEX(Models!$BJ263:$BT263,,AH263+1)*AF263-ERP_i)*AE263*Ramure*Pc/MaxiM</f>
        <v>1.105508912548447E-3</v>
      </c>
      <c r="AE263" s="304">
        <f t="shared" si="92"/>
        <v>0.6</v>
      </c>
      <c r="AF263" s="177">
        <f t="shared" si="93"/>
        <v>0.48616784138903801</v>
      </c>
      <c r="AG263" s="799">
        <f t="shared" si="99"/>
        <v>1</v>
      </c>
      <c r="AH263" s="176">
        <f t="shared" si="94"/>
        <v>7</v>
      </c>
      <c r="AI263" s="224">
        <f t="shared" si="95"/>
        <v>1.486167841389038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'2023'!Wh/'2023'!Env_an*'2024'!Env_an</f>
        <v>35.850501174506675</v>
      </c>
      <c r="C264" s="829"/>
      <c r="D264" s="391">
        <f t="shared" si="77"/>
        <v>37.294182713433003</v>
      </c>
      <c r="E264" s="383">
        <f t="shared" si="100"/>
        <v>39.297158320472121</v>
      </c>
      <c r="F264" s="383">
        <f t="shared" si="78"/>
        <v>39.325848549351718</v>
      </c>
      <c r="G264" s="110">
        <f t="shared" si="101"/>
        <v>0.74872802576420905</v>
      </c>
      <c r="H264" s="412" t="b">
        <f>Wh_hp&gt;='2023'!Maxi_hp</f>
        <v>0</v>
      </c>
      <c r="I264" s="388">
        <f>IF(H264,Wh_hp,'2023'!Maxi_hp)</f>
        <v>49.351657913110358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3.8710636187405445E-2</v>
      </c>
      <c r="M264" s="832"/>
      <c r="N264" s="832"/>
      <c r="O264" s="48">
        <f>IF(t&lt;Tnet,'2023'!Resal+('2023'!Salim-'2023'!Resal)*(1-EXP(('2023'!Tnet-t)/('2023'!Tau_j))),Resal+(Salim-Resal)*(1-EXP((Tnet-t)/(Tau_j))))*Salcycl</f>
        <v>5.0969985939050846E-2</v>
      </c>
      <c r="P264" s="169">
        <f>(INDEX(Models!$BJ264:$BT264,,T264)*(1-R264)+INDEX(Models!$BJ264:$BT264,,T264+1)*R264-ERP_i)*Q264*Ramure*Pc/MaxiM</f>
        <v>1.1373000211971525E-3</v>
      </c>
      <c r="Q264" s="304">
        <f t="shared" si="80"/>
        <v>0.6</v>
      </c>
      <c r="R264" s="177">
        <f t="shared" si="81"/>
        <v>0.48668241062207551</v>
      </c>
      <c r="S264" s="799">
        <f t="shared" si="82"/>
        <v>1</v>
      </c>
      <c r="T264" s="176">
        <f t="shared" si="83"/>
        <v>7</v>
      </c>
      <c r="U264" s="250">
        <f t="shared" si="84"/>
        <v>1.4866824106220755</v>
      </c>
      <c r="V264" s="382">
        <f t="shared" si="85"/>
        <v>47.8623362255857</v>
      </c>
      <c r="W264" s="400">
        <f t="shared" si="86"/>
        <v>35.850501174506675</v>
      </c>
      <c r="X264" s="157">
        <f t="shared" si="87"/>
        <v>45541</v>
      </c>
      <c r="Y264" s="383">
        <f t="shared" si="88"/>
        <v>35.179252366929909</v>
      </c>
      <c r="Z264" s="383">
        <f t="shared" si="89"/>
        <v>36.595903056083515</v>
      </c>
      <c r="AA264" s="384">
        <f t="shared" si="90"/>
        <v>39.297158320472121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6.8739200996662628E-2</v>
      </c>
      <c r="AD264" s="230">
        <f>(INDEX(Models!$BJ264:$BT264,,AH264)*(1-AF264)+INDEX(Models!$BJ264:$BT264,,AH264+1)*AF264-ERP_i)*AE264*Ramure*Pc/MaxiM</f>
        <v>1.1373000211971525E-3</v>
      </c>
      <c r="AE264" s="304">
        <f t="shared" si="92"/>
        <v>0.6</v>
      </c>
      <c r="AF264" s="177">
        <f t="shared" si="93"/>
        <v>0.48668241062207551</v>
      </c>
      <c r="AG264" s="799">
        <f t="shared" si="99"/>
        <v>1</v>
      </c>
      <c r="AH264" s="176">
        <f t="shared" si="94"/>
        <v>7</v>
      </c>
      <c r="AI264" s="224">
        <f t="shared" si="95"/>
        <v>1.4866824106220755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'2023'!Wh/'2023'!Env_an*'2024'!Env_an</f>
        <v>34.842353464190346</v>
      </c>
      <c r="C265" s="829"/>
      <c r="D265" s="391">
        <f t="shared" si="77"/>
        <v>36.246132053881574</v>
      </c>
      <c r="E265" s="383">
        <f t="shared" si="100"/>
        <v>38.1951817535247</v>
      </c>
      <c r="F265" s="383">
        <f t="shared" si="78"/>
        <v>38.222762086902058</v>
      </c>
      <c r="G265" s="110">
        <f t="shared" si="101"/>
        <v>0.73129588355187969</v>
      </c>
      <c r="H265" s="412" t="b">
        <f>Wh_hp&gt;='2023'!Maxi_hp</f>
        <v>0</v>
      </c>
      <c r="I265" s="388">
        <f>IF(H265,Wh_hp,'2023'!Maxi_hp)</f>
        <v>48.219770599083176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3.8729059078757566E-2</v>
      </c>
      <c r="M265" s="832"/>
      <c r="N265" s="832"/>
      <c r="O265" s="48">
        <f>IF(t&lt;Tnet,'2023'!Resal+('2023'!Salim-'2023'!Resal)*(1-EXP(('2023'!Tnet-t)/('2023'!Tau_j))),Resal+(Salim-Resal)*(1-EXP((Tnet-t)/(Tau_j))))*Salcycl</f>
        <v>5.1028679801039811E-2</v>
      </c>
      <c r="P265" s="169">
        <f>(INDEX(Models!$BJ265:$BT265,,T265)*(1-R265)+INDEX(Models!$BJ265:$BT265,,T265+1)*R265-ERP_i)*Q265*Ramure*Pc/MaxiM</f>
        <v>1.1702254198009999E-3</v>
      </c>
      <c r="Q265" s="304">
        <f t="shared" si="80"/>
        <v>0.6</v>
      </c>
      <c r="R265" s="177">
        <f t="shared" si="81"/>
        <v>0.48717728386892145</v>
      </c>
      <c r="S265" s="799">
        <f t="shared" si="82"/>
        <v>1</v>
      </c>
      <c r="T265" s="176">
        <f t="shared" si="83"/>
        <v>7</v>
      </c>
      <c r="U265" s="250">
        <f t="shared" si="84"/>
        <v>1.4871772838689215</v>
      </c>
      <c r="V265" s="382">
        <f t="shared" si="85"/>
        <v>47.623281751723702</v>
      </c>
      <c r="W265" s="400">
        <f t="shared" si="86"/>
        <v>34.842353464190346</v>
      </c>
      <c r="X265" s="157">
        <f t="shared" si="87"/>
        <v>45542</v>
      </c>
      <c r="Y265" s="383">
        <f t="shared" si="88"/>
        <v>34.1907033440257</v>
      </c>
      <c r="Z265" s="383">
        <f t="shared" si="89"/>
        <v>35.568227321278158</v>
      </c>
      <c r="AA265" s="384">
        <f t="shared" si="90"/>
        <v>38.1951817535247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6.8777115637213268E-2</v>
      </c>
      <c r="AD265" s="230">
        <f>(INDEX(Models!$BJ265:$BT265,,AH265)*(1-AF265)+INDEX(Models!$BJ265:$BT265,,AH265+1)*AF265-ERP_i)*AE265*Ramure*Pc/MaxiM</f>
        <v>1.1702254198009999E-3</v>
      </c>
      <c r="AE265" s="304">
        <f t="shared" si="92"/>
        <v>0.6</v>
      </c>
      <c r="AF265" s="177">
        <f t="shared" si="93"/>
        <v>0.48717728386892145</v>
      </c>
      <c r="AG265" s="799">
        <f t="shared" si="99"/>
        <v>1</v>
      </c>
      <c r="AH265" s="176">
        <f t="shared" si="94"/>
        <v>7</v>
      </c>
      <c r="AI265" s="224">
        <f t="shared" si="95"/>
        <v>1.4871772838689215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'2023'!Wh/'2023'!Env_an*'2024'!Env_an</f>
        <v>23.335659787281877</v>
      </c>
      <c r="C266" s="829"/>
      <c r="D266" s="391">
        <f t="shared" si="77"/>
        <v>24.276305487904068</v>
      </c>
      <c r="E266" s="383">
        <f t="shared" si="100"/>
        <v>25.583277438130555</v>
      </c>
      <c r="F266" s="383">
        <f t="shared" si="78"/>
        <v>25.591753450813421</v>
      </c>
      <c r="G266" s="110">
        <f t="shared" si="101"/>
        <v>0.49208097053803967</v>
      </c>
      <c r="H266" s="412" t="b">
        <f>Wh_hp&gt;='2023'!Maxi_hp</f>
        <v>0</v>
      </c>
      <c r="I266" s="388">
        <f>IF(H266,Wh_hp,'2023'!Maxi_hp)</f>
        <v>50.375328728188094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3.8747481617039226E-2</v>
      </c>
      <c r="M266" s="832"/>
      <c r="N266" s="832"/>
      <c r="O266" s="48">
        <f>IF(t&lt;Tnet,'2023'!Resal+('2023'!Salim-'2023'!Resal)*(1-EXP(('2023'!Tnet-t)/('2023'!Tau_j))),Resal+(Salim-Resal)*(1-EXP((Tnet-t)/(Tau_j))))*Salcycl</f>
        <v>5.1086963090917863E-2</v>
      </c>
      <c r="P266" s="169">
        <f>(INDEX(Models!$BJ266:$BT266,,T266)*(1-R266)+INDEX(Models!$BJ266:$BT266,,T266+1)*R266-ERP_i)*Q266*Ramure*Pc/MaxiM</f>
        <v>1.2042974530825342E-3</v>
      </c>
      <c r="Q266" s="304">
        <f t="shared" si="80"/>
        <v>0.6</v>
      </c>
      <c r="R266" s="177">
        <f t="shared" si="81"/>
        <v>0.48765317636827654</v>
      </c>
      <c r="S266" s="799">
        <f t="shared" si="82"/>
        <v>1</v>
      </c>
      <c r="T266" s="176">
        <f t="shared" si="83"/>
        <v>7</v>
      </c>
      <c r="U266" s="250">
        <f t="shared" si="84"/>
        <v>1.4876531763682765</v>
      </c>
      <c r="V266" s="382">
        <f t="shared" si="85"/>
        <v>47.380980264843146</v>
      </c>
      <c r="W266" s="400">
        <f t="shared" si="86"/>
        <v>23.335659787281877</v>
      </c>
      <c r="X266" s="157">
        <f t="shared" si="87"/>
        <v>45543</v>
      </c>
      <c r="Y266" s="383">
        <f t="shared" si="88"/>
        <v>22.899703611821888</v>
      </c>
      <c r="Z266" s="383">
        <f t="shared" si="89"/>
        <v>23.822776194484515</v>
      </c>
      <c r="AA266" s="384">
        <f t="shared" si="90"/>
        <v>25.583277438130555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6.881453120709638E-2</v>
      </c>
      <c r="AD266" s="230">
        <f>(INDEX(Models!$BJ266:$BT266,,AH266)*(1-AF266)+INDEX(Models!$BJ266:$BT266,,AH266+1)*AF266-ERP_i)*AE266*Ramure*Pc/MaxiM</f>
        <v>1.2042974530825342E-3</v>
      </c>
      <c r="AE266" s="304">
        <f t="shared" si="92"/>
        <v>0.6</v>
      </c>
      <c r="AF266" s="177">
        <f t="shared" si="93"/>
        <v>0.48765317636827654</v>
      </c>
      <c r="AG266" s="799">
        <f t="shared" si="99"/>
        <v>1</v>
      </c>
      <c r="AH266" s="176">
        <f t="shared" si="94"/>
        <v>7</v>
      </c>
      <c r="AI266" s="224">
        <f t="shared" si="95"/>
        <v>1.4876531763682765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'2023'!Wh/'2023'!Env_an*'2024'!Env_an</f>
        <v>46.159760444423007</v>
      </c>
      <c r="C267" s="829"/>
      <c r="D267" s="391">
        <f t="shared" si="77"/>
        <v>48.021351538623662</v>
      </c>
      <c r="E267" s="383">
        <f t="shared" si="100"/>
        <v>50.60977970953958</v>
      </c>
      <c r="F267" s="383">
        <f t="shared" si="78"/>
        <v>50.67073025997702</v>
      </c>
      <c r="G267" s="110">
        <f t="shared" si="101"/>
        <v>0.97926470708077751</v>
      </c>
      <c r="H267" s="412" t="b">
        <f>Wh_hp&gt;='2023'!Maxi_hp</f>
        <v>0</v>
      </c>
      <c r="I267" s="388">
        <f>IF(H267,Wh_hp,'2023'!Maxi_hp)</f>
        <v>50.671626429813287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3.8765903802257085E-2</v>
      </c>
      <c r="M267" s="832"/>
      <c r="N267" s="832"/>
      <c r="O267" s="48">
        <f>IF(t&lt;Tnet,'2023'!Resal+('2023'!Salim-'2023'!Resal)*(1-EXP(('2023'!Tnet-t)/('2023'!Tau_j))),Resal+(Salim-Resal)*(1-EXP((Tnet-t)/(Tau_j))))*Salcycl</f>
        <v>5.1144821925158804E-2</v>
      </c>
      <c r="P267" s="169">
        <f>(INDEX(Models!$BJ267:$BT267,,T267)*(1-R267)+INDEX(Models!$BJ267:$BT267,,T267+1)*R267-ERP_i)*Q267*Ramure*Pc/MaxiM</f>
        <v>1.2395283998817327E-3</v>
      </c>
      <c r="Q267" s="304">
        <f t="shared" si="80"/>
        <v>0.6</v>
      </c>
      <c r="R267" s="177">
        <f t="shared" si="81"/>
        <v>0.48811078037594147</v>
      </c>
      <c r="S267" s="799">
        <f t="shared" si="82"/>
        <v>1</v>
      </c>
      <c r="T267" s="176">
        <f t="shared" si="83"/>
        <v>7</v>
      </c>
      <c r="U267" s="250">
        <f t="shared" si="84"/>
        <v>1.4881107803759415</v>
      </c>
      <c r="V267" s="382">
        <f t="shared" si="85"/>
        <v>47.135433511538984</v>
      </c>
      <c r="W267" s="400">
        <f t="shared" si="86"/>
        <v>46.159760444423007</v>
      </c>
      <c r="X267" s="157">
        <f t="shared" si="87"/>
        <v>45544</v>
      </c>
      <c r="Y267" s="383">
        <f t="shared" si="88"/>
        <v>45.298372117032422</v>
      </c>
      <c r="Z267" s="383">
        <f t="shared" si="89"/>
        <v>47.125224017972975</v>
      </c>
      <c r="AA267" s="384">
        <f t="shared" si="90"/>
        <v>50.60977970953958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6.8851429734830299E-2</v>
      </c>
      <c r="AD267" s="230">
        <f>(INDEX(Models!$BJ267:$BT267,,AH267)*(1-AF267)+INDEX(Models!$BJ267:$BT267,,AH267+1)*AF267-ERP_i)*AE267*Ramure*Pc/MaxiM</f>
        <v>1.2395283998817327E-3</v>
      </c>
      <c r="AE267" s="304">
        <f t="shared" si="92"/>
        <v>0.6</v>
      </c>
      <c r="AF267" s="177">
        <f t="shared" si="93"/>
        <v>0.48811078037594147</v>
      </c>
      <c r="AG267" s="799">
        <f t="shared" si="99"/>
        <v>1</v>
      </c>
      <c r="AH267" s="176">
        <f t="shared" si="94"/>
        <v>7</v>
      </c>
      <c r="AI267" s="224">
        <f t="shared" si="95"/>
        <v>1.4881107803759415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'2023'!Wh/'2023'!Env_an*'2024'!Env_an</f>
        <v>45.591818427414644</v>
      </c>
      <c r="C268" s="829"/>
      <c r="D268" s="391">
        <f t="shared" si="77"/>
        <v>47.43141382656497</v>
      </c>
      <c r="E268" s="383">
        <f t="shared" si="100"/>
        <v>49.991068612155601</v>
      </c>
      <c r="F268" s="383">
        <f t="shared" si="78"/>
        <v>50.052443449758101</v>
      </c>
      <c r="G268" s="110">
        <f t="shared" si="101"/>
        <v>0.97233552319171834</v>
      </c>
      <c r="H268" s="412" t="b">
        <f>Wh_hp&gt;='2023'!Maxi_hp</f>
        <v>0</v>
      </c>
      <c r="I268" s="388">
        <f>IF(H268,Wh_hp,'2023'!Maxi_hp)</f>
        <v>50.053661459050645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3.8784325634417915E-2</v>
      </c>
      <c r="M268" s="832"/>
      <c r="N268" s="832"/>
      <c r="O268" s="48">
        <f>IF(t&lt;Tnet,'2023'!Resal+('2023'!Salim-'2023'!Resal)*(1-EXP(('2023'!Tnet-t)/('2023'!Tau_j))),Resal+(Salim-Resal)*(1-EXP((Tnet-t)/(Tau_j))))*Salcycl</f>
        <v>5.1202241853422516E-2</v>
      </c>
      <c r="P268" s="169">
        <f>(INDEX(Models!$BJ268:$BT268,,T268)*(1-R268)+INDEX(Models!$BJ268:$BT268,,T268+1)*R268-ERP_i)*Q268*Ramure*Pc/MaxiM</f>
        <v>1.2765722043098498E-3</v>
      </c>
      <c r="Q268" s="304">
        <f t="shared" si="80"/>
        <v>0.6</v>
      </c>
      <c r="R268" s="177">
        <f t="shared" si="81"/>
        <v>0.48855076566727806</v>
      </c>
      <c r="S268" s="799">
        <f t="shared" si="82"/>
        <v>1</v>
      </c>
      <c r="T268" s="176">
        <f t="shared" si="83"/>
        <v>7</v>
      </c>
      <c r="U268" s="250">
        <f t="shared" si="84"/>
        <v>1.4885507656672781</v>
      </c>
      <c r="V268" s="382">
        <f t="shared" si="85"/>
        <v>46.886613154403683</v>
      </c>
      <c r="W268" s="400">
        <f t="shared" si="86"/>
        <v>45.591818427414644</v>
      </c>
      <c r="X268" s="157">
        <f t="shared" si="87"/>
        <v>45545</v>
      </c>
      <c r="Y268" s="383">
        <f t="shared" si="88"/>
        <v>44.74198883189991</v>
      </c>
      <c r="Z268" s="383">
        <f t="shared" si="89"/>
        <v>46.547294249472522</v>
      </c>
      <c r="AA268" s="384">
        <f t="shared" si="90"/>
        <v>49.991068612155601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6.8887792525517313E-2</v>
      </c>
      <c r="AD268" s="230">
        <f>(INDEX(Models!$BJ268:$BT268,,AH268)*(1-AF268)+INDEX(Models!$BJ268:$BT268,,AH268+1)*AF268-ERP_i)*AE268*Ramure*Pc/MaxiM</f>
        <v>1.2765722043098498E-3</v>
      </c>
      <c r="AE268" s="304">
        <f t="shared" si="92"/>
        <v>0.6</v>
      </c>
      <c r="AF268" s="177">
        <f t="shared" si="93"/>
        <v>0.48855076566727806</v>
      </c>
      <c r="AG268" s="799">
        <f t="shared" si="99"/>
        <v>1</v>
      </c>
      <c r="AH268" s="176">
        <f t="shared" si="94"/>
        <v>7</v>
      </c>
      <c r="AI268" s="224">
        <f t="shared" si="95"/>
        <v>1.4885507656672781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'2023'!Wh/'2023'!Env_an*'2024'!Env_an</f>
        <v>33.092735563040449</v>
      </c>
      <c r="C269" s="829"/>
      <c r="D269" s="391">
        <f t="shared" si="77"/>
        <v>34.428662237291149</v>
      </c>
      <c r="E269" s="383">
        <f t="shared" si="100"/>
        <v>36.288797237715201</v>
      </c>
      <c r="F269" s="383">
        <f t="shared" si="78"/>
        <v>36.316746485199523</v>
      </c>
      <c r="G269" s="110">
        <f t="shared" si="101"/>
        <v>0.7092312111412008</v>
      </c>
      <c r="H269" s="412" t="b">
        <f>Wh_hp&gt;='2023'!Maxi_hp</f>
        <v>0</v>
      </c>
      <c r="I269" s="388">
        <f>IF(H269,Wh_hp,'2023'!Maxi_hp)</f>
        <v>50.716513586551613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3.8802747113528602E-2</v>
      </c>
      <c r="M269" s="832"/>
      <c r="N269" s="832"/>
      <c r="O269" s="48">
        <f>IF(t&lt;Tnet,'2023'!Resal+('2023'!Salim-'2023'!Resal)*(1-EXP(('2023'!Tnet-t)/('2023'!Tau_j))),Resal+(Salim-Resal)*(1-EXP((Tnet-t)/(Tau_j))))*Salcycl</f>
        <v>5.1259207855222123E-2</v>
      </c>
      <c r="P269" s="169">
        <f>(INDEX(Models!$BJ269:$BT269,,T269)*(1-R269)+INDEX(Models!$BJ269:$BT269,,T269+1)*R269-ERP_i)*Q269*Ramure*Pc/MaxiM</f>
        <v>1.315168792785144E-3</v>
      </c>
      <c r="Q269" s="304">
        <f t="shared" si="80"/>
        <v>0.6</v>
      </c>
      <c r="R269" s="177">
        <f t="shared" si="81"/>
        <v>0.48897378004886516</v>
      </c>
      <c r="S269" s="799">
        <f t="shared" si="82"/>
        <v>1</v>
      </c>
      <c r="T269" s="176">
        <f t="shared" si="83"/>
        <v>7</v>
      </c>
      <c r="U269" s="250">
        <f t="shared" si="84"/>
        <v>1.4889737800488652</v>
      </c>
      <c r="V269" s="382">
        <f t="shared" si="85"/>
        <v>46.634534217356254</v>
      </c>
      <c r="W269" s="400">
        <f t="shared" si="86"/>
        <v>33.092735563040449</v>
      </c>
      <c r="X269" s="157">
        <f t="shared" si="87"/>
        <v>45546</v>
      </c>
      <c r="Y269" s="383">
        <f t="shared" si="88"/>
        <v>32.476589331945029</v>
      </c>
      <c r="Z269" s="383">
        <f t="shared" si="89"/>
        <v>33.787642686678474</v>
      </c>
      <c r="AA269" s="384">
        <f t="shared" si="90"/>
        <v>36.288797237715201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6.8923600158267609E-2</v>
      </c>
      <c r="AD269" s="230">
        <f>(INDEX(Models!$BJ269:$BT269,,AH269)*(1-AF269)+INDEX(Models!$BJ269:$BT269,,AH269+1)*AF269-ERP_i)*AE269*Ramure*Pc/MaxiM</f>
        <v>1.315168792785144E-3</v>
      </c>
      <c r="AE269" s="304">
        <f t="shared" si="92"/>
        <v>0.6</v>
      </c>
      <c r="AF269" s="177">
        <f t="shared" si="93"/>
        <v>0.48897378004886516</v>
      </c>
      <c r="AG269" s="799">
        <f t="shared" si="99"/>
        <v>1</v>
      </c>
      <c r="AH269" s="176">
        <f t="shared" si="94"/>
        <v>7</v>
      </c>
      <c r="AI269" s="224">
        <f t="shared" si="95"/>
        <v>1.4889737800488652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'2023'!Wh/'2023'!Env_an*'2024'!Env_an</f>
        <v>14.047330736417697</v>
      </c>
      <c r="C270" s="829"/>
      <c r="D270" s="391">
        <f t="shared" si="77"/>
        <v>14.614690078733775</v>
      </c>
      <c r="E270" s="383">
        <f t="shared" si="100"/>
        <v>15.405219782427682</v>
      </c>
      <c r="F270" s="383">
        <f t="shared" si="78"/>
        <v>15.405305685380071</v>
      </c>
      <c r="G270" s="110">
        <f t="shared" si="101"/>
        <v>0.30247116237577798</v>
      </c>
      <c r="H270" s="412" t="b">
        <f>Wh_hp&gt;='2023'!Maxi_hp</f>
        <v>0</v>
      </c>
      <c r="I270" s="388">
        <f>IF(H270,Wh_hp,'2023'!Maxi_hp)</f>
        <v>48.946025733501244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3.8821168239595916E-2</v>
      </c>
      <c r="M270" s="832"/>
      <c r="N270" s="832"/>
      <c r="O270" s="48">
        <f>IF(t&lt;Tnet,'2023'!Resal+('2023'!Salim-'2023'!Resal)*(1-EXP(('2023'!Tnet-t)/('2023'!Tau_j))),Resal+(Salim-Resal)*(1-EXP((Tnet-t)/(Tau_j))))*Salcycl</f>
        <v>5.1315704342994338E-2</v>
      </c>
      <c r="P270" s="169">
        <f>(INDEX(Models!$BJ270:$BT270,,T270)*(1-R270)+INDEX(Models!$BJ270:$BT270,,T270+1)*R270-ERP_i)*Q270*Ramure*Pc/MaxiM</f>
        <v>1.3553343131857461E-3</v>
      </c>
      <c r="Q270" s="304">
        <f t="shared" si="80"/>
        <v>0.6</v>
      </c>
      <c r="R270" s="177">
        <f t="shared" si="81"/>
        <v>0.4893804498770753</v>
      </c>
      <c r="S270" s="799">
        <f t="shared" si="82"/>
        <v>1</v>
      </c>
      <c r="T270" s="176">
        <f t="shared" si="83"/>
        <v>7</v>
      </c>
      <c r="U270" s="250">
        <f t="shared" si="84"/>
        <v>1.4893804498770753</v>
      </c>
      <c r="V270" s="382">
        <f t="shared" si="85"/>
        <v>46.379198670609632</v>
      </c>
      <c r="W270" s="400">
        <f t="shared" si="86"/>
        <v>14.047330736417697</v>
      </c>
      <c r="X270" s="157">
        <f t="shared" si="87"/>
        <v>45547</v>
      </c>
      <c r="Y270" s="383">
        <f t="shared" si="88"/>
        <v>13.786085918229183</v>
      </c>
      <c r="Z270" s="383">
        <f t="shared" si="89"/>
        <v>14.342893811945373</v>
      </c>
      <c r="AA270" s="384">
        <f t="shared" si="90"/>
        <v>15.405219782427682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6.8958832492222857E-2</v>
      </c>
      <c r="AD270" s="230">
        <f>(INDEX(Models!$BJ270:$BT270,,AH270)*(1-AF270)+INDEX(Models!$BJ270:$BT270,,AH270+1)*AF270-ERP_i)*AE270*Ramure*Pc/MaxiM</f>
        <v>1.3553343131857461E-3</v>
      </c>
      <c r="AE270" s="304">
        <f t="shared" si="92"/>
        <v>0.6</v>
      </c>
      <c r="AF270" s="177">
        <f t="shared" si="93"/>
        <v>0.4893804498770753</v>
      </c>
      <c r="AG270" s="799">
        <f t="shared" si="99"/>
        <v>1</v>
      </c>
      <c r="AH270" s="176">
        <f t="shared" si="94"/>
        <v>7</v>
      </c>
      <c r="AI270" s="224">
        <f t="shared" si="95"/>
        <v>1.4893804498770753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'2023'!Wh/'2023'!Env_an*'2024'!Env_an</f>
        <v>35.225410015268544</v>
      </c>
      <c r="C271" s="829"/>
      <c r="D271" s="391">
        <f t="shared" ref="D271:D334" si="102">Wh/(1-Ppv)</f>
        <v>36.648835732926671</v>
      </c>
      <c r="E271" s="383">
        <f t="shared" si="100"/>
        <v>38.633505155900892</v>
      </c>
      <c r="F271" s="383">
        <f t="shared" ref="F271:F334" si="103">Wh_sa/(1-Pvg*MEDIAN((-Sdif+Wh/Env_an)/Csdif,0,1))</f>
        <v>38.669297576648752</v>
      </c>
      <c r="G271" s="110">
        <f t="shared" si="101"/>
        <v>0.76340680681739803</v>
      </c>
      <c r="H271" s="412" t="b">
        <f>Wh_hp&gt;='2023'!Maxi_hp</f>
        <v>0</v>
      </c>
      <c r="I271" s="388">
        <f>IF(H271,Wh_hp,'2023'!Maxi_hp)</f>
        <v>48.424336454195235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3.8839589012626408E-2</v>
      </c>
      <c r="M271" s="832"/>
      <c r="N271" s="832"/>
      <c r="O271" s="48">
        <f>IF(t&lt;Tnet,'2023'!Resal+('2023'!Salim-'2023'!Resal)*(1-EXP(('2023'!Tnet-t)/('2023'!Tau_j))),Resal+(Salim-Resal)*(1-EXP((Tnet-t)/(Tau_j))))*Salcycl</f>
        <v>5.1371715172240387E-2</v>
      </c>
      <c r="P271" s="169">
        <f>(INDEX(Models!$BJ271:$BT271,,T271)*(1-R271)+INDEX(Models!$BJ271:$BT271,,T271+1)*R271-ERP_i)*Q271*Ramure*Pc/MaxiM</f>
        <v>1.3970847720075556E-3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0.48977138058151093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1.4897713805815109</v>
      </c>
      <c r="V271" s="382">
        <f t="shared" ref="V271:V334" si="110">MaxiM*(1-Ppv)*(1-Pvg)*(1-Psa)</f>
        <v>46.120608537902598</v>
      </c>
      <c r="W271" s="400">
        <f t="shared" ref="W271:W334" si="111">Wh*(A271&gt;Tmaj)</f>
        <v>35.225410015268544</v>
      </c>
      <c r="X271" s="157">
        <f t="shared" ref="X271:X334" si="112">t</f>
        <v>45548</v>
      </c>
      <c r="Y271" s="383">
        <f t="shared" ref="Y271:Y334" si="113">Wh_pvt_s*(1-Ppv)</f>
        <v>34.571061518076696</v>
      </c>
      <c r="Z271" s="383">
        <f t="shared" ref="Z271:Z334" si="114">Wh_sa_s*(1-Psa_s)</f>
        <v>35.968045627849776</v>
      </c>
      <c r="AA271" s="384">
        <f t="shared" ref="AA271:AA334" si="115">Wh_hp*(1-Pvg_s*MEDIAN((-Sdif+Wh/Env_an)/Csdif,0,1))</f>
        <v>38.633505155900892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6.8993468682041009E-2</v>
      </c>
      <c r="AD271" s="230">
        <f>(INDEX(Models!$BJ271:$BT271,,AH271)*(1-AF271)+INDEX(Models!$BJ271:$BT271,,AH271+1)*AF271-ERP_i)*AE271*Ramure*Pc/MaxiM</f>
        <v>1.3970847720075556E-3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0.48977138058151093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1.4897713805815109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'2023'!Wh/'2023'!Env_an*'2024'!Env_an</f>
        <v>40.343135757469845</v>
      </c>
      <c r="C272" s="829"/>
      <c r="D272" s="391">
        <f t="shared" si="102"/>
        <v>41.97416838864239</v>
      </c>
      <c r="E272" s="383">
        <f t="shared" si="100"/>
        <v>44.249813441376197</v>
      </c>
      <c r="F272" s="383">
        <f t="shared" si="103"/>
        <v>44.302663847849239</v>
      </c>
      <c r="G272" s="110">
        <f t="shared" si="101"/>
        <v>0.87950772914863307</v>
      </c>
      <c r="H272" s="412" t="b">
        <f>Wh_hp&gt;='2023'!Maxi_hp</f>
        <v>0</v>
      </c>
      <c r="I272" s="388">
        <f>IF(H272,Wh_hp,'2023'!Maxi_hp)</f>
        <v>49.537413864977964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3.8858009432627072E-2</v>
      </c>
      <c r="M272" s="832"/>
      <c r="N272" s="832"/>
      <c r="O272" s="48">
        <f>IF(t&lt;Tnet,'2023'!Resal+('2023'!Salim-'2023'!Resal)*(1-EXP(('2023'!Tnet-t)/('2023'!Tau_j))),Resal+(Salim-Resal)*(1-EXP((Tnet-t)/(Tau_j))))*Salcycl</f>
        <v>5.1427223659341929E-2</v>
      </c>
      <c r="P272" s="169">
        <f>(INDEX(Models!$BJ272:$BT272,,T272)*(1-R272)+INDEX(Models!$BJ272:$BT272,,T272+1)*R272-ERP_i)*Q272*Ramure*Pc/MaxiM</f>
        <v>1.4404359911264783E-3</v>
      </c>
      <c r="Q272" s="304">
        <f t="shared" si="105"/>
        <v>0.6</v>
      </c>
      <c r="R272" s="177">
        <f t="shared" si="106"/>
        <v>0.49014715719140889</v>
      </c>
      <c r="S272" s="799">
        <f t="shared" si="107"/>
        <v>1</v>
      </c>
      <c r="T272" s="176">
        <f t="shared" si="108"/>
        <v>7</v>
      </c>
      <c r="U272" s="250">
        <f t="shared" si="109"/>
        <v>1.4901471571914089</v>
      </c>
      <c r="V272" s="382">
        <f t="shared" si="110"/>
        <v>45.858765896844154</v>
      </c>
      <c r="W272" s="400">
        <f t="shared" si="111"/>
        <v>40.343135757469845</v>
      </c>
      <c r="X272" s="157">
        <f t="shared" si="112"/>
        <v>45549</v>
      </c>
      <c r="Y272" s="383">
        <f t="shared" si="113"/>
        <v>39.594590322428992</v>
      </c>
      <c r="Z272" s="383">
        <f t="shared" si="114"/>
        <v>41.195360010289278</v>
      </c>
      <c r="AA272" s="384">
        <f t="shared" si="115"/>
        <v>44.249813441376197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6.9027487203614388E-2</v>
      </c>
      <c r="AD272" s="230">
        <f>(INDEX(Models!$BJ272:$BT272,,AH272)*(1-AF272)+INDEX(Models!$BJ272:$BT272,,AH272+1)*AF272-ERP_i)*AE272*Ramure*Pc/MaxiM</f>
        <v>1.4404359911264783E-3</v>
      </c>
      <c r="AE272" s="304">
        <f t="shared" si="117"/>
        <v>0.6</v>
      </c>
      <c r="AF272" s="177">
        <f t="shared" si="118"/>
        <v>0.49014715719140889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1.4901471571914089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'2023'!Wh/'2023'!Env_an*'2024'!Env_an</f>
        <v>32.233717046511984</v>
      </c>
      <c r="C273" s="829"/>
      <c r="D273" s="391">
        <f t="shared" si="102"/>
        <v>33.53753672873713</v>
      </c>
      <c r="E273" s="383">
        <f t="shared" si="100"/>
        <v>35.357836378520233</v>
      </c>
      <c r="F273" s="383">
        <f t="shared" si="103"/>
        <v>35.388398120469489</v>
      </c>
      <c r="G273" s="110">
        <f t="shared" si="101"/>
        <v>0.70653787997249229</v>
      </c>
      <c r="H273" s="412" t="b">
        <f>Wh_hp&gt;='2023'!Maxi_hp</f>
        <v>0</v>
      </c>
      <c r="I273" s="388">
        <f>IF(H273,Wh_hp,'2023'!Maxi_hp)</f>
        <v>43.865326468567289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3.887642949960457E-2</v>
      </c>
      <c r="M273" s="832"/>
      <c r="N273" s="832"/>
      <c r="O273" s="48">
        <f>IF(t&lt;Tnet,'2023'!Resal+('2023'!Salim-'2023'!Resal)*(1-EXP(('2023'!Tnet-t)/('2023'!Tau_j))),Resal+(Salim-Resal)*(1-EXP((Tnet-t)/(Tau_j))))*Salcycl</f>
        <v>5.1482212607582796E-2</v>
      </c>
      <c r="P273" s="169">
        <f>(INDEX(Models!$BJ273:$BT273,,T273)*(1-R273)+INDEX(Models!$BJ273:$BT273,,T273+1)*R273-ERP_i)*Q273*Ramure*Pc/MaxiM</f>
        <v>1.4854035640545432E-3</v>
      </c>
      <c r="Q273" s="304">
        <f t="shared" si="105"/>
        <v>0.6</v>
      </c>
      <c r="R273" s="177">
        <f t="shared" si="106"/>
        <v>0.49050834486330452</v>
      </c>
      <c r="S273" s="799">
        <f t="shared" si="107"/>
        <v>1</v>
      </c>
      <c r="T273" s="176">
        <f t="shared" si="108"/>
        <v>7</v>
      </c>
      <c r="U273" s="250">
        <f t="shared" si="109"/>
        <v>1.4905083448633045</v>
      </c>
      <c r="V273" s="382">
        <f t="shared" si="110"/>
        <v>45.5936728774562</v>
      </c>
      <c r="W273" s="400">
        <f t="shared" si="111"/>
        <v>32.233717046511984</v>
      </c>
      <c r="X273" s="157">
        <f t="shared" si="112"/>
        <v>45550</v>
      </c>
      <c r="Y273" s="383">
        <f t="shared" si="113"/>
        <v>31.636337278290434</v>
      </c>
      <c r="Z273" s="383">
        <f t="shared" si="114"/>
        <v>32.915993582198197</v>
      </c>
      <c r="AA273" s="384">
        <f t="shared" si="115"/>
        <v>35.357836378520233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6.9060865890692505E-2</v>
      </c>
      <c r="AD273" s="230">
        <f>(INDEX(Models!$BJ273:$BT273,,AH273)*(1-AF273)+INDEX(Models!$BJ273:$BT273,,AH273+1)*AF273-ERP_i)*AE273*Ramure*Pc/MaxiM</f>
        <v>1.4854035640545432E-3</v>
      </c>
      <c r="AE273" s="304">
        <f t="shared" si="117"/>
        <v>0.6</v>
      </c>
      <c r="AF273" s="177">
        <f t="shared" si="118"/>
        <v>0.49050834486330452</v>
      </c>
      <c r="AG273" s="799">
        <f t="shared" si="124"/>
        <v>1</v>
      </c>
      <c r="AH273" s="176">
        <f t="shared" si="119"/>
        <v>7</v>
      </c>
      <c r="AI273" s="224">
        <f t="shared" si="120"/>
        <v>1.4905083448633045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'2023'!Wh/'2023'!Env_an*'2024'!Env_an</f>
        <v>45.043158776476318</v>
      </c>
      <c r="C274" s="829"/>
      <c r="D274" s="391">
        <f t="shared" si="102"/>
        <v>46.866004973149174</v>
      </c>
      <c r="E274" s="383">
        <f t="shared" si="100"/>
        <v>49.412563681892024</v>
      </c>
      <c r="F274" s="383">
        <f t="shared" si="103"/>
        <v>49.487704715782947</v>
      </c>
      <c r="G274" s="110">
        <f t="shared" si="101"/>
        <v>0.99376093843946756</v>
      </c>
      <c r="H274" s="412" t="b">
        <f>Wh_hp&gt;='2023'!Maxi_hp</f>
        <v>0</v>
      </c>
      <c r="I274" s="388">
        <f>IF(H274,Wh_hp,'2023'!Maxi_hp)</f>
        <v>49.488032874572205</v>
      </c>
      <c r="J274" s="85">
        <f>IF(H274,An,'2023'!An_max)</f>
        <v>2022</v>
      </c>
      <c r="K274" s="197">
        <f t="shared" si="104"/>
        <v>45551</v>
      </c>
      <c r="L274" s="147">
        <f>IF(t&lt;Tvie,1-EXP((T0-t)*PertePVj)+'2023'!Pspv,1-EXP((T0-t)*PertePVj)+Pspv)</f>
        <v>3.8894849213565674E-2</v>
      </c>
      <c r="M274" s="832"/>
      <c r="N274" s="832"/>
      <c r="O274" s="48">
        <f>IF(t&lt;Tnet,'2023'!Resal+('2023'!Salim-'2023'!Resal)*(1-EXP(('2023'!Tnet-t)/('2023'!Tau_j))),Resal+(Salim-Resal)*(1-EXP((Tnet-t)/(Tau_j))))*Salcycl</f>
        <v>5.1536664341827583E-2</v>
      </c>
      <c r="P274" s="169">
        <f>(INDEX(Models!$BJ274:$BT274,,T274)*(1-R274)+INDEX(Models!$BJ274:$BT274,,T274+1)*R274-ERP_i)*Q274*Ramure*Pc/MaxiM</f>
        <v>1.5320028121181997E-3</v>
      </c>
      <c r="Q274" s="304">
        <f t="shared" si="105"/>
        <v>0.6</v>
      </c>
      <c r="R274" s="177">
        <f t="shared" si="106"/>
        <v>0.49085548940840296</v>
      </c>
      <c r="S274" s="799">
        <f t="shared" si="107"/>
        <v>1</v>
      </c>
      <c r="T274" s="176">
        <f t="shared" si="108"/>
        <v>7</v>
      </c>
      <c r="U274" s="250">
        <f t="shared" si="109"/>
        <v>1.490855489408403</v>
      </c>
      <c r="V274" s="382">
        <f t="shared" si="110"/>
        <v>45.325331665668841</v>
      </c>
      <c r="W274" s="400">
        <f t="shared" si="111"/>
        <v>45.043158776476318</v>
      </c>
      <c r="X274" s="157">
        <f t="shared" si="112"/>
        <v>45551</v>
      </c>
      <c r="Y274" s="383">
        <f t="shared" si="113"/>
        <v>44.209369003899909</v>
      </c>
      <c r="Z274" s="383">
        <f t="shared" si="114"/>
        <v>45.998472662148494</v>
      </c>
      <c r="AA274" s="384">
        <f t="shared" si="115"/>
        <v>49.412563681892024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6.9093581982969846E-2</v>
      </c>
      <c r="AD274" s="230">
        <f>(INDEX(Models!$BJ274:$BT274,,AH274)*(1-AF274)+INDEX(Models!$BJ274:$BT274,,AH274+1)*AF274-ERP_i)*AE274*Ramure*Pc/MaxiM</f>
        <v>1.5320028121181997E-3</v>
      </c>
      <c r="AE274" s="304">
        <f t="shared" si="117"/>
        <v>0.6</v>
      </c>
      <c r="AF274" s="177">
        <f t="shared" si="118"/>
        <v>0.49085548940840296</v>
      </c>
      <c r="AG274" s="799">
        <f t="shared" si="124"/>
        <v>1</v>
      </c>
      <c r="AH274" s="176">
        <f t="shared" si="119"/>
        <v>7</v>
      </c>
      <c r="AI274" s="224">
        <f t="shared" si="120"/>
        <v>1.490855489408403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'2023'!Wh/'2023'!Env_an*'2024'!Env_an</f>
        <v>45.036057601073999</v>
      </c>
      <c r="C275" s="829"/>
      <c r="D275" s="391">
        <f t="shared" si="102"/>
        <v>46.859514473034672</v>
      </c>
      <c r="E275" s="383">
        <f t="shared" si="100"/>
        <v>49.408528146030136</v>
      </c>
      <c r="F275" s="383">
        <f t="shared" si="103"/>
        <v>49.486686476106868</v>
      </c>
      <c r="G275" s="110">
        <f t="shared" si="101"/>
        <v>0.99961136005111439</v>
      </c>
      <c r="H275" s="412" t="b">
        <f>Wh_hp&gt;='2023'!Maxi_hp</f>
        <v>0</v>
      </c>
      <c r="I275" s="388">
        <f>IF(H275,Wh_hp,'2023'!Maxi_hp)</f>
        <v>49.486707580546806</v>
      </c>
      <c r="J275" s="85">
        <f>IF(H275,An,'2023'!An_max)</f>
        <v>2022</v>
      </c>
      <c r="K275" s="197">
        <f t="shared" si="104"/>
        <v>45552</v>
      </c>
      <c r="L275" s="147">
        <f>IF(t&lt;Tvie,1-EXP((T0-t)*PertePVj)+'2023'!Pspv,1-EXP((T0-t)*PertePVj)+Pspv)</f>
        <v>3.8913268574517157E-2</v>
      </c>
      <c r="M275" s="832"/>
      <c r="N275" s="832"/>
      <c r="O275" s="48">
        <f>IF(t&lt;Tnet,'2023'!Resal+('2023'!Salim-'2023'!Resal)*(1-EXP(('2023'!Tnet-t)/('2023'!Tau_j))),Resal+(Salim-Resal)*(1-EXP((Tnet-t)/(Tau_j))))*Salcycl</f>
        <v>5.1590560752218406E-2</v>
      </c>
      <c r="P275" s="169">
        <f>(INDEX(Models!$BJ275:$BT275,,T275)*(1-R275)+INDEX(Models!$BJ275:$BT275,,T275+1)*R275-ERP_i)*Q275*Ramure*Pc/MaxiM</f>
        <v>1.5802563332565531E-3</v>
      </c>
      <c r="Q275" s="304">
        <f t="shared" si="105"/>
        <v>0.6</v>
      </c>
      <c r="R275" s="177">
        <f t="shared" si="106"/>
        <v>0.4911891178182608</v>
      </c>
      <c r="S275" s="799">
        <f t="shared" si="107"/>
        <v>1</v>
      </c>
      <c r="T275" s="176">
        <f t="shared" si="108"/>
        <v>7</v>
      </c>
      <c r="U275" s="250">
        <f t="shared" si="109"/>
        <v>1.4911891178182608</v>
      </c>
      <c r="V275" s="382">
        <f t="shared" si="110"/>
        <v>45.053527715770109</v>
      </c>
      <c r="W275" s="400">
        <f t="shared" si="111"/>
        <v>45.036057601073999</v>
      </c>
      <c r="X275" s="157">
        <f t="shared" si="112"/>
        <v>45552</v>
      </c>
      <c r="Y275" s="383">
        <f t="shared" si="113"/>
        <v>44.203390238505953</v>
      </c>
      <c r="Z275" s="383">
        <f t="shared" si="114"/>
        <v>45.99313339072274</v>
      </c>
      <c r="AA275" s="384">
        <f t="shared" si="115"/>
        <v>49.408528146030136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6.9125612186077934E-2</v>
      </c>
      <c r="AD275" s="230">
        <f>(INDEX(Models!$BJ275:$BT275,,AH275)*(1-AF275)+INDEX(Models!$BJ275:$BT275,,AH275+1)*AF275-ERP_i)*AE275*Ramure*Pc/MaxiM</f>
        <v>1.5802563332565531E-3</v>
      </c>
      <c r="AE275" s="304">
        <f t="shared" si="117"/>
        <v>0.6</v>
      </c>
      <c r="AF275" s="177">
        <f t="shared" si="118"/>
        <v>0.4911891178182608</v>
      </c>
      <c r="AG275" s="799">
        <f t="shared" si="124"/>
        <v>1</v>
      </c>
      <c r="AH275" s="176">
        <f t="shared" si="119"/>
        <v>7</v>
      </c>
      <c r="AI275" s="224">
        <f t="shared" si="120"/>
        <v>1.4911891178182608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'2023'!Wh/'2023'!Env_an*'2024'!Env_an</f>
        <v>44.424902097903647</v>
      </c>
      <c r="C276" s="829"/>
      <c r="D276" s="391">
        <f t="shared" si="102"/>
        <v>46.224499886126033</v>
      </c>
      <c r="E276" s="383">
        <f t="shared" si="100"/>
        <v>48.741711129857165</v>
      </c>
      <c r="F276" s="383">
        <f t="shared" si="103"/>
        <v>48.820425677319015</v>
      </c>
      <c r="G276" s="110">
        <f t="shared" si="101"/>
        <v>0.99209422318706186</v>
      </c>
      <c r="H276" s="412" t="b">
        <f>Wh_hp&gt;='2023'!Maxi_hp</f>
        <v>0</v>
      </c>
      <c r="I276" s="388">
        <f>IF(H276,Wh_hp,'2023'!Maxi_hp)</f>
        <v>48.820863149439049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3.893168758246579E-2</v>
      </c>
      <c r="M276" s="832"/>
      <c r="N276" s="832"/>
      <c r="O276" s="48">
        <f>IF(t&lt;Tnet,'2023'!Resal+('2023'!Salim-'2023'!Resal)*(1-EXP(('2023'!Tnet-t)/('2023'!Tau_j))),Resal+(Salim-Resal)*(1-EXP((Tnet-t)/(Tau_j))))*Salcycl</f>
        <v>5.1643883347156312E-2</v>
      </c>
      <c r="P276" s="169">
        <f>(INDEX(Models!$BJ276:$BT276,,T276)*(1-R276)+INDEX(Models!$BJ276:$BT276,,T276+1)*R276-ERP_i)*Q276*Ramure*Pc/MaxiM</f>
        <v>1.6307027341244296E-3</v>
      </c>
      <c r="Q276" s="304">
        <f t="shared" si="105"/>
        <v>0.6</v>
      </c>
      <c r="R276" s="177">
        <f t="shared" si="106"/>
        <v>0.49150973878752224</v>
      </c>
      <c r="S276" s="799">
        <f t="shared" si="107"/>
        <v>1</v>
      </c>
      <c r="T276" s="176">
        <f t="shared" si="108"/>
        <v>7</v>
      </c>
      <c r="U276" s="250">
        <f t="shared" si="109"/>
        <v>1.4915097387875222</v>
      </c>
      <c r="V276" s="382">
        <f t="shared" si="110"/>
        <v>44.778090077586789</v>
      </c>
      <c r="W276" s="400">
        <f t="shared" si="111"/>
        <v>44.424902097903647</v>
      </c>
      <c r="X276" s="157">
        <f t="shared" si="112"/>
        <v>45553</v>
      </c>
      <c r="Y276" s="383">
        <f t="shared" si="113"/>
        <v>43.604518814430755</v>
      </c>
      <c r="Z276" s="383">
        <f t="shared" si="114"/>
        <v>45.370883891432328</v>
      </c>
      <c r="AA276" s="384">
        <f t="shared" si="115"/>
        <v>48.741711129857165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6.9156932743791366E-2</v>
      </c>
      <c r="AD276" s="230">
        <f>(INDEX(Models!$BJ276:$BT276,,AH276)*(1-AF276)+INDEX(Models!$BJ276:$BT276,,AH276+1)*AF276-ERP_i)*AE276*Ramure*Pc/MaxiM</f>
        <v>1.6307027341244296E-3</v>
      </c>
      <c r="AE276" s="304">
        <f t="shared" si="117"/>
        <v>0.6</v>
      </c>
      <c r="AF276" s="177">
        <f t="shared" si="118"/>
        <v>0.49150973878752224</v>
      </c>
      <c r="AG276" s="799">
        <f t="shared" si="124"/>
        <v>1</v>
      </c>
      <c r="AH276" s="176">
        <f t="shared" si="119"/>
        <v>7</v>
      </c>
      <c r="AI276" s="224">
        <f t="shared" si="120"/>
        <v>1.4915097387875222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'2023'!Wh/'2023'!Env_an*'2024'!Env_an</f>
        <v>46.116137406419135</v>
      </c>
      <c r="C277" s="829"/>
      <c r="D277" s="391">
        <f t="shared" si="102"/>
        <v>47.985164668060094</v>
      </c>
      <c r="E277" s="383">
        <f t="shared" si="100"/>
        <v>50.601068541830003</v>
      </c>
      <c r="F277" s="383">
        <f t="shared" si="103"/>
        <v>50.686359696372008</v>
      </c>
      <c r="G277" s="110">
        <f t="shared" si="101"/>
        <v>1.0363374963227205</v>
      </c>
      <c r="H277" s="412" t="b">
        <f>Wh_hp&gt;='2023'!Maxi_hp</f>
        <v>1</v>
      </c>
      <c r="I277" s="388">
        <f>IF(H277,Wh_hp,'2023'!Maxi_hp)</f>
        <v>50.686359696372008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3.8950106237418458E-2</v>
      </c>
      <c r="M277" s="832"/>
      <c r="N277" s="832"/>
      <c r="O277" s="48">
        <f>IF(t&lt;Tnet,'2023'!Resal+('2023'!Salim-'2023'!Resal)*(1-EXP(('2023'!Tnet-t)/('2023'!Tau_j))),Resal+(Salim-Resal)*(1-EXP((Tnet-t)/(Tau_j))))*Salcycl</f>
        <v>5.1696613315733386E-2</v>
      </c>
      <c r="P277" s="169">
        <f>(INDEX(Models!$BJ277:$BT277,,T277)*(1-R277)+INDEX(Models!$BJ277:$BT277,,T277+1)*R277-ERP_i)*Q277*Ramure*Pc/MaxiM</f>
        <v>1.6827240120010258E-3</v>
      </c>
      <c r="Q277" s="304">
        <f t="shared" si="105"/>
        <v>0.6</v>
      </c>
      <c r="R277" s="177">
        <f t="shared" si="106"/>
        <v>0.49181784323258104</v>
      </c>
      <c r="S277" s="799">
        <f t="shared" si="107"/>
        <v>1</v>
      </c>
      <c r="T277" s="176">
        <f t="shared" si="108"/>
        <v>7</v>
      </c>
      <c r="U277" s="250">
        <f t="shared" si="109"/>
        <v>1.491817843232581</v>
      </c>
      <c r="V277" s="382">
        <f t="shared" si="110"/>
        <v>44.499149717205981</v>
      </c>
      <c r="W277" s="400">
        <f t="shared" si="111"/>
        <v>46.116137406419135</v>
      </c>
      <c r="X277" s="157">
        <f t="shared" si="112"/>
        <v>45554</v>
      </c>
      <c r="Y277" s="383">
        <f t="shared" si="113"/>
        <v>45.265551986894287</v>
      </c>
      <c r="Z277" s="383">
        <f t="shared" si="114"/>
        <v>47.100106124226599</v>
      </c>
      <c r="AA277" s="384">
        <f t="shared" si="115"/>
        <v>50.601068541830003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6.9187519522622185E-2</v>
      </c>
      <c r="AD277" s="230">
        <f>(INDEX(Models!$BJ277:$BT277,,AH277)*(1-AF277)+INDEX(Models!$BJ277:$BT277,,AH277+1)*AF277-ERP_i)*AE277*Ramure*Pc/MaxiM</f>
        <v>1.6827240120010258E-3</v>
      </c>
      <c r="AE277" s="304">
        <f t="shared" si="117"/>
        <v>0.6</v>
      </c>
      <c r="AF277" s="177">
        <f t="shared" si="118"/>
        <v>0.49181784323258104</v>
      </c>
      <c r="AG277" s="799">
        <f t="shared" si="124"/>
        <v>1</v>
      </c>
      <c r="AH277" s="176">
        <f t="shared" si="119"/>
        <v>7</v>
      </c>
      <c r="AI277" s="224">
        <f t="shared" si="120"/>
        <v>1.491817843232581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'2023'!Wh/'2023'!Env_an*'2024'!Env_an</f>
        <v>44.929087184144329</v>
      </c>
      <c r="C278" s="829"/>
      <c r="D278" s="391">
        <f t="shared" si="102"/>
        <v>46.750900809580671</v>
      </c>
      <c r="E278" s="383">
        <f t="shared" si="100"/>
        <v>49.302228604922597</v>
      </c>
      <c r="F278" s="383">
        <f t="shared" si="103"/>
        <v>49.387982440515259</v>
      </c>
      <c r="G278" s="110">
        <f t="shared" si="101"/>
        <v>1.0161087633722288</v>
      </c>
      <c r="H278" s="412" t="b">
        <f>Wh_hp&gt;='2023'!Maxi_hp</f>
        <v>1</v>
      </c>
      <c r="I278" s="388">
        <f>IF(H278,Wh_hp,'2023'!Maxi_hp)</f>
        <v>49.387982440515259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3.8968524539381599E-2</v>
      </c>
      <c r="M278" s="832"/>
      <c r="N278" s="832"/>
      <c r="O278" s="48">
        <f>IF(t&lt;Tnet,'2023'!Resal+('2023'!Salim-'2023'!Resal)*(1-EXP(('2023'!Tnet-t)/('2023'!Tau_j))),Resal+(Salim-Resal)*(1-EXP((Tnet-t)/(Tau_j))))*Salcycl</f>
        <v>5.1748731599674261E-2</v>
      </c>
      <c r="P278" s="169">
        <f>(INDEX(Models!$BJ278:$BT278,,T278)*(1-R278)+INDEX(Models!$BJ278:$BT278,,T278+1)*R278-ERP_i)*Q278*Ramure*Pc/MaxiM</f>
        <v>1.7363300008447085E-3</v>
      </c>
      <c r="Q278" s="304">
        <f t="shared" si="105"/>
        <v>0.6</v>
      </c>
      <c r="R278" s="177">
        <f t="shared" si="106"/>
        <v>0.49211390480516881</v>
      </c>
      <c r="S278" s="799">
        <f t="shared" si="107"/>
        <v>1</v>
      </c>
      <c r="T278" s="176">
        <f t="shared" si="108"/>
        <v>7</v>
      </c>
      <c r="U278" s="250">
        <f t="shared" si="109"/>
        <v>1.4921139048051688</v>
      </c>
      <c r="V278" s="382">
        <f t="shared" si="110"/>
        <v>44.216809069764487</v>
      </c>
      <c r="W278" s="400">
        <f t="shared" si="111"/>
        <v>44.929087184144329</v>
      </c>
      <c r="X278" s="157">
        <f t="shared" si="112"/>
        <v>45555</v>
      </c>
      <c r="Y278" s="383">
        <f t="shared" si="113"/>
        <v>44.101406778875344</v>
      </c>
      <c r="Z278" s="383">
        <f t="shared" si="114"/>
        <v>45.88965908503436</v>
      </c>
      <c r="AA278" s="384">
        <f t="shared" si="115"/>
        <v>49.302228604922597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6.9217348108833981E-2</v>
      </c>
      <c r="AD278" s="230">
        <f>(INDEX(Models!$BJ278:$BT278,,AH278)*(1-AF278)+INDEX(Models!$BJ278:$BT278,,AH278+1)*AF278-ERP_i)*AE278*Ramure*Pc/MaxiM</f>
        <v>1.7363300008447085E-3</v>
      </c>
      <c r="AE278" s="304">
        <f t="shared" si="117"/>
        <v>0.6</v>
      </c>
      <c r="AF278" s="177">
        <f t="shared" si="118"/>
        <v>0.49211390480516881</v>
      </c>
      <c r="AG278" s="799">
        <f t="shared" si="124"/>
        <v>1</v>
      </c>
      <c r="AH278" s="176">
        <f t="shared" si="119"/>
        <v>7</v>
      </c>
      <c r="AI278" s="224">
        <f t="shared" si="120"/>
        <v>1.4921139048051688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'2023'!Wh/'2023'!Env_an*'2024'!Env_an</f>
        <v>43.47653438788624</v>
      </c>
      <c r="C279" s="829"/>
      <c r="D279" s="391">
        <f t="shared" si="102"/>
        <v>45.240315985362919</v>
      </c>
      <c r="E279" s="383">
        <f t="shared" si="100"/>
        <v>47.71179754591995</v>
      </c>
      <c r="F279" s="383">
        <f t="shared" si="103"/>
        <v>47.796159851419382</v>
      </c>
      <c r="G279" s="110">
        <f t="shared" si="101"/>
        <v>0.9896249123643257</v>
      </c>
      <c r="H279" s="412" t="b">
        <f>Wh_hp&gt;='2023'!Maxi_hp</f>
        <v>0</v>
      </c>
      <c r="I279" s="388">
        <f>IF(H279,Wh_hp,'2023'!Maxi_hp)</f>
        <v>47.796779205155985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3.8986942488362319E-2</v>
      </c>
      <c r="M279" s="832"/>
      <c r="N279" s="832"/>
      <c r="O279" s="48">
        <f>IF(t&lt;Tnet,'2023'!Resal+('2023'!Salim-'2023'!Resal)*(1-EXP(('2023'!Tnet-t)/('2023'!Tau_j))),Resal+(Salim-Resal)*(1-EXP((Tnet-t)/(Tau_j))))*Salcycl</f>
        <v>5.1800218974738223E-2</v>
      </c>
      <c r="P279" s="169">
        <f>(INDEX(Models!$BJ279:$BT279,,T279)*(1-R279)+INDEX(Models!$BJ279:$BT279,,T279+1)*R279-ERP_i)*Q279*Ramure*Pc/MaxiM</f>
        <v>1.7915296377262674E-3</v>
      </c>
      <c r="Q279" s="304">
        <f t="shared" si="105"/>
        <v>0.6</v>
      </c>
      <c r="R279" s="177">
        <f t="shared" si="106"/>
        <v>0.49239838039997874</v>
      </c>
      <c r="S279" s="799">
        <f t="shared" si="107"/>
        <v>1</v>
      </c>
      <c r="T279" s="176">
        <f t="shared" si="108"/>
        <v>7</v>
      </c>
      <c r="U279" s="250">
        <f t="shared" si="109"/>
        <v>1.4923983803999787</v>
      </c>
      <c r="V279" s="382">
        <f t="shared" si="110"/>
        <v>43.931170574827078</v>
      </c>
      <c r="W279" s="400">
        <f t="shared" si="111"/>
        <v>43.47653438788624</v>
      </c>
      <c r="X279" s="157">
        <f t="shared" si="112"/>
        <v>45556</v>
      </c>
      <c r="Y279" s="383">
        <f t="shared" si="113"/>
        <v>42.676598298439643</v>
      </c>
      <c r="Z279" s="383">
        <f t="shared" si="114"/>
        <v>44.407927618530657</v>
      </c>
      <c r="AA279" s="384">
        <f t="shared" si="115"/>
        <v>47.71179754591995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6.9246393917762231E-2</v>
      </c>
      <c r="AD279" s="230">
        <f>(INDEX(Models!$BJ279:$BT279,,AH279)*(1-AF279)+INDEX(Models!$BJ279:$BT279,,AH279+1)*AF279-ERP_i)*AE279*Ramure*Pc/MaxiM</f>
        <v>1.7915296377262674E-3</v>
      </c>
      <c r="AE279" s="304">
        <f t="shared" si="117"/>
        <v>0.6</v>
      </c>
      <c r="AF279" s="177">
        <f t="shared" si="118"/>
        <v>0.49239838039997874</v>
      </c>
      <c r="AG279" s="799">
        <f t="shared" si="124"/>
        <v>1</v>
      </c>
      <c r="AH279" s="176">
        <f t="shared" si="119"/>
        <v>7</v>
      </c>
      <c r="AI279" s="224">
        <f t="shared" si="120"/>
        <v>1.4923983803999787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'2023'!Wh/'2023'!Env_an*'2024'!Env_an</f>
        <v>27.594518642396562</v>
      </c>
      <c r="C280" s="829"/>
      <c r="D280" s="391">
        <f t="shared" si="102"/>
        <v>28.714539599116939</v>
      </c>
      <c r="E280" s="383">
        <f t="shared" si="100"/>
        <v>30.28484056762268</v>
      </c>
      <c r="F280" s="383">
        <f t="shared" si="103"/>
        <v>30.311435871226273</v>
      </c>
      <c r="G280" s="110">
        <f t="shared" si="101"/>
        <v>0.63167339084827623</v>
      </c>
      <c r="H280" s="412" t="b">
        <f>Wh_hp&gt;='2023'!Maxi_hp</f>
        <v>0</v>
      </c>
      <c r="I280" s="388">
        <f>IF(H280,Wh_hp,'2023'!Maxi_hp)</f>
        <v>41.863369362780062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3.900536008436728E-2</v>
      </c>
      <c r="M280" s="832"/>
      <c r="N280" s="832"/>
      <c r="O280" s="48">
        <f>IF(t&lt;Tnet,'2023'!Resal+('2023'!Salim-'2023'!Resal)*(1-EXP(('2023'!Tnet-t)/('2023'!Tau_j))),Resal+(Salim-Resal)*(1-EXP((Tnet-t)/(Tau_j))))*Salcycl</f>
        <v>5.1851056141419487E-2</v>
      </c>
      <c r="P280" s="169">
        <f>(INDEX(Models!$BJ280:$BT280,,T280)*(1-R280)+INDEX(Models!$BJ280:$BT280,,T280+1)*R280-ERP_i)*Q280*Ramure*Pc/MaxiM</f>
        <v>1.8483407154908863E-3</v>
      </c>
      <c r="Q280" s="304">
        <f t="shared" si="105"/>
        <v>0.6</v>
      </c>
      <c r="R280" s="177">
        <f t="shared" si="106"/>
        <v>0.49267171065554405</v>
      </c>
      <c r="S280" s="799">
        <f t="shared" si="107"/>
        <v>1</v>
      </c>
      <c r="T280" s="176">
        <f t="shared" si="108"/>
        <v>7</v>
      </c>
      <c r="U280" s="250">
        <f t="shared" si="109"/>
        <v>1.492671710655544</v>
      </c>
      <c r="V280" s="382">
        <f t="shared" si="110"/>
        <v>43.642336240408412</v>
      </c>
      <c r="W280" s="400">
        <f t="shared" si="111"/>
        <v>27.594518642396562</v>
      </c>
      <c r="X280" s="157">
        <f t="shared" si="112"/>
        <v>45557</v>
      </c>
      <c r="Y280" s="383">
        <f t="shared" si="113"/>
        <v>27.087430383048449</v>
      </c>
      <c r="Z280" s="383">
        <f t="shared" si="114"/>
        <v>28.186869372576833</v>
      </c>
      <c r="AA280" s="384">
        <f t="shared" si="115"/>
        <v>30.28484056762268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6.92746323151779E-2</v>
      </c>
      <c r="AD280" s="230">
        <f>(INDEX(Models!$BJ280:$BT280,,AH280)*(1-AF280)+INDEX(Models!$BJ280:$BT280,,AH280+1)*AF280-ERP_i)*AE280*Ramure*Pc/MaxiM</f>
        <v>1.8483407154908863E-3</v>
      </c>
      <c r="AE280" s="304">
        <f t="shared" si="117"/>
        <v>0.6</v>
      </c>
      <c r="AF280" s="177">
        <f t="shared" si="118"/>
        <v>0.49267171065554405</v>
      </c>
      <c r="AG280" s="799">
        <f t="shared" si="124"/>
        <v>1</v>
      </c>
      <c r="AH280" s="176">
        <f t="shared" si="119"/>
        <v>7</v>
      </c>
      <c r="AI280" s="224">
        <f t="shared" si="120"/>
        <v>1.492671710655544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'2023'!Wh/'2023'!Env_an*'2024'!Env_an</f>
        <v>16.715576618696772</v>
      </c>
      <c r="C281" s="829"/>
      <c r="D281" s="391">
        <f t="shared" si="102"/>
        <v>17.394370666329944</v>
      </c>
      <c r="E281" s="383">
        <f t="shared" si="100"/>
        <v>18.346580655340126</v>
      </c>
      <c r="F281" s="383">
        <f t="shared" si="103"/>
        <v>18.350859159400603</v>
      </c>
      <c r="G281" s="110">
        <f t="shared" si="101"/>
        <v>0.38494665087780777</v>
      </c>
      <c r="H281" s="412" t="b">
        <f>Wh_hp&gt;='2023'!Maxi_hp</f>
        <v>0</v>
      </c>
      <c r="I281" s="388">
        <f>IF(H281,Wh_hp,'2023'!Maxi_hp)</f>
        <v>40.4343470381435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3.9023777327403142E-2</v>
      </c>
      <c r="M281" s="832"/>
      <c r="N281" s="832"/>
      <c r="O281" s="48">
        <f>IF(t&lt;Tnet,'2023'!Resal+('2023'!Salim-'2023'!Resal)*(1-EXP(('2023'!Tnet-t)/('2023'!Tau_j))),Resal+(Salim-Resal)*(1-EXP((Tnet-t)/(Tau_j))))*Salcycl</f>
        <v>5.1901223824670772E-2</v>
      </c>
      <c r="P281" s="169">
        <f>(INDEX(Models!$BJ281:$BT281,,T281)*(1-R281)+INDEX(Models!$BJ281:$BT281,,T281+1)*R281-ERP_i)*Q281*Ramure*Pc/MaxiM</f>
        <v>1.906776142968507E-3</v>
      </c>
      <c r="Q281" s="304">
        <f t="shared" si="105"/>
        <v>0.6</v>
      </c>
      <c r="R281" s="177">
        <f t="shared" si="106"/>
        <v>0.49293432044768015</v>
      </c>
      <c r="S281" s="799">
        <f t="shared" si="107"/>
        <v>1</v>
      </c>
      <c r="T281" s="176">
        <f t="shared" si="108"/>
        <v>7</v>
      </c>
      <c r="U281" s="250">
        <f t="shared" si="109"/>
        <v>1.4929343204476802</v>
      </c>
      <c r="V281" s="382">
        <f t="shared" si="110"/>
        <v>43.350408249340461</v>
      </c>
      <c r="W281" s="400">
        <f t="shared" si="111"/>
        <v>16.715576618696772</v>
      </c>
      <c r="X281" s="157">
        <f t="shared" si="112"/>
        <v>45558</v>
      </c>
      <c r="Y281" s="383">
        <f t="shared" si="113"/>
        <v>16.408789327724644</v>
      </c>
      <c r="Z281" s="383">
        <f t="shared" si="114"/>
        <v>17.075125211828571</v>
      </c>
      <c r="AA281" s="384">
        <f t="shared" si="115"/>
        <v>18.346580655340126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6.9302038750282E-2</v>
      </c>
      <c r="AD281" s="230">
        <f>(INDEX(Models!$BJ281:$BT281,,AH281)*(1-AF281)+INDEX(Models!$BJ281:$BT281,,AH281+1)*AF281-ERP_i)*AE281*Ramure*Pc/MaxiM</f>
        <v>1.906776142968507E-3</v>
      </c>
      <c r="AE281" s="304">
        <f t="shared" si="117"/>
        <v>0.6</v>
      </c>
      <c r="AF281" s="177">
        <f t="shared" si="118"/>
        <v>0.49293432044768015</v>
      </c>
      <c r="AG281" s="799">
        <f t="shared" si="124"/>
        <v>1</v>
      </c>
      <c r="AH281" s="176">
        <f t="shared" si="119"/>
        <v>7</v>
      </c>
      <c r="AI281" s="224">
        <f t="shared" si="120"/>
        <v>1.4929343204476802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'2023'!Wh/'2023'!Env_an*'2024'!Env_an</f>
        <v>35.201469397237069</v>
      </c>
      <c r="C282" s="829"/>
      <c r="D282" s="391">
        <f t="shared" si="102"/>
        <v>36.631649366302767</v>
      </c>
      <c r="E282" s="383">
        <f t="shared" si="100"/>
        <v>38.638971072148237</v>
      </c>
      <c r="F282" s="383">
        <f t="shared" si="103"/>
        <v>38.695350418369145</v>
      </c>
      <c r="G282" s="110">
        <f t="shared" si="101"/>
        <v>0.81716633617146239</v>
      </c>
      <c r="H282" s="412" t="b">
        <f>Wh_hp&gt;='2023'!Maxi_hp</f>
        <v>0</v>
      </c>
      <c r="I282" s="388">
        <f>IF(H282,Wh_hp,'2023'!Maxi_hp)</f>
        <v>38.705104282673666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3.9042194217476678E-2</v>
      </c>
      <c r="M282" s="832"/>
      <c r="N282" s="832"/>
      <c r="O282" s="48">
        <f>IF(t&lt;Tnet,'2023'!Resal+('2023'!Salim-'2023'!Resal)*(1-EXP(('2023'!Tnet-t)/('2023'!Tau_j))),Resal+(Salim-Resal)*(1-EXP((Tnet-t)/(Tau_j))))*Salcycl</f>
        <v>5.1950702882261474E-2</v>
      </c>
      <c r="P282" s="169">
        <f>(INDEX(Models!$BJ282:$BT282,,T282)*(1-R282)+INDEX(Models!$BJ282:$BT282,,T282+1)*R282-ERP_i)*Q282*Ramure*Pc/MaxiM</f>
        <v>1.9704985589977949E-3</v>
      </c>
      <c r="Q282" s="304">
        <f t="shared" si="105"/>
        <v>0.6</v>
      </c>
      <c r="R282" s="177">
        <f t="shared" si="106"/>
        <v>0.49318661937489838</v>
      </c>
      <c r="S282" s="799">
        <f t="shared" si="107"/>
        <v>1</v>
      </c>
      <c r="T282" s="176">
        <f t="shared" si="108"/>
        <v>7</v>
      </c>
      <c r="U282" s="250">
        <f t="shared" si="109"/>
        <v>1.4931866193748984</v>
      </c>
      <c r="V282" s="382">
        <f t="shared" si="110"/>
        <v>43.05533128563836</v>
      </c>
      <c r="W282" s="400">
        <f t="shared" si="111"/>
        <v>35.201469397237069</v>
      </c>
      <c r="X282" s="157">
        <f t="shared" si="112"/>
        <v>45559</v>
      </c>
      <c r="Y282" s="383">
        <f t="shared" si="113"/>
        <v>34.556221175764037</v>
      </c>
      <c r="Z282" s="383">
        <f t="shared" si="114"/>
        <v>35.960185731177191</v>
      </c>
      <c r="AA282" s="384">
        <f t="shared" si="115"/>
        <v>38.638971072148237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6.932858889976945E-2</v>
      </c>
      <c r="AD282" s="230">
        <f>(INDEX(Models!$BJ282:$BT282,,AH282)*(1-AF282)+INDEX(Models!$BJ282:$BT282,,AH282+1)*AF282-ERP_i)*AE282*Ramure*Pc/MaxiM</f>
        <v>1.9704985589977949E-3</v>
      </c>
      <c r="AE282" s="304">
        <f t="shared" si="117"/>
        <v>0.6</v>
      </c>
      <c r="AF282" s="177">
        <f t="shared" si="118"/>
        <v>0.49318661937489838</v>
      </c>
      <c r="AG282" s="799">
        <f t="shared" si="124"/>
        <v>1</v>
      </c>
      <c r="AH282" s="176">
        <f t="shared" si="119"/>
        <v>7</v>
      </c>
      <c r="AI282" s="224">
        <f t="shared" si="120"/>
        <v>1.4931866193748984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'2023'!Wh/'2023'!Env_an*'2024'!Env_an</f>
        <v>32.230377761829494</v>
      </c>
      <c r="C283" s="829"/>
      <c r="D283" s="391">
        <f t="shared" si="102"/>
        <v>33.5404897775488</v>
      </c>
      <c r="E283" s="383">
        <f t="shared" si="100"/>
        <v>35.380243863338755</v>
      </c>
      <c r="F283" s="383">
        <f t="shared" si="103"/>
        <v>35.427070324881143</v>
      </c>
      <c r="G283" s="110">
        <f t="shared" si="101"/>
        <v>0.75325806535406026</v>
      </c>
      <c r="H283" s="412" t="b">
        <f>Wh_hp&gt;='2023'!Maxi_hp</f>
        <v>0</v>
      </c>
      <c r="I283" s="388">
        <f>IF(H283,Wh_hp,'2023'!Maxi_hp)</f>
        <v>39.693686966189702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3.9060610754594882E-2</v>
      </c>
      <c r="M283" s="832"/>
      <c r="N283" s="832"/>
      <c r="O283" s="48">
        <f>IF(t&lt;Tnet,'2023'!Resal+('2023'!Salim-'2023'!Resal)*(1-EXP(('2023'!Tnet-t)/('2023'!Tau_j))),Resal+(Salim-Resal)*(1-EXP((Tnet-t)/(Tau_j))))*Salcycl</f>
        <v>5.199947442126937E-2</v>
      </c>
      <c r="P283" s="169">
        <f>(INDEX(Models!$BJ283:$BT283,,T283)*(1-R283)+INDEX(Models!$BJ283:$BT283,,T283+1)*R283-ERP_i)*Q283*Ramure*Pc/MaxiM</f>
        <v>2.0388735378971518E-3</v>
      </c>
      <c r="Q283" s="304">
        <f t="shared" si="105"/>
        <v>0.6</v>
      </c>
      <c r="R283" s="177">
        <f t="shared" si="106"/>
        <v>0.4934290022352763</v>
      </c>
      <c r="S283" s="799">
        <f t="shared" si="107"/>
        <v>1</v>
      </c>
      <c r="T283" s="176">
        <f t="shared" si="108"/>
        <v>7</v>
      </c>
      <c r="U283" s="250">
        <f t="shared" si="109"/>
        <v>1.4934290022352763</v>
      </c>
      <c r="V283" s="382">
        <f t="shared" si="110"/>
        <v>42.757238396988001</v>
      </c>
      <c r="W283" s="400">
        <f t="shared" si="111"/>
        <v>32.230377761829494</v>
      </c>
      <c r="X283" s="157">
        <f t="shared" si="112"/>
        <v>45560</v>
      </c>
      <c r="Y283" s="383">
        <f t="shared" si="113"/>
        <v>31.64034511719845</v>
      </c>
      <c r="Z283" s="383">
        <f t="shared" si="114"/>
        <v>32.926473273246295</v>
      </c>
      <c r="AA283" s="384">
        <f t="shared" si="115"/>
        <v>35.380243863338755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6.9354258822253975E-2</v>
      </c>
      <c r="AD283" s="230">
        <f>(INDEX(Models!$BJ283:$BT283,,AH283)*(1-AF283)+INDEX(Models!$BJ283:$BT283,,AH283+1)*AF283-ERP_i)*AE283*Ramure*Pc/MaxiM</f>
        <v>2.0388735378971518E-3</v>
      </c>
      <c r="AE283" s="304">
        <f t="shared" si="117"/>
        <v>0.6</v>
      </c>
      <c r="AF283" s="177">
        <f t="shared" si="118"/>
        <v>0.4934290022352763</v>
      </c>
      <c r="AG283" s="799">
        <f t="shared" si="124"/>
        <v>1</v>
      </c>
      <c r="AH283" s="176">
        <f t="shared" si="119"/>
        <v>7</v>
      </c>
      <c r="AI283" s="224">
        <f t="shared" si="120"/>
        <v>1.4934290022352763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'2023'!Wh/'2023'!Env_an*'2024'!Env_an</f>
        <v>17.090503213242918</v>
      </c>
      <c r="C284" s="829"/>
      <c r="D284" s="391">
        <f t="shared" si="102"/>
        <v>17.785545005638884</v>
      </c>
      <c r="E284" s="383">
        <f t="shared" si="100"/>
        <v>18.762063900267684</v>
      </c>
      <c r="F284" s="383">
        <f t="shared" si="103"/>
        <v>18.767870320740435</v>
      </c>
      <c r="G284" s="110">
        <f t="shared" si="101"/>
        <v>0.40181819598169688</v>
      </c>
      <c r="H284" s="412" t="b">
        <f>Wh_hp&gt;='2023'!Maxi_hp</f>
        <v>0</v>
      </c>
      <c r="I284" s="388">
        <f>IF(H284,Wh_hp,'2023'!Maxi_hp)</f>
        <v>37.960845399345402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3.9079026938764194E-2</v>
      </c>
      <c r="M284" s="832"/>
      <c r="N284" s="832"/>
      <c r="O284" s="48">
        <f>IF(t&lt;Tnet,'2023'!Resal+('2023'!Salim-'2023'!Resal)*(1-EXP(('2023'!Tnet-t)/('2023'!Tau_j))),Resal+(Salim-Resal)*(1-EXP((Tnet-t)/(Tau_j))))*Salcycl</f>
        <v>5.2047519922094838E-2</v>
      </c>
      <c r="P284" s="169">
        <f>(INDEX(Models!$BJ284:$BT284,,T284)*(1-R284)+INDEX(Models!$BJ284:$BT284,,T284+1)*R284-ERP_i)*Q284*Ramure*Pc/MaxiM</f>
        <v>2.1119379325905611E-3</v>
      </c>
      <c r="Q284" s="304">
        <f t="shared" si="105"/>
        <v>0.6</v>
      </c>
      <c r="R284" s="177">
        <f t="shared" si="106"/>
        <v>0.49366184949434566</v>
      </c>
      <c r="S284" s="799">
        <f t="shared" si="107"/>
        <v>1</v>
      </c>
      <c r="T284" s="176">
        <f t="shared" si="108"/>
        <v>7</v>
      </c>
      <c r="U284" s="250">
        <f t="shared" si="109"/>
        <v>1.4936618494943457</v>
      </c>
      <c r="V284" s="382">
        <f t="shared" si="110"/>
        <v>42.456233299129863</v>
      </c>
      <c r="W284" s="400">
        <f t="shared" si="111"/>
        <v>17.090503213242918</v>
      </c>
      <c r="X284" s="157">
        <f t="shared" si="112"/>
        <v>45561</v>
      </c>
      <c r="Y284" s="383">
        <f t="shared" si="113"/>
        <v>16.77803592027437</v>
      </c>
      <c r="Z284" s="383">
        <f t="shared" si="114"/>
        <v>17.460370197586656</v>
      </c>
      <c r="AA284" s="384">
        <f t="shared" si="115"/>
        <v>18.762063900267684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6.9379025122201995E-2</v>
      </c>
      <c r="AD284" s="230">
        <f>(INDEX(Models!$BJ284:$BT284,,AH284)*(1-AF284)+INDEX(Models!$BJ284:$BT284,,AH284+1)*AF284-ERP_i)*AE284*Ramure*Pc/MaxiM</f>
        <v>2.1119379325905611E-3</v>
      </c>
      <c r="AE284" s="304">
        <f t="shared" si="117"/>
        <v>0.6</v>
      </c>
      <c r="AF284" s="177">
        <f t="shared" si="118"/>
        <v>0.49366184949434566</v>
      </c>
      <c r="AG284" s="799">
        <f t="shared" si="124"/>
        <v>1</v>
      </c>
      <c r="AH284" s="176">
        <f t="shared" si="119"/>
        <v>7</v>
      </c>
      <c r="AI284" s="224">
        <f t="shared" si="120"/>
        <v>1.4936618494943457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'2023'!Wh/'2023'!Env_an*'2024'!Env_an</f>
        <v>19.370663140777712</v>
      </c>
      <c r="C285" s="829"/>
      <c r="D285" s="391">
        <f t="shared" si="102"/>
        <v>20.158821511119168</v>
      </c>
      <c r="E285" s="383">
        <f t="shared" si="100"/>
        <v>21.26670680314167</v>
      </c>
      <c r="F285" s="383">
        <f t="shared" si="103"/>
        <v>21.277325583167588</v>
      </c>
      <c r="G285" s="110">
        <f t="shared" si="101"/>
        <v>0.45876126818757046</v>
      </c>
      <c r="H285" s="412" t="b">
        <f>Wh_hp&gt;='2023'!Maxi_hp</f>
        <v>0</v>
      </c>
      <c r="I285" s="388">
        <f>IF(H285,Wh_hp,'2023'!Maxi_hp)</f>
        <v>38.326040675068562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3.9097442769991608E-2</v>
      </c>
      <c r="M285" s="832"/>
      <c r="N285" s="832"/>
      <c r="O285" s="48">
        <f>IF(t&lt;Tnet,'2023'!Resal+('2023'!Salim-'2023'!Resal)*(1-EXP(('2023'!Tnet-t)/('2023'!Tau_j))),Resal+(Salim-Resal)*(1-EXP((Tnet-t)/(Tau_j))))*Salcycl</f>
        <v>5.209482136927928E-2</v>
      </c>
      <c r="P285" s="169">
        <f>(INDEX(Models!$BJ285:$BT285,,T285)*(1-R285)+INDEX(Models!$BJ285:$BT285,,T285+1)*R285-ERP_i)*Q285*Ramure*Pc/MaxiM</f>
        <v>2.1897266428420347E-3</v>
      </c>
      <c r="Q285" s="304">
        <f t="shared" si="105"/>
        <v>0.6</v>
      </c>
      <c r="R285" s="177">
        <f t="shared" si="106"/>
        <v>0.49388552774363226</v>
      </c>
      <c r="S285" s="799">
        <f t="shared" si="107"/>
        <v>1</v>
      </c>
      <c r="T285" s="176">
        <f t="shared" si="108"/>
        <v>7</v>
      </c>
      <c r="U285" s="250">
        <f t="shared" si="109"/>
        <v>1.4938855277436323</v>
      </c>
      <c r="V285" s="382">
        <f t="shared" si="110"/>
        <v>42.152419794147669</v>
      </c>
      <c r="W285" s="400">
        <f t="shared" si="111"/>
        <v>19.370663140777712</v>
      </c>
      <c r="X285" s="157">
        <f t="shared" si="112"/>
        <v>45562</v>
      </c>
      <c r="Y285" s="383">
        <f t="shared" si="113"/>
        <v>19.016969234756882</v>
      </c>
      <c r="Z285" s="383">
        <f t="shared" si="114"/>
        <v>19.790736419285903</v>
      </c>
      <c r="AA285" s="384">
        <f t="shared" si="115"/>
        <v>21.26670680314167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6.9402865122385901E-2</v>
      </c>
      <c r="AD285" s="230">
        <f>(INDEX(Models!$BJ285:$BT285,,AH285)*(1-AF285)+INDEX(Models!$BJ285:$BT285,,AH285+1)*AF285-ERP_i)*AE285*Ramure*Pc/MaxiM</f>
        <v>2.1897266428420347E-3</v>
      </c>
      <c r="AE285" s="304">
        <f t="shared" si="117"/>
        <v>0.6</v>
      </c>
      <c r="AF285" s="177">
        <f t="shared" si="118"/>
        <v>0.49388552774363226</v>
      </c>
      <c r="AG285" s="799">
        <f t="shared" si="124"/>
        <v>1</v>
      </c>
      <c r="AH285" s="176">
        <f t="shared" si="119"/>
        <v>7</v>
      </c>
      <c r="AI285" s="224">
        <f t="shared" si="120"/>
        <v>1.4938855277436323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'2023'!Wh/'2023'!Env_an*'2024'!Env_an</f>
        <v>23.274069560675194</v>
      </c>
      <c r="C286" s="829"/>
      <c r="D286" s="391">
        <f t="shared" si="102"/>
        <v>24.221514904227661</v>
      </c>
      <c r="E286" s="383">
        <f t="shared" si="100"/>
        <v>25.55393169144336</v>
      </c>
      <c r="F286" s="383">
        <f t="shared" si="103"/>
        <v>25.575200117698955</v>
      </c>
      <c r="G286" s="110">
        <f t="shared" si="101"/>
        <v>0.55538321414929948</v>
      </c>
      <c r="H286" s="412" t="b">
        <f>Wh_hp&gt;='2023'!Maxi_hp</f>
        <v>0</v>
      </c>
      <c r="I286" s="388">
        <f>IF(H286,Wh_hp,'2023'!Maxi_hp)</f>
        <v>44.025423023353014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3.9115858248283897E-2</v>
      </c>
      <c r="M286" s="832"/>
      <c r="N286" s="832"/>
      <c r="O286" s="48">
        <f>IF(t&lt;Tnet,'2023'!Resal+('2023'!Salim-'2023'!Resal)*(1-EXP(('2023'!Tnet-t)/('2023'!Tau_j))),Resal+(Salim-Resal)*(1-EXP((Tnet-t)/(Tau_j))))*Salcycl</f>
        <v>5.2141361388308577E-2</v>
      </c>
      <c r="P286" s="169">
        <f>(INDEX(Models!$BJ286:$BT286,,T286)*(1-R286)+INDEX(Models!$BJ286:$BT286,,T286+1)*R286-ERP_i)*Q286*Ramure*Pc/MaxiM</f>
        <v>2.2722723657970264E-3</v>
      </c>
      <c r="Q286" s="304">
        <f t="shared" si="105"/>
        <v>0.6</v>
      </c>
      <c r="R286" s="177">
        <f t="shared" si="106"/>
        <v>0.49410039014954243</v>
      </c>
      <c r="S286" s="799">
        <f t="shared" si="107"/>
        <v>1</v>
      </c>
      <c r="T286" s="176">
        <f t="shared" si="108"/>
        <v>7</v>
      </c>
      <c r="U286" s="250">
        <f t="shared" si="109"/>
        <v>1.4941003901495424</v>
      </c>
      <c r="V286" s="382">
        <f t="shared" si="110"/>
        <v>41.845901774525423</v>
      </c>
      <c r="W286" s="400">
        <f t="shared" si="111"/>
        <v>23.274069560675194</v>
      </c>
      <c r="X286" s="157">
        <f t="shared" si="112"/>
        <v>45563</v>
      </c>
      <c r="Y286" s="383">
        <f t="shared" si="113"/>
        <v>22.84966215390422</v>
      </c>
      <c r="Z286" s="383">
        <f t="shared" si="114"/>
        <v>23.779830638320981</v>
      </c>
      <c r="AA286" s="384">
        <f t="shared" si="115"/>
        <v>25.55393169144336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6.9425757043736366E-2</v>
      </c>
      <c r="AD286" s="230">
        <f>(INDEX(Models!$BJ286:$BT286,,AH286)*(1-AF286)+INDEX(Models!$BJ286:$BT286,,AH286+1)*AF286-ERP_i)*AE286*Ramure*Pc/MaxiM</f>
        <v>2.2722723657970264E-3</v>
      </c>
      <c r="AE286" s="304">
        <f t="shared" si="117"/>
        <v>0.6</v>
      </c>
      <c r="AF286" s="177">
        <f t="shared" si="118"/>
        <v>0.49410039014954243</v>
      </c>
      <c r="AG286" s="799">
        <f t="shared" si="124"/>
        <v>1</v>
      </c>
      <c r="AH286" s="176">
        <f t="shared" si="119"/>
        <v>7</v>
      </c>
      <c r="AI286" s="224">
        <f t="shared" si="120"/>
        <v>1.4941003901495424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'2023'!Wh/'2023'!Env_an*'2024'!Env_an</f>
        <v>27.618464764720819</v>
      </c>
      <c r="C287" s="829"/>
      <c r="D287" s="391">
        <f t="shared" si="102"/>
        <v>28.743313450975748</v>
      </c>
      <c r="E287" s="383">
        <f t="shared" si="100"/>
        <v>30.325936859714769</v>
      </c>
      <c r="F287" s="383">
        <f t="shared" si="103"/>
        <v>30.363286189418968</v>
      </c>
      <c r="G287" s="110">
        <f t="shared" si="101"/>
        <v>0.66416386887233614</v>
      </c>
      <c r="H287" s="412" t="b">
        <f>Wh_hp&gt;='2023'!Maxi_hp</f>
        <v>0</v>
      </c>
      <c r="I287" s="388">
        <f>IF(H287,Wh_hp,'2023'!Maxi_hp)</f>
        <v>36.159220038545989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3.913427337364761E-2</v>
      </c>
      <c r="M287" s="832"/>
      <c r="N287" s="832"/>
      <c r="O287" s="48">
        <f>IF(t&lt;Tnet,'2023'!Resal+('2023'!Salim-'2023'!Resal)*(1-EXP(('2023'!Tnet-t)/('2023'!Tau_j))),Resal+(Salim-Resal)*(1-EXP((Tnet-t)/(Tau_j))))*Salcycl</f>
        <v>5.2187123387485178E-2</v>
      </c>
      <c r="P287" s="169">
        <f>(INDEX(Models!$BJ287:$BT287,,T287)*(1-R287)+INDEX(Models!$BJ287:$BT287,,T287+1)*R287-ERP_i)*Q287*Ramure*Pc/MaxiM</f>
        <v>2.359605356789508E-3</v>
      </c>
      <c r="Q287" s="304">
        <f t="shared" si="105"/>
        <v>0.6</v>
      </c>
      <c r="R287" s="177">
        <f t="shared" si="106"/>
        <v>0.49430677689235147</v>
      </c>
      <c r="S287" s="799">
        <f t="shared" si="107"/>
        <v>1</v>
      </c>
      <c r="T287" s="176">
        <f t="shared" si="108"/>
        <v>7</v>
      </c>
      <c r="U287" s="250">
        <f t="shared" si="109"/>
        <v>1.4943067768923515</v>
      </c>
      <c r="V287" s="382">
        <f t="shared" si="110"/>
        <v>41.536783216001275</v>
      </c>
      <c r="W287" s="400">
        <f t="shared" si="111"/>
        <v>27.618464764720819</v>
      </c>
      <c r="X287" s="157">
        <f t="shared" si="112"/>
        <v>45564</v>
      </c>
      <c r="Y287" s="383">
        <f t="shared" si="113"/>
        <v>27.115506752997273</v>
      </c>
      <c r="Z287" s="383">
        <f t="shared" si="114"/>
        <v>28.219870895178218</v>
      </c>
      <c r="AA287" s="384">
        <f t="shared" si="115"/>
        <v>30.325936859714769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6.9447680191350267E-2</v>
      </c>
      <c r="AD287" s="230">
        <f>(INDEX(Models!$BJ287:$BT287,,AH287)*(1-AF287)+INDEX(Models!$BJ287:$BT287,,AH287+1)*AF287-ERP_i)*AE287*Ramure*Pc/MaxiM</f>
        <v>2.359605356789508E-3</v>
      </c>
      <c r="AE287" s="304">
        <f t="shared" si="117"/>
        <v>0.6</v>
      </c>
      <c r="AF287" s="177">
        <f t="shared" si="118"/>
        <v>0.49430677689235147</v>
      </c>
      <c r="AG287" s="799">
        <f t="shared" si="124"/>
        <v>1</v>
      </c>
      <c r="AH287" s="176">
        <f t="shared" si="119"/>
        <v>7</v>
      </c>
      <c r="AI287" s="224">
        <f t="shared" si="120"/>
        <v>1.4943067768923515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'2023'!Wh/'2023'!Env_an*'2024'!Env_an</f>
        <v>36.086762234104874</v>
      </c>
      <c r="C288" s="829"/>
      <c r="D288" s="391">
        <f t="shared" si="102"/>
        <v>37.557228696906215</v>
      </c>
      <c r="E288" s="383">
        <f t="shared" si="100"/>
        <v>39.627031436868648</v>
      </c>
      <c r="F288" s="383">
        <f t="shared" si="103"/>
        <v>39.707048781894933</v>
      </c>
      <c r="G288" s="110">
        <f t="shared" si="101"/>
        <v>0.87497463204793569</v>
      </c>
      <c r="H288" s="412" t="b">
        <f>Wh_hp&gt;='2023'!Maxi_hp</f>
        <v>0</v>
      </c>
      <c r="I288" s="388">
        <f>IF(H288,Wh_hp,'2023'!Maxi_hp)</f>
        <v>44.503895100671492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3.9152688146089742E-2</v>
      </c>
      <c r="M288" s="832"/>
      <c r="N288" s="832"/>
      <c r="O288" s="48">
        <f>IF(t&lt;Tnet,'2023'!Resal+('2023'!Salim-'2023'!Resal)*(1-EXP(('2023'!Tnet-t)/('2023'!Tau_j))),Resal+(Salim-Resal)*(1-EXP((Tnet-t)/(Tau_j))))*Salcycl</f>
        <v>5.2232091703864204E-2</v>
      </c>
      <c r="P288" s="169">
        <f>(INDEX(Models!$BJ288:$BT288,,T288)*(1-R288)+INDEX(Models!$BJ288:$BT288,,T288+1)*R288-ERP_i)*Q288*Ramure*Pc/MaxiM</f>
        <v>2.4517532025440433E-3</v>
      </c>
      <c r="Q288" s="304">
        <f t="shared" si="105"/>
        <v>0.6</v>
      </c>
      <c r="R288" s="177">
        <f t="shared" si="106"/>
        <v>0.49450501559509963</v>
      </c>
      <c r="S288" s="799">
        <f t="shared" si="107"/>
        <v>1</v>
      </c>
      <c r="T288" s="176">
        <f t="shared" si="108"/>
        <v>7</v>
      </c>
      <c r="U288" s="250">
        <f t="shared" si="109"/>
        <v>1.4945050155950996</v>
      </c>
      <c r="V288" s="382">
        <f t="shared" si="110"/>
        <v>41.225168179016315</v>
      </c>
      <c r="W288" s="400">
        <f t="shared" si="111"/>
        <v>36.086762234104874</v>
      </c>
      <c r="X288" s="157">
        <f t="shared" si="112"/>
        <v>45565</v>
      </c>
      <c r="Y288" s="383">
        <f t="shared" si="113"/>
        <v>35.430472526752531</v>
      </c>
      <c r="Z288" s="383">
        <f t="shared" si="114"/>
        <v>36.874196440630179</v>
      </c>
      <c r="AA288" s="384">
        <f t="shared" si="115"/>
        <v>39.627031436868648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6.9468615145298465E-2</v>
      </c>
      <c r="AD288" s="230">
        <f>(INDEX(Models!$BJ288:$BT288,,AH288)*(1-AF288)+INDEX(Models!$BJ288:$BT288,,AH288+1)*AF288-ERP_i)*AE288*Ramure*Pc/MaxiM</f>
        <v>2.4517532025440433E-3</v>
      </c>
      <c r="AE288" s="304">
        <f t="shared" si="117"/>
        <v>0.6</v>
      </c>
      <c r="AF288" s="177">
        <f t="shared" si="118"/>
        <v>0.49450501559509963</v>
      </c>
      <c r="AG288" s="799">
        <f t="shared" si="124"/>
        <v>1</v>
      </c>
      <c r="AH288" s="176">
        <f t="shared" si="119"/>
        <v>7</v>
      </c>
      <c r="AI288" s="224">
        <f t="shared" si="120"/>
        <v>1.4945050155950996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'2023'!Wh/'2023'!Env_an*'2024'!Env_an</f>
        <v>38.478873191318392</v>
      </c>
      <c r="C289" s="829"/>
      <c r="D289" s="391">
        <f t="shared" si="102"/>
        <v>40.047581098013545</v>
      </c>
      <c r="E289" s="383">
        <f t="shared" si="100"/>
        <v>42.256597634125114</v>
      </c>
      <c r="F289" s="383">
        <f t="shared" si="103"/>
        <v>42.355391029231846</v>
      </c>
      <c r="G289" s="110">
        <f t="shared" si="101"/>
        <v>0.9403787373289878</v>
      </c>
      <c r="H289" s="412" t="b">
        <f>Wh_hp&gt;='2023'!Maxi_hp</f>
        <v>0</v>
      </c>
      <c r="I289" s="388">
        <f>IF(H289,Wh_hp,'2023'!Maxi_hp)</f>
        <v>42.359955312979814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3.9171102565616955E-2</v>
      </c>
      <c r="M289" s="832"/>
      <c r="N289" s="832"/>
      <c r="O289" s="48">
        <f>IF(t&lt;Tnet,'2023'!Resal+('2023'!Salim-'2023'!Resal)*(1-EXP(('2023'!Tnet-t)/('2023'!Tau_j))),Resal+(Salim-Resal)*(1-EXP((Tnet-t)/(Tau_j))))*Salcycl</f>
        <v>5.2276251752167532E-2</v>
      </c>
      <c r="P289" s="169">
        <f>(INDEX(Models!$BJ289:$BT289,,T289)*(1-R289)+INDEX(Models!$BJ289:$BT289,,T289+1)*R289-ERP_i)*Q289*Ramure*Pc/MaxiM</f>
        <v>2.5488368881170769E-3</v>
      </c>
      <c r="Q289" s="304">
        <f t="shared" si="105"/>
        <v>0.6</v>
      </c>
      <c r="R289" s="177">
        <f t="shared" si="106"/>
        <v>0.49469542174225611</v>
      </c>
      <c r="S289" s="799">
        <f t="shared" si="107"/>
        <v>1</v>
      </c>
      <c r="T289" s="176">
        <f t="shared" si="108"/>
        <v>7</v>
      </c>
      <c r="U289" s="250">
        <f t="shared" si="109"/>
        <v>1.4946954217422561</v>
      </c>
      <c r="V289" s="382">
        <f t="shared" si="110"/>
        <v>40.909611518925182</v>
      </c>
      <c r="W289" s="400">
        <f t="shared" si="111"/>
        <v>38.478873191318392</v>
      </c>
      <c r="X289" s="157">
        <f t="shared" si="112"/>
        <v>45566</v>
      </c>
      <c r="Y289" s="383">
        <f t="shared" si="113"/>
        <v>37.780030717210721</v>
      </c>
      <c r="Z289" s="383">
        <f t="shared" si="114"/>
        <v>39.320248192046904</v>
      </c>
      <c r="AA289" s="384">
        <f t="shared" si="115"/>
        <v>42.256597634125114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6.9488543954776494E-2</v>
      </c>
      <c r="AD289" s="230">
        <f>(INDEX(Models!$BJ289:$BT289,,AH289)*(1-AF289)+INDEX(Models!$BJ289:$BT289,,AH289+1)*AF289-ERP_i)*AE289*Ramure*Pc/MaxiM</f>
        <v>2.5488368881170769E-3</v>
      </c>
      <c r="AE289" s="304">
        <f t="shared" si="117"/>
        <v>0.6</v>
      </c>
      <c r="AF289" s="177">
        <f t="shared" si="118"/>
        <v>0.49469542174225611</v>
      </c>
      <c r="AG289" s="799">
        <f t="shared" si="124"/>
        <v>1</v>
      </c>
      <c r="AH289" s="176">
        <f t="shared" si="119"/>
        <v>7</v>
      </c>
      <c r="AI289" s="224">
        <f t="shared" si="120"/>
        <v>1.4946954217422561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'2023'!Wh/'2023'!Env_an*'2024'!Env_an</f>
        <v>37.144983033071199</v>
      </c>
      <c r="C290" s="829"/>
      <c r="D290" s="391">
        <f t="shared" si="102"/>
        <v>38.660051775115178</v>
      </c>
      <c r="E290" s="383">
        <f t="shared" si="100"/>
        <v>40.794397957720079</v>
      </c>
      <c r="F290" s="383">
        <f t="shared" si="103"/>
        <v>40.889752101880859</v>
      </c>
      <c r="G290" s="110">
        <f t="shared" si="101"/>
        <v>0.91485636239374768</v>
      </c>
      <c r="H290" s="412" t="b">
        <f>Wh_hp&gt;='2023'!Maxi_hp</f>
        <v>0</v>
      </c>
      <c r="I290" s="388">
        <f>IF(H290,Wh_hp,'2023'!Maxi_hp)</f>
        <v>40.896316490611177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3.918951663223591E-2</v>
      </c>
      <c r="M290" s="832"/>
      <c r="N290" s="832"/>
      <c r="O290" s="48">
        <f>IF(t&lt;Tnet,'2023'!Resal+('2023'!Salim-'2023'!Resal)*(1-EXP(('2023'!Tnet-t)/('2023'!Tau_j))),Resal+(Salim-Resal)*(1-EXP((Tnet-t)/(Tau_j))))*Salcycl</f>
        <v>5.2319590175517905E-2</v>
      </c>
      <c r="P290" s="169">
        <f>(INDEX(Models!$BJ290:$BT290,,T290)*(1-R290)+INDEX(Models!$BJ290:$BT290,,T290+1)*R290-ERP_i)*Q290*Ramure*Pc/MaxiM</f>
        <v>2.6536345313357109E-3</v>
      </c>
      <c r="Q290" s="304">
        <f t="shared" si="105"/>
        <v>0.6</v>
      </c>
      <c r="R290" s="177">
        <f t="shared" si="106"/>
        <v>0.49487829908804426</v>
      </c>
      <c r="S290" s="799">
        <f t="shared" si="107"/>
        <v>1</v>
      </c>
      <c r="T290" s="176">
        <f t="shared" si="108"/>
        <v>7</v>
      </c>
      <c r="U290" s="250">
        <f t="shared" si="109"/>
        <v>1.4948782990880443</v>
      </c>
      <c r="V290" s="382">
        <f t="shared" si="110"/>
        <v>40.588893333144533</v>
      </c>
      <c r="W290" s="400">
        <f t="shared" si="111"/>
        <v>37.144983033071199</v>
      </c>
      <c r="X290" s="157">
        <f t="shared" si="112"/>
        <v>45567</v>
      </c>
      <c r="Y290" s="383">
        <f t="shared" si="113"/>
        <v>36.471293076684141</v>
      </c>
      <c r="Z290" s="383">
        <f t="shared" si="114"/>
        <v>37.958883367766326</v>
      </c>
      <c r="AA290" s="384">
        <f t="shared" si="115"/>
        <v>40.794397957720079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6.9507450334051327E-2</v>
      </c>
      <c r="AD290" s="230">
        <f>(INDEX(Models!$BJ290:$BT290,,AH290)*(1-AF290)+INDEX(Models!$BJ290:$BT290,,AH290+1)*AF290-ERP_i)*AE290*Ramure*Pc/MaxiM</f>
        <v>2.6536345313357109E-3</v>
      </c>
      <c r="AE290" s="304">
        <f t="shared" si="117"/>
        <v>0.6</v>
      </c>
      <c r="AF290" s="177">
        <f t="shared" si="118"/>
        <v>0.49487829908804426</v>
      </c>
      <c r="AG290" s="799">
        <f t="shared" si="124"/>
        <v>1</v>
      </c>
      <c r="AH290" s="176">
        <f t="shared" si="119"/>
        <v>7</v>
      </c>
      <c r="AI290" s="224">
        <f t="shared" si="120"/>
        <v>1.4948782990880443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'2023'!Wh/'2023'!Env_an*'2024'!Env_an</f>
        <v>40.916413172571808</v>
      </c>
      <c r="C291" s="829"/>
      <c r="D291" s="391">
        <f t="shared" si="102"/>
        <v>42.586127076698951</v>
      </c>
      <c r="E291" s="383">
        <f t="shared" si="100"/>
        <v>44.939239821304852</v>
      </c>
      <c r="F291" s="383">
        <f t="shared" si="103"/>
        <v>45.063870180118187</v>
      </c>
      <c r="G291" s="110">
        <f t="shared" si="101"/>
        <v>1.0162124309112455</v>
      </c>
      <c r="H291" s="412" t="b">
        <f>Wh_hp&gt;='2023'!Maxi_hp</f>
        <v>1</v>
      </c>
      <c r="I291" s="388">
        <f>IF(H291,Wh_hp,'2023'!Maxi_hp)</f>
        <v>45.063870180118187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3.9207930345953601E-2</v>
      </c>
      <c r="M291" s="832"/>
      <c r="N291" s="832"/>
      <c r="O291" s="48">
        <f>IF(t&lt;Tnet,'2023'!Resal+('2023'!Salim-'2023'!Resal)*(1-EXP(('2023'!Tnet-t)/('2023'!Tau_j))),Resal+(Salim-Resal)*(1-EXP((Tnet-t)/(Tau_j))))*Salcycl</f>
        <v>5.2362094996772524E-2</v>
      </c>
      <c r="P291" s="169">
        <f>(INDEX(Models!$BJ291:$BT291,,T291)*(1-R291)+INDEX(Models!$BJ291:$BT291,,T291+1)*R291-ERP_i)*Q291*Ramure*Pc/MaxiM</f>
        <v>2.7656381556930556E-3</v>
      </c>
      <c r="Q291" s="304">
        <f t="shared" si="105"/>
        <v>0.6</v>
      </c>
      <c r="R291" s="177">
        <f t="shared" si="106"/>
        <v>0.49505394005437475</v>
      </c>
      <c r="S291" s="799">
        <f t="shared" si="107"/>
        <v>1</v>
      </c>
      <c r="T291" s="176">
        <f t="shared" si="108"/>
        <v>7</v>
      </c>
      <c r="U291" s="250">
        <f t="shared" si="109"/>
        <v>1.4950539400543748</v>
      </c>
      <c r="V291" s="382">
        <f t="shared" si="110"/>
        <v>40.263641663861314</v>
      </c>
      <c r="W291" s="400">
        <f t="shared" si="111"/>
        <v>40.916413172571808</v>
      </c>
      <c r="X291" s="157">
        <f t="shared" si="112"/>
        <v>45568</v>
      </c>
      <c r="Y291" s="383">
        <f t="shared" si="113"/>
        <v>40.175352060398183</v>
      </c>
      <c r="Z291" s="383">
        <f t="shared" si="114"/>
        <v>41.814824798527084</v>
      </c>
      <c r="AA291" s="384">
        <f t="shared" si="115"/>
        <v>44.939239821304852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6.9525319858582457E-2</v>
      </c>
      <c r="AD291" s="230">
        <f>(INDEX(Models!$BJ291:$BT291,,AH291)*(1-AF291)+INDEX(Models!$BJ291:$BT291,,AH291+1)*AF291-ERP_i)*AE291*Ramure*Pc/MaxiM</f>
        <v>2.7656381556930556E-3</v>
      </c>
      <c r="AE291" s="304">
        <f t="shared" si="117"/>
        <v>0.6</v>
      </c>
      <c r="AF291" s="177">
        <f t="shared" si="118"/>
        <v>0.49505394005437475</v>
      </c>
      <c r="AG291" s="799">
        <f t="shared" si="124"/>
        <v>1</v>
      </c>
      <c r="AH291" s="176">
        <f t="shared" si="119"/>
        <v>7</v>
      </c>
      <c r="AI291" s="224">
        <f t="shared" si="120"/>
        <v>1.4950539400543748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'2023'!Wh/'2023'!Env_an*'2024'!Env_an</f>
        <v>41.714319556245322</v>
      </c>
      <c r="C292" s="829"/>
      <c r="D292" s="391">
        <f t="shared" si="102"/>
        <v>43.417426448997382</v>
      </c>
      <c r="E292" s="383">
        <f t="shared" si="100"/>
        <v>45.818487265365114</v>
      </c>
      <c r="F292" s="383">
        <f t="shared" si="103"/>
        <v>45.951050325579978</v>
      </c>
      <c r="G292" s="110">
        <f t="shared" si="101"/>
        <v>1.0445694605831346</v>
      </c>
      <c r="H292" s="412" t="b">
        <f>Wh_hp&gt;='2023'!Maxi_hp</f>
        <v>1</v>
      </c>
      <c r="I292" s="388">
        <f>IF(H292,Wh_hp,'2023'!Maxi_hp)</f>
        <v>45.951050325579978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3.9226343706776579E-2</v>
      </c>
      <c r="M292" s="832"/>
      <c r="N292" s="832"/>
      <c r="O292" s="48">
        <f>IF(t&lt;Tnet,'2023'!Resal+('2023'!Salim-'2023'!Resal)*(1-EXP(('2023'!Tnet-t)/('2023'!Tau_j))),Resal+(Salim-Resal)*(1-EXP((Tnet-t)/(Tau_j))))*Salcycl</f>
        <v>5.240375576918558E-2</v>
      </c>
      <c r="P292" s="169">
        <f>(INDEX(Models!$BJ292:$BT292,,T292)*(1-R292)+INDEX(Models!$BJ292:$BT292,,T292+1)*R292-ERP_i)*Q292*Ramure*Pc/MaxiM</f>
        <v>2.8848755202679219E-3</v>
      </c>
      <c r="Q292" s="304">
        <f t="shared" si="105"/>
        <v>0.6</v>
      </c>
      <c r="R292" s="177">
        <f t="shared" si="106"/>
        <v>0.49522262611835632</v>
      </c>
      <c r="S292" s="799">
        <f t="shared" si="107"/>
        <v>1</v>
      </c>
      <c r="T292" s="176">
        <f t="shared" si="108"/>
        <v>7</v>
      </c>
      <c r="U292" s="250">
        <f t="shared" si="109"/>
        <v>1.4952226261183563</v>
      </c>
      <c r="V292" s="382">
        <f t="shared" si="110"/>
        <v>39.934462120841779</v>
      </c>
      <c r="W292" s="400">
        <f t="shared" si="111"/>
        <v>41.714319556245322</v>
      </c>
      <c r="X292" s="157">
        <f t="shared" si="112"/>
        <v>45569</v>
      </c>
      <c r="Y292" s="383">
        <f t="shared" si="113"/>
        <v>40.959867385826172</v>
      </c>
      <c r="Z292" s="383">
        <f t="shared" si="114"/>
        <v>42.632171602054648</v>
      </c>
      <c r="AA292" s="384">
        <f t="shared" si="115"/>
        <v>45.818487265365114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6.9542140159634891E-2</v>
      </c>
      <c r="AD292" s="230">
        <f>(INDEX(Models!$BJ292:$BT292,,AH292)*(1-AF292)+INDEX(Models!$BJ292:$BT292,,AH292+1)*AF292-ERP_i)*AE292*Ramure*Pc/MaxiM</f>
        <v>2.8848755202679219E-3</v>
      </c>
      <c r="AE292" s="304">
        <f t="shared" si="117"/>
        <v>0.6</v>
      </c>
      <c r="AF292" s="177">
        <f t="shared" si="118"/>
        <v>0.49522262611835632</v>
      </c>
      <c r="AG292" s="799">
        <f t="shared" si="124"/>
        <v>1</v>
      </c>
      <c r="AH292" s="176">
        <f t="shared" si="119"/>
        <v>7</v>
      </c>
      <c r="AI292" s="224">
        <f t="shared" si="120"/>
        <v>1.4952226261183563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'2023'!Wh/'2023'!Env_an*'2024'!Env_an</f>
        <v>11.522849866148372</v>
      </c>
      <c r="C293" s="829"/>
      <c r="D293" s="391">
        <f t="shared" si="102"/>
        <v>11.993533157046489</v>
      </c>
      <c r="E293" s="383">
        <f t="shared" si="100"/>
        <v>12.657341932622108</v>
      </c>
      <c r="F293" s="383">
        <f t="shared" si="103"/>
        <v>12.657341932622108</v>
      </c>
      <c r="G293" s="110">
        <f t="shared" si="101"/>
        <v>0.29009044649937532</v>
      </c>
      <c r="H293" s="412" t="b">
        <f>Wh_hp&gt;='2023'!Maxi_hp</f>
        <v>0</v>
      </c>
      <c r="I293" s="388">
        <f>IF(H293,Wh_hp,'2023'!Maxi_hp)</f>
        <v>29.938480404074163</v>
      </c>
      <c r="J293" s="85">
        <f>IF(H293,An,'2023'!An_max)</f>
        <v>2020</v>
      </c>
      <c r="K293" s="197">
        <f t="shared" si="104"/>
        <v>45570</v>
      </c>
      <c r="L293" s="147">
        <f>IF(t&lt;Tvie,1-EXP((T0-t)*PertePVj)+'2023'!Pspv,1-EXP((T0-t)*PertePVj)+Pspv)</f>
        <v>3.9244756714711726E-2</v>
      </c>
      <c r="M293" s="832"/>
      <c r="N293" s="832"/>
      <c r="O293" s="48">
        <f>IF(t&lt;Tnet,'2023'!Resal+('2023'!Salim-'2023'!Resal)*(1-EXP(('2023'!Tnet-t)/('2023'!Tau_j))),Resal+(Salim-Resal)*(1-EXP((Tnet-t)/(Tau_j))))*Salcycl</f>
        <v>5.2444563725087198E-2</v>
      </c>
      <c r="P293" s="169">
        <f>(INDEX(Models!$BJ293:$BT293,,T293)*(1-R293)+INDEX(Models!$BJ293:$BT293,,T293+1)*R293-ERP_i)*Q293*Ramure*Pc/MaxiM</f>
        <v>3.0113659681442885E-3</v>
      </c>
      <c r="Q293" s="304">
        <f t="shared" si="105"/>
        <v>0.6</v>
      </c>
      <c r="R293" s="177">
        <f t="shared" si="106"/>
        <v>0.49538462818939544</v>
      </c>
      <c r="S293" s="799">
        <f t="shared" si="107"/>
        <v>1</v>
      </c>
      <c r="T293" s="176">
        <f t="shared" si="108"/>
        <v>7</v>
      </c>
      <c r="U293" s="250">
        <f t="shared" si="109"/>
        <v>1.4953846281893954</v>
      </c>
      <c r="V293" s="382">
        <f t="shared" si="110"/>
        <v>39.601960308714112</v>
      </c>
      <c r="W293" s="400">
        <f t="shared" si="111"/>
        <v>11.522849866148372</v>
      </c>
      <c r="X293" s="157">
        <f t="shared" si="112"/>
        <v>45570</v>
      </c>
      <c r="Y293" s="383">
        <f t="shared" si="113"/>
        <v>11.314741284939153</v>
      </c>
      <c r="Z293" s="383">
        <f t="shared" si="114"/>
        <v>11.776923794085748</v>
      </c>
      <c r="AA293" s="384">
        <f t="shared" si="115"/>
        <v>12.657341932622108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6.955790111565481E-2</v>
      </c>
      <c r="AD293" s="230">
        <f>(INDEX(Models!$BJ293:$BT293,,AH293)*(1-AF293)+INDEX(Models!$BJ293:$BT293,,AH293+1)*AF293-ERP_i)*AE293*Ramure*Pc/MaxiM</f>
        <v>3.0113659681442885E-3</v>
      </c>
      <c r="AE293" s="304">
        <f t="shared" si="117"/>
        <v>0.6</v>
      </c>
      <c r="AF293" s="177">
        <f t="shared" si="118"/>
        <v>0.49538462818939544</v>
      </c>
      <c r="AG293" s="799">
        <f t="shared" si="124"/>
        <v>1</v>
      </c>
      <c r="AH293" s="176">
        <f t="shared" si="119"/>
        <v>7</v>
      </c>
      <c r="AI293" s="224">
        <f t="shared" si="120"/>
        <v>1.4953846281893954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'2023'!Wh/'2023'!Env_an*'2024'!Env_an</f>
        <v>28.943077903706126</v>
      </c>
      <c r="C294" s="829"/>
      <c r="D294" s="391">
        <f t="shared" si="102"/>
        <v>30.125916880608962</v>
      </c>
      <c r="E294" s="383">
        <f t="shared" si="100"/>
        <v>31.794643211262038</v>
      </c>
      <c r="F294" s="383">
        <f t="shared" si="103"/>
        <v>31.857206055083324</v>
      </c>
      <c r="G294" s="110">
        <f t="shared" si="101"/>
        <v>0.73621644632207106</v>
      </c>
      <c r="H294" s="412" t="b">
        <f>Wh_hp&gt;='2023'!Maxi_hp</f>
        <v>0</v>
      </c>
      <c r="I294" s="388">
        <f>IF(H294,Wh_hp,'2023'!Maxi_hp)</f>
        <v>43.826307821277801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3.9263169369765816E-2</v>
      </c>
      <c r="M294" s="832"/>
      <c r="N294" s="832"/>
      <c r="O294" s="48">
        <f>IF(t&lt;Tnet,'2023'!Resal+('2023'!Salim-'2023'!Resal)*(1-EXP(('2023'!Tnet-t)/('2023'!Tau_j))),Resal+(Salim-Resal)*(1-EXP((Tnet-t)/(Tau_j))))*Salcycl</f>
        <v>5.2484511921240748E-2</v>
      </c>
      <c r="P294" s="169">
        <f>(INDEX(Models!$BJ294:$BT294,,T294)*(1-R294)+INDEX(Models!$BJ294:$BT294,,T294+1)*R294-ERP_i)*Q294*Ramure*Pc/MaxiM</f>
        <v>3.1451191344500995E-3</v>
      </c>
      <c r="Q294" s="304">
        <f t="shared" si="105"/>
        <v>0.6</v>
      </c>
      <c r="R294" s="177">
        <f t="shared" si="106"/>
        <v>0.49554020697591827</v>
      </c>
      <c r="S294" s="799">
        <f t="shared" si="107"/>
        <v>1</v>
      </c>
      <c r="T294" s="176">
        <f t="shared" si="108"/>
        <v>7</v>
      </c>
      <c r="U294" s="250">
        <f t="shared" si="109"/>
        <v>1.4955402069759183</v>
      </c>
      <c r="V294" s="382">
        <f t="shared" si="110"/>
        <v>39.26674182793743</v>
      </c>
      <c r="W294" s="400">
        <f t="shared" si="111"/>
        <v>28.943077903706126</v>
      </c>
      <c r="X294" s="157">
        <f t="shared" si="112"/>
        <v>45571</v>
      </c>
      <c r="Y294" s="383">
        <f t="shared" si="113"/>
        <v>28.421100450973331</v>
      </c>
      <c r="Z294" s="383">
        <f t="shared" si="114"/>
        <v>29.5826073747265</v>
      </c>
      <c r="AA294" s="384">
        <f t="shared" si="115"/>
        <v>31.794643211262038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6.9572595038651333E-2</v>
      </c>
      <c r="AD294" s="230">
        <f>(INDEX(Models!$BJ294:$BT294,,AH294)*(1-AF294)+INDEX(Models!$BJ294:$BT294,,AH294+1)*AF294-ERP_i)*AE294*Ramure*Pc/MaxiM</f>
        <v>3.1451191344500995E-3</v>
      </c>
      <c r="AE294" s="304">
        <f t="shared" si="117"/>
        <v>0.6</v>
      </c>
      <c r="AF294" s="177">
        <f t="shared" si="118"/>
        <v>0.49554020697591827</v>
      </c>
      <c r="AG294" s="799">
        <f t="shared" si="124"/>
        <v>1</v>
      </c>
      <c r="AH294" s="176">
        <f t="shared" si="119"/>
        <v>7</v>
      </c>
      <c r="AI294" s="224">
        <f t="shared" si="120"/>
        <v>1.4955402069759183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'2023'!Wh/'2023'!Env_an*'2024'!Env_an</f>
        <v>16.703000247813485</v>
      </c>
      <c r="C295" s="829"/>
      <c r="D295" s="391">
        <f t="shared" si="102"/>
        <v>17.385947775292831</v>
      </c>
      <c r="E295" s="383">
        <f t="shared" si="100"/>
        <v>18.349742210474339</v>
      </c>
      <c r="F295" s="383">
        <f t="shared" si="103"/>
        <v>18.360866374839922</v>
      </c>
      <c r="G295" s="110">
        <f t="shared" si="101"/>
        <v>0.42790793829507195</v>
      </c>
      <c r="H295" s="412" t="b">
        <f>Wh_hp&gt;='2023'!Maxi_hp</f>
        <v>0</v>
      </c>
      <c r="I295" s="388">
        <f>IF(H295,Wh_hp,'2023'!Maxi_hp)</f>
        <v>40.63677888339361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3.928158167194562E-2</v>
      </c>
      <c r="M295" s="832"/>
      <c r="N295" s="832"/>
      <c r="O295" s="48">
        <f>IF(t&lt;Tnet,'2023'!Resal+('2023'!Salim-'2023'!Resal)*(1-EXP(('2023'!Tnet-t)/('2023'!Tau_j))),Resal+(Salim-Resal)*(1-EXP((Tnet-t)/(Tau_j))))*Salcycl</f>
        <v>5.2523595379523141E-2</v>
      </c>
      <c r="P295" s="169">
        <f>(INDEX(Models!$BJ295:$BT295,,T295)*(1-R295)+INDEX(Models!$BJ295:$BT295,,T295+1)*R295-ERP_i)*Q295*Ramure*Pc/MaxiM</f>
        <v>3.2861336348222153E-3</v>
      </c>
      <c r="Q295" s="304">
        <f t="shared" si="105"/>
        <v>0.6</v>
      </c>
      <c r="R295" s="177">
        <f t="shared" si="106"/>
        <v>0.49568961334177963</v>
      </c>
      <c r="S295" s="799">
        <f t="shared" si="107"/>
        <v>1</v>
      </c>
      <c r="T295" s="176">
        <f t="shared" si="108"/>
        <v>7</v>
      </c>
      <c r="U295" s="250">
        <f t="shared" si="109"/>
        <v>1.4956896133417796</v>
      </c>
      <c r="V295" s="382">
        <f t="shared" si="110"/>
        <v>38.929412266367443</v>
      </c>
      <c r="W295" s="400">
        <f t="shared" si="111"/>
        <v>16.703000247813485</v>
      </c>
      <c r="X295" s="157">
        <f t="shared" si="112"/>
        <v>45572</v>
      </c>
      <c r="Y295" s="383">
        <f t="shared" si="113"/>
        <v>16.402204397570046</v>
      </c>
      <c r="Z295" s="383">
        <f t="shared" si="114"/>
        <v>17.072853069804708</v>
      </c>
      <c r="AA295" s="384">
        <f t="shared" si="115"/>
        <v>18.349742210474339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6.9586216853812805E-2</v>
      </c>
      <c r="AD295" s="230">
        <f>(INDEX(Models!$BJ295:$BT295,,AH295)*(1-AF295)+INDEX(Models!$BJ295:$BT295,,AH295+1)*AF295-ERP_i)*AE295*Ramure*Pc/MaxiM</f>
        <v>3.2861336348222153E-3</v>
      </c>
      <c r="AE295" s="304">
        <f t="shared" si="117"/>
        <v>0.6</v>
      </c>
      <c r="AF295" s="177">
        <f t="shared" si="118"/>
        <v>0.49568961334177963</v>
      </c>
      <c r="AG295" s="799">
        <f t="shared" si="124"/>
        <v>1</v>
      </c>
      <c r="AH295" s="176">
        <f t="shared" si="119"/>
        <v>7</v>
      </c>
      <c r="AI295" s="224">
        <f t="shared" si="120"/>
        <v>1.4956896133417796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'2023'!Wh/'2023'!Env_an*'2024'!Env_an</f>
        <v>38.135803782900673</v>
      </c>
      <c r="C296" s="829"/>
      <c r="D296" s="391">
        <f t="shared" si="102"/>
        <v>39.695850452473273</v>
      </c>
      <c r="E296" s="383">
        <f t="shared" si="100"/>
        <v>41.898089946801491</v>
      </c>
      <c r="F296" s="383">
        <f t="shared" si="103"/>
        <v>42.040010311174825</v>
      </c>
      <c r="G296" s="110">
        <f t="shared" si="101"/>
        <v>0.98815736727907155</v>
      </c>
      <c r="H296" s="412" t="b">
        <f>Wh_hp&gt;='2023'!Maxi_hp</f>
        <v>0</v>
      </c>
      <c r="I296" s="388">
        <f>IF(H296,Wh_hp,'2023'!Maxi_hp)</f>
        <v>42.04123090982015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3.9299993621257689E-2</v>
      </c>
      <c r="M296" s="832"/>
      <c r="N296" s="832"/>
      <c r="O296" s="48">
        <f>IF(t&lt;Tnet,'2023'!Resal+('2023'!Salim-'2023'!Resal)*(1-EXP(('2023'!Tnet-t)/('2023'!Tau_j))),Resal+(Salim-Resal)*(1-EXP((Tnet-t)/(Tau_j))))*Salcycl</f>
        <v>5.2561811221571914E-2</v>
      </c>
      <c r="P296" s="169">
        <f>(INDEX(Models!$BJ296:$BT296,,T296)*(1-R296)+INDEX(Models!$BJ296:$BT296,,T296+1)*R296-ERP_i)*Q296*Ramure*Pc/MaxiM</f>
        <v>3.4336498533558417E-3</v>
      </c>
      <c r="Q296" s="304">
        <f t="shared" si="105"/>
        <v>0.6</v>
      </c>
      <c r="R296" s="177">
        <f t="shared" si="106"/>
        <v>0.49583308865244202</v>
      </c>
      <c r="S296" s="799">
        <f t="shared" si="107"/>
        <v>1</v>
      </c>
      <c r="T296" s="176">
        <f t="shared" si="108"/>
        <v>7</v>
      </c>
      <c r="U296" s="250">
        <f t="shared" si="109"/>
        <v>1.495833088652442</v>
      </c>
      <c r="V296" s="382">
        <f t="shared" si="110"/>
        <v>38.590606078804065</v>
      </c>
      <c r="W296" s="400">
        <f t="shared" si="111"/>
        <v>38.135803782900673</v>
      </c>
      <c r="X296" s="157">
        <f t="shared" si="112"/>
        <v>45573</v>
      </c>
      <c r="Y296" s="383">
        <f t="shared" si="113"/>
        <v>37.450040947676939</v>
      </c>
      <c r="Z296" s="383">
        <f t="shared" si="114"/>
        <v>38.982034661205979</v>
      </c>
      <c r="AA296" s="384">
        <f t="shared" si="115"/>
        <v>41.898089946801491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6.9598764270592375E-2</v>
      </c>
      <c r="AD296" s="230">
        <f>(INDEX(Models!$BJ296:$BT296,,AH296)*(1-AF296)+INDEX(Models!$BJ296:$BT296,,AH296+1)*AF296-ERP_i)*AE296*Ramure*Pc/MaxiM</f>
        <v>3.4336498533558417E-3</v>
      </c>
      <c r="AE296" s="304">
        <f t="shared" si="117"/>
        <v>0.6</v>
      </c>
      <c r="AF296" s="177">
        <f t="shared" si="118"/>
        <v>0.49583308865244202</v>
      </c>
      <c r="AG296" s="799">
        <f t="shared" si="124"/>
        <v>1</v>
      </c>
      <c r="AH296" s="176">
        <f t="shared" si="119"/>
        <v>7</v>
      </c>
      <c r="AI296" s="224">
        <f t="shared" si="120"/>
        <v>1.495833088652442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'2023'!Wh/'2023'!Env_an*'2024'!Env_an</f>
        <v>30.61488975370218</v>
      </c>
      <c r="C297" s="829"/>
      <c r="D297" s="391">
        <f t="shared" si="102"/>
        <v>31.86788413557575</v>
      </c>
      <c r="E297" s="383">
        <f t="shared" ref="E297:E360" si="125">Wh_pvt/(1-Psa)</f>
        <v>33.637171036367633</v>
      </c>
      <c r="F297" s="383">
        <f t="shared" si="103"/>
        <v>33.72356092666783</v>
      </c>
      <c r="G297" s="110">
        <f t="shared" ref="G297:G360" si="126">+Wh_hp/MaxiM</f>
        <v>0.79954662041420865</v>
      </c>
      <c r="H297" s="412" t="b">
        <f>Wh_hp&gt;='2023'!Maxi_hp</f>
        <v>0</v>
      </c>
      <c r="I297" s="388">
        <f>IF(H297,Wh_hp,'2023'!Maxi_hp)</f>
        <v>33.740851067404463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3.9318405217709129E-2</v>
      </c>
      <c r="M297" s="832"/>
      <c r="N297" s="832"/>
      <c r="O297" s="48">
        <f>IF(t&lt;Tnet,'2023'!Resal+('2023'!Salim-'2023'!Resal)*(1-EXP(('2023'!Tnet-t)/('2023'!Tau_j))),Resal+(Salim-Resal)*(1-EXP((Tnet-t)/(Tau_j))))*Salcycl</f>
        <v>5.2599158796052592E-2</v>
      </c>
      <c r="P297" s="169">
        <f>(INDEX(Models!$BJ297:$BT297,,T297)*(1-R297)+INDEX(Models!$BJ297:$BT297,,T297+1)*R297-ERP_i)*Q297*Ramure*Pc/MaxiM</f>
        <v>3.5837615264581479E-3</v>
      </c>
      <c r="Q297" s="304">
        <f t="shared" si="105"/>
        <v>0.6</v>
      </c>
      <c r="R297" s="177">
        <f t="shared" si="106"/>
        <v>0.49597086511103328</v>
      </c>
      <c r="S297" s="799">
        <f t="shared" si="107"/>
        <v>1</v>
      </c>
      <c r="T297" s="176">
        <f t="shared" si="108"/>
        <v>7</v>
      </c>
      <c r="U297" s="250">
        <f t="shared" si="109"/>
        <v>1.4959708651110333</v>
      </c>
      <c r="V297" s="382">
        <f t="shared" si="110"/>
        <v>38.25107696256034</v>
      </c>
      <c r="W297" s="400">
        <f t="shared" si="111"/>
        <v>30.61488975370218</v>
      </c>
      <c r="X297" s="157">
        <f t="shared" si="112"/>
        <v>45574</v>
      </c>
      <c r="Y297" s="383">
        <f t="shared" si="113"/>
        <v>30.06518334640224</v>
      </c>
      <c r="Z297" s="383">
        <f t="shared" si="114"/>
        <v>31.295679556779262</v>
      </c>
      <c r="AA297" s="384">
        <f t="shared" si="115"/>
        <v>33.637171036367633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6.9610237943518116E-2</v>
      </c>
      <c r="AD297" s="230">
        <f>(INDEX(Models!$BJ297:$BT297,,AH297)*(1-AF297)+INDEX(Models!$BJ297:$BT297,,AH297+1)*AF297-ERP_i)*AE297*Ramure*Pc/MaxiM</f>
        <v>3.5837615264581479E-3</v>
      </c>
      <c r="AE297" s="304">
        <f t="shared" si="117"/>
        <v>0.6</v>
      </c>
      <c r="AF297" s="177">
        <f t="shared" si="118"/>
        <v>0.49597086511103328</v>
      </c>
      <c r="AG297" s="799">
        <f t="shared" si="124"/>
        <v>1</v>
      </c>
      <c r="AH297" s="176">
        <f t="shared" si="119"/>
        <v>7</v>
      </c>
      <c r="AI297" s="224">
        <f t="shared" si="120"/>
        <v>1.4959708651110333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'2023'!Wh/'2023'!Env_an*'2024'!Env_an</f>
        <v>22.266996192166214</v>
      </c>
      <c r="C298" s="829"/>
      <c r="D298" s="391">
        <f t="shared" si="102"/>
        <v>23.178775426933328</v>
      </c>
      <c r="E298" s="383">
        <f t="shared" si="125"/>
        <v>24.466590047753236</v>
      </c>
      <c r="F298" s="383">
        <f t="shared" si="103"/>
        <v>24.504173191726188</v>
      </c>
      <c r="G298" s="110">
        <f t="shared" si="126"/>
        <v>0.58604690521782432</v>
      </c>
      <c r="H298" s="412" t="b">
        <f>Wh_hp&gt;='2023'!Maxi_hp</f>
        <v>0</v>
      </c>
      <c r="I298" s="388">
        <f>IF(H298,Wh_hp,'2023'!Maxi_hp)</f>
        <v>42.372842429013986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3.9336816461306379E-2</v>
      </c>
      <c r="M298" s="832"/>
      <c r="N298" s="832"/>
      <c r="O298" s="48">
        <f>IF(t&lt;Tnet,'2023'!Resal+('2023'!Salim-'2023'!Resal)*(1-EXP(('2023'!Tnet-t)/('2023'!Tau_j))),Resal+(Salim-Resal)*(1-EXP((Tnet-t)/(Tau_j))))*Salcycl</f>
        <v>5.2635639797224978E-2</v>
      </c>
      <c r="P298" s="169">
        <f>(INDEX(Models!$BJ298:$BT298,,T298)*(1-R298)+INDEX(Models!$BJ298:$BT298,,T298+1)*R298-ERP_i)*Q298*Ramure*Pc/MaxiM</f>
        <v>3.7363804054079503E-3</v>
      </c>
      <c r="Q298" s="304">
        <f t="shared" si="105"/>
        <v>0.6</v>
      </c>
      <c r="R298" s="177">
        <f t="shared" si="106"/>
        <v>0.49610316608439953</v>
      </c>
      <c r="S298" s="799">
        <f t="shared" si="107"/>
        <v>1</v>
      </c>
      <c r="T298" s="176">
        <f t="shared" si="108"/>
        <v>7</v>
      </c>
      <c r="U298" s="250">
        <f t="shared" si="109"/>
        <v>1.4961031660843995</v>
      </c>
      <c r="V298" s="382">
        <f t="shared" si="110"/>
        <v>37.911427519101437</v>
      </c>
      <c r="W298" s="400">
        <f t="shared" si="111"/>
        <v>22.266996192166214</v>
      </c>
      <c r="X298" s="157">
        <f t="shared" si="112"/>
        <v>45575</v>
      </c>
      <c r="Y298" s="383">
        <f t="shared" si="113"/>
        <v>21.867778122728289</v>
      </c>
      <c r="Z298" s="383">
        <f t="shared" si="114"/>
        <v>22.763210350350121</v>
      </c>
      <c r="AA298" s="384">
        <f t="shared" si="115"/>
        <v>24.466590047753236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6.9620641621022869E-2</v>
      </c>
      <c r="AD298" s="230">
        <f>(INDEX(Models!$BJ298:$BT298,,AH298)*(1-AF298)+INDEX(Models!$BJ298:$BT298,,AH298+1)*AF298-ERP_i)*AE298*Ramure*Pc/MaxiM</f>
        <v>3.7363804054079503E-3</v>
      </c>
      <c r="AE298" s="304">
        <f t="shared" si="117"/>
        <v>0.6</v>
      </c>
      <c r="AF298" s="177">
        <f t="shared" si="118"/>
        <v>0.49610316608439953</v>
      </c>
      <c r="AG298" s="799">
        <f t="shared" si="124"/>
        <v>1</v>
      </c>
      <c r="AH298" s="176">
        <f t="shared" si="119"/>
        <v>7</v>
      </c>
      <c r="AI298" s="224">
        <f t="shared" si="120"/>
        <v>1.4961031660843995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'2023'!Wh/'2023'!Env_an*'2024'!Env_an</f>
        <v>27.636249245447345</v>
      </c>
      <c r="C299" s="829"/>
      <c r="D299" s="391">
        <f t="shared" si="102"/>
        <v>28.768437649715352</v>
      </c>
      <c r="E299" s="383">
        <f t="shared" si="125"/>
        <v>30.367956112386683</v>
      </c>
      <c r="F299" s="383">
        <f t="shared" si="103"/>
        <v>30.441664033220356</v>
      </c>
      <c r="G299" s="110">
        <f t="shared" si="126"/>
        <v>0.73446531856438568</v>
      </c>
      <c r="H299" s="412" t="b">
        <f>Wh_hp&gt;='2023'!Maxi_hp</f>
        <v>0</v>
      </c>
      <c r="I299" s="388">
        <f>IF(H299,Wh_hp,'2023'!Maxi_hp)</f>
        <v>40.061070375868503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3.9355227352056432E-2</v>
      </c>
      <c r="M299" s="832"/>
      <c r="N299" s="832"/>
      <c r="O299" s="48">
        <f>IF(t&lt;Tnet,'2023'!Resal+('2023'!Salim-'2023'!Resal)*(1-EXP(('2023'!Tnet-t)/('2023'!Tau_j))),Resal+(Salim-Resal)*(1-EXP((Tnet-t)/(Tau_j))))*Salcycl</f>
        <v>5.26712583735231E-2</v>
      </c>
      <c r="P299" s="169">
        <f>(INDEX(Models!$BJ299:$BT299,,T299)*(1-R299)+INDEX(Models!$BJ299:$BT299,,T299+1)*R299-ERP_i)*Q299*Ramure*Pc/MaxiM</f>
        <v>3.8914056228685598E-3</v>
      </c>
      <c r="Q299" s="304">
        <f t="shared" si="105"/>
        <v>0.6</v>
      </c>
      <c r="R299" s="177">
        <f t="shared" si="106"/>
        <v>0.49623020641930093</v>
      </c>
      <c r="S299" s="799">
        <f t="shared" si="107"/>
        <v>1</v>
      </c>
      <c r="T299" s="176">
        <f t="shared" si="108"/>
        <v>7</v>
      </c>
      <c r="U299" s="250">
        <f t="shared" si="109"/>
        <v>1.4962302064193009</v>
      </c>
      <c r="V299" s="382">
        <f t="shared" si="110"/>
        <v>37.572260111193877</v>
      </c>
      <c r="W299" s="400">
        <f t="shared" si="111"/>
        <v>27.636249245447345</v>
      </c>
      <c r="X299" s="157">
        <f t="shared" si="112"/>
        <v>45576</v>
      </c>
      <c r="Y299" s="383">
        <f t="shared" si="113"/>
        <v>27.141515474383613</v>
      </c>
      <c r="Z299" s="383">
        <f t="shared" si="114"/>
        <v>28.253435866381814</v>
      </c>
      <c r="AA299" s="384">
        <f t="shared" si="115"/>
        <v>30.367956112386683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6.9629982280644348E-2</v>
      </c>
      <c r="AD299" s="230">
        <f>(INDEX(Models!$BJ299:$BT299,,AH299)*(1-AF299)+INDEX(Models!$BJ299:$BT299,,AH299+1)*AF299-ERP_i)*AE299*Ramure*Pc/MaxiM</f>
        <v>3.8914056228685598E-3</v>
      </c>
      <c r="AE299" s="304">
        <f t="shared" si="117"/>
        <v>0.6</v>
      </c>
      <c r="AF299" s="177">
        <f t="shared" si="118"/>
        <v>0.49623020641930093</v>
      </c>
      <c r="AG299" s="799">
        <f t="shared" si="124"/>
        <v>1</v>
      </c>
      <c r="AH299" s="176">
        <f t="shared" si="119"/>
        <v>7</v>
      </c>
      <c r="AI299" s="224">
        <f t="shared" si="120"/>
        <v>1.4962302064193009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'2023'!Wh/'2023'!Env_an*'2024'!Env_an</f>
        <v>23.138597238594716</v>
      </c>
      <c r="C300" s="829"/>
      <c r="D300" s="391">
        <f t="shared" si="102"/>
        <v>24.086989646807474</v>
      </c>
      <c r="E300" s="383">
        <f t="shared" si="125"/>
        <v>25.427153752157889</v>
      </c>
      <c r="F300" s="383">
        <f t="shared" si="103"/>
        <v>25.474514470306378</v>
      </c>
      <c r="G300" s="110">
        <f t="shared" si="126"/>
        <v>0.62007115412665093</v>
      </c>
      <c r="H300" s="412" t="b">
        <f>Wh_hp&gt;='2023'!Maxi_hp</f>
        <v>0</v>
      </c>
      <c r="I300" s="388">
        <f>IF(H300,Wh_hp,'2023'!Maxi_hp)</f>
        <v>39.39832701671196</v>
      </c>
      <c r="J300" s="85">
        <f>IF(H300,An,'2023'!An_max)</f>
        <v>2018</v>
      </c>
      <c r="K300" s="197">
        <f t="shared" si="104"/>
        <v>45577</v>
      </c>
      <c r="L300" s="147">
        <f>IF(t&lt;Tvie,1-EXP((T0-t)*PertePVj)+'2023'!Pspv,1-EXP((T0-t)*PertePVj)+Pspv)</f>
        <v>3.9373637889965951E-2</v>
      </c>
      <c r="M300" s="832"/>
      <c r="N300" s="832"/>
      <c r="O300" s="48">
        <f>IF(t&lt;Tnet,'2023'!Resal+('2023'!Salim-'2023'!Resal)*(1-EXP(('2023'!Tnet-t)/('2023'!Tau_j))),Resal+(Salim-Resal)*(1-EXP((Tnet-t)/(Tau_j))))*Salcycl</f>
        <v>5.2706021224915037E-2</v>
      </c>
      <c r="P300" s="169">
        <f>(INDEX(Models!$BJ300:$BT300,,T300)*(1-R300)+INDEX(Models!$BJ300:$BT300,,T300+1)*R300-ERP_i)*Q300*Ramure*Pc/MaxiM</f>
        <v>4.0487232436666491E-3</v>
      </c>
      <c r="Q300" s="304">
        <f t="shared" si="105"/>
        <v>0.6</v>
      </c>
      <c r="R300" s="177">
        <f t="shared" si="106"/>
        <v>0.49635219274889497</v>
      </c>
      <c r="S300" s="799">
        <f t="shared" si="107"/>
        <v>1</v>
      </c>
      <c r="T300" s="176">
        <f t="shared" si="108"/>
        <v>7</v>
      </c>
      <c r="U300" s="250">
        <f t="shared" si="109"/>
        <v>1.496352192748895</v>
      </c>
      <c r="V300" s="382">
        <f t="shared" si="110"/>
        <v>37.234176852237148</v>
      </c>
      <c r="W300" s="400">
        <f t="shared" si="111"/>
        <v>23.138597238594716</v>
      </c>
      <c r="X300" s="157">
        <f t="shared" si="112"/>
        <v>45577</v>
      </c>
      <c r="Y300" s="383">
        <f t="shared" si="113"/>
        <v>22.725010222007771</v>
      </c>
      <c r="Z300" s="383">
        <f t="shared" si="114"/>
        <v>23.656450747501719</v>
      </c>
      <c r="AA300" s="384">
        <f t="shared" si="115"/>
        <v>25.427153752157889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6.9638270249020626E-2</v>
      </c>
      <c r="AD300" s="230">
        <f>(INDEX(Models!$BJ300:$BT300,,AH300)*(1-AF300)+INDEX(Models!$BJ300:$BT300,,AH300+1)*AF300-ERP_i)*AE300*Ramure*Pc/MaxiM</f>
        <v>4.0487232436666491E-3</v>
      </c>
      <c r="AE300" s="304">
        <f t="shared" si="117"/>
        <v>0.6</v>
      </c>
      <c r="AF300" s="177">
        <f t="shared" si="118"/>
        <v>0.49635219274889497</v>
      </c>
      <c r="AG300" s="799">
        <f t="shared" si="124"/>
        <v>1</v>
      </c>
      <c r="AH300" s="176">
        <f t="shared" si="119"/>
        <v>7</v>
      </c>
      <c r="AI300" s="224">
        <f t="shared" si="120"/>
        <v>1.496352192748895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'2023'!Wh/'2023'!Env_an*'2024'!Env_an</f>
        <v>17.985603581892143</v>
      </c>
      <c r="C301" s="829"/>
      <c r="D301" s="391">
        <f t="shared" si="102"/>
        <v>18.723146675863827</v>
      </c>
      <c r="E301" s="383">
        <f t="shared" si="125"/>
        <v>19.765582252209882</v>
      </c>
      <c r="F301" s="383">
        <f t="shared" si="103"/>
        <v>19.787880457137113</v>
      </c>
      <c r="G301" s="110">
        <f t="shared" si="126"/>
        <v>0.48594038516808402</v>
      </c>
      <c r="H301" s="412" t="b">
        <f>Wh_hp&gt;='2023'!Maxi_hp</f>
        <v>0</v>
      </c>
      <c r="I301" s="388">
        <f>IF(H301,Wh_hp,'2023'!Maxi_hp)</f>
        <v>42.332847154201126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3.9392048075041708E-2</v>
      </c>
      <c r="M301" s="832"/>
      <c r="N301" s="832"/>
      <c r="O301" s="48">
        <f>IF(t&lt;Tnet,'2023'!Resal+('2023'!Salim-'2023'!Resal)*(1-EXP(('2023'!Tnet-t)/('2023'!Tau_j))),Resal+(Salim-Resal)*(1-EXP((Tnet-t)/(Tau_j))))*Salcycl</f>
        <v>5.2739937687871725E-2</v>
      </c>
      <c r="P301" s="169">
        <f>(INDEX(Models!$BJ301:$BT301,,T301)*(1-R301)+INDEX(Models!$BJ301:$BT301,,T301+1)*R301-ERP_i)*Q301*Ramure*Pc/MaxiM</f>
        <v>4.2082058541406328E-3</v>
      </c>
      <c r="Q301" s="304">
        <f t="shared" si="105"/>
        <v>0.6</v>
      </c>
      <c r="R301" s="177">
        <f t="shared" si="106"/>
        <v>0.49646932378967579</v>
      </c>
      <c r="S301" s="799">
        <f t="shared" si="107"/>
        <v>1</v>
      </c>
      <c r="T301" s="176">
        <f t="shared" si="108"/>
        <v>7</v>
      </c>
      <c r="U301" s="250">
        <f t="shared" si="109"/>
        <v>1.4964693237896758</v>
      </c>
      <c r="V301" s="382">
        <f t="shared" si="110"/>
        <v>36.897779591996063</v>
      </c>
      <c r="W301" s="400">
        <f t="shared" si="111"/>
        <v>17.985603581892143</v>
      </c>
      <c r="X301" s="157">
        <f t="shared" si="112"/>
        <v>45578</v>
      </c>
      <c r="Y301" s="383">
        <f t="shared" si="113"/>
        <v>17.664617718149156</v>
      </c>
      <c r="Z301" s="383">
        <f t="shared" si="114"/>
        <v>18.388998011885185</v>
      </c>
      <c r="AA301" s="384">
        <f t="shared" si="115"/>
        <v>19.765582252209882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6.9645519305194636E-2</v>
      </c>
      <c r="AD301" s="230">
        <f>(INDEX(Models!$BJ301:$BT301,,AH301)*(1-AF301)+INDEX(Models!$BJ301:$BT301,,AH301+1)*AF301-ERP_i)*AE301*Ramure*Pc/MaxiM</f>
        <v>4.2082058541406328E-3</v>
      </c>
      <c r="AE301" s="304">
        <f t="shared" si="117"/>
        <v>0.6</v>
      </c>
      <c r="AF301" s="177">
        <f t="shared" si="118"/>
        <v>0.49646932378967579</v>
      </c>
      <c r="AG301" s="799">
        <f t="shared" si="124"/>
        <v>1</v>
      </c>
      <c r="AH301" s="176">
        <f t="shared" si="119"/>
        <v>7</v>
      </c>
      <c r="AI301" s="224">
        <f t="shared" si="120"/>
        <v>1.4964693237896758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'2023'!Wh/'2023'!Env_an*'2024'!Env_an</f>
        <v>36.955761027045725</v>
      </c>
      <c r="C302" s="829"/>
      <c r="D302" s="391">
        <f t="shared" si="102"/>
        <v>38.47195852927473</v>
      </c>
      <c r="E302" s="383">
        <f t="shared" si="125"/>
        <v>40.615353377529253</v>
      </c>
      <c r="F302" s="383">
        <f t="shared" si="103"/>
        <v>40.793609711418071</v>
      </c>
      <c r="G302" s="110">
        <f t="shared" si="126"/>
        <v>1.0107235166651864</v>
      </c>
      <c r="H302" s="412" t="b">
        <f>Wh_hp&gt;='2023'!Maxi_hp</f>
        <v>1</v>
      </c>
      <c r="I302" s="388">
        <f>IF(H302,Wh_hp,'2023'!Maxi_hp)</f>
        <v>40.793609711418071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3.9410457907290475E-2</v>
      </c>
      <c r="M302" s="832"/>
      <c r="N302" s="832"/>
      <c r="O302" s="48">
        <f>IF(t&lt;Tnet,'2023'!Resal+('2023'!Salim-'2023'!Resal)*(1-EXP(('2023'!Tnet-t)/('2023'!Tau_j))),Resal+(Salim-Resal)*(1-EXP((Tnet-t)/(Tau_j))))*Salcycl</f>
        <v>5.2773019806849043E-2</v>
      </c>
      <c r="P302" s="169">
        <f>(INDEX(Models!$BJ302:$BT302,,T302)*(1-R302)+INDEX(Models!$BJ302:$BT302,,T302+1)*R302-ERP_i)*Q302*Ramure*Pc/MaxiM</f>
        <v>4.3697121963424609E-3</v>
      </c>
      <c r="Q302" s="304">
        <f t="shared" si="105"/>
        <v>0.6</v>
      </c>
      <c r="R302" s="177">
        <f t="shared" si="106"/>
        <v>0.49658179062904195</v>
      </c>
      <c r="S302" s="799">
        <f t="shared" si="107"/>
        <v>1</v>
      </c>
      <c r="T302" s="176">
        <f t="shared" si="108"/>
        <v>7</v>
      </c>
      <c r="U302" s="250">
        <f t="shared" si="109"/>
        <v>1.496581790629042</v>
      </c>
      <c r="V302" s="382">
        <f t="shared" si="110"/>
        <v>36.563669903495217</v>
      </c>
      <c r="W302" s="400">
        <f t="shared" si="111"/>
        <v>36.955761027045725</v>
      </c>
      <c r="X302" s="157">
        <f t="shared" si="112"/>
        <v>45579</v>
      </c>
      <c r="Y302" s="383">
        <f t="shared" si="113"/>
        <v>36.29724283343355</v>
      </c>
      <c r="Z302" s="383">
        <f t="shared" si="114"/>
        <v>37.786423069272168</v>
      </c>
      <c r="AA302" s="384">
        <f t="shared" si="115"/>
        <v>40.615353377529253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6.9651746765847788E-2</v>
      </c>
      <c r="AD302" s="230">
        <f>(INDEX(Models!$BJ302:$BT302,,AH302)*(1-AF302)+INDEX(Models!$BJ302:$BT302,,AH302+1)*AF302-ERP_i)*AE302*Ramure*Pc/MaxiM</f>
        <v>4.3697121963424609E-3</v>
      </c>
      <c r="AE302" s="304">
        <f t="shared" si="117"/>
        <v>0.6</v>
      </c>
      <c r="AF302" s="177">
        <f t="shared" si="118"/>
        <v>0.49658179062904195</v>
      </c>
      <c r="AG302" s="799">
        <f t="shared" si="124"/>
        <v>1</v>
      </c>
      <c r="AH302" s="176">
        <f t="shared" si="119"/>
        <v>7</v>
      </c>
      <c r="AI302" s="224">
        <f t="shared" si="120"/>
        <v>1.496581790629042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'2023'!Wh/'2023'!Env_an*'2024'!Env_an</f>
        <v>32.616756009026716</v>
      </c>
      <c r="C303" s="829"/>
      <c r="D303" s="391">
        <f t="shared" si="102"/>
        <v>33.955586319038368</v>
      </c>
      <c r="E303" s="383">
        <f t="shared" si="125"/>
        <v>35.848580748805489</v>
      </c>
      <c r="F303" s="383">
        <f t="shared" si="103"/>
        <v>35.98848755844589</v>
      </c>
      <c r="G303" s="110">
        <f t="shared" si="126"/>
        <v>0.89968880983972188</v>
      </c>
      <c r="H303" s="412" t="b">
        <f>Wh_hp&gt;='2023'!Maxi_hp</f>
        <v>0</v>
      </c>
      <c r="I303" s="388">
        <f>IF(H303,Wh_hp,'2023'!Maxi_hp)</f>
        <v>38.803370286376357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3.9428867386718913E-2</v>
      </c>
      <c r="M303" s="832"/>
      <c r="N303" s="832"/>
      <c r="O303" s="48">
        <f>IF(t&lt;Tnet,'2023'!Resal+('2023'!Salim-'2023'!Resal)*(1-EXP(('2023'!Tnet-t)/('2023'!Tau_j))),Resal+(Salim-Resal)*(1-EXP((Tnet-t)/(Tau_j))))*Salcycl</f>
        <v>5.2805282391275632E-2</v>
      </c>
      <c r="P303" s="169">
        <f>(INDEX(Models!$BJ303:$BT303,,T303)*(1-R303)+INDEX(Models!$BJ303:$BT303,,T303+1)*R303-ERP_i)*Q303*Ramure*Pc/MaxiM</f>
        <v>4.5334082013530957E-3</v>
      </c>
      <c r="Q303" s="304">
        <f t="shared" si="105"/>
        <v>0.6</v>
      </c>
      <c r="R303" s="177">
        <f t="shared" si="106"/>
        <v>0.49668977700367489</v>
      </c>
      <c r="S303" s="799">
        <f t="shared" si="107"/>
        <v>1</v>
      </c>
      <c r="T303" s="176">
        <f t="shared" si="108"/>
        <v>7</v>
      </c>
      <c r="U303" s="250">
        <f t="shared" si="109"/>
        <v>1.4966897770036749</v>
      </c>
      <c r="V303" s="382">
        <f t="shared" si="110"/>
        <v>36.229869067368433</v>
      </c>
      <c r="W303" s="400">
        <f t="shared" si="111"/>
        <v>32.616756009026716</v>
      </c>
      <c r="X303" s="157">
        <f t="shared" si="112"/>
        <v>45580</v>
      </c>
      <c r="Y303" s="383">
        <f t="shared" si="113"/>
        <v>32.036466139705588</v>
      </c>
      <c r="Z303" s="383">
        <f t="shared" si="114"/>
        <v>33.351477107737772</v>
      </c>
      <c r="AA303" s="384">
        <f t="shared" si="115"/>
        <v>35.848580748805489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6.9656973551203288E-2</v>
      </c>
      <c r="AD303" s="230">
        <f>(INDEX(Models!$BJ303:$BT303,,AH303)*(1-AF303)+INDEX(Models!$BJ303:$BT303,,AH303+1)*AF303-ERP_i)*AE303*Ramure*Pc/MaxiM</f>
        <v>4.5334082013530957E-3</v>
      </c>
      <c r="AE303" s="304">
        <f t="shared" si="117"/>
        <v>0.6</v>
      </c>
      <c r="AF303" s="177">
        <f t="shared" si="118"/>
        <v>0.49668977700367489</v>
      </c>
      <c r="AG303" s="799">
        <f t="shared" si="124"/>
        <v>1</v>
      </c>
      <c r="AH303" s="176">
        <f t="shared" si="119"/>
        <v>7</v>
      </c>
      <c r="AI303" s="224">
        <f t="shared" si="120"/>
        <v>1.4966897770036749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'2023'!Wh/'2023'!Env_an*'2024'!Env_an</f>
        <v>19.362643959059344</v>
      </c>
      <c r="C304" s="829"/>
      <c r="D304" s="391">
        <f t="shared" si="102"/>
        <v>20.157814855571672</v>
      </c>
      <c r="E304" s="383">
        <f t="shared" si="125"/>
        <v>21.282302399097055</v>
      </c>
      <c r="F304" s="383">
        <f t="shared" si="103"/>
        <v>21.316553727430545</v>
      </c>
      <c r="G304" s="110">
        <f t="shared" si="126"/>
        <v>0.53776357698981869</v>
      </c>
      <c r="H304" s="412" t="b">
        <f>Wh_hp&gt;='2023'!Maxi_hp</f>
        <v>0</v>
      </c>
      <c r="I304" s="388">
        <f>IF(H304,Wh_hp,'2023'!Maxi_hp)</f>
        <v>35.6425652403491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3.9447276513334018E-2</v>
      </c>
      <c r="M304" s="832"/>
      <c r="N304" s="832"/>
      <c r="O304" s="48">
        <f>IF(t&lt;Tnet,'2023'!Resal+('2023'!Salim-'2023'!Resal)*(1-EXP(('2023'!Tnet-t)/('2023'!Tau_j))),Resal+(Salim-Resal)*(1-EXP((Tnet-t)/(Tau_j))))*Salcycl</f>
        <v>5.2836743057137051E-2</v>
      </c>
      <c r="P304" s="169">
        <f>(INDEX(Models!$BJ304:$BT304,,T304)*(1-R304)+INDEX(Models!$BJ304:$BT304,,T304+1)*R304-ERP_i)*Q304*Ramure*Pc/MaxiM</f>
        <v>4.6975725753021476E-3</v>
      </c>
      <c r="Q304" s="304">
        <f t="shared" si="105"/>
        <v>0.6</v>
      </c>
      <c r="R304" s="177">
        <f t="shared" si="106"/>
        <v>0.49679345956891963</v>
      </c>
      <c r="S304" s="799">
        <f t="shared" si="107"/>
        <v>1</v>
      </c>
      <c r="T304" s="176">
        <f t="shared" si="108"/>
        <v>7</v>
      </c>
      <c r="U304" s="250">
        <f t="shared" si="109"/>
        <v>1.4967934595689196</v>
      </c>
      <c r="V304" s="382">
        <f t="shared" si="110"/>
        <v>35.89440200408167</v>
      </c>
      <c r="W304" s="400">
        <f t="shared" si="111"/>
        <v>19.362643959059344</v>
      </c>
      <c r="X304" s="157">
        <f t="shared" si="112"/>
        <v>45581</v>
      </c>
      <c r="Y304" s="383">
        <f t="shared" si="113"/>
        <v>19.018704900647499</v>
      </c>
      <c r="Z304" s="383">
        <f t="shared" si="114"/>
        <v>19.799751159532796</v>
      </c>
      <c r="AA304" s="384">
        <f t="shared" si="115"/>
        <v>21.282302399097055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6.966122423047412E-2</v>
      </c>
      <c r="AD304" s="230">
        <f>(INDEX(Models!$BJ304:$BT304,,AH304)*(1-AF304)+INDEX(Models!$BJ304:$BT304,,AH304+1)*AF304-ERP_i)*AE304*Ramure*Pc/MaxiM</f>
        <v>4.6975725753021476E-3</v>
      </c>
      <c r="AE304" s="304">
        <f t="shared" si="117"/>
        <v>0.6</v>
      </c>
      <c r="AF304" s="177">
        <f t="shared" si="118"/>
        <v>0.49679345956891963</v>
      </c>
      <c r="AG304" s="799">
        <f t="shared" si="124"/>
        <v>1</v>
      </c>
      <c r="AH304" s="176">
        <f t="shared" si="119"/>
        <v>7</v>
      </c>
      <c r="AI304" s="224">
        <f t="shared" si="120"/>
        <v>1.4967934595689196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'2023'!Wh/'2023'!Env_an*'2024'!Env_an</f>
        <v>34.153797988480029</v>
      </c>
      <c r="C305" s="829"/>
      <c r="D305" s="391">
        <f t="shared" si="102"/>
        <v>35.55708262092643</v>
      </c>
      <c r="E305" s="383">
        <f t="shared" si="125"/>
        <v>37.541821975423943</v>
      </c>
      <c r="F305" s="383">
        <f t="shared" si="103"/>
        <v>37.714752022814061</v>
      </c>
      <c r="G305" s="110">
        <f t="shared" si="126"/>
        <v>0.96024858074452202</v>
      </c>
      <c r="H305" s="412" t="b">
        <f>Wh_hp&gt;='2023'!Maxi_hp</f>
        <v>0</v>
      </c>
      <c r="I305" s="388">
        <f>IF(H305,Wh_hp,'2023'!Maxi_hp)</f>
        <v>38.775386152374139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3.9465685287142338E-2</v>
      </c>
      <c r="M305" s="832"/>
      <c r="N305" s="832"/>
      <c r="O305" s="48">
        <f>IF(t&lt;Tnet,'2023'!Resal+('2023'!Salim-'2023'!Resal)*(1-EXP(('2023'!Tnet-t)/('2023'!Tau_j))),Resal+(Salim-Resal)*(1-EXP((Tnet-t)/(Tau_j))))*Salcycl</f>
        <v>5.2867422252355953E-2</v>
      </c>
      <c r="P305" s="169">
        <f>(INDEX(Models!$BJ305:$BT305,,T305)*(1-R305)+INDEX(Models!$BJ305:$BT305,,T305+1)*R305-ERP_i)*Q305*Ramure*Pc/MaxiM</f>
        <v>4.8593235788876614E-3</v>
      </c>
      <c r="Q305" s="304">
        <f t="shared" si="105"/>
        <v>0.6</v>
      </c>
      <c r="R305" s="177">
        <f t="shared" si="106"/>
        <v>0.49689300815936033</v>
      </c>
      <c r="S305" s="799">
        <f t="shared" si="107"/>
        <v>1</v>
      </c>
      <c r="T305" s="176">
        <f t="shared" si="108"/>
        <v>7</v>
      </c>
      <c r="U305" s="250">
        <f t="shared" si="109"/>
        <v>1.4968930081593603</v>
      </c>
      <c r="V305" s="382">
        <f t="shared" si="110"/>
        <v>35.557868575951495</v>
      </c>
      <c r="W305" s="400">
        <f t="shared" si="111"/>
        <v>34.153797988480029</v>
      </c>
      <c r="X305" s="157">
        <f t="shared" si="112"/>
        <v>45582</v>
      </c>
      <c r="Y305" s="383">
        <f t="shared" si="113"/>
        <v>33.54809089172533</v>
      </c>
      <c r="Z305" s="383">
        <f t="shared" si="114"/>
        <v>34.926488703065445</v>
      </c>
      <c r="AA305" s="384">
        <f t="shared" si="115"/>
        <v>37.541821975423943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6.9664527045879027E-2</v>
      </c>
      <c r="AD305" s="230">
        <f>(INDEX(Models!$BJ305:$BT305,,AH305)*(1-AF305)+INDEX(Models!$BJ305:$BT305,,AH305+1)*AF305-ERP_i)*AE305*Ramure*Pc/MaxiM</f>
        <v>4.8593235788876614E-3</v>
      </c>
      <c r="AE305" s="304">
        <f t="shared" si="117"/>
        <v>0.6</v>
      </c>
      <c r="AF305" s="177">
        <f t="shared" si="118"/>
        <v>0.49689300815936033</v>
      </c>
      <c r="AG305" s="799">
        <f t="shared" si="124"/>
        <v>1</v>
      </c>
      <c r="AH305" s="176">
        <f t="shared" si="119"/>
        <v>7</v>
      </c>
      <c r="AI305" s="224">
        <f t="shared" si="120"/>
        <v>1.4968930081593603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'2023'!Wh/'2023'!Env_an*'2024'!Env_an</f>
        <v>15.874447911795599</v>
      </c>
      <c r="C306" s="829"/>
      <c r="D306" s="391">
        <f t="shared" si="102"/>
        <v>16.527001591342938</v>
      </c>
      <c r="E306" s="383">
        <f t="shared" si="125"/>
        <v>17.450063595347093</v>
      </c>
      <c r="F306" s="383">
        <f t="shared" si="103"/>
        <v>17.468939002552737</v>
      </c>
      <c r="G306" s="110">
        <f t="shared" si="126"/>
        <v>0.44893589254611876</v>
      </c>
      <c r="H306" s="412" t="b">
        <f>Wh_hp&gt;='2023'!Maxi_hp</f>
        <v>0</v>
      </c>
      <c r="I306" s="388">
        <f>IF(H306,Wh_hp,'2023'!Maxi_hp)</f>
        <v>38.555741543850147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3.9484093708150647E-2</v>
      </c>
      <c r="M306" s="832"/>
      <c r="N306" s="832"/>
      <c r="O306" s="48">
        <f>IF(t&lt;Tnet,'2023'!Resal+('2023'!Salim-'2023'!Resal)*(1-EXP(('2023'!Tnet-t)/('2023'!Tau_j))),Resal+(Salim-Resal)*(1-EXP((Tnet-t)/(Tau_j))))*Salcycl</f>
        <v>5.2897343265286639E-2</v>
      </c>
      <c r="P306" s="169">
        <f>(INDEX(Models!$BJ306:$BT306,,T306)*(1-R306)+INDEX(Models!$BJ306:$BT306,,T306+1)*R306-ERP_i)*Q306*Ramure*Pc/MaxiM</f>
        <v>5.0185458057629183E-3</v>
      </c>
      <c r="Q306" s="304">
        <f t="shared" si="105"/>
        <v>0.6</v>
      </c>
      <c r="R306" s="177">
        <f t="shared" si="106"/>
        <v>0.49698858604079033</v>
      </c>
      <c r="S306" s="799">
        <f t="shared" si="107"/>
        <v>1</v>
      </c>
      <c r="T306" s="176">
        <f t="shared" si="108"/>
        <v>7</v>
      </c>
      <c r="U306" s="250">
        <f t="shared" si="109"/>
        <v>1.4969885860407903</v>
      </c>
      <c r="V306" s="382">
        <f t="shared" si="110"/>
        <v>35.220766371394518</v>
      </c>
      <c r="W306" s="400">
        <f t="shared" si="111"/>
        <v>15.874447911795599</v>
      </c>
      <c r="X306" s="157">
        <f t="shared" si="112"/>
        <v>45583</v>
      </c>
      <c r="Y306" s="383">
        <f t="shared" si="113"/>
        <v>15.59337207077699</v>
      </c>
      <c r="Z306" s="383">
        <f t="shared" si="114"/>
        <v>16.234371517049087</v>
      </c>
      <c r="AA306" s="384">
        <f t="shared" si="115"/>
        <v>17.450063595347093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6.9666913914408823E-2</v>
      </c>
      <c r="AD306" s="230">
        <f>(INDEX(Models!$BJ306:$BT306,,AH306)*(1-AF306)+INDEX(Models!$BJ306:$BT306,,AH306+1)*AF306-ERP_i)*AE306*Ramure*Pc/MaxiM</f>
        <v>5.0185458057629183E-3</v>
      </c>
      <c r="AE306" s="304">
        <f t="shared" si="117"/>
        <v>0.6</v>
      </c>
      <c r="AF306" s="177">
        <f t="shared" si="118"/>
        <v>0.49698858604079033</v>
      </c>
      <c r="AG306" s="799">
        <f t="shared" si="124"/>
        <v>1</v>
      </c>
      <c r="AH306" s="176">
        <f t="shared" si="119"/>
        <v>7</v>
      </c>
      <c r="AI306" s="224">
        <f t="shared" si="120"/>
        <v>1.4969885860407903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'2023'!Wh/'2023'!Env_an*'2024'!Env_an</f>
        <v>6.684536912904937</v>
      </c>
      <c r="C307" s="829"/>
      <c r="D307" s="391">
        <f t="shared" si="102"/>
        <v>6.9594527057774451</v>
      </c>
      <c r="E307" s="383">
        <f t="shared" si="125"/>
        <v>7.3483768076195295</v>
      </c>
      <c r="F307" s="383">
        <f t="shared" si="103"/>
        <v>7.3483768076195295</v>
      </c>
      <c r="G307" s="110">
        <f t="shared" si="126"/>
        <v>0.1906324195663549</v>
      </c>
      <c r="H307" s="412" t="b">
        <f>Wh_hp&gt;='2023'!Maxi_hp</f>
        <v>0</v>
      </c>
      <c r="I307" s="388">
        <f>IF(H307,Wh_hp,'2023'!Maxi_hp)</f>
        <v>31.702695928532638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3.9502501776365939E-2</v>
      </c>
      <c r="M307" s="832"/>
      <c r="N307" s="832"/>
      <c r="O307" s="48">
        <f>IF(t&lt;Tnet,'2023'!Resal+('2023'!Salim-'2023'!Resal)*(1-EXP(('2023'!Tnet-t)/('2023'!Tau_j))),Resal+(Salim-Resal)*(1-EXP((Tnet-t)/(Tau_j))))*Salcycl</f>
        <v>5.292653221576895E-2</v>
      </c>
      <c r="P307" s="169">
        <f>(INDEX(Models!$BJ307:$BT307,,T307)*(1-R307)+INDEX(Models!$BJ307:$BT307,,T307+1)*R307-ERP_i)*Q307*Ramure*Pc/MaxiM</f>
        <v>5.1751193524711102E-3</v>
      </c>
      <c r="Q307" s="304">
        <f t="shared" si="105"/>
        <v>0.6</v>
      </c>
      <c r="R307" s="177">
        <f t="shared" si="106"/>
        <v>0.49708035015378371</v>
      </c>
      <c r="S307" s="799">
        <f t="shared" si="107"/>
        <v>1</v>
      </c>
      <c r="T307" s="176">
        <f t="shared" si="108"/>
        <v>7</v>
      </c>
      <c r="U307" s="250">
        <f t="shared" si="109"/>
        <v>1.4970803501537837</v>
      </c>
      <c r="V307" s="382">
        <f t="shared" si="110"/>
        <v>34.883592474416226</v>
      </c>
      <c r="W307" s="400">
        <f t="shared" si="111"/>
        <v>6.684536912904937</v>
      </c>
      <c r="X307" s="157">
        <f t="shared" si="112"/>
        <v>45584</v>
      </c>
      <c r="Y307" s="383">
        <f t="shared" si="113"/>
        <v>6.5663710330542413</v>
      </c>
      <c r="Z307" s="383">
        <f t="shared" si="114"/>
        <v>6.8364270028794838</v>
      </c>
      <c r="AA307" s="384">
        <f t="shared" si="115"/>
        <v>7.3483768076195295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6.9668420406695186E-2</v>
      </c>
      <c r="AD307" s="230">
        <f>(INDEX(Models!$BJ307:$BT307,,AH307)*(1-AF307)+INDEX(Models!$BJ307:$BT307,,AH307+1)*AF307-ERP_i)*AE307*Ramure*Pc/MaxiM</f>
        <v>5.1751193524711102E-3</v>
      </c>
      <c r="AE307" s="304">
        <f t="shared" si="117"/>
        <v>0.6</v>
      </c>
      <c r="AF307" s="177">
        <f t="shared" si="118"/>
        <v>0.49708035015378371</v>
      </c>
      <c r="AG307" s="799">
        <f t="shared" si="124"/>
        <v>1</v>
      </c>
      <c r="AH307" s="176">
        <f t="shared" si="119"/>
        <v>7</v>
      </c>
      <c r="AI307" s="224">
        <f t="shared" si="120"/>
        <v>1.4970803501537837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'2023'!Wh/'2023'!Env_an*'2024'!Env_an</f>
        <v>16.267656026094095</v>
      </c>
      <c r="C308" s="829"/>
      <c r="D308" s="391">
        <f t="shared" si="102"/>
        <v>16.937022561820278</v>
      </c>
      <c r="E308" s="383">
        <f t="shared" si="125"/>
        <v>17.884074024191147</v>
      </c>
      <c r="F308" s="383">
        <f t="shared" si="103"/>
        <v>17.907370045953321</v>
      </c>
      <c r="G308" s="110">
        <f t="shared" si="126"/>
        <v>0.46898769591723766</v>
      </c>
      <c r="H308" s="412" t="b">
        <f>Wh_hp&gt;='2023'!Maxi_hp</f>
        <v>0</v>
      </c>
      <c r="I308" s="388">
        <f>IF(H308,Wh_hp,'2023'!Maxi_hp)</f>
        <v>24.418087613545492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3.9520909491794654E-2</v>
      </c>
      <c r="M308" s="832"/>
      <c r="N308" s="832"/>
      <c r="O308" s="48">
        <f>IF(t&lt;Tnet,'2023'!Resal+('2023'!Salim-'2023'!Resal)*(1-EXP(('2023'!Tnet-t)/('2023'!Tau_j))),Resal+(Salim-Resal)*(1-EXP((Tnet-t)/(Tau_j))))*Salcycl</f>
        <v>5.2955018028321039E-2</v>
      </c>
      <c r="P308" s="169">
        <f>(INDEX(Models!$BJ308:$BT308,,T308)*(1-R308)+INDEX(Models!$BJ308:$BT308,,T308+1)*R308-ERP_i)*Q308*Ramure*Pc/MaxiM</f>
        <v>5.3289202824484102E-3</v>
      </c>
      <c r="Q308" s="304">
        <f t="shared" si="105"/>
        <v>0.6</v>
      </c>
      <c r="R308" s="177">
        <f t="shared" si="106"/>
        <v>0.49716845134906906</v>
      </c>
      <c r="S308" s="799">
        <f t="shared" si="107"/>
        <v>1</v>
      </c>
      <c r="T308" s="176">
        <f t="shared" si="108"/>
        <v>7</v>
      </c>
      <c r="U308" s="250">
        <f t="shared" si="109"/>
        <v>1.4971684513490691</v>
      </c>
      <c r="V308" s="382">
        <f t="shared" si="110"/>
        <v>34.546843462878527</v>
      </c>
      <c r="W308" s="400">
        <f t="shared" si="111"/>
        <v>16.267656026094095</v>
      </c>
      <c r="X308" s="157">
        <f t="shared" si="112"/>
        <v>45585</v>
      </c>
      <c r="Y308" s="383">
        <f t="shared" si="113"/>
        <v>15.98055381986674</v>
      </c>
      <c r="Z308" s="383">
        <f t="shared" si="114"/>
        <v>16.638106938289688</v>
      </c>
      <c r="AA308" s="384">
        <f t="shared" si="115"/>
        <v>17.884074024191147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6.9669085702512998E-2</v>
      </c>
      <c r="AD308" s="230">
        <f>(INDEX(Models!$BJ308:$BT308,,AH308)*(1-AF308)+INDEX(Models!$BJ308:$BT308,,AH308+1)*AF308-ERP_i)*AE308*Ramure*Pc/MaxiM</f>
        <v>5.3289202824484102E-3</v>
      </c>
      <c r="AE308" s="304">
        <f t="shared" si="117"/>
        <v>0.6</v>
      </c>
      <c r="AF308" s="177">
        <f t="shared" si="118"/>
        <v>0.49716845134906906</v>
      </c>
      <c r="AG308" s="799">
        <f t="shared" si="124"/>
        <v>1</v>
      </c>
      <c r="AH308" s="176">
        <f t="shared" si="119"/>
        <v>7</v>
      </c>
      <c r="AI308" s="224">
        <f t="shared" si="120"/>
        <v>1.4971684513490691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'2023'!Wh/'2023'!Env_an*'2024'!Env_an</f>
        <v>32.865624465390297</v>
      </c>
      <c r="C309" s="829"/>
      <c r="D309" s="391">
        <f t="shared" si="102"/>
        <v>34.218604719720283</v>
      </c>
      <c r="E309" s="383">
        <f t="shared" si="125"/>
        <v>36.133035271131085</v>
      </c>
      <c r="F309" s="383">
        <f t="shared" si="103"/>
        <v>36.320885539453521</v>
      </c>
      <c r="G309" s="110">
        <f t="shared" si="126"/>
        <v>0.96037646102856289</v>
      </c>
      <c r="H309" s="412" t="b">
        <f>Wh_hp&gt;='2023'!Maxi_hp</f>
        <v>0</v>
      </c>
      <c r="I309" s="388">
        <f>IF(H309,Wh_hp,'2023'!Maxi_hp)</f>
        <v>36.326275641473238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3.9539316854443785E-2</v>
      </c>
      <c r="M309" s="832"/>
      <c r="N309" s="832"/>
      <c r="O309" s="48">
        <f>IF(t&lt;Tnet,'2023'!Resal+('2023'!Salim-'2023'!Resal)*(1-EXP(('2023'!Tnet-t)/('2023'!Tau_j))),Resal+(Salim-Resal)*(1-EXP((Tnet-t)/(Tau_j))))*Salcycl</f>
        <v>5.2982832387191044E-2</v>
      </c>
      <c r="P309" s="169">
        <f>(INDEX(Models!$BJ309:$BT309,,T309)*(1-R309)+INDEX(Models!$BJ309:$BT309,,T309+1)*R309-ERP_i)*Q309*Ramure*Pc/MaxiM</f>
        <v>5.4798210908869986E-3</v>
      </c>
      <c r="Q309" s="304">
        <f t="shared" si="105"/>
        <v>0.6</v>
      </c>
      <c r="R309" s="177">
        <f t="shared" si="106"/>
        <v>0.49725303461491488</v>
      </c>
      <c r="S309" s="799">
        <f t="shared" si="107"/>
        <v>1</v>
      </c>
      <c r="T309" s="176">
        <f t="shared" si="108"/>
        <v>7</v>
      </c>
      <c r="U309" s="250">
        <f t="shared" si="109"/>
        <v>1.4972530346149149</v>
      </c>
      <c r="V309" s="382">
        <f t="shared" si="110"/>
        <v>34.211015410543844</v>
      </c>
      <c r="W309" s="400">
        <f t="shared" si="111"/>
        <v>32.865624465390297</v>
      </c>
      <c r="X309" s="157">
        <f t="shared" si="112"/>
        <v>45586</v>
      </c>
      <c r="Y309" s="383">
        <f t="shared" si="113"/>
        <v>32.28654334953449</v>
      </c>
      <c r="Z309" s="383">
        <f t="shared" si="114"/>
        <v>33.61568455232802</v>
      </c>
      <c r="AA309" s="384">
        <f t="shared" si="115"/>
        <v>36.133035271131085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6.9668952522633318E-2</v>
      </c>
      <c r="AD309" s="230">
        <f>(INDEX(Models!$BJ309:$BT309,,AH309)*(1-AF309)+INDEX(Models!$BJ309:$BT309,,AH309+1)*AF309-ERP_i)*AE309*Ramure*Pc/MaxiM</f>
        <v>5.4798210908869986E-3</v>
      </c>
      <c r="AE309" s="304">
        <f t="shared" si="117"/>
        <v>0.6</v>
      </c>
      <c r="AF309" s="177">
        <f t="shared" si="118"/>
        <v>0.49725303461491488</v>
      </c>
      <c r="AG309" s="799">
        <f t="shared" si="124"/>
        <v>1</v>
      </c>
      <c r="AH309" s="176">
        <f t="shared" si="119"/>
        <v>7</v>
      </c>
      <c r="AI309" s="224">
        <f t="shared" si="120"/>
        <v>1.4972530346149149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'2023'!Wh/'2023'!Env_an*'2024'!Env_an</f>
        <v>16.890935775511132</v>
      </c>
      <c r="C310" s="829"/>
      <c r="D310" s="391">
        <f t="shared" si="102"/>
        <v>17.586622533393125</v>
      </c>
      <c r="E310" s="383">
        <f t="shared" si="125"/>
        <v>18.571075421106457</v>
      </c>
      <c r="F310" s="383">
        <f t="shared" si="103"/>
        <v>18.600763232859443</v>
      </c>
      <c r="G310" s="110">
        <f t="shared" si="126"/>
        <v>0.49658840754334238</v>
      </c>
      <c r="H310" s="412" t="b">
        <f>Wh_hp&gt;='2023'!Maxi_hp</f>
        <v>0</v>
      </c>
      <c r="I310" s="388">
        <f>IF(H310,Wh_hp,'2023'!Maxi_hp)</f>
        <v>37.404529448025627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3.9557723864319994E-2</v>
      </c>
      <c r="M310" s="832"/>
      <c r="N310" s="832"/>
      <c r="O310" s="48">
        <f>IF(t&lt;Tnet,'2023'!Resal+('2023'!Salim-'2023'!Resal)*(1-EXP(('2023'!Tnet-t)/('2023'!Tau_j))),Resal+(Salim-Resal)*(1-EXP((Tnet-t)/(Tau_j))))*Salcycl</f>
        <v>5.3010009673132755E-2</v>
      </c>
      <c r="P310" s="169">
        <f>(INDEX(Models!$BJ310:$BT310,,T310)*(1-R310)+INDEX(Models!$BJ310:$BT310,,T310+1)*R310-ERP_i)*Q310*Ramure*Pc/MaxiM</f>
        <v>5.625545337319255E-3</v>
      </c>
      <c r="Q310" s="304">
        <f t="shared" si="105"/>
        <v>0.6</v>
      </c>
      <c r="R310" s="177">
        <f t="shared" si="106"/>
        <v>0.49733423929673659</v>
      </c>
      <c r="S310" s="799">
        <f t="shared" si="107"/>
        <v>1</v>
      </c>
      <c r="T310" s="176">
        <f t="shared" si="108"/>
        <v>7</v>
      </c>
      <c r="U310" s="250">
        <f t="shared" si="109"/>
        <v>1.4973342392967366</v>
      </c>
      <c r="V310" s="382">
        <f t="shared" si="110"/>
        <v>33.876676995875599</v>
      </c>
      <c r="W310" s="400">
        <f t="shared" si="111"/>
        <v>16.890935775511132</v>
      </c>
      <c r="X310" s="157">
        <f t="shared" si="112"/>
        <v>45587</v>
      </c>
      <c r="Y310" s="383">
        <f t="shared" si="113"/>
        <v>16.59381523574741</v>
      </c>
      <c r="Z310" s="383">
        <f t="shared" si="114"/>
        <v>17.277264493720839</v>
      </c>
      <c r="AA310" s="384">
        <f t="shared" si="115"/>
        <v>18.571075421106457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6.9668067036934872E-2</v>
      </c>
      <c r="AD310" s="230">
        <f>(INDEX(Models!$BJ310:$BT310,,AH310)*(1-AF310)+INDEX(Models!$BJ310:$BT310,,AH310+1)*AF310-ERP_i)*AE310*Ramure*Pc/MaxiM</f>
        <v>5.625545337319255E-3</v>
      </c>
      <c r="AE310" s="304">
        <f t="shared" si="117"/>
        <v>0.6</v>
      </c>
      <c r="AF310" s="177">
        <f t="shared" si="118"/>
        <v>0.49733423929673659</v>
      </c>
      <c r="AG310" s="799">
        <f t="shared" si="124"/>
        <v>1</v>
      </c>
      <c r="AH310" s="176">
        <f t="shared" si="119"/>
        <v>7</v>
      </c>
      <c r="AI310" s="224">
        <f t="shared" si="120"/>
        <v>1.4973342392967366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'2023'!Wh/'2023'!Env_an*'2024'!Env_an</f>
        <v>24.990471026491669</v>
      </c>
      <c r="C311" s="829"/>
      <c r="D311" s="391">
        <f t="shared" si="102"/>
        <v>26.020251912376363</v>
      </c>
      <c r="E311" s="383">
        <f t="shared" si="125"/>
        <v>27.47756835366966</v>
      </c>
      <c r="F311" s="383">
        <f t="shared" si="103"/>
        <v>27.578672538705121</v>
      </c>
      <c r="G311" s="110">
        <f t="shared" si="126"/>
        <v>0.74342835906654858</v>
      </c>
      <c r="H311" s="412" t="b">
        <f>Wh_hp&gt;='2023'!Maxi_hp</f>
        <v>0</v>
      </c>
      <c r="I311" s="388">
        <f>IF(H311,Wh_hp,'2023'!Maxi_hp)</f>
        <v>38.420312161688102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3.9576130521429942E-2</v>
      </c>
      <c r="M311" s="832"/>
      <c r="N311" s="832"/>
      <c r="O311" s="48">
        <f>IF(t&lt;Tnet,'2023'!Resal+('2023'!Salim-'2023'!Resal)*(1-EXP(('2023'!Tnet-t)/('2023'!Tau_j))),Resal+(Salim-Resal)*(1-EXP((Tnet-t)/(Tau_j))))*Salcycl</f>
        <v>5.3036586881919999E-2</v>
      </c>
      <c r="P311" s="169">
        <f>(INDEX(Models!$BJ311:$BT311,,T311)*(1-R311)+INDEX(Models!$BJ311:$BT311,,T311+1)*R311-ERP_i)*Q311*Ramure*Pc/MaxiM</f>
        <v>5.7667960970605352E-3</v>
      </c>
      <c r="Q311" s="304">
        <f t="shared" si="105"/>
        <v>0.6</v>
      </c>
      <c r="R311" s="177">
        <f t="shared" si="106"/>
        <v>0.49741219930912939</v>
      </c>
      <c r="S311" s="799">
        <f t="shared" si="107"/>
        <v>1</v>
      </c>
      <c r="T311" s="176">
        <f t="shared" si="108"/>
        <v>7</v>
      </c>
      <c r="U311" s="250">
        <f t="shared" si="109"/>
        <v>1.4974121993091294</v>
      </c>
      <c r="V311" s="382">
        <f t="shared" si="110"/>
        <v>33.544292958178787</v>
      </c>
      <c r="W311" s="400">
        <f t="shared" si="111"/>
        <v>24.990471026491669</v>
      </c>
      <c r="X311" s="157">
        <f t="shared" si="112"/>
        <v>45588</v>
      </c>
      <c r="Y311" s="383">
        <f t="shared" si="113"/>
        <v>24.551606308892392</v>
      </c>
      <c r="Z311" s="383">
        <f t="shared" si="114"/>
        <v>25.563302921887878</v>
      </c>
      <c r="AA311" s="384">
        <f t="shared" si="115"/>
        <v>27.47756835366966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6.9666478748878422E-2</v>
      </c>
      <c r="AD311" s="230">
        <f>(INDEX(Models!$BJ311:$BT311,,AH311)*(1-AF311)+INDEX(Models!$BJ311:$BT311,,AH311+1)*AF311-ERP_i)*AE311*Ramure*Pc/MaxiM</f>
        <v>5.7667960970605352E-3</v>
      </c>
      <c r="AE311" s="304">
        <f t="shared" si="117"/>
        <v>0.6</v>
      </c>
      <c r="AF311" s="177">
        <f t="shared" si="118"/>
        <v>0.49741219930912939</v>
      </c>
      <c r="AG311" s="799">
        <f t="shared" si="124"/>
        <v>1</v>
      </c>
      <c r="AH311" s="176">
        <f t="shared" si="119"/>
        <v>7</v>
      </c>
      <c r="AI311" s="224">
        <f t="shared" si="120"/>
        <v>1.4974121993091294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'2023'!Wh/'2023'!Env_an*'2024'!Env_an</f>
        <v>22.095110474249214</v>
      </c>
      <c r="C312" s="829"/>
      <c r="D312" s="391">
        <f t="shared" si="102"/>
        <v>23.006023311469981</v>
      </c>
      <c r="E312" s="383">
        <f t="shared" si="125"/>
        <v>24.295189309351205</v>
      </c>
      <c r="F312" s="383">
        <f t="shared" si="103"/>
        <v>24.370253794777799</v>
      </c>
      <c r="G312" s="110">
        <f t="shared" si="126"/>
        <v>0.66334379254065501</v>
      </c>
      <c r="H312" s="412" t="b">
        <f>Wh_hp&gt;='2023'!Maxi_hp</f>
        <v>0</v>
      </c>
      <c r="I312" s="388">
        <f>IF(H312,Wh_hp,'2023'!Maxi_hp)</f>
        <v>35.228620832517834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3.9594536825780624E-2</v>
      </c>
      <c r="M312" s="832"/>
      <c r="N312" s="832"/>
      <c r="O312" s="48">
        <f>IF(t&lt;Tnet,'2023'!Resal+('2023'!Salim-'2023'!Resal)*(1-EXP(('2023'!Tnet-t)/('2023'!Tau_j))),Resal+(Salim-Resal)*(1-EXP((Tnet-t)/(Tau_j))))*Salcycl</f>
        <v>5.3062603524765446E-2</v>
      </c>
      <c r="P312" s="169">
        <f>(INDEX(Models!$BJ312:$BT312,,T312)*(1-R312)+INDEX(Models!$BJ312:$BT312,,T312+1)*R312-ERP_i)*Q312*Ramure*Pc/MaxiM</f>
        <v>5.9034886996207321E-3</v>
      </c>
      <c r="Q312" s="304">
        <f t="shared" si="105"/>
        <v>0.6</v>
      </c>
      <c r="R312" s="177">
        <f t="shared" si="106"/>
        <v>0.49748704334053762</v>
      </c>
      <c r="S312" s="799">
        <f t="shared" si="107"/>
        <v>1</v>
      </c>
      <c r="T312" s="176">
        <f t="shared" si="108"/>
        <v>7</v>
      </c>
      <c r="U312" s="250">
        <f t="shared" si="109"/>
        <v>1.4974870433405376</v>
      </c>
      <c r="V312" s="382">
        <f t="shared" si="110"/>
        <v>33.214354921938373</v>
      </c>
      <c r="W312" s="400">
        <f t="shared" si="111"/>
        <v>22.095110474249214</v>
      </c>
      <c r="X312" s="157">
        <f t="shared" si="112"/>
        <v>45589</v>
      </c>
      <c r="Y312" s="383">
        <f t="shared" si="113"/>
        <v>21.707740621480564</v>
      </c>
      <c r="Z312" s="383">
        <f t="shared" si="114"/>
        <v>22.602683401794373</v>
      </c>
      <c r="AA312" s="384">
        <f t="shared" si="115"/>
        <v>24.295189309351205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6.9664240356644896E-2</v>
      </c>
      <c r="AD312" s="230">
        <f>(INDEX(Models!$BJ312:$BT312,,AH312)*(1-AF312)+INDEX(Models!$BJ312:$BT312,,AH312+1)*AF312-ERP_i)*AE312*Ramure*Pc/MaxiM</f>
        <v>5.9034886996207321E-3</v>
      </c>
      <c r="AE312" s="304">
        <f t="shared" si="117"/>
        <v>0.6</v>
      </c>
      <c r="AF312" s="177">
        <f t="shared" si="118"/>
        <v>0.49748704334053762</v>
      </c>
      <c r="AG312" s="799">
        <f t="shared" si="124"/>
        <v>1</v>
      </c>
      <c r="AH312" s="176">
        <f t="shared" si="119"/>
        <v>7</v>
      </c>
      <c r="AI312" s="224">
        <f t="shared" si="120"/>
        <v>1.4974870433405376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'2023'!Wh/'2023'!Env_an*'2024'!Env_an</f>
        <v>12.316818704341305</v>
      </c>
      <c r="C313" s="829"/>
      <c r="D313" s="391">
        <f t="shared" si="102"/>
        <v>12.824848702106385</v>
      </c>
      <c r="E313" s="383">
        <f t="shared" si="125"/>
        <v>13.543866881988327</v>
      </c>
      <c r="F313" s="383">
        <f t="shared" si="103"/>
        <v>13.552574152990257</v>
      </c>
      <c r="G313" s="110">
        <f t="shared" si="126"/>
        <v>0.37249426214050291</v>
      </c>
      <c r="H313" s="412" t="b">
        <f>Wh_hp&gt;='2023'!Maxi_hp</f>
        <v>0</v>
      </c>
      <c r="I313" s="388">
        <f>IF(H313,Wh_hp,'2023'!Maxi_hp)</f>
        <v>35.899581400046522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3.9612942777378701E-2</v>
      </c>
      <c r="M313" s="832"/>
      <c r="N313" s="832"/>
      <c r="O313" s="48">
        <f>IF(t&lt;Tnet,'2023'!Resal+('2023'!Salim-'2023'!Resal)*(1-EXP(('2023'!Tnet-t)/('2023'!Tau_j))),Resal+(Salim-Resal)*(1-EXP((Tnet-t)/(Tau_j))))*Salcycl</f>
        <v>5.3088101510961272E-2</v>
      </c>
      <c r="P313" s="169">
        <f>(INDEX(Models!$BJ313:$BT313,,T313)*(1-R313)+INDEX(Models!$BJ313:$BT313,,T313+1)*R313-ERP_i)*Q313*Ramure*Pc/MaxiM</f>
        <v>6.0354923420973894E-3</v>
      </c>
      <c r="Q313" s="304">
        <f t="shared" si="105"/>
        <v>0.6</v>
      </c>
      <c r="R313" s="177">
        <f t="shared" si="106"/>
        <v>0.497558895050767</v>
      </c>
      <c r="S313" s="799">
        <f t="shared" si="107"/>
        <v>1</v>
      </c>
      <c r="T313" s="176">
        <f t="shared" si="108"/>
        <v>7</v>
      </c>
      <c r="U313" s="250">
        <f t="shared" si="109"/>
        <v>1.497558895050767</v>
      </c>
      <c r="V313" s="382">
        <f t="shared" si="110"/>
        <v>32.887355597232386</v>
      </c>
      <c r="W313" s="400">
        <f t="shared" si="111"/>
        <v>12.316818704341305</v>
      </c>
      <c r="X313" s="157">
        <f t="shared" si="112"/>
        <v>45590</v>
      </c>
      <c r="Y313" s="383">
        <f t="shared" si="113"/>
        <v>12.1012438376082</v>
      </c>
      <c r="Z313" s="383">
        <f t="shared" si="114"/>
        <v>12.600382050757986</v>
      </c>
      <c r="AA313" s="384">
        <f t="shared" si="115"/>
        <v>13.543866881988327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6.9661407591436159E-2</v>
      </c>
      <c r="AD313" s="230">
        <f>(INDEX(Models!$BJ313:$BT313,,AH313)*(1-AF313)+INDEX(Models!$BJ313:$BT313,,AH313+1)*AF313-ERP_i)*AE313*Ramure*Pc/MaxiM</f>
        <v>6.0354923420973894E-3</v>
      </c>
      <c r="AE313" s="304">
        <f t="shared" si="117"/>
        <v>0.6</v>
      </c>
      <c r="AF313" s="177">
        <f t="shared" si="118"/>
        <v>0.497558895050767</v>
      </c>
      <c r="AG313" s="799">
        <f t="shared" si="124"/>
        <v>1</v>
      </c>
      <c r="AH313" s="176">
        <f t="shared" si="119"/>
        <v>7</v>
      </c>
      <c r="AI313" s="224">
        <f t="shared" si="120"/>
        <v>1.497558895050767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'2023'!Wh/'2023'!Env_an*'2024'!Env_an</f>
        <v>14.248682861719072</v>
      </c>
      <c r="C314" s="829"/>
      <c r="D314" s="391">
        <f t="shared" si="102"/>
        <v>14.836680515995319</v>
      </c>
      <c r="E314" s="383">
        <f t="shared" si="125"/>
        <v>15.668905027543376</v>
      </c>
      <c r="F314" s="383">
        <f t="shared" si="103"/>
        <v>15.687904230520205</v>
      </c>
      <c r="G314" s="110">
        <f t="shared" si="126"/>
        <v>0.43539295335997474</v>
      </c>
      <c r="H314" s="412" t="b">
        <f>Wh_hp&gt;='2023'!Maxi_hp</f>
        <v>0</v>
      </c>
      <c r="I314" s="388">
        <f>IF(H314,Wh_hp,'2023'!Maxi_hp)</f>
        <v>30.879725572368368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3.9631348376230835E-2</v>
      </c>
      <c r="M314" s="832"/>
      <c r="N314" s="832"/>
      <c r="O314" s="48">
        <f>IF(t&lt;Tnet,'2023'!Resal+('2023'!Salim-'2023'!Resal)*(1-EXP(('2023'!Tnet-t)/('2023'!Tau_j))),Resal+(Salim-Resal)*(1-EXP((Tnet-t)/(Tau_j))))*Salcycl</f>
        <v>5.3113125013211922E-2</v>
      </c>
      <c r="P314" s="169">
        <f>(INDEX(Models!$BJ314:$BT314,,T314)*(1-R314)+INDEX(Models!$BJ314:$BT314,,T314+1)*R314-ERP_i)*Q314*Ramure*Pc/MaxiM</f>
        <v>6.1626759777136299E-3</v>
      </c>
      <c r="Q314" s="304">
        <f t="shared" si="105"/>
        <v>0.6</v>
      </c>
      <c r="R314" s="177">
        <f t="shared" si="106"/>
        <v>0.49762787326154445</v>
      </c>
      <c r="S314" s="799">
        <f t="shared" si="107"/>
        <v>1</v>
      </c>
      <c r="T314" s="176">
        <f t="shared" si="108"/>
        <v>7</v>
      </c>
      <c r="U314" s="250">
        <f t="shared" si="109"/>
        <v>1.4976278732615445</v>
      </c>
      <c r="V314" s="382">
        <f t="shared" si="110"/>
        <v>32.563787235360991</v>
      </c>
      <c r="W314" s="400">
        <f t="shared" si="111"/>
        <v>14.248682861719072</v>
      </c>
      <c r="X314" s="157">
        <f t="shared" si="112"/>
        <v>45591</v>
      </c>
      <c r="Y314" s="383">
        <f t="shared" si="113"/>
        <v>13.999716233203197</v>
      </c>
      <c r="Z314" s="383">
        <f t="shared" si="114"/>
        <v>14.577439829520465</v>
      </c>
      <c r="AA314" s="384">
        <f t="shared" si="115"/>
        <v>15.668905027543376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6.965803903363349E-2</v>
      </c>
      <c r="AD314" s="230">
        <f>(INDEX(Models!$BJ314:$BT314,,AH314)*(1-AF314)+INDEX(Models!$BJ314:$BT314,,AH314+1)*AF314-ERP_i)*AE314*Ramure*Pc/MaxiM</f>
        <v>6.1626759777136299E-3</v>
      </c>
      <c r="AE314" s="304">
        <f t="shared" si="117"/>
        <v>0.6</v>
      </c>
      <c r="AF314" s="177">
        <f t="shared" si="118"/>
        <v>0.49762787326154445</v>
      </c>
      <c r="AG314" s="799">
        <f t="shared" si="124"/>
        <v>1</v>
      </c>
      <c r="AH314" s="176">
        <f t="shared" si="119"/>
        <v>7</v>
      </c>
      <c r="AI314" s="224">
        <f t="shared" si="120"/>
        <v>1.4976278732615445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'2023'!Wh/'2023'!Env_an*'2024'!Env_an</f>
        <v>17.14032259321592</v>
      </c>
      <c r="C315" s="829"/>
      <c r="D315" s="391">
        <f t="shared" si="102"/>
        <v>17.847991040630731</v>
      </c>
      <c r="E315" s="383">
        <f t="shared" si="125"/>
        <v>18.849616700955117</v>
      </c>
      <c r="F315" s="383">
        <f t="shared" si="103"/>
        <v>18.888890904867946</v>
      </c>
      <c r="G315" s="110">
        <f t="shared" si="126"/>
        <v>0.52933912017714502</v>
      </c>
      <c r="H315" s="412" t="b">
        <f>Wh_hp&gt;='2023'!Maxi_hp</f>
        <v>0</v>
      </c>
      <c r="I315" s="388">
        <f>IF(H315,Wh_hp,'2023'!Maxi_hp)</f>
        <v>35.461193234664123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3.9649753622343908E-2</v>
      </c>
      <c r="M315" s="832"/>
      <c r="N315" s="832"/>
      <c r="O315" s="48">
        <f>IF(t&lt;Tnet,'2023'!Resal+('2023'!Salim-'2023'!Resal)*(1-EXP(('2023'!Tnet-t)/('2023'!Tau_j))),Resal+(Salim-Resal)*(1-EXP((Tnet-t)/(Tau_j))))*Salcycl</f>
        <v>5.3137720316277559E-2</v>
      </c>
      <c r="P315" s="169">
        <f>(INDEX(Models!$BJ315:$BT315,,T315)*(1-R315)+INDEX(Models!$BJ315:$BT315,,T315+1)*R315-ERP_i)*Q315*Ramure*Pc/MaxiM</f>
        <v>6.2849088406363648E-3</v>
      </c>
      <c r="Q315" s="304">
        <f t="shared" si="105"/>
        <v>0.6</v>
      </c>
      <c r="R315" s="177">
        <f t="shared" si="106"/>
        <v>0.49769409214032656</v>
      </c>
      <c r="S315" s="799">
        <f t="shared" si="107"/>
        <v>1</v>
      </c>
      <c r="T315" s="176">
        <f t="shared" si="108"/>
        <v>7</v>
      </c>
      <c r="U315" s="250">
        <f t="shared" si="109"/>
        <v>1.4976940921403266</v>
      </c>
      <c r="V315" s="382">
        <f t="shared" si="110"/>
        <v>32.244141652141501</v>
      </c>
      <c r="W315" s="400">
        <f t="shared" si="111"/>
        <v>17.14032259321592</v>
      </c>
      <c r="X315" s="157">
        <f t="shared" si="112"/>
        <v>45592</v>
      </c>
      <c r="Y315" s="383">
        <f t="shared" si="113"/>
        <v>16.841337486496347</v>
      </c>
      <c r="Z315" s="383">
        <f t="shared" si="114"/>
        <v>17.536661806481714</v>
      </c>
      <c r="AA315" s="384">
        <f t="shared" si="115"/>
        <v>18.849616700955117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6.965419590770118E-2</v>
      </c>
      <c r="AD315" s="230">
        <f>(INDEX(Models!$BJ315:$BT315,,AH315)*(1-AF315)+INDEX(Models!$BJ315:$BT315,,AH315+1)*AF315-ERP_i)*AE315*Ramure*Pc/MaxiM</f>
        <v>6.2849088406363648E-3</v>
      </c>
      <c r="AE315" s="304">
        <f t="shared" si="117"/>
        <v>0.6</v>
      </c>
      <c r="AF315" s="177">
        <f t="shared" si="118"/>
        <v>0.49769409214032656</v>
      </c>
      <c r="AG315" s="799">
        <f t="shared" si="124"/>
        <v>1</v>
      </c>
      <c r="AH315" s="176">
        <f t="shared" si="119"/>
        <v>7</v>
      </c>
      <c r="AI315" s="224">
        <f t="shared" si="120"/>
        <v>1.4976940921403266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'2023'!Wh/'2023'!Env_an*'2024'!Env_an</f>
        <v>26.619832549725906</v>
      </c>
      <c r="C316" s="829"/>
      <c r="D316" s="391">
        <f t="shared" si="102"/>
        <v>27.719410520203798</v>
      </c>
      <c r="E316" s="383">
        <f t="shared" si="125"/>
        <v>29.275766959394563</v>
      </c>
      <c r="F316" s="383">
        <f t="shared" si="103"/>
        <v>29.419372173804931</v>
      </c>
      <c r="G316" s="110">
        <f t="shared" si="126"/>
        <v>0.83244782726536515</v>
      </c>
      <c r="H316" s="412" t="b">
        <f>Wh_hp&gt;='2023'!Maxi_hp</f>
        <v>0</v>
      </c>
      <c r="I316" s="388">
        <f>IF(H316,Wh_hp,'2023'!Maxi_hp)</f>
        <v>29.777598995663187</v>
      </c>
      <c r="J316" s="85">
        <f>IF(H316,An,'2023'!An_max)</f>
        <v>2018</v>
      </c>
      <c r="K316" s="197">
        <f t="shared" si="104"/>
        <v>45593</v>
      </c>
      <c r="L316" s="147">
        <f>IF(t&lt;Tvie,1-EXP((T0-t)*PertePVj)+'2023'!Pspv,1-EXP((T0-t)*PertePVj)+Pspv)</f>
        <v>3.9668158515724694E-2</v>
      </c>
      <c r="M316" s="832"/>
      <c r="N316" s="832"/>
      <c r="O316" s="48">
        <f>IF(t&lt;Tnet,'2023'!Resal+('2023'!Salim-'2023'!Resal)*(1-EXP(('2023'!Tnet-t)/('2023'!Tau_j))),Resal+(Salim-Resal)*(1-EXP((Tnet-t)/(Tau_j))))*Salcycl</f>
        <v>5.3161935649693695E-2</v>
      </c>
      <c r="P316" s="169">
        <f>(INDEX(Models!$BJ316:$BT316,,T316)*(1-R316)+INDEX(Models!$BJ316:$BT316,,T316+1)*R316-ERP_i)*Q316*Ramure*Pc/MaxiM</f>
        <v>6.4020609545371431E-3</v>
      </c>
      <c r="Q316" s="304">
        <f t="shared" si="105"/>
        <v>0.6</v>
      </c>
      <c r="R316" s="177">
        <f t="shared" si="106"/>
        <v>0.49775766137756272</v>
      </c>
      <c r="S316" s="799">
        <f t="shared" si="107"/>
        <v>1</v>
      </c>
      <c r="T316" s="176">
        <f t="shared" si="108"/>
        <v>7</v>
      </c>
      <c r="U316" s="250">
        <f t="shared" si="109"/>
        <v>1.4977576613775627</v>
      </c>
      <c r="V316" s="382">
        <f t="shared" si="110"/>
        <v>31.928910250335544</v>
      </c>
      <c r="W316" s="400">
        <f t="shared" si="111"/>
        <v>26.619832549725906</v>
      </c>
      <c r="X316" s="157">
        <f t="shared" si="112"/>
        <v>45593</v>
      </c>
      <c r="Y316" s="383">
        <f t="shared" si="113"/>
        <v>26.156281303910621</v>
      </c>
      <c r="Z316" s="383">
        <f t="shared" si="114"/>
        <v>27.236711492856305</v>
      </c>
      <c r="AA316" s="384">
        <f t="shared" si="115"/>
        <v>29.275766959394563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6.9649941856909356E-2</v>
      </c>
      <c r="AD316" s="230">
        <f>(INDEX(Models!$BJ316:$BT316,,AH316)*(1-AF316)+INDEX(Models!$BJ316:$BT316,,AH316+1)*AF316-ERP_i)*AE316*Ramure*Pc/MaxiM</f>
        <v>6.4020609545371431E-3</v>
      </c>
      <c r="AE316" s="304">
        <f t="shared" si="117"/>
        <v>0.6</v>
      </c>
      <c r="AF316" s="177">
        <f t="shared" si="118"/>
        <v>0.49775766137756272</v>
      </c>
      <c r="AG316" s="799">
        <f t="shared" si="124"/>
        <v>1</v>
      </c>
      <c r="AH316" s="176">
        <f t="shared" si="119"/>
        <v>7</v>
      </c>
      <c r="AI316" s="224">
        <f t="shared" si="120"/>
        <v>1.4977576613775627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'2023'!Wh/'2023'!Env_an*'2024'!Env_an</f>
        <v>22.886210423460106</v>
      </c>
      <c r="C317" s="829"/>
      <c r="D317" s="391">
        <f t="shared" si="102"/>
        <v>23.832021445310414</v>
      </c>
      <c r="E317" s="383">
        <f t="shared" si="125"/>
        <v>25.170748362280492</v>
      </c>
      <c r="F317" s="383">
        <f t="shared" si="103"/>
        <v>25.270430173170023</v>
      </c>
      <c r="G317" s="110">
        <f t="shared" si="126"/>
        <v>0.7219973500409238</v>
      </c>
      <c r="H317" s="412" t="b">
        <f>Wh_hp&gt;='2023'!Maxi_hp</f>
        <v>0</v>
      </c>
      <c r="I317" s="388">
        <f>IF(H317,Wh_hp,'2023'!Maxi_hp)</f>
        <v>28.491037803008169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3.9686563056379853E-2</v>
      </c>
      <c r="M317" s="832"/>
      <c r="N317" s="832"/>
      <c r="O317" s="48">
        <f>IF(t&lt;Tnet,'2023'!Resal+('2023'!Salim-'2023'!Resal)*(1-EXP(('2023'!Tnet-t)/('2023'!Tau_j))),Resal+(Salim-Resal)*(1-EXP((Tnet-t)/(Tau_j))))*Salcycl</f>
        <v>5.3185821005473942E-2</v>
      </c>
      <c r="P317" s="169">
        <f>(INDEX(Models!$BJ317:$BT317,,T317)*(1-R317)+INDEX(Models!$BJ317:$BT317,,T317+1)*R317-ERP_i)*Q317*Ramure*Pc/MaxiM</f>
        <v>6.5143917703614626E-3</v>
      </c>
      <c r="Q317" s="304">
        <f t="shared" si="105"/>
        <v>0.6</v>
      </c>
      <c r="R317" s="177">
        <f t="shared" si="106"/>
        <v>0.49781868635760529</v>
      </c>
      <c r="S317" s="799">
        <f t="shared" si="107"/>
        <v>1</v>
      </c>
      <c r="T317" s="176">
        <f t="shared" si="108"/>
        <v>7</v>
      </c>
      <c r="U317" s="250">
        <f t="shared" si="109"/>
        <v>1.4978186863576053</v>
      </c>
      <c r="V317" s="382">
        <f t="shared" si="110"/>
        <v>31.616687762900931</v>
      </c>
      <c r="W317" s="400">
        <f t="shared" si="111"/>
        <v>22.886210423460106</v>
      </c>
      <c r="X317" s="157">
        <f t="shared" si="112"/>
        <v>45594</v>
      </c>
      <c r="Y317" s="383">
        <f t="shared" si="113"/>
        <v>22.488354027445215</v>
      </c>
      <c r="Z317" s="383">
        <f t="shared" si="114"/>
        <v>23.417722966595857</v>
      </c>
      <c r="AA317" s="384">
        <f t="shared" si="115"/>
        <v>25.170748362280492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6.9645342699131738E-2</v>
      </c>
      <c r="AD317" s="230">
        <f>(INDEX(Models!$BJ317:$BT317,,AH317)*(1-AF317)+INDEX(Models!$BJ317:$BT317,,AH317+1)*AF317-ERP_i)*AE317*Ramure*Pc/MaxiM</f>
        <v>6.5143917703614626E-3</v>
      </c>
      <c r="AE317" s="304">
        <f t="shared" si="117"/>
        <v>0.6</v>
      </c>
      <c r="AF317" s="177">
        <f t="shared" si="118"/>
        <v>0.49781868635760529</v>
      </c>
      <c r="AG317" s="799">
        <f t="shared" si="124"/>
        <v>1</v>
      </c>
      <c r="AH317" s="176">
        <f t="shared" si="119"/>
        <v>7</v>
      </c>
      <c r="AI317" s="224">
        <f t="shared" si="120"/>
        <v>1.4978186863576053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'2023'!Wh/'2023'!Env_an*'2024'!Env_an</f>
        <v>21.767749900620746</v>
      </c>
      <c r="C318" s="829"/>
      <c r="D318" s="391">
        <f t="shared" si="102"/>
        <v>22.667773088605415</v>
      </c>
      <c r="E318" s="383">
        <f t="shared" si="125"/>
        <v>23.941697094986406</v>
      </c>
      <c r="F318" s="383">
        <f t="shared" si="103"/>
        <v>24.031626075593003</v>
      </c>
      <c r="G318" s="110">
        <f t="shared" si="126"/>
        <v>0.69331326692454831</v>
      </c>
      <c r="H318" s="412" t="b">
        <f>Wh_hp&gt;='2023'!Maxi_hp</f>
        <v>0</v>
      </c>
      <c r="I318" s="388">
        <f>IF(H318,Wh_hp,'2023'!Maxi_hp)</f>
        <v>34.120858369867321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3.9704967244316158E-2</v>
      </c>
      <c r="M318" s="832"/>
      <c r="N318" s="832"/>
      <c r="O318" s="48">
        <f>IF(t&lt;Tnet,'2023'!Resal+('2023'!Salim-'2023'!Resal)*(1-EXP(('2023'!Tnet-t)/('2023'!Tau_j))),Resal+(Salim-Resal)*(1-EXP((Tnet-t)/(Tau_j))))*Salcycl</f>
        <v>5.3209427941837917E-2</v>
      </c>
      <c r="P318" s="169">
        <f>(INDEX(Models!$BJ318:$BT318,,T318)*(1-R318)+INDEX(Models!$BJ318:$BT318,,T318+1)*R318-ERP_i)*Q318*Ramure*Pc/MaxiM</f>
        <v>6.6261160513078968E-3</v>
      </c>
      <c r="Q318" s="304">
        <f t="shared" si="105"/>
        <v>0.6</v>
      </c>
      <c r="R318" s="177">
        <f t="shared" si="106"/>
        <v>0.49787726832346624</v>
      </c>
      <c r="S318" s="799">
        <f t="shared" si="107"/>
        <v>1</v>
      </c>
      <c r="T318" s="176">
        <f t="shared" si="108"/>
        <v>7</v>
      </c>
      <c r="U318" s="250">
        <f t="shared" si="109"/>
        <v>1.4978772683234662</v>
      </c>
      <c r="V318" s="382">
        <f t="shared" si="110"/>
        <v>31.305813404857325</v>
      </c>
      <c r="W318" s="400">
        <f t="shared" si="111"/>
        <v>21.767749900620746</v>
      </c>
      <c r="X318" s="157">
        <f t="shared" si="112"/>
        <v>45595</v>
      </c>
      <c r="Y318" s="383">
        <f t="shared" si="113"/>
        <v>21.389982376093176</v>
      </c>
      <c r="Z318" s="383">
        <f t="shared" si="114"/>
        <v>22.274386148506892</v>
      </c>
      <c r="AA318" s="384">
        <f t="shared" si="115"/>
        <v>23.941697094986406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6.9640466165143369E-2</v>
      </c>
      <c r="AD318" s="230">
        <f>(INDEX(Models!$BJ318:$BT318,,AH318)*(1-AF318)+INDEX(Models!$BJ318:$BT318,,AH318+1)*AF318-ERP_i)*AE318*Ramure*Pc/MaxiM</f>
        <v>6.6261160513078968E-3</v>
      </c>
      <c r="AE318" s="304">
        <f t="shared" si="117"/>
        <v>0.6</v>
      </c>
      <c r="AF318" s="177">
        <f t="shared" si="118"/>
        <v>0.49787726832346624</v>
      </c>
      <c r="AG318" s="799">
        <f t="shared" si="124"/>
        <v>1</v>
      </c>
      <c r="AH318" s="176">
        <f t="shared" si="119"/>
        <v>7</v>
      </c>
      <c r="AI318" s="224">
        <f t="shared" si="120"/>
        <v>1.4978772683234662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'2023'!Wh/'2023'!Env_an*'2024'!Env_an</f>
        <v>19.296466423680542</v>
      </c>
      <c r="C319" s="829"/>
      <c r="D319" s="391">
        <f t="shared" si="102"/>
        <v>20.09469546850638</v>
      </c>
      <c r="E319" s="383">
        <f t="shared" si="125"/>
        <v>21.224537211965135</v>
      </c>
      <c r="F319" s="383">
        <f t="shared" si="103"/>
        <v>21.290648866635536</v>
      </c>
      <c r="G319" s="110">
        <f t="shared" si="126"/>
        <v>0.62026719639875172</v>
      </c>
      <c r="H319" s="412" t="b">
        <f>Wh_hp&gt;='2023'!Maxi_hp</f>
        <v>0</v>
      </c>
      <c r="I319" s="388">
        <f>IF(H319,Wh_hp,'2023'!Maxi_hp)</f>
        <v>32.848992554762482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3.9723371079540382E-2</v>
      </c>
      <c r="M319" s="832"/>
      <c r="N319" s="832"/>
      <c r="O319" s="48">
        <f>IF(t&lt;Tnet,'2023'!Resal+('2023'!Salim-'2023'!Resal)*(1-EXP(('2023'!Tnet-t)/('2023'!Tau_j))),Resal+(Salim-Resal)*(1-EXP((Tnet-t)/(Tau_j))))*Salcycl</f>
        <v>5.323280937413416E-2</v>
      </c>
      <c r="P319" s="169">
        <f>(INDEX(Models!$BJ319:$BT319,,T319)*(1-R319)+INDEX(Models!$BJ319:$BT319,,T319+1)*R319-ERP_i)*Q319*Ramure*Pc/MaxiM</f>
        <v>6.7391984322526313E-3</v>
      </c>
      <c r="Q319" s="304">
        <f t="shared" si="105"/>
        <v>0.6</v>
      </c>
      <c r="R319" s="177">
        <f t="shared" si="106"/>
        <v>0.49793350453560792</v>
      </c>
      <c r="S319" s="799">
        <f t="shared" si="107"/>
        <v>1</v>
      </c>
      <c r="T319" s="176">
        <f t="shared" si="108"/>
        <v>7</v>
      </c>
      <c r="U319" s="250">
        <f t="shared" si="109"/>
        <v>1.4979335045356079</v>
      </c>
      <c r="V319" s="382">
        <f t="shared" si="110"/>
        <v>30.996520079718739</v>
      </c>
      <c r="W319" s="400">
        <f t="shared" si="111"/>
        <v>19.296466423680542</v>
      </c>
      <c r="X319" s="157">
        <f t="shared" si="112"/>
        <v>45596</v>
      </c>
      <c r="Y319" s="383">
        <f t="shared" si="113"/>
        <v>18.962158594092021</v>
      </c>
      <c r="Z319" s="383">
        <f t="shared" si="114"/>
        <v>19.746558463480703</v>
      </c>
      <c r="AA319" s="384">
        <f t="shared" si="115"/>
        <v>21.224537211965135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6.9635381621005951E-2</v>
      </c>
      <c r="AD319" s="230">
        <f>(INDEX(Models!$BJ319:$BT319,,AH319)*(1-AF319)+INDEX(Models!$BJ319:$BT319,,AH319+1)*AF319-ERP_i)*AE319*Ramure*Pc/MaxiM</f>
        <v>6.7391984322526313E-3</v>
      </c>
      <c r="AE319" s="304">
        <f t="shared" si="117"/>
        <v>0.6</v>
      </c>
      <c r="AF319" s="177">
        <f t="shared" si="118"/>
        <v>0.49793350453560792</v>
      </c>
      <c r="AG319" s="799">
        <f t="shared" si="124"/>
        <v>1</v>
      </c>
      <c r="AH319" s="176">
        <f t="shared" si="119"/>
        <v>7</v>
      </c>
      <c r="AI319" s="224">
        <f t="shared" si="120"/>
        <v>1.4979335045356079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'2023'!Wh/'2023'!Env_an*'2024'!Env_an</f>
        <v>28.626562625483469</v>
      </c>
      <c r="C320" s="829"/>
      <c r="D320" s="391">
        <f t="shared" si="102"/>
        <v>29.811317276066944</v>
      </c>
      <c r="E320" s="383">
        <f t="shared" si="125"/>
        <v>31.488256472180911</v>
      </c>
      <c r="F320" s="383">
        <f t="shared" si="103"/>
        <v>31.684561537332826</v>
      </c>
      <c r="G320" s="110">
        <f t="shared" si="126"/>
        <v>0.93217476434265367</v>
      </c>
      <c r="H320" s="412" t="b">
        <f>Wh_hp&gt;='2023'!Maxi_hp</f>
        <v>0</v>
      </c>
      <c r="I320" s="388">
        <f>IF(H320,Wh_hp,'2023'!Maxi_hp)</f>
        <v>31.694440919259218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3.9741774562059295E-2</v>
      </c>
      <c r="M320" s="832"/>
      <c r="N320" s="832"/>
      <c r="O320" s="48">
        <f>IF(t&lt;Tnet,'2023'!Resal+('2023'!Salim-'2023'!Resal)*(1-EXP(('2023'!Tnet-t)/('2023'!Tau_j))),Resal+(Salim-Resal)*(1-EXP((Tnet-t)/(Tau_j))))*Salcycl</f>
        <v>5.3256019354247133E-2</v>
      </c>
      <c r="P320" s="169">
        <f>(INDEX(Models!$BJ320:$BT320,,T320)*(1-R320)+INDEX(Models!$BJ320:$BT320,,T320+1)*R320-ERP_i)*Q320*Ramure*Pc/MaxiM</f>
        <v>6.8536290799488192E-3</v>
      </c>
      <c r="Q320" s="304">
        <f t="shared" si="105"/>
        <v>0.6</v>
      </c>
      <c r="R320" s="177">
        <f t="shared" si="106"/>
        <v>0.49798748842496199</v>
      </c>
      <c r="S320" s="799">
        <f t="shared" si="107"/>
        <v>1</v>
      </c>
      <c r="T320" s="176">
        <f t="shared" si="108"/>
        <v>7</v>
      </c>
      <c r="U320" s="250">
        <f t="shared" si="109"/>
        <v>1.497987488424962</v>
      </c>
      <c r="V320" s="382">
        <f t="shared" si="110"/>
        <v>30.689103966461978</v>
      </c>
      <c r="W320" s="400">
        <f t="shared" si="111"/>
        <v>28.626562625483469</v>
      </c>
      <c r="X320" s="157">
        <f t="shared" si="112"/>
        <v>45597</v>
      </c>
      <c r="Y320" s="383">
        <f t="shared" si="113"/>
        <v>28.131460078425341</v>
      </c>
      <c r="Z320" s="383">
        <f t="shared" si="114"/>
        <v>29.295724142946604</v>
      </c>
      <c r="AA320" s="384">
        <f t="shared" si="115"/>
        <v>31.488256472180911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6.9630159776275791E-2</v>
      </c>
      <c r="AD320" s="230">
        <f>(INDEX(Models!$BJ320:$BT320,,AH320)*(1-AF320)+INDEX(Models!$BJ320:$BT320,,AH320+1)*AF320-ERP_i)*AE320*Ramure*Pc/MaxiM</f>
        <v>6.8536290799488192E-3</v>
      </c>
      <c r="AE320" s="304">
        <f t="shared" si="117"/>
        <v>0.6</v>
      </c>
      <c r="AF320" s="177">
        <f t="shared" si="118"/>
        <v>0.49798748842496199</v>
      </c>
      <c r="AG320" s="799">
        <f t="shared" si="124"/>
        <v>1</v>
      </c>
      <c r="AH320" s="176">
        <f t="shared" si="119"/>
        <v>7</v>
      </c>
      <c r="AI320" s="224">
        <f t="shared" si="120"/>
        <v>1.497987488424962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'2023'!Wh/'2023'!Env_an*'2024'!Env_an</f>
        <v>10.048611133271342</v>
      </c>
      <c r="C321" s="829"/>
      <c r="D321" s="391">
        <f t="shared" si="102"/>
        <v>10.464689028536206</v>
      </c>
      <c r="E321" s="383">
        <f t="shared" si="125"/>
        <v>11.053615876087008</v>
      </c>
      <c r="F321" s="383">
        <f t="shared" si="103"/>
        <v>11.056997957214067</v>
      </c>
      <c r="G321" s="110">
        <f t="shared" si="126"/>
        <v>0.32851754718337517</v>
      </c>
      <c r="H321" s="412" t="b">
        <f>Wh_hp&gt;='2023'!Maxi_hp</f>
        <v>0</v>
      </c>
      <c r="I321" s="388">
        <f>IF(H321,Wh_hp,'2023'!Maxi_hp)</f>
        <v>29.614967506581426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3.9760177691879783E-2</v>
      </c>
      <c r="M321" s="832"/>
      <c r="N321" s="832"/>
      <c r="O321" s="48">
        <f>IF(t&lt;Tnet,'2023'!Resal+('2023'!Salim-'2023'!Resal)*(1-EXP(('2023'!Tnet-t)/('2023'!Tau_j))),Resal+(Salim-Resal)*(1-EXP((Tnet-t)/(Tau_j))))*Salcycl</f>
        <v>5.3279112839886608E-2</v>
      </c>
      <c r="P321" s="169">
        <f>(INDEX(Models!$BJ321:$BT321,,T321)*(1-R321)+INDEX(Models!$BJ321:$BT321,,T321+1)*R321-ERP_i)*Q321*Ramure*Pc/MaxiM</f>
        <v>6.9694003731667281E-3</v>
      </c>
      <c r="Q321" s="304">
        <f t="shared" si="105"/>
        <v>0.6</v>
      </c>
      <c r="R321" s="177">
        <f t="shared" si="106"/>
        <v>0.49803930974035526</v>
      </c>
      <c r="S321" s="799">
        <f t="shared" si="107"/>
        <v>1</v>
      </c>
      <c r="T321" s="176">
        <f t="shared" si="108"/>
        <v>7</v>
      </c>
      <c r="U321" s="250">
        <f t="shared" si="109"/>
        <v>1.4980393097403553</v>
      </c>
      <c r="V321" s="382">
        <f t="shared" si="110"/>
        <v>30.383861002100467</v>
      </c>
      <c r="W321" s="400">
        <f t="shared" si="111"/>
        <v>10.048611133271342</v>
      </c>
      <c r="X321" s="157">
        <f t="shared" si="112"/>
        <v>45598</v>
      </c>
      <c r="Y321" s="383">
        <f t="shared" si="113"/>
        <v>9.8751152449654267</v>
      </c>
      <c r="Z321" s="383">
        <f t="shared" si="114"/>
        <v>10.284009281377955</v>
      </c>
      <c r="AA321" s="384">
        <f t="shared" si="115"/>
        <v>11.053615876087008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6.9624872379905334E-2</v>
      </c>
      <c r="AD321" s="230">
        <f>(INDEX(Models!$BJ321:$BT321,,AH321)*(1-AF321)+INDEX(Models!$BJ321:$BT321,,AH321+1)*AF321-ERP_i)*AE321*Ramure*Pc/MaxiM</f>
        <v>6.9694003731667281E-3</v>
      </c>
      <c r="AE321" s="304">
        <f t="shared" si="117"/>
        <v>0.6</v>
      </c>
      <c r="AF321" s="177">
        <f t="shared" si="118"/>
        <v>0.49803930974035526</v>
      </c>
      <c r="AG321" s="799">
        <f t="shared" si="124"/>
        <v>1</v>
      </c>
      <c r="AH321" s="176">
        <f t="shared" si="119"/>
        <v>7</v>
      </c>
      <c r="AI321" s="224">
        <f t="shared" si="120"/>
        <v>1.4980393097403553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'2023'!Wh/'2023'!Env_an*'2024'!Env_an</f>
        <v>17.354132954861115</v>
      </c>
      <c r="C322" s="829"/>
      <c r="D322" s="391">
        <f t="shared" si="102"/>
        <v>18.073053362356287</v>
      </c>
      <c r="E322" s="383">
        <f t="shared" si="125"/>
        <v>19.090624612271256</v>
      </c>
      <c r="F322" s="383">
        <f t="shared" si="103"/>
        <v>19.144292549012444</v>
      </c>
      <c r="G322" s="110">
        <f t="shared" si="126"/>
        <v>0.57443380910063158</v>
      </c>
      <c r="H322" s="412" t="b">
        <f>Wh_hp&gt;='2023'!Maxi_hp</f>
        <v>0</v>
      </c>
      <c r="I322" s="388">
        <f>IF(H322,Wh_hp,'2023'!Maxi_hp)</f>
        <v>19.183080529065357</v>
      </c>
      <c r="J322" s="85">
        <f>IF(H322,An,'2023'!An_max)</f>
        <v>2022</v>
      </c>
      <c r="K322" s="197">
        <f t="shared" si="104"/>
        <v>45599</v>
      </c>
      <c r="L322" s="147">
        <f>IF(t&lt;Tvie,1-EXP((T0-t)*PertePVj)+'2023'!Pspv,1-EXP((T0-t)*PertePVj)+Pspv)</f>
        <v>3.9778580469008396E-2</v>
      </c>
      <c r="M322" s="832"/>
      <c r="N322" s="832"/>
      <c r="O322" s="48">
        <f>IF(t&lt;Tnet,'2023'!Resal+('2023'!Salim-'2023'!Resal)*(1-EXP(('2023'!Tnet-t)/('2023'!Tau_j))),Resal+(Salim-Resal)*(1-EXP((Tnet-t)/(Tau_j))))*Salcycl</f>
        <v>5.3302145455255794E-2</v>
      </c>
      <c r="P322" s="169">
        <f>(INDEX(Models!$BJ322:$BT322,,T322)*(1-R322)+INDEX(Models!$BJ322:$BT322,,T322+1)*R322-ERP_i)*Q322*Ramure*Pc/MaxiM</f>
        <v>7.0865067985376867E-3</v>
      </c>
      <c r="Q322" s="304">
        <f t="shared" si="105"/>
        <v>0.6</v>
      </c>
      <c r="R322" s="177">
        <f t="shared" si="106"/>
        <v>0.49808905469052767</v>
      </c>
      <c r="S322" s="799">
        <f t="shared" si="107"/>
        <v>1</v>
      </c>
      <c r="T322" s="176">
        <f t="shared" si="108"/>
        <v>7</v>
      </c>
      <c r="U322" s="250">
        <f t="shared" si="109"/>
        <v>1.4980890546905277</v>
      </c>
      <c r="V322" s="382">
        <f t="shared" si="110"/>
        <v>30.081086894835959</v>
      </c>
      <c r="W322" s="400">
        <f t="shared" si="111"/>
        <v>17.354132954861115</v>
      </c>
      <c r="X322" s="157">
        <f t="shared" si="112"/>
        <v>45599</v>
      </c>
      <c r="Y322" s="383">
        <f t="shared" si="113"/>
        <v>17.05501414538282</v>
      </c>
      <c r="Z322" s="383">
        <f t="shared" si="114"/>
        <v>17.761543117537549</v>
      </c>
      <c r="AA322" s="384">
        <f t="shared" si="115"/>
        <v>19.090624612271256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6.9619591905829309E-2</v>
      </c>
      <c r="AD322" s="230">
        <f>(INDEX(Models!$BJ322:$BT322,,AH322)*(1-AF322)+INDEX(Models!$BJ322:$BT322,,AH322+1)*AF322-ERP_i)*AE322*Ramure*Pc/MaxiM</f>
        <v>7.0865067985376867E-3</v>
      </c>
      <c r="AE322" s="304">
        <f t="shared" si="117"/>
        <v>0.6</v>
      </c>
      <c r="AF322" s="177">
        <f t="shared" si="118"/>
        <v>0.49808905469052767</v>
      </c>
      <c r="AG322" s="799">
        <f t="shared" si="124"/>
        <v>1</v>
      </c>
      <c r="AH322" s="176">
        <f t="shared" si="119"/>
        <v>7</v>
      </c>
      <c r="AI322" s="224">
        <f t="shared" si="120"/>
        <v>1.4980890546905277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'2023'!Wh/'2023'!Env_an*'2024'!Env_an</f>
        <v>29.560909283544429</v>
      </c>
      <c r="C323" s="829"/>
      <c r="D323" s="391">
        <f t="shared" si="102"/>
        <v>30.786103310342163</v>
      </c>
      <c r="E323" s="383">
        <f t="shared" si="125"/>
        <v>32.52025134740299</v>
      </c>
      <c r="F323" s="383">
        <f t="shared" si="103"/>
        <v>32.753747953833802</v>
      </c>
      <c r="G323" s="110">
        <f t="shared" si="126"/>
        <v>0.99253104951197246</v>
      </c>
      <c r="H323" s="412" t="b">
        <f>Wh_hp&gt;='2023'!Maxi_hp</f>
        <v>0</v>
      </c>
      <c r="I323" s="388">
        <f>IF(H323,Wh_hp,'2023'!Maxi_hp)</f>
        <v>32.754929856109037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3.9796982893452015E-2</v>
      </c>
      <c r="M323" s="832"/>
      <c r="N323" s="832"/>
      <c r="O323" s="48">
        <f>IF(t&lt;Tnet,'2023'!Resal+('2023'!Salim-'2023'!Resal)*(1-EXP(('2023'!Tnet-t)/('2023'!Tau_j))),Resal+(Salim-Resal)*(1-EXP((Tnet-t)/(Tau_j))))*Salcycl</f>
        <v>5.3325173244680814E-2</v>
      </c>
      <c r="P323" s="169">
        <f>(INDEX(Models!$BJ323:$BT323,,T323)*(1-R323)+INDEX(Models!$BJ323:$BT323,,T323+1)*R323-ERP_i)*Q323*Ramure*Pc/MaxiM</f>
        <v>7.2049447852018181E-3</v>
      </c>
      <c r="Q323" s="304">
        <f t="shared" si="105"/>
        <v>0.6</v>
      </c>
      <c r="R323" s="177">
        <f t="shared" si="106"/>
        <v>0.49813680608091704</v>
      </c>
      <c r="S323" s="799">
        <f t="shared" si="107"/>
        <v>1</v>
      </c>
      <c r="T323" s="176">
        <f t="shared" si="108"/>
        <v>7</v>
      </c>
      <c r="U323" s="250">
        <f t="shared" si="109"/>
        <v>1.498136806080917</v>
      </c>
      <c r="V323" s="382">
        <f t="shared" si="110"/>
        <v>29.781077137877134</v>
      </c>
      <c r="W323" s="400">
        <f t="shared" si="111"/>
        <v>29.560909283544429</v>
      </c>
      <c r="X323" s="157">
        <f t="shared" si="112"/>
        <v>45600</v>
      </c>
      <c r="Y323" s="383">
        <f t="shared" si="113"/>
        <v>29.052261454781441</v>
      </c>
      <c r="Z323" s="383">
        <f t="shared" si="114"/>
        <v>30.256373847196198</v>
      </c>
      <c r="AA323" s="384">
        <f t="shared" si="115"/>
        <v>32.52025134740299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6.9614391230330475E-2</v>
      </c>
      <c r="AD323" s="230">
        <f>(INDEX(Models!$BJ323:$BT323,,AH323)*(1-AF323)+INDEX(Models!$BJ323:$BT323,,AH323+1)*AF323-ERP_i)*AE323*Ramure*Pc/MaxiM</f>
        <v>7.2049447852018181E-3</v>
      </c>
      <c r="AE323" s="304">
        <f t="shared" si="117"/>
        <v>0.6</v>
      </c>
      <c r="AF323" s="177">
        <f t="shared" si="118"/>
        <v>0.49813680608091704</v>
      </c>
      <c r="AG323" s="799">
        <f t="shared" si="124"/>
        <v>1</v>
      </c>
      <c r="AH323" s="176">
        <f t="shared" si="119"/>
        <v>7</v>
      </c>
      <c r="AI323" s="224">
        <f t="shared" si="120"/>
        <v>1.498136806080917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'2023'!Wh/'2023'!Env_an*'2024'!Env_an</f>
        <v>29.518388324652314</v>
      </c>
      <c r="C324" s="829"/>
      <c r="D324" s="391">
        <f t="shared" si="102"/>
        <v>30.742409180950073</v>
      </c>
      <c r="E324" s="383">
        <f t="shared" si="125"/>
        <v>32.474887686593476</v>
      </c>
      <c r="F324" s="383">
        <f t="shared" si="103"/>
        <v>32.714436469052202</v>
      </c>
      <c r="G324" s="110">
        <f t="shared" si="126"/>
        <v>1.0011597115070363</v>
      </c>
      <c r="H324" s="412" t="b">
        <f>Wh_hp&gt;='2023'!Maxi_hp</f>
        <v>1</v>
      </c>
      <c r="I324" s="388">
        <f>IF(H324,Wh_hp,'2023'!Maxi_hp)</f>
        <v>32.714436469052202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3.9815384965217304E-2</v>
      </c>
      <c r="M324" s="832"/>
      <c r="N324" s="832"/>
      <c r="O324" s="48">
        <f>IF(t&lt;Tnet,'2023'!Resal+('2023'!Salim-'2023'!Resal)*(1-EXP(('2023'!Tnet-t)/('2023'!Tau_j))),Resal+(Salim-Resal)*(1-EXP((Tnet-t)/(Tau_j))))*Salcycl</f>
        <v>5.3348252420857958E-2</v>
      </c>
      <c r="P324" s="169">
        <f>(INDEX(Models!$BJ324:$BT324,,T324)*(1-R324)+INDEX(Models!$BJ324:$BT324,,T324+1)*R324-ERP_i)*Q324*Ramure*Pc/MaxiM</f>
        <v>7.3224181222054565E-3</v>
      </c>
      <c r="Q324" s="304">
        <f t="shared" si="105"/>
        <v>0.6</v>
      </c>
      <c r="R324" s="177">
        <f t="shared" si="106"/>
        <v>0.49818264344538621</v>
      </c>
      <c r="S324" s="799">
        <f t="shared" si="107"/>
        <v>1</v>
      </c>
      <c r="T324" s="176">
        <f t="shared" si="108"/>
        <v>7</v>
      </c>
      <c r="U324" s="250">
        <f t="shared" si="109"/>
        <v>1.4981826434453862</v>
      </c>
      <c r="V324" s="382">
        <f t="shared" si="110"/>
        <v>29.484195164244635</v>
      </c>
      <c r="W324" s="400">
        <f t="shared" si="111"/>
        <v>29.518388324652314</v>
      </c>
      <c r="X324" s="157">
        <f t="shared" si="112"/>
        <v>45601</v>
      </c>
      <c r="Y324" s="383">
        <f t="shared" si="113"/>
        <v>29.011336817611973</v>
      </c>
      <c r="Z324" s="383">
        <f t="shared" si="114"/>
        <v>30.214332080879089</v>
      </c>
      <c r="AA324" s="384">
        <f t="shared" si="115"/>
        <v>32.474887686593476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6.9609343303367502E-2</v>
      </c>
      <c r="AD324" s="230">
        <f>(INDEX(Models!$BJ324:$BT324,,AH324)*(1-AF324)+INDEX(Models!$BJ324:$BT324,,AH324+1)*AF324-ERP_i)*AE324*Ramure*Pc/MaxiM</f>
        <v>7.3224181222054565E-3</v>
      </c>
      <c r="AE324" s="304">
        <f t="shared" si="117"/>
        <v>0.6</v>
      </c>
      <c r="AF324" s="177">
        <f t="shared" si="118"/>
        <v>0.49818264344538621</v>
      </c>
      <c r="AG324" s="799">
        <f t="shared" si="124"/>
        <v>1</v>
      </c>
      <c r="AH324" s="176">
        <f t="shared" si="119"/>
        <v>7</v>
      </c>
      <c r="AI324" s="224">
        <f t="shared" si="120"/>
        <v>1.4981826434453862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'2023'!Wh/'2023'!Env_an*'2024'!Env_an</f>
        <v>27.688180147803337</v>
      </c>
      <c r="C325" s="829"/>
      <c r="D325" s="391">
        <f t="shared" si="102"/>
        <v>28.836861538992583</v>
      </c>
      <c r="E325" s="383">
        <f t="shared" si="125"/>
        <v>30.46269965894917</v>
      </c>
      <c r="F325" s="383">
        <f t="shared" si="103"/>
        <v>30.674165582453156</v>
      </c>
      <c r="G325" s="110">
        <f t="shared" si="126"/>
        <v>0.94800581990875643</v>
      </c>
      <c r="H325" s="412" t="b">
        <f>Wh_hp&gt;='2023'!Maxi_hp</f>
        <v>0</v>
      </c>
      <c r="I325" s="388">
        <f>IF(H325,Wh_hp,'2023'!Maxi_hp)</f>
        <v>30.682125298124948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3.9833786684311145E-2</v>
      </c>
      <c r="M325" s="832"/>
      <c r="N325" s="832"/>
      <c r="O325" s="48">
        <f>IF(t&lt;Tnet,'2023'!Resal+('2023'!Salim-'2023'!Resal)*(1-EXP(('2023'!Tnet-t)/('2023'!Tau_j))),Resal+(Salim-Resal)*(1-EXP((Tnet-t)/(Tau_j))))*Salcycl</f>
        <v>5.337143910943417E-2</v>
      </c>
      <c r="P325" s="169">
        <f>(INDEX(Models!$BJ325:$BT325,,T325)*(1-R325)+INDEX(Models!$BJ325:$BT325,,T325+1)*R325-ERP_i)*Q325*Ramure*Pc/MaxiM</f>
        <v>7.4410919301130894E-3</v>
      </c>
      <c r="Q325" s="304">
        <f t="shared" si="105"/>
        <v>0.6</v>
      </c>
      <c r="R325" s="177">
        <f t="shared" si="106"/>
        <v>0.49822664317305732</v>
      </c>
      <c r="S325" s="799">
        <f t="shared" si="107"/>
        <v>1</v>
      </c>
      <c r="T325" s="176">
        <f t="shared" si="108"/>
        <v>7</v>
      </c>
      <c r="U325" s="250">
        <f t="shared" si="109"/>
        <v>1.4982266431730573</v>
      </c>
      <c r="V325" s="382">
        <f t="shared" si="110"/>
        <v>29.190670373604743</v>
      </c>
      <c r="W325" s="400">
        <f t="shared" si="111"/>
        <v>27.688180147803337</v>
      </c>
      <c r="X325" s="157">
        <f t="shared" si="112"/>
        <v>45602</v>
      </c>
      <c r="Y325" s="383">
        <f t="shared" si="113"/>
        <v>27.213374601871188</v>
      </c>
      <c r="Z325" s="383">
        <f t="shared" si="114"/>
        <v>28.34235804642276</v>
      </c>
      <c r="AA325" s="384">
        <f t="shared" si="115"/>
        <v>30.46269965894917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6.9604520816115775E-2</v>
      </c>
      <c r="AD325" s="230">
        <f>(INDEX(Models!$BJ325:$BT325,,AH325)*(1-AF325)+INDEX(Models!$BJ325:$BT325,,AH325+1)*AF325-ERP_i)*AE325*Ramure*Pc/MaxiM</f>
        <v>7.4410919301130894E-3</v>
      </c>
      <c r="AE325" s="304">
        <f t="shared" si="117"/>
        <v>0.6</v>
      </c>
      <c r="AF325" s="177">
        <f t="shared" si="118"/>
        <v>0.49822664317305732</v>
      </c>
      <c r="AG325" s="799">
        <f t="shared" si="124"/>
        <v>1</v>
      </c>
      <c r="AH325" s="176">
        <f t="shared" si="119"/>
        <v>7</v>
      </c>
      <c r="AI325" s="224">
        <f t="shared" si="120"/>
        <v>1.4982266431730573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'2023'!Wh/'2023'!Env_an*'2024'!Env_an</f>
        <v>19.966599087073792</v>
      </c>
      <c r="C326" s="829"/>
      <c r="D326" s="391">
        <f t="shared" si="102"/>
        <v>20.795338841150169</v>
      </c>
      <c r="E326" s="383">
        <f t="shared" si="125"/>
        <v>21.968333368032003</v>
      </c>
      <c r="F326" s="383">
        <f t="shared" si="103"/>
        <v>22.061474720223551</v>
      </c>
      <c r="G326" s="110">
        <f t="shared" si="126"/>
        <v>0.68855008420423791</v>
      </c>
      <c r="H326" s="412" t="b">
        <f>Wh_hp&gt;='2023'!Maxi_hp</f>
        <v>0</v>
      </c>
      <c r="I326" s="388">
        <f>IF(H326,Wh_hp,'2023'!Maxi_hp)</f>
        <v>24.301685975957074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3.98521880507402E-2</v>
      </c>
      <c r="M326" s="832"/>
      <c r="N326" s="832"/>
      <c r="O326" s="48">
        <f>IF(t&lt;Tnet,'2023'!Resal+('2023'!Salim-'2023'!Resal)*(1-EXP(('2023'!Tnet-t)/('2023'!Tau_j))),Resal+(Salim-Resal)*(1-EXP((Tnet-t)/(Tau_j))))*Salcycl</f>
        <v>5.3394789091682285E-2</v>
      </c>
      <c r="P326" s="169">
        <f>(INDEX(Models!$BJ326:$BT326,,T326)*(1-R326)+INDEX(Models!$BJ326:$BT326,,T326+1)*R326-ERP_i)*Q326*Ramure*Pc/MaxiM</f>
        <v>7.5609671314103913E-3</v>
      </c>
      <c r="Q326" s="304">
        <f t="shared" si="105"/>
        <v>0.6</v>
      </c>
      <c r="R326" s="177">
        <f t="shared" si="106"/>
        <v>0.49826887863042346</v>
      </c>
      <c r="S326" s="799">
        <f t="shared" si="107"/>
        <v>1</v>
      </c>
      <c r="T326" s="176">
        <f t="shared" si="108"/>
        <v>7</v>
      </c>
      <c r="U326" s="250">
        <f t="shared" si="109"/>
        <v>1.4982688786304235</v>
      </c>
      <c r="V326" s="382">
        <f t="shared" si="110"/>
        <v>28.900797593520835</v>
      </c>
      <c r="W326" s="400">
        <f t="shared" si="111"/>
        <v>19.966599087073792</v>
      </c>
      <c r="X326" s="157">
        <f t="shared" si="112"/>
        <v>45603</v>
      </c>
      <c r="Y326" s="383">
        <f t="shared" si="113"/>
        <v>19.624785136466144</v>
      </c>
      <c r="Z326" s="383">
        <f t="shared" si="114"/>
        <v>20.439337456411597</v>
      </c>
      <c r="AA326" s="384">
        <f t="shared" si="115"/>
        <v>21.968333368032003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6.9599995867022729E-2</v>
      </c>
      <c r="AD326" s="230">
        <f>(INDEX(Models!$BJ326:$BT326,,AH326)*(1-AF326)+INDEX(Models!$BJ326:$BT326,,AH326+1)*AF326-ERP_i)*AE326*Ramure*Pc/MaxiM</f>
        <v>7.5609671314103913E-3</v>
      </c>
      <c r="AE326" s="304">
        <f t="shared" si="117"/>
        <v>0.6</v>
      </c>
      <c r="AF326" s="177">
        <f t="shared" si="118"/>
        <v>0.49826887863042346</v>
      </c>
      <c r="AG326" s="799">
        <f t="shared" si="124"/>
        <v>1</v>
      </c>
      <c r="AH326" s="176">
        <f t="shared" si="119"/>
        <v>7</v>
      </c>
      <c r="AI326" s="224">
        <f t="shared" si="120"/>
        <v>1.4982688786304235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'2023'!Wh/'2023'!Env_an*'2024'!Env_an</f>
        <v>9.834780815725253</v>
      </c>
      <c r="C327" s="829"/>
      <c r="D327" s="391">
        <f t="shared" si="102"/>
        <v>10.243182537386154</v>
      </c>
      <c r="E327" s="383">
        <f t="shared" si="125"/>
        <v>10.821235145488716</v>
      </c>
      <c r="F327" s="383">
        <f t="shared" si="103"/>
        <v>10.826426648568731</v>
      </c>
      <c r="G327" s="110">
        <f t="shared" si="126"/>
        <v>0.34121808269901838</v>
      </c>
      <c r="H327" s="412" t="b">
        <f>Wh_hp&gt;='2023'!Maxi_hp</f>
        <v>0</v>
      </c>
      <c r="I327" s="388">
        <f>IF(H327,Wh_hp,'2023'!Maxi_hp)</f>
        <v>24.305673600704964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3.9870589064511353E-2</v>
      </c>
      <c r="M327" s="832"/>
      <c r="N327" s="832"/>
      <c r="O327" s="48">
        <f>IF(t&lt;Tnet,'2023'!Resal+('2023'!Salim-'2023'!Resal)*(1-EXP(('2023'!Tnet-t)/('2023'!Tau_j))),Resal+(Salim-Resal)*(1-EXP((Tnet-t)/(Tau_j))))*Salcycl</f>
        <v>5.3418357547063068E-2</v>
      </c>
      <c r="P327" s="169">
        <f>(INDEX(Models!$BJ327:$BT327,,T327)*(1-R327)+INDEX(Models!$BJ327:$BT327,,T327+1)*R327-ERP_i)*Q327*Ramure*Pc/MaxiM</f>
        <v>7.6820452331939106E-3</v>
      </c>
      <c r="Q327" s="304">
        <f t="shared" si="105"/>
        <v>0.6</v>
      </c>
      <c r="R327" s="177">
        <f t="shared" si="106"/>
        <v>0.49830942027889291</v>
      </c>
      <c r="S327" s="799">
        <f t="shared" si="107"/>
        <v>1</v>
      </c>
      <c r="T327" s="176">
        <f t="shared" si="108"/>
        <v>7</v>
      </c>
      <c r="U327" s="250">
        <f t="shared" si="109"/>
        <v>1.4983094202788929</v>
      </c>
      <c r="V327" s="382">
        <f t="shared" si="110"/>
        <v>28.614871497422975</v>
      </c>
      <c r="W327" s="400">
        <f t="shared" si="111"/>
        <v>9.834780815725253</v>
      </c>
      <c r="X327" s="157">
        <f t="shared" si="112"/>
        <v>45604</v>
      </c>
      <c r="Y327" s="383">
        <f t="shared" si="113"/>
        <v>9.6667002368424573</v>
      </c>
      <c r="Z327" s="383">
        <f t="shared" si="114"/>
        <v>10.068122199718728</v>
      </c>
      <c r="AA327" s="384">
        <f t="shared" si="115"/>
        <v>10.821235145488716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6.9595839628709522E-2</v>
      </c>
      <c r="AD327" s="230">
        <f>(INDEX(Models!$BJ327:$BT327,,AH327)*(1-AF327)+INDEX(Models!$BJ327:$BT327,,AH327+1)*AF327-ERP_i)*AE327*Ramure*Pc/MaxiM</f>
        <v>7.6820452331939106E-3</v>
      </c>
      <c r="AE327" s="304">
        <f t="shared" si="117"/>
        <v>0.6</v>
      </c>
      <c r="AF327" s="177">
        <f t="shared" si="118"/>
        <v>0.49830942027889291</v>
      </c>
      <c r="AG327" s="799">
        <f t="shared" si="124"/>
        <v>1</v>
      </c>
      <c r="AH327" s="176">
        <f t="shared" si="119"/>
        <v>7</v>
      </c>
      <c r="AI327" s="224">
        <f t="shared" si="120"/>
        <v>1.4983094202788929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'2023'!Wh/'2023'!Env_an*'2024'!Env_an</f>
        <v>19.857108660139467</v>
      </c>
      <c r="C328" s="829"/>
      <c r="D328" s="391">
        <f t="shared" si="102"/>
        <v>20.682096598876566</v>
      </c>
      <c r="E328" s="383">
        <f t="shared" si="125"/>
        <v>21.849797838654734</v>
      </c>
      <c r="F328" s="383">
        <f t="shared" si="103"/>
        <v>21.947883188014142</v>
      </c>
      <c r="G328" s="110">
        <f t="shared" si="126"/>
        <v>0.69849473276783591</v>
      </c>
      <c r="H328" s="412" t="b">
        <f>Wh_hp&gt;='2023'!Maxi_hp</f>
        <v>0</v>
      </c>
      <c r="I328" s="388">
        <f>IF(H328,Wh_hp,'2023'!Maxi_hp)</f>
        <v>21.982513703587411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3.9888989725631152E-2</v>
      </c>
      <c r="M328" s="832"/>
      <c r="N328" s="832"/>
      <c r="O328" s="48">
        <f>IF(t&lt;Tnet,'2023'!Resal+('2023'!Salim-'2023'!Resal)*(1-EXP(('2023'!Tnet-t)/('2023'!Tau_j))),Resal+(Salim-Resal)*(1-EXP((Tnet-t)/(Tau_j))))*Salcycl</f>
        <v>5.344219879748157E-2</v>
      </c>
      <c r="P328" s="169">
        <f>(INDEX(Models!$BJ328:$BT328,,T328)*(1-R328)+INDEX(Models!$BJ328:$BT328,,T328+1)*R328-ERP_i)*Q328*Ramure*Pc/MaxiM</f>
        <v>7.804327780184442E-3</v>
      </c>
      <c r="Q328" s="304">
        <f t="shared" si="105"/>
        <v>0.6</v>
      </c>
      <c r="R328" s="177">
        <f t="shared" si="106"/>
        <v>0.49834833578792814</v>
      </c>
      <c r="S328" s="799">
        <f t="shared" si="107"/>
        <v>1</v>
      </c>
      <c r="T328" s="176">
        <f t="shared" si="108"/>
        <v>7</v>
      </c>
      <c r="U328" s="250">
        <f t="shared" si="109"/>
        <v>1.4983483357879281</v>
      </c>
      <c r="V328" s="382">
        <f t="shared" si="110"/>
        <v>28.333186622777564</v>
      </c>
      <c r="W328" s="400">
        <f t="shared" si="111"/>
        <v>19.857108660139467</v>
      </c>
      <c r="X328" s="157">
        <f t="shared" si="112"/>
        <v>45605</v>
      </c>
      <c r="Y328" s="383">
        <f t="shared" si="113"/>
        <v>19.518311832479743</v>
      </c>
      <c r="Z328" s="383">
        <f t="shared" si="114"/>
        <v>20.329224041397087</v>
      </c>
      <c r="AA328" s="384">
        <f t="shared" si="115"/>
        <v>21.849797838654734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6.9592122018061989E-2</v>
      </c>
      <c r="AD328" s="230">
        <f>(INDEX(Models!$BJ328:$BT328,,AH328)*(1-AF328)+INDEX(Models!$BJ328:$BT328,,AH328+1)*AF328-ERP_i)*AE328*Ramure*Pc/MaxiM</f>
        <v>7.804327780184442E-3</v>
      </c>
      <c r="AE328" s="304">
        <f t="shared" si="117"/>
        <v>0.6</v>
      </c>
      <c r="AF328" s="177">
        <f t="shared" si="118"/>
        <v>0.49834833578792814</v>
      </c>
      <c r="AG328" s="799">
        <f t="shared" si="124"/>
        <v>1</v>
      </c>
      <c r="AH328" s="176">
        <f t="shared" si="119"/>
        <v>7</v>
      </c>
      <c r="AI328" s="224">
        <f t="shared" si="120"/>
        <v>1.4983483357879281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'2023'!Wh/'2023'!Env_an*'2024'!Env_an</f>
        <v>27.162431310735087</v>
      </c>
      <c r="C329" s="829"/>
      <c r="D329" s="391">
        <f t="shared" si="102"/>
        <v>28.291470040270401</v>
      </c>
      <c r="E329" s="383">
        <f t="shared" si="125"/>
        <v>29.889555981605707</v>
      </c>
      <c r="F329" s="383">
        <f t="shared" si="103"/>
        <v>30.117457539036341</v>
      </c>
      <c r="G329" s="110">
        <f t="shared" si="126"/>
        <v>0.96779734364802417</v>
      </c>
      <c r="H329" s="412" t="b">
        <f>Wh_hp&gt;='2023'!Maxi_hp</f>
        <v>0</v>
      </c>
      <c r="I329" s="388">
        <f>IF(H329,Wh_hp,'2023'!Maxi_hp)</f>
        <v>30.122601545435955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3.9907390034106593E-2</v>
      </c>
      <c r="M329" s="832"/>
      <c r="N329" s="832"/>
      <c r="O329" s="48">
        <f>IF(t&lt;Tnet,'2023'!Resal+('2023'!Salim-'2023'!Resal)*(1-EXP(('2023'!Tnet-t)/('2023'!Tau_j))),Resal+(Salim-Resal)*(1-EXP((Tnet-t)/(Tau_j))))*Salcycl</f>
        <v>5.3466366055045511E-2</v>
      </c>
      <c r="P329" s="169">
        <f>(INDEX(Models!$BJ329:$BT329,,T329)*(1-R329)+INDEX(Models!$BJ329:$BT329,,T329+1)*R329-ERP_i)*Q329*Ramure*Pc/MaxiM</f>
        <v>7.9278157234991629E-3</v>
      </c>
      <c r="Q329" s="304">
        <f t="shared" si="105"/>
        <v>0.6</v>
      </c>
      <c r="R329" s="177">
        <f t="shared" si="106"/>
        <v>0.4983856901439252</v>
      </c>
      <c r="S329" s="799">
        <f t="shared" si="107"/>
        <v>1</v>
      </c>
      <c r="T329" s="176">
        <f t="shared" si="108"/>
        <v>7</v>
      </c>
      <c r="U329" s="250">
        <f t="shared" si="109"/>
        <v>1.4983856901439252</v>
      </c>
      <c r="V329" s="382">
        <f t="shared" si="110"/>
        <v>28.056037385968857</v>
      </c>
      <c r="W329" s="400">
        <f t="shared" si="111"/>
        <v>27.162431310735087</v>
      </c>
      <c r="X329" s="157">
        <f t="shared" si="112"/>
        <v>45606</v>
      </c>
      <c r="Y329" s="383">
        <f t="shared" si="113"/>
        <v>26.699766790408869</v>
      </c>
      <c r="Z329" s="383">
        <f t="shared" si="114"/>
        <v>27.809574319457951</v>
      </c>
      <c r="AA329" s="384">
        <f t="shared" si="115"/>
        <v>29.889555981605707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6.9588911371844919E-2</v>
      </c>
      <c r="AD329" s="230">
        <f>(INDEX(Models!$BJ329:$BT329,,AH329)*(1-AF329)+INDEX(Models!$BJ329:$BT329,,AH329+1)*AF329-ERP_i)*AE329*Ramure*Pc/MaxiM</f>
        <v>7.9278157234991629E-3</v>
      </c>
      <c r="AE329" s="304">
        <f t="shared" si="117"/>
        <v>0.6</v>
      </c>
      <c r="AF329" s="177">
        <f t="shared" si="118"/>
        <v>0.4983856901439252</v>
      </c>
      <c r="AG329" s="799">
        <f t="shared" si="124"/>
        <v>1</v>
      </c>
      <c r="AH329" s="176">
        <f t="shared" si="119"/>
        <v>7</v>
      </c>
      <c r="AI329" s="224">
        <f t="shared" si="120"/>
        <v>1.4983856901439252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'2023'!Wh/'2023'!Env_an*'2024'!Env_an</f>
        <v>26.747940753190942</v>
      </c>
      <c r="C330" s="829"/>
      <c r="D330" s="391">
        <f t="shared" si="102"/>
        <v>27.860284626238201</v>
      </c>
      <c r="E330" s="383">
        <f t="shared" si="125"/>
        <v>29.434777705967456</v>
      </c>
      <c r="F330" s="383">
        <f t="shared" si="103"/>
        <v>29.660902189929249</v>
      </c>
      <c r="G330" s="110">
        <f t="shared" si="126"/>
        <v>0.96230395001864688</v>
      </c>
      <c r="H330" s="412" t="b">
        <f>Wh_hp&gt;='2023'!Maxi_hp</f>
        <v>0</v>
      </c>
      <c r="I330" s="388">
        <f>IF(H330,Wh_hp,'2023'!Maxi_hp)</f>
        <v>29.666919468360309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3.9925789989944227E-2</v>
      </c>
      <c r="M330" s="832"/>
      <c r="N330" s="832"/>
      <c r="O330" s="48">
        <f>IF(t&lt;Tnet,'2023'!Resal+('2023'!Salim-'2023'!Resal)*(1-EXP(('2023'!Tnet-t)/('2023'!Tau_j))),Resal+(Salim-Resal)*(1-EXP((Tnet-t)/(Tau_j))))*Salcycl</f>
        <v>5.3490911175118214E-2</v>
      </c>
      <c r="P330" s="169">
        <f>(INDEX(Models!$BJ330:$BT330,,T330)*(1-R330)+INDEX(Models!$BJ330:$BT330,,T330+1)*R330-ERP_i)*Q330*Ramure*Pc/MaxiM</f>
        <v>8.0525087017909013E-3</v>
      </c>
      <c r="Q330" s="304">
        <f t="shared" si="105"/>
        <v>0.6</v>
      </c>
      <c r="R330" s="177">
        <f t="shared" si="106"/>
        <v>0.49842154575498832</v>
      </c>
      <c r="S330" s="799">
        <f t="shared" si="107"/>
        <v>1</v>
      </c>
      <c r="T330" s="176">
        <f t="shared" si="108"/>
        <v>7</v>
      </c>
      <c r="U330" s="250">
        <f t="shared" si="109"/>
        <v>1.4984215457549883</v>
      </c>
      <c r="V330" s="382">
        <f t="shared" si="110"/>
        <v>27.783718102432982</v>
      </c>
      <c r="W330" s="400">
        <f t="shared" si="111"/>
        <v>26.747940753190942</v>
      </c>
      <c r="X330" s="157">
        <f t="shared" si="112"/>
        <v>45607</v>
      </c>
      <c r="Y330" s="383">
        <f t="shared" si="113"/>
        <v>26.293092701751053</v>
      </c>
      <c r="Z330" s="383">
        <f t="shared" si="114"/>
        <v>27.386521195560142</v>
      </c>
      <c r="AA330" s="384">
        <f t="shared" si="115"/>
        <v>29.434777705967456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6.958627413014444E-2</v>
      </c>
      <c r="AD330" s="230">
        <f>(INDEX(Models!$BJ330:$BT330,,AH330)*(1-AF330)+INDEX(Models!$BJ330:$BT330,,AH330+1)*AF330-ERP_i)*AE330*Ramure*Pc/MaxiM</f>
        <v>8.0525087017909013E-3</v>
      </c>
      <c r="AE330" s="304">
        <f t="shared" si="117"/>
        <v>0.6</v>
      </c>
      <c r="AF330" s="177">
        <f t="shared" si="118"/>
        <v>0.49842154575498832</v>
      </c>
      <c r="AG330" s="799">
        <f t="shared" si="124"/>
        <v>1</v>
      </c>
      <c r="AH330" s="176">
        <f t="shared" si="119"/>
        <v>7</v>
      </c>
      <c r="AI330" s="224">
        <f t="shared" si="120"/>
        <v>1.4984215457549883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'2023'!Wh/'2023'!Env_an*'2024'!Env_an</f>
        <v>25.723953941710658</v>
      </c>
      <c r="C331" s="829"/>
      <c r="D331" s="391">
        <f t="shared" si="102"/>
        <v>26.794227651004427</v>
      </c>
      <c r="E331" s="383">
        <f t="shared" si="125"/>
        <v>28.309220630167626</v>
      </c>
      <c r="F331" s="383">
        <f t="shared" si="103"/>
        <v>28.520802188319621</v>
      </c>
      <c r="G331" s="110">
        <f t="shared" si="126"/>
        <v>0.9342006766340204</v>
      </c>
      <c r="H331" s="412" t="b">
        <f>Wh_hp&gt;='2023'!Maxi_hp</f>
        <v>0</v>
      </c>
      <c r="I331" s="388">
        <f>IF(H331,Wh_hp,'2023'!Maxi_hp)</f>
        <v>29.071978311267806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3.9944189593150936E-2</v>
      </c>
      <c r="M331" s="832"/>
      <c r="N331" s="832"/>
      <c r="O331" s="48">
        <f>IF(t&lt;Tnet,'2023'!Resal+('2023'!Salim-'2023'!Resal)*(1-EXP(('2023'!Tnet-t)/('2023'!Tau_j))),Resal+(Salim-Resal)*(1-EXP((Tnet-t)/(Tau_j))))*Salcycl</f>
        <v>5.351588441642767E-2</v>
      </c>
      <c r="P331" s="169">
        <f>(INDEX(Models!$BJ331:$BT331,,T331)*(1-R331)+INDEX(Models!$BJ331:$BT331,,T331+1)*R331-ERP_i)*Q331*Ramure*Pc/MaxiM</f>
        <v>8.178943323406563E-3</v>
      </c>
      <c r="Q331" s="304">
        <f t="shared" si="105"/>
        <v>0.6</v>
      </c>
      <c r="R331" s="177">
        <f t="shared" si="106"/>
        <v>0.49845596255173907</v>
      </c>
      <c r="S331" s="799">
        <f t="shared" si="107"/>
        <v>1</v>
      </c>
      <c r="T331" s="176">
        <f t="shared" si="108"/>
        <v>7</v>
      </c>
      <c r="U331" s="250">
        <f t="shared" si="109"/>
        <v>1.4984559625517391</v>
      </c>
      <c r="V331" s="382">
        <f t="shared" si="110"/>
        <v>27.514694392218001</v>
      </c>
      <c r="W331" s="400">
        <f t="shared" si="111"/>
        <v>25.723953941710658</v>
      </c>
      <c r="X331" s="157">
        <f t="shared" si="112"/>
        <v>45608</v>
      </c>
      <c r="Y331" s="383">
        <f t="shared" si="113"/>
        <v>25.287240297613838</v>
      </c>
      <c r="Z331" s="383">
        <f t="shared" si="114"/>
        <v>26.339344050110693</v>
      </c>
      <c r="AA331" s="384">
        <f t="shared" si="115"/>
        <v>28.309220630167626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6.958427452989438E-2</v>
      </c>
      <c r="AD331" s="230">
        <f>(INDEX(Models!$BJ331:$BT331,,AH331)*(1-AF331)+INDEX(Models!$BJ331:$BT331,,AH331+1)*AF331-ERP_i)*AE331*Ramure*Pc/MaxiM</f>
        <v>8.178943323406563E-3</v>
      </c>
      <c r="AE331" s="304">
        <f t="shared" si="117"/>
        <v>0.6</v>
      </c>
      <c r="AF331" s="177">
        <f t="shared" si="118"/>
        <v>0.49845596255173907</v>
      </c>
      <c r="AG331" s="799">
        <f t="shared" si="124"/>
        <v>1</v>
      </c>
      <c r="AH331" s="176">
        <f t="shared" si="119"/>
        <v>7</v>
      </c>
      <c r="AI331" s="224">
        <f t="shared" si="120"/>
        <v>1.4984559625517391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'2023'!Wh/'2023'!Env_an*'2024'!Env_an</f>
        <v>9.5248052597184376</v>
      </c>
      <c r="C332" s="829"/>
      <c r="D332" s="391">
        <f t="shared" si="102"/>
        <v>9.9212855134955493</v>
      </c>
      <c r="E332" s="383">
        <f t="shared" si="125"/>
        <v>10.482534390673887</v>
      </c>
      <c r="F332" s="383">
        <f t="shared" si="103"/>
        <v>10.488699260204442</v>
      </c>
      <c r="G332" s="110">
        <f t="shared" si="126"/>
        <v>0.34686517433188452</v>
      </c>
      <c r="H332" s="412" t="b">
        <f>Wh_hp&gt;='2023'!Maxi_hp</f>
        <v>0</v>
      </c>
      <c r="I332" s="388">
        <f>IF(H332,Wh_hp,'2023'!Maxi_hp)</f>
        <v>19.875209801097167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3.9962588843733493E-2</v>
      </c>
      <c r="M332" s="832"/>
      <c r="N332" s="832"/>
      <c r="O332" s="48">
        <f>IF(t&lt;Tnet,'2023'!Resal+('2023'!Salim-'2023'!Resal)*(1-EXP(('2023'!Tnet-t)/('2023'!Tau_j))),Resal+(Salim-Resal)*(1-EXP((Tnet-t)/(Tau_j))))*Salcycl</f>
        <v>5.3541334209947493E-2</v>
      </c>
      <c r="P332" s="169">
        <f>(INDEX(Models!$BJ332:$BT332,,T332)*(1-R332)+INDEX(Models!$BJ332:$BT332,,T332+1)*R332-ERP_i)*Q332*Ramure*Pc/MaxiM</f>
        <v>8.3012183893131294E-3</v>
      </c>
      <c r="Q332" s="304">
        <f t="shared" si="105"/>
        <v>0.6</v>
      </c>
      <c r="R332" s="177">
        <f t="shared" si="106"/>
        <v>0.49848899808430081</v>
      </c>
      <c r="S332" s="799">
        <f t="shared" si="107"/>
        <v>1</v>
      </c>
      <c r="T332" s="176">
        <f t="shared" si="108"/>
        <v>7</v>
      </c>
      <c r="U332" s="250">
        <f t="shared" si="109"/>
        <v>1.4984889980843008</v>
      </c>
      <c r="V332" s="382">
        <f t="shared" si="110"/>
        <v>27.24774232460512</v>
      </c>
      <c r="W332" s="400">
        <f t="shared" si="111"/>
        <v>9.5248052597184376</v>
      </c>
      <c r="X332" s="157">
        <f t="shared" si="112"/>
        <v>45609</v>
      </c>
      <c r="Y332" s="383">
        <f t="shared" si="113"/>
        <v>9.3633682064918453</v>
      </c>
      <c r="Z332" s="383">
        <f t="shared" si="114"/>
        <v>9.7531284694568612</v>
      </c>
      <c r="AA332" s="384">
        <f t="shared" si="115"/>
        <v>10.482534390673887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6.9582974310674686E-2</v>
      </c>
      <c r="AD332" s="230">
        <f>(INDEX(Models!$BJ332:$BT332,,AH332)*(1-AF332)+INDEX(Models!$BJ332:$BT332,,AH332+1)*AF332-ERP_i)*AE332*Ramure*Pc/MaxiM</f>
        <v>8.3012183893131294E-3</v>
      </c>
      <c r="AE332" s="304">
        <f t="shared" si="117"/>
        <v>0.6</v>
      </c>
      <c r="AF332" s="177">
        <f t="shared" si="118"/>
        <v>0.49848899808430081</v>
      </c>
      <c r="AG332" s="799">
        <f t="shared" si="124"/>
        <v>1</v>
      </c>
      <c r="AH332" s="176">
        <f t="shared" si="119"/>
        <v>7</v>
      </c>
      <c r="AI332" s="224">
        <f t="shared" si="120"/>
        <v>1.4984889980843008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'2023'!Wh/'2023'!Env_an*'2024'!Env_an</f>
        <v>12.221981241790576</v>
      </c>
      <c r="C333" s="829"/>
      <c r="D333" s="391">
        <f t="shared" si="102"/>
        <v>12.730978330356384</v>
      </c>
      <c r="E333" s="383">
        <f t="shared" si="125"/>
        <v>13.451541164718769</v>
      </c>
      <c r="F333" s="383">
        <f t="shared" si="103"/>
        <v>13.476320063706556</v>
      </c>
      <c r="G333" s="110">
        <f t="shared" si="126"/>
        <v>0.44995911061635896</v>
      </c>
      <c r="H333" s="412" t="b">
        <f>Wh_hp&gt;='2023'!Maxi_hp</f>
        <v>0</v>
      </c>
      <c r="I333" s="388">
        <f>IF(H333,Wh_hp,'2023'!Maxi_hp)</f>
        <v>26.911873928380832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3.9980987741698559E-2</v>
      </c>
      <c r="M333" s="832"/>
      <c r="N333" s="832"/>
      <c r="O333" s="48">
        <f>IF(t&lt;Tnet,'2023'!Resal+('2023'!Salim-'2023'!Resal)*(1-EXP(('2023'!Tnet-t)/('2023'!Tau_j))),Resal+(Salim-Resal)*(1-EXP((Tnet-t)/(Tau_j))))*Salcycl</f>
        <v>5.3567306938204606E-2</v>
      </c>
      <c r="P333" s="169">
        <f>(INDEX(Models!$BJ333:$BT333,,T333)*(1-R333)+INDEX(Models!$BJ333:$BT333,,T333+1)*R333-ERP_i)*Q333*Ramure*Pc/MaxiM</f>
        <v>8.4154570976751972E-3</v>
      </c>
      <c r="Q333" s="304">
        <f t="shared" si="105"/>
        <v>0.6</v>
      </c>
      <c r="R333" s="177">
        <f t="shared" si="106"/>
        <v>0.49852070761559597</v>
      </c>
      <c r="S333" s="799">
        <f t="shared" si="107"/>
        <v>1</v>
      </c>
      <c r="T333" s="176">
        <f t="shared" si="108"/>
        <v>7</v>
      </c>
      <c r="U333" s="250">
        <f t="shared" si="109"/>
        <v>1.498520707615596</v>
      </c>
      <c r="V333" s="382">
        <f t="shared" si="110"/>
        <v>26.983456663000503</v>
      </c>
      <c r="W333" s="400">
        <f t="shared" si="111"/>
        <v>12.221981241790576</v>
      </c>
      <c r="X333" s="157">
        <f t="shared" si="112"/>
        <v>45610</v>
      </c>
      <c r="Y333" s="383">
        <f t="shared" si="113"/>
        <v>12.015166150933894</v>
      </c>
      <c r="Z333" s="383">
        <f t="shared" si="114"/>
        <v>12.515550210479695</v>
      </c>
      <c r="AA333" s="384">
        <f t="shared" si="115"/>
        <v>13.451541164718769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6.9582432434881672E-2</v>
      </c>
      <c r="AD333" s="230">
        <f>(INDEX(Models!$BJ333:$BT333,,AH333)*(1-AF333)+INDEX(Models!$BJ333:$BT333,,AH333+1)*AF333-ERP_i)*AE333*Ramure*Pc/MaxiM</f>
        <v>8.4154570976751972E-3</v>
      </c>
      <c r="AE333" s="304">
        <f t="shared" si="117"/>
        <v>0.6</v>
      </c>
      <c r="AF333" s="177">
        <f t="shared" si="118"/>
        <v>0.49852070761559597</v>
      </c>
      <c r="AG333" s="799">
        <f t="shared" si="124"/>
        <v>1</v>
      </c>
      <c r="AH333" s="176">
        <f t="shared" si="119"/>
        <v>7</v>
      </c>
      <c r="AI333" s="224">
        <f t="shared" si="120"/>
        <v>1.498520707615596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'2023'!Wh/'2023'!Env_an*'2024'!Env_an</f>
        <v>26.313939983286076</v>
      </c>
      <c r="C334" s="829"/>
      <c r="D334" s="391">
        <f t="shared" si="102"/>
        <v>27.410336626257923</v>
      </c>
      <c r="E334" s="383">
        <f t="shared" si="125"/>
        <v>28.962551153594809</v>
      </c>
      <c r="F334" s="383">
        <f t="shared" si="103"/>
        <v>29.206001043695803</v>
      </c>
      <c r="G334" s="110">
        <f t="shared" si="126"/>
        <v>0.98453277107021142</v>
      </c>
      <c r="H334" s="412" t="b">
        <f>Wh_hp&gt;='2023'!Maxi_hp</f>
        <v>0</v>
      </c>
      <c r="I334" s="388">
        <f>IF(H334,Wh_hp,'2023'!Maxi_hp)</f>
        <v>29.2085670452397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3.9999386287052907E-2</v>
      </c>
      <c r="M334" s="832"/>
      <c r="N334" s="832"/>
      <c r="O334" s="48">
        <f>IF(t&lt;Tnet,'2023'!Resal+('2023'!Salim-'2023'!Resal)*(1-EXP(('2023'!Tnet-t)/('2023'!Tau_j))),Resal+(Salim-Resal)*(1-EXP((Tnet-t)/(Tau_j))))*Salcycl</f>
        <v>5.3593846726593626E-2</v>
      </c>
      <c r="P334" s="169">
        <f>(INDEX(Models!$BJ334:$BT334,,T334)*(1-R334)+INDEX(Models!$BJ334:$BT334,,T334+1)*R334-ERP_i)*Q334*Ramure*Pc/MaxiM</f>
        <v>8.5216577926500777E-3</v>
      </c>
      <c r="Q334" s="304">
        <f t="shared" si="105"/>
        <v>0.6</v>
      </c>
      <c r="R334" s="177">
        <f t="shared" si="106"/>
        <v>0.49855114421108548</v>
      </c>
      <c r="S334" s="799">
        <f t="shared" si="107"/>
        <v>1</v>
      </c>
      <c r="T334" s="176">
        <f t="shared" si="108"/>
        <v>7</v>
      </c>
      <c r="U334" s="250">
        <f t="shared" si="109"/>
        <v>1.4985511442110855</v>
      </c>
      <c r="V334" s="382">
        <f t="shared" si="110"/>
        <v>26.722323527756444</v>
      </c>
      <c r="W334" s="400">
        <f t="shared" si="111"/>
        <v>26.313939983286076</v>
      </c>
      <c r="X334" s="157">
        <f t="shared" si="112"/>
        <v>45611</v>
      </c>
      <c r="Y334" s="383">
        <f t="shared" si="113"/>
        <v>25.869384703369292</v>
      </c>
      <c r="Z334" s="383">
        <f t="shared" si="114"/>
        <v>26.947258505716519</v>
      </c>
      <c r="AA334" s="384">
        <f t="shared" si="115"/>
        <v>28.962551153594809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6.9582704824266026E-2</v>
      </c>
      <c r="AD334" s="230">
        <f>(INDEX(Models!$BJ334:$BT334,,AH334)*(1-AF334)+INDEX(Models!$BJ334:$BT334,,AH334+1)*AF334-ERP_i)*AE334*Ramure*Pc/MaxiM</f>
        <v>8.5216577926500777E-3</v>
      </c>
      <c r="AE334" s="304">
        <f t="shared" si="117"/>
        <v>0.6</v>
      </c>
      <c r="AF334" s="177">
        <f t="shared" si="118"/>
        <v>0.49855114421108548</v>
      </c>
      <c r="AG334" s="799">
        <f t="shared" si="124"/>
        <v>1</v>
      </c>
      <c r="AH334" s="176">
        <f t="shared" si="119"/>
        <v>7</v>
      </c>
      <c r="AI334" s="224">
        <f t="shared" si="120"/>
        <v>1.4985511442110855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'2023'!Wh/'2023'!Env_an*'2024'!Env_an</f>
        <v>13.471046299090791</v>
      </c>
      <c r="C335" s="829"/>
      <c r="D335" s="391">
        <f t="shared" ref="D335:D379" si="127">Wh/(1-Ppv)</f>
        <v>14.032599855811995</v>
      </c>
      <c r="E335" s="383">
        <f t="shared" si="125"/>
        <v>14.827674520835391</v>
      </c>
      <c r="F335" s="383">
        <f t="shared" ref="F335:F379" si="128">Wh_sa/(1-Pvg*MEDIAN((-Sdif+Wh/Env_an)/Csdif,0,1))</f>
        <v>14.865937002934865</v>
      </c>
      <c r="G335" s="110">
        <f t="shared" si="126"/>
        <v>0.50593149233727586</v>
      </c>
      <c r="H335" s="412" t="b">
        <f>Wh_hp&gt;='2023'!Maxi_hp</f>
        <v>0</v>
      </c>
      <c r="I335" s="388">
        <f>IF(H335,Wh_hp,'2023'!Maxi_hp)</f>
        <v>23.200751935750731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4.001778447980342E-2</v>
      </c>
      <c r="M335" s="832"/>
      <c r="N335" s="832"/>
      <c r="O335" s="48">
        <f>IF(t&lt;Tnet,'2023'!Resal+('2023'!Salim-'2023'!Resal)*(1-EXP(('2023'!Tnet-t)/('2023'!Tau_j))),Resal+(Salim-Resal)*(1-EXP((Tnet-t)/(Tau_j))))*Salcycl</f>
        <v>5.3620995248188225E-2</v>
      </c>
      <c r="P335" s="169">
        <f>(INDEX(Models!$BJ335:$BT335,,T335)*(1-R335)+INDEX(Models!$BJ335:$BT335,,T335+1)*R335-ERP_i)*Q335*Ramure*Pc/MaxiM</f>
        <v>8.6198045408182565E-3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0.49858035882507967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1.4985803588250797</v>
      </c>
      <c r="V335" s="382">
        <f t="shared" ref="V335:V379" si="135">MaxiM*(1-Ppv)*(1-Pvg)*(1-Psa)</f>
        <v>26.464829349086003</v>
      </c>
      <c r="W335" s="400">
        <f t="shared" ref="W335:W380" si="136">Wh*(A335&gt;Tmaj)</f>
        <v>13.471046299090791</v>
      </c>
      <c r="X335" s="157">
        <f t="shared" ref="X335:X379" si="137">t</f>
        <v>45612</v>
      </c>
      <c r="Y335" s="383">
        <f t="shared" ref="Y335:Y379" si="138">Wh_pvt_s*(1-Ppv)</f>
        <v>13.243826258212247</v>
      </c>
      <c r="Z335" s="383">
        <f t="shared" ref="Z335:Z379" si="139">Wh_sa_s*(1-Psa_s)</f>
        <v>13.795907928393927</v>
      </c>
      <c r="AA335" s="384">
        <f t="shared" ref="AA335:AA379" si="140">Wh_hp*(1-Pvg_s*MEDIAN((-Sdif+Wh/Env_an)/Csdif,0,1))</f>
        <v>14.827674520835391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6.9583844114709761E-2</v>
      </c>
      <c r="AD335" s="230">
        <f>(INDEX(Models!$BJ335:$BT335,,AH335)*(1-AF335)+INDEX(Models!$BJ335:$BT335,,AH335+1)*AF335-ERP_i)*AE335*Ramure*Pc/MaxiM</f>
        <v>8.6198045408182565E-3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0.49858035882507967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1.4985803588250797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'2023'!Wh/'2023'!Env_an*'2024'!Env_an</f>
        <v>15.420352059575592</v>
      </c>
      <c r="C336" s="829"/>
      <c r="D336" s="391">
        <f t="shared" si="127"/>
        <v>16.063472159650924</v>
      </c>
      <c r="E336" s="383">
        <f t="shared" si="125"/>
        <v>16.974112798830181</v>
      </c>
      <c r="F336" s="383">
        <f t="shared" si="128"/>
        <v>17.035223110937217</v>
      </c>
      <c r="G336" s="110">
        <f t="shared" si="126"/>
        <v>0.58528121784728515</v>
      </c>
      <c r="H336" s="412" t="b">
        <f>Wh_hp&gt;='2023'!Maxi_hp</f>
        <v>0</v>
      </c>
      <c r="I336" s="388">
        <f>IF(H336,Wh_hp,'2023'!Maxi_hp)</f>
        <v>27.250192771666942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4.0036182319956759E-2</v>
      </c>
      <c r="M336" s="832"/>
      <c r="N336" s="832"/>
      <c r="O336" s="48">
        <f>IF(t&lt;Tnet,'2023'!Resal+('2023'!Salim-'2023'!Resal)*(1-EXP(('2023'!Tnet-t)/('2023'!Tau_j))),Resal+(Salim-Resal)*(1-EXP((Tnet-t)/(Tau_j))))*Salcycl</f>
        <v>5.3648791543438733E-2</v>
      </c>
      <c r="P336" s="169">
        <f>(INDEX(Models!$BJ336:$BT336,,T336)*(1-R336)+INDEX(Models!$BJ336:$BT336,,T336+1)*R336-ERP_i)*Q336*Ramure*Pc/MaxiM</f>
        <v>8.7098660500544399E-3</v>
      </c>
      <c r="Q336" s="304">
        <f t="shared" si="130"/>
        <v>0.6</v>
      </c>
      <c r="R336" s="177">
        <f t="shared" si="131"/>
        <v>0.49860840038374299</v>
      </c>
      <c r="S336" s="799">
        <f t="shared" si="132"/>
        <v>1</v>
      </c>
      <c r="T336" s="176">
        <f t="shared" si="133"/>
        <v>7</v>
      </c>
      <c r="U336" s="250">
        <f t="shared" si="134"/>
        <v>1.498608400383743</v>
      </c>
      <c r="V336" s="382">
        <f t="shared" si="135"/>
        <v>26.211460922608605</v>
      </c>
      <c r="W336" s="400">
        <f t="shared" si="136"/>
        <v>15.420352059575592</v>
      </c>
      <c r="X336" s="157">
        <f t="shared" si="137"/>
        <v>45613</v>
      </c>
      <c r="Y336" s="383">
        <f t="shared" si="138"/>
        <v>15.160664311262703</v>
      </c>
      <c r="Z336" s="383">
        <f t="shared" si="139"/>
        <v>15.792953892680741</v>
      </c>
      <c r="AA336" s="384">
        <f t="shared" si="140"/>
        <v>16.974112798830181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6.9585899430976025E-2</v>
      </c>
      <c r="AD336" s="230">
        <f>(INDEX(Models!$BJ336:$BT336,,AH336)*(1-AF336)+INDEX(Models!$BJ336:$BT336,,AH336+1)*AF336-ERP_i)*AE336*Ramure*Pc/MaxiM</f>
        <v>8.7098660500544399E-3</v>
      </c>
      <c r="AE336" s="304">
        <f t="shared" si="142"/>
        <v>0.6</v>
      </c>
      <c r="AF336" s="177">
        <f t="shared" si="143"/>
        <v>0.49860840038374299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1.498608400383743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'2023'!Wh/'2023'!Env_an*'2024'!Env_an</f>
        <v>7.0472340422733648</v>
      </c>
      <c r="C337" s="829"/>
      <c r="D337" s="391">
        <f t="shared" si="127"/>
        <v>7.3412861752705805</v>
      </c>
      <c r="E337" s="383">
        <f t="shared" si="125"/>
        <v>7.7576982533951231</v>
      </c>
      <c r="F337" s="383">
        <f t="shared" si="128"/>
        <v>7.7576982533951231</v>
      </c>
      <c r="G337" s="110">
        <f t="shared" si="126"/>
        <v>0.26905039701055178</v>
      </c>
      <c r="H337" s="412" t="b">
        <f>Wh_hp&gt;='2023'!Maxi_hp</f>
        <v>0</v>
      </c>
      <c r="I337" s="388">
        <f>IF(H337,Wh_hp,'2023'!Maxi_hp)</f>
        <v>28.562272949049884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4.0054579807519586E-2</v>
      </c>
      <c r="M337" s="832"/>
      <c r="N337" s="832"/>
      <c r="O337" s="48">
        <f>IF(t&lt;Tnet,'2023'!Resal+('2023'!Salim-'2023'!Resal)*(1-EXP(('2023'!Tnet-t)/('2023'!Tau_j))),Resal+(Salim-Resal)*(1-EXP((Tnet-t)/(Tau_j))))*Salcycl</f>
        <v>5.367727185603044E-2</v>
      </c>
      <c r="P337" s="169">
        <f>(INDEX(Models!$BJ337:$BT337,,T337)*(1-R337)+INDEX(Models!$BJ337:$BT337,,T337+1)*R337-ERP_i)*Q337*Ramure*Pc/MaxiM</f>
        <v>8.791794689142712E-3</v>
      </c>
      <c r="Q337" s="304">
        <f t="shared" si="130"/>
        <v>0.6</v>
      </c>
      <c r="R337" s="177">
        <f t="shared" si="131"/>
        <v>0.4986353158649135</v>
      </c>
      <c r="S337" s="799">
        <f t="shared" si="132"/>
        <v>1</v>
      </c>
      <c r="T337" s="176">
        <f t="shared" si="133"/>
        <v>7</v>
      </c>
      <c r="U337" s="250">
        <f t="shared" si="134"/>
        <v>1.4986353158649135</v>
      </c>
      <c r="V337" s="382">
        <f t="shared" si="135"/>
        <v>25.962705445007789</v>
      </c>
      <c r="W337" s="400">
        <f t="shared" si="136"/>
        <v>7.0472340422733648</v>
      </c>
      <c r="X337" s="157">
        <f t="shared" si="137"/>
        <v>45614</v>
      </c>
      <c r="Y337" s="383">
        <f t="shared" si="138"/>
        <v>6.9287405534933058</v>
      </c>
      <c r="Z337" s="383">
        <f t="shared" si="139"/>
        <v>7.2178484398665201</v>
      </c>
      <c r="AA337" s="384">
        <f t="shared" si="140"/>
        <v>7.7576982533951231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6.9588916183010913E-2</v>
      </c>
      <c r="AD337" s="230">
        <f>(INDEX(Models!$BJ337:$BT337,,AH337)*(1-AF337)+INDEX(Models!$BJ337:$BT337,,AH337+1)*AF337-ERP_i)*AE337*Ramure*Pc/MaxiM</f>
        <v>8.791794689142712E-3</v>
      </c>
      <c r="AE337" s="304">
        <f t="shared" si="142"/>
        <v>0.6</v>
      </c>
      <c r="AF337" s="177">
        <f t="shared" si="143"/>
        <v>0.4986353158649135</v>
      </c>
      <c r="AG337" s="799">
        <f t="shared" si="149"/>
        <v>1</v>
      </c>
      <c r="AH337" s="176">
        <f t="shared" si="144"/>
        <v>7</v>
      </c>
      <c r="AI337" s="224">
        <f t="shared" si="145"/>
        <v>1.4986353158649135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'2023'!Wh/'2023'!Env_an*'2024'!Env_an</f>
        <v>15.507781216361025</v>
      </c>
      <c r="C338" s="829"/>
      <c r="D338" s="391">
        <f t="shared" si="127"/>
        <v>16.155166844836376</v>
      </c>
      <c r="E338" s="383">
        <f t="shared" si="125"/>
        <v>17.07204617161679</v>
      </c>
      <c r="F338" s="383">
        <f t="shared" si="128"/>
        <v>17.137832797016273</v>
      </c>
      <c r="G338" s="110">
        <f t="shared" si="126"/>
        <v>0.59992593941303829</v>
      </c>
      <c r="H338" s="412" t="b">
        <f>Wh_hp&gt;='2023'!Maxi_hp</f>
        <v>0</v>
      </c>
      <c r="I338" s="388">
        <f>IF(H338,Wh_hp,'2023'!Maxi_hp)</f>
        <v>28.66422438766487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4.0072976942498895E-2</v>
      </c>
      <c r="M338" s="832"/>
      <c r="N338" s="832"/>
      <c r="O338" s="48">
        <f>IF(t&lt;Tnet,'2023'!Resal+('2023'!Salim-'2023'!Resal)*(1-EXP(('2023'!Tnet-t)/('2023'!Tau_j))),Resal+(Salim-Resal)*(1-EXP((Tnet-t)/(Tau_j))))*Salcycl</f>
        <v>5.3706469486052275E-2</v>
      </c>
      <c r="P338" s="169">
        <f>(INDEX(Models!$BJ338:$BT338,,T338)*(1-R338)+INDEX(Models!$BJ338:$BT338,,T338+1)*R338-ERP_i)*Q338*Ramure*Pc/MaxiM</f>
        <v>8.8690876872541298E-3</v>
      </c>
      <c r="Q338" s="304">
        <f t="shared" si="130"/>
        <v>0.6</v>
      </c>
      <c r="R338" s="177">
        <f t="shared" si="131"/>
        <v>0.49866115037485259</v>
      </c>
      <c r="S338" s="799">
        <f t="shared" si="132"/>
        <v>1</v>
      </c>
      <c r="T338" s="176">
        <f t="shared" si="133"/>
        <v>7</v>
      </c>
      <c r="U338" s="250">
        <f t="shared" si="134"/>
        <v>1.4986611503748526</v>
      </c>
      <c r="V338" s="382">
        <f t="shared" si="135"/>
        <v>25.718958128076469</v>
      </c>
      <c r="W338" s="400">
        <f t="shared" si="136"/>
        <v>15.507781216361025</v>
      </c>
      <c r="X338" s="157">
        <f t="shared" si="137"/>
        <v>45615</v>
      </c>
      <c r="Y338" s="383">
        <f t="shared" si="138"/>
        <v>15.247435100409689</v>
      </c>
      <c r="Z338" s="383">
        <f t="shared" si="139"/>
        <v>15.883952356966144</v>
      </c>
      <c r="AA338" s="384">
        <f t="shared" si="140"/>
        <v>17.07204617161679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6.9592935885208443E-2</v>
      </c>
      <c r="AD338" s="230">
        <f>(INDEX(Models!$BJ338:$BT338,,AH338)*(1-AF338)+INDEX(Models!$BJ338:$BT338,,AH338+1)*AF338-ERP_i)*AE338*Ramure*Pc/MaxiM</f>
        <v>8.8690876872541298E-3</v>
      </c>
      <c r="AE338" s="304">
        <f t="shared" si="142"/>
        <v>0.6</v>
      </c>
      <c r="AF338" s="177">
        <f t="shared" si="143"/>
        <v>0.49866115037485259</v>
      </c>
      <c r="AG338" s="799">
        <f t="shared" si="149"/>
        <v>1</v>
      </c>
      <c r="AH338" s="176">
        <f t="shared" si="144"/>
        <v>7</v>
      </c>
      <c r="AI338" s="224">
        <f t="shared" si="145"/>
        <v>1.4986611503748526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'2023'!Wh/'2023'!Env_an*'2024'!Env_an</f>
        <v>3.1148842543896929</v>
      </c>
      <c r="C339" s="829"/>
      <c r="D339" s="391">
        <f t="shared" si="127"/>
        <v>3.2449799586413999</v>
      </c>
      <c r="E339" s="383">
        <f t="shared" si="125"/>
        <v>3.4292558742821777</v>
      </c>
      <c r="F339" s="383">
        <f t="shared" si="128"/>
        <v>3.4292558742821777</v>
      </c>
      <c r="G339" s="110">
        <f t="shared" si="126"/>
        <v>0.1211517282977936</v>
      </c>
      <c r="H339" s="412" t="b">
        <f>Wh_hp&gt;='2023'!Maxi_hp</f>
        <v>0</v>
      </c>
      <c r="I339" s="388">
        <f>IF(H339,Wh_hp,'2023'!Maxi_hp)</f>
        <v>27.981917732937102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4.0091373724901236E-2</v>
      </c>
      <c r="M339" s="832"/>
      <c r="N339" s="832"/>
      <c r="O339" s="48">
        <f>IF(t&lt;Tnet,'2023'!Resal+('2023'!Salim-'2023'!Resal)*(1-EXP(('2023'!Tnet-t)/('2023'!Tau_j))),Resal+(Salim-Resal)*(1-EXP((Tnet-t)/(Tau_j))))*Salcycl</f>
        <v>5.3736414661490046E-2</v>
      </c>
      <c r="P339" s="169">
        <f>(INDEX(Models!$BJ339:$BT339,,T339)*(1-R339)+INDEX(Models!$BJ339:$BT339,,T339+1)*R339-ERP_i)*Q339*Ramure*Pc/MaxiM</f>
        <v>8.9439622215729524E-3</v>
      </c>
      <c r="Q339" s="304">
        <f t="shared" si="130"/>
        <v>0.6</v>
      </c>
      <c r="R339" s="177">
        <f t="shared" si="131"/>
        <v>0.49868594722203774</v>
      </c>
      <c r="S339" s="799">
        <f t="shared" si="132"/>
        <v>1</v>
      </c>
      <c r="T339" s="176">
        <f t="shared" si="133"/>
        <v>7</v>
      </c>
      <c r="U339" s="250">
        <f t="shared" si="134"/>
        <v>1.4986859472220377</v>
      </c>
      <c r="V339" s="382">
        <f t="shared" si="135"/>
        <v>25.480650508805663</v>
      </c>
      <c r="W339" s="400">
        <f t="shared" si="136"/>
        <v>3.1148842543896929</v>
      </c>
      <c r="X339" s="157">
        <f t="shared" si="137"/>
        <v>45616</v>
      </c>
      <c r="Y339" s="383">
        <f t="shared" si="138"/>
        <v>3.0626715403783336</v>
      </c>
      <c r="Z339" s="383">
        <f t="shared" si="139"/>
        <v>3.1905865376613534</v>
      </c>
      <c r="AA339" s="384">
        <f t="shared" si="140"/>
        <v>3.4292558742821777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6.9597995999870738E-2</v>
      </c>
      <c r="AD339" s="230">
        <f>(INDEX(Models!$BJ339:$BT339,,AH339)*(1-AF339)+INDEX(Models!$BJ339:$BT339,,AH339+1)*AF339-ERP_i)*AE339*Ramure*Pc/MaxiM</f>
        <v>8.9439622215729524E-3</v>
      </c>
      <c r="AE339" s="304">
        <f t="shared" si="142"/>
        <v>0.6</v>
      </c>
      <c r="AF339" s="177">
        <f t="shared" si="143"/>
        <v>0.49868594722203774</v>
      </c>
      <c r="AG339" s="799">
        <f t="shared" si="149"/>
        <v>1</v>
      </c>
      <c r="AH339" s="176">
        <f t="shared" si="144"/>
        <v>7</v>
      </c>
      <c r="AI339" s="224">
        <f t="shared" si="145"/>
        <v>1.4986859472220377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'2023'!Wh/'2023'!Env_an*'2024'!Env_an</f>
        <v>7.7060927176940783</v>
      </c>
      <c r="C340" s="829"/>
      <c r="D340" s="391">
        <f t="shared" si="127"/>
        <v>8.0280978783754193</v>
      </c>
      <c r="E340" s="383">
        <f t="shared" si="125"/>
        <v>8.4842729210532948</v>
      </c>
      <c r="F340" s="383">
        <f t="shared" si="128"/>
        <v>8.4848426038640863</v>
      </c>
      <c r="G340" s="110">
        <f t="shared" si="126"/>
        <v>0.30248105397608005</v>
      </c>
      <c r="H340" s="412" t="b">
        <f>Wh_hp&gt;='2023'!Maxi_hp</f>
        <v>0</v>
      </c>
      <c r="I340" s="388">
        <f>IF(H340,Wh_hp,'2023'!Maxi_hp)</f>
        <v>29.203443370360098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4.0109770154733382E-2</v>
      </c>
      <c r="M340" s="832"/>
      <c r="N340" s="832"/>
      <c r="O340" s="48">
        <f>IF(t&lt;Tnet,'2023'!Resal+('2023'!Salim-'2023'!Resal)*(1-EXP(('2023'!Tnet-t)/('2023'!Tau_j))),Resal+(Salim-Resal)*(1-EXP((Tnet-t)/(Tau_j))))*Salcycl</f>
        <v>5.3767134428914905E-2</v>
      </c>
      <c r="P340" s="169">
        <f>(INDEX(Models!$BJ340:$BT340,,T340)*(1-R340)+INDEX(Models!$BJ340:$BT340,,T340+1)*R340-ERP_i)*Q340*Ramure*Pc/MaxiM</f>
        <v>9.0163244435128107E-3</v>
      </c>
      <c r="Q340" s="304">
        <f t="shared" si="130"/>
        <v>0.6</v>
      </c>
      <c r="R340" s="177">
        <f t="shared" si="131"/>
        <v>0.49870974798810641</v>
      </c>
      <c r="S340" s="799">
        <f t="shared" si="132"/>
        <v>1</v>
      </c>
      <c r="T340" s="176">
        <f t="shared" si="133"/>
        <v>7</v>
      </c>
      <c r="U340" s="250">
        <f t="shared" si="134"/>
        <v>1.4987097479881064</v>
      </c>
      <c r="V340" s="382">
        <f t="shared" si="135"/>
        <v>25.248275061080378</v>
      </c>
      <c r="W340" s="400">
        <f t="shared" si="136"/>
        <v>7.7060927176940783</v>
      </c>
      <c r="X340" s="157">
        <f t="shared" si="137"/>
        <v>45617</v>
      </c>
      <c r="Y340" s="383">
        <f t="shared" si="138"/>
        <v>7.5771166916171193</v>
      </c>
      <c r="Z340" s="383">
        <f t="shared" si="139"/>
        <v>7.8937324873475827</v>
      </c>
      <c r="AA340" s="384">
        <f t="shared" si="140"/>
        <v>8.4842729210532948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6.9604129805904302E-2</v>
      </c>
      <c r="AD340" s="230">
        <f>(INDEX(Models!$BJ340:$BT340,,AH340)*(1-AF340)+INDEX(Models!$BJ340:$BT340,,AH340+1)*AF340-ERP_i)*AE340*Ramure*Pc/MaxiM</f>
        <v>9.0163244435128107E-3</v>
      </c>
      <c r="AE340" s="304">
        <f t="shared" si="142"/>
        <v>0.6</v>
      </c>
      <c r="AF340" s="177">
        <f t="shared" si="143"/>
        <v>0.49870974798810641</v>
      </c>
      <c r="AG340" s="799">
        <f t="shared" si="149"/>
        <v>1</v>
      </c>
      <c r="AH340" s="176">
        <f t="shared" si="144"/>
        <v>7</v>
      </c>
      <c r="AI340" s="224">
        <f t="shared" si="145"/>
        <v>1.4987097479881064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'2023'!Wh/'2023'!Env_an*'2024'!Env_an</f>
        <v>12.923849997892106</v>
      </c>
      <c r="C341" s="829"/>
      <c r="D341" s="391">
        <f t="shared" si="127"/>
        <v>13.464141298072319</v>
      </c>
      <c r="E341" s="383">
        <f t="shared" si="125"/>
        <v>14.229678846429914</v>
      </c>
      <c r="F341" s="383">
        <f t="shared" si="128"/>
        <v>14.269778032991482</v>
      </c>
      <c r="G341" s="110">
        <f t="shared" si="126"/>
        <v>0.51324214587892769</v>
      </c>
      <c r="H341" s="412" t="b">
        <f>Wh_hp&gt;='2023'!Maxi_hp</f>
        <v>0</v>
      </c>
      <c r="I341" s="388">
        <f>IF(H341,Wh_hp,'2023'!Maxi_hp)</f>
        <v>29.107219927904186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4.0128166232002327E-2</v>
      </c>
      <c r="M341" s="832"/>
      <c r="N341" s="832"/>
      <c r="O341" s="48">
        <f>IF(t&lt;Tnet,'2023'!Resal+('2023'!Salim-'2023'!Resal)*(1-EXP(('2023'!Tnet-t)/('2023'!Tau_j))),Resal+(Salim-Resal)*(1-EXP((Tnet-t)/(Tau_j))))*Salcycl</f>
        <v>5.3798652564085267E-2</v>
      </c>
      <c r="P341" s="169">
        <f>(INDEX(Models!$BJ341:$BT341,,T341)*(1-R341)+INDEX(Models!$BJ341:$BT341,,T341+1)*R341-ERP_i)*Q341*Ramure*Pc/MaxiM</f>
        <v>9.0860061062024745E-3</v>
      </c>
      <c r="Q341" s="304">
        <f t="shared" si="130"/>
        <v>0.6</v>
      </c>
      <c r="R341" s="177">
        <f t="shared" si="131"/>
        <v>0.49873259259605596</v>
      </c>
      <c r="S341" s="799">
        <f t="shared" si="132"/>
        <v>1</v>
      </c>
      <c r="T341" s="176">
        <f t="shared" si="133"/>
        <v>7</v>
      </c>
      <c r="U341" s="250">
        <f t="shared" si="134"/>
        <v>1.498732592596056</v>
      </c>
      <c r="V341" s="382">
        <f t="shared" si="135"/>
        <v>25.022325971764651</v>
      </c>
      <c r="W341" s="400">
        <f t="shared" si="136"/>
        <v>12.923849997892106</v>
      </c>
      <c r="X341" s="157">
        <f t="shared" si="137"/>
        <v>45618</v>
      </c>
      <c r="Y341" s="383">
        <f t="shared" si="138"/>
        <v>12.707869392016223</v>
      </c>
      <c r="Z341" s="383">
        <f t="shared" si="139"/>
        <v>13.239131460010871</v>
      </c>
      <c r="AA341" s="384">
        <f t="shared" si="140"/>
        <v>14.229678846429914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6.9611366293594309E-2</v>
      </c>
      <c r="AD341" s="230">
        <f>(INDEX(Models!$BJ341:$BT341,,AH341)*(1-AF341)+INDEX(Models!$BJ341:$BT341,,AH341+1)*AF341-ERP_i)*AE341*Ramure*Pc/MaxiM</f>
        <v>9.0860061062024745E-3</v>
      </c>
      <c r="AE341" s="304">
        <f t="shared" si="142"/>
        <v>0.6</v>
      </c>
      <c r="AF341" s="177">
        <f t="shared" si="143"/>
        <v>0.49873259259605596</v>
      </c>
      <c r="AG341" s="799">
        <f t="shared" si="149"/>
        <v>1</v>
      </c>
      <c r="AH341" s="176">
        <f t="shared" si="144"/>
        <v>7</v>
      </c>
      <c r="AI341" s="224">
        <f t="shared" si="145"/>
        <v>1.498732592596056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'2023'!Wh/'2023'!Env_an*'2024'!Env_an</f>
        <v>13.56278820018488</v>
      </c>
      <c r="C342" s="829"/>
      <c r="D342" s="391">
        <f t="shared" si="127"/>
        <v>14.130061593396359</v>
      </c>
      <c r="E342" s="383">
        <f t="shared" si="125"/>
        <v>14.933972088109853</v>
      </c>
      <c r="F342" s="383">
        <f t="shared" si="128"/>
        <v>14.982323309662027</v>
      </c>
      <c r="G342" s="110">
        <f t="shared" si="126"/>
        <v>0.54356321808276831</v>
      </c>
      <c r="H342" s="412" t="b">
        <f>Wh_hp&gt;='2023'!Maxi_hp</f>
        <v>0</v>
      </c>
      <c r="I342" s="388">
        <f>IF(H342,Wh_hp,'2023'!Maxi_hp)</f>
        <v>27.112988230859333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4.014656195671451E-2</v>
      </c>
      <c r="M342" s="832"/>
      <c r="N342" s="832"/>
      <c r="O342" s="48">
        <f>IF(t&lt;Tnet,'2023'!Resal+('2023'!Salim-'2023'!Resal)*(1-EXP(('2023'!Tnet-t)/('2023'!Tau_j))),Resal+(Salim-Resal)*(1-EXP((Tnet-t)/(Tau_j))))*Salcycl</f>
        <v>5.383098950302391E-2</v>
      </c>
      <c r="P342" s="169">
        <f>(INDEX(Models!$BJ342:$BT342,,T342)*(1-R342)+INDEX(Models!$BJ342:$BT342,,T342+1)*R342-ERP_i)*Q342*Ramure*Pc/MaxiM</f>
        <v>9.1528565859974303E-3</v>
      </c>
      <c r="Q342" s="304">
        <f t="shared" si="130"/>
        <v>0.6</v>
      </c>
      <c r="R342" s="177">
        <f t="shared" si="131"/>
        <v>0.49875451937580406</v>
      </c>
      <c r="S342" s="799">
        <f t="shared" si="132"/>
        <v>1</v>
      </c>
      <c r="T342" s="176">
        <f t="shared" si="133"/>
        <v>7</v>
      </c>
      <c r="U342" s="250">
        <f t="shared" si="134"/>
        <v>1.4987545193758041</v>
      </c>
      <c r="V342" s="382">
        <f t="shared" si="135"/>
        <v>24.803296771141408</v>
      </c>
      <c r="W342" s="400">
        <f t="shared" si="136"/>
        <v>13.56278820018488</v>
      </c>
      <c r="X342" s="157">
        <f t="shared" si="137"/>
        <v>45619</v>
      </c>
      <c r="Y342" s="383">
        <f t="shared" si="138"/>
        <v>13.336465691098111</v>
      </c>
      <c r="Z342" s="383">
        <f t="shared" si="139"/>
        <v>13.894272982222407</v>
      </c>
      <c r="AA342" s="384">
        <f t="shared" si="140"/>
        <v>14.933972088109853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6.9619730086092332E-2</v>
      </c>
      <c r="AD342" s="230">
        <f>(INDEX(Models!$BJ342:$BT342,,AH342)*(1-AF342)+INDEX(Models!$BJ342:$BT342,,AH342+1)*AF342-ERP_i)*AE342*Ramure*Pc/MaxiM</f>
        <v>9.1528565859974303E-3</v>
      </c>
      <c r="AE342" s="304">
        <f t="shared" si="142"/>
        <v>0.6</v>
      </c>
      <c r="AF342" s="177">
        <f t="shared" si="143"/>
        <v>0.49875451937580406</v>
      </c>
      <c r="AG342" s="799">
        <f t="shared" si="149"/>
        <v>1</v>
      </c>
      <c r="AH342" s="176">
        <f t="shared" si="144"/>
        <v>7</v>
      </c>
      <c r="AI342" s="224">
        <f t="shared" si="145"/>
        <v>1.4987545193758041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'2023'!Wh/'2023'!Env_an*'2024'!Env_an</f>
        <v>4.6998979845322753</v>
      </c>
      <c r="C343" s="829"/>
      <c r="D343" s="391">
        <f t="shared" si="127"/>
        <v>4.8965684472750004</v>
      </c>
      <c r="E343" s="383">
        <f t="shared" si="125"/>
        <v>5.175333448045949</v>
      </c>
      <c r="F343" s="383">
        <f t="shared" si="128"/>
        <v>5.175333448045949</v>
      </c>
      <c r="G343" s="110">
        <f t="shared" si="126"/>
        <v>0.18935591891333303</v>
      </c>
      <c r="H343" s="412" t="b">
        <f>Wh_hp&gt;='2023'!Maxi_hp</f>
        <v>0</v>
      </c>
      <c r="I343" s="388">
        <f>IF(H343,Wh_hp,'2023'!Maxi_hp)</f>
        <v>25.709723482797013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4.0164957328876816E-2</v>
      </c>
      <c r="M343" s="832"/>
      <c r="N343" s="832"/>
      <c r="O343" s="48">
        <f>IF(t&lt;Tnet,'2023'!Resal+('2023'!Salim-'2023'!Resal)*(1-EXP(('2023'!Tnet-t)/('2023'!Tau_j))),Resal+(Salim-Resal)*(1-EXP((Tnet-t)/(Tau_j))))*Salcycl</f>
        <v>5.3864162293968232E-2</v>
      </c>
      <c r="P343" s="169">
        <f>(INDEX(Models!$BJ343:$BT343,,T343)*(1-R343)+INDEX(Models!$BJ343:$BT343,,T343+1)*R343-ERP_i)*Q343*Ramure*Pc/MaxiM</f>
        <v>9.2167527957110404E-3</v>
      </c>
      <c r="Q343" s="304">
        <f t="shared" si="130"/>
        <v>0.6</v>
      </c>
      <c r="R343" s="177">
        <f t="shared" si="131"/>
        <v>0.49877556512720123</v>
      </c>
      <c r="S343" s="799">
        <f t="shared" si="132"/>
        <v>1</v>
      </c>
      <c r="T343" s="176">
        <f t="shared" si="133"/>
        <v>7</v>
      </c>
      <c r="U343" s="250">
        <f t="shared" si="134"/>
        <v>1.4987755651272012</v>
      </c>
      <c r="V343" s="382">
        <f t="shared" si="135"/>
        <v>24.591680119463639</v>
      </c>
      <c r="W343" s="400">
        <f t="shared" si="136"/>
        <v>4.6998979845322753</v>
      </c>
      <c r="X343" s="157">
        <f t="shared" si="137"/>
        <v>45620</v>
      </c>
      <c r="Y343" s="383">
        <f t="shared" si="138"/>
        <v>4.6215854838242674</v>
      </c>
      <c r="Z343" s="383">
        <f t="shared" si="139"/>
        <v>4.8149789061283546</v>
      </c>
      <c r="AA343" s="384">
        <f t="shared" si="140"/>
        <v>5.175333448045949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6.9629241388041205E-2</v>
      </c>
      <c r="AD343" s="230">
        <f>(INDEX(Models!$BJ343:$BT343,,AH343)*(1-AF343)+INDEX(Models!$BJ343:$BT343,,AH343+1)*AF343-ERP_i)*AE343*Ramure*Pc/MaxiM</f>
        <v>9.2167527957110404E-3</v>
      </c>
      <c r="AE343" s="304">
        <f t="shared" si="142"/>
        <v>0.6</v>
      </c>
      <c r="AF343" s="177">
        <f t="shared" si="143"/>
        <v>0.49877556512720123</v>
      </c>
      <c r="AG343" s="799">
        <f t="shared" si="149"/>
        <v>1</v>
      </c>
      <c r="AH343" s="176">
        <f t="shared" si="144"/>
        <v>7</v>
      </c>
      <c r="AI343" s="224">
        <f t="shared" si="145"/>
        <v>1.4987755651272012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'2023'!Wh/'2023'!Env_an*'2024'!Env_an</f>
        <v>10.799834949356383</v>
      </c>
      <c r="C344" s="829"/>
      <c r="D344" s="391">
        <f t="shared" si="127"/>
        <v>11.251977110192458</v>
      </c>
      <c r="E344" s="383">
        <f t="shared" si="125"/>
        <v>11.8929875481568</v>
      </c>
      <c r="F344" s="383">
        <f t="shared" si="128"/>
        <v>11.915544609622575</v>
      </c>
      <c r="G344" s="110">
        <f t="shared" si="126"/>
        <v>0.43955823407752981</v>
      </c>
      <c r="H344" s="412" t="b">
        <f>Wh_hp&gt;='2023'!Maxi_hp</f>
        <v>0</v>
      </c>
      <c r="I344" s="388">
        <f>IF(H344,Wh_hp,'2023'!Maxi_hp)</f>
        <v>26.915508219914461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4.0183352348496015E-2</v>
      </c>
      <c r="M344" s="832"/>
      <c r="N344" s="832"/>
      <c r="O344" s="48">
        <f>IF(t&lt;Tnet,'2023'!Resal+('2023'!Salim-'2023'!Resal)*(1-EXP(('2023'!Tnet-t)/('2023'!Tau_j))),Resal+(Salim-Resal)*(1-EXP((Tnet-t)/(Tau_j))))*Salcycl</f>
        <v>5.3898184570426694E-2</v>
      </c>
      <c r="P344" s="169">
        <f>(INDEX(Models!$BJ344:$BT344,,T344)*(1-R344)+INDEX(Models!$BJ344:$BT344,,T344+1)*R344-ERP_i)*Q344*Ramure*Pc/MaxiM</f>
        <v>9.2775528243786154E-3</v>
      </c>
      <c r="Q344" s="304">
        <f t="shared" si="130"/>
        <v>0.6</v>
      </c>
      <c r="R344" s="177">
        <f t="shared" si="131"/>
        <v>0.49879576518059965</v>
      </c>
      <c r="S344" s="799">
        <f t="shared" si="132"/>
        <v>1</v>
      </c>
      <c r="T344" s="176">
        <f t="shared" si="133"/>
        <v>7</v>
      </c>
      <c r="U344" s="250">
        <f t="shared" si="134"/>
        <v>1.4987957651805996</v>
      </c>
      <c r="V344" s="382">
        <f t="shared" si="135"/>
        <v>24.387968994932702</v>
      </c>
      <c r="W344" s="400">
        <f t="shared" si="136"/>
        <v>10.799834949356383</v>
      </c>
      <c r="X344" s="157">
        <f t="shared" si="137"/>
        <v>45621</v>
      </c>
      <c r="Y344" s="383">
        <f t="shared" si="138"/>
        <v>10.62014170908499</v>
      </c>
      <c r="Z344" s="383">
        <f t="shared" si="139"/>
        <v>11.064760894771451</v>
      </c>
      <c r="AA344" s="384">
        <f t="shared" si="140"/>
        <v>11.8929875481568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6.963991596154559E-2</v>
      </c>
      <c r="AD344" s="230">
        <f>(INDEX(Models!$BJ344:$BT344,,AH344)*(1-AF344)+INDEX(Models!$BJ344:$BT344,,AH344+1)*AF344-ERP_i)*AE344*Ramure*Pc/MaxiM</f>
        <v>9.2775528243786154E-3</v>
      </c>
      <c r="AE344" s="304">
        <f t="shared" si="142"/>
        <v>0.6</v>
      </c>
      <c r="AF344" s="177">
        <f t="shared" si="143"/>
        <v>0.49879576518059965</v>
      </c>
      <c r="AG344" s="799">
        <f t="shared" si="149"/>
        <v>1</v>
      </c>
      <c r="AH344" s="176">
        <f t="shared" si="144"/>
        <v>7</v>
      </c>
      <c r="AI344" s="224">
        <f t="shared" si="145"/>
        <v>1.4987957651805996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'2023'!Wh/'2023'!Env_an*'2024'!Env_an</f>
        <v>14.216984928115485</v>
      </c>
      <c r="C345" s="829"/>
      <c r="D345" s="391">
        <f t="shared" si="127"/>
        <v>14.812472187679891</v>
      </c>
      <c r="E345" s="383">
        <f t="shared" si="125"/>
        <v>15.656896635834931</v>
      </c>
      <c r="F345" s="383">
        <f t="shared" si="128"/>
        <v>15.717209449532605</v>
      </c>
      <c r="G345" s="110">
        <f t="shared" si="126"/>
        <v>0.58447464656771742</v>
      </c>
      <c r="H345" s="412" t="b">
        <f>Wh_hp&gt;='2023'!Maxi_hp</f>
        <v>0</v>
      </c>
      <c r="I345" s="388">
        <f>IF(H345,Wh_hp,'2023'!Maxi_hp)</f>
        <v>23.300191289146664</v>
      </c>
      <c r="J345" s="85">
        <f>IF(H345,An,'2023'!An_max)</f>
        <v>2020</v>
      </c>
      <c r="K345" s="197">
        <f t="shared" si="129"/>
        <v>45622</v>
      </c>
      <c r="L345" s="147">
        <f>IF(t&lt;Tvie,1-EXP((T0-t)*PertePVj)+'2023'!Pspv,1-EXP((T0-t)*PertePVj)+Pspv)</f>
        <v>4.0201747015578881E-2</v>
      </c>
      <c r="M345" s="832"/>
      <c r="N345" s="832"/>
      <c r="O345" s="48">
        <f>IF(t&lt;Tnet,'2023'!Resal+('2023'!Salim-'2023'!Resal)*(1-EXP(('2023'!Tnet-t)/('2023'!Tau_j))),Resal+(Salim-Resal)*(1-EXP((Tnet-t)/(Tau_j))))*Salcycl</f>
        <v>5.3933066545406784E-2</v>
      </c>
      <c r="P345" s="169">
        <f>(INDEX(Models!$BJ345:$BT345,,T345)*(1-R345)+INDEX(Models!$BJ345:$BT345,,T345+1)*R345-ERP_i)*Q345*Ramure*Pc/MaxiM</f>
        <v>9.3360673831426443E-3</v>
      </c>
      <c r="Q345" s="304">
        <f t="shared" si="130"/>
        <v>0.6</v>
      </c>
      <c r="R345" s="177">
        <f t="shared" si="131"/>
        <v>0.49881515345506022</v>
      </c>
      <c r="S345" s="799">
        <f t="shared" si="132"/>
        <v>1</v>
      </c>
      <c r="T345" s="176">
        <f t="shared" si="133"/>
        <v>7</v>
      </c>
      <c r="U345" s="250">
        <f t="shared" si="134"/>
        <v>1.4988151534550602</v>
      </c>
      <c r="V345" s="382">
        <f t="shared" si="135"/>
        <v>24.190115056361293</v>
      </c>
      <c r="W345" s="400">
        <f t="shared" si="136"/>
        <v>14.216984928115485</v>
      </c>
      <c r="X345" s="157">
        <f t="shared" si="137"/>
        <v>45622</v>
      </c>
      <c r="Y345" s="383">
        <f t="shared" si="138"/>
        <v>13.980772781852901</v>
      </c>
      <c r="Z345" s="383">
        <f t="shared" si="139"/>
        <v>14.566366148699197</v>
      </c>
      <c r="AA345" s="384">
        <f t="shared" si="140"/>
        <v>15.656896635834931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6.9651765129480861E-2</v>
      </c>
      <c r="AD345" s="230">
        <f>(INDEX(Models!$BJ345:$BT345,,AH345)*(1-AF345)+INDEX(Models!$BJ345:$BT345,,AH345+1)*AF345-ERP_i)*AE345*Ramure*Pc/MaxiM</f>
        <v>9.3360673831426443E-3</v>
      </c>
      <c r="AE345" s="304">
        <f t="shared" si="142"/>
        <v>0.6</v>
      </c>
      <c r="AF345" s="177">
        <f t="shared" si="143"/>
        <v>0.49881515345506022</v>
      </c>
      <c r="AG345" s="799">
        <f t="shared" si="149"/>
        <v>1</v>
      </c>
      <c r="AH345" s="176">
        <f t="shared" si="144"/>
        <v>7</v>
      </c>
      <c r="AI345" s="224">
        <f t="shared" si="145"/>
        <v>1.4988151534550602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'2023'!Wh/'2023'!Env_an*'2024'!Env_an</f>
        <v>10.314440547556135</v>
      </c>
      <c r="C346" s="829"/>
      <c r="D346" s="391">
        <f t="shared" si="127"/>
        <v>10.746673265107512</v>
      </c>
      <c r="E346" s="383">
        <f t="shared" si="125"/>
        <v>11.359745255555129</v>
      </c>
      <c r="F346" s="383">
        <f t="shared" si="128"/>
        <v>11.379572840705462</v>
      </c>
      <c r="G346" s="110">
        <f t="shared" si="126"/>
        <v>0.42654322469113615</v>
      </c>
      <c r="H346" s="412" t="b">
        <f>Wh_hp&gt;='2023'!Maxi_hp</f>
        <v>0</v>
      </c>
      <c r="I346" s="388">
        <f>IF(H346,Wh_hp,'2023'!Maxi_hp)</f>
        <v>16.384266753107251</v>
      </c>
      <c r="J346" s="85">
        <f>IF(H346,An,'2023'!An_max)</f>
        <v>2020</v>
      </c>
      <c r="K346" s="197">
        <f t="shared" si="129"/>
        <v>45623</v>
      </c>
      <c r="L346" s="147">
        <f>IF(t&lt;Tvie,1-EXP((T0-t)*PertePVj)+'2023'!Pspv,1-EXP((T0-t)*PertePVj)+Pspv)</f>
        <v>4.0220141330132186E-2</v>
      </c>
      <c r="M346" s="832"/>
      <c r="N346" s="832"/>
      <c r="O346" s="48">
        <f>IF(t&lt;Tnet,'2023'!Resal+('2023'!Salim-'2023'!Resal)*(1-EXP(('2023'!Tnet-t)/('2023'!Tau_j))),Resal+(Salim-Resal)*(1-EXP((Tnet-t)/(Tau_j))))*Salcycl</f>
        <v>5.39688150267114E-2</v>
      </c>
      <c r="P346" s="169">
        <f>(INDEX(Models!$BJ346:$BT346,,T346)*(1-R346)+INDEX(Models!$BJ346:$BT346,,T346+1)*R346-ERP_i)*Q346*Ramure*Pc/MaxiM</f>
        <v>9.3937860473583372E-3</v>
      </c>
      <c r="Q346" s="304">
        <f t="shared" si="130"/>
        <v>0.6</v>
      </c>
      <c r="R346" s="177">
        <f t="shared" si="131"/>
        <v>0.49883376251429512</v>
      </c>
      <c r="S346" s="799">
        <f t="shared" si="132"/>
        <v>1</v>
      </c>
      <c r="T346" s="176">
        <f t="shared" si="133"/>
        <v>7</v>
      </c>
      <c r="U346" s="250">
        <f t="shared" si="134"/>
        <v>1.4988337625142951</v>
      </c>
      <c r="V346" s="382">
        <f t="shared" si="135"/>
        <v>23.996121082833209</v>
      </c>
      <c r="W346" s="400">
        <f t="shared" si="136"/>
        <v>10.314440547556135</v>
      </c>
      <c r="X346" s="157">
        <f t="shared" si="137"/>
        <v>45623</v>
      </c>
      <c r="Y346" s="383">
        <f t="shared" si="138"/>
        <v>10.143309549810787</v>
      </c>
      <c r="Z346" s="383">
        <f t="shared" si="139"/>
        <v>10.568370921919655</v>
      </c>
      <c r="AA346" s="384">
        <f t="shared" si="140"/>
        <v>11.359745255555129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6.9664795805916266E-2</v>
      </c>
      <c r="AD346" s="230">
        <f>(INDEX(Models!$BJ346:$BT346,,AH346)*(1-AF346)+INDEX(Models!$BJ346:$BT346,,AH346+1)*AF346-ERP_i)*AE346*Ramure*Pc/MaxiM</f>
        <v>9.3937860473583372E-3</v>
      </c>
      <c r="AE346" s="304">
        <f t="shared" si="142"/>
        <v>0.6</v>
      </c>
      <c r="AF346" s="177">
        <f t="shared" si="143"/>
        <v>0.49883376251429512</v>
      </c>
      <c r="AG346" s="799">
        <f t="shared" si="149"/>
        <v>1</v>
      </c>
      <c r="AH346" s="176">
        <f t="shared" si="144"/>
        <v>7</v>
      </c>
      <c r="AI346" s="224">
        <f t="shared" si="145"/>
        <v>1.4988337625142951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'2023'!Wh/'2023'!Env_an*'2024'!Env_an</f>
        <v>15.022100232258053</v>
      </c>
      <c r="C347" s="829"/>
      <c r="D347" s="391">
        <f t="shared" si="127"/>
        <v>15.651910172108186</v>
      </c>
      <c r="E347" s="383">
        <f t="shared" si="125"/>
        <v>16.545454620569561</v>
      </c>
      <c r="F347" s="383">
        <f t="shared" si="128"/>
        <v>16.619777685349149</v>
      </c>
      <c r="G347" s="110">
        <f t="shared" si="126"/>
        <v>0.6278505484318444</v>
      </c>
      <c r="H347" s="412" t="b">
        <f>Wh_hp&gt;='2023'!Maxi_hp</f>
        <v>0</v>
      </c>
      <c r="I347" s="388">
        <f>IF(H347,Wh_hp,'2023'!Maxi_hp)</f>
        <v>16.659001140689998</v>
      </c>
      <c r="J347" s="85">
        <f>IF(H347,An,'2023'!An_max)</f>
        <v>2022</v>
      </c>
      <c r="K347" s="197">
        <f t="shared" si="129"/>
        <v>45624</v>
      </c>
      <c r="L347" s="147">
        <f>IF(t&lt;Tvie,1-EXP((T0-t)*PertePVj)+'2023'!Pspv,1-EXP((T0-t)*PertePVj)+Pspv)</f>
        <v>4.0238535292162592E-2</v>
      </c>
      <c r="M347" s="832"/>
      <c r="N347" s="832"/>
      <c r="O347" s="48">
        <f>IF(t&lt;Tnet,'2023'!Resal+('2023'!Salim-'2023'!Resal)*(1-EXP(('2023'!Tnet-t)/('2023'!Tau_j))),Resal+(Salim-Resal)*(1-EXP((Tnet-t)/(Tau_j))))*Salcycl</f>
        <v>5.4005433453034643E-2</v>
      </c>
      <c r="P347" s="169">
        <f>(INDEX(Models!$BJ347:$BT347,,T347)*(1-R347)+INDEX(Models!$BJ347:$BT347,,T347+1)*R347-ERP_i)*Q347*Ramure*Pc/MaxiM</f>
        <v>9.4570333604681641E-3</v>
      </c>
      <c r="Q347" s="304">
        <f t="shared" si="130"/>
        <v>0.6</v>
      </c>
      <c r="R347" s="177">
        <f t="shared" si="131"/>
        <v>0.49885162362042412</v>
      </c>
      <c r="S347" s="799">
        <f t="shared" si="132"/>
        <v>1</v>
      </c>
      <c r="T347" s="176">
        <f t="shared" si="133"/>
        <v>7</v>
      </c>
      <c r="U347" s="250">
        <f t="shared" si="134"/>
        <v>1.4988516236204241</v>
      </c>
      <c r="V347" s="382">
        <f t="shared" si="135"/>
        <v>23.806426036939296</v>
      </c>
      <c r="W347" s="400">
        <f t="shared" si="136"/>
        <v>15.022100232258053</v>
      </c>
      <c r="X347" s="157">
        <f t="shared" si="137"/>
        <v>45624</v>
      </c>
      <c r="Y347" s="383">
        <f t="shared" si="138"/>
        <v>14.773208690463708</v>
      </c>
      <c r="Z347" s="383">
        <f t="shared" si="139"/>
        <v>15.39258371345514</v>
      </c>
      <c r="AA347" s="384">
        <f t="shared" si="140"/>
        <v>16.545454620569561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6.9679010553215875E-2</v>
      </c>
      <c r="AD347" s="230">
        <f>(INDEX(Models!$BJ347:$BT347,,AH347)*(1-AF347)+INDEX(Models!$BJ347:$BT347,,AH347+1)*AF347-ERP_i)*AE347*Ramure*Pc/MaxiM</f>
        <v>9.4570333604681641E-3</v>
      </c>
      <c r="AE347" s="304">
        <f t="shared" si="142"/>
        <v>0.6</v>
      </c>
      <c r="AF347" s="177">
        <f t="shared" si="143"/>
        <v>0.49885162362042412</v>
      </c>
      <c r="AG347" s="799">
        <f t="shared" si="149"/>
        <v>1</v>
      </c>
      <c r="AH347" s="176">
        <f t="shared" si="144"/>
        <v>7</v>
      </c>
      <c r="AI347" s="224">
        <f t="shared" si="145"/>
        <v>1.4988516236204241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'2023'!Wh/'2023'!Env_an*'2024'!Env_an</f>
        <v>3.9255704347372</v>
      </c>
      <c r="C348" s="829"/>
      <c r="D348" s="391">
        <f t="shared" si="127"/>
        <v>4.0902305553972953</v>
      </c>
      <c r="E348" s="383">
        <f t="shared" si="125"/>
        <v>4.3239071309987391</v>
      </c>
      <c r="F348" s="383">
        <f t="shared" si="128"/>
        <v>4.3239071309987391</v>
      </c>
      <c r="G348" s="110">
        <f t="shared" si="126"/>
        <v>0.16460240691768149</v>
      </c>
      <c r="H348" s="412" t="b">
        <f>Wh_hp&gt;='2023'!Maxi_hp</f>
        <v>0</v>
      </c>
      <c r="I348" s="388">
        <f>IF(H348,Wh_hp,'2023'!Maxi_hp)</f>
        <v>25.310170680267795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4.025692890167698E-2</v>
      </c>
      <c r="M348" s="832"/>
      <c r="N348" s="832"/>
      <c r="O348" s="48">
        <f>IF(t&lt;Tnet,'2023'!Resal+('2023'!Salim-'2023'!Resal)*(1-EXP(('2023'!Tnet-t)/('2023'!Tau_j))),Resal+(Salim-Resal)*(1-EXP((Tnet-t)/(Tau_j))))*Salcycl</f>
        <v>5.404292195042338E-2</v>
      </c>
      <c r="P348" s="169">
        <f>(INDEX(Models!$BJ348:$BT348,,T348)*(1-R348)+INDEX(Models!$BJ348:$BT348,,T348+1)*R348-ERP_i)*Q348*Ramure*Pc/MaxiM</f>
        <v>9.5256410193733602E-3</v>
      </c>
      <c r="Q348" s="304">
        <f t="shared" si="130"/>
        <v>0.6</v>
      </c>
      <c r="R348" s="177">
        <f t="shared" si="131"/>
        <v>0.4988687667856333</v>
      </c>
      <c r="S348" s="799">
        <f t="shared" si="132"/>
        <v>1</v>
      </c>
      <c r="T348" s="176">
        <f t="shared" si="133"/>
        <v>7</v>
      </c>
      <c r="U348" s="250">
        <f t="shared" si="134"/>
        <v>1.4988687667856333</v>
      </c>
      <c r="V348" s="382">
        <f t="shared" si="135"/>
        <v>23.621628217891882</v>
      </c>
      <c r="W348" s="400">
        <f t="shared" si="136"/>
        <v>3.9255704347372</v>
      </c>
      <c r="X348" s="157">
        <f t="shared" si="137"/>
        <v>45625</v>
      </c>
      <c r="Y348" s="383">
        <f t="shared" si="138"/>
        <v>3.8606192746822341</v>
      </c>
      <c r="Z348" s="383">
        <f t="shared" si="139"/>
        <v>4.0225549847045725</v>
      </c>
      <c r="AA348" s="384">
        <f t="shared" si="140"/>
        <v>4.3239071309987391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6.9694407665171071E-2</v>
      </c>
      <c r="AD348" s="230">
        <f>(INDEX(Models!$BJ348:$BT348,,AH348)*(1-AF348)+INDEX(Models!$BJ348:$BT348,,AH348+1)*AF348-ERP_i)*AE348*Ramure*Pc/MaxiM</f>
        <v>9.5256410193733602E-3</v>
      </c>
      <c r="AE348" s="304">
        <f t="shared" si="142"/>
        <v>0.6</v>
      </c>
      <c r="AF348" s="177">
        <f t="shared" si="143"/>
        <v>0.4988687667856333</v>
      </c>
      <c r="AG348" s="799">
        <f t="shared" si="149"/>
        <v>1</v>
      </c>
      <c r="AH348" s="176">
        <f t="shared" si="144"/>
        <v>7</v>
      </c>
      <c r="AI348" s="224">
        <f t="shared" si="145"/>
        <v>1.4988687667856333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'2023'!Wh/'2023'!Env_an*'2024'!Env_an</f>
        <v>3.7158040574884867</v>
      </c>
      <c r="C349" s="829"/>
      <c r="D349" s="391">
        <f t="shared" si="127"/>
        <v>3.8717396179145269</v>
      </c>
      <c r="E349" s="383">
        <f t="shared" si="125"/>
        <v>4.0930996770074568</v>
      </c>
      <c r="F349" s="383">
        <f t="shared" si="128"/>
        <v>4.0930996770074568</v>
      </c>
      <c r="G349" s="110">
        <f t="shared" si="126"/>
        <v>0.15698674748615263</v>
      </c>
      <c r="H349" s="412" t="b">
        <f>Wh_hp&gt;='2023'!Maxi_hp</f>
        <v>0</v>
      </c>
      <c r="I349" s="388">
        <f>IF(H349,Wh_hp,'2023'!Maxi_hp)</f>
        <v>26.146261330818092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4.0275322158682014E-2</v>
      </c>
      <c r="M349" s="832"/>
      <c r="N349" s="832"/>
      <c r="O349" s="48">
        <f>IF(t&lt;Tnet,'2023'!Resal+('2023'!Salim-'2023'!Resal)*(1-EXP(('2023'!Tnet-t)/('2023'!Tau_j))),Resal+(Salim-Resal)*(1-EXP((Tnet-t)/(Tau_j))))*Salcycl</f>
        <v>5.4081277408511701E-2</v>
      </c>
      <c r="P349" s="169">
        <f>(INDEX(Models!$BJ349:$BT349,,T349)*(1-R349)+INDEX(Models!$BJ349:$BT349,,T349+1)*R349-ERP_i)*Q349*Ramure*Pc/MaxiM</f>
        <v>9.5994189854125746E-3</v>
      </c>
      <c r="Q349" s="304">
        <f t="shared" si="130"/>
        <v>0.6</v>
      </c>
      <c r="R349" s="177">
        <f t="shared" si="131"/>
        <v>0.49888522082180886</v>
      </c>
      <c r="S349" s="799">
        <f t="shared" si="132"/>
        <v>1</v>
      </c>
      <c r="T349" s="176">
        <f t="shared" si="133"/>
        <v>7</v>
      </c>
      <c r="U349" s="250">
        <f t="shared" si="134"/>
        <v>1.4988852208218089</v>
      </c>
      <c r="V349" s="382">
        <f t="shared" si="135"/>
        <v>23.442325905870327</v>
      </c>
      <c r="W349" s="400">
        <f t="shared" si="136"/>
        <v>3.7158040574884867</v>
      </c>
      <c r="X349" s="157">
        <f t="shared" si="137"/>
        <v>45626</v>
      </c>
      <c r="Y349" s="383">
        <f t="shared" si="138"/>
        <v>3.6544066925156238</v>
      </c>
      <c r="Z349" s="383">
        <f t="shared" si="139"/>
        <v>3.8077656820655887</v>
      </c>
      <c r="AA349" s="384">
        <f t="shared" si="140"/>
        <v>4.0930996770074568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6.9710981275315859E-2</v>
      </c>
      <c r="AD349" s="230">
        <f>(INDEX(Models!$BJ349:$BT349,,AH349)*(1-AF349)+INDEX(Models!$BJ349:$BT349,,AH349+1)*AF349-ERP_i)*AE349*Ramure*Pc/MaxiM</f>
        <v>9.5994189854125746E-3</v>
      </c>
      <c r="AE349" s="304">
        <f t="shared" si="142"/>
        <v>0.6</v>
      </c>
      <c r="AF349" s="177">
        <f t="shared" si="143"/>
        <v>0.49888522082180886</v>
      </c>
      <c r="AG349" s="799">
        <f t="shared" si="149"/>
        <v>1</v>
      </c>
      <c r="AH349" s="176">
        <f t="shared" si="144"/>
        <v>7</v>
      </c>
      <c r="AI349" s="224">
        <f t="shared" si="145"/>
        <v>1.4988852208218089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'2023'!Wh/'2023'!Env_an*'2024'!Env_an</f>
        <v>5.5823935499453219</v>
      </c>
      <c r="C350" s="829"/>
      <c r="D350" s="391">
        <f t="shared" si="127"/>
        <v>5.8167729414347349</v>
      </c>
      <c r="E350" s="383">
        <f t="shared" si="125"/>
        <v>6.1495918898003481</v>
      </c>
      <c r="F350" s="383">
        <f t="shared" si="128"/>
        <v>6.1495918898003481</v>
      </c>
      <c r="G350" s="110">
        <f t="shared" si="126"/>
        <v>0.23758384139309952</v>
      </c>
      <c r="H350" s="412" t="b">
        <f>Wh_hp&gt;='2023'!Maxi_hp</f>
        <v>0</v>
      </c>
      <c r="I350" s="388">
        <f>IF(H350,Wh_hp,'2023'!Maxi_hp)</f>
        <v>9.9498204075695913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4.0293715063184465E-2</v>
      </c>
      <c r="M350" s="832"/>
      <c r="N350" s="832"/>
      <c r="O350" s="48">
        <f>IF(t&lt;Tnet,'2023'!Resal+('2023'!Salim-'2023'!Resal)*(1-EXP(('2023'!Tnet-t)/('2023'!Tau_j))),Resal+(Salim-Resal)*(1-EXP((Tnet-t)/(Tau_j))))*Salcycl</f>
        <v>5.4120493575780707E-2</v>
      </c>
      <c r="P350" s="169">
        <f>(INDEX(Models!$BJ350:$BT350,,T350)*(1-R350)+INDEX(Models!$BJ350:$BT350,,T350+1)*R350-ERP_i)*Q350*Ramure*Pc/MaxiM</f>
        <v>9.6781538150958763E-3</v>
      </c>
      <c r="Q350" s="304">
        <f t="shared" si="130"/>
        <v>0.6</v>
      </c>
      <c r="R350" s="177">
        <f t="shared" si="131"/>
        <v>0.49890101338823056</v>
      </c>
      <c r="S350" s="799">
        <f t="shared" si="132"/>
        <v>1</v>
      </c>
      <c r="T350" s="176">
        <f t="shared" si="133"/>
        <v>7</v>
      </c>
      <c r="U350" s="250">
        <f t="shared" si="134"/>
        <v>1.4989010133882306</v>
      </c>
      <c r="V350" s="382">
        <f t="shared" si="135"/>
        <v>23.269117352831557</v>
      </c>
      <c r="W350" s="400">
        <f t="shared" si="136"/>
        <v>5.5823935499453219</v>
      </c>
      <c r="X350" s="157">
        <f t="shared" si="137"/>
        <v>45627</v>
      </c>
      <c r="Y350" s="383">
        <f t="shared" si="138"/>
        <v>5.4902768794400574</v>
      </c>
      <c r="Z350" s="383">
        <f t="shared" si="139"/>
        <v>5.7207887096430996</v>
      </c>
      <c r="AA350" s="384">
        <f t="shared" si="140"/>
        <v>6.1495918898003481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6.9728721489381695E-2</v>
      </c>
      <c r="AD350" s="230">
        <f>(INDEX(Models!$BJ350:$BT350,,AH350)*(1-AF350)+INDEX(Models!$BJ350:$BT350,,AH350+1)*AF350-ERP_i)*AE350*Ramure*Pc/MaxiM</f>
        <v>9.6781538150958763E-3</v>
      </c>
      <c r="AE350" s="304">
        <f t="shared" si="142"/>
        <v>0.6</v>
      </c>
      <c r="AF350" s="177">
        <f t="shared" si="143"/>
        <v>0.49890101338823056</v>
      </c>
      <c r="AG350" s="799">
        <f t="shared" si="149"/>
        <v>1</v>
      </c>
      <c r="AH350" s="176">
        <f t="shared" si="144"/>
        <v>7</v>
      </c>
      <c r="AI350" s="224">
        <f t="shared" si="145"/>
        <v>1.4989010133882306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'2023'!Wh/'2023'!Env_an*'2024'!Env_an</f>
        <v>9.3557027451546801</v>
      </c>
      <c r="C351" s="829"/>
      <c r="D351" s="391">
        <f t="shared" si="127"/>
        <v>9.7486931109508017</v>
      </c>
      <c r="E351" s="383">
        <f t="shared" si="125"/>
        <v>10.306921778436623</v>
      </c>
      <c r="F351" s="383">
        <f t="shared" si="128"/>
        <v>10.322030419748007</v>
      </c>
      <c r="G351" s="110">
        <f t="shared" si="126"/>
        <v>0.40159792156727808</v>
      </c>
      <c r="H351" s="412" t="b">
        <f>Wh_hp&gt;='2023'!Maxi_hp</f>
        <v>0</v>
      </c>
      <c r="I351" s="388">
        <f>IF(H351,Wh_hp,'2023'!Maxi_hp)</f>
        <v>16.647333469246274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4.0312107615191106E-2</v>
      </c>
      <c r="M351" s="832"/>
      <c r="N351" s="832"/>
      <c r="O351" s="48">
        <f>IF(t&lt;Tnet,'2023'!Resal+('2023'!Salim-'2023'!Resal)*(1-EXP(('2023'!Tnet-t)/('2023'!Tau_j))),Resal+(Salim-Resal)*(1-EXP((Tnet-t)/(Tau_j))))*Salcycl</f>
        <v>5.4160561172949477E-2</v>
      </c>
      <c r="P351" s="169">
        <f>(INDEX(Models!$BJ351:$BT351,,T351)*(1-R351)+INDEX(Models!$BJ351:$BT351,,T351+1)*R351-ERP_i)*Q351*Ramure*Pc/MaxiM</f>
        <v>9.7616071062757992E-3</v>
      </c>
      <c r="Q351" s="304">
        <f t="shared" si="130"/>
        <v>0.6</v>
      </c>
      <c r="R351" s="177">
        <f t="shared" si="131"/>
        <v>0.49891617103739327</v>
      </c>
      <c r="S351" s="799">
        <f t="shared" si="132"/>
        <v>1</v>
      </c>
      <c r="T351" s="176">
        <f t="shared" si="133"/>
        <v>7</v>
      </c>
      <c r="U351" s="250">
        <f t="shared" si="134"/>
        <v>1.4989161710373933</v>
      </c>
      <c r="V351" s="382">
        <f t="shared" si="135"/>
        <v>23.102600770251371</v>
      </c>
      <c r="W351" s="400">
        <f t="shared" si="136"/>
        <v>9.3557027451546801</v>
      </c>
      <c r="X351" s="157">
        <f t="shared" si="137"/>
        <v>45628</v>
      </c>
      <c r="Y351" s="383">
        <f t="shared" si="138"/>
        <v>9.201524528435316</v>
      </c>
      <c r="Z351" s="383">
        <f t="shared" si="139"/>
        <v>9.5880385711334508</v>
      </c>
      <c r="AA351" s="384">
        <f t="shared" si="140"/>
        <v>10.306921778436623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6.974761454066386E-2</v>
      </c>
      <c r="AD351" s="230">
        <f>(INDEX(Models!$BJ351:$BT351,,AH351)*(1-AF351)+INDEX(Models!$BJ351:$BT351,,AH351+1)*AF351-ERP_i)*AE351*Ramure*Pc/MaxiM</f>
        <v>9.7616071062757992E-3</v>
      </c>
      <c r="AE351" s="304">
        <f t="shared" si="142"/>
        <v>0.6</v>
      </c>
      <c r="AF351" s="177">
        <f t="shared" si="143"/>
        <v>0.49891617103739327</v>
      </c>
      <c r="AG351" s="799">
        <f t="shared" si="149"/>
        <v>1</v>
      </c>
      <c r="AH351" s="176">
        <f t="shared" si="144"/>
        <v>7</v>
      </c>
      <c r="AI351" s="224">
        <f t="shared" si="145"/>
        <v>1.4989161710373933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'2023'!Wh/'2023'!Env_an*'2024'!Env_an</f>
        <v>17.1572043239956</v>
      </c>
      <c r="C352" s="829"/>
      <c r="D352" s="391">
        <f t="shared" si="127"/>
        <v>17.878242791589098</v>
      </c>
      <c r="E352" s="383">
        <f t="shared" si="125"/>
        <v>18.902802433227532</v>
      </c>
      <c r="F352" s="383">
        <f t="shared" si="128"/>
        <v>19.022592140378073</v>
      </c>
      <c r="G352" s="110">
        <f t="shared" si="126"/>
        <v>0.74513324251654456</v>
      </c>
      <c r="H352" s="412" t="b">
        <f>Wh_hp&gt;='2023'!Maxi_hp</f>
        <v>0</v>
      </c>
      <c r="I352" s="388">
        <f>IF(H352,Wh_hp,'2023'!Maxi_hp)</f>
        <v>19.053523549254066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4.0330499814708598E-2</v>
      </c>
      <c r="M352" s="832"/>
      <c r="N352" s="832"/>
      <c r="O352" s="48">
        <f>IF(t&lt;Tnet,'2023'!Resal+('2023'!Salim-'2023'!Resal)*(1-EXP(('2023'!Tnet-t)/('2023'!Tau_j))),Resal+(Salim-Resal)*(1-EXP((Tnet-t)/(Tau_j))))*Salcycl</f>
        <v>5.4201468023463713E-2</v>
      </c>
      <c r="P352" s="169">
        <f>(INDEX(Models!$BJ352:$BT352,,T352)*(1-R352)+INDEX(Models!$BJ352:$BT352,,T352+1)*R352-ERP_i)*Q352*Ramure*Pc/MaxiM</f>
        <v>9.843774636683799E-3</v>
      </c>
      <c r="Q352" s="304">
        <f t="shared" si="130"/>
        <v>0.6</v>
      </c>
      <c r="R352" s="177">
        <f t="shared" si="131"/>
        <v>0.49893071925902821</v>
      </c>
      <c r="S352" s="799">
        <f t="shared" si="132"/>
        <v>1</v>
      </c>
      <c r="T352" s="176">
        <f t="shared" si="133"/>
        <v>7</v>
      </c>
      <c r="U352" s="250">
        <f t="shared" si="134"/>
        <v>1.4989307192590282</v>
      </c>
      <c r="V352" s="382">
        <f t="shared" si="135"/>
        <v>22.943507299205177</v>
      </c>
      <c r="W352" s="400">
        <f t="shared" si="136"/>
        <v>17.1572043239956</v>
      </c>
      <c r="X352" s="157">
        <f t="shared" si="137"/>
        <v>45629</v>
      </c>
      <c r="Y352" s="383">
        <f t="shared" si="138"/>
        <v>16.874827015279102</v>
      </c>
      <c r="Z352" s="383">
        <f t="shared" si="139"/>
        <v>17.583998461992319</v>
      </c>
      <c r="AA352" s="384">
        <f t="shared" si="140"/>
        <v>18.902802433227532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6.9767642966897109E-2</v>
      </c>
      <c r="AD352" s="230">
        <f>(INDEX(Models!$BJ352:$BT352,,AH352)*(1-AF352)+INDEX(Models!$BJ352:$BT352,,AH352+1)*AF352-ERP_i)*AE352*Ramure*Pc/MaxiM</f>
        <v>9.843774636683799E-3</v>
      </c>
      <c r="AE352" s="304">
        <f t="shared" si="142"/>
        <v>0.6</v>
      </c>
      <c r="AF352" s="177">
        <f t="shared" si="143"/>
        <v>0.49893071925902821</v>
      </c>
      <c r="AG352" s="799">
        <f t="shared" si="149"/>
        <v>1</v>
      </c>
      <c r="AH352" s="176">
        <f t="shared" si="144"/>
        <v>7</v>
      </c>
      <c r="AI352" s="224">
        <f t="shared" si="145"/>
        <v>1.4989307192590282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'2023'!Wh/'2023'!Env_an*'2024'!Env_an</f>
        <v>22.74537218358601</v>
      </c>
      <c r="C353" s="829"/>
      <c r="D353" s="391">
        <f t="shared" si="127"/>
        <v>23.701709908898227</v>
      </c>
      <c r="E353" s="383">
        <f t="shared" si="125"/>
        <v>25.061104386293952</v>
      </c>
      <c r="F353" s="383">
        <f t="shared" si="128"/>
        <v>25.311471157571066</v>
      </c>
      <c r="G353" s="110">
        <f t="shared" si="126"/>
        <v>0.99790207909472517</v>
      </c>
      <c r="H353" s="412" t="b">
        <f>Wh_hp&gt;='2023'!Maxi_hp</f>
        <v>0</v>
      </c>
      <c r="I353" s="388">
        <f>IF(H353,Wh_hp,'2023'!Maxi_hp)</f>
        <v>25.311808746595222</v>
      </c>
      <c r="J353" s="85">
        <f>IF(H353,An,'2023'!An_max)</f>
        <v>2022</v>
      </c>
      <c r="K353" s="197">
        <f t="shared" si="129"/>
        <v>45630</v>
      </c>
      <c r="L353" s="147">
        <f>IF(t&lt;Tvie,1-EXP((T0-t)*PertePVj)+'2023'!Pspv,1-EXP((T0-t)*PertePVj)+Pspv)</f>
        <v>4.0348891661743935E-2</v>
      </c>
      <c r="M353" s="832"/>
      <c r="N353" s="832"/>
      <c r="O353" s="48">
        <f>IF(t&lt;Tnet,'2023'!Resal+('2023'!Salim-'2023'!Resal)*(1-EXP(('2023'!Tnet-t)/('2023'!Tau_j))),Resal+(Salim-Resal)*(1-EXP((Tnet-t)/(Tau_j))))*Salcycl</f>
        <v>5.4243199199919719E-2</v>
      </c>
      <c r="P353" s="169">
        <f>(INDEX(Models!$BJ353:$BT353,,T353)*(1-R353)+INDEX(Models!$BJ353:$BT353,,T353+1)*R353-ERP_i)*Q353*Ramure*Pc/MaxiM</f>
        <v>9.9207490281843242E-3</v>
      </c>
      <c r="Q353" s="304">
        <f t="shared" si="130"/>
        <v>0.6</v>
      </c>
      <c r="R353" s="177">
        <f t="shared" si="131"/>
        <v>0.4989446825223971</v>
      </c>
      <c r="S353" s="799">
        <f t="shared" si="132"/>
        <v>1</v>
      </c>
      <c r="T353" s="176">
        <f t="shared" si="133"/>
        <v>7</v>
      </c>
      <c r="U353" s="250">
        <f t="shared" si="134"/>
        <v>1.4989446825223971</v>
      </c>
      <c r="V353" s="382">
        <f t="shared" si="135"/>
        <v>22.792515658710684</v>
      </c>
      <c r="W353" s="400">
        <f t="shared" si="136"/>
        <v>22.74537218358601</v>
      </c>
      <c r="X353" s="157">
        <f t="shared" si="137"/>
        <v>45630</v>
      </c>
      <c r="Y353" s="383">
        <f t="shared" si="138"/>
        <v>22.371502122178171</v>
      </c>
      <c r="Z353" s="383">
        <f t="shared" si="139"/>
        <v>23.312120340190035</v>
      </c>
      <c r="AA353" s="384">
        <f t="shared" si="140"/>
        <v>25.061104386293952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6.9788785807079076E-2</v>
      </c>
      <c r="AD353" s="230">
        <f>(INDEX(Models!$BJ353:$BT353,,AH353)*(1-AF353)+INDEX(Models!$BJ353:$BT353,,AH353+1)*AF353-ERP_i)*AE353*Ramure*Pc/MaxiM</f>
        <v>9.9207490281843242E-3</v>
      </c>
      <c r="AE353" s="304">
        <f t="shared" si="142"/>
        <v>0.6</v>
      </c>
      <c r="AF353" s="177">
        <f t="shared" si="143"/>
        <v>0.4989446825223971</v>
      </c>
      <c r="AG353" s="799">
        <f t="shared" si="149"/>
        <v>1</v>
      </c>
      <c r="AH353" s="176">
        <f t="shared" si="144"/>
        <v>7</v>
      </c>
      <c r="AI353" s="224">
        <f t="shared" si="145"/>
        <v>1.4989446825223971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'2023'!Wh/'2023'!Env_an*'2024'!Env_an</f>
        <v>11.181371142955932</v>
      </c>
      <c r="C354" s="829"/>
      <c r="D354" s="391">
        <f t="shared" si="127"/>
        <v>11.651719399201285</v>
      </c>
      <c r="E354" s="383">
        <f t="shared" si="125"/>
        <v>12.320549511985462</v>
      </c>
      <c r="F354" s="383">
        <f t="shared" si="128"/>
        <v>12.354701897465656</v>
      </c>
      <c r="G354" s="110">
        <f t="shared" si="126"/>
        <v>0.49007600953485592</v>
      </c>
      <c r="H354" s="412" t="b">
        <f>Wh_hp&gt;='2023'!Maxi_hp</f>
        <v>0</v>
      </c>
      <c r="I354" s="388">
        <f>IF(H354,Wh_hp,'2023'!Maxi_hp)</f>
        <v>18.881092862283797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4.0367283156303557E-2</v>
      </c>
      <c r="M354" s="832"/>
      <c r="N354" s="832"/>
      <c r="O354" s="48">
        <f>IF(t&lt;Tnet,'2023'!Resal+('2023'!Salim-'2023'!Resal)*(1-EXP(('2023'!Tnet-t)/('2023'!Tau_j))),Resal+(Salim-Resal)*(1-EXP((Tnet-t)/(Tau_j))))*Salcycl</f>
        <v>5.4285737185142263E-2</v>
      </c>
      <c r="P354" s="169">
        <f>(INDEX(Models!$BJ354:$BT354,,T354)*(1-R354)+INDEX(Models!$BJ354:$BT354,,T354+1)*R354-ERP_i)*Q354*Ramure*Pc/MaxiM</f>
        <v>9.9921840552384331E-3</v>
      </c>
      <c r="Q354" s="304">
        <f t="shared" si="130"/>
        <v>0.6</v>
      </c>
      <c r="R354" s="177">
        <f t="shared" si="131"/>
        <v>0.49895808431692013</v>
      </c>
      <c r="S354" s="799">
        <f t="shared" si="132"/>
        <v>1</v>
      </c>
      <c r="T354" s="176">
        <f t="shared" si="133"/>
        <v>7</v>
      </c>
      <c r="U354" s="250">
        <f t="shared" si="134"/>
        <v>1.4989580843169201</v>
      </c>
      <c r="V354" s="382">
        <f t="shared" si="135"/>
        <v>22.650220586754244</v>
      </c>
      <c r="W354" s="400">
        <f t="shared" si="136"/>
        <v>11.181371142955932</v>
      </c>
      <c r="X354" s="157">
        <f t="shared" si="137"/>
        <v>45631</v>
      </c>
      <c r="Y354" s="383">
        <f t="shared" si="138"/>
        <v>10.997812595892464</v>
      </c>
      <c r="Z354" s="383">
        <f t="shared" si="139"/>
        <v>11.46043939817422</v>
      </c>
      <c r="AA354" s="384">
        <f t="shared" si="140"/>
        <v>12.320549511985462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6.9811018816532844E-2</v>
      </c>
      <c r="AD354" s="230">
        <f>(INDEX(Models!$BJ354:$BT354,,AH354)*(1-AF354)+INDEX(Models!$BJ354:$BT354,,AH354+1)*AF354-ERP_i)*AE354*Ramure*Pc/MaxiM</f>
        <v>9.9921840552384331E-3</v>
      </c>
      <c r="AE354" s="304">
        <f t="shared" si="142"/>
        <v>0.6</v>
      </c>
      <c r="AF354" s="177">
        <f t="shared" si="143"/>
        <v>0.49895808431692013</v>
      </c>
      <c r="AG354" s="799">
        <f t="shared" si="149"/>
        <v>1</v>
      </c>
      <c r="AH354" s="176">
        <f t="shared" si="144"/>
        <v>7</v>
      </c>
      <c r="AI354" s="224">
        <f t="shared" si="145"/>
        <v>1.4989580843169201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'2023'!Wh/'2023'!Env_an*'2024'!Env_an</f>
        <v>20.148664928625109</v>
      </c>
      <c r="C355" s="829"/>
      <c r="D355" s="391">
        <f t="shared" si="127"/>
        <v>20.996627904542546</v>
      </c>
      <c r="E355" s="383">
        <f t="shared" si="125"/>
        <v>22.202890098305648</v>
      </c>
      <c r="F355" s="383">
        <f t="shared" si="128"/>
        <v>22.394279345226217</v>
      </c>
      <c r="G355" s="110">
        <f t="shared" si="126"/>
        <v>0.89344746022835086</v>
      </c>
      <c r="H355" s="412" t="b">
        <f>Wh_hp&gt;='2023'!Maxi_hp</f>
        <v>0</v>
      </c>
      <c r="I355" s="388">
        <f>IF(H355,Wh_hp,'2023'!Maxi_hp)</f>
        <v>22.409348727529608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4.0385674298394458E-2</v>
      </c>
      <c r="M355" s="832"/>
      <c r="N355" s="832"/>
      <c r="O355" s="48">
        <f>IF(t&lt;Tnet,'2023'!Resal+('2023'!Salim-'2023'!Resal)*(1-EXP(('2023'!Tnet-t)/('2023'!Tau_j))),Resal+(Salim-Resal)*(1-EXP((Tnet-t)/(Tau_j))))*Salcycl</f>
        <v>5.4329062046528501E-2</v>
      </c>
      <c r="P355" s="169">
        <f>(INDEX(Models!$BJ355:$BT355,,T355)*(1-R355)+INDEX(Models!$BJ355:$BT355,,T355+1)*R355-ERP_i)*Q355*Ramure*Pc/MaxiM</f>
        <v>1.0057710308378827E-2</v>
      </c>
      <c r="Q355" s="304">
        <f t="shared" si="130"/>
        <v>0.6</v>
      </c>
      <c r="R355" s="177">
        <f t="shared" si="131"/>
        <v>0.49897094719120516</v>
      </c>
      <c r="S355" s="799">
        <f t="shared" si="132"/>
        <v>1</v>
      </c>
      <c r="T355" s="176">
        <f t="shared" si="133"/>
        <v>7</v>
      </c>
      <c r="U355" s="250">
        <f t="shared" si="134"/>
        <v>1.4989709471912052</v>
      </c>
      <c r="V355" s="382">
        <f t="shared" si="135"/>
        <v>22.517217120278207</v>
      </c>
      <c r="W355" s="400">
        <f t="shared" si="136"/>
        <v>20.148664928625109</v>
      </c>
      <c r="X355" s="157">
        <f t="shared" si="137"/>
        <v>45632</v>
      </c>
      <c r="Y355" s="383">
        <f t="shared" si="138"/>
        <v>19.818306737654673</v>
      </c>
      <c r="Z355" s="383">
        <f t="shared" si="139"/>
        <v>20.652366483967253</v>
      </c>
      <c r="AA355" s="384">
        <f t="shared" si="140"/>
        <v>22.202890098305648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6.9834314698369787E-2</v>
      </c>
      <c r="AD355" s="230">
        <f>(INDEX(Models!$BJ355:$BT355,,AH355)*(1-AF355)+INDEX(Models!$BJ355:$BT355,,AH355+1)*AF355-ERP_i)*AE355*Ramure*Pc/MaxiM</f>
        <v>1.0057710308378827E-2</v>
      </c>
      <c r="AE355" s="304">
        <f t="shared" si="142"/>
        <v>0.6</v>
      </c>
      <c r="AF355" s="177">
        <f t="shared" si="143"/>
        <v>0.49897094719120516</v>
      </c>
      <c r="AG355" s="799">
        <f t="shared" si="149"/>
        <v>1</v>
      </c>
      <c r="AH355" s="176">
        <f t="shared" si="144"/>
        <v>7</v>
      </c>
      <c r="AI355" s="224">
        <f t="shared" si="145"/>
        <v>1.4989709471912052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'2023'!Wh/'2023'!Env_an*'2024'!Env_an</f>
        <v>4.0467084932824324</v>
      </c>
      <c r="C356" s="829"/>
      <c r="D356" s="391">
        <f t="shared" si="127"/>
        <v>4.2170963277930475</v>
      </c>
      <c r="E356" s="383">
        <f t="shared" si="125"/>
        <v>4.4595776177751985</v>
      </c>
      <c r="F356" s="383">
        <f t="shared" si="128"/>
        <v>4.4595776177751985</v>
      </c>
      <c r="G356" s="110">
        <f t="shared" si="126"/>
        <v>0.17887604745695637</v>
      </c>
      <c r="H356" s="412" t="b">
        <f>Wh_hp&gt;='2023'!Maxi_hp</f>
        <v>0</v>
      </c>
      <c r="I356" s="388">
        <f>IF(H356,Wh_hp,'2023'!Maxi_hp)</f>
        <v>17.076709643331426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4.0404065088023411E-2</v>
      </c>
      <c r="M356" s="832"/>
      <c r="N356" s="832"/>
      <c r="O356" s="48">
        <f>IF(t&lt;Tnet,'2023'!Resal+('2023'!Salim-'2023'!Resal)*(1-EXP(('2023'!Tnet-t)/('2023'!Tau_j))),Resal+(Salim-Resal)*(1-EXP((Tnet-t)/(Tau_j))))*Salcycl</f>
        <v>5.4373151622175493E-2</v>
      </c>
      <c r="P356" s="169">
        <f>(INDEX(Models!$BJ356:$BT356,,T356)*(1-R356)+INDEX(Models!$BJ356:$BT356,,T356+1)*R356-ERP_i)*Q356*Ramure*Pc/MaxiM</f>
        <v>1.0116938239745254E-2</v>
      </c>
      <c r="Q356" s="304">
        <f t="shared" si="130"/>
        <v>0.6</v>
      </c>
      <c r="R356" s="177">
        <f t="shared" si="131"/>
        <v>0.49898329279053932</v>
      </c>
      <c r="S356" s="799">
        <f t="shared" si="132"/>
        <v>1</v>
      </c>
      <c r="T356" s="176">
        <f t="shared" si="133"/>
        <v>7</v>
      </c>
      <c r="U356" s="250">
        <f t="shared" si="134"/>
        <v>1.4989832927905393</v>
      </c>
      <c r="V356" s="382">
        <f t="shared" si="135"/>
        <v>22.394100553600197</v>
      </c>
      <c r="W356" s="400">
        <f t="shared" si="136"/>
        <v>4.0467084932824324</v>
      </c>
      <c r="X356" s="157">
        <f t="shared" si="137"/>
        <v>45633</v>
      </c>
      <c r="Y356" s="383">
        <f t="shared" si="138"/>
        <v>3.9804399952985663</v>
      </c>
      <c r="Z356" s="383">
        <f t="shared" si="139"/>
        <v>4.1480375754860725</v>
      </c>
      <c r="AA356" s="384">
        <f t="shared" si="140"/>
        <v>4.4595776177751985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6.9858643349400368E-2</v>
      </c>
      <c r="AD356" s="230">
        <f>(INDEX(Models!$BJ356:$BT356,,AH356)*(1-AF356)+INDEX(Models!$BJ356:$BT356,,AH356+1)*AF356-ERP_i)*AE356*Ramure*Pc/MaxiM</f>
        <v>1.0116938239745254E-2</v>
      </c>
      <c r="AE356" s="304">
        <f t="shared" si="142"/>
        <v>0.6</v>
      </c>
      <c r="AF356" s="177">
        <f t="shared" si="143"/>
        <v>0.49898329279053932</v>
      </c>
      <c r="AG356" s="799">
        <f t="shared" si="149"/>
        <v>1</v>
      </c>
      <c r="AH356" s="176">
        <f t="shared" si="144"/>
        <v>7</v>
      </c>
      <c r="AI356" s="224">
        <f t="shared" si="145"/>
        <v>1.4989832927905393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'2023'!Wh/'2023'!Env_an*'2024'!Env_an</f>
        <v>4.9389161178152028</v>
      </c>
      <c r="C357" s="829"/>
      <c r="D357" s="391">
        <f t="shared" si="127"/>
        <v>5.1469692535566525</v>
      </c>
      <c r="E357" s="383">
        <f t="shared" si="125"/>
        <v>5.443175900176092</v>
      </c>
      <c r="F357" s="383">
        <f t="shared" si="128"/>
        <v>5.443175900176092</v>
      </c>
      <c r="G357" s="110">
        <f t="shared" si="126"/>
        <v>0.21940611583254196</v>
      </c>
      <c r="H357" s="412" t="b">
        <f>Wh_hp&gt;='2023'!Maxi_hp</f>
        <v>0</v>
      </c>
      <c r="I357" s="388">
        <f>IF(H357,Wh_hp,'2023'!Maxi_hp)</f>
        <v>11.827516861952027</v>
      </c>
      <c r="J357" s="85">
        <f>IF(H357,An,'2023'!An_max)</f>
        <v>2018</v>
      </c>
      <c r="K357" s="197">
        <f t="shared" si="129"/>
        <v>45634</v>
      </c>
      <c r="L357" s="147">
        <f>IF(t&lt;Tvie,1-EXP((T0-t)*PertePVj)+'2023'!Pspv,1-EXP((T0-t)*PertePVj)+Pspv)</f>
        <v>4.0422455525196965E-2</v>
      </c>
      <c r="M357" s="832"/>
      <c r="N357" s="832"/>
      <c r="O357" s="48">
        <f>IF(t&lt;Tnet,'2023'!Resal+('2023'!Salim-'2023'!Resal)*(1-EXP(('2023'!Tnet-t)/('2023'!Tau_j))),Resal+(Salim-Resal)*(1-EXP((Tnet-t)/(Tau_j))))*Salcycl</f>
        <v>5.4417981717228073E-2</v>
      </c>
      <c r="P357" s="169">
        <f>(INDEX(Models!$BJ357:$BT357,,T357)*(1-R357)+INDEX(Models!$BJ357:$BT357,,T357+1)*R357-ERP_i)*Q357*Ramure*Pc/MaxiM</f>
        <v>1.0169461754208957E-2</v>
      </c>
      <c r="Q357" s="304">
        <f t="shared" si="130"/>
        <v>0.6</v>
      </c>
      <c r="R357" s="177">
        <f t="shared" si="131"/>
        <v>0.49899514189289929</v>
      </c>
      <c r="S357" s="799">
        <f t="shared" si="132"/>
        <v>1</v>
      </c>
      <c r="T357" s="176">
        <f t="shared" si="133"/>
        <v>7</v>
      </c>
      <c r="U357" s="250">
        <f t="shared" si="134"/>
        <v>1.4989951418928993</v>
      </c>
      <c r="V357" s="382">
        <f t="shared" si="135"/>
        <v>22.281466406246601</v>
      </c>
      <c r="W357" s="400">
        <f t="shared" si="136"/>
        <v>4.9389161178152028</v>
      </c>
      <c r="X357" s="157">
        <f t="shared" si="137"/>
        <v>45634</v>
      </c>
      <c r="Y357" s="383">
        <f t="shared" si="138"/>
        <v>4.8581349398807285</v>
      </c>
      <c r="Z357" s="383">
        <f t="shared" si="139"/>
        <v>5.0627851473324004</v>
      </c>
      <c r="AA357" s="384">
        <f t="shared" si="140"/>
        <v>5.443175900176092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6.9883972118443896E-2</v>
      </c>
      <c r="AD357" s="230">
        <f>(INDEX(Models!$BJ357:$BT357,,AH357)*(1-AF357)+INDEX(Models!$BJ357:$BT357,,AH357+1)*AF357-ERP_i)*AE357*Ramure*Pc/MaxiM</f>
        <v>1.0169461754208957E-2</v>
      </c>
      <c r="AE357" s="304">
        <f t="shared" si="142"/>
        <v>0.6</v>
      </c>
      <c r="AF357" s="177">
        <f t="shared" si="143"/>
        <v>0.49899514189289929</v>
      </c>
      <c r="AG357" s="799">
        <f t="shared" si="149"/>
        <v>1</v>
      </c>
      <c r="AH357" s="176">
        <f t="shared" si="144"/>
        <v>7</v>
      </c>
      <c r="AI357" s="224">
        <f t="shared" si="145"/>
        <v>1.4989951418928993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'2023'!Wh/'2023'!Env_an*'2024'!Env_an</f>
        <v>11.956343516984029</v>
      </c>
      <c r="C358" s="829"/>
      <c r="D358" s="391">
        <f t="shared" si="127"/>
        <v>12.460246418662754</v>
      </c>
      <c r="E358" s="383">
        <f t="shared" si="125"/>
        <v>13.177964854195926</v>
      </c>
      <c r="F358" s="383">
        <f t="shared" si="128"/>
        <v>13.224097759257447</v>
      </c>
      <c r="G358" s="110">
        <f t="shared" si="126"/>
        <v>0.53542325651054412</v>
      </c>
      <c r="H358" s="412" t="b">
        <f>Wh_hp&gt;='2023'!Maxi_hp</f>
        <v>0</v>
      </c>
      <c r="I358" s="388">
        <f>IF(H358,Wh_hp,'2023'!Maxi_hp)</f>
        <v>21.581579026303849</v>
      </c>
      <c r="J358" s="85">
        <f>IF(H358,An,'2023'!An_max)</f>
        <v>2018</v>
      </c>
      <c r="K358" s="197">
        <f t="shared" si="129"/>
        <v>45635</v>
      </c>
      <c r="L358" s="147">
        <f>IF(t&lt;Tvie,1-EXP((T0-t)*PertePVj)+'2023'!Pspv,1-EXP((T0-t)*PertePVj)+Pspv)</f>
        <v>4.0440845609922005E-2</v>
      </c>
      <c r="M358" s="832"/>
      <c r="N358" s="832"/>
      <c r="O358" s="48">
        <f>IF(t&lt;Tnet,'2023'!Resal+('2023'!Salim-'2023'!Resal)*(1-EXP(('2023'!Tnet-t)/('2023'!Tau_j))),Resal+(Salim-Resal)*(1-EXP((Tnet-t)/(Tau_j))))*Salcycl</f>
        <v>5.4463526308817484E-2</v>
      </c>
      <c r="P358" s="169">
        <f>(INDEX(Models!$BJ358:$BT358,,T358)*(1-R358)+INDEX(Models!$BJ358:$BT358,,T358+1)*R358-ERP_i)*Q358*Ramure*Pc/MaxiM</f>
        <v>1.0214862336946608E-2</v>
      </c>
      <c r="Q358" s="304">
        <f t="shared" si="130"/>
        <v>0.6</v>
      </c>
      <c r="R358" s="177">
        <f t="shared" si="131"/>
        <v>0.49900651444354382</v>
      </c>
      <c r="S358" s="799">
        <f t="shared" si="132"/>
        <v>1</v>
      </c>
      <c r="T358" s="176">
        <f t="shared" si="133"/>
        <v>7</v>
      </c>
      <c r="U358" s="250">
        <f t="shared" si="134"/>
        <v>1.4990065144435438</v>
      </c>
      <c r="V358" s="382">
        <f t="shared" si="135"/>
        <v>22.17991040529537</v>
      </c>
      <c r="W358" s="400">
        <f t="shared" si="136"/>
        <v>11.956343516984029</v>
      </c>
      <c r="X358" s="157">
        <f t="shared" si="137"/>
        <v>45635</v>
      </c>
      <c r="Y358" s="383">
        <f t="shared" si="138"/>
        <v>11.761018924015245</v>
      </c>
      <c r="Z358" s="383">
        <f t="shared" si="139"/>
        <v>12.256689824913265</v>
      </c>
      <c r="AA358" s="384">
        <f t="shared" si="140"/>
        <v>13.177964854195926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6.9910266074910909E-2</v>
      </c>
      <c r="AD358" s="230">
        <f>(INDEX(Models!$BJ358:$BT358,,AH358)*(1-AF358)+INDEX(Models!$BJ358:$BT358,,AH358+1)*AF358-ERP_i)*AE358*Ramure*Pc/MaxiM</f>
        <v>1.0214862336946608E-2</v>
      </c>
      <c r="AE358" s="304">
        <f t="shared" si="142"/>
        <v>0.6</v>
      </c>
      <c r="AF358" s="177">
        <f t="shared" si="143"/>
        <v>0.49900651444354382</v>
      </c>
      <c r="AG358" s="799">
        <f t="shared" si="149"/>
        <v>1</v>
      </c>
      <c r="AH358" s="176">
        <f t="shared" si="144"/>
        <v>7</v>
      </c>
      <c r="AI358" s="224">
        <f t="shared" si="145"/>
        <v>1.4990065144435438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'2023'!Wh/'2023'!Env_an*'2024'!Env_an</f>
        <v>17.10839092768299</v>
      </c>
      <c r="C359" s="829"/>
      <c r="D359" s="391">
        <f t="shared" si="127"/>
        <v>17.829769779280227</v>
      </c>
      <c r="E359" s="383">
        <f t="shared" si="125"/>
        <v>18.857698348107263</v>
      </c>
      <c r="F359" s="383">
        <f t="shared" si="128"/>
        <v>18.989709696135609</v>
      </c>
      <c r="G359" s="110">
        <f t="shared" si="126"/>
        <v>0.77199745888530058</v>
      </c>
      <c r="H359" s="412" t="b">
        <f>Wh_hp&gt;='2023'!Maxi_hp</f>
        <v>0</v>
      </c>
      <c r="I359" s="388">
        <f>IF(H359,Wh_hp,'2023'!Maxi_hp)</f>
        <v>19.016268227893452</v>
      </c>
      <c r="J359" s="85">
        <f>IF(H359,An,'2023'!An_max)</f>
        <v>2022</v>
      </c>
      <c r="K359" s="197">
        <f t="shared" si="129"/>
        <v>45636</v>
      </c>
      <c r="L359" s="147">
        <f>IF(t&lt;Tvie,1-EXP((T0-t)*PertePVj)+'2023'!Pspv,1-EXP((T0-t)*PertePVj)+Pspv)</f>
        <v>4.0459235342205191E-2</v>
      </c>
      <c r="M359" s="832"/>
      <c r="N359" s="832"/>
      <c r="O359" s="48">
        <f>IF(t&lt;Tnet,'2023'!Resal+('2023'!Salim-'2023'!Resal)*(1-EXP(('2023'!Tnet-t)/('2023'!Tau_j))),Resal+(Salim-Resal)*(1-EXP((Tnet-t)/(Tau_j))))*Salcycl</f>
        <v>5.4509757757908471E-2</v>
      </c>
      <c r="P359" s="169">
        <f>(INDEX(Models!$BJ359:$BT359,,T359)*(1-R359)+INDEX(Models!$BJ359:$BT359,,T359+1)*R359-ERP_i)*Q359*Ramure*Pc/MaxiM</f>
        <v>1.0253871025729612E-2</v>
      </c>
      <c r="Q359" s="304">
        <f t="shared" si="130"/>
        <v>0.6</v>
      </c>
      <c r="R359" s="177">
        <f t="shared" si="131"/>
        <v>0.49901742958823525</v>
      </c>
      <c r="S359" s="799">
        <f t="shared" si="132"/>
        <v>1</v>
      </c>
      <c r="T359" s="176">
        <f t="shared" si="133"/>
        <v>7</v>
      </c>
      <c r="U359" s="250">
        <f t="shared" si="134"/>
        <v>1.4990174295882353</v>
      </c>
      <c r="V359" s="382">
        <f t="shared" si="135"/>
        <v>22.087509410132363</v>
      </c>
      <c r="W359" s="400">
        <f t="shared" si="136"/>
        <v>17.10839092768299</v>
      </c>
      <c r="X359" s="157">
        <f t="shared" si="137"/>
        <v>45636</v>
      </c>
      <c r="Y359" s="383">
        <f t="shared" si="138"/>
        <v>16.829230304759356</v>
      </c>
      <c r="Z359" s="383">
        <f t="shared" si="139"/>
        <v>17.538838290795532</v>
      </c>
      <c r="AA359" s="384">
        <f t="shared" si="140"/>
        <v>18.857698348107263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6.993748828547279E-2</v>
      </c>
      <c r="AD359" s="230">
        <f>(INDEX(Models!$BJ359:$BT359,,AH359)*(1-AF359)+INDEX(Models!$BJ359:$BT359,,AH359+1)*AF359-ERP_i)*AE359*Ramure*Pc/MaxiM</f>
        <v>1.0253871025729612E-2</v>
      </c>
      <c r="AE359" s="304">
        <f t="shared" si="142"/>
        <v>0.6</v>
      </c>
      <c r="AF359" s="177">
        <f t="shared" si="143"/>
        <v>0.49901742958823525</v>
      </c>
      <c r="AG359" s="799">
        <f t="shared" si="149"/>
        <v>1</v>
      </c>
      <c r="AH359" s="176">
        <f t="shared" si="144"/>
        <v>7</v>
      </c>
      <c r="AI359" s="224">
        <f t="shared" si="145"/>
        <v>1.4990174295882353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'2023'!Wh/'2023'!Env_an*'2024'!Env_an</f>
        <v>5.2289425238022078</v>
      </c>
      <c r="C360" s="829"/>
      <c r="D360" s="391">
        <f t="shared" si="127"/>
        <v>5.4495264086859168</v>
      </c>
      <c r="E360" s="383">
        <f t="shared" si="125"/>
        <v>5.7639903983096907</v>
      </c>
      <c r="F360" s="383">
        <f t="shared" si="128"/>
        <v>5.7639903983096907</v>
      </c>
      <c r="G360" s="110">
        <f t="shared" si="126"/>
        <v>0.23520998810944879</v>
      </c>
      <c r="H360" s="412" t="b">
        <f>Wh_hp&gt;='2023'!Maxi_hp</f>
        <v>0</v>
      </c>
      <c r="I360" s="388">
        <f>IF(H360,Wh_hp,'2023'!Maxi_hp)</f>
        <v>23.902821263615333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4.0477624722053518E-2</v>
      </c>
      <c r="M360" s="832"/>
      <c r="N360" s="832"/>
      <c r="O360" s="48">
        <f>IF(t&lt;Tnet,'2023'!Resal+('2023'!Salim-'2023'!Resal)*(1-EXP(('2023'!Tnet-t)/('2023'!Tau_j))),Resal+(Salim-Resal)*(1-EXP((Tnet-t)/(Tau_j))))*Salcycl</f>
        <v>5.4556647026336322E-2</v>
      </c>
      <c r="P360" s="169">
        <f>(INDEX(Models!$BJ360:$BT360,,T360)*(1-R360)+INDEX(Models!$BJ360:$BT360,,T360+1)*R360-ERP_i)*Q360*Ramure*Pc/MaxiM</f>
        <v>1.0287285575710299E-2</v>
      </c>
      <c r="Q360" s="304">
        <f t="shared" si="130"/>
        <v>0.6</v>
      </c>
      <c r="R360" s="177">
        <f t="shared" si="131"/>
        <v>0.49902790570514988</v>
      </c>
      <c r="S360" s="799">
        <f t="shared" si="132"/>
        <v>1</v>
      </c>
      <c r="T360" s="176">
        <f t="shared" si="133"/>
        <v>7</v>
      </c>
      <c r="U360" s="250">
        <f t="shared" si="134"/>
        <v>1.4990279057051499</v>
      </c>
      <c r="V360" s="382">
        <f t="shared" si="135"/>
        <v>22.002258239104879</v>
      </c>
      <c r="W360" s="400">
        <f t="shared" si="136"/>
        <v>5.2289425238022078</v>
      </c>
      <c r="X360" s="157">
        <f t="shared" si="137"/>
        <v>45637</v>
      </c>
      <c r="Y360" s="383">
        <f t="shared" si="138"/>
        <v>5.1437205697814559</v>
      </c>
      <c r="Z360" s="383">
        <f t="shared" si="139"/>
        <v>5.360709351140942</v>
      </c>
      <c r="AA360" s="384">
        <f t="shared" si="140"/>
        <v>5.7639903983096907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6.996560009659486E-2</v>
      </c>
      <c r="AD360" s="230">
        <f>(INDEX(Models!$BJ360:$BT360,,AH360)*(1-AF360)+INDEX(Models!$BJ360:$BT360,,AH360+1)*AF360-ERP_i)*AE360*Ramure*Pc/MaxiM</f>
        <v>1.0287285575710299E-2</v>
      </c>
      <c r="AE360" s="304">
        <f t="shared" si="142"/>
        <v>0.6</v>
      </c>
      <c r="AF360" s="177">
        <f t="shared" si="143"/>
        <v>0.49902790570514988</v>
      </c>
      <c r="AG360" s="799">
        <f t="shared" si="149"/>
        <v>1</v>
      </c>
      <c r="AH360" s="176">
        <f t="shared" si="144"/>
        <v>7</v>
      </c>
      <c r="AI360" s="224">
        <f t="shared" si="145"/>
        <v>1.4990279057051499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'2023'!Wh/'2023'!Env_an*'2024'!Env_an</f>
        <v>5.2941630386259542</v>
      </c>
      <c r="C361" s="829"/>
      <c r="D361" s="391">
        <f t="shared" si="127"/>
        <v>5.5176040063304619</v>
      </c>
      <c r="E361" s="383">
        <f t="shared" ref="E361:E379" si="150">Wh_pvt/(1-Psa)</f>
        <v>5.8362897271434919</v>
      </c>
      <c r="F361" s="383">
        <f t="shared" si="128"/>
        <v>5.8362897271434919</v>
      </c>
      <c r="G361" s="110">
        <f t="shared" ref="G361:G379" si="151">+Wh_hp/MaxiM</f>
        <v>0.23898031547364998</v>
      </c>
      <c r="H361" s="412" t="b">
        <f>Wh_hp&gt;='2023'!Maxi_hp</f>
        <v>0</v>
      </c>
      <c r="I361" s="388">
        <f>IF(H361,Wh_hp,'2023'!Maxi_hp)</f>
        <v>25.0294040728553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4.0496013749473425E-2</v>
      </c>
      <c r="M361" s="832"/>
      <c r="N361" s="832"/>
      <c r="O361" s="48">
        <f>IF(t&lt;Tnet,'2023'!Resal+('2023'!Salim-'2023'!Resal)*(1-EXP(('2023'!Tnet-t)/('2023'!Tau_j))),Resal+(Salim-Resal)*(1-EXP((Tnet-t)/(Tau_j))))*Salcycl</f>
        <v>5.4604163897292828E-2</v>
      </c>
      <c r="P361" s="169">
        <f>(INDEX(Models!$BJ361:$BT361,,T361)*(1-R361)+INDEX(Models!$BJ361:$BT361,,T361+1)*R361-ERP_i)*Q361*Ramure*Pc/MaxiM</f>
        <v>1.0314299699240295E-2</v>
      </c>
      <c r="Q361" s="304">
        <f t="shared" si="130"/>
        <v>0.6</v>
      </c>
      <c r="R361" s="177">
        <f t="shared" si="131"/>
        <v>0.49903796043552573</v>
      </c>
      <c r="S361" s="799">
        <f t="shared" si="132"/>
        <v>1</v>
      </c>
      <c r="T361" s="176">
        <f t="shared" si="133"/>
        <v>7</v>
      </c>
      <c r="U361" s="250">
        <f t="shared" si="134"/>
        <v>1.4990379604355257</v>
      </c>
      <c r="V361" s="382">
        <f t="shared" si="135"/>
        <v>21.924640295182137</v>
      </c>
      <c r="W361" s="400">
        <f t="shared" si="136"/>
        <v>5.2941630386259542</v>
      </c>
      <c r="X361" s="157">
        <f t="shared" si="137"/>
        <v>45638</v>
      </c>
      <c r="Y361" s="383">
        <f t="shared" si="138"/>
        <v>5.2079776857752274</v>
      </c>
      <c r="Z361" s="383">
        <f t="shared" si="139"/>
        <v>5.4277811873680157</v>
      </c>
      <c r="AA361" s="384">
        <f t="shared" si="140"/>
        <v>5.8362897271434919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6.999456142068812E-2</v>
      </c>
      <c r="AD361" s="230">
        <f>(INDEX(Models!$BJ361:$BT361,,AH361)*(1-AF361)+INDEX(Models!$BJ361:$BT361,,AH361+1)*AF361-ERP_i)*AE361*Ramure*Pc/MaxiM</f>
        <v>1.0314299699240295E-2</v>
      </c>
      <c r="AE361" s="304">
        <f t="shared" si="142"/>
        <v>0.6</v>
      </c>
      <c r="AF361" s="177">
        <f t="shared" si="143"/>
        <v>0.49903796043552573</v>
      </c>
      <c r="AG361" s="799">
        <f t="shared" si="149"/>
        <v>1</v>
      </c>
      <c r="AH361" s="176">
        <f t="shared" si="144"/>
        <v>7</v>
      </c>
      <c r="AI361" s="224">
        <f t="shared" si="145"/>
        <v>1.4990379604355257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'2023'!Wh/'2023'!Env_an*'2024'!Env_an</f>
        <v>16.905519526867252</v>
      </c>
      <c r="C362" s="829"/>
      <c r="D362" s="391">
        <f t="shared" si="127"/>
        <v>17.619357257247934</v>
      </c>
      <c r="E362" s="383">
        <f t="shared" si="150"/>
        <v>18.637964457157953</v>
      </c>
      <c r="F362" s="383">
        <f t="shared" si="128"/>
        <v>18.76917962612216</v>
      </c>
      <c r="G362" s="110">
        <f t="shared" si="151"/>
        <v>0.7709218725367688</v>
      </c>
      <c r="H362" s="412" t="b">
        <f>Wh_hp&gt;='2023'!Maxi_hp</f>
        <v>0</v>
      </c>
      <c r="I362" s="388">
        <f>IF(H362,Wh_hp,'2023'!Maxi_hp)</f>
        <v>24.68921870882129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4.0514402424471907E-2</v>
      </c>
      <c r="M362" s="832"/>
      <c r="N362" s="832"/>
      <c r="O362" s="48">
        <f>IF(t&lt;Tnet,'2023'!Resal+('2023'!Salim-'2023'!Resal)*(1-EXP(('2023'!Tnet-t)/('2023'!Tau_j))),Resal+(Salim-Resal)*(1-EXP((Tnet-t)/(Tau_j))))*Salcycl</f>
        <v>5.4652277197514476E-2</v>
      </c>
      <c r="P362" s="169">
        <f>(INDEX(Models!$BJ362:$BT362,,T362)*(1-R362)+INDEX(Models!$BJ362:$BT362,,T362+1)*R362-ERP_i)*Q362*Ramure*Pc/MaxiM</f>
        <v>1.0334573745889546E-2</v>
      </c>
      <c r="Q362" s="304">
        <f t="shared" si="130"/>
        <v>0.6</v>
      </c>
      <c r="R362" s="177">
        <f t="shared" si="131"/>
        <v>0.49904761071309522</v>
      </c>
      <c r="S362" s="799">
        <f t="shared" si="132"/>
        <v>1</v>
      </c>
      <c r="T362" s="176">
        <f t="shared" si="133"/>
        <v>7</v>
      </c>
      <c r="U362" s="250">
        <f t="shared" si="134"/>
        <v>1.4990476107130952</v>
      </c>
      <c r="V362" s="382">
        <f t="shared" si="135"/>
        <v>21.855128487931861</v>
      </c>
      <c r="W362" s="400">
        <f t="shared" si="136"/>
        <v>16.905519526867252</v>
      </c>
      <c r="X362" s="157">
        <f t="shared" si="137"/>
        <v>45639</v>
      </c>
      <c r="Y362" s="383">
        <f t="shared" si="138"/>
        <v>16.630623263981914</v>
      </c>
      <c r="Z362" s="383">
        <f t="shared" si="139"/>
        <v>17.332853464403144</v>
      </c>
      <c r="AA362" s="384">
        <f t="shared" si="140"/>
        <v>18.637964457157953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7.0024331023636949E-2</v>
      </c>
      <c r="AD362" s="230">
        <f>(INDEX(Models!$BJ362:$BT362,,AH362)*(1-AF362)+INDEX(Models!$BJ362:$BT362,,AH362+1)*AF362-ERP_i)*AE362*Ramure*Pc/MaxiM</f>
        <v>1.0334573745889546E-2</v>
      </c>
      <c r="AE362" s="304">
        <f t="shared" si="142"/>
        <v>0.6</v>
      </c>
      <c r="AF362" s="177">
        <f t="shared" si="143"/>
        <v>0.49904761071309522</v>
      </c>
      <c r="AG362" s="799">
        <f t="shared" si="149"/>
        <v>1</v>
      </c>
      <c r="AH362" s="176">
        <f t="shared" si="144"/>
        <v>7</v>
      </c>
      <c r="AI362" s="224">
        <f t="shared" si="145"/>
        <v>1.4990476107130952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'2023'!Wh/'2023'!Env_an*'2024'!Env_an</f>
        <v>5.7777042064501725</v>
      </c>
      <c r="C363" s="829"/>
      <c r="D363" s="391">
        <f t="shared" si="127"/>
        <v>6.0217839137501947</v>
      </c>
      <c r="E363" s="383">
        <f t="shared" si="150"/>
        <v>6.3702422484453063</v>
      </c>
      <c r="F363" s="383">
        <f t="shared" si="128"/>
        <v>6.3702422484453063</v>
      </c>
      <c r="G363" s="110">
        <f t="shared" si="151"/>
        <v>0.26235966340666833</v>
      </c>
      <c r="H363" s="412" t="b">
        <f>Wh_hp&gt;='2023'!Maxi_hp</f>
        <v>0</v>
      </c>
      <c r="I363" s="388">
        <f>IF(H363,Wh_hp,'2023'!Maxi_hp)</f>
        <v>24.850474320764231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4.0532790747055625E-2</v>
      </c>
      <c r="M363" s="832"/>
      <c r="N363" s="832"/>
      <c r="O363" s="48">
        <f>IF(t&lt;Tnet,'2023'!Resal+('2023'!Salim-'2023'!Resal)*(1-EXP(('2023'!Tnet-t)/('2023'!Tau_j))),Resal+(Salim-Resal)*(1-EXP((Tnet-t)/(Tau_j))))*Salcycl</f>
        <v>5.4700955019435019E-2</v>
      </c>
      <c r="P363" s="169">
        <f>(INDEX(Models!$BJ363:$BT363,,T363)*(1-R363)+INDEX(Models!$BJ363:$BT363,,T363+1)*R363-ERP_i)*Q363*Ramure*Pc/MaxiM</f>
        <v>1.0347764762820361E-2</v>
      </c>
      <c r="Q363" s="304">
        <f t="shared" si="130"/>
        <v>0.6</v>
      </c>
      <c r="R363" s="177">
        <f t="shared" si="131"/>
        <v>0.49905687279235167</v>
      </c>
      <c r="S363" s="799">
        <f t="shared" si="132"/>
        <v>1</v>
      </c>
      <c r="T363" s="176">
        <f t="shared" si="133"/>
        <v>7</v>
      </c>
      <c r="U363" s="250">
        <f t="shared" si="134"/>
        <v>1.4990568727923517</v>
      </c>
      <c r="V363" s="382">
        <f t="shared" si="135"/>
        <v>21.79419583104762</v>
      </c>
      <c r="W363" s="400">
        <f t="shared" si="136"/>
        <v>5.7777042064501725</v>
      </c>
      <c r="X363" s="157">
        <f t="shared" si="137"/>
        <v>45640</v>
      </c>
      <c r="Y363" s="383">
        <f t="shared" si="138"/>
        <v>5.6838605056473464</v>
      </c>
      <c r="Z363" s="383">
        <f t="shared" si="139"/>
        <v>5.9239757761736183</v>
      </c>
      <c r="AA363" s="384">
        <f t="shared" si="140"/>
        <v>6.3702422484453063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7.0054866811478322E-2</v>
      </c>
      <c r="AD363" s="230">
        <f>(INDEX(Models!$BJ363:$BT363,,AH363)*(1-AF363)+INDEX(Models!$BJ363:$BT363,,AH363+1)*AF363-ERP_i)*AE363*Ramure*Pc/MaxiM</f>
        <v>1.0347764762820361E-2</v>
      </c>
      <c r="AE363" s="304">
        <f t="shared" si="142"/>
        <v>0.6</v>
      </c>
      <c r="AF363" s="177">
        <f t="shared" si="143"/>
        <v>0.49905687279235167</v>
      </c>
      <c r="AG363" s="799">
        <f t="shared" si="149"/>
        <v>1</v>
      </c>
      <c r="AH363" s="176">
        <f t="shared" si="144"/>
        <v>7</v>
      </c>
      <c r="AI363" s="224">
        <f t="shared" si="145"/>
        <v>1.4990568727923517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'2023'!Wh/'2023'!Env_an*'2024'!Env_an</f>
        <v>5.1032597061183855</v>
      </c>
      <c r="C364" s="829"/>
      <c r="D364" s="391">
        <f t="shared" si="127"/>
        <v>5.3189493727194366</v>
      </c>
      <c r="E364" s="383">
        <f t="shared" si="150"/>
        <v>5.6270302045498415</v>
      </c>
      <c r="F364" s="383">
        <f t="shared" si="128"/>
        <v>5.6270302045498415</v>
      </c>
      <c r="G364" s="110">
        <f t="shared" si="151"/>
        <v>0.23228542386424522</v>
      </c>
      <c r="H364" s="412" t="b">
        <f>Wh_hp&gt;='2023'!Maxi_hp</f>
        <v>0</v>
      </c>
      <c r="I364" s="388">
        <f>IF(H364,Wh_hp,'2023'!Maxi_hp)</f>
        <v>24.489416018785828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4.055117871723124E-2</v>
      </c>
      <c r="M364" s="832"/>
      <c r="N364" s="832"/>
      <c r="O364" s="48">
        <f>IF(t&lt;Tnet,'2023'!Resal+('2023'!Salim-'2023'!Resal)*(1-EXP(('2023'!Tnet-t)/('2023'!Tau_j))),Resal+(Salim-Resal)*(1-EXP((Tnet-t)/(Tau_j))))*Salcycl</f>
        <v>5.4750164941588624E-2</v>
      </c>
      <c r="P364" s="169">
        <f>(INDEX(Models!$BJ364:$BT364,,T364)*(1-R364)+INDEX(Models!$BJ364:$BT364,,T364+1)*R364-ERP_i)*Q364*Ramure*Pc/MaxiM</f>
        <v>1.0353530609719842E-2</v>
      </c>
      <c r="Q364" s="304">
        <f t="shared" si="130"/>
        <v>0.6</v>
      </c>
      <c r="R364" s="177">
        <f t="shared" si="131"/>
        <v>0.49906576227569688</v>
      </c>
      <c r="S364" s="799">
        <f t="shared" si="132"/>
        <v>1</v>
      </c>
      <c r="T364" s="176">
        <f t="shared" si="133"/>
        <v>7</v>
      </c>
      <c r="U364" s="250">
        <f t="shared" si="134"/>
        <v>1.4990657622756969</v>
      </c>
      <c r="V364" s="382">
        <f t="shared" si="135"/>
        <v>21.742315408879737</v>
      </c>
      <c r="W364" s="400">
        <f t="shared" si="136"/>
        <v>5.1032597061183855</v>
      </c>
      <c r="X364" s="157">
        <f t="shared" si="137"/>
        <v>45641</v>
      </c>
      <c r="Y364" s="383">
        <f t="shared" si="138"/>
        <v>5.0204631905271704</v>
      </c>
      <c r="Z364" s="383">
        <f t="shared" si="139"/>
        <v>5.2326534559862043</v>
      </c>
      <c r="AA364" s="384">
        <f t="shared" si="140"/>
        <v>5.6270302045498415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7.008612611404802E-2</v>
      </c>
      <c r="AD364" s="230">
        <f>(INDEX(Models!$BJ364:$BT364,,AH364)*(1-AF364)+INDEX(Models!$BJ364:$BT364,,AH364+1)*AF364-ERP_i)*AE364*Ramure*Pc/MaxiM</f>
        <v>1.0353530609719842E-2</v>
      </c>
      <c r="AE364" s="304">
        <f t="shared" si="142"/>
        <v>0.6</v>
      </c>
      <c r="AF364" s="177">
        <f t="shared" si="143"/>
        <v>0.49906576227569688</v>
      </c>
      <c r="AG364" s="799">
        <f t="shared" si="149"/>
        <v>1</v>
      </c>
      <c r="AH364" s="176">
        <f t="shared" si="144"/>
        <v>7</v>
      </c>
      <c r="AI364" s="224">
        <f t="shared" si="145"/>
        <v>1.4990657622756969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'2023'!Wh/'2023'!Env_an*'2024'!Env_an</f>
        <v>3.4599452814045795</v>
      </c>
      <c r="C365" s="829"/>
      <c r="D365" s="391">
        <f t="shared" si="127"/>
        <v>3.6062492495549643</v>
      </c>
      <c r="E365" s="383">
        <f t="shared" si="150"/>
        <v>3.8153287873048467</v>
      </c>
      <c r="F365" s="383">
        <f t="shared" si="128"/>
        <v>3.8153287873048467</v>
      </c>
      <c r="G365" s="110">
        <f t="shared" si="151"/>
        <v>0.15779427649806271</v>
      </c>
      <c r="H365" s="412" t="b">
        <f>Wh_hp&gt;='2023'!Maxi_hp</f>
        <v>0</v>
      </c>
      <c r="I365" s="388">
        <f>IF(H365,Wh_hp,'2023'!Maxi_hp)</f>
        <v>24.995973707121568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4.0569566335005747E-2</v>
      </c>
      <c r="M365" s="832"/>
      <c r="N365" s="832"/>
      <c r="O365" s="48">
        <f>IF(t&lt;Tnet,'2023'!Resal+('2023'!Salim-'2023'!Resal)*(1-EXP(('2023'!Tnet-t)/('2023'!Tau_j))),Resal+(Salim-Resal)*(1-EXP((Tnet-t)/(Tau_j))))*Salcycl</f>
        <v>5.4799874245589277E-2</v>
      </c>
      <c r="P365" s="169">
        <f>(INDEX(Models!$BJ365:$BT365,,T365)*(1-R365)+INDEX(Models!$BJ365:$BT365,,T365+1)*R365-ERP_i)*Q365*Ramure*Pc/MaxiM</f>
        <v>1.035153429547366E-2</v>
      </c>
      <c r="Q365" s="304">
        <f t="shared" si="130"/>
        <v>0.6</v>
      </c>
      <c r="R365" s="177">
        <f t="shared" si="131"/>
        <v>0.49907429413950943</v>
      </c>
      <c r="S365" s="799">
        <f t="shared" si="132"/>
        <v>1</v>
      </c>
      <c r="T365" s="176">
        <f t="shared" si="133"/>
        <v>7</v>
      </c>
      <c r="U365" s="250">
        <f t="shared" si="134"/>
        <v>1.4990742941395094</v>
      </c>
      <c r="V365" s="382">
        <f t="shared" si="135"/>
        <v>21.699960322741472</v>
      </c>
      <c r="W365" s="400">
        <f t="shared" si="136"/>
        <v>3.4599452814045795</v>
      </c>
      <c r="X365" s="157">
        <f t="shared" si="137"/>
        <v>45642</v>
      </c>
      <c r="Y365" s="383">
        <f t="shared" si="138"/>
        <v>3.4038723887866067</v>
      </c>
      <c r="Z365" s="383">
        <f t="shared" si="139"/>
        <v>3.5478053117242911</v>
      </c>
      <c r="AA365" s="384">
        <f t="shared" si="140"/>
        <v>3.8153287873048467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7.0118065963466911E-2</v>
      </c>
      <c r="AD365" s="230">
        <f>(INDEX(Models!$BJ365:$BT365,,AH365)*(1-AF365)+INDEX(Models!$BJ365:$BT365,,AH365+1)*AF365-ERP_i)*AE365*Ramure*Pc/MaxiM</f>
        <v>1.035153429547366E-2</v>
      </c>
      <c r="AE365" s="304">
        <f t="shared" si="142"/>
        <v>0.6</v>
      </c>
      <c r="AF365" s="177">
        <f t="shared" si="143"/>
        <v>0.49907429413950943</v>
      </c>
      <c r="AG365" s="799">
        <f t="shared" si="149"/>
        <v>1</v>
      </c>
      <c r="AH365" s="176">
        <f t="shared" si="144"/>
        <v>7</v>
      </c>
      <c r="AI365" s="224">
        <f t="shared" si="145"/>
        <v>1.4990742941395094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'2023'!Wh/'2023'!Env_an*'2024'!Env_an</f>
        <v>20.639470741997627</v>
      </c>
      <c r="C366" s="829"/>
      <c r="D366" s="391">
        <f t="shared" si="127"/>
        <v>21.512624132093578</v>
      </c>
      <c r="E366" s="383">
        <f t="shared" si="150"/>
        <v>22.761069960389339</v>
      </c>
      <c r="F366" s="383">
        <f t="shared" si="128"/>
        <v>22.982637148006873</v>
      </c>
      <c r="G366" s="110">
        <f t="shared" si="151"/>
        <v>0.95187570361649088</v>
      </c>
      <c r="H366" s="412" t="b">
        <f>Wh_hp&gt;='2023'!Maxi_hp</f>
        <v>0</v>
      </c>
      <c r="I366" s="388">
        <f>IF(H366,Wh_hp,'2023'!Maxi_hp)</f>
        <v>25.161787004742354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4.0587953600385696E-2</v>
      </c>
      <c r="M366" s="832"/>
      <c r="N366" s="832"/>
      <c r="O366" s="48">
        <f>IF(t&lt;Tnet,'2023'!Resal+('2023'!Salim-'2023'!Resal)*(1-EXP(('2023'!Tnet-t)/('2023'!Tau_j))),Resal+(Salim-Resal)*(1-EXP((Tnet-t)/(Tau_j))))*Salcycl</f>
        <v>5.4850050128065431E-2</v>
      </c>
      <c r="P366" s="169">
        <f>(INDEX(Models!$BJ366:$BT366,,T366)*(1-R366)+INDEX(Models!$BJ366:$BT366,,T366+1)*R366-ERP_i)*Q366*Ramure*Pc/MaxiM</f>
        <v>1.0341650561472408E-2</v>
      </c>
      <c r="Q366" s="304">
        <f t="shared" si="130"/>
        <v>0.6</v>
      </c>
      <c r="R366" s="177">
        <f t="shared" si="131"/>
        <v>0.49908248275917866</v>
      </c>
      <c r="S366" s="799">
        <f t="shared" si="132"/>
        <v>1</v>
      </c>
      <c r="T366" s="176">
        <f t="shared" si="133"/>
        <v>7</v>
      </c>
      <c r="U366" s="250">
        <f t="shared" si="134"/>
        <v>1.4990824827591787</v>
      </c>
      <c r="V366" s="382">
        <f t="shared" si="135"/>
        <v>21.667599250037888</v>
      </c>
      <c r="W366" s="400">
        <f t="shared" si="136"/>
        <v>20.639470741997627</v>
      </c>
      <c r="X366" s="157">
        <f t="shared" si="137"/>
        <v>45643</v>
      </c>
      <c r="Y366" s="383">
        <f t="shared" si="138"/>
        <v>20.305347943281614</v>
      </c>
      <c r="Z366" s="383">
        <f t="shared" si="139"/>
        <v>21.164366258982774</v>
      </c>
      <c r="AA366" s="384">
        <f t="shared" si="140"/>
        <v>22.761069960389339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7.0150643365416487E-2</v>
      </c>
      <c r="AD366" s="230">
        <f>(INDEX(Models!$BJ366:$BT366,,AH366)*(1-AF366)+INDEX(Models!$BJ366:$BT366,,AH366+1)*AF366-ERP_i)*AE366*Ramure*Pc/MaxiM</f>
        <v>1.0341650561472408E-2</v>
      </c>
      <c r="AE366" s="304">
        <f t="shared" si="142"/>
        <v>0.6</v>
      </c>
      <c r="AF366" s="177">
        <f t="shared" si="143"/>
        <v>0.49908248275917866</v>
      </c>
      <c r="AG366" s="799">
        <f t="shared" si="149"/>
        <v>1</v>
      </c>
      <c r="AH366" s="176">
        <f t="shared" si="144"/>
        <v>7</v>
      </c>
      <c r="AI366" s="224">
        <f t="shared" si="145"/>
        <v>1.4990824827591787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'2023'!Wh/'2023'!Env_an*'2024'!Env_an</f>
        <v>17.563824035214189</v>
      </c>
      <c r="C367" s="829"/>
      <c r="D367" s="391">
        <f t="shared" si="127"/>
        <v>18.307212958456184</v>
      </c>
      <c r="E367" s="383">
        <f t="shared" si="150"/>
        <v>19.370675845181808</v>
      </c>
      <c r="F367" s="383">
        <f t="shared" si="128"/>
        <v>19.51797238285295</v>
      </c>
      <c r="G367" s="110">
        <f t="shared" si="151"/>
        <v>0.80915270665970651</v>
      </c>
      <c r="H367" s="412" t="b">
        <f>Wh_hp&gt;='2023'!Maxi_hp</f>
        <v>0</v>
      </c>
      <c r="I367" s="388">
        <f>IF(H367,Wh_hp,'2023'!Maxi_hp)</f>
        <v>24.884744497458982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4.0606340513377859E-2</v>
      </c>
      <c r="M367" s="832"/>
      <c r="N367" s="832"/>
      <c r="O367" s="48">
        <f>IF(t&lt;Tnet,'2023'!Resal+('2023'!Salim-'2023'!Resal)*(1-EXP(('2023'!Tnet-t)/('2023'!Tau_j))),Resal+(Salim-Resal)*(1-EXP((Tnet-t)/(Tau_j))))*Salcycl</f>
        <v>5.4900659905996289E-2</v>
      </c>
      <c r="P367" s="169">
        <f>(INDEX(Models!$BJ367:$BT367,,T367)*(1-R367)+INDEX(Models!$BJ367:$BT367,,T367+1)*R367-ERP_i)*Q367*Ramure*Pc/MaxiM</f>
        <v>1.0329316479379085E-2</v>
      </c>
      <c r="Q367" s="304">
        <f t="shared" si="130"/>
        <v>0.6</v>
      </c>
      <c r="R367" s="177">
        <f t="shared" si="131"/>
        <v>0.49909034193314472</v>
      </c>
      <c r="S367" s="799">
        <f t="shared" si="132"/>
        <v>1</v>
      </c>
      <c r="T367" s="176">
        <f t="shared" si="133"/>
        <v>7</v>
      </c>
      <c r="U367" s="250">
        <f t="shared" si="134"/>
        <v>1.4990903419331447</v>
      </c>
      <c r="V367" s="382">
        <f t="shared" si="135"/>
        <v>21.645579503656606</v>
      </c>
      <c r="W367" s="400">
        <f t="shared" si="136"/>
        <v>17.563824035214189</v>
      </c>
      <c r="X367" s="157">
        <f t="shared" si="137"/>
        <v>45644</v>
      </c>
      <c r="Y367" s="383">
        <f t="shared" si="138"/>
        <v>17.27980028739854</v>
      </c>
      <c r="Z367" s="383">
        <f t="shared" si="139"/>
        <v>18.011167904366886</v>
      </c>
      <c r="AA367" s="384">
        <f t="shared" si="140"/>
        <v>19.370675845181808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7.0183815561246005E-2</v>
      </c>
      <c r="AD367" s="230">
        <f>(INDEX(Models!$BJ367:$BT367,,AH367)*(1-AF367)+INDEX(Models!$BJ367:$BT367,,AH367+1)*AF367-ERP_i)*AE367*Ramure*Pc/MaxiM</f>
        <v>1.0329316479379085E-2</v>
      </c>
      <c r="AE367" s="304">
        <f t="shared" si="142"/>
        <v>0.6</v>
      </c>
      <c r="AF367" s="177">
        <f t="shared" si="143"/>
        <v>0.49909034193314472</v>
      </c>
      <c r="AG367" s="799">
        <f t="shared" si="149"/>
        <v>1</v>
      </c>
      <c r="AH367" s="176">
        <f t="shared" si="144"/>
        <v>7</v>
      </c>
      <c r="AI367" s="224">
        <f t="shared" si="145"/>
        <v>1.4990903419331447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'2023'!Wh/'2023'!Env_an*'2024'!Env_an</f>
        <v>4.4770306272821765</v>
      </c>
      <c r="C368" s="829"/>
      <c r="D368" s="391">
        <f t="shared" si="127"/>
        <v>4.6666104011912077</v>
      </c>
      <c r="E368" s="383">
        <f t="shared" si="150"/>
        <v>4.9379595297372498</v>
      </c>
      <c r="F368" s="383">
        <f t="shared" si="128"/>
        <v>4.9379595297372498</v>
      </c>
      <c r="G368" s="110">
        <f t="shared" si="151"/>
        <v>0.20480617615268737</v>
      </c>
      <c r="H368" s="412" t="b">
        <f>Wh_hp&gt;='2023'!Maxi_hp</f>
        <v>0</v>
      </c>
      <c r="I368" s="388">
        <f>IF(H368,Wh_hp,'2023'!Maxi_hp)</f>
        <v>24.174700505084488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4.0624727073989009E-2</v>
      </c>
      <c r="M368" s="832"/>
      <c r="N368" s="832"/>
      <c r="O368" s="48">
        <f>IF(t&lt;Tnet,'2023'!Resal+('2023'!Salim-'2023'!Resal)*(1-EXP(('2023'!Tnet-t)/('2023'!Tau_j))),Resal+(Salim-Resal)*(1-EXP((Tnet-t)/(Tau_j))))*Salcycl</f>
        <v>5.4951671213976226E-2</v>
      </c>
      <c r="P368" s="169">
        <f>(INDEX(Models!$BJ368:$BT368,,T368)*(1-R368)+INDEX(Models!$BJ368:$BT368,,T368+1)*R368-ERP_i)*Q368*Ramure*Pc/MaxiM</f>
        <v>1.031421294413855E-2</v>
      </c>
      <c r="Q368" s="304">
        <f t="shared" si="130"/>
        <v>0.6</v>
      </c>
      <c r="R368" s="177">
        <f t="shared" si="131"/>
        <v>0.49909788490598306</v>
      </c>
      <c r="S368" s="799">
        <f t="shared" si="132"/>
        <v>1</v>
      </c>
      <c r="T368" s="176">
        <f t="shared" si="133"/>
        <v>7</v>
      </c>
      <c r="U368" s="250">
        <f t="shared" si="134"/>
        <v>1.4990978849059831</v>
      </c>
      <c r="V368" s="382">
        <f t="shared" si="135"/>
        <v>21.634374818519447</v>
      </c>
      <c r="W368" s="400">
        <f t="shared" si="136"/>
        <v>4.4770306272821765</v>
      </c>
      <c r="X368" s="157">
        <f t="shared" si="137"/>
        <v>45645</v>
      </c>
      <c r="Y368" s="383">
        <f t="shared" si="138"/>
        <v>4.4047107667261907</v>
      </c>
      <c r="Z368" s="383">
        <f t="shared" si="139"/>
        <v>4.5912281575615417</v>
      </c>
      <c r="AA368" s="384">
        <f t="shared" si="140"/>
        <v>4.9379595297372498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7.0217540279062865E-2</v>
      </c>
      <c r="AD368" s="230">
        <f>(INDEX(Models!$BJ368:$BT368,,AH368)*(1-AF368)+INDEX(Models!$BJ368:$BT368,,AH368+1)*AF368-ERP_i)*AE368*Ramure*Pc/MaxiM</f>
        <v>1.031421294413855E-2</v>
      </c>
      <c r="AE368" s="304">
        <f t="shared" si="142"/>
        <v>0.6</v>
      </c>
      <c r="AF368" s="177">
        <f t="shared" si="143"/>
        <v>0.49909788490598306</v>
      </c>
      <c r="AG368" s="799">
        <f t="shared" si="149"/>
        <v>1</v>
      </c>
      <c r="AH368" s="176">
        <f t="shared" si="144"/>
        <v>7</v>
      </c>
      <c r="AI368" s="224">
        <f t="shared" si="145"/>
        <v>1.4990978849059831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'2023'!Wh/'2023'!Env_an*'2024'!Env_an</f>
        <v>20.498557661561478</v>
      </c>
      <c r="C369" s="829"/>
      <c r="D369" s="391">
        <f t="shared" si="127"/>
        <v>21.366978176070358</v>
      </c>
      <c r="E369" s="383">
        <f t="shared" si="150"/>
        <v>22.610631945037998</v>
      </c>
      <c r="F369" s="383">
        <f t="shared" si="128"/>
        <v>22.828040894903456</v>
      </c>
      <c r="G369" s="110">
        <f t="shared" si="151"/>
        <v>0.94675699665712065</v>
      </c>
      <c r="H369" s="412" t="b">
        <f>Wh_hp&gt;='2023'!Maxi_hp</f>
        <v>0</v>
      </c>
      <c r="I369" s="388">
        <f>IF(H369,Wh_hp,'2023'!Maxi_hp)</f>
        <v>22.834906208285311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4.0643113282226029E-2</v>
      </c>
      <c r="M369" s="832"/>
      <c r="N369" s="832"/>
      <c r="O369" s="48">
        <f>IF(t&lt;Tnet,'2023'!Resal+('2023'!Salim-'2023'!Resal)*(1-EXP(('2023'!Tnet-t)/('2023'!Tau_j))),Resal+(Salim-Resal)*(1-EXP((Tnet-t)/(Tau_j))))*Salcycl</f>
        <v>5.5003052192027092E-2</v>
      </c>
      <c r="P369" s="169">
        <f>(INDEX(Models!$BJ369:$BT369,,T369)*(1-R369)+INDEX(Models!$BJ369:$BT369,,T369+1)*R369-ERP_i)*Q369*Ramure*Pc/MaxiM</f>
        <v>1.0296032249158316E-2</v>
      </c>
      <c r="Q369" s="304">
        <f t="shared" si="130"/>
        <v>0.6</v>
      </c>
      <c r="R369" s="177">
        <f t="shared" si="131"/>
        <v>0.49910512439056998</v>
      </c>
      <c r="S369" s="799">
        <f t="shared" si="132"/>
        <v>1</v>
      </c>
      <c r="T369" s="176">
        <f t="shared" si="133"/>
        <v>7</v>
      </c>
      <c r="U369" s="250">
        <f t="shared" si="134"/>
        <v>1.49910512439057</v>
      </c>
      <c r="V369" s="382">
        <f t="shared" si="135"/>
        <v>21.634458686658956</v>
      </c>
      <c r="W369" s="400">
        <f t="shared" si="136"/>
        <v>20.498557661561478</v>
      </c>
      <c r="X369" s="157">
        <f t="shared" si="137"/>
        <v>45646</v>
      </c>
      <c r="Y369" s="383">
        <f t="shared" si="138"/>
        <v>20.167787446487491</v>
      </c>
      <c r="Z369" s="383">
        <f t="shared" si="139"/>
        <v>21.02219489504796</v>
      </c>
      <c r="AA369" s="384">
        <f t="shared" si="140"/>
        <v>22.610631945037998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7.0251775972083194E-2</v>
      </c>
      <c r="AD369" s="230">
        <f>(INDEX(Models!$BJ369:$BT369,,AH369)*(1-AF369)+INDEX(Models!$BJ369:$BT369,,AH369+1)*AF369-ERP_i)*AE369*Ramure*Pc/MaxiM</f>
        <v>1.0296032249158316E-2</v>
      </c>
      <c r="AE369" s="304">
        <f t="shared" si="142"/>
        <v>0.6</v>
      </c>
      <c r="AF369" s="177">
        <f t="shared" si="143"/>
        <v>0.49910512439056998</v>
      </c>
      <c r="AG369" s="799">
        <f t="shared" si="149"/>
        <v>1</v>
      </c>
      <c r="AH369" s="176">
        <f t="shared" si="144"/>
        <v>7</v>
      </c>
      <c r="AI369" s="224">
        <f t="shared" si="145"/>
        <v>1.49910512439057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'2023'!Wh/'2023'!Env_an*'2024'!Env_an</f>
        <v>17.331559758091462</v>
      </c>
      <c r="C370" s="829"/>
      <c r="D370" s="391">
        <f t="shared" si="127"/>
        <v>18.06615677627882</v>
      </c>
      <c r="E370" s="383">
        <f t="shared" si="150"/>
        <v>19.118734329255442</v>
      </c>
      <c r="F370" s="383">
        <f t="shared" si="128"/>
        <v>19.260273418883664</v>
      </c>
      <c r="G370" s="110">
        <f t="shared" si="151"/>
        <v>0.79831072988347207</v>
      </c>
      <c r="H370" s="412" t="b">
        <f>Wh_hp&gt;='2023'!Maxi_hp</f>
        <v>0</v>
      </c>
      <c r="I370" s="388">
        <f>IF(H370,Wh_hp,'2023'!Maxi_hp)</f>
        <v>24.5370383220707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4.0661499138095469E-2</v>
      </c>
      <c r="M370" s="832"/>
      <c r="N370" s="832"/>
      <c r="O370" s="48">
        <f>IF(t&lt;Tnet,'2023'!Resal+('2023'!Salim-'2023'!Resal)*(1-EXP(('2023'!Tnet-t)/('2023'!Tau_j))),Resal+(Salim-Resal)*(1-EXP((Tnet-t)/(Tau_j))))*Salcycl</f>
        <v>5.5054771662681169E-2</v>
      </c>
      <c r="P370" s="169">
        <f>(INDEX(Models!$BJ370:$BT370,,T370)*(1-R370)+INDEX(Models!$BJ370:$BT370,,T370+1)*R370-ERP_i)*Q370*Ramure*Pc/MaxiM</f>
        <v>1.0274480903223438E-2</v>
      </c>
      <c r="Q370" s="304">
        <f t="shared" si="130"/>
        <v>0.6</v>
      </c>
      <c r="R370" s="177">
        <f t="shared" si="131"/>
        <v>0.49911207258936741</v>
      </c>
      <c r="S370" s="799">
        <f t="shared" si="132"/>
        <v>1</v>
      </c>
      <c r="T370" s="176">
        <f t="shared" si="133"/>
        <v>7</v>
      </c>
      <c r="U370" s="250">
        <f t="shared" si="134"/>
        <v>1.4991120725893674</v>
      </c>
      <c r="V370" s="382">
        <f t="shared" si="135"/>
        <v>21.646304347874867</v>
      </c>
      <c r="W370" s="400">
        <f t="shared" si="136"/>
        <v>17.331559758091462</v>
      </c>
      <c r="X370" s="157">
        <f t="shared" si="137"/>
        <v>45647</v>
      </c>
      <c r="Y370" s="383">
        <f t="shared" si="138"/>
        <v>17.052189810763409</v>
      </c>
      <c r="Z370" s="383">
        <f t="shared" si="139"/>
        <v>17.774945752143903</v>
      </c>
      <c r="AA370" s="384">
        <f t="shared" si="140"/>
        <v>19.118734329255442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7.0286482042656709E-2</v>
      </c>
      <c r="AD370" s="230">
        <f>(INDEX(Models!$BJ370:$BT370,,AH370)*(1-AF370)+INDEX(Models!$BJ370:$BT370,,AH370+1)*AF370-ERP_i)*AE370*Ramure*Pc/MaxiM</f>
        <v>1.0274480903223438E-2</v>
      </c>
      <c r="AE370" s="304">
        <f t="shared" si="142"/>
        <v>0.6</v>
      </c>
      <c r="AF370" s="177">
        <f t="shared" si="143"/>
        <v>0.49911207258936741</v>
      </c>
      <c r="AG370" s="799">
        <f t="shared" si="149"/>
        <v>1</v>
      </c>
      <c r="AH370" s="176">
        <f t="shared" si="144"/>
        <v>7</v>
      </c>
      <c r="AI370" s="224">
        <f t="shared" si="145"/>
        <v>1.4991120725893674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'2023'!Wh/'2023'!Env_an*'2024'!Env_an</f>
        <v>17.564830370817415</v>
      </c>
      <c r="C371" s="829"/>
      <c r="D371" s="391">
        <f t="shared" si="127"/>
        <v>18.309665449113727</v>
      </c>
      <c r="E371" s="383">
        <f t="shared" si="150"/>
        <v>19.377497303901972</v>
      </c>
      <c r="F371" s="383">
        <f t="shared" si="128"/>
        <v>19.523441020508969</v>
      </c>
      <c r="G371" s="110">
        <f t="shared" si="151"/>
        <v>0.8082800180071803</v>
      </c>
      <c r="H371" s="412" t="b">
        <f>Wh_hp&gt;='2023'!Maxi_hp</f>
        <v>0</v>
      </c>
      <c r="I371" s="388">
        <f>IF(H371,Wh_hp,'2023'!Maxi_hp)</f>
        <v>20.621523847427799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4.0679884641604214E-2</v>
      </c>
      <c r="M371" s="832"/>
      <c r="N371" s="832"/>
      <c r="O371" s="48">
        <f>IF(t&lt;Tnet,'2023'!Resal+('2023'!Salim-'2023'!Resal)*(1-EXP(('2023'!Tnet-t)/('2023'!Tau_j))),Resal+(Salim-Resal)*(1-EXP((Tnet-t)/(Tau_j))))*Salcycl</f>
        <v>5.5106799296172321E-2</v>
      </c>
      <c r="P371" s="169">
        <f>(INDEX(Models!$BJ371:$BT371,,T371)*(1-R371)+INDEX(Models!$BJ371:$BT371,,T371+1)*R371-ERP_i)*Q371*Ramure*Pc/MaxiM</f>
        <v>1.0249265278041901E-2</v>
      </c>
      <c r="Q371" s="304">
        <f t="shared" si="130"/>
        <v>0.6</v>
      </c>
      <c r="R371" s="177">
        <f t="shared" si="131"/>
        <v>0.49911207258936741</v>
      </c>
      <c r="S371" s="799">
        <f t="shared" si="132"/>
        <v>1</v>
      </c>
      <c r="T371" s="176">
        <f t="shared" si="133"/>
        <v>7</v>
      </c>
      <c r="U371" s="250">
        <f t="shared" si="134"/>
        <v>1.4991120725893674</v>
      </c>
      <c r="V371" s="382">
        <f t="shared" si="135"/>
        <v>21.670385144095224</v>
      </c>
      <c r="W371" s="400">
        <f t="shared" si="136"/>
        <v>17.564830370817415</v>
      </c>
      <c r="X371" s="157">
        <f t="shared" si="137"/>
        <v>45648</v>
      </c>
      <c r="Y371" s="383">
        <f t="shared" si="138"/>
        <v>17.281998694275739</v>
      </c>
      <c r="Z371" s="383">
        <f t="shared" si="139"/>
        <v>18.014840320344263</v>
      </c>
      <c r="AA371" s="384">
        <f t="shared" si="140"/>
        <v>19.377497303901972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7.0321619050532122E-2</v>
      </c>
      <c r="AD371" s="230">
        <f>(INDEX(Models!$BJ371:$BT371,,AH371)*(1-AF371)+INDEX(Models!$BJ371:$BT371,,AH371+1)*AF371-ERP_i)*AE371*Ramure*Pc/MaxiM</f>
        <v>1.0249265278041901E-2</v>
      </c>
      <c r="AE371" s="304">
        <f t="shared" si="142"/>
        <v>0.6</v>
      </c>
      <c r="AF371" s="177">
        <f t="shared" si="143"/>
        <v>0.49911207258936741</v>
      </c>
      <c r="AG371" s="799">
        <f t="shared" si="149"/>
        <v>1</v>
      </c>
      <c r="AH371" s="176">
        <f t="shared" si="144"/>
        <v>7</v>
      </c>
      <c r="AI371" s="224">
        <f t="shared" si="145"/>
        <v>1.4991120725893674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'2023'!Wh/'2023'!Env_an*'2024'!Env_an</f>
        <v>20.875885314000936</v>
      </c>
      <c r="C372" s="829"/>
      <c r="D372" s="391">
        <f t="shared" si="127"/>
        <v>21.761542439302232</v>
      </c>
      <c r="E372" s="383">
        <f t="shared" si="150"/>
        <v>23.0319650345666</v>
      </c>
      <c r="F372" s="383">
        <f t="shared" si="128"/>
        <v>23.256647705140427</v>
      </c>
      <c r="G372" s="110">
        <f t="shared" si="151"/>
        <v>0.96116148296538806</v>
      </c>
      <c r="H372" s="412" t="b">
        <f>Wh_hp&gt;='2023'!Maxi_hp</f>
        <v>0</v>
      </c>
      <c r="I372" s="388">
        <f>IF(H372,Wh_hp,'2023'!Maxi_hp)</f>
        <v>23.261737833249224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4.0698269792758923E-2</v>
      </c>
      <c r="M372" s="832"/>
      <c r="N372" s="832"/>
      <c r="O372" s="48">
        <f>IF(t&lt;Tnet,'2023'!Resal+('2023'!Salim-'2023'!Resal)*(1-EXP(('2023'!Tnet-t)/('2023'!Tau_j))),Resal+(Salim-Resal)*(1-EXP((Tnet-t)/(Tau_j))))*Salcycl</f>
        <v>5.5159105762695719E-2</v>
      </c>
      <c r="P372" s="169">
        <f>(INDEX(Models!$BJ372:$BT372,,T372)*(1-R372)+INDEX(Models!$BJ372:$BT372,,T372+1)*R372-ERP_i)*Q372*Ramure*Pc/MaxiM</f>
        <v>1.0220130823736228E-2</v>
      </c>
      <c r="Q372" s="304">
        <f t="shared" si="130"/>
        <v>0.6</v>
      </c>
      <c r="R372" s="177">
        <f t="shared" si="131"/>
        <v>0.49911207258936741</v>
      </c>
      <c r="S372" s="799">
        <f t="shared" si="132"/>
        <v>1</v>
      </c>
      <c r="T372" s="176">
        <f t="shared" si="133"/>
        <v>7</v>
      </c>
      <c r="U372" s="250">
        <f t="shared" si="134"/>
        <v>1.4991120725893674</v>
      </c>
      <c r="V372" s="382">
        <f t="shared" si="135"/>
        <v>21.707173710887552</v>
      </c>
      <c r="W372" s="400">
        <f t="shared" si="136"/>
        <v>20.875885314000936</v>
      </c>
      <c r="X372" s="157">
        <f t="shared" si="137"/>
        <v>45649</v>
      </c>
      <c r="Y372" s="383">
        <f t="shared" si="138"/>
        <v>20.540090570619192</v>
      </c>
      <c r="Z372" s="383">
        <f t="shared" si="139"/>
        <v>21.411501641075795</v>
      </c>
      <c r="AA372" s="384">
        <f t="shared" si="140"/>
        <v>23.0319650345666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7.0357148904090339E-2</v>
      </c>
      <c r="AD372" s="230">
        <f>(INDEX(Models!$BJ372:$BT372,,AH372)*(1-AF372)+INDEX(Models!$BJ372:$BT372,,AH372+1)*AF372-ERP_i)*AE372*Ramure*Pc/MaxiM</f>
        <v>1.0220130823736228E-2</v>
      </c>
      <c r="AE372" s="304">
        <f t="shared" si="142"/>
        <v>0.6</v>
      </c>
      <c r="AF372" s="177">
        <f t="shared" si="143"/>
        <v>0.49911207258936741</v>
      </c>
      <c r="AG372" s="799">
        <f t="shared" si="149"/>
        <v>1</v>
      </c>
      <c r="AH372" s="176">
        <f t="shared" si="144"/>
        <v>7</v>
      </c>
      <c r="AI372" s="224">
        <f t="shared" si="145"/>
        <v>1.4991120725893674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'2023'!Wh/'2023'!Env_an*'2024'!Env_an</f>
        <v>11.79415807891402</v>
      </c>
      <c r="C373" s="829"/>
      <c r="D373" s="391">
        <f t="shared" si="127"/>
        <v>12.294759557086262</v>
      </c>
      <c r="E373" s="383">
        <f t="shared" si="150"/>
        <v>13.013242304032918</v>
      </c>
      <c r="F373" s="383">
        <f t="shared" si="128"/>
        <v>13.059249580917744</v>
      </c>
      <c r="G373" s="110">
        <f t="shared" si="151"/>
        <v>0.53845929148223604</v>
      </c>
      <c r="H373" s="412" t="b">
        <f>Wh_hp&gt;='2023'!Maxi_hp</f>
        <v>0</v>
      </c>
      <c r="I373" s="388">
        <f>IF(H373,Wh_hp,'2023'!Maxi_hp)</f>
        <v>13.093361004637606</v>
      </c>
      <c r="J373" s="85">
        <f>IF(H373,An,'2023'!An_max)</f>
        <v>2022</v>
      </c>
      <c r="K373" s="197">
        <f t="shared" si="129"/>
        <v>45650</v>
      </c>
      <c r="L373" s="147">
        <f>IF(t&lt;Tvie,1-EXP((T0-t)*PertePVj)+'2023'!Pspv,1-EXP((T0-t)*PertePVj)+Pspv)</f>
        <v>4.0716654591566481E-2</v>
      </c>
      <c r="M373" s="832"/>
      <c r="N373" s="832"/>
      <c r="O373" s="48">
        <f>IF(t&lt;Tnet,'2023'!Resal+('2023'!Salim-'2023'!Resal)*(1-EXP(('2023'!Tnet-t)/('2023'!Tau_j))),Resal+(Salim-Resal)*(1-EXP((Tnet-t)/(Tau_j))))*Salcycl</f>
        <v>5.5211662870827419E-2</v>
      </c>
      <c r="P373" s="169">
        <f>(INDEX(Models!$BJ373:$BT373,,T373)*(1-R373)+INDEX(Models!$BJ373:$BT373,,T373+1)*R373-ERP_i)*Q373*Ramure*Pc/MaxiM</f>
        <v>1.0186839432634331E-2</v>
      </c>
      <c r="Q373" s="304">
        <f t="shared" si="130"/>
        <v>0.6</v>
      </c>
      <c r="R373" s="177">
        <f t="shared" si="131"/>
        <v>0.49911207258936741</v>
      </c>
      <c r="S373" s="799">
        <f t="shared" si="132"/>
        <v>1</v>
      </c>
      <c r="T373" s="176">
        <f t="shared" si="133"/>
        <v>7</v>
      </c>
      <c r="U373" s="250">
        <f t="shared" si="134"/>
        <v>1.4991120725893674</v>
      </c>
      <c r="V373" s="382">
        <f t="shared" si="135"/>
        <v>21.757049433587703</v>
      </c>
      <c r="W373" s="400">
        <f t="shared" si="136"/>
        <v>11.79415807891402</v>
      </c>
      <c r="X373" s="157">
        <f t="shared" si="137"/>
        <v>45650</v>
      </c>
      <c r="Y373" s="383">
        <f t="shared" si="138"/>
        <v>11.604643140907074</v>
      </c>
      <c r="Z373" s="383">
        <f t="shared" si="139"/>
        <v>12.097200682626436</v>
      </c>
      <c r="AA373" s="384">
        <f t="shared" si="140"/>
        <v>13.013242304032918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7.0393035033443713E-2</v>
      </c>
      <c r="AD373" s="230">
        <f>(INDEX(Models!$BJ373:$BT373,,AH373)*(1-AF373)+INDEX(Models!$BJ373:$BT373,,AH373+1)*AF373-ERP_i)*AE373*Ramure*Pc/MaxiM</f>
        <v>1.0186839432634331E-2</v>
      </c>
      <c r="AE373" s="304">
        <f t="shared" si="142"/>
        <v>0.6</v>
      </c>
      <c r="AF373" s="177">
        <f t="shared" si="143"/>
        <v>0.49911207258936741</v>
      </c>
      <c r="AG373" s="799">
        <f t="shared" si="149"/>
        <v>1</v>
      </c>
      <c r="AH373" s="176">
        <f t="shared" si="144"/>
        <v>7</v>
      </c>
      <c r="AI373" s="224">
        <f t="shared" si="145"/>
        <v>1.4991120725893674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'2023'!Wh/'2023'!Env_an*'2024'!Env_an</f>
        <v>20.390191706951335</v>
      </c>
      <c r="C374" s="829"/>
      <c r="D374" s="391">
        <f t="shared" si="127"/>
        <v>21.256058061897434</v>
      </c>
      <c r="E374" s="383">
        <f t="shared" si="150"/>
        <v>22.499479266928933</v>
      </c>
      <c r="F374" s="383">
        <f t="shared" si="128"/>
        <v>22.708385368123224</v>
      </c>
      <c r="G374" s="110">
        <f t="shared" si="151"/>
        <v>0.93358666611219843</v>
      </c>
      <c r="H374" s="412" t="b">
        <f>Wh_hp&gt;='2023'!Maxi_hp</f>
        <v>0</v>
      </c>
      <c r="I374" s="388">
        <f>IF(H374,Wh_hp,'2023'!Maxi_hp)</f>
        <v>22.716928260345419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4.0735039038033549E-2</v>
      </c>
      <c r="M374" s="832"/>
      <c r="N374" s="832"/>
      <c r="O374" s="48">
        <f>IF(t&lt;Tnet,'2023'!Resal+('2023'!Salim-'2023'!Resal)*(1-EXP(('2023'!Tnet-t)/('2023'!Tau_j))),Resal+(Salim-Resal)*(1-EXP((Tnet-t)/(Tau_j))))*Salcycl</f>
        <v>5.5264443691332606E-2</v>
      </c>
      <c r="P374" s="169">
        <f>(INDEX(Models!$BJ374:$BT374,,T374)*(1-R374)+INDEX(Models!$BJ374:$BT374,,T374+1)*R374-ERP_i)*Q374*Ramure*Pc/MaxiM</f>
        <v>1.0149465614848906E-2</v>
      </c>
      <c r="Q374" s="304">
        <f t="shared" si="130"/>
        <v>0.6</v>
      </c>
      <c r="R374" s="177">
        <f t="shared" si="131"/>
        <v>0.49911207258936741</v>
      </c>
      <c r="S374" s="799">
        <f t="shared" si="132"/>
        <v>1</v>
      </c>
      <c r="T374" s="176">
        <f t="shared" si="133"/>
        <v>7</v>
      </c>
      <c r="U374" s="250">
        <f t="shared" si="134"/>
        <v>1.4991120725893674</v>
      </c>
      <c r="V374" s="382">
        <f t="shared" si="135"/>
        <v>21.819765531561639</v>
      </c>
      <c r="W374" s="400">
        <f t="shared" si="136"/>
        <v>20.390191706951335</v>
      </c>
      <c r="X374" s="157">
        <f t="shared" si="137"/>
        <v>45651</v>
      </c>
      <c r="Y374" s="383">
        <f t="shared" si="138"/>
        <v>20.062890428039832</v>
      </c>
      <c r="Z374" s="383">
        <f t="shared" si="139"/>
        <v>20.914857984513937</v>
      </c>
      <c r="AA374" s="384">
        <f t="shared" si="140"/>
        <v>22.499479266928933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7.0429242544478146E-2</v>
      </c>
      <c r="AD374" s="230">
        <f>(INDEX(Models!$BJ374:$BT374,,AH374)*(1-AF374)+INDEX(Models!$BJ374:$BT374,,AH374+1)*AF374-ERP_i)*AE374*Ramure*Pc/MaxiM</f>
        <v>1.0149465614848906E-2</v>
      </c>
      <c r="AE374" s="304">
        <f t="shared" si="142"/>
        <v>0.6</v>
      </c>
      <c r="AF374" s="177">
        <f t="shared" si="143"/>
        <v>0.49911207258936741</v>
      </c>
      <c r="AG374" s="799">
        <f t="shared" si="149"/>
        <v>1</v>
      </c>
      <c r="AH374" s="176">
        <f t="shared" si="144"/>
        <v>7</v>
      </c>
      <c r="AI374" s="224">
        <f t="shared" si="145"/>
        <v>1.4991120725893674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'2023'!Wh/'2023'!Env_an*'2024'!Env_an</f>
        <v>6.9090586451983009</v>
      </c>
      <c r="C375" s="829"/>
      <c r="D375" s="391">
        <f t="shared" si="127"/>
        <v>7.2025887939657922</v>
      </c>
      <c r="E375" s="383">
        <f t="shared" si="150"/>
        <v>7.6243480792143732</v>
      </c>
      <c r="F375" s="383">
        <f t="shared" si="128"/>
        <v>7.626060021341341</v>
      </c>
      <c r="G375" s="110">
        <f t="shared" si="151"/>
        <v>0.31243667760951499</v>
      </c>
      <c r="H375" s="412" t="b">
        <f>Wh_hp&gt;='2023'!Maxi_hp</f>
        <v>0</v>
      </c>
      <c r="I375" s="388">
        <f>IF(H375,Wh_hp,'2023'!Maxi_hp)</f>
        <v>21.290446008401918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4.0753423132166899E-2</v>
      </c>
      <c r="M375" s="832"/>
      <c r="N375" s="832"/>
      <c r="O375" s="48">
        <f>IF(t&lt;Tnet,'2023'!Resal+('2023'!Salim-'2023'!Resal)*(1-EXP(('2023'!Tnet-t)/('2023'!Tau_j))),Resal+(Salim-Resal)*(1-EXP((Tnet-t)/(Tau_j))))*Salcycl</f>
        <v>5.5317422665734299E-2</v>
      </c>
      <c r="P375" s="169">
        <f>(INDEX(Models!$BJ375:$BT375,,T375)*(1-R375)+INDEX(Models!$BJ375:$BT375,,T375+1)*R375-ERP_i)*Q375*Ramure*Pc/MaxiM</f>
        <v>1.0102576669838549E-2</v>
      </c>
      <c r="Q375" s="304">
        <f t="shared" si="130"/>
        <v>0.6</v>
      </c>
      <c r="R375" s="177">
        <f t="shared" si="131"/>
        <v>0.49911207258936741</v>
      </c>
      <c r="S375" s="799">
        <f t="shared" si="132"/>
        <v>1</v>
      </c>
      <c r="T375" s="176">
        <f t="shared" si="133"/>
        <v>7</v>
      </c>
      <c r="U375" s="250">
        <f t="shared" si="134"/>
        <v>1.4991120725893674</v>
      </c>
      <c r="V375" s="382">
        <f t="shared" si="135"/>
        <v>21.894980653831798</v>
      </c>
      <c r="W375" s="400">
        <f t="shared" si="136"/>
        <v>6.9090586451983009</v>
      </c>
      <c r="X375" s="157">
        <f t="shared" si="137"/>
        <v>45652</v>
      </c>
      <c r="Y375" s="383">
        <f t="shared" si="138"/>
        <v>6.7982694722304631</v>
      </c>
      <c r="Z375" s="383">
        <f t="shared" si="139"/>
        <v>7.0870927623514905</v>
      </c>
      <c r="AA375" s="384">
        <f t="shared" si="140"/>
        <v>7.6243480792143732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7.0465738353100188E-2</v>
      </c>
      <c r="AD375" s="230">
        <f>(INDEX(Models!$BJ375:$BT375,,AH375)*(1-AF375)+INDEX(Models!$BJ375:$BT375,,AH375+1)*AF375-ERP_i)*AE375*Ramure*Pc/MaxiM</f>
        <v>1.0102576669838549E-2</v>
      </c>
      <c r="AE375" s="304">
        <f t="shared" si="142"/>
        <v>0.6</v>
      </c>
      <c r="AF375" s="177">
        <f t="shared" si="143"/>
        <v>0.49911207258936741</v>
      </c>
      <c r="AG375" s="799">
        <f t="shared" si="149"/>
        <v>1</v>
      </c>
      <c r="AH375" s="176">
        <f t="shared" si="144"/>
        <v>7</v>
      </c>
      <c r="AI375" s="224">
        <f t="shared" si="145"/>
        <v>1.4991120725893674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'2023'!Wh/'2023'!Env_an*'2024'!Env_an</f>
        <v>21.448883300416682</v>
      </c>
      <c r="C376" s="829"/>
      <c r="D376" s="391">
        <f t="shared" si="127"/>
        <v>22.360563893057563</v>
      </c>
      <c r="E376" s="383">
        <f t="shared" si="150"/>
        <v>23.671254904649583</v>
      </c>
      <c r="F376" s="383">
        <f t="shared" si="128"/>
        <v>23.90306795639794</v>
      </c>
      <c r="G376" s="110">
        <f t="shared" si="151"/>
        <v>0.97539414073059383</v>
      </c>
      <c r="H376" s="412" t="b">
        <f>Wh_hp&gt;='2023'!Maxi_hp</f>
        <v>0</v>
      </c>
      <c r="I376" s="388">
        <f>IF(H376,Wh_hp,'2023'!Maxi_hp)</f>
        <v>23.906426698641567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4.0771806873973193E-2</v>
      </c>
      <c r="M376" s="832"/>
      <c r="N376" s="832"/>
      <c r="O376" s="48">
        <f>IF(t&lt;Tnet,'2023'!Resal+('2023'!Salim-'2023'!Resal)*(1-EXP(('2023'!Tnet-t)/('2023'!Tau_j))),Resal+(Salim-Resal)*(1-EXP((Tnet-t)/(Tau_j))))*Salcycl</f>
        <v>5.5370575699160339E-2</v>
      </c>
      <c r="P376" s="169">
        <f>(INDEX(Models!$BJ376:$BT376,,T376)*(1-R376)+INDEX(Models!$BJ376:$BT376,,T376+1)*R376-ERP_i)*Q376*Ramure*Pc/MaxiM</f>
        <v>1.0046260345038726E-2</v>
      </c>
      <c r="Q376" s="304">
        <f t="shared" si="130"/>
        <v>0.6</v>
      </c>
      <c r="R376" s="177">
        <f t="shared" si="131"/>
        <v>0.49911207258936741</v>
      </c>
      <c r="S376" s="799">
        <f t="shared" si="132"/>
        <v>1</v>
      </c>
      <c r="T376" s="176">
        <f t="shared" si="133"/>
        <v>7</v>
      </c>
      <c r="U376" s="250">
        <f t="shared" si="134"/>
        <v>1.4991120725893674</v>
      </c>
      <c r="V376" s="382">
        <f t="shared" si="135"/>
        <v>21.982233082272643</v>
      </c>
      <c r="W376" s="400">
        <f t="shared" si="136"/>
        <v>21.448883300416682</v>
      </c>
      <c r="X376" s="157">
        <f t="shared" si="137"/>
        <v>45653</v>
      </c>
      <c r="Y376" s="383">
        <f t="shared" si="138"/>
        <v>21.10529598091739</v>
      </c>
      <c r="Z376" s="383">
        <f t="shared" si="139"/>
        <v>22.002372461694836</v>
      </c>
      <c r="AA376" s="384">
        <f t="shared" si="140"/>
        <v>23.671254904649583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7.0502491299138603E-2</v>
      </c>
      <c r="AD376" s="230">
        <f>(INDEX(Models!$BJ376:$BT376,,AH376)*(1-AF376)+INDEX(Models!$BJ376:$BT376,,AH376+1)*AF376-ERP_i)*AE376*Ramure*Pc/MaxiM</f>
        <v>1.0046260345038726E-2</v>
      </c>
      <c r="AE376" s="304">
        <f t="shared" si="142"/>
        <v>0.6</v>
      </c>
      <c r="AF376" s="177">
        <f t="shared" si="143"/>
        <v>0.49911207258936741</v>
      </c>
      <c r="AG376" s="799">
        <f t="shared" si="149"/>
        <v>1</v>
      </c>
      <c r="AH376" s="176">
        <f t="shared" si="144"/>
        <v>7</v>
      </c>
      <c r="AI376" s="224">
        <f t="shared" si="145"/>
        <v>1.4991120725893674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'2023'!Wh/'2023'!Env_an*'2024'!Env_an</f>
        <v>10.187408710347368</v>
      </c>
      <c r="C377" s="829"/>
      <c r="D377" s="391">
        <f t="shared" si="127"/>
        <v>10.620626068394225</v>
      </c>
      <c r="E377" s="383">
        <f t="shared" si="150"/>
        <v>11.243801157137582</v>
      </c>
      <c r="F377" s="383">
        <f t="shared" si="128"/>
        <v>11.269730362638599</v>
      </c>
      <c r="G377" s="110">
        <f t="shared" si="151"/>
        <v>0.45781271405027785</v>
      </c>
      <c r="H377" s="412" t="b">
        <f>Wh_hp&gt;='2023'!Maxi_hp</f>
        <v>0</v>
      </c>
      <c r="I377" s="388">
        <f>IF(H377,Wh_hp,'2023'!Maxi_hp)</f>
        <v>25.022994124609578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4.0790190263459314E-2</v>
      </c>
      <c r="M377" s="832"/>
      <c r="N377" s="832"/>
      <c r="O377" s="48">
        <f>IF(t&lt;Tnet,'2023'!Resal+('2023'!Salim-'2023'!Resal)*(1-EXP(('2023'!Tnet-t)/('2023'!Tau_j))),Resal+(Salim-Resal)*(1-EXP((Tnet-t)/(Tau_j))))*Salcycl</f>
        <v>5.5423880237135272E-2</v>
      </c>
      <c r="P377" s="169">
        <f>(INDEX(Models!$BJ377:$BT377,,T377)*(1-R377)+INDEX(Models!$BJ377:$BT377,,T377+1)*R377-ERP_i)*Q377*Ramure*Pc/MaxiM</f>
        <v>9.9808282225585104E-3</v>
      </c>
      <c r="Q377" s="304">
        <f t="shared" si="130"/>
        <v>0.6</v>
      </c>
      <c r="R377" s="177">
        <f t="shared" si="131"/>
        <v>0.49911207258936741</v>
      </c>
      <c r="S377" s="799">
        <f t="shared" si="132"/>
        <v>1</v>
      </c>
      <c r="T377" s="176">
        <f t="shared" si="133"/>
        <v>7</v>
      </c>
      <c r="U377" s="250">
        <f t="shared" si="134"/>
        <v>1.4991120725893674</v>
      </c>
      <c r="V377" s="382">
        <f t="shared" si="135"/>
        <v>22.081056759657478</v>
      </c>
      <c r="W377" s="400">
        <f t="shared" si="136"/>
        <v>10.187408710347368</v>
      </c>
      <c r="X377" s="157">
        <f t="shared" si="137"/>
        <v>45654</v>
      </c>
      <c r="Y377" s="383">
        <f t="shared" si="138"/>
        <v>10.02438456607192</v>
      </c>
      <c r="Z377" s="383">
        <f t="shared" si="139"/>
        <v>10.450669357546756</v>
      </c>
      <c r="AA377" s="384">
        <f t="shared" si="140"/>
        <v>11.243801157137582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7.0539472239541059E-2</v>
      </c>
      <c r="AD377" s="230">
        <f>(INDEX(Models!$BJ377:$BT377,,AH377)*(1-AF377)+INDEX(Models!$BJ377:$BT377,,AH377+1)*AF377-ERP_i)*AE377*Ramure*Pc/MaxiM</f>
        <v>9.9808282225585104E-3</v>
      </c>
      <c r="AE377" s="304">
        <f t="shared" si="142"/>
        <v>0.6</v>
      </c>
      <c r="AF377" s="177">
        <f t="shared" si="143"/>
        <v>0.49911207258936741</v>
      </c>
      <c r="AG377" s="799">
        <f t="shared" si="149"/>
        <v>1</v>
      </c>
      <c r="AH377" s="176">
        <f t="shared" si="144"/>
        <v>7</v>
      </c>
      <c r="AI377" s="224">
        <f t="shared" si="145"/>
        <v>1.4991120725893674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'2023'!Wh/'2023'!Env_an*'2024'!Env_an</f>
        <v>13.802747796600245</v>
      </c>
      <c r="C378" s="829"/>
      <c r="D378" s="391">
        <f t="shared" si="127"/>
        <v>14.389982450214639</v>
      </c>
      <c r="E378" s="383">
        <f t="shared" si="150"/>
        <v>15.235189883431289</v>
      </c>
      <c r="F378" s="383">
        <f t="shared" si="128"/>
        <v>15.304934672339311</v>
      </c>
      <c r="G378" s="110">
        <f t="shared" si="151"/>
        <v>0.61865528698215344</v>
      </c>
      <c r="H378" s="412" t="b">
        <f>Wh_hp&gt;='2023'!Maxi_hp</f>
        <v>0</v>
      </c>
      <c r="I378" s="388">
        <f>IF(H378,Wh_hp,'2023'!Maxi_hp)</f>
        <v>25.027651179472095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4.0808573300632034E-2</v>
      </c>
      <c r="M378" s="832"/>
      <c r="N378" s="832"/>
      <c r="O378" s="48">
        <f>IF(t&lt;Tnet,'2023'!Resal+('2023'!Salim-'2023'!Resal)*(1-EXP(('2023'!Tnet-t)/('2023'!Tau_j))),Resal+(Salim-Resal)*(1-EXP((Tnet-t)/(Tau_j))))*Salcycl</f>
        <v>5.547731532613439E-2</v>
      </c>
      <c r="P378" s="169">
        <f>(INDEX(Models!$BJ378:$BT378,,T378)*(1-R378)+INDEX(Models!$BJ378:$BT378,,T378+1)*R378-ERP_i)*Q378*Ramure*Pc/MaxiM</f>
        <v>9.9066131421720587E-3</v>
      </c>
      <c r="Q378" s="304">
        <f t="shared" si="130"/>
        <v>0.6</v>
      </c>
      <c r="R378" s="177">
        <f t="shared" si="131"/>
        <v>0.49911207258936741</v>
      </c>
      <c r="S378" s="799">
        <f t="shared" si="132"/>
        <v>1</v>
      </c>
      <c r="T378" s="176">
        <f t="shared" si="133"/>
        <v>7</v>
      </c>
      <c r="U378" s="250">
        <f t="shared" si="134"/>
        <v>1.4991120725893674</v>
      </c>
      <c r="V378" s="382">
        <f t="shared" si="135"/>
        <v>22.190985642219946</v>
      </c>
      <c r="W378" s="400">
        <f t="shared" si="136"/>
        <v>13.802747796600245</v>
      </c>
      <c r="X378" s="157">
        <f t="shared" si="137"/>
        <v>45655</v>
      </c>
      <c r="Y378" s="383">
        <f t="shared" si="138"/>
        <v>13.582094159944859</v>
      </c>
      <c r="Z378" s="383">
        <f t="shared" si="139"/>
        <v>14.159941156565186</v>
      </c>
      <c r="AA378" s="384">
        <f t="shared" si="140"/>
        <v>15.235189883431289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7.0576654120699023E-2</v>
      </c>
      <c r="AD378" s="230">
        <f>(INDEX(Models!$BJ378:$BT378,,AH378)*(1-AF378)+INDEX(Models!$BJ378:$BT378,,AH378+1)*AF378-ERP_i)*AE378*Ramure*Pc/MaxiM</f>
        <v>9.9066131421720587E-3</v>
      </c>
      <c r="AE378" s="304">
        <f t="shared" si="142"/>
        <v>0.6</v>
      </c>
      <c r="AF378" s="177">
        <f t="shared" si="143"/>
        <v>0.49911207258936741</v>
      </c>
      <c r="AG378" s="799">
        <f t="shared" si="149"/>
        <v>1</v>
      </c>
      <c r="AH378" s="176">
        <f t="shared" si="144"/>
        <v>7</v>
      </c>
      <c r="AI378" s="224">
        <f t="shared" si="145"/>
        <v>1.4991120725893674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'2023'!Wh/'2023'!Env_an*'2024'!Env_an</f>
        <v>11.419827993301922</v>
      </c>
      <c r="C379" s="829"/>
      <c r="D379" s="391">
        <f t="shared" si="127"/>
        <v>11.90591005925857</v>
      </c>
      <c r="E379" s="383">
        <f t="shared" si="150"/>
        <v>12.605928109157174</v>
      </c>
      <c r="F379" s="383">
        <f t="shared" si="128"/>
        <v>12.643516509131469</v>
      </c>
      <c r="G379" s="110">
        <f t="shared" si="151"/>
        <v>0.50831767719591803</v>
      </c>
      <c r="H379" s="412" t="b">
        <f>Wh_hp&gt;='2023'!Maxi_hp</f>
        <v>0</v>
      </c>
      <c r="I379" s="388">
        <f>IF(H379,Wh_hp,'2023'!Maxi_hp)</f>
        <v>25.278911318099443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4.0826955985498015E-2</v>
      </c>
      <c r="M379" s="832"/>
      <c r="N379" s="832"/>
      <c r="O379" s="48">
        <f>IF(t&lt;Tnet,'2023'!Resal+('2023'!Salim-'2023'!Resal)*(1-EXP(('2023'!Tnet-t)/('2023'!Tau_j))),Resal+(Salim-Resal)*(1-EXP((Tnet-t)/(Tau_j))))*Salcycl</f>
        <v>5.553086165786543E-2</v>
      </c>
      <c r="P379" s="169">
        <f>(INDEX(Models!$BJ379:$BT379,,T379)*(1-R379)+INDEX(Models!$BJ379:$BT379,,T379+1)*R379-ERP_i)*Q379*Ramure*Pc/MaxiM</f>
        <v>9.8239658169652268E-3</v>
      </c>
      <c r="Q379" s="305">
        <f t="shared" si="130"/>
        <v>0.6</v>
      </c>
      <c r="R379" s="177">
        <f t="shared" si="131"/>
        <v>0.49911207258936741</v>
      </c>
      <c r="S379" s="799">
        <f t="shared" si="132"/>
        <v>1</v>
      </c>
      <c r="T379" s="176">
        <f t="shared" si="133"/>
        <v>7</v>
      </c>
      <c r="U379" s="306">
        <f t="shared" si="134"/>
        <v>1.4991120725893674</v>
      </c>
      <c r="V379" s="382">
        <f t="shared" si="135"/>
        <v>22.311553703995511</v>
      </c>
      <c r="W379" s="400">
        <f t="shared" si="136"/>
        <v>11.419827993301922</v>
      </c>
      <c r="X379" s="157">
        <f t="shared" si="137"/>
        <v>45656</v>
      </c>
      <c r="Y379" s="383">
        <f t="shared" si="138"/>
        <v>11.237453603442724</v>
      </c>
      <c r="Z379" s="383">
        <f t="shared" si="139"/>
        <v>11.715772950008821</v>
      </c>
      <c r="AA379" s="384">
        <f t="shared" si="140"/>
        <v>12.605928109157174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7.061401202992168E-2</v>
      </c>
      <c r="AD379" s="230">
        <f>(INDEX(Models!$BJ379:$BT379,,AH379)*(1-AF379)+INDEX(Models!$BJ379:$BT379,,AH379+1)*AF379-ERP_i)*AE379*Ramure*Pc/MaxiM</f>
        <v>9.8239658169652268E-3</v>
      </c>
      <c r="AE379" s="305">
        <f t="shared" si="142"/>
        <v>0.6</v>
      </c>
      <c r="AF379" s="177">
        <f t="shared" si="143"/>
        <v>0.49911207258936741</v>
      </c>
      <c r="AG379" s="799">
        <f t="shared" si="149"/>
        <v>1</v>
      </c>
      <c r="AH379" s="176">
        <f t="shared" si="144"/>
        <v>7</v>
      </c>
      <c r="AI379" s="221">
        <f t="shared" si="145"/>
        <v>1.4991120725893674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15.350245338621082</v>
      </c>
      <c r="C380" s="837"/>
      <c r="D380" s="603">
        <f t="shared" ref="D380" si="152">Wh/(1-Ppv)</f>
        <v>16.003931328137941</v>
      </c>
      <c r="E380" s="599">
        <f t="shared" ref="E380" si="153">Wh_pvt/(1-Psa)</f>
        <v>16.9458584227039</v>
      </c>
      <c r="F380" s="599">
        <f t="shared" ref="F380" si="154">Wh_sa/(1-Pvg*MEDIAN((-Sdif+Wh/Env_an)/Csdif,0,1))</f>
        <v>17.036821547492405</v>
      </c>
      <c r="G380" s="110">
        <f t="shared" ref="G380" si="155">+Wh_hp/MaxiM</f>
        <v>0.68096572491286289</v>
      </c>
      <c r="H380" s="412" t="b">
        <f>Wh_hp&gt;='2023'!Maxi_hp</f>
        <v>1</v>
      </c>
      <c r="I380" s="388">
        <f>IF(H380,Wh_hp,'2023'!Maxi_hp)</f>
        <v>17.036821547492405</v>
      </c>
      <c r="J380" s="85">
        <f>IF(H380,An,'2023'!An_max)</f>
        <v>2024</v>
      </c>
      <c r="K380" s="233">
        <f t="shared" ref="K380" si="156">t</f>
        <v>45657</v>
      </c>
      <c r="L380" s="147">
        <f>IF(t&lt;Tvie,1-EXP((T0-t)*PertePVj)+'2020'!Pspv,1-EXP((T0-t)*PertePVj)+Pspv)</f>
        <v>4.0845338318064028E-2</v>
      </c>
      <c r="M380" s="832"/>
      <c r="N380" s="832"/>
      <c r="O380" s="323">
        <f>IF(t&lt;Tnet,'2020'!Resal+('2020'!Salim-'2020'!Resal)*(1-EXP(('2020'!Tnet-t)/('2020'!Tau_j))),Resal+(Salim-Resal)*(1-EXP((Tnet-t)/(Tau_j))))*Salcycl</f>
        <v>5.5584501597391658E-2</v>
      </c>
      <c r="P380" s="230">
        <f>(INDEX(Models!$BJ380:$BT380,,T380)*(1-R380)+INDEX(Models!$BJ380:$BT380,,T380+1)*R380-ERP_i)*Q380*Ramure*Pc/MaxiM</f>
        <v>9.7332514647787503E-3</v>
      </c>
      <c r="Q380" s="327">
        <f t="shared" ref="Q380" si="157">IF(OR(t&lt;Ttai,Notai),Dd+PousD*Croivg,Dens+PousD*(Croivg-Croi_tai))</f>
        <v>0.6</v>
      </c>
      <c r="R380" s="313">
        <f>(Hp_vg-S380)/(INDEX(Echel_vg,T380+1)-S380)</f>
        <v>0.49911207258936741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1.4991120725893674</v>
      </c>
      <c r="V380" s="382">
        <f t="shared" ref="V380" si="160">MaxiM*(1-Ppv)*(1-Pvg)*(1-Psa)</f>
        <v>22.442294913363686</v>
      </c>
      <c r="W380" s="400">
        <f t="shared" si="136"/>
        <v>15.350245338621082</v>
      </c>
      <c r="X380" s="325">
        <f t="shared" ref="X380" si="161">t</f>
        <v>45657</v>
      </c>
      <c r="Y380" s="396">
        <f t="shared" ref="Y380" si="162">Wh_pvt_s*(1-Ppv)</f>
        <v>14.850326872540702</v>
      </c>
      <c r="Z380" s="396">
        <f t="shared" ref="Z380" si="163">Wh_sa_s*(1-Psa_s)</f>
        <v>15.482723971230826</v>
      </c>
      <c r="AA380" s="397">
        <f t="shared" ref="AA380" si="164">Wh_hp*(1-Pvg_s*MEDIAN((-Sdif+Wh/Env_an)/Csdif,0,1))</f>
        <v>16.9458584227039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8.6341713413159382E-2</v>
      </c>
      <c r="AD380" s="801">
        <f>(INDEX(Models!$BJ380:$BT380,,AH380)*(1-AF380)+INDEX(Models!$BJ380:$BT380,,AH380+1)*AF380-ERP_i)*AE380*Ramure*Pc/MaxiM</f>
        <v>9.7332514647787503E-3</v>
      </c>
      <c r="AE380" s="327">
        <f t="shared" ref="AE380" si="166">IF(OR(t&lt;Ttai,Notai),Dd_s+PousD*Croivg,Dens_s+PousD*(Croivg-Croi_tai))</f>
        <v>0.6</v>
      </c>
      <c r="AF380" s="313">
        <f>(Hp_vg_s-AG380)/(INDEX(Echel_vg,AH380+1)-AG380)</f>
        <v>0.49911207258936741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1.4991120725893674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1.8144706347883941</v>
      </c>
      <c r="C381" s="374"/>
      <c r="D381" s="372">
        <f>MIN(D15:D380)</f>
        <v>1.878876483294595</v>
      </c>
      <c r="E381" s="372">
        <f>MIN(E15:E380)</f>
        <v>1.9400211720941902</v>
      </c>
      <c r="F381" s="373">
        <f>MIN(F15:F380)</f>
        <v>1.9400211720941902</v>
      </c>
      <c r="G381" s="125">
        <f>+MIN(G15:G380)</f>
        <v>7.2508375451170587E-2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69">MIN(L15:L380)</f>
        <v>3.411232927896013E-2</v>
      </c>
      <c r="M381" s="833"/>
      <c r="N381" s="833"/>
      <c r="O381" s="47">
        <f t="shared" si="169"/>
        <v>3.079727455669783E-2</v>
      </c>
      <c r="P381" s="168">
        <f t="shared" si="169"/>
        <v>1.9353732291548515E-4</v>
      </c>
      <c r="Q381" s="309">
        <f t="shared" si="169"/>
        <v>0.6</v>
      </c>
      <c r="R381" s="310">
        <f t="shared" si="169"/>
        <v>6.5831189073772833E-5</v>
      </c>
      <c r="S381" s="799">
        <f t="shared" si="169"/>
        <v>0</v>
      </c>
      <c r="T381" s="176">
        <f t="shared" si="169"/>
        <v>6</v>
      </c>
      <c r="U381" s="251">
        <f>+MIN(U15:U380)</f>
        <v>0.99911334562553844</v>
      </c>
      <c r="V381" s="57">
        <f>MIN(V15:V380)</f>
        <v>21.634374818519447</v>
      </c>
      <c r="W381" s="793" t="s">
        <v>40</v>
      </c>
      <c r="X381" s="112" t="s">
        <v>7</v>
      </c>
      <c r="Y381" s="372">
        <f>MIN(Y15:Y380)</f>
        <v>1.7737886419250648</v>
      </c>
      <c r="Z381" s="372">
        <f>MIN(Z15:Z380)</f>
        <v>1.836750455890805</v>
      </c>
      <c r="AA381" s="372">
        <f>MIN(AA15:AA380)</f>
        <v>1.9400211720941902</v>
      </c>
      <c r="AB381" s="200" t="s">
        <v>7</v>
      </c>
      <c r="AC381" s="47">
        <f t="shared" ref="AC381:AH381" si="170">MIN(AC15:AC380)</f>
        <v>5.2719661670580967E-2</v>
      </c>
      <c r="AD381" s="168">
        <f t="shared" si="170"/>
        <v>1.9353732291548515E-4</v>
      </c>
      <c r="AE381" s="309">
        <f t="shared" si="170"/>
        <v>0.6</v>
      </c>
      <c r="AF381" s="310">
        <f t="shared" si="170"/>
        <v>6.5831189073772833E-5</v>
      </c>
      <c r="AG381" s="799">
        <f t="shared" si="170"/>
        <v>0</v>
      </c>
      <c r="AH381" s="176">
        <f t="shared" si="170"/>
        <v>6</v>
      </c>
      <c r="AI381" s="225">
        <f>MIN(AI15:AI380)</f>
        <v>0.99911334562553844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30.780814095029154</v>
      </c>
      <c r="C382" s="374"/>
      <c r="D382" s="374">
        <f>AVERAGE(D15:D380)</f>
        <v>31.976383358086462</v>
      </c>
      <c r="E382" s="374">
        <f>AVERAGE(E15:E380)</f>
        <v>33.484708735383762</v>
      </c>
      <c r="F382" s="375">
        <f>AVERAGE(F15:F380)</f>
        <v>33.525122218979206</v>
      </c>
      <c r="G382" s="126">
        <f>AVERAGE(G15:G380)</f>
        <v>0.68760903047290511</v>
      </c>
      <c r="H382" s="94"/>
      <c r="I382" s="375">
        <f>AVERAGE(I15:I380)</f>
        <v>43.524049143147792</v>
      </c>
      <c r="J382" s="59">
        <f>AVERAGE(J15:J380)</f>
        <v>2020.5628415300546</v>
      </c>
      <c r="K382" s="200" t="s">
        <v>8</v>
      </c>
      <c r="L382" s="147">
        <f t="shared" ref="L382:V382" si="171">AVERAGE(L15:L380)</f>
        <v>3.7482747942486572E-2</v>
      </c>
      <c r="M382" s="832"/>
      <c r="N382" s="832"/>
      <c r="O382" s="48">
        <f t="shared" si="171"/>
        <v>4.4958924256926699E-2</v>
      </c>
      <c r="P382" s="169">
        <f t="shared" si="171"/>
        <v>3.0124188989545234E-3</v>
      </c>
      <c r="Q382" s="311">
        <f t="shared" si="171"/>
        <v>0.5999999999999962</v>
      </c>
      <c r="R382" s="177">
        <f t="shared" si="171"/>
        <v>0.33697539926393005</v>
      </c>
      <c r="S382" s="799">
        <f t="shared" si="171"/>
        <v>0.94262295081967218</v>
      </c>
      <c r="T382" s="176">
        <f t="shared" si="171"/>
        <v>6.942622950819672</v>
      </c>
      <c r="U382" s="250">
        <f t="shared" si="171"/>
        <v>1.2795983500836012</v>
      </c>
      <c r="V382" s="59">
        <f t="shared" si="171"/>
        <v>43.360748768409394</v>
      </c>
      <c r="X382" s="112" t="s">
        <v>8</v>
      </c>
      <c r="Y382" s="374">
        <f>AVERAGE(Y15:Y380)</f>
        <v>30.173667865988769</v>
      </c>
      <c r="Z382" s="374">
        <f>AVERAGE(Z15:Z380)</f>
        <v>31.345724564394736</v>
      </c>
      <c r="AA382" s="374">
        <f>AVERAGE(AA15:AA380)</f>
        <v>33.484708735383762</v>
      </c>
      <c r="AB382" s="200" t="s">
        <v>8</v>
      </c>
      <c r="AC382" s="48">
        <f t="shared" ref="AC382:AH382" si="172">AVERAGE(AC15:AC380)</f>
        <v>6.365631953097628E-2</v>
      </c>
      <c r="AD382" s="169">
        <f t="shared" si="172"/>
        <v>3.0124188989545234E-3</v>
      </c>
      <c r="AE382" s="311">
        <f t="shared" si="172"/>
        <v>0.5999999999999962</v>
      </c>
      <c r="AF382" s="177">
        <f t="shared" si="172"/>
        <v>0.33697539926393005</v>
      </c>
      <c r="AG382" s="799">
        <f t="shared" si="172"/>
        <v>0.94262295081967218</v>
      </c>
      <c r="AH382" s="176">
        <f t="shared" si="172"/>
        <v>6.942622950819672</v>
      </c>
      <c r="AI382" s="224">
        <f>AVERAGE(AI15:AI380)</f>
        <v>1.2795983500836012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59.751043442173831</v>
      </c>
      <c r="C383" s="376"/>
      <c r="D383" s="376">
        <f>MAX(D15:D380)</f>
        <v>62.036988878670712</v>
      </c>
      <c r="E383" s="376">
        <f>MAX(E15:E380)</f>
        <v>64.839022582311998</v>
      </c>
      <c r="F383" s="377">
        <f>MAX(F15:F380)</f>
        <v>64.852505396426309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2024</v>
      </c>
      <c r="K383" s="200" t="s">
        <v>9</v>
      </c>
      <c r="L383" s="148">
        <f t="shared" ref="L383:T383" si="173">MAX(L15:L380)</f>
        <v>4.0845338318064028E-2</v>
      </c>
      <c r="M383" s="834"/>
      <c r="N383" s="834"/>
      <c r="O383" s="49">
        <f t="shared" si="173"/>
        <v>5.5584501597391658E-2</v>
      </c>
      <c r="P383" s="170">
        <f t="shared" si="173"/>
        <v>1.0353530609719842E-2</v>
      </c>
      <c r="Q383" s="312">
        <f t="shared" si="173"/>
        <v>0.6</v>
      </c>
      <c r="R383" s="313">
        <f t="shared" si="173"/>
        <v>0.99999961231029155</v>
      </c>
      <c r="S383" s="800">
        <f t="shared" si="173"/>
        <v>1</v>
      </c>
      <c r="T383" s="232">
        <f t="shared" si="173"/>
        <v>7</v>
      </c>
      <c r="U383" s="252">
        <f>+MAX(U15:U380)</f>
        <v>1.4991120725893674</v>
      </c>
      <c r="V383" s="60">
        <f>MAX(V15:V380)</f>
        <v>59.045278828954714</v>
      </c>
      <c r="X383" s="112" t="s">
        <v>9</v>
      </c>
      <c r="Y383" s="376">
        <f>MAX(Y15:Y380)</f>
        <v>58.540463159957049</v>
      </c>
      <c r="Z383" s="376">
        <f>MAX(Z15:Z380)</f>
        <v>60.7800944182869</v>
      </c>
      <c r="AA383" s="376">
        <f>MAX(AA15:AA380)</f>
        <v>64.839022582311998</v>
      </c>
      <c r="AB383" s="200" t="s">
        <v>9</v>
      </c>
      <c r="AC383" s="49">
        <f t="shared" ref="AC383:AH383" si="174">MAX(AC15:AC380)</f>
        <v>8.6341713413159382E-2</v>
      </c>
      <c r="AD383" s="170">
        <f t="shared" si="174"/>
        <v>1.0353530609719842E-2</v>
      </c>
      <c r="AE383" s="312">
        <f t="shared" si="174"/>
        <v>0.6</v>
      </c>
      <c r="AF383" s="313">
        <f t="shared" si="174"/>
        <v>0.99999961231029155</v>
      </c>
      <c r="AG383" s="800">
        <f t="shared" si="174"/>
        <v>1</v>
      </c>
      <c r="AH383" s="232">
        <f t="shared" si="174"/>
        <v>7</v>
      </c>
      <c r="AI383" s="226">
        <f>MAX(AI15:AI380)</f>
        <v>1.4991120725893674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'2024'!An+1</f>
        <v>2025</v>
      </c>
      <c r="K1" s="1279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42.840091587229296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437.99458927689557</v>
      </c>
      <c r="AK4" s="822">
        <f>AM12-AK12</f>
        <v>-0.74489933654473006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481.07328275251245</v>
      </c>
      <c r="AA5" s="236">
        <f>Wh_Pvg_s-Wh_Pvg</f>
        <v>-0.74489933654473006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2865.7227917773084</v>
      </c>
      <c r="AK5" s="514">
        <f>SUMIF(AK15:AK380,"VRAI",Wh)</f>
        <v>0</v>
      </c>
      <c r="AL5" s="514">
        <f>SUMIF(AJ15:AJ380,"VRAI",Wh_s)</f>
        <v>2822.8818120936198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8488.8486463175668</v>
      </c>
      <c r="AK6" s="514">
        <f>SUMIF(AK15:AK380,"FAUX",Wh)</f>
        <v>11354.571438094881</v>
      </c>
      <c r="AL6" s="514">
        <f>SUMIF(AJ15:AJ380,"FAUX",Wh_s)</f>
        <v>8050.8218953210589</v>
      </c>
      <c r="AM6" s="514">
        <f>SUMIF(AK15:AK380,"FAUX",Wh_s)</f>
        <v>10873.703707414666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2991.7212412869703</v>
      </c>
      <c r="AK7" s="514">
        <f>SUMIF(AK15:AK380,"VRAI",Wh_sa)</f>
        <v>0</v>
      </c>
      <c r="AL7" s="514">
        <f>SUMIF(AJ15:AJ380,"VRAI",Wh_pvt_s)</f>
        <v>2946.9975131218262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8887.1840504913489</v>
      </c>
      <c r="AK8" s="514">
        <f>SUMIF(AK15:AK380,"FAUX",Wh_sa)</f>
        <v>12232.015521173147</v>
      </c>
      <c r="AL8" s="514">
        <f>SUMIF(AJ15:AJ380,"FAUX",Wh_pvt_s)</f>
        <v>8428.6344454809896</v>
      </c>
      <c r="AM8" s="514">
        <f>SUMIF(AK15:AK380,"FAUX",Wh_sa_s)</f>
        <v>12232.015521173147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11878.905291778317</v>
      </c>
      <c r="E9" s="184">
        <f>SUM(E$15:E$380)</f>
        <v>12232.015521173147</v>
      </c>
      <c r="F9" s="184">
        <f>SUM(F$15:F$380)</f>
        <v>12250.963809163772</v>
      </c>
      <c r="H9" s="1280">
        <f>+SUM(Wh)</f>
        <v>11354.571438094881</v>
      </c>
      <c r="I9" s="1281"/>
      <c r="J9" s="1282"/>
      <c r="K9" s="191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10873.703707414666</v>
      </c>
      <c r="Y9" s="1275"/>
      <c r="Z9" s="514">
        <f>SUM(Z$15:Z$380)</f>
        <v>11375.631958602829</v>
      </c>
      <c r="AA9" s="514">
        <f>SUM(AA$15:AA$380)</f>
        <v>12232.015521173147</v>
      </c>
      <c r="AB9" s="514">
        <f>F9</f>
        <v>12250.963809163772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3180.618603271907</v>
      </c>
      <c r="AK9" s="514">
        <f>SUMIF(AK15:AK380,"VRAI",Wh_hp)</f>
        <v>0</v>
      </c>
      <c r="AL9" s="514">
        <f>SUMIF(AJ15:AJ380,"VRAI",Wh_sa_s)</f>
        <v>3180.618603271907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8.0000000000000002E-3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6.1868087626725195E-2</v>
      </c>
      <c r="AD10" s="426"/>
      <c r="AE10" s="426"/>
      <c r="AF10" s="259"/>
      <c r="AG10" s="260"/>
      <c r="AH10" s="261"/>
      <c r="AI10" s="471"/>
      <c r="AJ10" s="514">
        <f>SUMIF(AJ15:AJ380,"FAUX",Wh_sa)</f>
        <v>9051.3969179012365</v>
      </c>
      <c r="AK10" s="514">
        <f>SUMIF(AK15:AK380,"FAUX",Wh_hp)</f>
        <v>12250.963809163772</v>
      </c>
      <c r="AL10" s="514">
        <f>SUMIF(AJ15:AJ380,"FAUX",Wh_sa_s)</f>
        <v>9051.3969179012365</v>
      </c>
      <c r="AM10" s="514">
        <f>SUMIF(AK15:AK380,"FAUX",Wh_hp)</f>
        <v>12250.963809163772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524.33385368343625</v>
      </c>
      <c r="E11" s="51">
        <f>(E$9-D$9)*Prod_an/D$9</f>
        <v>337.52397436493413</v>
      </c>
      <c r="F11" s="186">
        <f>(F$9-E$9)*Prod_an/E$9</f>
        <v>17.589062836515012</v>
      </c>
      <c r="G11" s="185" t="s">
        <v>6</v>
      </c>
      <c r="K11" s="194"/>
      <c r="L11" s="211">
        <f>Tvie_2025</f>
        <v>43481</v>
      </c>
      <c r="M11" s="831"/>
      <c r="N11" s="831"/>
      <c r="O11" s="202">
        <f>IF(An_Tnet,Salim_2025,'2024'!Salim)</f>
        <v>0.10999999999999999</v>
      </c>
      <c r="P11" s="255">
        <f>Ttai_2025</f>
        <v>43466</v>
      </c>
      <c r="Q11" s="271">
        <f>Dens_2025</f>
        <v>0.6</v>
      </c>
      <c r="R11" s="276"/>
      <c r="S11" s="229"/>
      <c r="T11" s="229"/>
      <c r="U11" s="265">
        <f>Htf_2025</f>
        <v>1.9991120725893674</v>
      </c>
      <c r="V11" s="426"/>
      <c r="W11" s="517"/>
      <c r="X11" s="524" t="s">
        <v>43</v>
      </c>
      <c r="Y11" s="50">
        <f>Z$9-Prod_an_s</f>
        <v>501.9282511881629</v>
      </c>
      <c r="Z11" s="51">
        <f>(AA$9-Z$9)*Prod_an_s/Z$9</f>
        <v>818.59725711744659</v>
      </c>
      <c r="AA11" s="186">
        <f>(AB$9-AA$9)*Prod_an_s/AA$9</f>
        <v>16.844163499970282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180.94181639529182</v>
      </c>
      <c r="AK11" s="822">
        <f>IF($AK7=0,0,($AK9-$AK7)*$AK5/$AK7)</f>
        <v>0</v>
      </c>
      <c r="AL11" s="821">
        <f>IF($AL7=0,0,($AL9-$AL7)*$AL5/$AL7)</f>
        <v>223.78190798252112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Pspv_2025</f>
        <v>0</v>
      </c>
      <c r="M12" s="212"/>
      <c r="N12" s="212"/>
      <c r="O12" s="205">
        <f>IF(An_Tnet,Tau_2025*365,'2024'!Tau_j)</f>
        <v>973.33333333333326</v>
      </c>
      <c r="P12" s="280">
        <f>INDEX(Croivg,MIN(MAX(Ttai-$A$15,0)+1,366))</f>
        <v>2.3909964587625958E-6</v>
      </c>
      <c r="Q12" s="279">
        <f>'2024'!Df</f>
        <v>0.6</v>
      </c>
      <c r="R12" s="277"/>
      <c r="S12" s="278"/>
      <c r="T12" s="278"/>
      <c r="U12" s="266">
        <f>'2024'!Hdf</f>
        <v>1.4991120725893674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0.6</v>
      </c>
      <c r="AF12" s="203"/>
      <c r="AG12" s="203"/>
      <c r="AH12" s="203"/>
      <c r="AI12" s="296">
        <f>'2024'!Hdf_s</f>
        <v>1.4991120725893674</v>
      </c>
      <c r="AJ12" s="821">
        <f>IF($AJ8=0,0,($AJ10-$AJ8)*$AJ6/$AJ8)</f>
        <v>156.85262838044648</v>
      </c>
      <c r="AK12" s="822">
        <f>IF($AK8=0,0,($AK10-$AK8)*$AK6/$AK8)</f>
        <v>17.589062836515012</v>
      </c>
      <c r="AL12" s="821">
        <f>IF($AL8=0,0,($AL10-$AL8)*$AL6/$AL8)</f>
        <v>594.84721765734207</v>
      </c>
      <c r="AM12" s="822">
        <f>IF($AM8=0,0,($AM10-$AM8)*$AM6/$AM8)</f>
        <v>16.844163499970282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337.79444477573827</v>
      </c>
      <c r="AK13" s="73">
        <f>+AK11+AK12</f>
        <v>17.589062836515012</v>
      </c>
      <c r="AL13" s="73">
        <f>+AL11+AL12</f>
        <v>818.62912563986322</v>
      </c>
      <c r="AM13" s="73">
        <f>+AM11+AM12</f>
        <v>16.844163499970282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'2024'!Wh/'2024'!Env_an*'2025'!Env_an</f>
        <v>22.831139502223408</v>
      </c>
      <c r="C15" s="829"/>
      <c r="D15" s="391">
        <f t="shared" ref="D15:D78" si="0">Wh/(1-Ppv)</f>
        <v>23.803853514252399</v>
      </c>
      <c r="E15" s="398">
        <f t="shared" ref="E15:E79" si="1">Wh_pvt/(1-Psa)</f>
        <v>25.206345781772416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Wh_hp&gt;='2024'!Maxi_hp</f>
        <v>1</v>
      </c>
      <c r="I15" s="394">
        <f>IF(H15,Wh_hp,'2024'!Maxi_hp)</f>
        <v>25.454097031999808</v>
      </c>
      <c r="J15" s="84">
        <f>IF(H15,An,'2024'!An_max)</f>
        <v>2025</v>
      </c>
      <c r="K15" s="197">
        <f t="shared" ref="K15:K78" si="3">t</f>
        <v>45658</v>
      </c>
      <c r="L15" s="146">
        <f>IF(t&lt;Tvie,1-EXP((T0-t)*PertePVj)+'2024'!Pspv,1-EXP((T0-t)*PertePVj)+Pspv)</f>
        <v>4.0863720298336736E-2</v>
      </c>
      <c r="M15" s="832"/>
      <c r="N15" s="832"/>
      <c r="O15" s="48">
        <f>IF(t&lt;Tnet,'2024'!Resal+('2024'!Salim-'2024'!Resal)*(1-EXP(('2024'!Tnet-t)/('2024'!Tau_j))),Resal+(Salim-Resal)*(1-EXP((Tnet-t)/(Tau_j))))*Salcycl</f>
        <v>5.5640443865298726E-2</v>
      </c>
      <c r="P15" s="301">
        <f>(INDEX(Models!$BJ15:$BT15,,T15)*(1-R15)+INDEX(Models!$BJ15:$BT15,,T15+1)*R15-ERP_i)*Q15*Ramure*Pc/MaxiM</f>
        <v>9.7332562972447263E-3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0.49911326808759671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1.4991132680875967</v>
      </c>
      <c r="V15" s="381">
        <f t="shared" ref="V15:V78" si="9">MaxiM*(1-Ppv)*(1-Pvg)*(1-Psa)</f>
        <v>22.440535360322105</v>
      </c>
      <c r="W15" s="400">
        <f t="shared" ref="W15:W78" si="10">Wh*(A15&gt;Tmaj)</f>
        <v>22.831139502223408</v>
      </c>
      <c r="X15" s="156">
        <f t="shared" ref="X15:X78" si="11">t</f>
        <v>45658</v>
      </c>
      <c r="Y15" s="383">
        <f t="shared" ref="Y15:Y78" si="12">Wh_pvt_s*(1-Ppv)</f>
        <v>22.467248407889468</v>
      </c>
      <c r="Z15" s="383">
        <f>Wh_sa_s*(1-Psa_s)</f>
        <v>23.424458946415669</v>
      </c>
      <c r="AA15" s="384">
        <f t="shared" ref="AA15:AA78" si="13">Wh_hp*(1-Pvg_s*MEDIAN((-Sdif+Wh/Env_an)/Csdif,0,1))</f>
        <v>25.206345781772416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7.069199362667207E-2</v>
      </c>
      <c r="AD15" s="230">
        <f>(INDEX(Models!$BJ15:$BT15,,AH15)*(1-AF15)+INDEX(Models!$BJ15:$BT15,,AH15+1)*AF15-ERP_i)*AE15*Ramure*Pc/MaxiM</f>
        <v>9.7332562972447263E-3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0.49911326808759671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1.4991132680875967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'2024'!Wh/'2024'!Env_an*'2025'!Env_an</f>
        <v>15.746078358390612</v>
      </c>
      <c r="C16" s="829"/>
      <c r="D16" s="391">
        <f t="shared" si="0"/>
        <v>16.417250048211528</v>
      </c>
      <c r="E16" s="383">
        <f t="shared" si="1"/>
        <v>17.385521025778726</v>
      </c>
      <c r="F16" s="383">
        <f t="shared" si="2"/>
        <v>17.481125570845808</v>
      </c>
      <c r="G16" s="110">
        <f t="shared" ref="G16:G79" si="21">+Wh_hp/MaxiM</f>
        <v>0.69439529273232525</v>
      </c>
      <c r="H16" s="412" t="b">
        <f>Wh_hp&gt;='2024'!Maxi_hp</f>
        <v>0</v>
      </c>
      <c r="I16" s="388">
        <f>IF(H16,Wh_hp,'2024'!Maxi_hp)</f>
        <v>24.084283353934023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4.0882101926323133E-2</v>
      </c>
      <c r="M16" s="832"/>
      <c r="N16" s="832"/>
      <c r="O16" s="48">
        <f>IF(t&lt;Tnet,'2024'!Resal+('2024'!Salim-'2024'!Resal)*(1-EXP(('2024'!Tnet-t)/('2024'!Tau_j))),Resal+(Salim-Resal)*(1-EXP((Tnet-t)/(Tau_j))))*Salcycl</f>
        <v>5.5694101783402193E-2</v>
      </c>
      <c r="P16" s="169">
        <f>(INDEX(Models!$BJ16:$BT16,,T16)*(1-R16)+INDEX(Models!$BJ16:$BT16,,T16+1)*R16-ERP_i)*Q16*Ramure*Pc/MaxiM</f>
        <v>9.6354168772449754E-3</v>
      </c>
      <c r="Q16" s="304">
        <f t="shared" si="4"/>
        <v>0.6</v>
      </c>
      <c r="R16" s="177">
        <f t="shared" si="5"/>
        <v>0.49914248270159112</v>
      </c>
      <c r="S16" s="799">
        <f t="shared" si="6"/>
        <v>1</v>
      </c>
      <c r="T16" s="176">
        <f t="shared" si="7"/>
        <v>7</v>
      </c>
      <c r="U16" s="250">
        <f t="shared" si="8"/>
        <v>1.4991424827015911</v>
      </c>
      <c r="V16" s="382">
        <f t="shared" si="9"/>
        <v>22.580961123304302</v>
      </c>
      <c r="W16" s="400">
        <f t="shared" si="10"/>
        <v>15.746078358390612</v>
      </c>
      <c r="X16" s="157">
        <f t="shared" si="11"/>
        <v>45659</v>
      </c>
      <c r="Y16" s="383">
        <f t="shared" si="12"/>
        <v>15.495365062003527</v>
      </c>
      <c r="Z16" s="383">
        <f t="shared" ref="Z16:Z78" si="22">Wh_sa_s*(1-Psa_s)</f>
        <v>16.155850175588334</v>
      </c>
      <c r="AA16" s="384">
        <f t="shared" si="13"/>
        <v>17.385521025778726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7.0729594377244923E-2</v>
      </c>
      <c r="AD16" s="230">
        <f>(INDEX(Models!$BJ16:$BT16,,AH16)*(1-AF16)+INDEX(Models!$BJ16:$BT16,,AH16+1)*AF16-ERP_i)*AE16*Ramure*Pc/MaxiM</f>
        <v>9.6354168772449754E-3</v>
      </c>
      <c r="AE16" s="304">
        <f t="shared" si="15"/>
        <v>0.6</v>
      </c>
      <c r="AF16" s="177">
        <f t="shared" ref="AF16:AF78" si="23">(Hp_vg_s-AG16)/(INDEX(Echel_vg,AH16+1)-AG16)</f>
        <v>0.49914248270159112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1.4991424827015911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'2024'!Wh/'2024'!Env_an*'2025'!Env_an</f>
        <v>17.002089345979805</v>
      </c>
      <c r="C17" s="829"/>
      <c r="D17" s="391">
        <f t="shared" si="0"/>
        <v>17.727137849826708</v>
      </c>
      <c r="E17" s="383">
        <f t="shared" si="1"/>
        <v>18.773732575807436</v>
      </c>
      <c r="F17" s="383">
        <f t="shared" si="2"/>
        <v>18.888944014951608</v>
      </c>
      <c r="G17" s="110">
        <f t="shared" si="21"/>
        <v>0.74539956785547734</v>
      </c>
      <c r="H17" s="412" t="b">
        <f>Wh_hp&gt;='2024'!Maxi_hp</f>
        <v>0</v>
      </c>
      <c r="I17" s="388">
        <f>IF(H17,Wh_hp,'2024'!Maxi_hp)</f>
        <v>25.872417420672249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4.0900483202029769E-2</v>
      </c>
      <c r="M17" s="832"/>
      <c r="N17" s="832"/>
      <c r="O17" s="48">
        <f>IF(t&lt;Tnet,'2024'!Resal+('2024'!Salim-'2024'!Resal)*(1-EXP(('2024'!Tnet-t)/('2024'!Tau_j))),Resal+(Salim-Resal)*(1-EXP((Tnet-t)/(Tau_j))))*Salcycl</f>
        <v>5.5747823282058045E-2</v>
      </c>
      <c r="P17" s="169">
        <f>(INDEX(Models!$BJ17:$BT17,,T17)*(1-R17)+INDEX(Models!$BJ17:$BT17,,T17+1)*R17-ERP_i)*Q17*Ramure*Pc/MaxiM</f>
        <v>9.5307158579139104E-3</v>
      </c>
      <c r="Q17" s="304">
        <f t="shared" si="4"/>
        <v>0.6</v>
      </c>
      <c r="R17" s="177">
        <f t="shared" si="5"/>
        <v>0.49917291929708063</v>
      </c>
      <c r="S17" s="799">
        <f t="shared" si="6"/>
        <v>1</v>
      </c>
      <c r="T17" s="176">
        <f t="shared" si="7"/>
        <v>7</v>
      </c>
      <c r="U17" s="250">
        <f t="shared" si="8"/>
        <v>1.4991729192970806</v>
      </c>
      <c r="V17" s="382">
        <f t="shared" si="9"/>
        <v>22.730616854527817</v>
      </c>
      <c r="W17" s="400">
        <f t="shared" si="10"/>
        <v>17.002089345979805</v>
      </c>
      <c r="X17" s="157">
        <f t="shared" si="11"/>
        <v>45660</v>
      </c>
      <c r="Y17" s="383">
        <f t="shared" si="12"/>
        <v>16.731650309949345</v>
      </c>
      <c r="Z17" s="383">
        <f t="shared" si="22"/>
        <v>17.445166030120927</v>
      </c>
      <c r="AA17" s="384">
        <f t="shared" si="13"/>
        <v>18.773732575807436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7.0767309607816242E-2</v>
      </c>
      <c r="AD17" s="230">
        <f>(INDEX(Models!$BJ17:$BT17,,AH17)*(1-AF17)+INDEX(Models!$BJ17:$BT17,,AH17+1)*AF17-ERP_i)*AE17*Ramure*Pc/MaxiM</f>
        <v>9.5307158579139104E-3</v>
      </c>
      <c r="AE17" s="304">
        <f t="shared" si="15"/>
        <v>0.6</v>
      </c>
      <c r="AF17" s="177">
        <f>(Hp_vg_s-AG17)/(INDEX(Echel_vg,AH17+1)-AG17)</f>
        <v>0.49917291929708063</v>
      </c>
      <c r="AG17" s="799">
        <f>INDEX(Echel_vg,AH17)</f>
        <v>1</v>
      </c>
      <c r="AH17" s="176">
        <f t="shared" si="16"/>
        <v>7</v>
      </c>
      <c r="AI17" s="224">
        <f t="shared" si="17"/>
        <v>1.4991729192970806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'2024'!Wh/'2024'!Env_an*'2025'!Env_an</f>
        <v>18.067130076374191</v>
      </c>
      <c r="C18" s="829"/>
      <c r="D18" s="391">
        <f t="shared" si="0"/>
        <v>18.837957916771774</v>
      </c>
      <c r="E18" s="383">
        <f t="shared" si="1"/>
        <v>19.951270656542079</v>
      </c>
      <c r="F18" s="383">
        <f t="shared" si="2"/>
        <v>20.08351521039021</v>
      </c>
      <c r="G18" s="110">
        <f t="shared" si="21"/>
        <v>0.78708310210569454</v>
      </c>
      <c r="H18" s="412" t="b">
        <f>Wh_hp&gt;='2024'!Maxi_hp</f>
        <v>0</v>
      </c>
      <c r="I18" s="388">
        <f>IF(H18,Wh_hp,'2024'!Maxi_hp)</f>
        <v>21.824345162432092</v>
      </c>
      <c r="J18" s="85">
        <f>IF(H18,An,'2024'!An_max)</f>
        <v>2021</v>
      </c>
      <c r="K18" s="197">
        <f t="shared" si="3"/>
        <v>45661</v>
      </c>
      <c r="L18" s="147">
        <f>IF(t&lt;Tvie,1-EXP((T0-t)*PertePVj)+'2024'!Pspv,1-EXP((T0-t)*PertePVj)+Pspv)</f>
        <v>4.0918864125463417E-2</v>
      </c>
      <c r="M18" s="832"/>
      <c r="N18" s="832"/>
      <c r="O18" s="48">
        <f>IF(t&lt;Tnet,'2024'!Resal+('2024'!Salim-'2024'!Resal)*(1-EXP(('2024'!Tnet-t)/('2024'!Tau_j))),Resal+(Salim-Resal)*(1-EXP((Tnet-t)/(Tau_j))))*Salcycl</f>
        <v>5.5801595744742458E-2</v>
      </c>
      <c r="P18" s="169">
        <f>(INDEX(Models!$BJ18:$BT18,,T18)*(1-R18)+INDEX(Models!$BJ18:$BT18,,T18+1)*R18-ERP_i)*Q18*Ramure*Pc/MaxiM</f>
        <v>9.4195323999522011E-3</v>
      </c>
      <c r="Q18" s="304">
        <f t="shared" si="4"/>
        <v>0.6</v>
      </c>
      <c r="R18" s="177">
        <f t="shared" si="5"/>
        <v>0.4992046288283758</v>
      </c>
      <c r="S18" s="799">
        <f t="shared" si="6"/>
        <v>1</v>
      </c>
      <c r="T18" s="176">
        <f t="shared" si="7"/>
        <v>7</v>
      </c>
      <c r="U18" s="250">
        <f t="shared" si="8"/>
        <v>1.4992046288283758</v>
      </c>
      <c r="V18" s="382">
        <f t="shared" si="9"/>
        <v>22.889036528146388</v>
      </c>
      <c r="W18" s="400">
        <f t="shared" si="10"/>
        <v>18.067130076374191</v>
      </c>
      <c r="X18" s="157">
        <f t="shared" si="11"/>
        <v>45661</v>
      </c>
      <c r="Y18" s="383">
        <f t="shared" si="12"/>
        <v>17.780039271581856</v>
      </c>
      <c r="Z18" s="383">
        <f>Wh_sa_s*(1-Psa_s)</f>
        <v>18.538618482334297</v>
      </c>
      <c r="AA18" s="384">
        <f t="shared" si="13"/>
        <v>19.951270656542079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7.0805123068418171E-2</v>
      </c>
      <c r="AD18" s="230">
        <f>(INDEX(Models!$BJ18:$BT18,,AH18)*(1-AF18)+INDEX(Models!$BJ18:$BT18,,AH18+1)*AF18-ERP_i)*AE18*Ramure*Pc/MaxiM</f>
        <v>9.4195323999522011E-3</v>
      </c>
      <c r="AE18" s="304">
        <f t="shared" si="15"/>
        <v>0.6</v>
      </c>
      <c r="AF18" s="177">
        <f t="shared" si="23"/>
        <v>0.4992046288283758</v>
      </c>
      <c r="AG18" s="799">
        <f t="shared" si="24"/>
        <v>1</v>
      </c>
      <c r="AH18" s="176">
        <f t="shared" si="16"/>
        <v>7</v>
      </c>
      <c r="AI18" s="224">
        <f t="shared" si="17"/>
        <v>1.4992046288283758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'2024'!Wh/'2024'!Env_an*'2025'!Env_an</f>
        <v>14.287806899470851</v>
      </c>
      <c r="C19" s="829"/>
      <c r="D19" s="391">
        <f t="shared" si="0"/>
        <v>14.897676737484561</v>
      </c>
      <c r="E19" s="383">
        <f t="shared" si="1"/>
        <v>15.779020360531042</v>
      </c>
      <c r="F19" s="383">
        <f t="shared" si="2"/>
        <v>15.846344490865359</v>
      </c>
      <c r="G19" s="110">
        <f t="shared" si="21"/>
        <v>0.61656160277329131</v>
      </c>
      <c r="H19" s="412" t="b">
        <f>Wh_hp&gt;='2024'!Maxi_hp</f>
        <v>0</v>
      </c>
      <c r="I19" s="388">
        <f>IF(H19,Wh_hp,'2024'!Maxi_hp)</f>
        <v>15.89891096179743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4.0937244696630848E-2</v>
      </c>
      <c r="M19" s="832"/>
      <c r="N19" s="832"/>
      <c r="O19" s="48">
        <f>IF(t&lt;Tnet,'2024'!Resal+('2024'!Salim-'2024'!Resal)*(1-EXP(('2024'!Tnet-t)/('2024'!Tau_j))),Resal+(Salim-Resal)*(1-EXP((Tnet-t)/(Tau_j))))*Salcycl</f>
        <v>5.5855408188143052E-2</v>
      </c>
      <c r="P19" s="169">
        <f>(INDEX(Models!$BJ19:$BT19,,T19)*(1-R19)+INDEX(Models!$BJ19:$BT19,,T19+1)*R19-ERP_i)*Q19*Ramure*Pc/MaxiM</f>
        <v>9.3022469880538316E-3</v>
      </c>
      <c r="Q19" s="304">
        <f t="shared" si="4"/>
        <v>0.6</v>
      </c>
      <c r="R19" s="177">
        <f t="shared" si="5"/>
        <v>0.49923766436093731</v>
      </c>
      <c r="S19" s="799">
        <f t="shared" si="6"/>
        <v>1</v>
      </c>
      <c r="T19" s="176">
        <f t="shared" si="7"/>
        <v>7</v>
      </c>
      <c r="U19" s="250">
        <f t="shared" si="8"/>
        <v>1.4992376643609373</v>
      </c>
      <c r="V19" s="382">
        <f t="shared" si="9"/>
        <v>23.055754100357007</v>
      </c>
      <c r="W19" s="400">
        <f t="shared" si="10"/>
        <v>14.287806899470851</v>
      </c>
      <c r="X19" s="157">
        <f t="shared" si="11"/>
        <v>45662</v>
      </c>
      <c r="Y19" s="383">
        <f t="shared" si="12"/>
        <v>14.060998300431837</v>
      </c>
      <c r="Z19" s="383">
        <f t="shared" si="22"/>
        <v>14.661186895933714</v>
      </c>
      <c r="AA19" s="384">
        <f t="shared" si="13"/>
        <v>15.779020360531042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7.0843020609405352E-2</v>
      </c>
      <c r="AD19" s="230">
        <f>(INDEX(Models!$BJ19:$BT19,,AH19)*(1-AF19)+INDEX(Models!$BJ19:$BT19,,AH19+1)*AF19-ERP_i)*AE19*Ramure*Pc/MaxiM</f>
        <v>9.3022469880538316E-3</v>
      </c>
      <c r="AE19" s="304">
        <f t="shared" si="15"/>
        <v>0.6</v>
      </c>
      <c r="AF19" s="177">
        <f t="shared" si="23"/>
        <v>0.49923766436093731</v>
      </c>
      <c r="AG19" s="799">
        <f t="shared" si="24"/>
        <v>1</v>
      </c>
      <c r="AH19" s="176">
        <f t="shared" si="16"/>
        <v>7</v>
      </c>
      <c r="AI19" s="224">
        <f t="shared" si="17"/>
        <v>1.4992376643609373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'2024'!Wh/'2024'!Env_an*'2025'!Env_an</f>
        <v>20.50363748781534</v>
      </c>
      <c r="C20" s="829"/>
      <c r="D20" s="391">
        <f t="shared" si="0"/>
        <v>21.37923752069306</v>
      </c>
      <c r="E20" s="383">
        <f t="shared" si="1"/>
        <v>22.645320429449761</v>
      </c>
      <c r="F20" s="383">
        <f t="shared" si="2"/>
        <v>22.8196643069912</v>
      </c>
      <c r="G20" s="110">
        <f t="shared" si="21"/>
        <v>0.88125564108226129</v>
      </c>
      <c r="H20" s="412" t="b">
        <f>Wh_hp&gt;='2024'!Maxi_hp</f>
        <v>0</v>
      </c>
      <c r="I20" s="388">
        <f>IF(H20,Wh_hp,'2024'!Maxi_hp)</f>
        <v>25.97684931198668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4.0955624915538946E-2</v>
      </c>
      <c r="M20" s="832"/>
      <c r="N20" s="832"/>
      <c r="O20" s="48">
        <f>IF(t&lt;Tnet,'2024'!Resal+('2024'!Salim-'2024'!Resal)*(1-EXP(('2024'!Tnet-t)/('2024'!Tau_j))),Resal+(Salim-Resal)*(1-EXP((Tnet-t)/(Tau_j))))*Salcycl</f>
        <v>5.5909251215990212E-2</v>
      </c>
      <c r="P20" s="169">
        <f>(INDEX(Models!$BJ20:$BT20,,T20)*(1-R20)+INDEX(Models!$BJ20:$BT20,,T20+1)*R20-ERP_i)*Q20*Ramure*Pc/MaxiM</f>
        <v>9.1792387684372246E-3</v>
      </c>
      <c r="Q20" s="304">
        <f t="shared" si="4"/>
        <v>0.6</v>
      </c>
      <c r="R20" s="177">
        <f t="shared" si="5"/>
        <v>0.49927208115768806</v>
      </c>
      <c r="S20" s="799">
        <f t="shared" si="6"/>
        <v>1</v>
      </c>
      <c r="T20" s="176">
        <f t="shared" si="7"/>
        <v>7</v>
      </c>
      <c r="U20" s="250">
        <f t="shared" si="8"/>
        <v>1.4992720811576881</v>
      </c>
      <c r="V20" s="382">
        <f t="shared" si="9"/>
        <v>23.230303500690678</v>
      </c>
      <c r="W20" s="400">
        <f t="shared" si="10"/>
        <v>20.50363748781534</v>
      </c>
      <c r="X20" s="157">
        <f t="shared" si="11"/>
        <v>45663</v>
      </c>
      <c r="Y20" s="383">
        <f t="shared" si="12"/>
        <v>20.178483250884092</v>
      </c>
      <c r="Z20" s="383">
        <f t="shared" si="22"/>
        <v>21.040197695864713</v>
      </c>
      <c r="AA20" s="384">
        <f t="shared" si="13"/>
        <v>22.645320429449761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7.0880990118277101E-2</v>
      </c>
      <c r="AD20" s="230">
        <f>(INDEX(Models!$BJ20:$BT20,,AH20)*(1-AF20)+INDEX(Models!$BJ20:$BT20,,AH20+1)*AF20-ERP_i)*AE20*Ramure*Pc/MaxiM</f>
        <v>9.1792387684372246E-3</v>
      </c>
      <c r="AE20" s="304">
        <f t="shared" si="15"/>
        <v>0.6</v>
      </c>
      <c r="AF20" s="177">
        <f t="shared" si="23"/>
        <v>0.49927208115768806</v>
      </c>
      <c r="AG20" s="799">
        <f t="shared" si="24"/>
        <v>1</v>
      </c>
      <c r="AH20" s="176">
        <f t="shared" si="16"/>
        <v>7</v>
      </c>
      <c r="AI20" s="224">
        <f t="shared" si="17"/>
        <v>1.4992720811576881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'2024'!Wh/'2024'!Env_an*'2025'!Env_an</f>
        <v>10.054713828532995</v>
      </c>
      <c r="C21" s="829"/>
      <c r="D21" s="391">
        <f t="shared" si="0"/>
        <v>10.484297483770973</v>
      </c>
      <c r="E21" s="383">
        <f t="shared" si="1"/>
        <v>11.105813419081464</v>
      </c>
      <c r="F21" s="383">
        <f t="shared" si="2"/>
        <v>11.124435197787543</v>
      </c>
      <c r="G21" s="110">
        <f t="shared" si="21"/>
        <v>0.42629093327411088</v>
      </c>
      <c r="H21" s="412" t="b">
        <f>Wh_hp&gt;='2024'!Maxi_hp</f>
        <v>0</v>
      </c>
      <c r="I21" s="388">
        <f>IF(H21,Wh_hp,'2024'!Maxi_hp)</f>
        <v>15.082360291680677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4.0974004782194262E-2</v>
      </c>
      <c r="M21" s="832"/>
      <c r="N21" s="832"/>
      <c r="O21" s="48">
        <f>IF(t&lt;Tnet,'2024'!Resal+('2024'!Salim-'2024'!Resal)*(1-EXP(('2024'!Tnet-t)/('2024'!Tau_j))),Resal+(Salim-Resal)*(1-EXP((Tnet-t)/(Tau_j))))*Salcycl</f>
        <v>5.5963116960224837E-2</v>
      </c>
      <c r="P21" s="169">
        <f>(INDEX(Models!$BJ21:$BT21,,T21)*(1-R21)+INDEX(Models!$BJ21:$BT21,,T21+1)*R21-ERP_i)*Q21*Ramure*Pc/MaxiM</f>
        <v>9.05088307298243E-3</v>
      </c>
      <c r="Q21" s="304">
        <f t="shared" si="4"/>
        <v>0.6</v>
      </c>
      <c r="R21" s="177">
        <f t="shared" si="5"/>
        <v>0.49930793676875118</v>
      </c>
      <c r="S21" s="799">
        <f t="shared" si="6"/>
        <v>1</v>
      </c>
      <c r="T21" s="176">
        <f t="shared" si="7"/>
        <v>7</v>
      </c>
      <c r="U21" s="250">
        <f t="shared" si="8"/>
        <v>1.4993079367687512</v>
      </c>
      <c r="V21" s="382">
        <f t="shared" si="9"/>
        <v>23.412218641909092</v>
      </c>
      <c r="W21" s="400">
        <f t="shared" si="10"/>
        <v>10.054713828532995</v>
      </c>
      <c r="X21" s="157">
        <f t="shared" si="11"/>
        <v>45664</v>
      </c>
      <c r="Y21" s="383">
        <f t="shared" si="12"/>
        <v>9.8954220229911716</v>
      </c>
      <c r="Z21" s="383">
        <f t="shared" si="22"/>
        <v>10.318199999097844</v>
      </c>
      <c r="AA21" s="384">
        <f t="shared" si="13"/>
        <v>11.105813419081464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7.0919021440643035E-2</v>
      </c>
      <c r="AD21" s="230">
        <f>(INDEX(Models!$BJ21:$BT21,,AH21)*(1-AF21)+INDEX(Models!$BJ21:$BT21,,AH21+1)*AF21-ERP_i)*AE21*Ramure*Pc/MaxiM</f>
        <v>9.05088307298243E-3</v>
      </c>
      <c r="AE21" s="304">
        <f t="shared" si="15"/>
        <v>0.6</v>
      </c>
      <c r="AF21" s="177">
        <f t="shared" si="23"/>
        <v>0.49930793676875118</v>
      </c>
      <c r="AG21" s="799">
        <f t="shared" si="24"/>
        <v>1</v>
      </c>
      <c r="AH21" s="176">
        <f t="shared" si="16"/>
        <v>7</v>
      </c>
      <c r="AI21" s="224">
        <f t="shared" si="17"/>
        <v>1.4993079367687512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'2024'!Wh/'2024'!Env_an*'2025'!Env_an</f>
        <v>7.1560765358096869</v>
      </c>
      <c r="C22" s="829"/>
      <c r="D22" s="391">
        <f t="shared" si="0"/>
        <v>7.4619600706308997</v>
      </c>
      <c r="E22" s="383">
        <f t="shared" si="1"/>
        <v>7.9047610632914465</v>
      </c>
      <c r="F22" s="383">
        <f t="shared" si="2"/>
        <v>7.9050843592185212</v>
      </c>
      <c r="G22" s="110">
        <f t="shared" si="21"/>
        <v>0.30051870226840294</v>
      </c>
      <c r="H22" s="412" t="b">
        <f>Wh_hp&gt;='2024'!Maxi_hp</f>
        <v>0</v>
      </c>
      <c r="I22" s="388">
        <f>IF(H22,Wh_hp,'2024'!Maxi_hp)</f>
        <v>20.347217475948305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4.0992384296603568E-2</v>
      </c>
      <c r="M22" s="832"/>
      <c r="N22" s="832"/>
      <c r="O22" s="48">
        <f>IF(t&lt;Tnet,'2024'!Resal+('2024'!Salim-'2024'!Resal)*(1-EXP(('2024'!Tnet-t)/('2024'!Tau_j))),Resal+(Salim-Resal)*(1-EXP((Tnet-t)/(Tau_j))))*Salcycl</f>
        <v>5.6016999010488761E-2</v>
      </c>
      <c r="P22" s="169">
        <f>(INDEX(Models!$BJ22:$BT22,,T22)*(1-R22)+INDEX(Models!$BJ22:$BT22,,T22+1)*R22-ERP_i)*Q22*Ramure*Pc/MaxiM</f>
        <v>8.9175491518658934E-3</v>
      </c>
      <c r="Q22" s="304">
        <f t="shared" si="4"/>
        <v>0.6</v>
      </c>
      <c r="R22" s="177">
        <f t="shared" si="5"/>
        <v>0.49934529112474846</v>
      </c>
      <c r="S22" s="799">
        <f t="shared" si="6"/>
        <v>1</v>
      </c>
      <c r="T22" s="176">
        <f t="shared" si="7"/>
        <v>7</v>
      </c>
      <c r="U22" s="250">
        <f t="shared" si="8"/>
        <v>1.4993452911247485</v>
      </c>
      <c r="V22" s="382">
        <f t="shared" si="9"/>
        <v>23.601033425357983</v>
      </c>
      <c r="W22" s="400">
        <f t="shared" si="10"/>
        <v>7.1560765358096869</v>
      </c>
      <c r="X22" s="157">
        <f t="shared" si="11"/>
        <v>45665</v>
      </c>
      <c r="Y22" s="383">
        <f t="shared" si="12"/>
        <v>7.0428196752420824</v>
      </c>
      <c r="Z22" s="383">
        <f t="shared" si="22"/>
        <v>7.3438620923530786</v>
      </c>
      <c r="AA22" s="384">
        <f t="shared" si="13"/>
        <v>7.9047610632914465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7.0957106286627811E-2</v>
      </c>
      <c r="AD22" s="230">
        <f>(INDEX(Models!$BJ22:$BT22,,AH22)*(1-AF22)+INDEX(Models!$BJ22:$BT22,,AH22+1)*AF22-ERP_i)*AE22*Ramure*Pc/MaxiM</f>
        <v>8.9175491518658934E-3</v>
      </c>
      <c r="AE22" s="304">
        <f t="shared" si="15"/>
        <v>0.6</v>
      </c>
      <c r="AF22" s="177">
        <f t="shared" si="23"/>
        <v>0.49934529112474846</v>
      </c>
      <c r="AG22" s="799">
        <f t="shared" si="24"/>
        <v>1</v>
      </c>
      <c r="AH22" s="176">
        <f t="shared" si="16"/>
        <v>7</v>
      </c>
      <c r="AI22" s="224">
        <f t="shared" si="17"/>
        <v>1.4993452911247485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'2024'!Wh/'2024'!Env_an*'2025'!Env_an</f>
        <v>2.136518363159484</v>
      </c>
      <c r="C23" s="829"/>
      <c r="D23" s="391">
        <f t="shared" si="0"/>
        <v>2.2278856547600432</v>
      </c>
      <c r="E23" s="383">
        <f t="shared" si="1"/>
        <v>2.360225610868679</v>
      </c>
      <c r="F23" s="383">
        <f t="shared" si="2"/>
        <v>2.360225610868679</v>
      </c>
      <c r="G23" s="110">
        <f t="shared" si="21"/>
        <v>8.898466963630583E-2</v>
      </c>
      <c r="H23" s="412" t="b">
        <f>Wh_hp&gt;='2024'!Maxi_hp</f>
        <v>0</v>
      </c>
      <c r="I23" s="388">
        <f>IF(H23,Wh_hp,'2024'!Maxi_hp)</f>
        <v>25.649292652260151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4.1010763458773747E-2</v>
      </c>
      <c r="M23" s="832"/>
      <c r="N23" s="832"/>
      <c r="O23" s="48">
        <f>IF(t&lt;Tnet,'2024'!Resal+('2024'!Salim-'2024'!Resal)*(1-EXP(('2024'!Tnet-t)/('2024'!Tau_j))),Resal+(Salim-Resal)*(1-EXP((Tnet-t)/(Tau_j))))*Salcycl</f>
        <v>5.6070892333012254E-2</v>
      </c>
      <c r="P23" s="169">
        <f>(INDEX(Models!$BJ23:$BT23,,T23)*(1-R23)+INDEX(Models!$BJ23:$BT23,,T23+1)*R23-ERP_i)*Q23*Ramure*Pc/MaxiM</f>
        <v>8.7785354922680723E-3</v>
      </c>
      <c r="Q23" s="304">
        <f t="shared" si="4"/>
        <v>0.6</v>
      </c>
      <c r="R23" s="177">
        <f t="shared" si="5"/>
        <v>0.49938420663378347</v>
      </c>
      <c r="S23" s="799">
        <f t="shared" si="6"/>
        <v>1</v>
      </c>
      <c r="T23" s="176">
        <f t="shared" si="7"/>
        <v>7</v>
      </c>
      <c r="U23" s="250">
        <f t="shared" si="8"/>
        <v>1.4993842066337835</v>
      </c>
      <c r="V23" s="382">
        <f t="shared" si="9"/>
        <v>23.799187764973805</v>
      </c>
      <c r="W23" s="400">
        <f t="shared" si="10"/>
        <v>2.136518363159484</v>
      </c>
      <c r="X23" s="157">
        <f t="shared" si="11"/>
        <v>45666</v>
      </c>
      <c r="Y23" s="383">
        <f t="shared" si="12"/>
        <v>2.1027381368884175</v>
      </c>
      <c r="Z23" s="383">
        <f t="shared" si="22"/>
        <v>2.1926608315984182</v>
      </c>
      <c r="AA23" s="384">
        <f t="shared" si="13"/>
        <v>2.360225610868679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7.0995238124116733E-2</v>
      </c>
      <c r="AD23" s="230">
        <f>(INDEX(Models!$BJ23:$BT23,,AH23)*(1-AF23)+INDEX(Models!$BJ23:$BT23,,AH23+1)*AF23-ERP_i)*AE23*Ramure*Pc/MaxiM</f>
        <v>8.7785354922680723E-3</v>
      </c>
      <c r="AE23" s="304">
        <f t="shared" si="15"/>
        <v>0.6</v>
      </c>
      <c r="AF23" s="177">
        <f t="shared" si="23"/>
        <v>0.49938420663378347</v>
      </c>
      <c r="AG23" s="799">
        <f t="shared" si="24"/>
        <v>1</v>
      </c>
      <c r="AH23" s="176">
        <f t="shared" si="16"/>
        <v>7</v>
      </c>
      <c r="AI23" s="224">
        <f t="shared" si="17"/>
        <v>1.4993842066337835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'2024'!Wh/'2024'!Env_an*'2025'!Env_an</f>
        <v>1.7521830622011019</v>
      </c>
      <c r="C24" s="829"/>
      <c r="D24" s="391">
        <f t="shared" si="0"/>
        <v>1.8271494363722134</v>
      </c>
      <c r="E24" s="383">
        <f t="shared" si="1"/>
        <v>1.9357955619240601</v>
      </c>
      <c r="F24" s="383">
        <f t="shared" si="2"/>
        <v>1.9357955619240601</v>
      </c>
      <c r="G24" s="110">
        <f t="shared" si="21"/>
        <v>7.2350443087785432E-2</v>
      </c>
      <c r="H24" s="412" t="b">
        <f>Wh_hp&gt;='2024'!Maxi_hp</f>
        <v>0</v>
      </c>
      <c r="I24" s="388">
        <f>IF(H24,Wh_hp,'2024'!Maxi_hp)</f>
        <v>9.0351524420219071</v>
      </c>
      <c r="J24" s="85">
        <f>IF(H24,An,'2024'!An_max)</f>
        <v>2020</v>
      </c>
      <c r="K24" s="197">
        <f t="shared" si="3"/>
        <v>45667</v>
      </c>
      <c r="L24" s="147">
        <f>IF(t&lt;Tvie,1-EXP((T0-t)*PertePVj)+'2024'!Pspv,1-EXP((T0-t)*PertePVj)+Pspv)</f>
        <v>4.102914226871146E-2</v>
      </c>
      <c r="M24" s="832"/>
      <c r="N24" s="832"/>
      <c r="O24" s="48">
        <f>IF(t&lt;Tnet,'2024'!Resal+('2024'!Salim-'2024'!Resal)*(1-EXP(('2024'!Tnet-t)/('2024'!Tau_j))),Resal+(Salim-Resal)*(1-EXP((Tnet-t)/(Tau_j))))*Salcycl</f>
        <v>5.6124793180050009E-2</v>
      </c>
      <c r="P24" s="169">
        <f>(INDEX(Models!$BJ24:$BT24,,T24)*(1-R24)+INDEX(Models!$BJ24:$BT24,,T24+1)*R24-ERP_i)*Q24*Ramure*Pc/MaxiM</f>
        <v>8.6365053040295039E-3</v>
      </c>
      <c r="Q24" s="304">
        <f t="shared" si="4"/>
        <v>0.6</v>
      </c>
      <c r="R24" s="177">
        <f t="shared" si="5"/>
        <v>0.49942474828225314</v>
      </c>
      <c r="S24" s="799">
        <f t="shared" si="6"/>
        <v>1</v>
      </c>
      <c r="T24" s="176">
        <f t="shared" si="7"/>
        <v>7</v>
      </c>
      <c r="U24" s="250">
        <f t="shared" si="8"/>
        <v>1.4994247482822531</v>
      </c>
      <c r="V24" s="382">
        <f t="shared" si="9"/>
        <v>24.008841546183</v>
      </c>
      <c r="W24" s="400">
        <f t="shared" si="10"/>
        <v>1.7521830622011019</v>
      </c>
      <c r="X24" s="157">
        <f t="shared" si="11"/>
        <v>45667</v>
      </c>
      <c r="Y24" s="383">
        <f t="shared" si="12"/>
        <v>1.7245071265539946</v>
      </c>
      <c r="Z24" s="383">
        <f t="shared" si="22"/>
        <v>1.7982893981093382</v>
      </c>
      <c r="AA24" s="384">
        <f t="shared" si="13"/>
        <v>1.9357955619240601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7.1033412060336212E-2</v>
      </c>
      <c r="AD24" s="230">
        <f>(INDEX(Models!$BJ24:$BT24,,AH24)*(1-AF24)+INDEX(Models!$BJ24:$BT24,,AH24+1)*AF24-ERP_i)*AE24*Ramure*Pc/MaxiM</f>
        <v>8.6365053040295039E-3</v>
      </c>
      <c r="AE24" s="304">
        <f t="shared" si="15"/>
        <v>0.6</v>
      </c>
      <c r="AF24" s="177">
        <f t="shared" si="23"/>
        <v>0.49942474828225314</v>
      </c>
      <c r="AG24" s="799">
        <f t="shared" si="24"/>
        <v>1</v>
      </c>
      <c r="AH24" s="176">
        <f t="shared" si="16"/>
        <v>7</v>
      </c>
      <c r="AI24" s="224">
        <f t="shared" si="17"/>
        <v>1.4994247482822531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'2024'!Wh/'2024'!Env_an*'2025'!Env_an</f>
        <v>24.563498375870424</v>
      </c>
      <c r="C25" s="829"/>
      <c r="D25" s="391">
        <f t="shared" si="0"/>
        <v>25.614927649467791</v>
      </c>
      <c r="E25" s="383">
        <f t="shared" si="1"/>
        <v>27.139594775076745</v>
      </c>
      <c r="F25" s="383">
        <f t="shared" si="2"/>
        <v>27.372177107233075</v>
      </c>
      <c r="G25" s="110">
        <f t="shared" si="21"/>
        <v>1.0138014686256271</v>
      </c>
      <c r="H25" s="412" t="b">
        <f>Wh_hp&gt;='2024'!Maxi_hp</f>
        <v>1</v>
      </c>
      <c r="I25" s="388">
        <f>IF(H25,Wh_hp,'2024'!Maxi_hp)</f>
        <v>27.372177107233075</v>
      </c>
      <c r="J25" s="85">
        <f>IF(H25,An,'2024'!An_max)</f>
        <v>2025</v>
      </c>
      <c r="K25" s="197">
        <f t="shared" si="3"/>
        <v>45668</v>
      </c>
      <c r="L25" s="147">
        <f>IF(t&lt;Tvie,1-EXP((T0-t)*PertePVj)+'2024'!Pspv,1-EXP((T0-t)*PertePVj)+Pspv)</f>
        <v>4.1047520726423481E-2</v>
      </c>
      <c r="M25" s="832"/>
      <c r="N25" s="832"/>
      <c r="O25" s="48">
        <f>IF(t&lt;Tnet,'2024'!Resal+('2024'!Salim-'2024'!Resal)*(1-EXP(('2024'!Tnet-t)/('2024'!Tau_j))),Resal+(Salim-Resal)*(1-EXP((Tnet-t)/(Tau_j))))*Salcycl</f>
        <v>5.6178698991081057E-2</v>
      </c>
      <c r="P25" s="169">
        <f>(INDEX(Models!$BJ25:$BT25,,T25)*(1-R25)+INDEX(Models!$BJ25:$BT25,,T25+1)*R25-ERP_i)*Q25*Ramure*Pc/MaxiM</f>
        <v>8.4970344611305666E-3</v>
      </c>
      <c r="Q25" s="304">
        <f t="shared" si="4"/>
        <v>0.6</v>
      </c>
      <c r="R25" s="177">
        <f t="shared" si="5"/>
        <v>0.49946698373961906</v>
      </c>
      <c r="S25" s="799">
        <f t="shared" si="6"/>
        <v>1</v>
      </c>
      <c r="T25" s="176">
        <f t="shared" si="7"/>
        <v>7</v>
      </c>
      <c r="U25" s="250">
        <f t="shared" si="8"/>
        <v>1.4994669837396191</v>
      </c>
      <c r="V25" s="382">
        <f t="shared" si="9"/>
        <v>24.229101195888227</v>
      </c>
      <c r="W25" s="400">
        <f t="shared" si="10"/>
        <v>24.563498375870424</v>
      </c>
      <c r="X25" s="157">
        <f t="shared" si="11"/>
        <v>45668</v>
      </c>
      <c r="Y25" s="383">
        <f t="shared" si="12"/>
        <v>24.175901320792736</v>
      </c>
      <c r="Z25" s="383">
        <f t="shared" si="22"/>
        <v>25.210739680350386</v>
      </c>
      <c r="AA25" s="384">
        <f t="shared" si="13"/>
        <v>27.139594775076745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7.107162471333929E-2</v>
      </c>
      <c r="AD25" s="230">
        <f>(INDEX(Models!$BJ25:$BT25,,AH25)*(1-AF25)+INDEX(Models!$BJ25:$BT25,,AH25+1)*AF25-ERP_i)*AE25*Ramure*Pc/MaxiM</f>
        <v>8.4970344611305666E-3</v>
      </c>
      <c r="AE25" s="304">
        <f t="shared" si="15"/>
        <v>0.6</v>
      </c>
      <c r="AF25" s="177">
        <f t="shared" si="23"/>
        <v>0.49946698373961906</v>
      </c>
      <c r="AG25" s="799">
        <f t="shared" si="24"/>
        <v>1</v>
      </c>
      <c r="AH25" s="176">
        <f t="shared" si="16"/>
        <v>7</v>
      </c>
      <c r="AI25" s="224">
        <f t="shared" si="17"/>
        <v>1.4994669837396191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'2024'!Wh/'2024'!Env_an*'2025'!Env_an</f>
        <v>21.353603373193657</v>
      </c>
      <c r="C26" s="829"/>
      <c r="D26" s="391">
        <f t="shared" si="0"/>
        <v>22.268061326823918</v>
      </c>
      <c r="E26" s="383">
        <f t="shared" si="1"/>
        <v>23.594861956829057</v>
      </c>
      <c r="F26" s="383">
        <f t="shared" si="2"/>
        <v>23.757457846406215</v>
      </c>
      <c r="G26" s="110">
        <f t="shared" si="21"/>
        <v>0.87169656503927784</v>
      </c>
      <c r="H26" s="412" t="b">
        <f>Wh_hp&gt;='2024'!Maxi_hp</f>
        <v>0</v>
      </c>
      <c r="I26" s="388">
        <f>IF(H26,Wh_hp,'2024'!Maxi_hp)</f>
        <v>27.37093962937724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4.106589883191647E-2</v>
      </c>
      <c r="M26" s="832"/>
      <c r="N26" s="832"/>
      <c r="O26" s="48">
        <f>IF(t&lt;Tnet,'2024'!Resal+('2024'!Salim-'2024'!Resal)*(1-EXP(('2024'!Tnet-t)/('2024'!Tau_j))),Resal+(Salim-Resal)*(1-EXP((Tnet-t)/(Tau_j))))*Salcycl</f>
        <v>5.6232608287039416E-2</v>
      </c>
      <c r="P26" s="169">
        <f>(INDEX(Models!$BJ26:$BT26,,T26)*(1-R26)+INDEX(Models!$BJ26:$BT26,,T26+1)*R26-ERP_i)*Q26*Ramure*Pc/MaxiM</f>
        <v>8.3604675870620412E-3</v>
      </c>
      <c r="Q26" s="304">
        <f t="shared" si="4"/>
        <v>0.6</v>
      </c>
      <c r="R26" s="177">
        <f t="shared" si="5"/>
        <v>0.49951098346729017</v>
      </c>
      <c r="S26" s="799">
        <f t="shared" si="6"/>
        <v>1</v>
      </c>
      <c r="T26" s="176">
        <f t="shared" si="7"/>
        <v>7</v>
      </c>
      <c r="U26" s="250">
        <f t="shared" si="8"/>
        <v>1.4995109834672902</v>
      </c>
      <c r="V26" s="382">
        <f t="shared" si="9"/>
        <v>24.459197034460324</v>
      </c>
      <c r="W26" s="400">
        <f t="shared" si="10"/>
        <v>21.353603373193657</v>
      </c>
      <c r="X26" s="157">
        <f t="shared" si="11"/>
        <v>45669</v>
      </c>
      <c r="Y26" s="383">
        <f t="shared" si="12"/>
        <v>21.016991581237555</v>
      </c>
      <c r="Z26" s="383">
        <f t="shared" si="22"/>
        <v>21.917034294261335</v>
      </c>
      <c r="AA26" s="384">
        <f t="shared" si="13"/>
        <v>23.594861956829057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7.1109874075025489E-2</v>
      </c>
      <c r="AD26" s="230">
        <f>(INDEX(Models!$BJ26:$BT26,,AH26)*(1-AF26)+INDEX(Models!$BJ26:$BT26,,AH26+1)*AF26-ERP_i)*AE26*Ramure*Pc/MaxiM</f>
        <v>8.3604675870620412E-3</v>
      </c>
      <c r="AE26" s="304">
        <f t="shared" si="15"/>
        <v>0.6</v>
      </c>
      <c r="AF26" s="177">
        <f t="shared" si="23"/>
        <v>0.49951098346729017</v>
      </c>
      <c r="AG26" s="799">
        <f t="shared" si="24"/>
        <v>1</v>
      </c>
      <c r="AH26" s="176">
        <f t="shared" si="16"/>
        <v>7</v>
      </c>
      <c r="AI26" s="224">
        <f t="shared" si="17"/>
        <v>1.4995109834672902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'2024'!Wh/'2024'!Env_an*'2025'!Env_an</f>
        <v>5.4741513825561565</v>
      </c>
      <c r="C27" s="829"/>
      <c r="D27" s="391">
        <f t="shared" si="0"/>
        <v>5.7086887292473536</v>
      </c>
      <c r="E27" s="383">
        <f t="shared" si="1"/>
        <v>6.0491757865195748</v>
      </c>
      <c r="F27" s="383">
        <f t="shared" si="2"/>
        <v>6.0491757865195748</v>
      </c>
      <c r="G27" s="110">
        <f t="shared" si="21"/>
        <v>0.21981682234002881</v>
      </c>
      <c r="H27" s="412" t="b">
        <f>Wh_hp&gt;='2024'!Maxi_hp</f>
        <v>0</v>
      </c>
      <c r="I27" s="388">
        <f>IF(H27,Wh_hp,'2024'!Maxi_hp)</f>
        <v>16.17097757884445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4.1084276585197421E-2</v>
      </c>
      <c r="M27" s="832"/>
      <c r="N27" s="832"/>
      <c r="O27" s="48">
        <f>IF(t&lt;Tnet,'2024'!Resal+('2024'!Salim-'2024'!Resal)*(1-EXP(('2024'!Tnet-t)/('2024'!Tau_j))),Resal+(Salim-Resal)*(1-EXP((Tnet-t)/(Tau_j))))*Salcycl</f>
        <v>5.6286520558881357E-2</v>
      </c>
      <c r="P27" s="169">
        <f>(INDEX(Models!$BJ27:$BT27,,T27)*(1-R27)+INDEX(Models!$BJ27:$BT27,,T27+1)*R27-ERP_i)*Q27*Ramure*Pc/MaxiM</f>
        <v>8.2271164597705129E-3</v>
      </c>
      <c r="Q27" s="304">
        <f t="shared" si="4"/>
        <v>0.6</v>
      </c>
      <c r="R27" s="177">
        <f t="shared" si="5"/>
        <v>0.49955682083175934</v>
      </c>
      <c r="S27" s="799">
        <f t="shared" si="6"/>
        <v>1</v>
      </c>
      <c r="T27" s="176">
        <f t="shared" si="7"/>
        <v>7</v>
      </c>
      <c r="U27" s="250">
        <f t="shared" si="8"/>
        <v>1.4995568208317593</v>
      </c>
      <c r="V27" s="382">
        <f t="shared" si="9"/>
        <v>24.698359496869166</v>
      </c>
      <c r="W27" s="400">
        <f t="shared" si="10"/>
        <v>5.4741513825561565</v>
      </c>
      <c r="X27" s="157">
        <f t="shared" si="11"/>
        <v>45670</v>
      </c>
      <c r="Y27" s="383">
        <f t="shared" si="12"/>
        <v>5.3879442207397279</v>
      </c>
      <c r="Z27" s="383">
        <f t="shared" si="22"/>
        <v>5.6187880636190588</v>
      </c>
      <c r="AA27" s="384">
        <f t="shared" si="13"/>
        <v>6.0491757865195748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7.1148159367367653E-2</v>
      </c>
      <c r="AD27" s="230">
        <f>(INDEX(Models!$BJ27:$BT27,,AH27)*(1-AF27)+INDEX(Models!$BJ27:$BT27,,AH27+1)*AF27-ERP_i)*AE27*Ramure*Pc/MaxiM</f>
        <v>8.2271164597705129E-3</v>
      </c>
      <c r="AE27" s="304">
        <f t="shared" si="15"/>
        <v>0.6</v>
      </c>
      <c r="AF27" s="177">
        <f t="shared" si="23"/>
        <v>0.49955682083175934</v>
      </c>
      <c r="AG27" s="799">
        <f t="shared" si="24"/>
        <v>1</v>
      </c>
      <c r="AH27" s="176">
        <f t="shared" si="16"/>
        <v>7</v>
      </c>
      <c r="AI27" s="224">
        <f t="shared" si="17"/>
        <v>1.4995568208317593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'2024'!Wh/'2024'!Env_an*'2025'!Env_an</f>
        <v>25.979293811435866</v>
      </c>
      <c r="C28" s="829"/>
      <c r="D28" s="391">
        <f t="shared" si="0"/>
        <v>27.092883215743051</v>
      </c>
      <c r="E28" s="383">
        <f t="shared" si="1"/>
        <v>28.710442042530783</v>
      </c>
      <c r="F28" s="383">
        <f t="shared" si="2"/>
        <v>28.944815761904703</v>
      </c>
      <c r="G28" s="110">
        <f t="shared" si="21"/>
        <v>1.0414287719294832</v>
      </c>
      <c r="H28" s="412" t="b">
        <f>Wh_hp&gt;='2024'!Maxi_hp</f>
        <v>1</v>
      </c>
      <c r="I28" s="388">
        <f>IF(H28,Wh_hp,'2024'!Maxi_hp)</f>
        <v>28.944815761904703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4.1102653986272775E-2</v>
      </c>
      <c r="M28" s="832"/>
      <c r="N28" s="832"/>
      <c r="O28" s="48">
        <f>IF(t&lt;Tnet,'2024'!Resal+('2024'!Salim-'2024'!Resal)*(1-EXP(('2024'!Tnet-t)/('2024'!Tau_j))),Resal+(Salim-Resal)*(1-EXP((Tnet-t)/(Tau_j))))*Salcycl</f>
        <v>5.634043615181996E-2</v>
      </c>
      <c r="P28" s="169">
        <f>(INDEX(Models!$BJ28:$BT28,,T28)*(1-R28)+INDEX(Models!$BJ28:$BT28,,T28+1)*R28-ERP_i)*Q28*Ramure*Pc/MaxiM</f>
        <v>8.0972607081640398E-3</v>
      </c>
      <c r="Q28" s="304">
        <f t="shared" si="4"/>
        <v>0.6</v>
      </c>
      <c r="R28" s="177">
        <f t="shared" si="5"/>
        <v>0.49960457222214893</v>
      </c>
      <c r="S28" s="799">
        <f t="shared" si="6"/>
        <v>1</v>
      </c>
      <c r="T28" s="176">
        <f t="shared" si="7"/>
        <v>7</v>
      </c>
      <c r="U28" s="250">
        <f t="shared" si="8"/>
        <v>1.4996045722221489</v>
      </c>
      <c r="V28" s="382">
        <f t="shared" si="9"/>
        <v>24.945819158907359</v>
      </c>
      <c r="W28" s="400">
        <f t="shared" si="10"/>
        <v>25.979293811435866</v>
      </c>
      <c r="X28" s="157">
        <f t="shared" si="11"/>
        <v>45671</v>
      </c>
      <c r="Y28" s="383">
        <f t="shared" si="12"/>
        <v>25.570576755986156</v>
      </c>
      <c r="Z28" s="383">
        <f t="shared" si="22"/>
        <v>26.666646708624945</v>
      </c>
      <c r="AA28" s="384">
        <f t="shared" si="13"/>
        <v>28.710442042530783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7.1186480893544624E-2</v>
      </c>
      <c r="AD28" s="230">
        <f>(INDEX(Models!$BJ28:$BT28,,AH28)*(1-AF28)+INDEX(Models!$BJ28:$BT28,,AH28+1)*AF28-ERP_i)*AE28*Ramure*Pc/MaxiM</f>
        <v>8.0972607081640398E-3</v>
      </c>
      <c r="AE28" s="304">
        <f t="shared" si="15"/>
        <v>0.6</v>
      </c>
      <c r="AF28" s="177">
        <f t="shared" si="23"/>
        <v>0.49960457222214893</v>
      </c>
      <c r="AG28" s="799">
        <f t="shared" si="24"/>
        <v>1</v>
      </c>
      <c r="AH28" s="176">
        <f t="shared" si="16"/>
        <v>7</v>
      </c>
      <c r="AI28" s="224">
        <f t="shared" si="17"/>
        <v>1.4996045722221489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'2024'!Wh/'2024'!Env_an*'2025'!Env_an</f>
        <v>26.28581858177888</v>
      </c>
      <c r="C29" s="829"/>
      <c r="D29" s="391">
        <f t="shared" si="0"/>
        <v>27.413072381966526</v>
      </c>
      <c r="E29" s="383">
        <f t="shared" si="1"/>
        <v>29.051407821194179</v>
      </c>
      <c r="F29" s="383">
        <f t="shared" si="2"/>
        <v>29.284841653101807</v>
      </c>
      <c r="G29" s="110">
        <f t="shared" si="21"/>
        <v>1.0430546469739899</v>
      </c>
      <c r="H29" s="412" t="b">
        <f>Wh_hp&gt;='2024'!Maxi_hp</f>
        <v>1</v>
      </c>
      <c r="I29" s="388">
        <f>IF(H29,Wh_hp,'2024'!Maxi_hp)</f>
        <v>29.284841653101807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4.1121031035149525E-2</v>
      </c>
      <c r="M29" s="832"/>
      <c r="N29" s="832"/>
      <c r="O29" s="48">
        <f>IF(t&lt;Tnet,'2024'!Resal+('2024'!Salim-'2024'!Resal)*(1-EXP(('2024'!Tnet-t)/('2024'!Tau_j))),Resal+(Salim-Resal)*(1-EXP((Tnet-t)/(Tau_j))))*Salcycl</f>
        <v>5.6394356146569305E-2</v>
      </c>
      <c r="P29" s="169">
        <f>(INDEX(Models!$BJ29:$BT29,,T29)*(1-R29)+INDEX(Models!$BJ29:$BT29,,T29+1)*R29-ERP_i)*Q29*Ramure*Pc/MaxiM</f>
        <v>7.9711488514366598E-3</v>
      </c>
      <c r="Q29" s="304">
        <f t="shared" si="4"/>
        <v>0.6</v>
      </c>
      <c r="R29" s="177">
        <f t="shared" si="5"/>
        <v>0.49965431717232112</v>
      </c>
      <c r="S29" s="799">
        <f t="shared" si="6"/>
        <v>1</v>
      </c>
      <c r="T29" s="176">
        <f t="shared" si="7"/>
        <v>7</v>
      </c>
      <c r="U29" s="250">
        <f t="shared" si="8"/>
        <v>1.4996543171723211</v>
      </c>
      <c r="V29" s="382">
        <f t="shared" si="9"/>
        <v>25.200806743958029</v>
      </c>
      <c r="W29" s="400">
        <f t="shared" si="10"/>
        <v>26.28581858177888</v>
      </c>
      <c r="X29" s="157">
        <f t="shared" si="11"/>
        <v>45672</v>
      </c>
      <c r="Y29" s="383">
        <f t="shared" si="12"/>
        <v>25.872688999960669</v>
      </c>
      <c r="Z29" s="383">
        <f t="shared" si="22"/>
        <v>26.982225950675826</v>
      </c>
      <c r="AA29" s="384">
        <f t="shared" si="13"/>
        <v>29.051407821194179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7.1224839885687105E-2</v>
      </c>
      <c r="AD29" s="230">
        <f>(INDEX(Models!$BJ29:$BT29,,AH29)*(1-AF29)+INDEX(Models!$BJ29:$BT29,,AH29+1)*AF29-ERP_i)*AE29*Ramure*Pc/MaxiM</f>
        <v>7.9711488514366598E-3</v>
      </c>
      <c r="AE29" s="304">
        <f t="shared" si="15"/>
        <v>0.6</v>
      </c>
      <c r="AF29" s="177">
        <f t="shared" si="23"/>
        <v>0.49965431717232112</v>
      </c>
      <c r="AG29" s="799">
        <f t="shared" si="24"/>
        <v>1</v>
      </c>
      <c r="AH29" s="176">
        <f t="shared" si="16"/>
        <v>7</v>
      </c>
      <c r="AI29" s="224">
        <f t="shared" si="17"/>
        <v>1.4996543171723211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'2024'!Wh/'2024'!Env_an*'2025'!Env_an</f>
        <v>25.718444677229609</v>
      </c>
      <c r="C30" s="829"/>
      <c r="D30" s="391">
        <f t="shared" si="0"/>
        <v>26.821880974786058</v>
      </c>
      <c r="E30" s="383">
        <f t="shared" si="1"/>
        <v>28.426508552632718</v>
      </c>
      <c r="F30" s="383">
        <f t="shared" si="2"/>
        <v>28.651235386050466</v>
      </c>
      <c r="G30" s="110">
        <f t="shared" si="21"/>
        <v>1.010044152286218</v>
      </c>
      <c r="H30" s="412" t="b">
        <f>Wh_hp&gt;='2024'!Maxi_hp</f>
        <v>1</v>
      </c>
      <c r="I30" s="388">
        <f>IF(H30,Wh_hp,'2024'!Maxi_hp)</f>
        <v>28.651235386050466</v>
      </c>
      <c r="J30" s="85">
        <f>IF(H30,An,'2024'!An_max)</f>
        <v>2025</v>
      </c>
      <c r="K30" s="197">
        <f t="shared" si="3"/>
        <v>45673</v>
      </c>
      <c r="L30" s="147">
        <f>IF(t&lt;Tvie,1-EXP((T0-t)*PertePVj)+'2024'!Pspv,1-EXP((T0-t)*PertePVj)+Pspv)</f>
        <v>4.1139407731834221E-2</v>
      </c>
      <c r="M30" s="832"/>
      <c r="N30" s="832"/>
      <c r="O30" s="48">
        <f>IF(t&lt;Tnet,'2024'!Resal+('2024'!Salim-'2024'!Resal)*(1-EXP(('2024'!Tnet-t)/('2024'!Tau_j))),Resal+(Salim-Resal)*(1-EXP((Tnet-t)/(Tau_j))))*Salcycl</f>
        <v>5.6448282238940245E-2</v>
      </c>
      <c r="P30" s="169">
        <f>(INDEX(Models!$BJ30:$BT30,,T30)*(1-R30)+INDEX(Models!$BJ30:$BT30,,T30+1)*R30-ERP_i)*Q30*Ramure*Pc/MaxiM</f>
        <v>7.8435303186668547E-3</v>
      </c>
      <c r="Q30" s="304">
        <f t="shared" si="4"/>
        <v>0.6</v>
      </c>
      <c r="R30" s="177">
        <f t="shared" si="5"/>
        <v>0.49970613848771439</v>
      </c>
      <c r="S30" s="799">
        <f t="shared" si="6"/>
        <v>1</v>
      </c>
      <c r="T30" s="176">
        <f t="shared" si="7"/>
        <v>7</v>
      </c>
      <c r="U30" s="250">
        <f t="shared" si="8"/>
        <v>1.4997061384877144</v>
      </c>
      <c r="V30" s="382">
        <f t="shared" si="9"/>
        <v>25.462693506037674</v>
      </c>
      <c r="W30" s="400">
        <f t="shared" si="10"/>
        <v>25.718444677229609</v>
      </c>
      <c r="X30" s="157">
        <f t="shared" si="11"/>
        <v>45673</v>
      </c>
      <c r="Y30" s="383">
        <f t="shared" si="12"/>
        <v>25.314632546967051</v>
      </c>
      <c r="Z30" s="383">
        <f t="shared" si="22"/>
        <v>26.400743498161489</v>
      </c>
      <c r="AA30" s="384">
        <f t="shared" si="13"/>
        <v>28.426508552632718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7.1263238350937508E-2</v>
      </c>
      <c r="AD30" s="230">
        <f>(INDEX(Models!$BJ30:$BT30,,AH30)*(1-AF30)+INDEX(Models!$BJ30:$BT30,,AH30+1)*AF30-ERP_i)*AE30*Ramure*Pc/MaxiM</f>
        <v>7.8435303186668547E-3</v>
      </c>
      <c r="AE30" s="304">
        <f t="shared" si="15"/>
        <v>0.6</v>
      </c>
      <c r="AF30" s="177">
        <f t="shared" si="23"/>
        <v>0.49970613848771439</v>
      </c>
      <c r="AG30" s="799">
        <f t="shared" si="24"/>
        <v>1</v>
      </c>
      <c r="AH30" s="176">
        <f t="shared" si="16"/>
        <v>7</v>
      </c>
      <c r="AI30" s="224">
        <f t="shared" si="17"/>
        <v>1.4997061384877144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'2024'!Wh/'2024'!Env_an*'2025'!Env_an</f>
        <v>11.876739124271886</v>
      </c>
      <c r="C31" s="829"/>
      <c r="D31" s="391">
        <f t="shared" si="0"/>
        <v>12.386541734430056</v>
      </c>
      <c r="E31" s="383">
        <f t="shared" si="1"/>
        <v>13.128320969705621</v>
      </c>
      <c r="F31" s="383">
        <f t="shared" si="2"/>
        <v>13.151739478224016</v>
      </c>
      <c r="G31" s="110">
        <f t="shared" si="21"/>
        <v>0.45883440898456435</v>
      </c>
      <c r="H31" s="412" t="b">
        <f>Wh_hp&gt;='2024'!Maxi_hp</f>
        <v>0</v>
      </c>
      <c r="I31" s="388">
        <f>IF(H31,Wh_hp,'2024'!Maxi_hp)</f>
        <v>13.20492175837156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4.1157784076333859E-2</v>
      </c>
      <c r="M31" s="832"/>
      <c r="N31" s="832"/>
      <c r="O31" s="48">
        <f>IF(t&lt;Tnet,'2024'!Resal+('2024'!Salim-'2024'!Resal)*(1-EXP(('2024'!Tnet-t)/('2024'!Tau_j))),Resal+(Salim-Resal)*(1-EXP((Tnet-t)/(Tau_j))))*Salcycl</f>
        <v>5.6502216619114108E-2</v>
      </c>
      <c r="P31" s="169">
        <f>(INDEX(Models!$BJ31:$BT31,,T31)*(1-R31)+INDEX(Models!$BJ31:$BT31,,T31+1)*R31-ERP_i)*Q31*Ramure*Pc/MaxiM</f>
        <v>7.7142120656121171E-3</v>
      </c>
      <c r="Q31" s="304">
        <f t="shared" si="4"/>
        <v>0.6</v>
      </c>
      <c r="R31" s="177">
        <f t="shared" si="5"/>
        <v>0.49976012237706846</v>
      </c>
      <c r="S31" s="799">
        <f t="shared" si="6"/>
        <v>1</v>
      </c>
      <c r="T31" s="176">
        <f t="shared" si="7"/>
        <v>7</v>
      </c>
      <c r="U31" s="250">
        <f t="shared" si="8"/>
        <v>1.4997601223770685</v>
      </c>
      <c r="V31" s="382">
        <f t="shared" si="9"/>
        <v>25.730724838912742</v>
      </c>
      <c r="W31" s="400">
        <f t="shared" si="10"/>
        <v>11.876739124271886</v>
      </c>
      <c r="X31" s="157">
        <f t="shared" si="11"/>
        <v>45674</v>
      </c>
      <c r="Y31" s="383">
        <f t="shared" si="12"/>
        <v>11.690443664978297</v>
      </c>
      <c r="Z31" s="383">
        <f t="shared" si="22"/>
        <v>12.19224964319779</v>
      </c>
      <c r="AA31" s="384">
        <f t="shared" si="13"/>
        <v>13.128320969705621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7.1301678917499889E-2</v>
      </c>
      <c r="AD31" s="230">
        <f>(INDEX(Models!$BJ31:$BT31,,AH31)*(1-AF31)+INDEX(Models!$BJ31:$BT31,,AH31+1)*AF31-ERP_i)*AE31*Ramure*Pc/MaxiM</f>
        <v>7.7142120656121171E-3</v>
      </c>
      <c r="AE31" s="304">
        <f t="shared" si="15"/>
        <v>0.6</v>
      </c>
      <c r="AF31" s="177">
        <f t="shared" si="23"/>
        <v>0.49976012237706846</v>
      </c>
      <c r="AG31" s="799">
        <f t="shared" si="24"/>
        <v>1</v>
      </c>
      <c r="AH31" s="176">
        <f t="shared" si="16"/>
        <v>7</v>
      </c>
      <c r="AI31" s="224">
        <f t="shared" si="17"/>
        <v>1.4997601223770685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'2024'!Wh/'2024'!Env_an*'2025'!Env_an</f>
        <v>3.7732437491889632</v>
      </c>
      <c r="C32" s="829"/>
      <c r="D32" s="391">
        <f t="shared" si="0"/>
        <v>3.935283617331772</v>
      </c>
      <c r="E32" s="383">
        <f t="shared" si="1"/>
        <v>4.1711901209258784</v>
      </c>
      <c r="F32" s="383">
        <f t="shared" si="2"/>
        <v>4.1711901209258784</v>
      </c>
      <c r="G32" s="110">
        <f t="shared" si="21"/>
        <v>0.14400131447909975</v>
      </c>
      <c r="H32" s="412" t="b">
        <f>Wh_hp&gt;='2024'!Maxi_hp</f>
        <v>0</v>
      </c>
      <c r="I32" s="388">
        <f>IF(H32,Wh_hp,'2024'!Maxi_hp)</f>
        <v>29.066008249734857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4.1176160068654988E-2</v>
      </c>
      <c r="M32" s="832"/>
      <c r="N32" s="832"/>
      <c r="O32" s="48">
        <f>IF(t&lt;Tnet,'2024'!Resal+('2024'!Salim-'2024'!Resal)*(1-EXP(('2024'!Tnet-t)/('2024'!Tau_j))),Resal+(Salim-Resal)*(1-EXP((Tnet-t)/(Tau_j))))*Salcycl</f>
        <v>5.6556161851894146E-2</v>
      </c>
      <c r="P32" s="169">
        <f>(INDEX(Models!$BJ32:$BT32,,T32)*(1-R32)+INDEX(Models!$BJ32:$BT32,,T32+1)*R32-ERP_i)*Q32*Ramure*Pc/MaxiM</f>
        <v>7.5835476669024373E-3</v>
      </c>
      <c r="Q32" s="304">
        <f t="shared" si="4"/>
        <v>0.6</v>
      </c>
      <c r="R32" s="177">
        <f t="shared" si="5"/>
        <v>0.49981635858921014</v>
      </c>
      <c r="S32" s="799">
        <f t="shared" si="6"/>
        <v>1</v>
      </c>
      <c r="T32" s="176">
        <f t="shared" si="7"/>
        <v>7</v>
      </c>
      <c r="U32" s="250">
        <f t="shared" si="8"/>
        <v>1.4998163585892101</v>
      </c>
      <c r="V32" s="382">
        <f t="shared" si="9"/>
        <v>26.004131899099022</v>
      </c>
      <c r="W32" s="400">
        <f t="shared" si="10"/>
        <v>3.7732437491889632</v>
      </c>
      <c r="X32" s="157">
        <f t="shared" si="11"/>
        <v>45675</v>
      </c>
      <c r="Y32" s="383">
        <f t="shared" si="12"/>
        <v>3.7141160682266494</v>
      </c>
      <c r="Z32" s="383">
        <f t="shared" si="22"/>
        <v>3.8736167307777749</v>
      </c>
      <c r="AA32" s="384">
        <f t="shared" si="13"/>
        <v>4.1711901209258784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7.1340164682316465E-2</v>
      </c>
      <c r="AD32" s="230">
        <f>(INDEX(Models!$BJ32:$BT32,,AH32)*(1-AF32)+INDEX(Models!$BJ32:$BT32,,AH32+1)*AF32-ERP_i)*AE32*Ramure*Pc/MaxiM</f>
        <v>7.5835476669024373E-3</v>
      </c>
      <c r="AE32" s="304">
        <f t="shared" si="15"/>
        <v>0.6</v>
      </c>
      <c r="AF32" s="177">
        <f t="shared" si="23"/>
        <v>0.49981635858921014</v>
      </c>
      <c r="AG32" s="799">
        <f t="shared" si="24"/>
        <v>1</v>
      </c>
      <c r="AH32" s="176">
        <f t="shared" si="16"/>
        <v>7</v>
      </c>
      <c r="AI32" s="224">
        <f t="shared" si="17"/>
        <v>1.4998163585892101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'2024'!Wh/'2024'!Env_an*'2025'!Env_an</f>
        <v>10.296015114804964</v>
      </c>
      <c r="C33" s="829"/>
      <c r="D33" s="391">
        <f t="shared" si="0"/>
        <v>10.738377594058012</v>
      </c>
      <c r="E33" s="383">
        <f t="shared" si="1"/>
        <v>11.382756832943503</v>
      </c>
      <c r="F33" s="383">
        <f t="shared" si="2"/>
        <v>11.393885470112812</v>
      </c>
      <c r="G33" s="110">
        <f t="shared" si="21"/>
        <v>0.38921029280688518</v>
      </c>
      <c r="H33" s="412" t="b">
        <f>Wh_hp&gt;='2024'!Maxi_hp</f>
        <v>0</v>
      </c>
      <c r="I33" s="388">
        <f>IF(H33,Wh_hp,'2024'!Maxi_hp)</f>
        <v>30.468754573897851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4.1194535708804381E-2</v>
      </c>
      <c r="M33" s="832"/>
      <c r="N33" s="832"/>
      <c r="O33" s="48">
        <f>IF(t&lt;Tnet,'2024'!Resal+('2024'!Salim-'2024'!Resal)*(1-EXP(('2024'!Tnet-t)/('2024'!Tau_j))),Resal+(Salim-Resal)*(1-EXP((Tnet-t)/(Tau_j))))*Salcycl</f>
        <v>5.6610120759195658E-2</v>
      </c>
      <c r="P33" s="169">
        <f>(INDEX(Models!$BJ33:$BT33,,T33)*(1-R33)+INDEX(Models!$BJ33:$BT33,,T33+1)*R33-ERP_i)*Q33*Ramure*Pc/MaxiM</f>
        <v>7.4518638223633714E-3</v>
      </c>
      <c r="Q33" s="304">
        <f t="shared" si="4"/>
        <v>0.6</v>
      </c>
      <c r="R33" s="177">
        <f t="shared" si="5"/>
        <v>0.49987494055507109</v>
      </c>
      <c r="S33" s="799">
        <f t="shared" si="6"/>
        <v>1</v>
      </c>
      <c r="T33" s="176">
        <f t="shared" si="7"/>
        <v>7</v>
      </c>
      <c r="U33" s="250">
        <f t="shared" si="8"/>
        <v>1.4998749405550711</v>
      </c>
      <c r="V33" s="382">
        <f t="shared" si="9"/>
        <v>26.282146044438758</v>
      </c>
      <c r="W33" s="400">
        <f t="shared" si="10"/>
        <v>10.296015114804964</v>
      </c>
      <c r="X33" s="157">
        <f t="shared" si="11"/>
        <v>45676</v>
      </c>
      <c r="Y33" s="383">
        <f t="shared" si="12"/>
        <v>10.134833074616301</v>
      </c>
      <c r="Z33" s="383">
        <f t="shared" si="22"/>
        <v>10.570270458469441</v>
      </c>
      <c r="AA33" s="384">
        <f t="shared" si="13"/>
        <v>11.382756832943503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7.1378699061952863E-2</v>
      </c>
      <c r="AD33" s="230">
        <f>(INDEX(Models!$BJ33:$BT33,,AH33)*(1-AF33)+INDEX(Models!$BJ33:$BT33,,AH33+1)*AF33-ERP_i)*AE33*Ramure*Pc/MaxiM</f>
        <v>7.4518638223633714E-3</v>
      </c>
      <c r="AE33" s="304">
        <f t="shared" si="15"/>
        <v>0.6</v>
      </c>
      <c r="AF33" s="177">
        <f t="shared" si="23"/>
        <v>0.49987494055507109</v>
      </c>
      <c r="AG33" s="799">
        <f t="shared" si="24"/>
        <v>1</v>
      </c>
      <c r="AH33" s="176">
        <f t="shared" si="16"/>
        <v>7</v>
      </c>
      <c r="AI33" s="224">
        <f t="shared" si="17"/>
        <v>1.4998749405550711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'2024'!Wh/'2024'!Env_an*'2025'!Env_an</f>
        <v>6.4482814411318765</v>
      </c>
      <c r="C34" s="829"/>
      <c r="D34" s="391">
        <f t="shared" si="0"/>
        <v>6.7254571062651012</v>
      </c>
      <c r="E34" s="383">
        <f t="shared" si="1"/>
        <v>7.1294404039206274</v>
      </c>
      <c r="F34" s="383">
        <f t="shared" si="2"/>
        <v>7.1294404039206274</v>
      </c>
      <c r="G34" s="110">
        <f t="shared" si="21"/>
        <v>0.2409683699663803</v>
      </c>
      <c r="H34" s="412" t="b">
        <f>Wh_hp&gt;='2024'!Maxi_hp</f>
        <v>0</v>
      </c>
      <c r="I34" s="388">
        <f>IF(H34,Wh_hp,'2024'!Maxi_hp)</f>
        <v>12.26188245483894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4.121291099678881E-2</v>
      </c>
      <c r="M34" s="832"/>
      <c r="N34" s="832"/>
      <c r="O34" s="48">
        <f>IF(t&lt;Tnet,'2024'!Resal+('2024'!Salim-'2024'!Resal)*(1-EXP(('2024'!Tnet-t)/('2024'!Tau_j))),Resal+(Salim-Resal)*(1-EXP((Tnet-t)/(Tau_j))))*Salcycl</f>
        <v>5.6664096305983229E-2</v>
      </c>
      <c r="P34" s="169">
        <f>(INDEX(Models!$BJ34:$BT34,,T34)*(1-R34)+INDEX(Models!$BJ34:$BT34,,T34+1)*R34-ERP_i)*Q34*Ramure*Pc/MaxiM</f>
        <v>7.3195013220691734E-3</v>
      </c>
      <c r="Q34" s="304">
        <f t="shared" si="4"/>
        <v>0.6</v>
      </c>
      <c r="R34" s="177">
        <f t="shared" si="5"/>
        <v>0.49993596553511388</v>
      </c>
      <c r="S34" s="799">
        <f t="shared" si="6"/>
        <v>1</v>
      </c>
      <c r="T34" s="176">
        <f t="shared" si="7"/>
        <v>7</v>
      </c>
      <c r="U34" s="250">
        <f t="shared" si="8"/>
        <v>1.4999359655351139</v>
      </c>
      <c r="V34" s="382">
        <f t="shared" si="9"/>
        <v>26.563997745810006</v>
      </c>
      <c r="W34" s="400">
        <f t="shared" si="10"/>
        <v>6.4482814411318765</v>
      </c>
      <c r="X34" s="157">
        <f t="shared" si="11"/>
        <v>45677</v>
      </c>
      <c r="Y34" s="383">
        <f t="shared" si="12"/>
        <v>6.3474343127013668</v>
      </c>
      <c r="Z34" s="383">
        <f t="shared" si="22"/>
        <v>6.6202751220819867</v>
      </c>
      <c r="AA34" s="384">
        <f t="shared" si="13"/>
        <v>7.1294404039206274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7.1417285648203169E-2</v>
      </c>
      <c r="AD34" s="230">
        <f>(INDEX(Models!$BJ34:$BT34,,AH34)*(1-AF34)+INDEX(Models!$BJ34:$BT34,,AH34+1)*AF34-ERP_i)*AE34*Ramure*Pc/MaxiM</f>
        <v>7.3195013220691734E-3</v>
      </c>
      <c r="AE34" s="304">
        <f t="shared" si="15"/>
        <v>0.6</v>
      </c>
      <c r="AF34" s="177">
        <f t="shared" si="23"/>
        <v>0.49993596553511388</v>
      </c>
      <c r="AG34" s="799">
        <f t="shared" si="24"/>
        <v>1</v>
      </c>
      <c r="AH34" s="176">
        <f t="shared" si="16"/>
        <v>7</v>
      </c>
      <c r="AI34" s="224">
        <f t="shared" si="17"/>
        <v>1.4999359655351139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'2024'!Wh/'2024'!Env_an*'2025'!Env_an</f>
        <v>20.560506316278591</v>
      </c>
      <c r="C35" s="829"/>
      <c r="D35" s="391">
        <f t="shared" si="0"/>
        <v>21.444698825282632</v>
      </c>
      <c r="E35" s="383">
        <f t="shared" si="1"/>
        <v>22.734135608701273</v>
      </c>
      <c r="F35" s="383">
        <f t="shared" si="2"/>
        <v>22.843375930785886</v>
      </c>
      <c r="G35" s="110">
        <f t="shared" si="21"/>
        <v>0.76393501627950577</v>
      </c>
      <c r="H35" s="412" t="b">
        <f>Wh_hp&gt;='2024'!Maxi_hp</f>
        <v>0</v>
      </c>
      <c r="I35" s="388">
        <f>IF(H35,Wh_hp,'2024'!Maxi_hp)</f>
        <v>22.880726638611495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4.1231285932615047E-2</v>
      </c>
      <c r="M35" s="832"/>
      <c r="N35" s="832"/>
      <c r="O35" s="48">
        <f>IF(t&lt;Tnet,'2024'!Resal+('2024'!Salim-'2024'!Resal)*(1-EXP(('2024'!Tnet-t)/('2024'!Tau_j))),Resal+(Salim-Resal)*(1-EXP((Tnet-t)/(Tau_j))))*Salcycl</f>
        <v>5.6718091490802931E-2</v>
      </c>
      <c r="P35" s="169">
        <f>(INDEX(Models!$BJ35:$BT35,,T35)*(1-R35)+INDEX(Models!$BJ35:$BT35,,T35+1)*R35-ERP_i)*Q35*Ramure*Pc/MaxiM</f>
        <v>7.1867897624008506E-3</v>
      </c>
      <c r="Q35" s="304">
        <f t="shared" si="4"/>
        <v>0.6</v>
      </c>
      <c r="R35" s="177">
        <f t="shared" si="5"/>
        <v>0.49999953477235004</v>
      </c>
      <c r="S35" s="799">
        <f t="shared" si="6"/>
        <v>1</v>
      </c>
      <c r="T35" s="176">
        <f t="shared" si="7"/>
        <v>7</v>
      </c>
      <c r="U35" s="250">
        <f t="shared" si="8"/>
        <v>1.49999953477235</v>
      </c>
      <c r="V35" s="382">
        <f t="shared" si="9"/>
        <v>26.848917229959529</v>
      </c>
      <c r="W35" s="400">
        <f t="shared" si="10"/>
        <v>20.560506316278591</v>
      </c>
      <c r="X35" s="157">
        <f t="shared" si="11"/>
        <v>45678</v>
      </c>
      <c r="Y35" s="383">
        <f t="shared" si="12"/>
        <v>20.239268964710419</v>
      </c>
      <c r="Z35" s="383">
        <f t="shared" si="22"/>
        <v>21.109646849915826</v>
      </c>
      <c r="AA35" s="384">
        <f t="shared" si="13"/>
        <v>22.734135608701273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7.145592806984441E-2</v>
      </c>
      <c r="AD35" s="230">
        <f>(INDEX(Models!$BJ35:$BT35,,AH35)*(1-AF35)+INDEX(Models!$BJ35:$BT35,,AH35+1)*AF35-ERP_i)*AE35*Ramure*Pc/MaxiM</f>
        <v>7.1867897624008506E-3</v>
      </c>
      <c r="AE35" s="304">
        <f t="shared" si="15"/>
        <v>0.6</v>
      </c>
      <c r="AF35" s="177">
        <f t="shared" si="23"/>
        <v>0.49999953477235004</v>
      </c>
      <c r="AG35" s="799">
        <f t="shared" si="24"/>
        <v>1</v>
      </c>
      <c r="AH35" s="176">
        <f t="shared" si="16"/>
        <v>7</v>
      </c>
      <c r="AI35" s="224">
        <f t="shared" si="17"/>
        <v>1.49999953477235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'2024'!Wh/'2024'!Env_an*'2025'!Env_an</f>
        <v>27.447171840124138</v>
      </c>
      <c r="C36" s="829"/>
      <c r="D36" s="391">
        <f t="shared" si="0"/>
        <v>28.628070009241949</v>
      </c>
      <c r="E36" s="383">
        <f t="shared" si="1"/>
        <v>30.351169944980402</v>
      </c>
      <c r="F36" s="383">
        <f t="shared" si="2"/>
        <v>30.566788013971934</v>
      </c>
      <c r="G36" s="110">
        <f t="shared" si="21"/>
        <v>1.011462059241816</v>
      </c>
      <c r="H36" s="412" t="b">
        <f>Wh_hp&gt;='2024'!Maxi_hp</f>
        <v>1</v>
      </c>
      <c r="I36" s="388">
        <f>IF(H36,Wh_hp,'2024'!Maxi_hp)</f>
        <v>30.566788013971934</v>
      </c>
      <c r="J36" s="85">
        <f>IF(H36,An,'2024'!An_max)</f>
        <v>2025</v>
      </c>
      <c r="K36" s="197">
        <f t="shared" si="3"/>
        <v>45679</v>
      </c>
      <c r="L36" s="147">
        <f>IF(t&lt;Tvie,1-EXP((T0-t)*PertePVj)+'2024'!Pspv,1-EXP((T0-t)*PertePVj)+Pspv)</f>
        <v>4.1249660516289866E-2</v>
      </c>
      <c r="M36" s="832"/>
      <c r="N36" s="832"/>
      <c r="O36" s="48">
        <f>IF(t&lt;Tnet,'2024'!Resal+('2024'!Salim-'2024'!Resal)*(1-EXP(('2024'!Tnet-t)/('2024'!Tau_j))),Resal+(Salim-Resal)*(1-EXP((Tnet-t)/(Tau_j))))*Salcycl</f>
        <v>5.6772109241984149E-2</v>
      </c>
      <c r="P36" s="169">
        <f>(INDEX(Models!$BJ36:$BT36,,T36)*(1-R36)+INDEX(Models!$BJ36:$BT36,,T36+1)*R36-ERP_i)*Q36*Ramure*Pc/MaxiM</f>
        <v>7.0539982445317244E-3</v>
      </c>
      <c r="Q36" s="304">
        <f t="shared" si="4"/>
        <v>0.6</v>
      </c>
      <c r="R36" s="177">
        <f t="shared" si="5"/>
        <v>0.50006575365113215</v>
      </c>
      <c r="S36" s="799">
        <f t="shared" si="6"/>
        <v>1</v>
      </c>
      <c r="T36" s="176">
        <f t="shared" si="7"/>
        <v>7</v>
      </c>
      <c r="U36" s="250">
        <f t="shared" si="8"/>
        <v>1.5000657536511321</v>
      </c>
      <c r="V36" s="382">
        <f t="shared" si="9"/>
        <v>27.136135843492067</v>
      </c>
      <c r="W36" s="400">
        <f t="shared" si="10"/>
        <v>27.447171840124138</v>
      </c>
      <c r="X36" s="157">
        <f t="shared" si="11"/>
        <v>45679</v>
      </c>
      <c r="Y36" s="383">
        <f t="shared" si="12"/>
        <v>27.018758349245353</v>
      </c>
      <c r="Z36" s="383">
        <f t="shared" si="22"/>
        <v>28.181224283889208</v>
      </c>
      <c r="AA36" s="384">
        <f t="shared" si="13"/>
        <v>30.351169944980402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7.1494629861873465E-2</v>
      </c>
      <c r="AD36" s="230">
        <f>(INDEX(Models!$BJ36:$BT36,,AH36)*(1-AF36)+INDEX(Models!$BJ36:$BT36,,AH36+1)*AF36-ERP_i)*AE36*Ramure*Pc/MaxiM</f>
        <v>7.0539982445317244E-3</v>
      </c>
      <c r="AE36" s="304">
        <f t="shared" si="15"/>
        <v>0.6</v>
      </c>
      <c r="AF36" s="177">
        <f t="shared" si="23"/>
        <v>0.50006575365113215</v>
      </c>
      <c r="AG36" s="799">
        <f t="shared" si="24"/>
        <v>1</v>
      </c>
      <c r="AH36" s="176">
        <f t="shared" si="16"/>
        <v>7</v>
      </c>
      <c r="AI36" s="224">
        <f t="shared" si="17"/>
        <v>1.5000657536511321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'2024'!Wh/'2024'!Env_an*'2025'!Env_an</f>
        <v>27.570785052666768</v>
      </c>
      <c r="C37" s="829"/>
      <c r="D37" s="391">
        <f t="shared" si="0"/>
        <v>28.757552738334628</v>
      </c>
      <c r="E37" s="383">
        <f t="shared" si="1"/>
        <v>30.490193095458743</v>
      </c>
      <c r="F37" s="383">
        <f t="shared" si="2"/>
        <v>30.702667936607369</v>
      </c>
      <c r="G37" s="110">
        <f t="shared" si="21"/>
        <v>1.0051787273423882</v>
      </c>
      <c r="H37" s="412" t="b">
        <f>Wh_hp&gt;='2024'!Maxi_hp</f>
        <v>1</v>
      </c>
      <c r="I37" s="388">
        <f>IF(H37,Wh_hp,'2024'!Maxi_hp)</f>
        <v>30.702667936607369</v>
      </c>
      <c r="J37" s="85">
        <f>IF(H37,An,'2024'!An_max)</f>
        <v>2025</v>
      </c>
      <c r="K37" s="197">
        <f t="shared" si="3"/>
        <v>45680</v>
      </c>
      <c r="L37" s="147">
        <f>IF(t&lt;Tvie,1-EXP((T0-t)*PertePVj)+'2024'!Pspv,1-EXP((T0-t)*PertePVj)+Pspv)</f>
        <v>4.1268034747820037E-2</v>
      </c>
      <c r="M37" s="832"/>
      <c r="N37" s="832"/>
      <c r="O37" s="48">
        <f>IF(t&lt;Tnet,'2024'!Resal+('2024'!Salim-'2024'!Resal)*(1-EXP(('2024'!Tnet-t)/('2024'!Tau_j))),Resal+(Salim-Resal)*(1-EXP((Tnet-t)/(Tau_j))))*Salcycl</f>
        <v>5.6826152320503913E-2</v>
      </c>
      <c r="P37" s="169">
        <f>(INDEX(Models!$BJ37:$BT37,,T37)*(1-R37)+INDEX(Models!$BJ37:$BT37,,T37+1)*R37-ERP_i)*Q37*Ramure*Pc/MaxiM</f>
        <v>6.920403190606406E-3</v>
      </c>
      <c r="Q37" s="304">
        <f t="shared" si="4"/>
        <v>0.6</v>
      </c>
      <c r="R37" s="177">
        <f t="shared" si="5"/>
        <v>0.50013473186190938</v>
      </c>
      <c r="S37" s="799">
        <f t="shared" si="6"/>
        <v>1</v>
      </c>
      <c r="T37" s="176">
        <f t="shared" si="7"/>
        <v>7</v>
      </c>
      <c r="U37" s="250">
        <f t="shared" si="8"/>
        <v>1.5001347318619094</v>
      </c>
      <c r="V37" s="382">
        <f t="shared" si="9"/>
        <v>27.428739091566037</v>
      </c>
      <c r="W37" s="400">
        <f t="shared" si="10"/>
        <v>27.570785052666768</v>
      </c>
      <c r="X37" s="157">
        <f t="shared" si="11"/>
        <v>45680</v>
      </c>
      <c r="Y37" s="383">
        <f t="shared" si="12"/>
        <v>27.140864090025683</v>
      </c>
      <c r="Z37" s="383">
        <f t="shared" si="22"/>
        <v>28.309126089153281</v>
      </c>
      <c r="AA37" s="384">
        <f t="shared" si="13"/>
        <v>30.490193095458743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7.1533394343452447E-2</v>
      </c>
      <c r="AD37" s="230">
        <f>(INDEX(Models!$BJ37:$BT37,,AH37)*(1-AF37)+INDEX(Models!$BJ37:$BT37,,AH37+1)*AF37-ERP_i)*AE37*Ramure*Pc/MaxiM</f>
        <v>6.920403190606406E-3</v>
      </c>
      <c r="AE37" s="304">
        <f t="shared" si="15"/>
        <v>0.6</v>
      </c>
      <c r="AF37" s="177">
        <f t="shared" si="23"/>
        <v>0.50013473186190938</v>
      </c>
      <c r="AG37" s="799">
        <f t="shared" si="24"/>
        <v>1</v>
      </c>
      <c r="AH37" s="176">
        <f t="shared" si="16"/>
        <v>7</v>
      </c>
      <c r="AI37" s="224">
        <f t="shared" si="17"/>
        <v>1.5001347318619094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'2024'!Wh/'2024'!Env_an*'2025'!Env_an</f>
        <v>28.107477077240009</v>
      </c>
      <c r="C38" s="829"/>
      <c r="D38" s="391">
        <f t="shared" si="0"/>
        <v>29.317908215938338</v>
      </c>
      <c r="E38" s="383">
        <f t="shared" si="1"/>
        <v>31.08609207237642</v>
      </c>
      <c r="F38" s="383">
        <f t="shared" si="2"/>
        <v>31.298408115461399</v>
      </c>
      <c r="G38" s="110">
        <f t="shared" si="21"/>
        <v>1.0136207234082968</v>
      </c>
      <c r="H38" s="412" t="b">
        <f>Wh_hp&gt;='2024'!Maxi_hp</f>
        <v>1</v>
      </c>
      <c r="I38" s="388">
        <f>IF(H38,Wh_hp,'2024'!Maxi_hp)</f>
        <v>31.298408115461399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4.1286408627212112E-2</v>
      </c>
      <c r="M38" s="832"/>
      <c r="N38" s="832"/>
      <c r="O38" s="48">
        <f>IF(t&lt;Tnet,'2024'!Resal+('2024'!Salim-'2024'!Resal)*(1-EXP(('2024'!Tnet-t)/('2024'!Tau_j))),Resal+(Salim-Resal)*(1-EXP((Tnet-t)/(Tau_j))))*Salcycl</f>
        <v>5.6880223230417568E-2</v>
      </c>
      <c r="P38" s="169">
        <f>(INDEX(Models!$BJ38:$BT38,,T38)*(1-R38)+INDEX(Models!$BJ38:$BT38,,T38+1)*R38-ERP_i)*Q38*Ramure*Pc/MaxiM</f>
        <v>6.7836051693662483E-3</v>
      </c>
      <c r="Q38" s="304">
        <f t="shared" si="4"/>
        <v>0.6</v>
      </c>
      <c r="R38" s="177">
        <f t="shared" si="5"/>
        <v>0.50020658357213876</v>
      </c>
      <c r="S38" s="799">
        <f t="shared" si="6"/>
        <v>1</v>
      </c>
      <c r="T38" s="176">
        <f t="shared" si="7"/>
        <v>7</v>
      </c>
      <c r="U38" s="250">
        <f t="shared" si="8"/>
        <v>1.5002065835721388</v>
      </c>
      <c r="V38" s="382">
        <f t="shared" si="9"/>
        <v>27.729777448441162</v>
      </c>
      <c r="W38" s="400">
        <f t="shared" si="10"/>
        <v>28.107477077240009</v>
      </c>
      <c r="X38" s="157">
        <f t="shared" si="11"/>
        <v>45681</v>
      </c>
      <c r="Y38" s="383">
        <f t="shared" si="12"/>
        <v>27.669616373610747</v>
      </c>
      <c r="Z38" s="383">
        <f t="shared" si="22"/>
        <v>28.861191311568302</v>
      </c>
      <c r="AA38" s="384">
        <f t="shared" si="13"/>
        <v>31.08609207237642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7.1572224505672133E-2</v>
      </c>
      <c r="AD38" s="230">
        <f>(INDEX(Models!$BJ38:$BT38,,AH38)*(1-AF38)+INDEX(Models!$BJ38:$BT38,,AH38+1)*AF38-ERP_i)*AE38*Ramure*Pc/MaxiM</f>
        <v>6.7836051693662483E-3</v>
      </c>
      <c r="AE38" s="304">
        <f t="shared" si="15"/>
        <v>0.6</v>
      </c>
      <c r="AF38" s="177">
        <f t="shared" si="23"/>
        <v>0.50020658357213876</v>
      </c>
      <c r="AG38" s="799">
        <f t="shared" si="24"/>
        <v>1</v>
      </c>
      <c r="AH38" s="176">
        <f t="shared" si="16"/>
        <v>7</v>
      </c>
      <c r="AI38" s="224">
        <f t="shared" si="17"/>
        <v>1.5002065835721388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'2024'!Wh/'2024'!Env_an*'2025'!Env_an</f>
        <v>27.180823229182497</v>
      </c>
      <c r="C39" s="829"/>
      <c r="D39" s="391">
        <f t="shared" si="0"/>
        <v>28.351891949837704</v>
      </c>
      <c r="E39" s="383">
        <f t="shared" si="1"/>
        <v>30.063539237511467</v>
      </c>
      <c r="F39" s="383">
        <f t="shared" si="2"/>
        <v>30.255696814862212</v>
      </c>
      <c r="G39" s="110">
        <f t="shared" si="21"/>
        <v>0.96912996140061713</v>
      </c>
      <c r="H39" s="412" t="b">
        <f>Wh_hp&gt;='2024'!Maxi_hp</f>
        <v>0</v>
      </c>
      <c r="I39" s="388">
        <f>IF(H39,Wh_hp,'2024'!Maxi_hp)</f>
        <v>30.261651120262506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4.1304782154473085E-2</v>
      </c>
      <c r="M39" s="832"/>
      <c r="N39" s="832"/>
      <c r="O39" s="48">
        <f>IF(t&lt;Tnet,'2024'!Resal+('2024'!Salim-'2024'!Resal)*(1-EXP(('2024'!Tnet-t)/('2024'!Tau_j))),Resal+(Salim-Resal)*(1-EXP((Tnet-t)/(Tau_j))))*Salcycl</f>
        <v>5.6934324137660884E-2</v>
      </c>
      <c r="P39" s="169">
        <f>(INDEX(Models!$BJ39:$BT39,,T39)*(1-R39)+INDEX(Models!$BJ39:$BT39,,T39+1)*R39-ERP_i)*Q39*Ramure*Pc/MaxiM</f>
        <v>6.6413168639215796E-3</v>
      </c>
      <c r="Q39" s="304">
        <f t="shared" si="4"/>
        <v>0.6</v>
      </c>
      <c r="R39" s="177">
        <f t="shared" si="5"/>
        <v>0.50028142760354699</v>
      </c>
      <c r="S39" s="799">
        <f t="shared" si="6"/>
        <v>1</v>
      </c>
      <c r="T39" s="176">
        <f t="shared" si="7"/>
        <v>7</v>
      </c>
      <c r="U39" s="250">
        <f t="shared" si="8"/>
        <v>1.500281427603547</v>
      </c>
      <c r="V39" s="382">
        <f t="shared" si="9"/>
        <v>28.038432532196445</v>
      </c>
      <c r="W39" s="400">
        <f t="shared" si="10"/>
        <v>27.180823229182497</v>
      </c>
      <c r="X39" s="157">
        <f t="shared" si="11"/>
        <v>45682</v>
      </c>
      <c r="Y39" s="383">
        <f t="shared" si="12"/>
        <v>26.75781189156848</v>
      </c>
      <c r="Z39" s="383">
        <f t="shared" si="22"/>
        <v>27.910655434060928</v>
      </c>
      <c r="AA39" s="384">
        <f t="shared" si="13"/>
        <v>30.063539237511467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7.1611122910116329E-2</v>
      </c>
      <c r="AD39" s="230">
        <f>(INDEX(Models!$BJ39:$BT39,,AH39)*(1-AF39)+INDEX(Models!$BJ39:$BT39,,AH39+1)*AF39-ERP_i)*AE39*Ramure*Pc/MaxiM</f>
        <v>6.6413168639215796E-3</v>
      </c>
      <c r="AE39" s="304">
        <f t="shared" si="15"/>
        <v>0.6</v>
      </c>
      <c r="AF39" s="177">
        <f t="shared" si="23"/>
        <v>0.50028142760354699</v>
      </c>
      <c r="AG39" s="799">
        <f t="shared" si="24"/>
        <v>1</v>
      </c>
      <c r="AH39" s="176">
        <f t="shared" si="16"/>
        <v>7</v>
      </c>
      <c r="AI39" s="224">
        <f t="shared" si="17"/>
        <v>1.500281427603547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'2024'!Wh/'2024'!Env_an*'2025'!Env_an</f>
        <v>27.844455302414836</v>
      </c>
      <c r="C40" s="829"/>
      <c r="D40" s="391">
        <f t="shared" si="0"/>
        <v>29.044672829235004</v>
      </c>
      <c r="E40" s="383">
        <f t="shared" si="1"/>
        <v>30.799912300767186</v>
      </c>
      <c r="F40" s="383">
        <f t="shared" si="2"/>
        <v>30.996036162615734</v>
      </c>
      <c r="G40" s="110">
        <f t="shared" si="21"/>
        <v>0.98187108437304604</v>
      </c>
      <c r="H40" s="412" t="b">
        <f>Wh_hp&gt;='2024'!Maxi_hp</f>
        <v>0</v>
      </c>
      <c r="I40" s="388">
        <f>IF(H40,Wh_hp,'2024'!Maxi_hp)</f>
        <v>30.999537323642969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4.1323155329609507E-2</v>
      </c>
      <c r="M40" s="832"/>
      <c r="N40" s="832"/>
      <c r="O40" s="48">
        <f>IF(t&lt;Tnet,'2024'!Resal+('2024'!Salim-'2024'!Resal)*(1-EXP(('2024'!Tnet-t)/('2024'!Tau_j))),Resal+(Salim-Resal)*(1-EXP((Tnet-t)/(Tau_j))))*Salcycl</f>
        <v>5.6988456797926093E-2</v>
      </c>
      <c r="P40" s="169">
        <f>(INDEX(Models!$BJ40:$BT40,,T40)*(1-R40)+INDEX(Models!$BJ40:$BT40,,T40+1)*R40-ERP_i)*Q40*Ramure*Pc/MaxiM</f>
        <v>6.4940428846183952E-3</v>
      </c>
      <c r="Q40" s="304">
        <f t="shared" si="4"/>
        <v>0.6</v>
      </c>
      <c r="R40" s="177">
        <f t="shared" si="5"/>
        <v>0.50035938761593979</v>
      </c>
      <c r="S40" s="799">
        <f t="shared" si="6"/>
        <v>1</v>
      </c>
      <c r="T40" s="176">
        <f t="shared" si="7"/>
        <v>7</v>
      </c>
      <c r="U40" s="250">
        <f t="shared" si="8"/>
        <v>1.5003593876159398</v>
      </c>
      <c r="V40" s="382">
        <f t="shared" si="9"/>
        <v>28.35380907446881</v>
      </c>
      <c r="W40" s="400">
        <f t="shared" si="10"/>
        <v>27.844455302414836</v>
      </c>
      <c r="X40" s="157">
        <f t="shared" si="11"/>
        <v>45683</v>
      </c>
      <c r="Y40" s="383">
        <f t="shared" si="12"/>
        <v>27.411538825597635</v>
      </c>
      <c r="Z40" s="383">
        <f t="shared" si="22"/>
        <v>28.593095763173661</v>
      </c>
      <c r="AA40" s="384">
        <f t="shared" si="13"/>
        <v>30.799912300767186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7.1650091599077551E-2</v>
      </c>
      <c r="AD40" s="230">
        <f>(INDEX(Models!$BJ40:$BT40,,AH40)*(1-AF40)+INDEX(Models!$BJ40:$BT40,,AH40+1)*AF40-ERP_i)*AE40*Ramure*Pc/MaxiM</f>
        <v>6.4940428846183952E-3</v>
      </c>
      <c r="AE40" s="304">
        <f t="shared" si="15"/>
        <v>0.6</v>
      </c>
      <c r="AF40" s="177">
        <f t="shared" si="23"/>
        <v>0.50035938761593979</v>
      </c>
      <c r="AG40" s="799">
        <f t="shared" si="24"/>
        <v>1</v>
      </c>
      <c r="AH40" s="176">
        <f t="shared" si="16"/>
        <v>7</v>
      </c>
      <c r="AI40" s="224">
        <f t="shared" si="17"/>
        <v>1.5003593876159398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'2024'!Wh/'2024'!Env_an*'2025'!Env_an</f>
        <v>26.609346050137233</v>
      </c>
      <c r="C41" s="829"/>
      <c r="D41" s="391">
        <f t="shared" si="0"/>
        <v>27.756856932438101</v>
      </c>
      <c r="E41" s="383">
        <f t="shared" si="1"/>
        <v>29.435961364295629</v>
      </c>
      <c r="F41" s="383">
        <f t="shared" si="2"/>
        <v>29.60439766684777</v>
      </c>
      <c r="G41" s="110">
        <f t="shared" si="21"/>
        <v>0.92735372097525148</v>
      </c>
      <c r="H41" s="412" t="b">
        <f>Wh_hp&gt;='2024'!Maxi_hp</f>
        <v>0</v>
      </c>
      <c r="I41" s="388">
        <f>IF(H41,Wh_hp,'2024'!Maxi_hp)</f>
        <v>29.617485688648788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4.1341528152628371E-2</v>
      </c>
      <c r="M41" s="832"/>
      <c r="N41" s="832"/>
      <c r="O41" s="48">
        <f>IF(t&lt;Tnet,'2024'!Resal+('2024'!Salim-'2024'!Resal)*(1-EXP(('2024'!Tnet-t)/('2024'!Tau_j))),Resal+(Salim-Resal)*(1-EXP((Tnet-t)/(Tau_j))))*Salcycl</f>
        <v>5.7042622494205344E-2</v>
      </c>
      <c r="P41" s="169">
        <f>(INDEX(Models!$BJ41:$BT41,,T41)*(1-R41)+INDEX(Models!$BJ41:$BT41,,T41+1)*R41-ERP_i)*Q41*Ramure*Pc/MaxiM</f>
        <v>6.3422529182547826E-3</v>
      </c>
      <c r="Q41" s="304">
        <f t="shared" si="4"/>
        <v>0.6</v>
      </c>
      <c r="R41" s="177">
        <f t="shared" si="5"/>
        <v>0.5004405922977615</v>
      </c>
      <c r="S41" s="799">
        <f t="shared" si="6"/>
        <v>1</v>
      </c>
      <c r="T41" s="176">
        <f t="shared" si="7"/>
        <v>7</v>
      </c>
      <c r="U41" s="250">
        <f t="shared" si="8"/>
        <v>1.5004405922977615</v>
      </c>
      <c r="V41" s="382">
        <f t="shared" si="9"/>
        <v>28.675012147990852</v>
      </c>
      <c r="W41" s="400">
        <f t="shared" si="10"/>
        <v>26.609346050137233</v>
      </c>
      <c r="X41" s="157">
        <f t="shared" si="11"/>
        <v>45684</v>
      </c>
      <c r="Y41" s="383">
        <f t="shared" si="12"/>
        <v>26.196035703725023</v>
      </c>
      <c r="Z41" s="383">
        <f t="shared" si="22"/>
        <v>27.325722843969928</v>
      </c>
      <c r="AA41" s="384">
        <f t="shared" si="13"/>
        <v>29.435961364295629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7.1689132018134677E-2</v>
      </c>
      <c r="AD41" s="230">
        <f>(INDEX(Models!$BJ41:$BT41,,AH41)*(1-AF41)+INDEX(Models!$BJ41:$BT41,,AH41+1)*AF41-ERP_i)*AE41*Ramure*Pc/MaxiM</f>
        <v>6.3422529182547826E-3</v>
      </c>
      <c r="AE41" s="304">
        <f t="shared" si="15"/>
        <v>0.6</v>
      </c>
      <c r="AF41" s="177">
        <f t="shared" si="23"/>
        <v>0.5004405922977615</v>
      </c>
      <c r="AG41" s="799">
        <f t="shared" si="24"/>
        <v>1</v>
      </c>
      <c r="AH41" s="176">
        <f t="shared" si="16"/>
        <v>7</v>
      </c>
      <c r="AI41" s="224">
        <f t="shared" si="17"/>
        <v>1.5004405922977615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'2024'!Wh/'2024'!Env_an*'2025'!Env_an</f>
        <v>4.2055467567427378</v>
      </c>
      <c r="C42" s="829"/>
      <c r="D42" s="391">
        <f t="shared" si="0"/>
        <v>4.386992323269375</v>
      </c>
      <c r="E42" s="383">
        <f t="shared" si="1"/>
        <v>4.6526434797923395</v>
      </c>
      <c r="F42" s="383">
        <f t="shared" si="2"/>
        <v>4.6526434797923395</v>
      </c>
      <c r="G42" s="110">
        <f t="shared" si="21"/>
        <v>0.1441160108713449</v>
      </c>
      <c r="H42" s="412" t="b">
        <f>Wh_hp&gt;='2024'!Maxi_hp</f>
        <v>0</v>
      </c>
      <c r="I42" s="388">
        <f>IF(H42,Wh_hp,'2024'!Maxi_hp)</f>
        <v>18.471919028830147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4.1359900623536117E-2</v>
      </c>
      <c r="M42" s="832"/>
      <c r="N42" s="832"/>
      <c r="O42" s="48">
        <f>IF(t&lt;Tnet,'2024'!Resal+('2024'!Salim-'2024'!Resal)*(1-EXP(('2024'!Tnet-t)/('2024'!Tau_j))),Resal+(Salim-Resal)*(1-EXP((Tnet-t)/(Tau_j))))*Salcycl</f>
        <v>5.7096821984482037E-2</v>
      </c>
      <c r="P42" s="169">
        <f>(INDEX(Models!$BJ42:$BT42,,T42)*(1-R42)+INDEX(Models!$BJ42:$BT42,,T42+1)*R42-ERP_i)*Q42*Ramure*Pc/MaxiM</f>
        <v>6.186381018126047E-3</v>
      </c>
      <c r="Q42" s="304">
        <f t="shared" si="4"/>
        <v>0.6</v>
      </c>
      <c r="R42" s="177">
        <f t="shared" si="5"/>
        <v>0.50052517556360754</v>
      </c>
      <c r="S42" s="799">
        <f t="shared" si="6"/>
        <v>1</v>
      </c>
      <c r="T42" s="176">
        <f t="shared" si="7"/>
        <v>7</v>
      </c>
      <c r="U42" s="250">
        <f t="shared" si="8"/>
        <v>1.5005251755636075</v>
      </c>
      <c r="V42" s="382">
        <f t="shared" si="9"/>
        <v>29.001147178901093</v>
      </c>
      <c r="W42" s="400">
        <f t="shared" si="10"/>
        <v>4.2055467567427378</v>
      </c>
      <c r="X42" s="157">
        <f t="shared" si="11"/>
        <v>45685</v>
      </c>
      <c r="Y42" s="383">
        <f t="shared" si="12"/>
        <v>4.1402875288168621</v>
      </c>
      <c r="Z42" s="383">
        <f t="shared" si="22"/>
        <v>4.3189175286010499</v>
      </c>
      <c r="AA42" s="384">
        <f t="shared" si="13"/>
        <v>4.6526434797923395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7.1728244951660206E-2</v>
      </c>
      <c r="AD42" s="230">
        <f>(INDEX(Models!$BJ42:$BT42,,AH42)*(1-AF42)+INDEX(Models!$BJ42:$BT42,,AH42+1)*AF42-ERP_i)*AE42*Ramure*Pc/MaxiM</f>
        <v>6.186381018126047E-3</v>
      </c>
      <c r="AE42" s="304">
        <f t="shared" si="15"/>
        <v>0.6</v>
      </c>
      <c r="AF42" s="177">
        <f t="shared" si="23"/>
        <v>0.50052517556360754</v>
      </c>
      <c r="AG42" s="799">
        <f t="shared" si="24"/>
        <v>1</v>
      </c>
      <c r="AH42" s="176">
        <f t="shared" si="16"/>
        <v>7</v>
      </c>
      <c r="AI42" s="224">
        <f t="shared" si="17"/>
        <v>1.5005251755636075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'2024'!Wh/'2024'!Env_an*'2025'!Env_an</f>
        <v>8.8772288536367601</v>
      </c>
      <c r="C43" s="829"/>
      <c r="D43" s="391">
        <f t="shared" si="0"/>
        <v>9.2604085649424484</v>
      </c>
      <c r="E43" s="383">
        <f t="shared" si="1"/>
        <v>9.821730849430832</v>
      </c>
      <c r="F43" s="383">
        <f t="shared" si="2"/>
        <v>9.8219552479351862</v>
      </c>
      <c r="G43" s="110">
        <f t="shared" si="21"/>
        <v>0.30083640829190944</v>
      </c>
      <c r="H43" s="412" t="b">
        <f>Wh_hp&gt;='2024'!Maxi_hp</f>
        <v>0</v>
      </c>
      <c r="I43" s="388">
        <f>IF(H43,Wh_hp,'2024'!Maxi_hp)</f>
        <v>19.775703807846384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4.1378272742339739E-2</v>
      </c>
      <c r="M43" s="832"/>
      <c r="N43" s="832"/>
      <c r="O43" s="48">
        <f>IF(t&lt;Tnet,'2024'!Resal+('2024'!Salim-'2024'!Resal)*(1-EXP(('2024'!Tnet-t)/('2024'!Tau_j))),Resal+(Salim-Resal)*(1-EXP((Tnet-t)/(Tau_j))))*Salcycl</f>
        <v>5.7151055459935776E-2</v>
      </c>
      <c r="P43" s="169">
        <f>(INDEX(Models!$BJ43:$BT43,,T43)*(1-R43)+INDEX(Models!$BJ43:$BT43,,T43+1)*R43-ERP_i)*Q43*Ramure*Pc/MaxiM</f>
        <v>6.0268253682517056E-3</v>
      </c>
      <c r="Q43" s="304">
        <f t="shared" si="4"/>
        <v>0.6</v>
      </c>
      <c r="R43" s="177">
        <f t="shared" si="5"/>
        <v>0.50061327675889267</v>
      </c>
      <c r="S43" s="799">
        <f t="shared" si="6"/>
        <v>1</v>
      </c>
      <c r="T43" s="176">
        <f t="shared" si="7"/>
        <v>7</v>
      </c>
      <c r="U43" s="250">
        <f t="shared" si="8"/>
        <v>1.5006132767588927</v>
      </c>
      <c r="V43" s="382">
        <f t="shared" si="9"/>
        <v>29.331319944472437</v>
      </c>
      <c r="W43" s="400">
        <f t="shared" si="10"/>
        <v>8.8772288536367601</v>
      </c>
      <c r="X43" s="157">
        <f t="shared" si="11"/>
        <v>45686</v>
      </c>
      <c r="Y43" s="383">
        <f t="shared" si="12"/>
        <v>8.7396109385495162</v>
      </c>
      <c r="Z43" s="383">
        <f t="shared" si="22"/>
        <v>9.1168504635827698</v>
      </c>
      <c r="AA43" s="384">
        <f t="shared" si="13"/>
        <v>9.821730849430832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7.1767430471677968E-2</v>
      </c>
      <c r="AD43" s="230">
        <f>(INDEX(Models!$BJ43:$BT43,,AH43)*(1-AF43)+INDEX(Models!$BJ43:$BT43,,AH43+1)*AF43-ERP_i)*AE43*Ramure*Pc/MaxiM</f>
        <v>6.0268253682517056E-3</v>
      </c>
      <c r="AE43" s="304">
        <f t="shared" si="15"/>
        <v>0.6</v>
      </c>
      <c r="AF43" s="177">
        <f t="shared" si="23"/>
        <v>0.50061327675889267</v>
      </c>
      <c r="AG43" s="799">
        <f t="shared" si="24"/>
        <v>1</v>
      </c>
      <c r="AH43" s="176">
        <f t="shared" si="16"/>
        <v>7</v>
      </c>
      <c r="AI43" s="224">
        <f t="shared" si="17"/>
        <v>1.5006132767588927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'2024'!Wh/'2024'!Env_an*'2025'!Env_an</f>
        <v>4.5848904472749012</v>
      </c>
      <c r="C44" s="829"/>
      <c r="D44" s="391">
        <f t="shared" si="0"/>
        <v>4.7828858735078432</v>
      </c>
      <c r="E44" s="383">
        <f t="shared" si="1"/>
        <v>5.0730938429363448</v>
      </c>
      <c r="F44" s="383">
        <f t="shared" si="2"/>
        <v>5.0730938429363448</v>
      </c>
      <c r="G44" s="110">
        <f t="shared" si="21"/>
        <v>0.15365112845411738</v>
      </c>
      <c r="H44" s="412" t="b">
        <f>Wh_hp&gt;='2024'!Maxi_hp</f>
        <v>0</v>
      </c>
      <c r="I44" s="388">
        <f>IF(H44,Wh_hp,'2024'!Maxi_hp)</f>
        <v>11.80160840972839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4.1396644509045899E-2</v>
      </c>
      <c r="M44" s="832"/>
      <c r="N44" s="832"/>
      <c r="O44" s="48">
        <f>IF(t&lt;Tnet,'2024'!Resal+('2024'!Salim-'2024'!Resal)*(1-EXP(('2024'!Tnet-t)/('2024'!Tau_j))),Resal+(Salim-Resal)*(1-EXP((Tnet-t)/(Tau_j))))*Salcycl</f>
        <v>5.7205322513909279E-2</v>
      </c>
      <c r="P44" s="169">
        <f>(INDEX(Models!$BJ44:$BT44,,T44)*(1-R44)+INDEX(Models!$BJ44:$BT44,,T44+1)*R44-ERP_i)*Q44*Ramure*Pc/MaxiM</f>
        <v>5.8667779833699663E-3</v>
      </c>
      <c r="Q44" s="304">
        <f t="shared" si="4"/>
        <v>0.6</v>
      </c>
      <c r="R44" s="177">
        <f t="shared" si="5"/>
        <v>0.50070504087188628</v>
      </c>
      <c r="S44" s="799">
        <f t="shared" si="6"/>
        <v>1</v>
      </c>
      <c r="T44" s="176">
        <f t="shared" si="7"/>
        <v>7</v>
      </c>
      <c r="U44" s="250">
        <f t="shared" si="8"/>
        <v>1.5007050408718863</v>
      </c>
      <c r="V44" s="382">
        <f t="shared" si="9"/>
        <v>29.664552150059563</v>
      </c>
      <c r="W44" s="400">
        <f t="shared" si="10"/>
        <v>4.5848904472749012</v>
      </c>
      <c r="X44" s="157">
        <f t="shared" si="11"/>
        <v>45687</v>
      </c>
      <c r="Y44" s="383">
        <f t="shared" si="12"/>
        <v>4.5138827694887427</v>
      </c>
      <c r="Z44" s="383">
        <f t="shared" si="22"/>
        <v>4.7088117766674538</v>
      </c>
      <c r="AA44" s="384">
        <f t="shared" si="13"/>
        <v>5.0730938429363448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7.1806687900344834E-2</v>
      </c>
      <c r="AD44" s="230">
        <f>(INDEX(Models!$BJ44:$BT44,,AH44)*(1-AF44)+INDEX(Models!$BJ44:$BT44,,AH44+1)*AF44-ERP_i)*AE44*Ramure*Pc/MaxiM</f>
        <v>5.8667779833699663E-3</v>
      </c>
      <c r="AE44" s="304">
        <f t="shared" si="15"/>
        <v>0.6</v>
      </c>
      <c r="AF44" s="177">
        <f t="shared" si="23"/>
        <v>0.50070504087188628</v>
      </c>
      <c r="AG44" s="799">
        <f t="shared" si="24"/>
        <v>1</v>
      </c>
      <c r="AH44" s="176">
        <f t="shared" si="16"/>
        <v>7</v>
      </c>
      <c r="AI44" s="224">
        <f t="shared" si="17"/>
        <v>1.5007050408718863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'2024'!Wh/'2024'!Env_an*'2025'!Env_an</f>
        <v>7.6034506482181765</v>
      </c>
      <c r="C45" s="829"/>
      <c r="D45" s="391">
        <f t="shared" si="0"/>
        <v>7.9319525910836317</v>
      </c>
      <c r="E45" s="383">
        <f t="shared" si="1"/>
        <v>8.4137189593338508</v>
      </c>
      <c r="F45" s="383">
        <f t="shared" si="2"/>
        <v>8.4137189593338508</v>
      </c>
      <c r="G45" s="110">
        <f t="shared" si="21"/>
        <v>0.25200247637208645</v>
      </c>
      <c r="H45" s="412" t="b">
        <f>Wh_hp&gt;='2024'!Maxi_hp</f>
        <v>0</v>
      </c>
      <c r="I45" s="388">
        <f>IF(H45,Wh_hp,'2024'!Maxi_hp)</f>
        <v>23.12427848668732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4.1415015923661258E-2</v>
      </c>
      <c r="M45" s="832"/>
      <c r="N45" s="832"/>
      <c r="O45" s="48">
        <f>IF(t&lt;Tnet,'2024'!Resal+('2024'!Salim-'2024'!Resal)*(1-EXP(('2024'!Tnet-t)/('2024'!Tau_j))),Resal+(Salim-Resal)*(1-EXP((Tnet-t)/(Tau_j))))*Salcycl</f>
        <v>5.7259622121768862E-2</v>
      </c>
      <c r="P45" s="169">
        <f>(INDEX(Models!$BJ45:$BT45,,T45)*(1-R45)+INDEX(Models!$BJ45:$BT45,,T45+1)*R45-ERP_i)*Q45*Ramure*Pc/MaxiM</f>
        <v>5.7111132946704168E-3</v>
      </c>
      <c r="Q45" s="304">
        <f t="shared" si="4"/>
        <v>0.6</v>
      </c>
      <c r="R45" s="177">
        <f t="shared" si="5"/>
        <v>0.50080061875331627</v>
      </c>
      <c r="S45" s="799">
        <f t="shared" si="6"/>
        <v>1</v>
      </c>
      <c r="T45" s="176">
        <f t="shared" si="7"/>
        <v>7</v>
      </c>
      <c r="U45" s="250">
        <f t="shared" si="8"/>
        <v>1.5008006187533163</v>
      </c>
      <c r="V45" s="382">
        <f t="shared" si="9"/>
        <v>29.999810275567473</v>
      </c>
      <c r="W45" s="400">
        <f t="shared" si="10"/>
        <v>7.6034506482181765</v>
      </c>
      <c r="X45" s="157">
        <f t="shared" si="11"/>
        <v>45688</v>
      </c>
      <c r="Y45" s="383">
        <f t="shared" si="12"/>
        <v>7.4858075229576899</v>
      </c>
      <c r="Z45" s="383">
        <f t="shared" si="22"/>
        <v>7.8092267741610515</v>
      </c>
      <c r="AA45" s="384">
        <f t="shared" si="13"/>
        <v>8.4137189593338508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7.1846015786182077E-2</v>
      </c>
      <c r="AD45" s="230">
        <f>(INDEX(Models!$BJ45:$BT45,,AH45)*(1-AF45)+INDEX(Models!$BJ45:$BT45,,AH45+1)*AF45-ERP_i)*AE45*Ramure*Pc/MaxiM</f>
        <v>5.7111132946704168E-3</v>
      </c>
      <c r="AE45" s="304">
        <f t="shared" si="15"/>
        <v>0.6</v>
      </c>
      <c r="AF45" s="177">
        <f t="shared" si="23"/>
        <v>0.50080061875331627</v>
      </c>
      <c r="AG45" s="799">
        <f t="shared" si="24"/>
        <v>1</v>
      </c>
      <c r="AH45" s="176">
        <f t="shared" si="16"/>
        <v>7</v>
      </c>
      <c r="AI45" s="224">
        <f t="shared" si="17"/>
        <v>1.5008006187533163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'2024'!Wh/'2024'!Env_an*'2025'!Env_an</f>
        <v>12.618637147999166</v>
      </c>
      <c r="C46" s="829"/>
      <c r="D46" s="391">
        <f t="shared" si="0"/>
        <v>13.164069118081631</v>
      </c>
      <c r="E46" s="383">
        <f t="shared" si="1"/>
        <v>13.964425542131913</v>
      </c>
      <c r="F46" s="383">
        <f t="shared" si="2"/>
        <v>13.977299075556861</v>
      </c>
      <c r="G46" s="110">
        <f t="shared" si="21"/>
        <v>0.41402834665506877</v>
      </c>
      <c r="H46" s="412" t="b">
        <f>Wh_hp&gt;='2024'!Maxi_hp</f>
        <v>0</v>
      </c>
      <c r="I46" s="388">
        <f>IF(H46,Wh_hp,'2024'!Maxi_hp)</f>
        <v>14.021130827306354</v>
      </c>
      <c r="J46" s="85">
        <f>IF(H46,An,'2024'!An_max)</f>
        <v>2022</v>
      </c>
      <c r="K46" s="197">
        <f t="shared" si="3"/>
        <v>45689</v>
      </c>
      <c r="L46" s="147">
        <f>IF(t&lt;Tvie,1-EXP((T0-t)*PertePVj)+'2024'!Pspv,1-EXP((T0-t)*PertePVj)+Pspv)</f>
        <v>4.14333869861927E-2</v>
      </c>
      <c r="M46" s="832"/>
      <c r="N46" s="832"/>
      <c r="O46" s="48">
        <f>IF(t&lt;Tnet,'2024'!Resal+('2024'!Salim-'2024'!Resal)*(1-EXP(('2024'!Tnet-t)/('2024'!Tau_j))),Resal+(Salim-Resal)*(1-EXP((Tnet-t)/(Tau_j))))*Salcycl</f>
        <v>5.7313952631673555E-2</v>
      </c>
      <c r="P46" s="169">
        <f>(INDEX(Models!$BJ46:$BT46,,T46)*(1-R46)+INDEX(Models!$BJ46:$BT46,,T46+1)*R46-ERP_i)*Q46*Ramure*Pc/MaxiM</f>
        <v>5.5598805966500806E-3</v>
      </c>
      <c r="Q46" s="304">
        <f t="shared" si="4"/>
        <v>0.6</v>
      </c>
      <c r="R46" s="177">
        <f t="shared" si="5"/>
        <v>0.50090016734375675</v>
      </c>
      <c r="S46" s="799">
        <f t="shared" si="6"/>
        <v>1</v>
      </c>
      <c r="T46" s="176">
        <f t="shared" si="7"/>
        <v>7</v>
      </c>
      <c r="U46" s="250">
        <f t="shared" si="8"/>
        <v>1.5009001673437568</v>
      </c>
      <c r="V46" s="382">
        <f t="shared" si="9"/>
        <v>30.33620121279079</v>
      </c>
      <c r="W46" s="400">
        <f t="shared" si="10"/>
        <v>12.618637147999166</v>
      </c>
      <c r="X46" s="157">
        <f t="shared" si="11"/>
        <v>45689</v>
      </c>
      <c r="Y46" s="383">
        <f t="shared" si="12"/>
        <v>12.423586040939805</v>
      </c>
      <c r="Z46" s="383">
        <f t="shared" si="22"/>
        <v>12.960587060172159</v>
      </c>
      <c r="AA46" s="384">
        <f t="shared" si="13"/>
        <v>13.964425542131913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7.1885411894036286E-2</v>
      </c>
      <c r="AD46" s="230">
        <f>(INDEX(Models!$BJ46:$BT46,,AH46)*(1-AF46)+INDEX(Models!$BJ46:$BT46,,AH46+1)*AF46-ERP_i)*AE46*Ramure*Pc/MaxiM</f>
        <v>5.5598805966500806E-3</v>
      </c>
      <c r="AE46" s="304">
        <f t="shared" si="15"/>
        <v>0.6</v>
      </c>
      <c r="AF46" s="177">
        <f t="shared" si="23"/>
        <v>0.50090016734375675</v>
      </c>
      <c r="AG46" s="799">
        <f t="shared" si="24"/>
        <v>1</v>
      </c>
      <c r="AH46" s="176">
        <f t="shared" si="16"/>
        <v>7</v>
      </c>
      <c r="AI46" s="224">
        <f t="shared" si="17"/>
        <v>1.5009001673437568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'2024'!Wh/'2024'!Env_an*'2025'!Env_an</f>
        <v>5.3274310635332451</v>
      </c>
      <c r="C47" s="829"/>
      <c r="D47" s="391">
        <f t="shared" si="0"/>
        <v>5.5578121459298089</v>
      </c>
      <c r="E47" s="383">
        <f t="shared" si="1"/>
        <v>5.8960591027267064</v>
      </c>
      <c r="F47" s="383">
        <f t="shared" si="2"/>
        <v>5.8960591027267064</v>
      </c>
      <c r="G47" s="110">
        <f t="shared" si="21"/>
        <v>0.17274547964766623</v>
      </c>
      <c r="H47" s="412" t="b">
        <f>Wh_hp&gt;='2024'!Maxi_hp</f>
        <v>0</v>
      </c>
      <c r="I47" s="388">
        <f>IF(H47,Wh_hp,'2024'!Maxi_hp)</f>
        <v>29.977059055663016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4.1451757696646996E-2</v>
      </c>
      <c r="M47" s="832"/>
      <c r="N47" s="832"/>
      <c r="O47" s="48">
        <f>IF(t&lt;Tnet,'2024'!Resal+('2024'!Salim-'2024'!Resal)*(1-EXP(('2024'!Tnet-t)/('2024'!Tau_j))),Resal+(Salim-Resal)*(1-EXP((Tnet-t)/(Tau_j))))*Salcycl</f>
        <v>5.7368311766154326E-2</v>
      </c>
      <c r="P47" s="169">
        <f>(INDEX(Models!$BJ47:$BT47,,T47)*(1-R47)+INDEX(Models!$BJ47:$BT47,,T47+1)*R47-ERP_i)*Q47*Ramure*Pc/MaxiM</f>
        <v>5.4131069615218266E-3</v>
      </c>
      <c r="Q47" s="304">
        <f t="shared" si="4"/>
        <v>0.6</v>
      </c>
      <c r="R47" s="177">
        <f t="shared" si="5"/>
        <v>0.50100384990900149</v>
      </c>
      <c r="S47" s="799">
        <f t="shared" si="6"/>
        <v>1</v>
      </c>
      <c r="T47" s="176">
        <f t="shared" si="7"/>
        <v>7</v>
      </c>
      <c r="U47" s="250">
        <f t="shared" si="8"/>
        <v>1.5010038499090015</v>
      </c>
      <c r="V47" s="382">
        <f t="shared" si="9"/>
        <v>30.672832193139172</v>
      </c>
      <c r="W47" s="400">
        <f t="shared" si="10"/>
        <v>5.3274310635332451</v>
      </c>
      <c r="X47" s="157">
        <f t="shared" si="11"/>
        <v>45690</v>
      </c>
      <c r="Y47" s="383">
        <f t="shared" si="12"/>
        <v>5.2451623698592007</v>
      </c>
      <c r="Z47" s="383">
        <f t="shared" si="22"/>
        <v>5.4719857993326304</v>
      </c>
      <c r="AA47" s="384">
        <f t="shared" si="13"/>
        <v>5.8960591027267064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7.1924873208607784E-2</v>
      </c>
      <c r="AD47" s="230">
        <f>(INDEX(Models!$BJ47:$BT47,,AH47)*(1-AF47)+INDEX(Models!$BJ47:$BT47,,AH47+1)*AF47-ERP_i)*AE47*Ramure*Pc/MaxiM</f>
        <v>5.4131069615218266E-3</v>
      </c>
      <c r="AE47" s="304">
        <f t="shared" si="15"/>
        <v>0.6</v>
      </c>
      <c r="AF47" s="177">
        <f t="shared" si="23"/>
        <v>0.50100384990900149</v>
      </c>
      <c r="AG47" s="799">
        <f t="shared" si="24"/>
        <v>1</v>
      </c>
      <c r="AH47" s="176">
        <f t="shared" si="16"/>
        <v>7</v>
      </c>
      <c r="AI47" s="224">
        <f t="shared" si="17"/>
        <v>1.5010038499090015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'2024'!Wh/'2024'!Env_an*'2025'!Env_an</f>
        <v>10.456308945579538</v>
      </c>
      <c r="C48" s="829"/>
      <c r="D48" s="391">
        <f t="shared" si="0"/>
        <v>10.908693877596598</v>
      </c>
      <c r="E48" s="383">
        <f t="shared" si="1"/>
        <v>11.573261777728359</v>
      </c>
      <c r="F48" s="383">
        <f t="shared" si="2"/>
        <v>11.576504806591871</v>
      </c>
      <c r="G48" s="110">
        <f t="shared" si="21"/>
        <v>0.33552110413017172</v>
      </c>
      <c r="H48" s="412" t="b">
        <f>Wh_hp&gt;='2024'!Maxi_hp</f>
        <v>0</v>
      </c>
      <c r="I48" s="388">
        <f>IF(H48,Wh_hp,'2024'!Maxi_hp)</f>
        <v>27.588451395254136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4.1470128055030697E-2</v>
      </c>
      <c r="M48" s="832"/>
      <c r="N48" s="832"/>
      <c r="O48" s="48">
        <f>IF(t&lt;Tnet,'2024'!Resal+('2024'!Salim-'2024'!Resal)*(1-EXP(('2024'!Tnet-t)/('2024'!Tau_j))),Resal+(Salim-Resal)*(1-EXP((Tnet-t)/(Tau_j))))*Salcycl</f>
        <v>5.7422696634293509E-2</v>
      </c>
      <c r="P48" s="169">
        <f>(INDEX(Models!$BJ48:$BT48,,T48)*(1-R48)+INDEX(Models!$BJ48:$BT48,,T48+1)*R48-ERP_i)*Q48*Ramure*Pc/MaxiM</f>
        <v>5.2707998284726495E-3</v>
      </c>
      <c r="Q48" s="304">
        <f t="shared" si="4"/>
        <v>0.6</v>
      </c>
      <c r="R48" s="177">
        <f t="shared" si="5"/>
        <v>0.50111183628363465</v>
      </c>
      <c r="S48" s="799">
        <f t="shared" si="6"/>
        <v>1</v>
      </c>
      <c r="T48" s="176">
        <f t="shared" si="7"/>
        <v>7</v>
      </c>
      <c r="U48" s="250">
        <f t="shared" si="8"/>
        <v>1.5011118362836346</v>
      </c>
      <c r="V48" s="382">
        <f t="shared" si="9"/>
        <v>31.008810777473943</v>
      </c>
      <c r="W48" s="400">
        <f t="shared" si="10"/>
        <v>10.456308945579538</v>
      </c>
      <c r="X48" s="157">
        <f t="shared" si="11"/>
        <v>45691</v>
      </c>
      <c r="Y48" s="383">
        <f t="shared" si="12"/>
        <v>10.29499326345052</v>
      </c>
      <c r="Z48" s="383">
        <f t="shared" si="22"/>
        <v>10.740398984708504</v>
      </c>
      <c r="AA48" s="384">
        <f t="shared" si="13"/>
        <v>11.573261777728359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7.1964395951245166E-2</v>
      </c>
      <c r="AD48" s="230">
        <f>(INDEX(Models!$BJ48:$BT48,,AH48)*(1-AF48)+INDEX(Models!$BJ48:$BT48,,AH48+1)*AF48-ERP_i)*AE48*Ramure*Pc/MaxiM</f>
        <v>5.2707998284726495E-3</v>
      </c>
      <c r="AE48" s="304">
        <f t="shared" si="15"/>
        <v>0.6</v>
      </c>
      <c r="AF48" s="177">
        <f t="shared" si="23"/>
        <v>0.50111183628363465</v>
      </c>
      <c r="AG48" s="799">
        <f t="shared" si="24"/>
        <v>1</v>
      </c>
      <c r="AH48" s="176">
        <f t="shared" si="16"/>
        <v>7</v>
      </c>
      <c r="AI48" s="224">
        <f t="shared" si="17"/>
        <v>1.5011118362836346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'2024'!Wh/'2024'!Env_an*'2025'!Env_an</f>
        <v>10.299637239567884</v>
      </c>
      <c r="C49" s="829"/>
      <c r="D49" s="391">
        <f t="shared" si="0"/>
        <v>10.745449813315986</v>
      </c>
      <c r="E49" s="383">
        <f t="shared" si="1"/>
        <v>11.4007308004044</v>
      </c>
      <c r="F49" s="383">
        <f t="shared" si="2"/>
        <v>11.403122895414532</v>
      </c>
      <c r="G49" s="110">
        <f t="shared" si="21"/>
        <v>0.32698974661575902</v>
      </c>
      <c r="H49" s="412" t="b">
        <f>Wh_hp&gt;='2024'!Maxi_hp</f>
        <v>0</v>
      </c>
      <c r="I49" s="388">
        <f>IF(H49,Wh_hp,'2024'!Maxi_hp)</f>
        <v>19.347515119040757</v>
      </c>
      <c r="J49" s="85">
        <f>IF(H49,An,'2024'!An_max)</f>
        <v>2020</v>
      </c>
      <c r="K49" s="197">
        <f t="shared" si="3"/>
        <v>45692</v>
      </c>
      <c r="L49" s="147">
        <f>IF(t&lt;Tvie,1-EXP((T0-t)*PertePVj)+'2024'!Pspv,1-EXP((T0-t)*PertePVj)+Pspv)</f>
        <v>4.1488498061350687E-2</v>
      </c>
      <c r="M49" s="832"/>
      <c r="N49" s="832"/>
      <c r="O49" s="48">
        <f>IF(t&lt;Tnet,'2024'!Resal+('2024'!Salim-'2024'!Resal)*(1-EXP(('2024'!Tnet-t)/('2024'!Tau_j))),Resal+(Salim-Resal)*(1-EXP((Tnet-t)/(Tau_j))))*Salcycl</f>
        <v>5.7477103754188269E-2</v>
      </c>
      <c r="P49" s="169">
        <f>(INDEX(Models!$BJ49:$BT49,,T49)*(1-R49)+INDEX(Models!$BJ49:$BT49,,T49+1)*R49-ERP_i)*Q49*Ramure*Pc/MaxiM</f>
        <v>5.1329494503525698E-3</v>
      </c>
      <c r="Q49" s="304">
        <f t="shared" si="4"/>
        <v>0.6</v>
      </c>
      <c r="R49" s="177">
        <f t="shared" si="5"/>
        <v>0.50122430312300059</v>
      </c>
      <c r="S49" s="799">
        <f t="shared" si="6"/>
        <v>1</v>
      </c>
      <c r="T49" s="176">
        <f t="shared" si="7"/>
        <v>7</v>
      </c>
      <c r="U49" s="250">
        <f t="shared" si="8"/>
        <v>1.5012243031230006</v>
      </c>
      <c r="V49" s="382">
        <f t="shared" si="9"/>
        <v>31.343244856667138</v>
      </c>
      <c r="W49" s="400">
        <f t="shared" si="10"/>
        <v>10.299637239567884</v>
      </c>
      <c r="X49" s="157">
        <f t="shared" si="11"/>
        <v>45692</v>
      </c>
      <c r="Y49" s="383">
        <f t="shared" si="12"/>
        <v>10.140891482905509</v>
      </c>
      <c r="Z49" s="383">
        <f t="shared" si="22"/>
        <v>10.579832857920769</v>
      </c>
      <c r="AA49" s="384">
        <f t="shared" si="13"/>
        <v>11.4007308004044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7.2003975609573487E-2</v>
      </c>
      <c r="AD49" s="230">
        <f>(INDEX(Models!$BJ49:$BT49,,AH49)*(1-AF49)+INDEX(Models!$BJ49:$BT49,,AH49+1)*AF49-ERP_i)*AE49*Ramure*Pc/MaxiM</f>
        <v>5.1329494503525698E-3</v>
      </c>
      <c r="AE49" s="304">
        <f t="shared" si="15"/>
        <v>0.6</v>
      </c>
      <c r="AF49" s="177">
        <f t="shared" si="23"/>
        <v>0.50122430312300059</v>
      </c>
      <c r="AG49" s="799">
        <f t="shared" si="24"/>
        <v>1</v>
      </c>
      <c r="AH49" s="176">
        <f t="shared" si="16"/>
        <v>7</v>
      </c>
      <c r="AI49" s="224">
        <f t="shared" si="17"/>
        <v>1.5012243031230006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'2024'!Wh/'2024'!Env_an*'2025'!Env_an</f>
        <v>9.0511016485574896</v>
      </c>
      <c r="C50" s="829"/>
      <c r="D50" s="391">
        <f t="shared" si="0"/>
        <v>9.4430532089321382</v>
      </c>
      <c r="E50" s="383">
        <f t="shared" si="1"/>
        <v>10.019489776424159</v>
      </c>
      <c r="F50" s="383">
        <f t="shared" si="2"/>
        <v>10.019489776424159</v>
      </c>
      <c r="G50" s="110">
        <f t="shared" si="21"/>
        <v>0.28431827608222049</v>
      </c>
      <c r="H50" s="412" t="b">
        <f>Wh_hp&gt;='2024'!Maxi_hp</f>
        <v>0</v>
      </c>
      <c r="I50" s="388">
        <f>IF(H50,Wh_hp,'2024'!Maxi_hp)</f>
        <v>35.681802082367859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4.1506867715613738E-2</v>
      </c>
      <c r="M50" s="832"/>
      <c r="N50" s="832"/>
      <c r="O50" s="48">
        <f>IF(t&lt;Tnet,'2024'!Resal+('2024'!Salim-'2024'!Resal)*(1-EXP(('2024'!Tnet-t)/('2024'!Tau_j))),Resal+(Salim-Resal)*(1-EXP((Tnet-t)/(Tau_j))))*Salcycl</f>
        <v>5.7531529085280961E-2</v>
      </c>
      <c r="P50" s="169">
        <f>(INDEX(Models!$BJ50:$BT50,,T50)*(1-R50)+INDEX(Models!$BJ50:$BT50,,T50+1)*R50-ERP_i)*Q50*Ramure*Pc/MaxiM</f>
        <v>4.9995311906437471E-3</v>
      </c>
      <c r="Q50" s="304">
        <f t="shared" si="4"/>
        <v>0.6</v>
      </c>
      <c r="R50" s="177">
        <f t="shared" si="5"/>
        <v>0.50134143416378141</v>
      </c>
      <c r="S50" s="799">
        <f t="shared" si="6"/>
        <v>1</v>
      </c>
      <c r="T50" s="176">
        <f t="shared" si="7"/>
        <v>7</v>
      </c>
      <c r="U50" s="250">
        <f t="shared" si="8"/>
        <v>1.5013414341637814</v>
      </c>
      <c r="V50" s="382">
        <f t="shared" si="9"/>
        <v>31.675242645856095</v>
      </c>
      <c r="W50" s="400">
        <f t="shared" si="10"/>
        <v>9.0511016485574896</v>
      </c>
      <c r="X50" s="157">
        <f t="shared" si="11"/>
        <v>45693</v>
      </c>
      <c r="Y50" s="383">
        <f t="shared" si="12"/>
        <v>8.9117332811213252</v>
      </c>
      <c r="Z50" s="383">
        <f t="shared" si="22"/>
        <v>9.2976495928373559</v>
      </c>
      <c r="AA50" s="384">
        <f t="shared" si="13"/>
        <v>10.019489776424159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7.2043606979398433E-2</v>
      </c>
      <c r="AD50" s="230">
        <f>(INDEX(Models!$BJ50:$BT50,,AH50)*(1-AF50)+INDEX(Models!$BJ50:$BT50,,AH50+1)*AF50-ERP_i)*AE50*Ramure*Pc/MaxiM</f>
        <v>4.9995311906437471E-3</v>
      </c>
      <c r="AE50" s="304">
        <f t="shared" si="15"/>
        <v>0.6</v>
      </c>
      <c r="AF50" s="177">
        <f t="shared" si="23"/>
        <v>0.50134143416378141</v>
      </c>
      <c r="AG50" s="799">
        <f t="shared" si="24"/>
        <v>1</v>
      </c>
      <c r="AH50" s="176">
        <f t="shared" si="16"/>
        <v>7</v>
      </c>
      <c r="AI50" s="224">
        <f t="shared" si="17"/>
        <v>1.5013414341637814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'2024'!Wh/'2024'!Env_an*'2025'!Env_an</f>
        <v>21.088143968438605</v>
      </c>
      <c r="C51" s="829"/>
      <c r="D51" s="391">
        <f t="shared" si="0"/>
        <v>22.001772798717727</v>
      </c>
      <c r="E51" s="383">
        <f t="shared" si="1"/>
        <v>23.346185490957321</v>
      </c>
      <c r="F51" s="383">
        <f t="shared" si="2"/>
        <v>23.404622272746941</v>
      </c>
      <c r="G51" s="110">
        <f t="shared" si="21"/>
        <v>0.65730594126424791</v>
      </c>
      <c r="H51" s="412" t="b">
        <f>Wh_hp&gt;='2024'!Maxi_hp</f>
        <v>0</v>
      </c>
      <c r="I51" s="388">
        <f>IF(H51,Wh_hp,'2024'!Maxi_hp)</f>
        <v>37.076232391062831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4.1525237017826622E-2</v>
      </c>
      <c r="M51" s="832"/>
      <c r="N51" s="832"/>
      <c r="O51" s="48">
        <f>IF(t&lt;Tnet,'2024'!Resal+('2024'!Salim-'2024'!Resal)*(1-EXP(('2024'!Tnet-t)/('2024'!Tau_j))),Resal+(Salim-Resal)*(1-EXP((Tnet-t)/(Tau_j))))*Salcycl</f>
        <v>5.7585968070044014E-2</v>
      </c>
      <c r="P51" s="169">
        <f>(INDEX(Models!$BJ51:$BT51,,T51)*(1-R51)+INDEX(Models!$BJ51:$BT51,,T51+1)*R51-ERP_i)*Q51*Ramure*Pc/MaxiM</f>
        <v>4.8701373059208226E-3</v>
      </c>
      <c r="Q51" s="304">
        <f t="shared" si="4"/>
        <v>0.6</v>
      </c>
      <c r="R51" s="177">
        <f t="shared" si="5"/>
        <v>0.50146342049337544</v>
      </c>
      <c r="S51" s="799">
        <f t="shared" si="6"/>
        <v>1</v>
      </c>
      <c r="T51" s="176">
        <f t="shared" si="7"/>
        <v>7</v>
      </c>
      <c r="U51" s="250">
        <f t="shared" si="8"/>
        <v>1.5014634204933754</v>
      </c>
      <c r="V51" s="382">
        <f t="shared" si="9"/>
        <v>32.006358382064192</v>
      </c>
      <c r="W51" s="400">
        <f t="shared" si="10"/>
        <v>21.088143968438605</v>
      </c>
      <c r="X51" s="157">
        <f t="shared" si="11"/>
        <v>45694</v>
      </c>
      <c r="Y51" s="383">
        <f t="shared" si="12"/>
        <v>20.763741444993105</v>
      </c>
      <c r="Z51" s="383">
        <f t="shared" si="22"/>
        <v>21.66331576680156</v>
      </c>
      <c r="AA51" s="384">
        <f t="shared" si="13"/>
        <v>23.346185490957321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7.2083284218211571E-2</v>
      </c>
      <c r="AD51" s="230">
        <f>(INDEX(Models!$BJ51:$BT51,,AH51)*(1-AF51)+INDEX(Models!$BJ51:$BT51,,AH51+1)*AF51-ERP_i)*AE51*Ramure*Pc/MaxiM</f>
        <v>4.8701373059208226E-3</v>
      </c>
      <c r="AE51" s="304">
        <f t="shared" si="15"/>
        <v>0.6</v>
      </c>
      <c r="AF51" s="177">
        <f t="shared" si="23"/>
        <v>0.50146342049337544</v>
      </c>
      <c r="AG51" s="799">
        <f t="shared" si="24"/>
        <v>1</v>
      </c>
      <c r="AH51" s="176">
        <f t="shared" si="16"/>
        <v>7</v>
      </c>
      <c r="AI51" s="224">
        <f t="shared" si="17"/>
        <v>1.5014634204933754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'2024'!Wh/'2024'!Env_an*'2025'!Env_an</f>
        <v>8.8881249777545666</v>
      </c>
      <c r="C52" s="829"/>
      <c r="D52" s="391">
        <f t="shared" si="0"/>
        <v>9.2733743893807024</v>
      </c>
      <c r="E52" s="383">
        <f t="shared" si="1"/>
        <v>9.8405900929163845</v>
      </c>
      <c r="F52" s="383">
        <f t="shared" si="2"/>
        <v>9.8405900929163845</v>
      </c>
      <c r="G52" s="110">
        <f t="shared" si="21"/>
        <v>0.27354110610737942</v>
      </c>
      <c r="H52" s="412" t="b">
        <f>Wh_hp&gt;='2024'!Maxi_hp</f>
        <v>0</v>
      </c>
      <c r="I52" s="388">
        <f>IF(H52,Wh_hp,'2024'!Maxi_hp)</f>
        <v>24.451684563184926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4.1543605967995889E-2</v>
      </c>
      <c r="M52" s="832"/>
      <c r="N52" s="832"/>
      <c r="O52" s="48">
        <f>IF(t&lt;Tnet,'2024'!Resal+('2024'!Salim-'2024'!Resal)*(1-EXP(('2024'!Tnet-t)/('2024'!Tau_j))),Resal+(Salim-Resal)*(1-EXP((Tnet-t)/(Tau_j))))*Salcycl</f>
        <v>5.7640415684419632E-2</v>
      </c>
      <c r="P52" s="169">
        <f>(INDEX(Models!$BJ52:$BT52,,T52)*(1-R52)+INDEX(Models!$BJ52:$BT52,,T52+1)*R52-ERP_i)*Q52*Ramure*Pc/MaxiM</f>
        <v>4.7428784089482649E-3</v>
      </c>
      <c r="Q52" s="304">
        <f t="shared" si="4"/>
        <v>0.6</v>
      </c>
      <c r="R52" s="177">
        <f t="shared" si="5"/>
        <v>0.50159046082827707</v>
      </c>
      <c r="S52" s="799">
        <f t="shared" si="6"/>
        <v>1</v>
      </c>
      <c r="T52" s="176">
        <f t="shared" si="7"/>
        <v>7</v>
      </c>
      <c r="U52" s="250">
        <f t="shared" si="8"/>
        <v>1.5015904608282771</v>
      </c>
      <c r="V52" s="382">
        <f t="shared" si="9"/>
        <v>32.338721618786714</v>
      </c>
      <c r="W52" s="400">
        <f t="shared" si="10"/>
        <v>8.8881249777545666</v>
      </c>
      <c r="X52" s="157">
        <f t="shared" si="11"/>
        <v>45695</v>
      </c>
      <c r="Y52" s="383">
        <f t="shared" si="12"/>
        <v>8.7515284708329322</v>
      </c>
      <c r="Z52" s="383">
        <f t="shared" si="22"/>
        <v>9.1308572046948093</v>
      </c>
      <c r="AA52" s="384">
        <f t="shared" si="13"/>
        <v>9.8405900929163845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7.2123000909515275E-2</v>
      </c>
      <c r="AD52" s="230">
        <f>(INDEX(Models!$BJ52:$BT52,,AH52)*(1-AF52)+INDEX(Models!$BJ52:$BT52,,AH52+1)*AF52-ERP_i)*AE52*Ramure*Pc/MaxiM</f>
        <v>4.7428784089482649E-3</v>
      </c>
      <c r="AE52" s="304">
        <f t="shared" si="15"/>
        <v>0.6</v>
      </c>
      <c r="AF52" s="177">
        <f t="shared" si="23"/>
        <v>0.50159046082827707</v>
      </c>
      <c r="AG52" s="799">
        <f t="shared" si="24"/>
        <v>1</v>
      </c>
      <c r="AH52" s="176">
        <f t="shared" si="16"/>
        <v>7</v>
      </c>
      <c r="AI52" s="224">
        <f t="shared" si="17"/>
        <v>1.5015904608282771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'2024'!Wh/'2024'!Env_an*'2025'!Env_an</f>
        <v>32.965081210862458</v>
      </c>
      <c r="C53" s="829"/>
      <c r="D53" s="391">
        <f t="shared" si="0"/>
        <v>34.394588211313533</v>
      </c>
      <c r="E53" s="383">
        <f t="shared" si="1"/>
        <v>36.500478442081778</v>
      </c>
      <c r="F53" s="383">
        <f t="shared" si="2"/>
        <v>36.669864928426435</v>
      </c>
      <c r="G53" s="110">
        <f t="shared" si="21"/>
        <v>1.008964741193527</v>
      </c>
      <c r="H53" s="412" t="b">
        <f>Wh_hp&gt;='2024'!Maxi_hp</f>
        <v>1</v>
      </c>
      <c r="I53" s="388">
        <f>IF(H53,Wh_hp,'2024'!Maxi_hp)</f>
        <v>36.669864928426435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4.1561974566128423E-2</v>
      </c>
      <c r="M53" s="832"/>
      <c r="N53" s="832"/>
      <c r="O53" s="48">
        <f>IF(t&lt;Tnet,'2024'!Resal+('2024'!Salim-'2024'!Resal)*(1-EXP(('2024'!Tnet-t)/('2024'!Tau_j))),Resal+(Salim-Resal)*(1-EXP((Tnet-t)/(Tau_j))))*Salcycl</f>
        <v>5.7694866496334596E-2</v>
      </c>
      <c r="P53" s="169">
        <f>(INDEX(Models!$BJ53:$BT53,,T53)*(1-R53)+INDEX(Models!$BJ53:$BT53,,T53+1)*R53-ERP_i)*Q53*Ramure*Pc/MaxiM</f>
        <v>4.61922853207324E-3</v>
      </c>
      <c r="Q53" s="304">
        <f t="shared" si="4"/>
        <v>0.6</v>
      </c>
      <c r="R53" s="177">
        <f t="shared" si="5"/>
        <v>0.50172276180164332</v>
      </c>
      <c r="S53" s="799">
        <f t="shared" si="6"/>
        <v>1</v>
      </c>
      <c r="T53" s="176">
        <f t="shared" si="7"/>
        <v>7</v>
      </c>
      <c r="U53" s="250">
        <f t="shared" si="8"/>
        <v>1.5017227618016433</v>
      </c>
      <c r="V53" s="382">
        <f t="shared" si="9"/>
        <v>32.672183541188289</v>
      </c>
      <c r="W53" s="400">
        <f t="shared" si="10"/>
        <v>32.965081210862458</v>
      </c>
      <c r="X53" s="157">
        <f t="shared" si="11"/>
        <v>45696</v>
      </c>
      <c r="Y53" s="383">
        <f t="shared" si="12"/>
        <v>32.458944777758866</v>
      </c>
      <c r="Z53" s="383">
        <f t="shared" si="22"/>
        <v>33.866503536381657</v>
      </c>
      <c r="AA53" s="384">
        <f t="shared" si="13"/>
        <v>36.500478442081778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7.2162750137088255E-2</v>
      </c>
      <c r="AD53" s="230">
        <f>(INDEX(Models!$BJ53:$BT53,,AH53)*(1-AF53)+INDEX(Models!$BJ53:$BT53,,AH53+1)*AF53-ERP_i)*AE53*Ramure*Pc/MaxiM</f>
        <v>4.61922853207324E-3</v>
      </c>
      <c r="AE53" s="304">
        <f t="shared" si="15"/>
        <v>0.6</v>
      </c>
      <c r="AF53" s="177">
        <f t="shared" si="23"/>
        <v>0.50172276180164332</v>
      </c>
      <c r="AG53" s="799">
        <f t="shared" si="24"/>
        <v>1</v>
      </c>
      <c r="AH53" s="176">
        <f t="shared" si="16"/>
        <v>7</v>
      </c>
      <c r="AI53" s="224">
        <f t="shared" si="17"/>
        <v>1.5017227618016433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'2024'!Wh/'2024'!Env_an*'2025'!Env_an</f>
        <v>33.249071065662847</v>
      </c>
      <c r="C54" s="829"/>
      <c r="D54" s="391">
        <f t="shared" si="0"/>
        <v>34.691557937389895</v>
      </c>
      <c r="E54" s="383">
        <f t="shared" si="1"/>
        <v>36.817758246050829</v>
      </c>
      <c r="F54" s="383">
        <f t="shared" si="2"/>
        <v>36.984153600859251</v>
      </c>
      <c r="G54" s="110">
        <f t="shared" si="21"/>
        <v>1.0073447597282734</v>
      </c>
      <c r="H54" s="412" t="b">
        <f>Wh_hp&gt;='2024'!Maxi_hp</f>
        <v>1</v>
      </c>
      <c r="I54" s="388">
        <f>IF(H54,Wh_hp,'2024'!Maxi_hp)</f>
        <v>36.984153600859251</v>
      </c>
      <c r="J54" s="85">
        <f>IF(H54,An,'2024'!An_max)</f>
        <v>2025</v>
      </c>
      <c r="K54" s="197">
        <f t="shared" si="3"/>
        <v>45697</v>
      </c>
      <c r="L54" s="147">
        <f>IF(t&lt;Tvie,1-EXP((T0-t)*PertePVj)+'2024'!Pspv,1-EXP((T0-t)*PertePVj)+Pspv)</f>
        <v>4.1580342812231108E-2</v>
      </c>
      <c r="M54" s="832"/>
      <c r="N54" s="832"/>
      <c r="O54" s="48">
        <f>IF(t&lt;Tnet,'2024'!Resal+('2024'!Salim-'2024'!Resal)*(1-EXP(('2024'!Tnet-t)/('2024'!Tau_j))),Resal+(Salim-Resal)*(1-EXP((Tnet-t)/(Tau_j))))*Salcycl</f>
        <v>5.7749314731539825E-2</v>
      </c>
      <c r="P54" s="169">
        <f>(INDEX(Models!$BJ54:$BT54,,T54)*(1-R54)+INDEX(Models!$BJ54:$BT54,,T54+1)*R54-ERP_i)*Q54*Ramure*Pc/MaxiM</f>
        <v>4.4990986302998956E-3</v>
      </c>
      <c r="Q54" s="304">
        <f t="shared" si="4"/>
        <v>0.6</v>
      </c>
      <c r="R54" s="177">
        <f t="shared" si="5"/>
        <v>0.50186053826023436</v>
      </c>
      <c r="S54" s="799">
        <f t="shared" si="6"/>
        <v>1</v>
      </c>
      <c r="T54" s="176">
        <f t="shared" si="7"/>
        <v>7</v>
      </c>
      <c r="U54" s="250">
        <f t="shared" si="8"/>
        <v>1.5018605382602344</v>
      </c>
      <c r="V54" s="382">
        <f t="shared" si="9"/>
        <v>33.006645187325567</v>
      </c>
      <c r="W54" s="400">
        <f t="shared" si="10"/>
        <v>33.249071065662847</v>
      </c>
      <c r="X54" s="157">
        <f t="shared" si="11"/>
        <v>45697</v>
      </c>
      <c r="Y54" s="383">
        <f t="shared" si="12"/>
        <v>32.739062626825735</v>
      </c>
      <c r="Z54" s="383">
        <f t="shared" si="22"/>
        <v>34.159423151743283</v>
      </c>
      <c r="AA54" s="384">
        <f t="shared" si="13"/>
        <v>36.817758246050829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7.2202524568227511E-2</v>
      </c>
      <c r="AD54" s="230">
        <f>(INDEX(Models!$BJ54:$BT54,,AH54)*(1-AF54)+INDEX(Models!$BJ54:$BT54,,AH54+1)*AF54-ERP_i)*AE54*Ramure*Pc/MaxiM</f>
        <v>4.4990986302998956E-3</v>
      </c>
      <c r="AE54" s="304">
        <f t="shared" si="15"/>
        <v>0.6</v>
      </c>
      <c r="AF54" s="177">
        <f t="shared" si="23"/>
        <v>0.50186053826023436</v>
      </c>
      <c r="AG54" s="799">
        <f t="shared" si="24"/>
        <v>1</v>
      </c>
      <c r="AH54" s="176">
        <f t="shared" si="16"/>
        <v>7</v>
      </c>
      <c r="AI54" s="224">
        <f t="shared" si="17"/>
        <v>1.5018605382602344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'2024'!Wh/'2024'!Env_an*'2025'!Env_an</f>
        <v>31.008518317281442</v>
      </c>
      <c r="C55" s="829"/>
      <c r="D55" s="391">
        <f t="shared" si="0"/>
        <v>32.35442049554598</v>
      </c>
      <c r="E55" s="383">
        <f t="shared" si="1"/>
        <v>34.339364696880892</v>
      </c>
      <c r="F55" s="383">
        <f t="shared" si="2"/>
        <v>34.47534392295124</v>
      </c>
      <c r="G55" s="110">
        <f t="shared" si="21"/>
        <v>0.92960442868308457</v>
      </c>
      <c r="H55" s="412" t="b">
        <f>Wh_hp&gt;='2024'!Maxi_hp</f>
        <v>0</v>
      </c>
      <c r="I55" s="388">
        <f>IF(H55,Wh_hp,'2024'!Maxi_hp)</f>
        <v>34.485478690767295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4.1598710706310382E-2</v>
      </c>
      <c r="M55" s="832"/>
      <c r="N55" s="832"/>
      <c r="O55" s="48">
        <f>IF(t&lt;Tnet,'2024'!Resal+('2024'!Salim-'2024'!Resal)*(1-EXP(('2024'!Tnet-t)/('2024'!Tau_j))),Resal+(Salim-Resal)*(1-EXP((Tnet-t)/(Tau_j))))*Salcycl</f>
        <v>5.7803754345962133E-2</v>
      </c>
      <c r="P55" s="169">
        <f>(INDEX(Models!$BJ55:$BT55,,T55)*(1-R55)+INDEX(Models!$BJ55:$BT55,,T55+1)*R55-ERP_i)*Q55*Ramure*Pc/MaxiM</f>
        <v>4.3824010552440283E-3</v>
      </c>
      <c r="Q55" s="304">
        <f t="shared" si="4"/>
        <v>0.6</v>
      </c>
      <c r="R55" s="177">
        <f t="shared" si="5"/>
        <v>0.50200401357089697</v>
      </c>
      <c r="S55" s="799">
        <f t="shared" si="6"/>
        <v>1</v>
      </c>
      <c r="T55" s="176">
        <f t="shared" si="7"/>
        <v>7</v>
      </c>
      <c r="U55" s="250">
        <f t="shared" si="8"/>
        <v>1.502004013570897</v>
      </c>
      <c r="V55" s="382">
        <f t="shared" si="9"/>
        <v>33.342007644134618</v>
      </c>
      <c r="W55" s="400">
        <f t="shared" si="10"/>
        <v>31.008518317281442</v>
      </c>
      <c r="X55" s="157">
        <f t="shared" si="11"/>
        <v>45698</v>
      </c>
      <c r="Y55" s="383">
        <f t="shared" si="12"/>
        <v>30.533332364793331</v>
      </c>
      <c r="Z55" s="383">
        <f t="shared" si="22"/>
        <v>31.858609442497098</v>
      </c>
      <c r="AA55" s="384">
        <f t="shared" si="13"/>
        <v>34.339364696880892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7.2242316544927992E-2</v>
      </c>
      <c r="AD55" s="230">
        <f>(INDEX(Models!$BJ55:$BT55,,AH55)*(1-AF55)+INDEX(Models!$BJ55:$BT55,,AH55+1)*AF55-ERP_i)*AE55*Ramure*Pc/MaxiM</f>
        <v>4.3824010552440283E-3</v>
      </c>
      <c r="AE55" s="304">
        <f t="shared" si="15"/>
        <v>0.6</v>
      </c>
      <c r="AF55" s="177">
        <f t="shared" si="23"/>
        <v>0.50200401357089697</v>
      </c>
      <c r="AG55" s="799">
        <f t="shared" si="24"/>
        <v>1</v>
      </c>
      <c r="AH55" s="176">
        <f t="shared" si="16"/>
        <v>7</v>
      </c>
      <c r="AI55" s="224">
        <f t="shared" si="17"/>
        <v>1.502004013570897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'2024'!Wh/'2024'!Env_an*'2025'!Env_an</f>
        <v>17.178318152288714</v>
      </c>
      <c r="C56" s="829"/>
      <c r="D56" s="391">
        <f t="shared" si="0"/>
        <v>17.924274068753309</v>
      </c>
      <c r="E56" s="383">
        <f t="shared" si="1"/>
        <v>19.025027518363686</v>
      </c>
      <c r="F56" s="383">
        <f t="shared" si="2"/>
        <v>19.049432864258684</v>
      </c>
      <c r="G56" s="110">
        <f t="shared" si="21"/>
        <v>0.5085467627328053</v>
      </c>
      <c r="H56" s="412" t="b">
        <f>Wh_hp&gt;='2024'!Maxi_hp</f>
        <v>0</v>
      </c>
      <c r="I56" s="388">
        <f>IF(H56,Wh_hp,'2024'!Maxi_hp)</f>
        <v>31.561088268066062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4.161707824837324E-2</v>
      </c>
      <c r="M56" s="832"/>
      <c r="N56" s="832"/>
      <c r="O56" s="48">
        <f>IF(t&lt;Tnet,'2024'!Resal+('2024'!Salim-'2024'!Resal)*(1-EXP(('2024'!Tnet-t)/('2024'!Tau_j))),Resal+(Salim-Resal)*(1-EXP((Tnet-t)/(Tau_j))))*Salcycl</f>
        <v>5.7858179103703763E-2</v>
      </c>
      <c r="P56" s="169">
        <f>(INDEX(Models!$BJ56:$BT56,,T56)*(1-R56)+INDEX(Models!$BJ56:$BT56,,T56+1)*R56-ERP_i)*Q56*Ramure*Pc/MaxiM</f>
        <v>4.2690497523126458E-3</v>
      </c>
      <c r="Q56" s="304">
        <f t="shared" si="4"/>
        <v>0.6</v>
      </c>
      <c r="R56" s="177">
        <f t="shared" si="5"/>
        <v>0.50215341993675811</v>
      </c>
      <c r="S56" s="799">
        <f t="shared" si="6"/>
        <v>1</v>
      </c>
      <c r="T56" s="176">
        <f t="shared" si="7"/>
        <v>7</v>
      </c>
      <c r="U56" s="250">
        <f t="shared" si="8"/>
        <v>1.5021534199367581</v>
      </c>
      <c r="V56" s="382">
        <f t="shared" si="9"/>
        <v>33.678172040980648</v>
      </c>
      <c r="W56" s="400">
        <f t="shared" si="10"/>
        <v>17.178318152288714</v>
      </c>
      <c r="X56" s="157">
        <f t="shared" si="11"/>
        <v>45699</v>
      </c>
      <c r="Y56" s="383">
        <f t="shared" si="12"/>
        <v>16.915322699800729</v>
      </c>
      <c r="Z56" s="383">
        <f t="shared" si="22"/>
        <v>17.649858230867434</v>
      </c>
      <c r="AA56" s="384">
        <f t="shared" si="13"/>
        <v>19.025027518363686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7.2282118181899432E-2</v>
      </c>
      <c r="AD56" s="230">
        <f>(INDEX(Models!$BJ56:$BT56,,AH56)*(1-AF56)+INDEX(Models!$BJ56:$BT56,,AH56+1)*AF56-ERP_i)*AE56*Ramure*Pc/MaxiM</f>
        <v>4.2690497523126458E-3</v>
      </c>
      <c r="AE56" s="304">
        <f t="shared" si="15"/>
        <v>0.6</v>
      </c>
      <c r="AF56" s="177">
        <f t="shared" si="23"/>
        <v>0.50215341993675811</v>
      </c>
      <c r="AG56" s="799">
        <f t="shared" si="24"/>
        <v>1</v>
      </c>
      <c r="AH56" s="176">
        <f t="shared" si="16"/>
        <v>7</v>
      </c>
      <c r="AI56" s="224">
        <f t="shared" si="17"/>
        <v>1.5021534199367581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'2024'!Wh/'2024'!Env_an*'2025'!Env_an</f>
        <v>26.325005022540427</v>
      </c>
      <c r="C57" s="829"/>
      <c r="D57" s="391">
        <f t="shared" si="0"/>
        <v>27.468675565305542</v>
      </c>
      <c r="E57" s="383">
        <f t="shared" si="1"/>
        <v>29.157247044926574</v>
      </c>
      <c r="F57" s="383">
        <f t="shared" si="2"/>
        <v>29.239578387660394</v>
      </c>
      <c r="G57" s="110">
        <f t="shared" si="21"/>
        <v>0.7728800409639861</v>
      </c>
      <c r="H57" s="412" t="b">
        <f>Wh_hp&gt;='2024'!Maxi_hp</f>
        <v>0</v>
      </c>
      <c r="I57" s="388">
        <f>IF(H57,Wh_hp,'2024'!Maxi_hp)</f>
        <v>29.265897627745993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4.1635445438426344E-2</v>
      </c>
      <c r="M57" s="832"/>
      <c r="N57" s="832"/>
      <c r="O57" s="48">
        <f>IF(t&lt;Tnet,'2024'!Resal+('2024'!Salim-'2024'!Resal)*(1-EXP(('2024'!Tnet-t)/('2024'!Tau_j))),Resal+(Salim-Resal)*(1-EXP((Tnet-t)/(Tau_j))))*Salcycl</f>
        <v>5.7912582659783267E-2</v>
      </c>
      <c r="P57" s="169">
        <f>(INDEX(Models!$BJ57:$BT57,,T57)*(1-R57)+INDEX(Models!$BJ57:$BT57,,T57+1)*R57-ERP_i)*Q57*Ramure*Pc/MaxiM</f>
        <v>4.158960433698889E-3</v>
      </c>
      <c r="Q57" s="304">
        <f t="shared" si="4"/>
        <v>0.6</v>
      </c>
      <c r="R57" s="177">
        <f t="shared" si="5"/>
        <v>0.50230899872328094</v>
      </c>
      <c r="S57" s="799">
        <f t="shared" si="6"/>
        <v>1</v>
      </c>
      <c r="T57" s="176">
        <f t="shared" si="7"/>
        <v>7</v>
      </c>
      <c r="U57" s="250">
        <f t="shared" si="8"/>
        <v>1.5023089987232809</v>
      </c>
      <c r="V57" s="382">
        <f t="shared" si="9"/>
        <v>34.015039542377941</v>
      </c>
      <c r="W57" s="400">
        <f t="shared" si="10"/>
        <v>26.325005022540427</v>
      </c>
      <c r="X57" s="157">
        <f t="shared" si="11"/>
        <v>45700</v>
      </c>
      <c r="Y57" s="383">
        <f t="shared" si="12"/>
        <v>25.922360947717149</v>
      </c>
      <c r="Z57" s="383">
        <f t="shared" si="22"/>
        <v>27.04853891385407</v>
      </c>
      <c r="AA57" s="384">
        <f t="shared" si="13"/>
        <v>29.157247044926574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7.232192147027211E-2</v>
      </c>
      <c r="AD57" s="230">
        <f>(INDEX(Models!$BJ57:$BT57,,AH57)*(1-AF57)+INDEX(Models!$BJ57:$BT57,,AH57+1)*AF57-ERP_i)*AE57*Ramure*Pc/MaxiM</f>
        <v>4.158960433698889E-3</v>
      </c>
      <c r="AE57" s="304">
        <f t="shared" si="15"/>
        <v>0.6</v>
      </c>
      <c r="AF57" s="177">
        <f t="shared" si="23"/>
        <v>0.50230899872328094</v>
      </c>
      <c r="AG57" s="799">
        <f t="shared" si="24"/>
        <v>1</v>
      </c>
      <c r="AH57" s="176">
        <f t="shared" si="16"/>
        <v>7</v>
      </c>
      <c r="AI57" s="224">
        <f t="shared" si="17"/>
        <v>1.5023089987232809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'2024'!Wh/'2024'!Env_an*'2025'!Env_an</f>
        <v>32.209303365218553</v>
      </c>
      <c r="C58" s="829"/>
      <c r="D58" s="391">
        <f t="shared" si="0"/>
        <v>33.60925704909333</v>
      </c>
      <c r="E58" s="383">
        <f t="shared" si="1"/>
        <v>35.677365414710323</v>
      </c>
      <c r="F58" s="383">
        <f t="shared" si="2"/>
        <v>35.809493840581588</v>
      </c>
      <c r="G58" s="110">
        <f t="shared" si="21"/>
        <v>0.93727036976665745</v>
      </c>
      <c r="H58" s="412" t="b">
        <f>Wh_hp&gt;='2024'!Maxi_hp</f>
        <v>0</v>
      </c>
      <c r="I58" s="388">
        <f>IF(H58,Wh_hp,'2024'!Maxi_hp)</f>
        <v>35.818160403759038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4.1653812276476465E-2</v>
      </c>
      <c r="M58" s="832"/>
      <c r="N58" s="832"/>
      <c r="O58" s="48">
        <f>IF(t&lt;Tnet,'2024'!Resal+('2024'!Salim-'2024'!Resal)*(1-EXP(('2024'!Tnet-t)/('2024'!Tau_j))),Resal+(Salim-Resal)*(1-EXP((Tnet-t)/(Tau_j))))*Salcycl</f>
        <v>5.7966958646679646E-2</v>
      </c>
      <c r="P58" s="169">
        <f>(INDEX(Models!$BJ58:$BT58,,T58)*(1-R58)+INDEX(Models!$BJ58:$BT58,,T58+1)*R58-ERP_i)*Q58*Ramure*Pc/MaxiM</f>
        <v>4.0508009571691064E-3</v>
      </c>
      <c r="Q58" s="304">
        <f t="shared" si="4"/>
        <v>0.6</v>
      </c>
      <c r="R58" s="177">
        <f t="shared" si="5"/>
        <v>0.50247100079432006</v>
      </c>
      <c r="S58" s="799">
        <f t="shared" si="6"/>
        <v>1</v>
      </c>
      <c r="T58" s="176">
        <f t="shared" si="7"/>
        <v>7</v>
      </c>
      <c r="U58" s="250">
        <f t="shared" si="8"/>
        <v>1.5024710007943201</v>
      </c>
      <c r="V58" s="382">
        <f t="shared" si="9"/>
        <v>34.352554447981255</v>
      </c>
      <c r="W58" s="400">
        <f t="shared" si="10"/>
        <v>32.209303365218553</v>
      </c>
      <c r="X58" s="157">
        <f t="shared" si="11"/>
        <v>45701</v>
      </c>
      <c r="Y58" s="383">
        <f t="shared" si="12"/>
        <v>31.717128289659762</v>
      </c>
      <c r="Z58" s="383">
        <f t="shared" si="22"/>
        <v>33.095689945823565</v>
      </c>
      <c r="AA58" s="384">
        <f t="shared" si="13"/>
        <v>35.677365414710323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7.2361718385805907E-2</v>
      </c>
      <c r="AD58" s="230">
        <f>(INDEX(Models!$BJ58:$BT58,,AH58)*(1-AF58)+INDEX(Models!$BJ58:$BT58,,AH58+1)*AF58-ERP_i)*AE58*Ramure*Pc/MaxiM</f>
        <v>4.0508009571691064E-3</v>
      </c>
      <c r="AE58" s="304">
        <f t="shared" si="15"/>
        <v>0.6</v>
      </c>
      <c r="AF58" s="177">
        <f t="shared" si="23"/>
        <v>0.50247100079432006</v>
      </c>
      <c r="AG58" s="799">
        <f t="shared" si="24"/>
        <v>1</v>
      </c>
      <c r="AH58" s="176">
        <f t="shared" si="16"/>
        <v>7</v>
      </c>
      <c r="AI58" s="224">
        <f t="shared" si="17"/>
        <v>1.5024710007943201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'2024'!Wh/'2024'!Env_an*'2025'!Env_an</f>
        <v>15.122263151571723</v>
      </c>
      <c r="C59" s="829"/>
      <c r="D59" s="391">
        <f t="shared" si="0"/>
        <v>15.779843615564289</v>
      </c>
      <c r="E59" s="383">
        <f t="shared" si="1"/>
        <v>16.751805139922997</v>
      </c>
      <c r="F59" s="383">
        <f t="shared" si="2"/>
        <v>16.764637224432352</v>
      </c>
      <c r="G59" s="110">
        <f t="shared" si="21"/>
        <v>0.43453106339780562</v>
      </c>
      <c r="H59" s="412" t="b">
        <f>Wh_hp&gt;='2024'!Maxi_hp</f>
        <v>0</v>
      </c>
      <c r="I59" s="388">
        <f>IF(H59,Wh_hp,'2024'!Maxi_hp)</f>
        <v>38.116109222133424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4.1672178762530265E-2</v>
      </c>
      <c r="M59" s="832"/>
      <c r="N59" s="832"/>
      <c r="O59" s="48">
        <f>IF(t&lt;Tnet,'2024'!Resal+('2024'!Salim-'2024'!Resal)*(1-EXP(('2024'!Tnet-t)/('2024'!Tau_j))),Resal+(Salim-Resal)*(1-EXP((Tnet-t)/(Tau_j))))*Salcycl</f>
        <v>5.8021300763720314E-2</v>
      </c>
      <c r="P59" s="169">
        <f>(INDEX(Models!$BJ59:$BT59,,T59)*(1-R59)+INDEX(Models!$BJ59:$BT59,,T59+1)*R59-ERP_i)*Q59*Ramure*Pc/MaxiM</f>
        <v>3.9421002259546895E-3</v>
      </c>
      <c r="Q59" s="304">
        <f t="shared" si="4"/>
        <v>0.6</v>
      </c>
      <c r="R59" s="177">
        <f t="shared" si="5"/>
        <v>0.50263968685830185</v>
      </c>
      <c r="S59" s="799">
        <f t="shared" si="6"/>
        <v>1</v>
      </c>
      <c r="T59" s="176">
        <f t="shared" si="7"/>
        <v>7</v>
      </c>
      <c r="U59" s="250">
        <f t="shared" si="8"/>
        <v>1.5026396868583018</v>
      </c>
      <c r="V59" s="382">
        <f t="shared" si="9"/>
        <v>34.690702496134719</v>
      </c>
      <c r="W59" s="400">
        <f t="shared" si="10"/>
        <v>15.122263151571723</v>
      </c>
      <c r="X59" s="157">
        <f t="shared" si="11"/>
        <v>45702</v>
      </c>
      <c r="Y59" s="383">
        <f t="shared" si="12"/>
        <v>14.891407430176315</v>
      </c>
      <c r="Z59" s="383">
        <f t="shared" si="22"/>
        <v>15.538949303326429</v>
      </c>
      <c r="AA59" s="384">
        <f t="shared" si="13"/>
        <v>16.751805139922997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7.2401501000395704E-2</v>
      </c>
      <c r="AD59" s="230">
        <f>(INDEX(Models!$BJ59:$BT59,,AH59)*(1-AF59)+INDEX(Models!$BJ59:$BT59,,AH59+1)*AF59-ERP_i)*AE59*Ramure*Pc/MaxiM</f>
        <v>3.9421002259546895E-3</v>
      </c>
      <c r="AE59" s="304">
        <f t="shared" si="15"/>
        <v>0.6</v>
      </c>
      <c r="AF59" s="177">
        <f t="shared" si="23"/>
        <v>0.50263968685830185</v>
      </c>
      <c r="AG59" s="799">
        <f t="shared" si="24"/>
        <v>1</v>
      </c>
      <c r="AH59" s="176">
        <f t="shared" si="16"/>
        <v>7</v>
      </c>
      <c r="AI59" s="224">
        <f t="shared" si="17"/>
        <v>1.5026396868583018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'2024'!Wh/'2024'!Env_an*'2025'!Env_an</f>
        <v>18.240032526882093</v>
      </c>
      <c r="C60" s="829"/>
      <c r="D60" s="391">
        <f t="shared" si="0"/>
        <v>19.033551667205369</v>
      </c>
      <c r="E60" s="383">
        <f t="shared" si="1"/>
        <v>20.207090638236192</v>
      </c>
      <c r="F60" s="383">
        <f t="shared" si="2"/>
        <v>20.231540238401802</v>
      </c>
      <c r="G60" s="110">
        <f t="shared" si="21"/>
        <v>0.5193384239685026</v>
      </c>
      <c r="H60" s="412" t="b">
        <f>Wh_hp&gt;='2024'!Maxi_hp</f>
        <v>0</v>
      </c>
      <c r="I60" s="388">
        <f>IF(H60,Wh_hp,'2024'!Maxi_hp)</f>
        <v>37.957548920378891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4.1690544896594517E-2</v>
      </c>
      <c r="M60" s="832"/>
      <c r="N60" s="832"/>
      <c r="O60" s="48">
        <f>IF(t&lt;Tnet,'2024'!Resal+('2024'!Salim-'2024'!Resal)*(1-EXP(('2024'!Tnet-t)/('2024'!Tau_j))),Resal+(Salim-Resal)*(1-EXP((Tnet-t)/(Tau_j))))*Salcycl</f>
        <v>5.8075602868343207E-2</v>
      </c>
      <c r="P60" s="169">
        <f>(INDEX(Models!$BJ60:$BT60,,T60)*(1-R60)+INDEX(Models!$BJ60:$BT60,,T60+1)*R60-ERP_i)*Q60*Ramure*Pc/MaxiM</f>
        <v>3.8328824635280125E-3</v>
      </c>
      <c r="Q60" s="304">
        <f t="shared" si="4"/>
        <v>0.6</v>
      </c>
      <c r="R60" s="177">
        <f t="shared" si="5"/>
        <v>0.50281532782463234</v>
      </c>
      <c r="S60" s="799">
        <f t="shared" si="6"/>
        <v>1</v>
      </c>
      <c r="T60" s="176">
        <f t="shared" si="7"/>
        <v>7</v>
      </c>
      <c r="U60" s="250">
        <f t="shared" si="8"/>
        <v>1.5028153278246323</v>
      </c>
      <c r="V60" s="382">
        <f t="shared" si="9"/>
        <v>35.029384986096744</v>
      </c>
      <c r="W60" s="400">
        <f t="shared" si="10"/>
        <v>18.240032526882093</v>
      </c>
      <c r="X60" s="157">
        <f t="shared" si="11"/>
        <v>45703</v>
      </c>
      <c r="Y60" s="383">
        <f t="shared" si="12"/>
        <v>17.961846630801467</v>
      </c>
      <c r="Z60" s="383">
        <f t="shared" si="22"/>
        <v>18.743263499224593</v>
      </c>
      <c r="AA60" s="384">
        <f t="shared" si="13"/>
        <v>20.207090638236192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7.2441261595656031E-2</v>
      </c>
      <c r="AD60" s="230">
        <f>(INDEX(Models!$BJ60:$BT60,,AH60)*(1-AF60)+INDEX(Models!$BJ60:$BT60,,AH60+1)*AF60-ERP_i)*AE60*Ramure*Pc/MaxiM</f>
        <v>3.8328824635280125E-3</v>
      </c>
      <c r="AE60" s="304">
        <f t="shared" si="15"/>
        <v>0.6</v>
      </c>
      <c r="AF60" s="177">
        <f t="shared" si="23"/>
        <v>0.50281532782463234</v>
      </c>
      <c r="AG60" s="799">
        <f t="shared" si="24"/>
        <v>1</v>
      </c>
      <c r="AH60" s="176">
        <f t="shared" si="16"/>
        <v>7</v>
      </c>
      <c r="AI60" s="224">
        <f t="shared" si="17"/>
        <v>1.5028153278246323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'2024'!Wh/'2024'!Env_an*'2025'!Env_an</f>
        <v>8.9722926815101687</v>
      </c>
      <c r="C61" s="829"/>
      <c r="D61" s="391">
        <f t="shared" si="0"/>
        <v>9.3628050823935762</v>
      </c>
      <c r="E61" s="383">
        <f t="shared" si="1"/>
        <v>9.9406538921931382</v>
      </c>
      <c r="F61" s="383">
        <f t="shared" si="2"/>
        <v>9.9406538921931382</v>
      </c>
      <c r="G61" s="110">
        <f t="shared" si="21"/>
        <v>0.25273580987412125</v>
      </c>
      <c r="H61" s="412" t="b">
        <f>Wh_hp&gt;='2024'!Maxi_hp</f>
        <v>0</v>
      </c>
      <c r="I61" s="388">
        <f>IF(H61,Wh_hp,'2024'!Maxi_hp)</f>
        <v>33.411514000889703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4.1708910678676103E-2</v>
      </c>
      <c r="M61" s="832"/>
      <c r="N61" s="832"/>
      <c r="O61" s="48">
        <f>IF(t&lt;Tnet,'2024'!Resal+('2024'!Salim-'2024'!Resal)*(1-EXP(('2024'!Tnet-t)/('2024'!Tau_j))),Resal+(Salim-Resal)*(1-EXP((Tnet-t)/(Tau_j))))*Salcycl</f>
        <v>5.8129859068262367E-2</v>
      </c>
      <c r="P61" s="169">
        <f>(INDEX(Models!$BJ61:$BT61,,T61)*(1-R61)+INDEX(Models!$BJ61:$BT61,,T61+1)*R61-ERP_i)*Q61*Ramure*Pc/MaxiM</f>
        <v>3.723170223096517E-3</v>
      </c>
      <c r="Q61" s="304">
        <f t="shared" si="4"/>
        <v>0.6</v>
      </c>
      <c r="R61" s="177">
        <f t="shared" si="5"/>
        <v>0.50299820517042027</v>
      </c>
      <c r="S61" s="799">
        <f t="shared" si="6"/>
        <v>1</v>
      </c>
      <c r="T61" s="176">
        <f t="shared" si="7"/>
        <v>7</v>
      </c>
      <c r="U61" s="250">
        <f t="shared" si="8"/>
        <v>1.5029982051704203</v>
      </c>
      <c r="V61" s="382">
        <f t="shared" si="9"/>
        <v>35.368503232753625</v>
      </c>
      <c r="W61" s="400">
        <f t="shared" si="10"/>
        <v>8.9722926815101687</v>
      </c>
      <c r="X61" s="157">
        <f t="shared" si="11"/>
        <v>45704</v>
      </c>
      <c r="Y61" s="383">
        <f t="shared" si="12"/>
        <v>8.8355832070785514</v>
      </c>
      <c r="Z61" s="383">
        <f t="shared" si="22"/>
        <v>9.2201454292307403</v>
      </c>
      <c r="AA61" s="384">
        <f t="shared" si="13"/>
        <v>9.9406538921931382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7.2480992777371217E-2</v>
      </c>
      <c r="AD61" s="230">
        <f>(INDEX(Models!$BJ61:$BT61,,AH61)*(1-AF61)+INDEX(Models!$BJ61:$BT61,,AH61+1)*AF61-ERP_i)*AE61*Ramure*Pc/MaxiM</f>
        <v>3.723170223096517E-3</v>
      </c>
      <c r="AE61" s="304">
        <f t="shared" si="15"/>
        <v>0.6</v>
      </c>
      <c r="AF61" s="177">
        <f t="shared" si="23"/>
        <v>0.50299820517042027</v>
      </c>
      <c r="AG61" s="799">
        <f t="shared" si="24"/>
        <v>1</v>
      </c>
      <c r="AH61" s="176">
        <f t="shared" si="16"/>
        <v>7</v>
      </c>
      <c r="AI61" s="224">
        <f t="shared" si="17"/>
        <v>1.5029982051704203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'2024'!Wh/'2024'!Env_an*'2025'!Env_an</f>
        <v>11.179049945143248</v>
      </c>
      <c r="C62" s="829"/>
      <c r="D62" s="391">
        <f t="shared" si="0"/>
        <v>11.665833396310125</v>
      </c>
      <c r="E62" s="383">
        <f t="shared" si="1"/>
        <v>12.386532174797466</v>
      </c>
      <c r="F62" s="383">
        <f t="shared" si="2"/>
        <v>12.387367748690403</v>
      </c>
      <c r="G62" s="110">
        <f t="shared" si="21"/>
        <v>0.31195879167965973</v>
      </c>
      <c r="H62" s="412" t="b">
        <f>Wh_hp&gt;='2024'!Maxi_hp</f>
        <v>0</v>
      </c>
      <c r="I62" s="388">
        <f>IF(H62,Wh_hp,'2024'!Maxi_hp)</f>
        <v>36.826584894030596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4.1727276108781575E-2</v>
      </c>
      <c r="M62" s="832"/>
      <c r="N62" s="832"/>
      <c r="O62" s="48">
        <f>IF(t&lt;Tnet,'2024'!Resal+('2024'!Salim-'2024'!Resal)*(1-EXP(('2024'!Tnet-t)/('2024'!Tau_j))),Resal+(Salim-Resal)*(1-EXP((Tnet-t)/(Tau_j))))*Salcycl</f>
        <v>5.818406381357704E-2</v>
      </c>
      <c r="P62" s="169">
        <f>(INDEX(Models!$BJ62:$BT62,,T62)*(1-R62)+INDEX(Models!$BJ62:$BT62,,T62+1)*R62-ERP_i)*Q62*Ramure*Pc/MaxiM</f>
        <v>3.6129845455604818E-3</v>
      </c>
      <c r="Q62" s="304">
        <f t="shared" si="4"/>
        <v>0.6</v>
      </c>
      <c r="R62" s="177">
        <f t="shared" si="5"/>
        <v>0.50318861131757675</v>
      </c>
      <c r="S62" s="799">
        <f t="shared" si="6"/>
        <v>1</v>
      </c>
      <c r="T62" s="176">
        <f t="shared" si="7"/>
        <v>7</v>
      </c>
      <c r="U62" s="250">
        <f t="shared" si="8"/>
        <v>1.5031886113175768</v>
      </c>
      <c r="V62" s="382">
        <f t="shared" si="9"/>
        <v>35.707958557933914</v>
      </c>
      <c r="W62" s="400">
        <f t="shared" si="10"/>
        <v>11.179049945143248</v>
      </c>
      <c r="X62" s="157">
        <f t="shared" si="11"/>
        <v>45705</v>
      </c>
      <c r="Y62" s="383">
        <f t="shared" si="12"/>
        <v>11.008878867038531</v>
      </c>
      <c r="Z62" s="383">
        <f t="shared" si="22"/>
        <v>11.488252344630276</v>
      </c>
      <c r="AA62" s="384">
        <f t="shared" si="13"/>
        <v>12.386532174797466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7.2520687589614052E-2</v>
      </c>
      <c r="AD62" s="230">
        <f>(INDEX(Models!$BJ62:$BT62,,AH62)*(1-AF62)+INDEX(Models!$BJ62:$BT62,,AH62+1)*AF62-ERP_i)*AE62*Ramure*Pc/MaxiM</f>
        <v>3.6129845455604818E-3</v>
      </c>
      <c r="AE62" s="304">
        <f t="shared" si="15"/>
        <v>0.6</v>
      </c>
      <c r="AF62" s="177">
        <f t="shared" si="23"/>
        <v>0.50318861131757675</v>
      </c>
      <c r="AG62" s="799">
        <f t="shared" si="24"/>
        <v>1</v>
      </c>
      <c r="AH62" s="176">
        <f t="shared" si="16"/>
        <v>7</v>
      </c>
      <c r="AI62" s="224">
        <f t="shared" si="17"/>
        <v>1.5031886113175768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'2024'!Wh/'2024'!Env_an*'2025'!Env_an</f>
        <v>28.861517346693866</v>
      </c>
      <c r="C63" s="829"/>
      <c r="D63" s="391">
        <f t="shared" si="0"/>
        <v>30.118847966882679</v>
      </c>
      <c r="E63" s="383">
        <f t="shared" si="1"/>
        <v>31.981386747977911</v>
      </c>
      <c r="F63" s="383">
        <f t="shared" si="2"/>
        <v>32.061698812967862</v>
      </c>
      <c r="G63" s="110">
        <f t="shared" si="21"/>
        <v>0.79984842546310364</v>
      </c>
      <c r="H63" s="412" t="b">
        <f>Wh_hp&gt;='2024'!Maxi_hp</f>
        <v>0</v>
      </c>
      <c r="I63" s="388">
        <f>IF(H63,Wh_hp,'2024'!Maxi_hp)</f>
        <v>32.083253619797951</v>
      </c>
      <c r="J63" s="85">
        <f>IF(H63,An,'2024'!An_max)</f>
        <v>2022</v>
      </c>
      <c r="K63" s="197">
        <f t="shared" si="3"/>
        <v>45706</v>
      </c>
      <c r="L63" s="147">
        <f>IF(t&lt;Tvie,1-EXP((T0-t)*PertePVj)+'2024'!Pspv,1-EXP((T0-t)*PertePVj)+Pspv)</f>
        <v>4.1745641186917815E-2</v>
      </c>
      <c r="M63" s="832"/>
      <c r="N63" s="832"/>
      <c r="O63" s="48">
        <f>IF(t&lt;Tnet,'2024'!Resal+('2024'!Salim-'2024'!Resal)*(1-EXP(('2024'!Tnet-t)/('2024'!Tau_j))),Resal+(Salim-Resal)*(1-EXP((Tnet-t)/(Tau_j))))*Salcycl</f>
        <v>5.8238211987883655E-2</v>
      </c>
      <c r="P63" s="169">
        <f>(INDEX(Models!$BJ63:$BT63,,T63)*(1-R63)+INDEX(Models!$BJ63:$BT63,,T63+1)*R63-ERP_i)*Q63*Ramure*Pc/MaxiM</f>
        <v>3.5023450896224683E-3</v>
      </c>
      <c r="Q63" s="304">
        <f t="shared" si="4"/>
        <v>0.6</v>
      </c>
      <c r="R63" s="177">
        <f t="shared" si="5"/>
        <v>0.50338685002032491</v>
      </c>
      <c r="S63" s="799">
        <f t="shared" si="6"/>
        <v>1</v>
      </c>
      <c r="T63" s="176">
        <f t="shared" si="7"/>
        <v>7</v>
      </c>
      <c r="U63" s="250">
        <f t="shared" si="8"/>
        <v>1.5033868500203249</v>
      </c>
      <c r="V63" s="382">
        <f t="shared" si="9"/>
        <v>36.047652284655015</v>
      </c>
      <c r="W63" s="400">
        <f t="shared" si="10"/>
        <v>28.861517346693866</v>
      </c>
      <c r="X63" s="157">
        <f t="shared" si="11"/>
        <v>45706</v>
      </c>
      <c r="Y63" s="383">
        <f t="shared" si="12"/>
        <v>28.422597079838557</v>
      </c>
      <c r="Z63" s="383">
        <f t="shared" si="22"/>
        <v>29.660806463790571</v>
      </c>
      <c r="AA63" s="384">
        <f t="shared" si="13"/>
        <v>31.981386747977915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7.2560339627363649E-2</v>
      </c>
      <c r="AD63" s="230">
        <f>(INDEX(Models!$BJ63:$BT63,,AH63)*(1-AF63)+INDEX(Models!$BJ63:$BT63,,AH63+1)*AF63-ERP_i)*AE63*Ramure*Pc/MaxiM</f>
        <v>3.5023450896224683E-3</v>
      </c>
      <c r="AE63" s="304">
        <f t="shared" si="15"/>
        <v>0.6</v>
      </c>
      <c r="AF63" s="177">
        <f t="shared" si="23"/>
        <v>0.50338685002032491</v>
      </c>
      <c r="AG63" s="799">
        <f t="shared" si="24"/>
        <v>1</v>
      </c>
      <c r="AH63" s="176">
        <f t="shared" si="16"/>
        <v>7</v>
      </c>
      <c r="AI63" s="224">
        <f t="shared" si="17"/>
        <v>1.5033868500203249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'2024'!Wh/'2024'!Env_an*'2025'!Env_an</f>
        <v>19.584318278761398</v>
      </c>
      <c r="C64" s="829"/>
      <c r="D64" s="391">
        <f t="shared" si="0"/>
        <v>20.437886282306749</v>
      </c>
      <c r="E64" s="383">
        <f t="shared" si="1"/>
        <v>21.703004297988684</v>
      </c>
      <c r="F64" s="383">
        <f t="shared" si="2"/>
        <v>21.728080179160248</v>
      </c>
      <c r="G64" s="110">
        <f t="shared" si="21"/>
        <v>0.53701027599711959</v>
      </c>
      <c r="H64" s="412" t="b">
        <f>Wh_hp&gt;='2024'!Maxi_hp</f>
        <v>0</v>
      </c>
      <c r="I64" s="388">
        <f>IF(H64,Wh_hp,'2024'!Maxi_hp)</f>
        <v>39.436937045771522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4.1764005913091484E-2</v>
      </c>
      <c r="M64" s="832"/>
      <c r="N64" s="832"/>
      <c r="O64" s="48">
        <f>IF(t&lt;Tnet,'2024'!Resal+('2024'!Salim-'2024'!Resal)*(1-EXP(('2024'!Tnet-t)/('2024'!Tau_j))),Resal+(Salim-Resal)*(1-EXP((Tnet-t)/(Tau_j))))*Salcycl</f>
        <v>5.8292298997479355E-2</v>
      </c>
      <c r="P64" s="169">
        <f>(INDEX(Models!$BJ64:$BT64,,T64)*(1-R64)+INDEX(Models!$BJ64:$BT64,,T64+1)*R64-ERP_i)*Q64*Ramure*Pc/MaxiM</f>
        <v>3.3912702339496496E-3</v>
      </c>
      <c r="Q64" s="304">
        <f t="shared" si="4"/>
        <v>0.6</v>
      </c>
      <c r="R64" s="177">
        <f t="shared" si="5"/>
        <v>0.50359323676313394</v>
      </c>
      <c r="S64" s="799">
        <f t="shared" si="6"/>
        <v>1</v>
      </c>
      <c r="T64" s="176">
        <f t="shared" si="7"/>
        <v>7</v>
      </c>
      <c r="U64" s="250">
        <f t="shared" si="8"/>
        <v>1.5035932367631339</v>
      </c>
      <c r="V64" s="382">
        <f t="shared" si="9"/>
        <v>36.387485729798087</v>
      </c>
      <c r="W64" s="400">
        <f t="shared" si="10"/>
        <v>19.584318278761398</v>
      </c>
      <c r="X64" s="157">
        <f t="shared" si="11"/>
        <v>45707</v>
      </c>
      <c r="Y64" s="383">
        <f t="shared" si="12"/>
        <v>19.286767927909157</v>
      </c>
      <c r="Z64" s="383">
        <f t="shared" si="22"/>
        <v>20.127367419846596</v>
      </c>
      <c r="AA64" s="384">
        <f t="shared" si="13"/>
        <v>21.703004297988684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7.2599943146493748E-2</v>
      </c>
      <c r="AD64" s="230">
        <f>(INDEX(Models!$BJ64:$BT64,,AH64)*(1-AF64)+INDEX(Models!$BJ64:$BT64,,AH64+1)*AF64-ERP_i)*AE64*Ramure*Pc/MaxiM</f>
        <v>3.3912702339496496E-3</v>
      </c>
      <c r="AE64" s="304">
        <f t="shared" si="15"/>
        <v>0.6</v>
      </c>
      <c r="AF64" s="177">
        <f t="shared" si="23"/>
        <v>0.50359323676313394</v>
      </c>
      <c r="AG64" s="799">
        <f t="shared" si="24"/>
        <v>1</v>
      </c>
      <c r="AH64" s="176">
        <f t="shared" si="16"/>
        <v>7</v>
      </c>
      <c r="AI64" s="224">
        <f t="shared" si="17"/>
        <v>1.5035932367631339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'2024'!Wh/'2024'!Env_an*'2025'!Env_an</f>
        <v>19.466888765007507</v>
      </c>
      <c r="C65" s="829"/>
      <c r="D65" s="391">
        <f t="shared" si="0"/>
        <v>20.315728036484163</v>
      </c>
      <c r="E65" s="383">
        <f t="shared" si="1"/>
        <v>21.574522020654609</v>
      </c>
      <c r="F65" s="383">
        <f t="shared" si="2"/>
        <v>21.597800002740154</v>
      </c>
      <c r="G65" s="110">
        <f t="shared" si="21"/>
        <v>0.52886584083591559</v>
      </c>
      <c r="H65" s="412" t="b">
        <f>Wh_hp&gt;='2024'!Maxi_hp</f>
        <v>0</v>
      </c>
      <c r="I65" s="388">
        <f>IF(H65,Wh_hp,'2024'!Maxi_hp)</f>
        <v>41.467946828147284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4.1782370287309467E-2</v>
      </c>
      <c r="M65" s="832"/>
      <c r="N65" s="832"/>
      <c r="O65" s="48">
        <f>IF(t&lt;Tnet,'2024'!Resal+('2024'!Salim-'2024'!Resal)*(1-EXP(('2024'!Tnet-t)/('2024'!Tau_j))),Resal+(Salim-Resal)*(1-EXP((Tnet-t)/(Tau_j))))*Salcycl</f>
        <v>5.8346320857784219E-2</v>
      </c>
      <c r="P65" s="169">
        <f>(INDEX(Models!$BJ65:$BT65,,T65)*(1-R65)+INDEX(Models!$BJ65:$BT65,,T65+1)*R65-ERP_i)*Q65*Ramure*Pc/MaxiM</f>
        <v>3.2797551115776881E-3</v>
      </c>
      <c r="Q65" s="304">
        <f t="shared" si="4"/>
        <v>0.6</v>
      </c>
      <c r="R65" s="177">
        <f t="shared" si="5"/>
        <v>0.50380809916904412</v>
      </c>
      <c r="S65" s="799">
        <f t="shared" si="6"/>
        <v>1</v>
      </c>
      <c r="T65" s="176">
        <f t="shared" si="7"/>
        <v>7</v>
      </c>
      <c r="U65" s="250">
        <f t="shared" si="8"/>
        <v>1.5038080991690441</v>
      </c>
      <c r="V65" s="382">
        <f t="shared" si="9"/>
        <v>36.727607808786175</v>
      </c>
      <c r="W65" s="400">
        <f t="shared" si="10"/>
        <v>19.466888765007507</v>
      </c>
      <c r="X65" s="157">
        <f t="shared" si="11"/>
        <v>45708</v>
      </c>
      <c r="Y65" s="383">
        <f t="shared" si="12"/>
        <v>19.171404765247118</v>
      </c>
      <c r="Z65" s="383">
        <f t="shared" si="22"/>
        <v>20.007359675688104</v>
      </c>
      <c r="AA65" s="384">
        <f t="shared" si="13"/>
        <v>21.574522020654609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7.2639493170053332E-2</v>
      </c>
      <c r="AD65" s="230">
        <f>(INDEX(Models!$BJ65:$BT65,,AH65)*(1-AF65)+INDEX(Models!$BJ65:$BT65,,AH65+1)*AF65-ERP_i)*AE65*Ramure*Pc/MaxiM</f>
        <v>3.2797551115776881E-3</v>
      </c>
      <c r="AE65" s="304">
        <f t="shared" si="15"/>
        <v>0.6</v>
      </c>
      <c r="AF65" s="177">
        <f t="shared" si="23"/>
        <v>0.50380809916904412</v>
      </c>
      <c r="AG65" s="799">
        <f t="shared" si="24"/>
        <v>1</v>
      </c>
      <c r="AH65" s="176">
        <f t="shared" si="16"/>
        <v>7</v>
      </c>
      <c r="AI65" s="224">
        <f t="shared" si="17"/>
        <v>1.5038080991690441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'2024'!Wh/'2024'!Env_an*'2025'!Env_an</f>
        <v>21.554183906856306</v>
      </c>
      <c r="C66" s="829"/>
      <c r="D66" s="391">
        <f t="shared" si="0"/>
        <v>22.494469238948579</v>
      </c>
      <c r="E66" s="383">
        <f t="shared" si="1"/>
        <v>23.889630194673444</v>
      </c>
      <c r="F66" s="383">
        <f t="shared" si="2"/>
        <v>23.920094720415022</v>
      </c>
      <c r="G66" s="110">
        <f t="shared" si="21"/>
        <v>0.58037036111140572</v>
      </c>
      <c r="H66" s="412" t="b">
        <f>Wh_hp&gt;='2024'!Maxi_hp</f>
        <v>0</v>
      </c>
      <c r="I66" s="388">
        <f>IF(H66,Wh_hp,'2024'!Maxi_hp)</f>
        <v>23.950887388071926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4.1800734309578313E-2</v>
      </c>
      <c r="M66" s="832"/>
      <c r="N66" s="832"/>
      <c r="O66" s="48">
        <f>IF(t&lt;Tnet,'2024'!Resal+('2024'!Salim-'2024'!Resal)*(1-EXP(('2024'!Tnet-t)/('2024'!Tau_j))),Resal+(Salim-Resal)*(1-EXP((Tnet-t)/(Tau_j))))*Salcycl</f>
        <v>5.8400274276155871E-2</v>
      </c>
      <c r="P66" s="169">
        <f>(INDEX(Models!$BJ66:$BT66,,T66)*(1-R66)+INDEX(Models!$BJ66:$BT66,,T66+1)*R66-ERP_i)*Q66*Ramure*Pc/MaxiM</f>
        <v>3.1673273390792813E-3</v>
      </c>
      <c r="Q66" s="304">
        <f t="shared" si="4"/>
        <v>0.6</v>
      </c>
      <c r="R66" s="177">
        <f t="shared" si="5"/>
        <v>0.50403177741833094</v>
      </c>
      <c r="S66" s="799">
        <f t="shared" si="6"/>
        <v>1</v>
      </c>
      <c r="T66" s="176">
        <f t="shared" si="7"/>
        <v>7</v>
      </c>
      <c r="U66" s="250">
        <f t="shared" si="8"/>
        <v>1.5040317774183309</v>
      </c>
      <c r="V66" s="382">
        <f t="shared" si="9"/>
        <v>37.06825064306323</v>
      </c>
      <c r="W66" s="400">
        <f t="shared" si="10"/>
        <v>21.554183906856306</v>
      </c>
      <c r="X66" s="157">
        <f t="shared" si="11"/>
        <v>45709</v>
      </c>
      <c r="Y66" s="383">
        <f t="shared" si="12"/>
        <v>21.227329553355837</v>
      </c>
      <c r="Z66" s="383">
        <f t="shared" si="22"/>
        <v>22.153356106008577</v>
      </c>
      <c r="AA66" s="384">
        <f t="shared" si="13"/>
        <v>23.889630194673444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7.2678985589822831E-2</v>
      </c>
      <c r="AD66" s="230">
        <f>(INDEX(Models!$BJ66:$BT66,,AH66)*(1-AF66)+INDEX(Models!$BJ66:$BT66,,AH66+1)*AF66-ERP_i)*AE66*Ramure*Pc/MaxiM</f>
        <v>3.1673273390792813E-3</v>
      </c>
      <c r="AE66" s="304">
        <f t="shared" si="15"/>
        <v>0.6</v>
      </c>
      <c r="AF66" s="177">
        <f t="shared" si="23"/>
        <v>0.50403177741833094</v>
      </c>
      <c r="AG66" s="799">
        <f t="shared" si="24"/>
        <v>1</v>
      </c>
      <c r="AH66" s="176">
        <f t="shared" si="16"/>
        <v>7</v>
      </c>
      <c r="AI66" s="224">
        <f t="shared" si="17"/>
        <v>1.5040317774183309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'2024'!Wh/'2024'!Env_an*'2025'!Env_an</f>
        <v>32.939695440736294</v>
      </c>
      <c r="C67" s="829"/>
      <c r="D67" s="391">
        <f t="shared" si="0"/>
        <v>34.37732412667674</v>
      </c>
      <c r="E67" s="383">
        <f t="shared" si="1"/>
        <v>36.511577606562113</v>
      </c>
      <c r="F67" s="383">
        <f t="shared" si="2"/>
        <v>36.604324262244873</v>
      </c>
      <c r="G67" s="110">
        <f t="shared" si="21"/>
        <v>0.88005961994120629</v>
      </c>
      <c r="H67" s="412" t="b">
        <f>Wh_hp&gt;='2024'!Maxi_hp</f>
        <v>0</v>
      </c>
      <c r="I67" s="388">
        <f>IF(H67,Wh_hp,'2024'!Maxi_hp)</f>
        <v>39.949310572645629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4.1819097979904907E-2</v>
      </c>
      <c r="M67" s="832"/>
      <c r="N67" s="832"/>
      <c r="O67" s="48">
        <f>IF(t&lt;Tnet,'2024'!Resal+('2024'!Salim-'2024'!Resal)*(1-EXP(('2024'!Tnet-t)/('2024'!Tau_j))),Resal+(Salim-Resal)*(1-EXP((Tnet-t)/(Tau_j))))*Salcycl</f>
        <v>5.8454156730324031E-2</v>
      </c>
      <c r="P67" s="169">
        <f>(INDEX(Models!$BJ67:$BT67,,T67)*(1-R67)+INDEX(Models!$BJ67:$BT67,,T67+1)*R67-ERP_i)*Q67*Ramure*Pc/MaxiM</f>
        <v>3.0552499309320132E-3</v>
      </c>
      <c r="Q67" s="304">
        <f t="shared" si="4"/>
        <v>0.6</v>
      </c>
      <c r="R67" s="177">
        <f t="shared" si="5"/>
        <v>0.50426462467740008</v>
      </c>
      <c r="S67" s="799">
        <f t="shared" si="6"/>
        <v>1</v>
      </c>
      <c r="T67" s="176">
        <f t="shared" si="7"/>
        <v>7</v>
      </c>
      <c r="U67" s="250">
        <f t="shared" si="8"/>
        <v>1.5042646246774001</v>
      </c>
      <c r="V67" s="382">
        <f t="shared" si="9"/>
        <v>37.409367973881118</v>
      </c>
      <c r="W67" s="400">
        <f t="shared" si="10"/>
        <v>32.939695440736294</v>
      </c>
      <c r="X67" s="157">
        <f t="shared" si="11"/>
        <v>45710</v>
      </c>
      <c r="Y67" s="383">
        <f t="shared" si="12"/>
        <v>32.440664617154063</v>
      </c>
      <c r="Z67" s="383">
        <f t="shared" si="22"/>
        <v>33.856513471266943</v>
      </c>
      <c r="AA67" s="384">
        <f t="shared" si="13"/>
        <v>36.511577606562113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7.2718417262199769E-2</v>
      </c>
      <c r="AD67" s="230">
        <f>(INDEX(Models!$BJ67:$BT67,,AH67)*(1-AF67)+INDEX(Models!$BJ67:$BT67,,AH67+1)*AF67-ERP_i)*AE67*Ramure*Pc/MaxiM</f>
        <v>3.0552499309320132E-3</v>
      </c>
      <c r="AE67" s="304">
        <f t="shared" si="15"/>
        <v>0.6</v>
      </c>
      <c r="AF67" s="177">
        <f t="shared" si="23"/>
        <v>0.50426462467740008</v>
      </c>
      <c r="AG67" s="799">
        <f t="shared" si="24"/>
        <v>1</v>
      </c>
      <c r="AH67" s="176">
        <f t="shared" si="16"/>
        <v>7</v>
      </c>
      <c r="AI67" s="224">
        <f t="shared" si="17"/>
        <v>1.5042646246774001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'2024'!Wh/'2024'!Env_an*'2025'!Env_an</f>
        <v>34.615258041101711</v>
      </c>
      <c r="C68" s="829"/>
      <c r="D68" s="391">
        <f t="shared" si="0"/>
        <v>36.126707779668436</v>
      </c>
      <c r="E68" s="383">
        <f t="shared" si="1"/>
        <v>38.371761518755179</v>
      </c>
      <c r="F68" s="383">
        <f t="shared" si="2"/>
        <v>38.471565139527534</v>
      </c>
      <c r="G68" s="110">
        <f t="shared" si="21"/>
        <v>0.91661604501608096</v>
      </c>
      <c r="H68" s="412" t="b">
        <f>Wh_hp&gt;='2024'!Maxi_hp</f>
        <v>0</v>
      </c>
      <c r="I68" s="388">
        <f>IF(H68,Wh_hp,'2024'!Maxi_hp)</f>
        <v>41.571938803017574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4.1837461298295908E-2</v>
      </c>
      <c r="M68" s="832"/>
      <c r="N68" s="832"/>
      <c r="O68" s="48">
        <f>IF(t&lt;Tnet,'2024'!Resal+('2024'!Salim-'2024'!Resal)*(1-EXP(('2024'!Tnet-t)/('2024'!Tau_j))),Resal+(Salim-Resal)*(1-EXP((Tnet-t)/(Tau_j))))*Salcycl</f>
        <v>5.8507966541734568E-2</v>
      </c>
      <c r="P68" s="169">
        <f>(INDEX(Models!$BJ68:$BT68,,T68)*(1-R68)+INDEX(Models!$BJ68:$BT68,,T68+1)*R68-ERP_i)*Q68*Ramure*Pc/MaxiM</f>
        <v>2.9434967662630733E-3</v>
      </c>
      <c r="Q68" s="304">
        <f t="shared" si="4"/>
        <v>0.6</v>
      </c>
      <c r="R68" s="177">
        <f t="shared" si="5"/>
        <v>0.504507007537778</v>
      </c>
      <c r="S68" s="799">
        <f t="shared" si="6"/>
        <v>1</v>
      </c>
      <c r="T68" s="176">
        <f t="shared" si="7"/>
        <v>7</v>
      </c>
      <c r="U68" s="250">
        <f t="shared" si="8"/>
        <v>1.504507007537778</v>
      </c>
      <c r="V68" s="382">
        <f t="shared" si="9"/>
        <v>37.750960614936446</v>
      </c>
      <c r="W68" s="400">
        <f t="shared" si="10"/>
        <v>34.615258041101711</v>
      </c>
      <c r="X68" s="157">
        <f t="shared" si="11"/>
        <v>45711</v>
      </c>
      <c r="Y68" s="383">
        <f t="shared" si="12"/>
        <v>34.091343697236546</v>
      </c>
      <c r="Z68" s="383">
        <f t="shared" si="22"/>
        <v>35.579917101987526</v>
      </c>
      <c r="AA68" s="384">
        <f t="shared" si="13"/>
        <v>38.371761518755179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7.2757786097546351E-2</v>
      </c>
      <c r="AD68" s="230">
        <f>(INDEX(Models!$BJ68:$BT68,,AH68)*(1-AF68)+INDEX(Models!$BJ68:$BT68,,AH68+1)*AF68-ERP_i)*AE68*Ramure*Pc/MaxiM</f>
        <v>2.9434967662630733E-3</v>
      </c>
      <c r="AE68" s="304">
        <f t="shared" si="15"/>
        <v>0.6</v>
      </c>
      <c r="AF68" s="177">
        <f t="shared" si="23"/>
        <v>0.504507007537778</v>
      </c>
      <c r="AG68" s="799">
        <f t="shared" si="24"/>
        <v>1</v>
      </c>
      <c r="AH68" s="176">
        <f t="shared" si="16"/>
        <v>7</v>
      </c>
      <c r="AI68" s="224">
        <f t="shared" si="17"/>
        <v>1.504507007537778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'2024'!Wh/'2024'!Env_an*'2025'!Env_an</f>
        <v>21.548534102916307</v>
      </c>
      <c r="C69" s="829"/>
      <c r="D69" s="391">
        <f t="shared" si="0"/>
        <v>22.489865981161774</v>
      </c>
      <c r="E69" s="383">
        <f t="shared" si="1"/>
        <v>23.888836954551795</v>
      </c>
      <c r="F69" s="383">
        <f t="shared" si="2"/>
        <v>23.91454258439294</v>
      </c>
      <c r="G69" s="110">
        <f t="shared" si="21"/>
        <v>0.5646867623874513</v>
      </c>
      <c r="H69" s="412" t="b">
        <f>Wh_hp&gt;='2024'!Maxi_hp</f>
        <v>0</v>
      </c>
      <c r="I69" s="388">
        <f>IF(H69,Wh_hp,'2024'!Maxi_hp)</f>
        <v>41.52507944394246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4.185582426475809E-2</v>
      </c>
      <c r="M69" s="832"/>
      <c r="N69" s="832"/>
      <c r="O69" s="48">
        <f>IF(t&lt;Tnet,'2024'!Resal+('2024'!Salim-'2024'!Resal)*(1-EXP(('2024'!Tnet-t)/('2024'!Tau_j))),Resal+(Salim-Resal)*(1-EXP((Tnet-t)/(Tau_j))))*Salcycl</f>
        <v>5.8561702943158982E-2</v>
      </c>
      <c r="P69" s="169">
        <f>(INDEX(Models!$BJ69:$BT69,,T69)*(1-R69)+INDEX(Models!$BJ69:$BT69,,T69+1)*R69-ERP_i)*Q69*Ramure*Pc/MaxiM</f>
        <v>2.8320594165434252E-3</v>
      </c>
      <c r="Q69" s="304">
        <f t="shared" si="4"/>
        <v>0.6</v>
      </c>
      <c r="R69" s="177">
        <f t="shared" si="5"/>
        <v>0.50475930646499623</v>
      </c>
      <c r="S69" s="799">
        <f t="shared" si="6"/>
        <v>1</v>
      </c>
      <c r="T69" s="176">
        <f t="shared" si="7"/>
        <v>7</v>
      </c>
      <c r="U69" s="250">
        <f t="shared" si="8"/>
        <v>1.5047593064649962</v>
      </c>
      <c r="V69" s="382">
        <f t="shared" si="9"/>
        <v>38.093028704073305</v>
      </c>
      <c r="W69" s="400">
        <f t="shared" si="10"/>
        <v>21.548534102916307</v>
      </c>
      <c r="X69" s="157">
        <f t="shared" si="11"/>
        <v>45712</v>
      </c>
      <c r="Y69" s="383">
        <f t="shared" si="12"/>
        <v>21.22270101429579</v>
      </c>
      <c r="Z69" s="383">
        <f t="shared" si="22"/>
        <v>22.14979911348971</v>
      </c>
      <c r="AA69" s="384">
        <f t="shared" si="13"/>
        <v>23.888836954551795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7.2797091142217732E-2</v>
      </c>
      <c r="AD69" s="230">
        <f>(INDEX(Models!$BJ69:$BT69,,AH69)*(1-AF69)+INDEX(Models!$BJ69:$BT69,,AH69+1)*AF69-ERP_i)*AE69*Ramure*Pc/MaxiM</f>
        <v>2.8320594165434252E-3</v>
      </c>
      <c r="AE69" s="304">
        <f t="shared" si="15"/>
        <v>0.6</v>
      </c>
      <c r="AF69" s="177">
        <f t="shared" si="23"/>
        <v>0.50475930646499623</v>
      </c>
      <c r="AG69" s="799">
        <f t="shared" si="24"/>
        <v>1</v>
      </c>
      <c r="AH69" s="176">
        <f t="shared" si="16"/>
        <v>7</v>
      </c>
      <c r="AI69" s="224">
        <f t="shared" si="17"/>
        <v>1.5047593064649962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'2024'!Wh/'2024'!Env_an*'2025'!Env_an</f>
        <v>30.859523635065202</v>
      </c>
      <c r="C70" s="829"/>
      <c r="D70" s="391">
        <f t="shared" si="0"/>
        <v>32.208216512352344</v>
      </c>
      <c r="E70" s="383">
        <f t="shared" si="1"/>
        <v>34.213662889617765</v>
      </c>
      <c r="F70" s="383">
        <f t="shared" si="2"/>
        <v>34.280673179741115</v>
      </c>
      <c r="G70" s="110">
        <f t="shared" si="21"/>
        <v>0.80227330144590236</v>
      </c>
      <c r="H70" s="412" t="b">
        <f>Wh_hp&gt;='2024'!Maxi_hp</f>
        <v>0</v>
      </c>
      <c r="I70" s="388">
        <f>IF(H70,Wh_hp,'2024'!Maxi_hp)</f>
        <v>36.519009293012743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4.1874186879298336E-2</v>
      </c>
      <c r="M70" s="832"/>
      <c r="N70" s="832"/>
      <c r="O70" s="48">
        <f>IF(t&lt;Tnet,'2024'!Resal+('2024'!Salim-'2024'!Resal)*(1-EXP(('2024'!Tnet-t)/('2024'!Tau_j))),Resal+(Salim-Resal)*(1-EXP((Tnet-t)/(Tau_j))))*Salcycl</f>
        <v>5.8615366139998362E-2</v>
      </c>
      <c r="P70" s="169">
        <f>(INDEX(Models!$BJ70:$BT70,,T70)*(1-R70)+INDEX(Models!$BJ70:$BT70,,T70+1)*R70-ERP_i)*Q70*Ramure*Pc/MaxiM</f>
        <v>2.7209307523564786E-3</v>
      </c>
      <c r="Q70" s="304">
        <f t="shared" si="4"/>
        <v>0.6</v>
      </c>
      <c r="R70" s="177">
        <f t="shared" si="5"/>
        <v>0.50502191625713233</v>
      </c>
      <c r="S70" s="799">
        <f t="shared" si="6"/>
        <v>1</v>
      </c>
      <c r="T70" s="176">
        <f t="shared" si="7"/>
        <v>7</v>
      </c>
      <c r="U70" s="250">
        <f t="shared" si="8"/>
        <v>1.5050219162571323</v>
      </c>
      <c r="V70" s="382">
        <f t="shared" si="9"/>
        <v>38.435572301687351</v>
      </c>
      <c r="W70" s="400">
        <f t="shared" si="10"/>
        <v>30.859523635065202</v>
      </c>
      <c r="X70" s="157">
        <f t="shared" si="11"/>
        <v>45713</v>
      </c>
      <c r="Y70" s="383">
        <f t="shared" si="12"/>
        <v>30.393346223172369</v>
      </c>
      <c r="Z70" s="383">
        <f t="shared" si="22"/>
        <v>31.721665158126275</v>
      </c>
      <c r="AA70" s="384">
        <f t="shared" si="13"/>
        <v>34.213662889617765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7.2836332652581756E-2</v>
      </c>
      <c r="AD70" s="230">
        <f>(INDEX(Models!$BJ70:$BT70,,AH70)*(1-AF70)+INDEX(Models!$BJ70:$BT70,,AH70+1)*AF70-ERP_i)*AE70*Ramure*Pc/MaxiM</f>
        <v>2.7209307523564786E-3</v>
      </c>
      <c r="AE70" s="304">
        <f t="shared" si="15"/>
        <v>0.6</v>
      </c>
      <c r="AF70" s="177">
        <f t="shared" si="23"/>
        <v>0.50502191625713233</v>
      </c>
      <c r="AG70" s="799">
        <f t="shared" si="24"/>
        <v>1</v>
      </c>
      <c r="AH70" s="176">
        <f t="shared" si="16"/>
        <v>7</v>
      </c>
      <c r="AI70" s="224">
        <f t="shared" si="17"/>
        <v>1.5050219162571323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'2024'!Wh/'2024'!Env_an*'2025'!Env_an</f>
        <v>39.113236109383166</v>
      </c>
      <c r="C71" s="829"/>
      <c r="D71" s="391">
        <f t="shared" si="0"/>
        <v>40.823433816690937</v>
      </c>
      <c r="E71" s="383">
        <f t="shared" si="1"/>
        <v>43.367776018952505</v>
      </c>
      <c r="F71" s="383">
        <f t="shared" si="2"/>
        <v>43.481266681339847</v>
      </c>
      <c r="G71" s="110">
        <f t="shared" si="21"/>
        <v>1.0086296254599769</v>
      </c>
      <c r="H71" s="412" t="b">
        <f>Wh_hp&gt;='2024'!Maxi_hp</f>
        <v>1</v>
      </c>
      <c r="I71" s="388">
        <f>IF(H71,Wh_hp,'2024'!Maxi_hp)</f>
        <v>43.481266681339847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4.1892549141923086E-2</v>
      </c>
      <c r="M71" s="832"/>
      <c r="N71" s="832"/>
      <c r="O71" s="48">
        <f>IF(t&lt;Tnet,'2024'!Resal+('2024'!Salim-'2024'!Resal)*(1-EXP(('2024'!Tnet-t)/('2024'!Tau_j))),Resal+(Salim-Resal)*(1-EXP((Tnet-t)/(Tau_j))))*Salcycl</f>
        <v>5.8668957364787284E-2</v>
      </c>
      <c r="P71" s="169">
        <f>(INDEX(Models!$BJ71:$BT71,,T71)*(1-R71)+INDEX(Models!$BJ71:$BT71,,T71+1)*R71-ERP_i)*Q71*Ramure*Pc/MaxiM</f>
        <v>2.610104788783625E-3</v>
      </c>
      <c r="Q71" s="304">
        <f t="shared" si="4"/>
        <v>0.6</v>
      </c>
      <c r="R71" s="177">
        <f t="shared" si="5"/>
        <v>0.50529524651269764</v>
      </c>
      <c r="S71" s="799">
        <f t="shared" si="6"/>
        <v>1</v>
      </c>
      <c r="T71" s="176">
        <f t="shared" si="7"/>
        <v>7</v>
      </c>
      <c r="U71" s="250">
        <f t="shared" si="8"/>
        <v>1.5052952465126976</v>
      </c>
      <c r="V71" s="382">
        <f t="shared" si="9"/>
        <v>38.778591389823504</v>
      </c>
      <c r="W71" s="400">
        <f t="shared" si="10"/>
        <v>39.113236109383166</v>
      </c>
      <c r="X71" s="157">
        <f t="shared" si="11"/>
        <v>45714</v>
      </c>
      <c r="Y71" s="383">
        <f t="shared" si="12"/>
        <v>38.522939702640173</v>
      </c>
      <c r="Z71" s="383">
        <f t="shared" si="22"/>
        <v>40.207327130312152</v>
      </c>
      <c r="AA71" s="384">
        <f t="shared" si="13"/>
        <v>43.367776018952505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7.2875512160438624E-2</v>
      </c>
      <c r="AD71" s="230">
        <f>(INDEX(Models!$BJ71:$BT71,,AH71)*(1-AF71)+INDEX(Models!$BJ71:$BT71,,AH71+1)*AF71-ERP_i)*AE71*Ramure*Pc/MaxiM</f>
        <v>2.610104788783625E-3</v>
      </c>
      <c r="AE71" s="304">
        <f t="shared" si="15"/>
        <v>0.6</v>
      </c>
      <c r="AF71" s="177">
        <f t="shared" si="23"/>
        <v>0.50529524651269764</v>
      </c>
      <c r="AG71" s="799">
        <f t="shared" si="24"/>
        <v>1</v>
      </c>
      <c r="AH71" s="176">
        <f t="shared" si="16"/>
        <v>7</v>
      </c>
      <c r="AI71" s="224">
        <f t="shared" si="17"/>
        <v>1.5052952465126976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'2024'!Wh/'2024'!Env_an*'2025'!Env_an</f>
        <v>27.960261369813164</v>
      </c>
      <c r="C72" s="829"/>
      <c r="D72" s="391">
        <f t="shared" si="0"/>
        <v>29.183362687631398</v>
      </c>
      <c r="E72" s="383">
        <f t="shared" si="1"/>
        <v>31.003994076354957</v>
      </c>
      <c r="F72" s="383">
        <f t="shared" si="2"/>
        <v>31.050001954374398</v>
      </c>
      <c r="G72" s="110">
        <f t="shared" si="21"/>
        <v>0.71396397719647431</v>
      </c>
      <c r="H72" s="412" t="b">
        <f>Wh_hp&gt;='2024'!Maxi_hp</f>
        <v>0</v>
      </c>
      <c r="I72" s="388">
        <f>IF(H72,Wh_hp,'2024'!Maxi_hp)</f>
        <v>42.979805880549684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4.1910911052639332E-2</v>
      </c>
      <c r="M72" s="832"/>
      <c r="N72" s="832"/>
      <c r="O72" s="48">
        <f>IF(t&lt;Tnet,'2024'!Resal+('2024'!Salim-'2024'!Resal)*(1-EXP(('2024'!Tnet-t)/('2024'!Tau_j))),Resal+(Salim-Resal)*(1-EXP((Tnet-t)/(Tau_j))))*Salcycl</f>
        <v>5.8722478924483332E-2</v>
      </c>
      <c r="P72" s="169">
        <f>(INDEX(Models!$BJ72:$BT72,,T72)*(1-R72)+INDEX(Models!$BJ72:$BT72,,T72+1)*R72-ERP_i)*Q72*Ramure*Pc/MaxiM</f>
        <v>2.5011586658515166E-3</v>
      </c>
      <c r="Q72" s="304">
        <f t="shared" si="4"/>
        <v>0.6</v>
      </c>
      <c r="R72" s="177">
        <f t="shared" si="5"/>
        <v>0.50557972210750779</v>
      </c>
      <c r="S72" s="799">
        <f t="shared" si="6"/>
        <v>1</v>
      </c>
      <c r="T72" s="176">
        <f t="shared" si="7"/>
        <v>7</v>
      </c>
      <c r="U72" s="250">
        <f t="shared" si="8"/>
        <v>1.5055797221075078</v>
      </c>
      <c r="V72" s="382">
        <f t="shared" si="9"/>
        <v>39.122023821566877</v>
      </c>
      <c r="W72" s="400">
        <f t="shared" si="10"/>
        <v>27.960261369813164</v>
      </c>
      <c r="X72" s="157">
        <f t="shared" si="11"/>
        <v>45715</v>
      </c>
      <c r="Y72" s="383">
        <f t="shared" si="12"/>
        <v>27.538689287926857</v>
      </c>
      <c r="Z72" s="383">
        <f t="shared" si="22"/>
        <v>28.743349241335412</v>
      </c>
      <c r="AA72" s="384">
        <f t="shared" si="13"/>
        <v>31.003994076354957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7.2914632529349321E-2</v>
      </c>
      <c r="AD72" s="230">
        <f>(INDEX(Models!$BJ72:$BT72,,AH72)*(1-AF72)+INDEX(Models!$BJ72:$BT72,,AH72+1)*AF72-ERP_i)*AE72*Ramure*Pc/MaxiM</f>
        <v>2.5011586658515166E-3</v>
      </c>
      <c r="AE72" s="304">
        <f t="shared" si="15"/>
        <v>0.6</v>
      </c>
      <c r="AF72" s="177">
        <f t="shared" si="23"/>
        <v>0.50557972210750779</v>
      </c>
      <c r="AG72" s="799">
        <f t="shared" si="24"/>
        <v>1</v>
      </c>
      <c r="AH72" s="176">
        <f t="shared" si="16"/>
        <v>7</v>
      </c>
      <c r="AI72" s="224">
        <f t="shared" si="17"/>
        <v>1.5055797221075078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'2024'!Wh/'2024'!Env_an*'2025'!Env_an</f>
        <v>33.756856750339288</v>
      </c>
      <c r="C73" s="829"/>
      <c r="D73" s="391">
        <f t="shared" si="0"/>
        <v>35.234201176725001</v>
      </c>
      <c r="E73" s="383">
        <f t="shared" si="1"/>
        <v>37.434445695226344</v>
      </c>
      <c r="F73" s="383">
        <f t="shared" si="2"/>
        <v>37.505713414980747</v>
      </c>
      <c r="G73" s="110">
        <f t="shared" si="21"/>
        <v>0.85491981286863405</v>
      </c>
      <c r="H73" s="412" t="b">
        <f>Wh_hp&gt;='2024'!Maxi_hp</f>
        <v>0</v>
      </c>
      <c r="I73" s="388">
        <f>IF(H73,Wh_hp,'2024'!Maxi_hp)</f>
        <v>37.518611340462861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4.1929272611453849E-2</v>
      </c>
      <c r="M73" s="832"/>
      <c r="N73" s="832"/>
      <c r="O73" s="48">
        <f>IF(t&lt;Tnet,'2024'!Resal+('2024'!Salim-'2024'!Resal)*(1-EXP(('2024'!Tnet-t)/('2024'!Tau_j))),Resal+(Salim-Resal)*(1-EXP((Tnet-t)/(Tau_j))))*Salcycl</f>
        <v>5.8775934240210263E-2</v>
      </c>
      <c r="P73" s="169">
        <f>(INDEX(Models!$BJ73:$BT73,,T73)*(1-R73)+INDEX(Models!$BJ73:$BT73,,T73+1)*R73-ERP_i)*Q73*Ramure*Pc/MaxiM</f>
        <v>2.3951427620857225E-3</v>
      </c>
      <c r="Q73" s="304">
        <f t="shared" si="4"/>
        <v>0.6</v>
      </c>
      <c r="R73" s="177">
        <f t="shared" si="5"/>
        <v>0.50587578368009534</v>
      </c>
      <c r="S73" s="799">
        <f t="shared" si="6"/>
        <v>1</v>
      </c>
      <c r="T73" s="176">
        <f t="shared" si="7"/>
        <v>7</v>
      </c>
      <c r="U73" s="250">
        <f t="shared" si="8"/>
        <v>1.5058757836800953</v>
      </c>
      <c r="V73" s="382">
        <f t="shared" si="9"/>
        <v>39.46582609045597</v>
      </c>
      <c r="W73" s="400">
        <f t="shared" si="10"/>
        <v>33.756856750339288</v>
      </c>
      <c r="X73" s="157">
        <f t="shared" si="11"/>
        <v>45716</v>
      </c>
      <c r="Y73" s="383">
        <f t="shared" si="12"/>
        <v>33.248373427674565</v>
      </c>
      <c r="Z73" s="383">
        <f t="shared" si="22"/>
        <v>34.703464449123771</v>
      </c>
      <c r="AA73" s="384">
        <f t="shared" si="13"/>
        <v>37.434445695226344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7.29536980014861E-2</v>
      </c>
      <c r="AD73" s="230">
        <f>(INDEX(Models!$BJ73:$BT73,,AH73)*(1-AF73)+INDEX(Models!$BJ73:$BT73,,AH73+1)*AF73-ERP_i)*AE73*Ramure*Pc/MaxiM</f>
        <v>2.3951427620857225E-3</v>
      </c>
      <c r="AE73" s="304">
        <f t="shared" si="15"/>
        <v>0.6</v>
      </c>
      <c r="AF73" s="177">
        <f t="shared" si="23"/>
        <v>0.50587578368009534</v>
      </c>
      <c r="AG73" s="799">
        <f t="shared" si="24"/>
        <v>1</v>
      </c>
      <c r="AH73" s="176">
        <f t="shared" si="16"/>
        <v>7</v>
      </c>
      <c r="AI73" s="224">
        <f t="shared" si="17"/>
        <v>1.5058757836800953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'2024'!Wh/'2024'!Env_an*'2025'!Env_an</f>
        <v>39.167980389340549</v>
      </c>
      <c r="C74" s="829"/>
      <c r="D74" s="391">
        <f t="shared" si="0"/>
        <v>40.882922240928025</v>
      </c>
      <c r="E74" s="383">
        <f t="shared" si="1"/>
        <v>43.438372499223981</v>
      </c>
      <c r="F74" s="383">
        <f t="shared" si="2"/>
        <v>43.535857287183241</v>
      </c>
      <c r="G74" s="110">
        <f t="shared" si="21"/>
        <v>0.98382088955498737</v>
      </c>
      <c r="H74" s="412" t="b">
        <f>Wh_hp&gt;='2024'!Maxi_hp</f>
        <v>0</v>
      </c>
      <c r="I74" s="388">
        <f>IF(H74,Wh_hp,'2024'!Maxi_hp)</f>
        <v>43.537458266027507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4.1947633818373187E-2</v>
      </c>
      <c r="M74" s="832"/>
      <c r="N74" s="832"/>
      <c r="O74" s="48">
        <f>IF(t&lt;Tnet,'2024'!Resal+('2024'!Salim-'2024'!Resal)*(1-EXP(('2024'!Tnet-t)/('2024'!Tau_j))),Resal+(Salim-Resal)*(1-EXP((Tnet-t)/(Tau_j))))*Salcycl</f>
        <v>5.8829327879206542E-2</v>
      </c>
      <c r="P74" s="169">
        <f>(INDEX(Models!$BJ74:$BT74,,T74)*(1-R74)+INDEX(Models!$BJ74:$BT74,,T74+1)*R74-ERP_i)*Q74*Ramure*Pc/MaxiM</f>
        <v>2.291988103219525E-3</v>
      </c>
      <c r="Q74" s="304">
        <f t="shared" si="4"/>
        <v>0.6</v>
      </c>
      <c r="R74" s="177">
        <f t="shared" si="5"/>
        <v>0.50618388812515414</v>
      </c>
      <c r="S74" s="799">
        <f t="shared" si="6"/>
        <v>1</v>
      </c>
      <c r="T74" s="176">
        <f t="shared" si="7"/>
        <v>7</v>
      </c>
      <c r="U74" s="250">
        <f t="shared" si="8"/>
        <v>1.5061838881251541</v>
      </c>
      <c r="V74" s="382">
        <f t="shared" si="9"/>
        <v>39.809997863564831</v>
      </c>
      <c r="W74" s="400">
        <f t="shared" si="10"/>
        <v>39.167980389340549</v>
      </c>
      <c r="X74" s="157">
        <f t="shared" si="11"/>
        <v>45717</v>
      </c>
      <c r="Y74" s="383">
        <f t="shared" si="12"/>
        <v>38.578553566499352</v>
      </c>
      <c r="Z74" s="383">
        <f t="shared" si="22"/>
        <v>40.267687788566725</v>
      </c>
      <c r="AA74" s="384">
        <f t="shared" si="13"/>
        <v>43.438372499223981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7.2992714234721784E-2</v>
      </c>
      <c r="AD74" s="230">
        <f>(INDEX(Models!$BJ74:$BT74,,AH74)*(1-AF74)+INDEX(Models!$BJ74:$BT74,,AH74+1)*AF74-ERP_i)*AE74*Ramure*Pc/MaxiM</f>
        <v>2.291988103219525E-3</v>
      </c>
      <c r="AE74" s="304">
        <f t="shared" si="15"/>
        <v>0.6</v>
      </c>
      <c r="AF74" s="177">
        <f t="shared" si="23"/>
        <v>0.50618388812515414</v>
      </c>
      <c r="AG74" s="799">
        <f t="shared" si="24"/>
        <v>1</v>
      </c>
      <c r="AH74" s="176">
        <f t="shared" si="16"/>
        <v>7</v>
      </c>
      <c r="AI74" s="224">
        <f t="shared" si="17"/>
        <v>1.5061838881251541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'2024'!Wh/'2024'!Env_an*'2025'!Env_an</f>
        <v>11.413273097426911</v>
      </c>
      <c r="C75" s="829"/>
      <c r="D75" s="391">
        <f t="shared" si="0"/>
        <v>11.913223365736481</v>
      </c>
      <c r="E75" s="383">
        <f t="shared" si="1"/>
        <v>12.658595193194984</v>
      </c>
      <c r="F75" s="383">
        <f t="shared" si="2"/>
        <v>12.658595193194984</v>
      </c>
      <c r="G75" s="110">
        <f t="shared" si="21"/>
        <v>0.28361076491042791</v>
      </c>
      <c r="H75" s="412" t="b">
        <f>Wh_hp&gt;='2024'!Maxi_hp</f>
        <v>0</v>
      </c>
      <c r="I75" s="388">
        <f>IF(H75,Wh_hp,'2024'!Maxi_hp)</f>
        <v>30.966593074683484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4.1965994673404117E-2</v>
      </c>
      <c r="M75" s="832"/>
      <c r="N75" s="832"/>
      <c r="O75" s="48">
        <f>IF(t&lt;Tnet,'2024'!Resal+('2024'!Salim-'2024'!Resal)*(1-EXP(('2024'!Tnet-t)/('2024'!Tau_j))),Resal+(Salim-Resal)*(1-EXP((Tnet-t)/(Tau_j))))*Salcycl</f>
        <v>5.8882665578815614E-2</v>
      </c>
      <c r="P75" s="169">
        <f>(INDEX(Models!$BJ75:$BT75,,T75)*(1-R75)+INDEX(Models!$BJ75:$BT75,,T75+1)*R75-ERP_i)*Q75*Ramure*Pc/MaxiM</f>
        <v>2.1916282278596519E-3</v>
      </c>
      <c r="Q75" s="304">
        <f t="shared" si="4"/>
        <v>0.6</v>
      </c>
      <c r="R75" s="177">
        <f t="shared" si="5"/>
        <v>0.5065045090944158</v>
      </c>
      <c r="S75" s="799">
        <f t="shared" si="6"/>
        <v>1</v>
      </c>
      <c r="T75" s="176">
        <f t="shared" si="7"/>
        <v>7</v>
      </c>
      <c r="U75" s="250">
        <f t="shared" si="8"/>
        <v>1.5065045090944158</v>
      </c>
      <c r="V75" s="382">
        <f t="shared" si="9"/>
        <v>40.154538737382005</v>
      </c>
      <c r="W75" s="400">
        <f t="shared" si="10"/>
        <v>11.413273097426911</v>
      </c>
      <c r="X75" s="157">
        <f t="shared" si="11"/>
        <v>45718</v>
      </c>
      <c r="Y75" s="383">
        <f t="shared" si="12"/>
        <v>11.241682739017664</v>
      </c>
      <c r="Z75" s="383">
        <f t="shared" si="22"/>
        <v>11.734116614352692</v>
      </c>
      <c r="AA75" s="384">
        <f t="shared" si="13"/>
        <v>12.658595193194984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7.3031688329781866E-2</v>
      </c>
      <c r="AD75" s="230">
        <f>(INDEX(Models!$BJ75:$BT75,,AH75)*(1-AF75)+INDEX(Models!$BJ75:$BT75,,AH75+1)*AF75-ERP_i)*AE75*Ramure*Pc/MaxiM</f>
        <v>2.1916282278596519E-3</v>
      </c>
      <c r="AE75" s="304">
        <f t="shared" si="15"/>
        <v>0.6</v>
      </c>
      <c r="AF75" s="177">
        <f t="shared" si="23"/>
        <v>0.5065045090944158</v>
      </c>
      <c r="AG75" s="799">
        <f t="shared" si="24"/>
        <v>1</v>
      </c>
      <c r="AH75" s="176">
        <f t="shared" si="16"/>
        <v>7</v>
      </c>
      <c r="AI75" s="224">
        <f t="shared" si="17"/>
        <v>1.5065045090944158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'2024'!Wh/'2024'!Env_an*'2025'!Env_an</f>
        <v>35.022432960130146</v>
      </c>
      <c r="C76" s="829"/>
      <c r="D76" s="391">
        <f t="shared" si="0"/>
        <v>36.557266208929668</v>
      </c>
      <c r="E76" s="383">
        <f t="shared" si="1"/>
        <v>38.846735644095027</v>
      </c>
      <c r="F76" s="383">
        <f t="shared" si="2"/>
        <v>38.912476247768979</v>
      </c>
      <c r="G76" s="110">
        <f t="shared" si="21"/>
        <v>0.86441277953471152</v>
      </c>
      <c r="H76" s="412" t="b">
        <f>Wh_hp&gt;='2024'!Maxi_hp</f>
        <v>0</v>
      </c>
      <c r="I76" s="388">
        <f>IF(H76,Wh_hp,'2024'!Maxi_hp)</f>
        <v>38.923472241989082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4.1984355176553523E-2</v>
      </c>
      <c r="M76" s="832"/>
      <c r="N76" s="832"/>
      <c r="O76" s="48">
        <f>IF(t&lt;Tnet,'2024'!Resal+('2024'!Salim-'2024'!Resal)*(1-EXP(('2024'!Tnet-t)/('2024'!Tau_j))),Resal+(Salim-Resal)*(1-EXP((Tnet-t)/(Tau_j))))*Salcycl</f>
        <v>5.8935954262436842E-2</v>
      </c>
      <c r="P76" s="169">
        <f>(INDEX(Models!$BJ76:$BT76,,T76)*(1-R76)+INDEX(Models!$BJ76:$BT76,,T76+1)*R76-ERP_i)*Q76*Ramure*Pc/MaxiM</f>
        <v>2.0939989488019347E-3</v>
      </c>
      <c r="Q76" s="304">
        <f t="shared" si="4"/>
        <v>0.6</v>
      </c>
      <c r="R76" s="177">
        <f t="shared" si="5"/>
        <v>0.50683813750427364</v>
      </c>
      <c r="S76" s="799">
        <f t="shared" si="6"/>
        <v>1</v>
      </c>
      <c r="T76" s="176">
        <f t="shared" si="7"/>
        <v>7</v>
      </c>
      <c r="U76" s="250">
        <f t="shared" si="8"/>
        <v>1.5068381375042736</v>
      </c>
      <c r="V76" s="382">
        <f t="shared" si="9"/>
        <v>40.499448240373844</v>
      </c>
      <c r="W76" s="400">
        <f t="shared" si="10"/>
        <v>35.022432960130146</v>
      </c>
      <c r="X76" s="157">
        <f t="shared" si="11"/>
        <v>45719</v>
      </c>
      <c r="Y76" s="383">
        <f t="shared" si="12"/>
        <v>34.496400013375066</v>
      </c>
      <c r="Z76" s="383">
        <f t="shared" si="22"/>
        <v>36.008180241912896</v>
      </c>
      <c r="AA76" s="384">
        <f t="shared" si="13"/>
        <v>38.846735644095027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7.3070628847384494E-2</v>
      </c>
      <c r="AD76" s="230">
        <f>(INDEX(Models!$BJ76:$BT76,,AH76)*(1-AF76)+INDEX(Models!$BJ76:$BT76,,AH76+1)*AF76-ERP_i)*AE76*Ramure*Pc/MaxiM</f>
        <v>2.0939989488019347E-3</v>
      </c>
      <c r="AE76" s="304">
        <f t="shared" si="15"/>
        <v>0.6</v>
      </c>
      <c r="AF76" s="177">
        <f t="shared" si="23"/>
        <v>0.50683813750427364</v>
      </c>
      <c r="AG76" s="799">
        <f t="shared" si="24"/>
        <v>1</v>
      </c>
      <c r="AH76" s="176">
        <f t="shared" si="16"/>
        <v>7</v>
      </c>
      <c r="AI76" s="224">
        <f t="shared" si="17"/>
        <v>1.5068381375042736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'2024'!Wh/'2024'!Env_an*'2025'!Env_an</f>
        <v>3.7636394038825016</v>
      </c>
      <c r="C77" s="829"/>
      <c r="D77" s="391">
        <f t="shared" si="0"/>
        <v>3.9286535192742478</v>
      </c>
      <c r="E77" s="383">
        <f t="shared" si="1"/>
        <v>4.1749292652349599</v>
      </c>
      <c r="F77" s="383">
        <f t="shared" si="2"/>
        <v>4.1749292652349599</v>
      </c>
      <c r="G77" s="110">
        <f t="shared" si="21"/>
        <v>9.1960850961376239E-2</v>
      </c>
      <c r="H77" s="412" t="b">
        <f>Wh_hp&gt;='2024'!Maxi_hp</f>
        <v>0</v>
      </c>
      <c r="I77" s="388">
        <f>IF(H77,Wh_hp,'2024'!Maxi_hp)</f>
        <v>32.038386239307918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4.2002715327828066E-2</v>
      </c>
      <c r="M77" s="832"/>
      <c r="N77" s="832"/>
      <c r="O77" s="48">
        <f>IF(t&lt;Tnet,'2024'!Resal+('2024'!Salim-'2024'!Resal)*(1-EXP(('2024'!Tnet-t)/('2024'!Tau_j))),Resal+(Salim-Resal)*(1-EXP((Tnet-t)/(Tau_j))))*Salcycl</f>
        <v>5.898920204743914E-2</v>
      </c>
      <c r="P77" s="169">
        <f>(INDEX(Models!$BJ77:$BT77,,T77)*(1-R77)+INDEX(Models!$BJ77:$BT77,,T77+1)*R77-ERP_i)*Q77*Ramure*Pc/MaxiM</f>
        <v>1.9990381247614653E-3</v>
      </c>
      <c r="Q77" s="304">
        <f t="shared" si="4"/>
        <v>0.6</v>
      </c>
      <c r="R77" s="177">
        <f t="shared" si="5"/>
        <v>0.50718528204937185</v>
      </c>
      <c r="S77" s="799">
        <f t="shared" si="6"/>
        <v>1</v>
      </c>
      <c r="T77" s="176">
        <f t="shared" si="7"/>
        <v>7</v>
      </c>
      <c r="U77" s="250">
        <f t="shared" si="8"/>
        <v>1.5071852820493719</v>
      </c>
      <c r="V77" s="382">
        <f t="shared" si="9"/>
        <v>40.844725836691779</v>
      </c>
      <c r="W77" s="400">
        <f t="shared" si="10"/>
        <v>3.7636394038825016</v>
      </c>
      <c r="X77" s="157">
        <f t="shared" si="11"/>
        <v>45720</v>
      </c>
      <c r="Y77" s="383">
        <f t="shared" si="12"/>
        <v>3.7071640878530938</v>
      </c>
      <c r="Z77" s="383">
        <f t="shared" si="22"/>
        <v>3.8697020828422191</v>
      </c>
      <c r="AA77" s="384">
        <f t="shared" si="13"/>
        <v>4.1749292652349599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7.3109545815397803E-2</v>
      </c>
      <c r="AD77" s="230">
        <f>(INDEX(Models!$BJ77:$BT77,,AH77)*(1-AF77)+INDEX(Models!$BJ77:$BT77,,AH77+1)*AF77-ERP_i)*AE77*Ramure*Pc/MaxiM</f>
        <v>1.9990381247614653E-3</v>
      </c>
      <c r="AE77" s="304">
        <f t="shared" si="15"/>
        <v>0.6</v>
      </c>
      <c r="AF77" s="177">
        <f t="shared" si="23"/>
        <v>0.50718528204937185</v>
      </c>
      <c r="AG77" s="799">
        <f t="shared" si="24"/>
        <v>1</v>
      </c>
      <c r="AH77" s="176">
        <f t="shared" si="16"/>
        <v>7</v>
      </c>
      <c r="AI77" s="224">
        <f t="shared" si="17"/>
        <v>1.5071852820493719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'2024'!Wh/'2024'!Env_an*'2025'!Env_an</f>
        <v>12.959977178620806</v>
      </c>
      <c r="C78" s="829"/>
      <c r="D78" s="391">
        <f t="shared" si="0"/>
        <v>13.528457507916567</v>
      </c>
      <c r="E78" s="383">
        <f t="shared" si="1"/>
        <v>14.377329828923903</v>
      </c>
      <c r="F78" s="383">
        <f t="shared" si="2"/>
        <v>14.37790302284731</v>
      </c>
      <c r="G78" s="110">
        <f t="shared" si="21"/>
        <v>0.31404869606826763</v>
      </c>
      <c r="H78" s="412" t="b">
        <f>Wh_hp&gt;='2024'!Maxi_hp</f>
        <v>0</v>
      </c>
      <c r="I78" s="388">
        <f>IF(H78,Wh_hp,'2024'!Maxi_hp)</f>
        <v>38.035034481034316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4.202107512723452E-2</v>
      </c>
      <c r="M78" s="832"/>
      <c r="N78" s="832"/>
      <c r="O78" s="48">
        <f>IF(t&lt;Tnet,'2024'!Resal+('2024'!Salim-'2024'!Resal)*(1-EXP(('2024'!Tnet-t)/('2024'!Tau_j))),Resal+(Salim-Resal)*(1-EXP((Tnet-t)/(Tau_j))))*Salcycl</f>
        <v>5.9042418245118022E-2</v>
      </c>
      <c r="P78" s="169">
        <f>(INDEX(Models!$BJ78:$BT78,,T78)*(1-R78)+INDEX(Models!$BJ78:$BT78,,T78+1)*R78-ERP_i)*Q78*Ramure*Pc/MaxiM</f>
        <v>1.9066854436727723E-3</v>
      </c>
      <c r="Q78" s="304">
        <f t="shared" si="4"/>
        <v>0.6</v>
      </c>
      <c r="R78" s="177">
        <f t="shared" si="5"/>
        <v>0.50754646972126749</v>
      </c>
      <c r="S78" s="799">
        <f t="shared" si="6"/>
        <v>1</v>
      </c>
      <c r="T78" s="176">
        <f t="shared" si="7"/>
        <v>7</v>
      </c>
      <c r="U78" s="250">
        <f t="shared" si="8"/>
        <v>1.5075464697212675</v>
      </c>
      <c r="V78" s="382">
        <f t="shared" si="9"/>
        <v>41.19037092854046</v>
      </c>
      <c r="W78" s="400">
        <f t="shared" si="10"/>
        <v>12.959977178620806</v>
      </c>
      <c r="X78" s="157">
        <f t="shared" si="11"/>
        <v>45721</v>
      </c>
      <c r="Y78" s="383">
        <f t="shared" si="12"/>
        <v>12.765692268674087</v>
      </c>
      <c r="Z78" s="383">
        <f t="shared" si="22"/>
        <v>13.325650426359401</v>
      </c>
      <c r="AA78" s="384">
        <f t="shared" si="13"/>
        <v>14.377329828923903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7.3148450726139999E-2</v>
      </c>
      <c r="AD78" s="230">
        <f>(INDEX(Models!$BJ78:$BT78,,AH78)*(1-AF78)+INDEX(Models!$BJ78:$BT78,,AH78+1)*AF78-ERP_i)*AE78*Ramure*Pc/MaxiM</f>
        <v>1.9066854436727723E-3</v>
      </c>
      <c r="AE78" s="304">
        <f t="shared" si="15"/>
        <v>0.6</v>
      </c>
      <c r="AF78" s="177">
        <f t="shared" si="23"/>
        <v>0.50754646972126749</v>
      </c>
      <c r="AG78" s="799">
        <f t="shared" si="24"/>
        <v>1</v>
      </c>
      <c r="AH78" s="176">
        <f t="shared" si="16"/>
        <v>7</v>
      </c>
      <c r="AI78" s="224">
        <f t="shared" si="17"/>
        <v>1.5075464697212675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'2024'!Wh/'2024'!Env_an*'2025'!Env_an</f>
        <v>15.625663124983074</v>
      </c>
      <c r="C79" s="829"/>
      <c r="D79" s="391">
        <f t="shared" ref="D79:D142" si="25">Wh/(1-Ppv)</f>
        <v>16.311384506779923</v>
      </c>
      <c r="E79" s="383">
        <f t="shared" si="1"/>
        <v>17.335857647453967</v>
      </c>
      <c r="F79" s="383">
        <f t="shared" ref="F79:F142" si="26">Wh_sa/(1-Pvg*MEDIAN((-Sdif+Wh/Env_an)/Csdif,0,1))</f>
        <v>17.339286145639456</v>
      </c>
      <c r="G79" s="110">
        <f t="shared" si="21"/>
        <v>0.37557329023498898</v>
      </c>
      <c r="H79" s="412" t="b">
        <f>Wh_hp&gt;='2024'!Maxi_hp</f>
        <v>0</v>
      </c>
      <c r="I79" s="388">
        <f>IF(H79,Wh_hp,'2024'!Maxi_hp)</f>
        <v>17.358899888574093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4.2039434574779655E-2</v>
      </c>
      <c r="M79" s="832"/>
      <c r="N79" s="832"/>
      <c r="O79" s="48">
        <f>IF(t&lt;Tnet,'2024'!Resal+('2024'!Salim-'2024'!Resal)*(1-EXP(('2024'!Tnet-t)/('2024'!Tau_j))),Resal+(Salim-Resal)*(1-EXP((Tnet-t)/(Tau_j))))*Salcycl</f>
        <v>5.9095613352853252E-2</v>
      </c>
      <c r="P79" s="169">
        <f>(INDEX(Models!$BJ79:$BT79,,T79)*(1-R79)+INDEX(Models!$BJ79:$BT79,,T79+1)*R79-ERP_i)*Q79*Ramure*Pc/MaxiM</f>
        <v>1.8168354206465891E-3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0.50792224633116567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1.5079222463311657</v>
      </c>
      <c r="V79" s="382">
        <f t="shared" ref="V79:V142" si="33">MaxiM*(1-Ppv)*(1-Pvg)*(1-Psa)</f>
        <v>41.5374546919967</v>
      </c>
      <c r="W79" s="400">
        <f t="shared" ref="W79:W142" si="34">Wh*(A79&gt;Tmaj)</f>
        <v>15.625663124983074</v>
      </c>
      <c r="X79" s="157">
        <f t="shared" ref="X79:X142" si="35">t</f>
        <v>45722</v>
      </c>
      <c r="Y79" s="383">
        <f t="shared" ref="Y79:Y142" si="36">Wh_pvt_s*(1-Ppv)</f>
        <v>15.391640587983932</v>
      </c>
      <c r="Z79" s="383">
        <f t="shared" ref="Z79:Z142" si="37">Wh_sa_s*(1-Psa_s)</f>
        <v>16.067092053159701</v>
      </c>
      <c r="AA79" s="384">
        <f t="shared" ref="AA79:AA142" si="38">Wh_hp*(1-Pvg_s*MEDIAN((-Sdif+Wh/Env_an)/Csdif,0,1))</f>
        <v>17.335857647453967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7.3187356524042749E-2</v>
      </c>
      <c r="AD79" s="230">
        <f>(INDEX(Models!$BJ79:$BT79,,AH79)*(1-AF79)+INDEX(Models!$BJ79:$BT79,,AH79+1)*AF79-ERP_i)*AE79*Ramure*Pc/MaxiM</f>
        <v>1.8168354206465891E-3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0.50792224633116567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1.5079222463311657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'2024'!Wh/'2024'!Env_an*'2025'!Env_an</f>
        <v>38.493212539216508</v>
      </c>
      <c r="C80" s="829"/>
      <c r="D80" s="391">
        <f t="shared" si="25"/>
        <v>40.183230559083363</v>
      </c>
      <c r="E80" s="383">
        <f t="shared" ref="E80:E143" si="47">Wh_pvt/(1-Psa)</f>
        <v>42.709442808838027</v>
      </c>
      <c r="F80" s="383">
        <f t="shared" si="26"/>
        <v>42.774936423767123</v>
      </c>
      <c r="G80" s="110">
        <f t="shared" ref="G80:G143" si="48">+Wh_hp/MaxiM</f>
        <v>0.91880122945008491</v>
      </c>
      <c r="H80" s="412" t="b">
        <f>Wh_hp&gt;='2024'!Maxi_hp</f>
        <v>0</v>
      </c>
      <c r="I80" s="388">
        <f>IF(H80,Wh_hp,'2024'!Maxi_hp)</f>
        <v>42.780921418940942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4.2057793670470023E-2</v>
      </c>
      <c r="M80" s="832"/>
      <c r="N80" s="832"/>
      <c r="O80" s="48">
        <f>IF(t&lt;Tnet,'2024'!Resal+('2024'!Salim-'2024'!Resal)*(1-EXP(('2024'!Tnet-t)/('2024'!Tau_j))),Resal+(Salim-Resal)*(1-EXP((Tnet-t)/(Tau_j))))*Salcycl</f>
        <v>5.9148799038696506E-2</v>
      </c>
      <c r="P80" s="169">
        <f>(INDEX(Models!$BJ80:$BT80,,T80)*(1-R80)+INDEX(Models!$BJ80:$BT80,,T80+1)*R80-ERP_i)*Q80*Ramure*Pc/MaxiM</f>
        <v>1.7315180847544847E-3</v>
      </c>
      <c r="Q80" s="304">
        <f t="shared" si="28"/>
        <v>0.6</v>
      </c>
      <c r="R80" s="177">
        <f t="shared" si="29"/>
        <v>0.5083131770356013</v>
      </c>
      <c r="S80" s="799">
        <f t="shared" si="30"/>
        <v>1</v>
      </c>
      <c r="T80" s="176">
        <f t="shared" si="31"/>
        <v>7</v>
      </c>
      <c r="U80" s="250">
        <f t="shared" si="32"/>
        <v>1.5083131770356013</v>
      </c>
      <c r="V80" s="382">
        <f t="shared" si="33"/>
        <v>41.886629620605333</v>
      </c>
      <c r="W80" s="400">
        <f t="shared" si="34"/>
        <v>38.493212539216508</v>
      </c>
      <c r="X80" s="157">
        <f t="shared" si="35"/>
        <v>45723</v>
      </c>
      <c r="Y80" s="383">
        <f t="shared" si="36"/>
        <v>37.91725815545589</v>
      </c>
      <c r="Z80" s="383">
        <f t="shared" si="37"/>
        <v>39.581989294260659</v>
      </c>
      <c r="AA80" s="384">
        <f t="shared" si="38"/>
        <v>42.709442808838027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7.3226277583986421E-2</v>
      </c>
      <c r="AD80" s="230">
        <f>(INDEX(Models!$BJ80:$BT80,,AH80)*(1-AF80)+INDEX(Models!$BJ80:$BT80,,AH80+1)*AF80-ERP_i)*AE80*Ramure*Pc/MaxiM</f>
        <v>1.7315180847544847E-3</v>
      </c>
      <c r="AE80" s="304">
        <f t="shared" si="40"/>
        <v>0.6</v>
      </c>
      <c r="AF80" s="177">
        <f t="shared" si="41"/>
        <v>0.5083131770356013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1.5083131770356013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'2024'!Wh/'2024'!Env_an*'2025'!Env_an</f>
        <v>31.373031864435152</v>
      </c>
      <c r="C81" s="829"/>
      <c r="D81" s="391">
        <f t="shared" si="25"/>
        <v>32.751070916029988</v>
      </c>
      <c r="E81" s="383">
        <f t="shared" si="47"/>
        <v>34.81201118881792</v>
      </c>
      <c r="F81" s="383">
        <f t="shared" si="26"/>
        <v>34.848405902779277</v>
      </c>
      <c r="G81" s="110">
        <f t="shared" si="48"/>
        <v>0.74232767745683137</v>
      </c>
      <c r="H81" s="412" t="b">
        <f>Wh_hp&gt;='2024'!Maxi_hp</f>
        <v>0</v>
      </c>
      <c r="I81" s="388">
        <f>IF(H81,Wh_hp,'2024'!Maxi_hp)</f>
        <v>34.863147641201927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4.2076152414312618E-2</v>
      </c>
      <c r="M81" s="832"/>
      <c r="N81" s="832"/>
      <c r="O81" s="48">
        <f>IF(t&lt;Tnet,'2024'!Resal+('2024'!Salim-'2024'!Resal)*(1-EXP(('2024'!Tnet-t)/('2024'!Tau_j))),Resal+(Salim-Resal)*(1-EXP((Tnet-t)/(Tau_j))))*Salcycl</f>
        <v>5.9201988118684996E-2</v>
      </c>
      <c r="P81" s="169">
        <f>(INDEX(Models!$BJ81:$BT81,,T81)*(1-R81)+INDEX(Models!$BJ81:$BT81,,T81+1)*R81-ERP_i)*Q81*Ramure*Pc/MaxiM</f>
        <v>1.6510743133851418E-3</v>
      </c>
      <c r="Q81" s="304">
        <f t="shared" si="28"/>
        <v>0.6</v>
      </c>
      <c r="R81" s="177">
        <f t="shared" si="29"/>
        <v>0.50871984686381144</v>
      </c>
      <c r="S81" s="799">
        <f t="shared" si="30"/>
        <v>1</v>
      </c>
      <c r="T81" s="176">
        <f t="shared" si="31"/>
        <v>7</v>
      </c>
      <c r="U81" s="250">
        <f t="shared" si="32"/>
        <v>1.5087198468638114</v>
      </c>
      <c r="V81" s="382">
        <f t="shared" si="33"/>
        <v>42.237382276422906</v>
      </c>
      <c r="W81" s="400">
        <f t="shared" si="34"/>
        <v>31.373031864435152</v>
      </c>
      <c r="X81" s="157">
        <f t="shared" si="35"/>
        <v>45724</v>
      </c>
      <c r="Y81" s="383">
        <f t="shared" si="36"/>
        <v>30.904061352093223</v>
      </c>
      <c r="Z81" s="383">
        <f t="shared" si="37"/>
        <v>32.261501193422184</v>
      </c>
      <c r="AA81" s="384">
        <f t="shared" si="38"/>
        <v>34.81201118881792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7.3265229680696931E-2</v>
      </c>
      <c r="AD81" s="230">
        <f>(INDEX(Models!$BJ81:$BT81,,AH81)*(1-AF81)+INDEX(Models!$BJ81:$BT81,,AH81+1)*AF81-ERP_i)*AE81*Ramure*Pc/MaxiM</f>
        <v>1.6510743133851418E-3</v>
      </c>
      <c r="AE81" s="304">
        <f t="shared" si="40"/>
        <v>0.6</v>
      </c>
      <c r="AF81" s="177">
        <f t="shared" si="41"/>
        <v>0.50871984686381144</v>
      </c>
      <c r="AG81" s="799">
        <f t="shared" si="49"/>
        <v>1</v>
      </c>
      <c r="AH81" s="176">
        <f t="shared" si="42"/>
        <v>7</v>
      </c>
      <c r="AI81" s="224">
        <f t="shared" si="43"/>
        <v>1.5087198468638114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'2024'!Wh/'2024'!Env_an*'2025'!Env_an</f>
        <v>30.588894872244616</v>
      </c>
      <c r="C82" s="829"/>
      <c r="D82" s="391">
        <f t="shared" si="25"/>
        <v>31.93310323129344</v>
      </c>
      <c r="E82" s="383">
        <f t="shared" si="47"/>
        <v>33.944490626494407</v>
      </c>
      <c r="F82" s="383">
        <f t="shared" si="26"/>
        <v>33.976471672025362</v>
      </c>
      <c r="G82" s="110">
        <f t="shared" si="48"/>
        <v>0.7177750848294675</v>
      </c>
      <c r="H82" s="412" t="b">
        <f>Wh_hp&gt;='2024'!Maxi_hp</f>
        <v>0</v>
      </c>
      <c r="I82" s="388">
        <f>IF(H82,Wh_hp,'2024'!Maxi_hp)</f>
        <v>45.223150143497143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4.20945108063141E-2</v>
      </c>
      <c r="M82" s="832"/>
      <c r="N82" s="832"/>
      <c r="O82" s="48">
        <f>IF(t&lt;Tnet,'2024'!Resal+('2024'!Salim-'2024'!Resal)*(1-EXP(('2024'!Tnet-t)/('2024'!Tau_j))),Resal+(Salim-Resal)*(1-EXP((Tnet-t)/(Tau_j))))*Salcycl</f>
        <v>5.9255194527238923E-2</v>
      </c>
      <c r="P82" s="169">
        <f>(INDEX(Models!$BJ82:$BT82,,T82)*(1-R82)+INDEX(Models!$BJ82:$BT82,,T82+1)*R82-ERP_i)*Q82*Ramure*Pc/MaxiM</f>
        <v>1.5754195177219788E-3</v>
      </c>
      <c r="Q82" s="304">
        <f t="shared" si="28"/>
        <v>0.6</v>
      </c>
      <c r="R82" s="177">
        <f t="shared" si="29"/>
        <v>0.50914286124539831</v>
      </c>
      <c r="S82" s="799">
        <f t="shared" si="30"/>
        <v>1</v>
      </c>
      <c r="T82" s="176">
        <f t="shared" si="31"/>
        <v>7</v>
      </c>
      <c r="U82" s="250">
        <f t="shared" si="32"/>
        <v>1.5091428612453983</v>
      </c>
      <c r="V82" s="382">
        <f t="shared" si="33"/>
        <v>42.589216762134889</v>
      </c>
      <c r="W82" s="400">
        <f t="shared" si="34"/>
        <v>30.588894872244616</v>
      </c>
      <c r="X82" s="157">
        <f t="shared" si="35"/>
        <v>45725</v>
      </c>
      <c r="Y82" s="383">
        <f t="shared" si="36"/>
        <v>30.132081860795449</v>
      </c>
      <c r="Z82" s="383">
        <f t="shared" si="37"/>
        <v>31.456215880085455</v>
      </c>
      <c r="AA82" s="384">
        <f t="shared" si="38"/>
        <v>33.944490626494407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7.3304229949669647E-2</v>
      </c>
      <c r="AD82" s="230">
        <f>(INDEX(Models!$BJ82:$BT82,,AH82)*(1-AF82)+INDEX(Models!$BJ82:$BT82,,AH82+1)*AF82-ERP_i)*AE82*Ramure*Pc/MaxiM</f>
        <v>1.5754195177219788E-3</v>
      </c>
      <c r="AE82" s="304">
        <f t="shared" si="40"/>
        <v>0.6</v>
      </c>
      <c r="AF82" s="177">
        <f t="shared" si="41"/>
        <v>0.50914286124539831</v>
      </c>
      <c r="AG82" s="799">
        <f t="shared" si="49"/>
        <v>1</v>
      </c>
      <c r="AH82" s="176">
        <f t="shared" si="42"/>
        <v>7</v>
      </c>
      <c r="AI82" s="224">
        <f t="shared" si="43"/>
        <v>1.5091428612453983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'2024'!Wh/'2024'!Env_an*'2025'!Env_an</f>
        <v>24.351490890731558</v>
      </c>
      <c r="C83" s="829"/>
      <c r="D83" s="391">
        <f t="shared" si="25"/>
        <v>25.422087946214184</v>
      </c>
      <c r="E83" s="383">
        <f t="shared" si="47"/>
        <v>27.024891947191957</v>
      </c>
      <c r="F83" s="383">
        <f t="shared" si="26"/>
        <v>27.040413852212737</v>
      </c>
      <c r="G83" s="110">
        <f t="shared" si="48"/>
        <v>0.5665554878153084</v>
      </c>
      <c r="H83" s="412" t="b">
        <f>Wh_hp&gt;='2024'!Maxi_hp</f>
        <v>0</v>
      </c>
      <c r="I83" s="388">
        <f>IF(H83,Wh_hp,'2024'!Maxi_hp)</f>
        <v>44.941946667610743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4.2112868846481133E-2</v>
      </c>
      <c r="M83" s="832"/>
      <c r="N83" s="832"/>
      <c r="O83" s="48">
        <f>IF(t&lt;Tnet,'2024'!Resal+('2024'!Salim-'2024'!Resal)*(1-EXP(('2024'!Tnet-t)/('2024'!Tau_j))),Resal+(Salim-Resal)*(1-EXP((Tnet-t)/(Tau_j))))*Salcycl</f>
        <v>5.930843328105577E-2</v>
      </c>
      <c r="P83" s="169">
        <f>(INDEX(Models!$BJ83:$BT83,,T83)*(1-R83)+INDEX(Models!$BJ83:$BT83,,T83+1)*R83-ERP_i)*Q83*Ramure*Pc/MaxiM</f>
        <v>1.5044674107175702E-3</v>
      </c>
      <c r="Q83" s="304">
        <f t="shared" si="28"/>
        <v>0.6</v>
      </c>
      <c r="R83" s="177">
        <f t="shared" si="29"/>
        <v>0.50958284653673491</v>
      </c>
      <c r="S83" s="799">
        <f t="shared" si="30"/>
        <v>1</v>
      </c>
      <c r="T83" s="176">
        <f t="shared" si="31"/>
        <v>7</v>
      </c>
      <c r="U83" s="250">
        <f t="shared" si="32"/>
        <v>1.5095828465367349</v>
      </c>
      <c r="V83" s="382">
        <f t="shared" si="33"/>
        <v>42.941637260357936</v>
      </c>
      <c r="W83" s="400">
        <f t="shared" si="34"/>
        <v>24.351490890731558</v>
      </c>
      <c r="X83" s="157">
        <f t="shared" si="35"/>
        <v>45726</v>
      </c>
      <c r="Y83" s="383">
        <f t="shared" si="36"/>
        <v>23.988173237843419</v>
      </c>
      <c r="Z83" s="383">
        <f t="shared" si="37"/>
        <v>25.042797275036026</v>
      </c>
      <c r="AA83" s="384">
        <f t="shared" si="38"/>
        <v>27.024891947191957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7.3343296840151909E-2</v>
      </c>
      <c r="AD83" s="230">
        <f>(INDEX(Models!$BJ83:$BT83,,AH83)*(1-AF83)+INDEX(Models!$BJ83:$BT83,,AH83+1)*AF83-ERP_i)*AE83*Ramure*Pc/MaxiM</f>
        <v>1.5044674107175702E-3</v>
      </c>
      <c r="AE83" s="304">
        <f t="shared" si="40"/>
        <v>0.6</v>
      </c>
      <c r="AF83" s="177">
        <f t="shared" si="41"/>
        <v>0.50958284653673491</v>
      </c>
      <c r="AG83" s="799">
        <f t="shared" si="49"/>
        <v>1</v>
      </c>
      <c r="AH83" s="176">
        <f t="shared" si="42"/>
        <v>7</v>
      </c>
      <c r="AI83" s="224">
        <f t="shared" si="43"/>
        <v>1.5095828465367349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'2024'!Wh/'2024'!Env_an*'2025'!Env_an</f>
        <v>15.103037783192356</v>
      </c>
      <c r="C84" s="829"/>
      <c r="D84" s="391">
        <f t="shared" si="25"/>
        <v>15.767334943549427</v>
      </c>
      <c r="E84" s="383">
        <f t="shared" si="47"/>
        <v>16.762378574337806</v>
      </c>
      <c r="F84" s="383">
        <f t="shared" si="26"/>
        <v>16.764060931818666</v>
      </c>
      <c r="G84" s="110">
        <f t="shared" si="48"/>
        <v>0.34838036927394078</v>
      </c>
      <c r="H84" s="412" t="b">
        <f>Wh_hp&gt;='2024'!Maxi_hp</f>
        <v>0</v>
      </c>
      <c r="I84" s="388">
        <f>IF(H84,Wh_hp,'2024'!Maxi_hp)</f>
        <v>33.644561072825525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4.2131226534820487E-2</v>
      </c>
      <c r="M84" s="832"/>
      <c r="N84" s="832"/>
      <c r="O84" s="48">
        <f>IF(t&lt;Tnet,'2024'!Resal+('2024'!Salim-'2024'!Resal)*(1-EXP(('2024'!Tnet-t)/('2024'!Tau_j))),Resal+(Salim-Resal)*(1-EXP((Tnet-t)/(Tau_j))))*Salcycl</f>
        <v>5.9361720436962924E-2</v>
      </c>
      <c r="P84" s="169">
        <f>(INDEX(Models!$BJ84:$BT84,,T84)*(1-R84)+INDEX(Models!$BJ84:$BT84,,T84+1)*R84-ERP_i)*Q84*Ramure*Pc/MaxiM</f>
        <v>1.4381306751900418E-3</v>
      </c>
      <c r="Q84" s="304">
        <f t="shared" si="28"/>
        <v>0.6</v>
      </c>
      <c r="R84" s="177">
        <f t="shared" si="29"/>
        <v>0.51004045054439984</v>
      </c>
      <c r="S84" s="799">
        <f t="shared" si="30"/>
        <v>1</v>
      </c>
      <c r="T84" s="176">
        <f t="shared" si="31"/>
        <v>7</v>
      </c>
      <c r="U84" s="250">
        <f t="shared" si="32"/>
        <v>1.5100404505443998</v>
      </c>
      <c r="V84" s="382">
        <f t="shared" si="33"/>
        <v>43.294148032411542</v>
      </c>
      <c r="W84" s="400">
        <f t="shared" si="34"/>
        <v>15.103037783192356</v>
      </c>
      <c r="X84" s="157">
        <f t="shared" si="35"/>
        <v>45727</v>
      </c>
      <c r="Y84" s="383">
        <f t="shared" si="36"/>
        <v>14.877918718981279</v>
      </c>
      <c r="Z84" s="383">
        <f t="shared" si="37"/>
        <v>15.532314165706667</v>
      </c>
      <c r="AA84" s="384">
        <f t="shared" si="38"/>
        <v>16.762378574337806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7.3382450060774346E-2</v>
      </c>
      <c r="AD84" s="230">
        <f>(INDEX(Models!$BJ84:$BT84,,AH84)*(1-AF84)+INDEX(Models!$BJ84:$BT84,,AH84+1)*AF84-ERP_i)*AE84*Ramure*Pc/MaxiM</f>
        <v>1.4381306751900418E-3</v>
      </c>
      <c r="AE84" s="304">
        <f t="shared" si="40"/>
        <v>0.6</v>
      </c>
      <c r="AF84" s="177">
        <f t="shared" si="41"/>
        <v>0.51004045054439984</v>
      </c>
      <c r="AG84" s="799">
        <f t="shared" si="49"/>
        <v>1</v>
      </c>
      <c r="AH84" s="176">
        <f t="shared" si="42"/>
        <v>7</v>
      </c>
      <c r="AI84" s="224">
        <f t="shared" si="43"/>
        <v>1.5100404505443998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'2024'!Wh/'2024'!Env_an*'2025'!Env_an</f>
        <v>15.720016900336967</v>
      </c>
      <c r="C85" s="829"/>
      <c r="D85" s="391">
        <f t="shared" si="25"/>
        <v>16.411766008175341</v>
      </c>
      <c r="E85" s="383">
        <f t="shared" si="47"/>
        <v>17.448468009467806</v>
      </c>
      <c r="F85" s="383">
        <f t="shared" si="26"/>
        <v>17.450532446392142</v>
      </c>
      <c r="G85" s="110">
        <f t="shared" si="48"/>
        <v>0.35971560548894621</v>
      </c>
      <c r="H85" s="412" t="b">
        <f>Wh_hp&gt;='2024'!Maxi_hp</f>
        <v>0</v>
      </c>
      <c r="I85" s="388">
        <f>IF(H85,Wh_hp,'2024'!Maxi_hp)</f>
        <v>43.401527185164618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4.2149583871338936E-2</v>
      </c>
      <c r="M85" s="832"/>
      <c r="N85" s="832"/>
      <c r="O85" s="48">
        <f>IF(t&lt;Tnet,'2024'!Resal+('2024'!Salim-'2024'!Resal)*(1-EXP(('2024'!Tnet-t)/('2024'!Tau_j))),Resal+(Salim-Resal)*(1-EXP((Tnet-t)/(Tau_j))))*Salcycl</f>
        <v>5.941507304423136E-2</v>
      </c>
      <c r="P85" s="169">
        <f>(INDEX(Models!$BJ85:$BT85,,T85)*(1-R85)+INDEX(Models!$BJ85:$BT85,,T85+1)*R85-ERP_i)*Q85*Ramure*Pc/MaxiM</f>
        <v>1.3763216009811947E-3</v>
      </c>
      <c r="Q85" s="304">
        <f t="shared" si="28"/>
        <v>0.6</v>
      </c>
      <c r="R85" s="177">
        <f t="shared" si="29"/>
        <v>0.51051634304375515</v>
      </c>
      <c r="S85" s="799">
        <f t="shared" si="30"/>
        <v>1</v>
      </c>
      <c r="T85" s="176">
        <f t="shared" si="31"/>
        <v>7</v>
      </c>
      <c r="U85" s="250">
        <f t="shared" si="32"/>
        <v>1.5105163430437551</v>
      </c>
      <c r="V85" s="382">
        <f t="shared" si="33"/>
        <v>43.646253415697039</v>
      </c>
      <c r="W85" s="400">
        <f t="shared" si="34"/>
        <v>15.720016900336967</v>
      </c>
      <c r="X85" s="157">
        <f t="shared" si="35"/>
        <v>45728</v>
      </c>
      <c r="Y85" s="383">
        <f t="shared" si="36"/>
        <v>15.48592365527024</v>
      </c>
      <c r="Z85" s="383">
        <f t="shared" si="37"/>
        <v>16.167371642285875</v>
      </c>
      <c r="AA85" s="384">
        <f t="shared" si="38"/>
        <v>17.448468009467806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7.3421710518470129E-2</v>
      </c>
      <c r="AD85" s="230">
        <f>(INDEX(Models!$BJ85:$BT85,,AH85)*(1-AF85)+INDEX(Models!$BJ85:$BT85,,AH85+1)*AF85-ERP_i)*AE85*Ramure*Pc/MaxiM</f>
        <v>1.3763216009811947E-3</v>
      </c>
      <c r="AE85" s="304">
        <f t="shared" si="40"/>
        <v>0.6</v>
      </c>
      <c r="AF85" s="177">
        <f t="shared" si="41"/>
        <v>0.51051634304375515</v>
      </c>
      <c r="AG85" s="799">
        <f t="shared" si="49"/>
        <v>1</v>
      </c>
      <c r="AH85" s="176">
        <f t="shared" si="42"/>
        <v>7</v>
      </c>
      <c r="AI85" s="224">
        <f t="shared" si="43"/>
        <v>1.5105163430437551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'2024'!Wh/'2024'!Env_an*'2025'!Env_an</f>
        <v>8.8151961190665968</v>
      </c>
      <c r="C86" s="829"/>
      <c r="D86" s="391">
        <f t="shared" si="25"/>
        <v>9.2032794631503592</v>
      </c>
      <c r="E86" s="383">
        <f t="shared" si="47"/>
        <v>9.7851901314482337</v>
      </c>
      <c r="F86" s="383">
        <f t="shared" si="26"/>
        <v>9.7851901314482337</v>
      </c>
      <c r="G86" s="110">
        <f t="shared" si="48"/>
        <v>0.20009268099554103</v>
      </c>
      <c r="H86" s="412" t="b">
        <f>Wh_hp&gt;='2024'!Maxi_hp</f>
        <v>0</v>
      </c>
      <c r="I86" s="388">
        <f>IF(H86,Wh_hp,'2024'!Maxi_hp)</f>
        <v>43.4645843753053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4.2167940856043251E-2</v>
      </c>
      <c r="M86" s="832"/>
      <c r="N86" s="832"/>
      <c r="O86" s="48">
        <f>IF(t&lt;Tnet,'2024'!Resal+('2024'!Salim-'2024'!Resal)*(1-EXP(('2024'!Tnet-t)/('2024'!Tau_j))),Resal+(Salim-Resal)*(1-EXP((Tnet-t)/(Tau_j))))*Salcycl</f>
        <v>5.946850909188732E-2</v>
      </c>
      <c r="P86" s="169">
        <f>(INDEX(Models!$BJ86:$BT86,,T86)*(1-R86)+INDEX(Models!$BJ86:$BT86,,T86+1)*R86-ERP_i)*Q86*Ramure*Pc/MaxiM</f>
        <v>1.3192454529713923E-3</v>
      </c>
      <c r="Q86" s="304">
        <f t="shared" si="28"/>
        <v>0.6</v>
      </c>
      <c r="R86" s="177">
        <f t="shared" si="29"/>
        <v>0.51101121629060087</v>
      </c>
      <c r="S86" s="799">
        <f t="shared" si="30"/>
        <v>1</v>
      </c>
      <c r="T86" s="176">
        <f t="shared" si="31"/>
        <v>7</v>
      </c>
      <c r="U86" s="250">
        <f t="shared" si="32"/>
        <v>1.5110112162906009</v>
      </c>
      <c r="V86" s="382">
        <f t="shared" si="33"/>
        <v>43.997444923363545</v>
      </c>
      <c r="W86" s="400">
        <f t="shared" si="34"/>
        <v>8.8151961190665968</v>
      </c>
      <c r="X86" s="157">
        <f t="shared" si="35"/>
        <v>45729</v>
      </c>
      <c r="Y86" s="383">
        <f t="shared" si="36"/>
        <v>8.6840495955561661</v>
      </c>
      <c r="Z86" s="383">
        <f t="shared" si="37"/>
        <v>9.0663592982232828</v>
      </c>
      <c r="AA86" s="384">
        <f t="shared" si="38"/>
        <v>9.7851901314482337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7.3461100251361308E-2</v>
      </c>
      <c r="AD86" s="230">
        <f>(INDEX(Models!$BJ86:$BT86,,AH86)*(1-AF86)+INDEX(Models!$BJ86:$BT86,,AH86+1)*AF86-ERP_i)*AE86*Ramure*Pc/MaxiM</f>
        <v>1.3192454529713923E-3</v>
      </c>
      <c r="AE86" s="304">
        <f t="shared" si="40"/>
        <v>0.6</v>
      </c>
      <c r="AF86" s="177">
        <f t="shared" si="41"/>
        <v>0.51101121629060087</v>
      </c>
      <c r="AG86" s="799">
        <f t="shared" si="49"/>
        <v>1</v>
      </c>
      <c r="AH86" s="176">
        <f t="shared" si="42"/>
        <v>7</v>
      </c>
      <c r="AI86" s="224">
        <f t="shared" si="43"/>
        <v>1.5110112162906009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'2024'!Wh/'2024'!Env_an*'2025'!Env_an</f>
        <v>14.203844131893305</v>
      </c>
      <c r="C87" s="829"/>
      <c r="D87" s="391">
        <f t="shared" si="25"/>
        <v>14.829443444644491</v>
      </c>
      <c r="E87" s="383">
        <f t="shared" si="47"/>
        <v>15.767986271726111</v>
      </c>
      <c r="F87" s="383">
        <f t="shared" si="26"/>
        <v>15.768564545346049</v>
      </c>
      <c r="G87" s="110">
        <f t="shared" si="48"/>
        <v>0.3198930751170258</v>
      </c>
      <c r="H87" s="412" t="b">
        <f>Wh_hp&gt;='2024'!Maxi_hp</f>
        <v>0</v>
      </c>
      <c r="I87" s="388">
        <f>IF(H87,Wh_hp,'2024'!Maxi_hp)</f>
        <v>41.9627960937136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4.2186297488940205E-2</v>
      </c>
      <c r="M87" s="832"/>
      <c r="N87" s="832"/>
      <c r="O87" s="48">
        <f>IF(t&lt;Tnet,'2024'!Resal+('2024'!Salim-'2024'!Resal)*(1-EXP(('2024'!Tnet-t)/('2024'!Tau_j))),Resal+(Salim-Resal)*(1-EXP((Tnet-t)/(Tau_j))))*Salcycl</f>
        <v>5.9522047451584827E-2</v>
      </c>
      <c r="P87" s="169">
        <f>(INDEX(Models!$BJ87:$BT87,,T87)*(1-R87)+INDEX(Models!$BJ87:$BT87,,T87+1)*R87-ERP_i)*Q87*Ramure*Pc/MaxiM</f>
        <v>1.2654040715318587E-3</v>
      </c>
      <c r="Q87" s="304">
        <f t="shared" si="28"/>
        <v>0.6</v>
      </c>
      <c r="R87" s="177">
        <f t="shared" si="29"/>
        <v>0.51152578552363859</v>
      </c>
      <c r="S87" s="799">
        <f t="shared" si="30"/>
        <v>1</v>
      </c>
      <c r="T87" s="176">
        <f t="shared" si="31"/>
        <v>7</v>
      </c>
      <c r="U87" s="250">
        <f t="shared" si="32"/>
        <v>1.5115257855236386</v>
      </c>
      <c r="V87" s="382">
        <f t="shared" si="33"/>
        <v>44.347289405268334</v>
      </c>
      <c r="W87" s="400">
        <f t="shared" si="34"/>
        <v>14.203844131893305</v>
      </c>
      <c r="X87" s="157">
        <f t="shared" si="35"/>
        <v>45730</v>
      </c>
      <c r="Y87" s="383">
        <f t="shared" si="36"/>
        <v>13.992728302253969</v>
      </c>
      <c r="Z87" s="383">
        <f t="shared" si="37"/>
        <v>14.609029152088578</v>
      </c>
      <c r="AA87" s="384">
        <f t="shared" si="38"/>
        <v>15.767986271726111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7.3500642356321796E-2</v>
      </c>
      <c r="AD87" s="230">
        <f>(INDEX(Models!$BJ87:$BT87,,AH87)*(1-AF87)+INDEX(Models!$BJ87:$BT87,,AH87+1)*AF87-ERP_i)*AE87*Ramure*Pc/MaxiM</f>
        <v>1.2654040715318587E-3</v>
      </c>
      <c r="AE87" s="304">
        <f t="shared" si="40"/>
        <v>0.6</v>
      </c>
      <c r="AF87" s="177">
        <f t="shared" si="41"/>
        <v>0.51152578552363859</v>
      </c>
      <c r="AG87" s="799">
        <f t="shared" si="49"/>
        <v>1</v>
      </c>
      <c r="AH87" s="176">
        <f t="shared" si="42"/>
        <v>7</v>
      </c>
      <c r="AI87" s="224">
        <f t="shared" si="43"/>
        <v>1.5115257855236386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'2024'!Wh/'2024'!Env_an*'2025'!Env_an</f>
        <v>13.520231631730862</v>
      </c>
      <c r="C88" s="829"/>
      <c r="D88" s="391">
        <f t="shared" si="25"/>
        <v>14.115992194938789</v>
      </c>
      <c r="E88" s="383">
        <f t="shared" si="47"/>
        <v>15.010237732338595</v>
      </c>
      <c r="F88" s="383">
        <f t="shared" si="26"/>
        <v>15.010302797380339</v>
      </c>
      <c r="G88" s="110">
        <f t="shared" si="48"/>
        <v>0.30213175035117668</v>
      </c>
      <c r="H88" s="412" t="b">
        <f>Wh_hp&gt;='2024'!Maxi_hp</f>
        <v>0</v>
      </c>
      <c r="I88" s="388">
        <f>IF(H88,Wh_hp,'2024'!Maxi_hp)</f>
        <v>33.906662518762403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4.2204653770036349E-2</v>
      </c>
      <c r="M88" s="832"/>
      <c r="N88" s="832"/>
      <c r="O88" s="48">
        <f>IF(t&lt;Tnet,'2024'!Resal+('2024'!Salim-'2024'!Resal)*(1-EXP(('2024'!Tnet-t)/('2024'!Tau_j))),Resal+(Salim-Resal)*(1-EXP((Tnet-t)/(Tau_j))))*Salcycl</f>
        <v>5.957570781661984E-2</v>
      </c>
      <c r="P88" s="169">
        <f>(INDEX(Models!$BJ88:$BT88,,T88)*(1-R88)+INDEX(Models!$BJ88:$BT88,,T88+1)*R88-ERP_i)*Q88*Ramure*Pc/MaxiM</f>
        <v>1.2147361989174304E-3</v>
      </c>
      <c r="Q88" s="304">
        <f t="shared" si="28"/>
        <v>0.6</v>
      </c>
      <c r="R88" s="177">
        <f t="shared" si="29"/>
        <v>0.51206078945527023</v>
      </c>
      <c r="S88" s="799">
        <f t="shared" si="30"/>
        <v>1</v>
      </c>
      <c r="T88" s="176">
        <f t="shared" si="31"/>
        <v>7</v>
      </c>
      <c r="U88" s="250">
        <f t="shared" si="32"/>
        <v>1.5120607894552702</v>
      </c>
      <c r="V88" s="382">
        <f t="shared" si="33"/>
        <v>44.695291495709782</v>
      </c>
      <c r="W88" s="400">
        <f t="shared" si="34"/>
        <v>13.520231631730862</v>
      </c>
      <c r="X88" s="157">
        <f t="shared" si="35"/>
        <v>45731</v>
      </c>
      <c r="Y88" s="383">
        <f t="shared" si="36"/>
        <v>13.319465503000576</v>
      </c>
      <c r="Z88" s="383">
        <f t="shared" si="37"/>
        <v>13.906379432128306</v>
      </c>
      <c r="AA88" s="384">
        <f t="shared" si="38"/>
        <v>15.010237732338595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7.3540360911945934E-2</v>
      </c>
      <c r="AD88" s="230">
        <f>(INDEX(Models!$BJ88:$BT88,,AH88)*(1-AF88)+INDEX(Models!$BJ88:$BT88,,AH88+1)*AF88-ERP_i)*AE88*Ramure*Pc/MaxiM</f>
        <v>1.2147361989174304E-3</v>
      </c>
      <c r="AE88" s="304">
        <f t="shared" si="40"/>
        <v>0.6</v>
      </c>
      <c r="AF88" s="177">
        <f t="shared" si="41"/>
        <v>0.51206078945527023</v>
      </c>
      <c r="AG88" s="799">
        <f t="shared" si="49"/>
        <v>1</v>
      </c>
      <c r="AH88" s="176">
        <f t="shared" si="42"/>
        <v>7</v>
      </c>
      <c r="AI88" s="224">
        <f t="shared" si="43"/>
        <v>1.5120607894552702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'2024'!Wh/'2024'!Env_an*'2025'!Env_an</f>
        <v>13.493827365793569</v>
      </c>
      <c r="C89" s="829"/>
      <c r="D89" s="391">
        <f t="shared" si="25"/>
        <v>14.088694448127892</v>
      </c>
      <c r="E89" s="383">
        <f t="shared" si="47"/>
        <v>14.982067820611453</v>
      </c>
      <c r="F89" s="383">
        <f t="shared" si="26"/>
        <v>14.982067820611453</v>
      </c>
      <c r="G89" s="110">
        <f t="shared" si="48"/>
        <v>0.29924048801001585</v>
      </c>
      <c r="H89" s="412" t="b">
        <f>Wh_hp&gt;='2024'!Maxi_hp</f>
        <v>0</v>
      </c>
      <c r="I89" s="388">
        <f>IF(H89,Wh_hp,'2024'!Maxi_hp)</f>
        <v>50.695816320188271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4.2223009699338676E-2</v>
      </c>
      <c r="M89" s="832"/>
      <c r="N89" s="832"/>
      <c r="O89" s="48">
        <f>IF(t&lt;Tnet,'2024'!Resal+('2024'!Salim-'2024'!Resal)*(1-EXP(('2024'!Tnet-t)/('2024'!Tau_j))),Resal+(Salim-Resal)*(1-EXP((Tnet-t)/(Tau_j))))*Salcycl</f>
        <v>5.9629510637677831E-2</v>
      </c>
      <c r="P89" s="169">
        <f>(INDEX(Models!$BJ89:$BT89,,T89)*(1-R89)+INDEX(Models!$BJ89:$BT89,,T89+1)*R89-ERP_i)*Q89*Ramure*Pc/MaxiM</f>
        <v>1.1671809825572195E-3</v>
      </c>
      <c r="Q89" s="304">
        <f t="shared" si="28"/>
        <v>0.6</v>
      </c>
      <c r="R89" s="177">
        <f t="shared" si="29"/>
        <v>0.51261699074804201</v>
      </c>
      <c r="S89" s="799">
        <f t="shared" si="30"/>
        <v>1</v>
      </c>
      <c r="T89" s="176">
        <f t="shared" si="31"/>
        <v>7</v>
      </c>
      <c r="U89" s="250">
        <f t="shared" si="32"/>
        <v>1.512616990748042</v>
      </c>
      <c r="V89" s="382">
        <f t="shared" si="33"/>
        <v>45.040955910549044</v>
      </c>
      <c r="W89" s="400">
        <f t="shared" si="34"/>
        <v>13.493827365793569</v>
      </c>
      <c r="X89" s="157">
        <f t="shared" si="35"/>
        <v>45732</v>
      </c>
      <c r="Y89" s="383">
        <f t="shared" si="36"/>
        <v>13.293641069394848</v>
      </c>
      <c r="Z89" s="383">
        <f t="shared" si="37"/>
        <v>13.879683061943014</v>
      </c>
      <c r="AA89" s="384">
        <f t="shared" si="38"/>
        <v>14.982067820611453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7.3580280897663691E-2</v>
      </c>
      <c r="AD89" s="230">
        <f>(INDEX(Models!$BJ89:$BT89,,AH89)*(1-AF89)+INDEX(Models!$BJ89:$BT89,,AH89+1)*AF89-ERP_i)*AE89*Ramure*Pc/MaxiM</f>
        <v>1.1671809825572195E-3</v>
      </c>
      <c r="AE89" s="304">
        <f t="shared" si="40"/>
        <v>0.6</v>
      </c>
      <c r="AF89" s="177">
        <f t="shared" si="41"/>
        <v>0.51261699074804201</v>
      </c>
      <c r="AG89" s="799">
        <f t="shared" si="49"/>
        <v>1</v>
      </c>
      <c r="AH89" s="176">
        <f t="shared" si="42"/>
        <v>7</v>
      </c>
      <c r="AI89" s="224">
        <f t="shared" si="43"/>
        <v>1.512616990748042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'2024'!Wh/'2024'!Env_an*'2025'!Env_an</f>
        <v>11.333049302138669</v>
      </c>
      <c r="C90" s="829"/>
      <c r="D90" s="391">
        <f t="shared" si="25"/>
        <v>11.83288658672824</v>
      </c>
      <c r="E90" s="383">
        <f t="shared" si="47"/>
        <v>12.583939873437476</v>
      </c>
      <c r="F90" s="383">
        <f t="shared" si="26"/>
        <v>12.583939873437476</v>
      </c>
      <c r="G90" s="110">
        <f t="shared" si="48"/>
        <v>0.24943546074660244</v>
      </c>
      <c r="H90" s="412" t="b">
        <f>Wh_hp&gt;='2024'!Maxi_hp</f>
        <v>0</v>
      </c>
      <c r="I90" s="388">
        <f>IF(H90,Wh_hp,'2024'!Maxi_hp)</f>
        <v>27.308423529990701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4.2241365276853737E-2</v>
      </c>
      <c r="M90" s="832"/>
      <c r="N90" s="832"/>
      <c r="O90" s="48">
        <f>IF(t&lt;Tnet,'2024'!Resal+('2024'!Salim-'2024'!Resal)*(1-EXP(('2024'!Tnet-t)/('2024'!Tau_j))),Resal+(Salim-Resal)*(1-EXP((Tnet-t)/(Tau_j))))*Salcycl</f>
        <v>5.9683477055908339E-2</v>
      </c>
      <c r="P90" s="169">
        <f>(INDEX(Models!$BJ90:$BT90,,T90)*(1-R90)+INDEX(Models!$BJ90:$BT90,,T90+1)*R90-ERP_i)*Q90*Ramure*Pc/MaxiM</f>
        <v>1.1226783511480262E-3</v>
      </c>
      <c r="Q90" s="304">
        <f t="shared" si="28"/>
        <v>0.6</v>
      </c>
      <c r="R90" s="177">
        <f t="shared" si="29"/>
        <v>0.5131951764738063</v>
      </c>
      <c r="S90" s="799">
        <f t="shared" si="30"/>
        <v>1</v>
      </c>
      <c r="T90" s="176">
        <f t="shared" si="31"/>
        <v>7</v>
      </c>
      <c r="U90" s="250">
        <f t="shared" si="32"/>
        <v>1.5131951764738063</v>
      </c>
      <c r="V90" s="382">
        <f t="shared" si="33"/>
        <v>45.383787450072333</v>
      </c>
      <c r="W90" s="400">
        <f t="shared" si="34"/>
        <v>11.333049302138669</v>
      </c>
      <c r="X90" s="157">
        <f t="shared" si="35"/>
        <v>45733</v>
      </c>
      <c r="Y90" s="383">
        <f t="shared" si="36"/>
        <v>11.16507591279519</v>
      </c>
      <c r="Z90" s="383">
        <f t="shared" si="37"/>
        <v>11.657504832647751</v>
      </c>
      <c r="AA90" s="384">
        <f t="shared" si="38"/>
        <v>12.583939873437476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7.3620428109742453E-2</v>
      </c>
      <c r="AD90" s="230">
        <f>(INDEX(Models!$BJ90:$BT90,,AH90)*(1-AF90)+INDEX(Models!$BJ90:$BT90,,AH90+1)*AF90-ERP_i)*AE90*Ramure*Pc/MaxiM</f>
        <v>1.1226783511480262E-3</v>
      </c>
      <c r="AE90" s="304">
        <f t="shared" si="40"/>
        <v>0.6</v>
      </c>
      <c r="AF90" s="177">
        <f t="shared" si="41"/>
        <v>0.5131951764738063</v>
      </c>
      <c r="AG90" s="799">
        <f t="shared" si="49"/>
        <v>1</v>
      </c>
      <c r="AH90" s="176">
        <f t="shared" si="42"/>
        <v>7</v>
      </c>
      <c r="AI90" s="224">
        <f t="shared" si="43"/>
        <v>1.5131951764738063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'2024'!Wh/'2024'!Env_an*'2025'!Env_an</f>
        <v>14.651435539122673</v>
      </c>
      <c r="C91" s="829"/>
      <c r="D91" s="391">
        <f t="shared" si="25"/>
        <v>15.297921422717263</v>
      </c>
      <c r="E91" s="383">
        <f t="shared" si="47"/>
        <v>16.269843281875939</v>
      </c>
      <c r="F91" s="383">
        <f t="shared" si="26"/>
        <v>16.270356864760913</v>
      </c>
      <c r="G91" s="110">
        <f t="shared" si="48"/>
        <v>0.32010068682199849</v>
      </c>
      <c r="H91" s="412" t="b">
        <f>Wh_hp&gt;='2024'!Maxi_hp</f>
        <v>0</v>
      </c>
      <c r="I91" s="388">
        <f>IF(H91,Wh_hp,'2024'!Maxi_hp)</f>
        <v>34.112652515484889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4.2259720502588305E-2</v>
      </c>
      <c r="M91" s="832"/>
      <c r="N91" s="832"/>
      <c r="O91" s="48">
        <f>IF(t&lt;Tnet,'2024'!Resal+('2024'!Salim-'2024'!Resal)*(1-EXP(('2024'!Tnet-t)/('2024'!Tau_j))),Resal+(Salim-Resal)*(1-EXP((Tnet-t)/(Tau_j))))*Salcycl</f>
        <v>5.9737628833915417E-2</v>
      </c>
      <c r="P91" s="169">
        <f>(INDEX(Models!$BJ91:$BT91,,T91)*(1-R91)+INDEX(Models!$BJ91:$BT91,,T91+1)*R91-ERP_i)*Q91*Ramure*Pc/MaxiM</f>
        <v>1.0811693737128715E-3</v>
      </c>
      <c r="Q91" s="304">
        <f t="shared" si="28"/>
        <v>0.6</v>
      </c>
      <c r="R91" s="177">
        <f t="shared" si="29"/>
        <v>0.51379615855243177</v>
      </c>
      <c r="S91" s="799">
        <f t="shared" si="30"/>
        <v>1</v>
      </c>
      <c r="T91" s="176">
        <f t="shared" si="31"/>
        <v>7</v>
      </c>
      <c r="U91" s="250">
        <f t="shared" si="32"/>
        <v>1.5137961585524318</v>
      </c>
      <c r="V91" s="382">
        <f t="shared" si="33"/>
        <v>45.723290994278919</v>
      </c>
      <c r="W91" s="400">
        <f t="shared" si="34"/>
        <v>14.651435539122673</v>
      </c>
      <c r="X91" s="157">
        <f t="shared" si="35"/>
        <v>45734</v>
      </c>
      <c r="Y91" s="383">
        <f t="shared" si="36"/>
        <v>14.434480275267731</v>
      </c>
      <c r="Z91" s="383">
        <f t="shared" si="37"/>
        <v>15.071393136814123</v>
      </c>
      <c r="AA91" s="384">
        <f t="shared" si="38"/>
        <v>16.269843281875939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7.3660829074908729E-2</v>
      </c>
      <c r="AD91" s="230">
        <f>(INDEX(Models!$BJ91:$BT91,,AH91)*(1-AF91)+INDEX(Models!$BJ91:$BT91,,AH91+1)*AF91-ERP_i)*AE91*Ramure*Pc/MaxiM</f>
        <v>1.0811693737128715E-3</v>
      </c>
      <c r="AE91" s="304">
        <f t="shared" si="40"/>
        <v>0.6</v>
      </c>
      <c r="AF91" s="177">
        <f t="shared" si="41"/>
        <v>0.51379615855243177</v>
      </c>
      <c r="AG91" s="799">
        <f t="shared" si="49"/>
        <v>1</v>
      </c>
      <c r="AH91" s="176">
        <f t="shared" si="42"/>
        <v>7</v>
      </c>
      <c r="AI91" s="224">
        <f t="shared" si="43"/>
        <v>1.5137961585524318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'2024'!Wh/'2024'!Env_an*'2025'!Env_an</f>
        <v>27.99330833125568</v>
      </c>
      <c r="C92" s="829"/>
      <c r="D92" s="391">
        <f t="shared" si="25"/>
        <v>29.229056588906907</v>
      </c>
      <c r="E92" s="383">
        <f t="shared" si="47"/>
        <v>31.087861648401258</v>
      </c>
      <c r="F92" s="383">
        <f t="shared" si="26"/>
        <v>31.102118905257019</v>
      </c>
      <c r="G92" s="110">
        <f t="shared" si="48"/>
        <v>0.60741580550513719</v>
      </c>
      <c r="H92" s="412" t="b">
        <f>Wh_hp&gt;='2024'!Maxi_hp</f>
        <v>0</v>
      </c>
      <c r="I92" s="388">
        <f>IF(H92,Wh_hp,'2024'!Maxi_hp)</f>
        <v>46.811989092410982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4.2278075376549151E-2</v>
      </c>
      <c r="M92" s="832"/>
      <c r="N92" s="832"/>
      <c r="O92" s="48">
        <f>IF(t&lt;Tnet,'2024'!Resal+('2024'!Salim-'2024'!Resal)*(1-EXP(('2024'!Tnet-t)/('2024'!Tau_j))),Resal+(Salim-Resal)*(1-EXP((Tnet-t)/(Tau_j))))*Salcycl</f>
        <v>5.9791988285239329E-2</v>
      </c>
      <c r="P92" s="169">
        <f>(INDEX(Models!$BJ92:$BT92,,T92)*(1-R92)+INDEX(Models!$BJ92:$BT92,,T92+1)*R92-ERP_i)*Q92*Ramure*Pc/MaxiM</f>
        <v>1.0425966022523281E-3</v>
      </c>
      <c r="Q92" s="304">
        <f t="shared" si="28"/>
        <v>0.6</v>
      </c>
      <c r="R92" s="177">
        <f t="shared" si="29"/>
        <v>0.51442077416663823</v>
      </c>
      <c r="S92" s="799">
        <f t="shared" si="30"/>
        <v>1</v>
      </c>
      <c r="T92" s="176">
        <f t="shared" si="31"/>
        <v>7</v>
      </c>
      <c r="U92" s="250">
        <f t="shared" si="32"/>
        <v>1.5144207741666382</v>
      </c>
      <c r="V92" s="382">
        <f t="shared" si="33"/>
        <v>46.058971503782288</v>
      </c>
      <c r="W92" s="400">
        <f t="shared" si="34"/>
        <v>27.99330833125568</v>
      </c>
      <c r="X92" s="157">
        <f t="shared" si="35"/>
        <v>45735</v>
      </c>
      <c r="Y92" s="383">
        <f t="shared" si="36"/>
        <v>27.579172786580312</v>
      </c>
      <c r="Z92" s="383">
        <f t="shared" si="37"/>
        <v>28.796639272327049</v>
      </c>
      <c r="AA92" s="384">
        <f t="shared" si="38"/>
        <v>31.087861648401258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7.3701510962303207E-2</v>
      </c>
      <c r="AD92" s="230">
        <f>(INDEX(Models!$BJ92:$BT92,,AH92)*(1-AF92)+INDEX(Models!$BJ92:$BT92,,AH92+1)*AF92-ERP_i)*AE92*Ramure*Pc/MaxiM</f>
        <v>1.0425966022523281E-3</v>
      </c>
      <c r="AE92" s="304">
        <f t="shared" si="40"/>
        <v>0.6</v>
      </c>
      <c r="AF92" s="177">
        <f t="shared" si="41"/>
        <v>0.51442077416663823</v>
      </c>
      <c r="AG92" s="799">
        <f t="shared" si="49"/>
        <v>1</v>
      </c>
      <c r="AH92" s="176">
        <f t="shared" si="42"/>
        <v>7</v>
      </c>
      <c r="AI92" s="224">
        <f t="shared" si="43"/>
        <v>1.5144207741666382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'2024'!Wh/'2024'!Env_an*'2025'!Env_an</f>
        <v>31.084078530053507</v>
      </c>
      <c r="C93" s="829"/>
      <c r="D93" s="391">
        <f t="shared" si="25"/>
        <v>32.456889063039647</v>
      </c>
      <c r="E93" s="383">
        <f t="shared" si="47"/>
        <v>34.522970730668554</v>
      </c>
      <c r="F93" s="383">
        <f t="shared" si="26"/>
        <v>34.541353814691441</v>
      </c>
      <c r="G93" s="110">
        <f t="shared" si="48"/>
        <v>0.66969430434793431</v>
      </c>
      <c r="H93" s="412" t="b">
        <f>Wh_hp&gt;='2024'!Maxi_hp</f>
        <v>0</v>
      </c>
      <c r="I93" s="388">
        <f>IF(H93,Wh_hp,'2024'!Maxi_hp)</f>
        <v>50.974512464979433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4.229642989874316E-2</v>
      </c>
      <c r="M93" s="832"/>
      <c r="N93" s="832"/>
      <c r="O93" s="48">
        <f>IF(t&lt;Tnet,'2024'!Resal+('2024'!Salim-'2024'!Resal)*(1-EXP(('2024'!Tnet-t)/('2024'!Tau_j))),Resal+(Salim-Resal)*(1-EXP((Tnet-t)/(Tau_j))))*Salcycl</f>
        <v>5.9846578202886261E-2</v>
      </c>
      <c r="P93" s="169">
        <f>(INDEX(Models!$BJ93:$BT93,,T93)*(1-R93)+INDEX(Models!$BJ93:$BT93,,T93+1)*R93-ERP_i)*Q93*Ramure*Pc/MaxiM</f>
        <v>1.0068405035577857E-3</v>
      </c>
      <c r="Q93" s="304">
        <f t="shared" si="28"/>
        <v>0.6</v>
      </c>
      <c r="R93" s="177">
        <f t="shared" si="29"/>
        <v>0.51506988614925975</v>
      </c>
      <c r="S93" s="799">
        <f t="shared" si="30"/>
        <v>1</v>
      </c>
      <c r="T93" s="176">
        <f t="shared" si="31"/>
        <v>7</v>
      </c>
      <c r="U93" s="250">
        <f t="shared" si="32"/>
        <v>1.5150698861492597</v>
      </c>
      <c r="V93" s="382">
        <f t="shared" si="33"/>
        <v>46.39328252828556</v>
      </c>
      <c r="W93" s="400">
        <f t="shared" si="34"/>
        <v>31.084078530053507</v>
      </c>
      <c r="X93" s="157">
        <f t="shared" si="35"/>
        <v>45736</v>
      </c>
      <c r="Y93" s="383">
        <f t="shared" si="36"/>
        <v>30.624640782098332</v>
      </c>
      <c r="Z93" s="383">
        <f t="shared" si="37"/>
        <v>31.977160509969099</v>
      </c>
      <c r="AA93" s="384">
        <f t="shared" si="38"/>
        <v>34.522970730668554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7.3742501494457935E-2</v>
      </c>
      <c r="AD93" s="230">
        <f>(INDEX(Models!$BJ93:$BT93,,AH93)*(1-AF93)+INDEX(Models!$BJ93:$BT93,,AH93+1)*AF93-ERP_i)*AE93*Ramure*Pc/MaxiM</f>
        <v>1.0068405035577857E-3</v>
      </c>
      <c r="AE93" s="304">
        <f t="shared" si="40"/>
        <v>0.6</v>
      </c>
      <c r="AF93" s="177">
        <f t="shared" si="41"/>
        <v>0.51506988614925975</v>
      </c>
      <c r="AG93" s="799">
        <f t="shared" si="49"/>
        <v>1</v>
      </c>
      <c r="AH93" s="176">
        <f t="shared" si="42"/>
        <v>7</v>
      </c>
      <c r="AI93" s="224">
        <f t="shared" si="43"/>
        <v>1.5150698861492597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'2024'!Wh/'2024'!Env_an*'2025'!Env_an</f>
        <v>44.002589255480409</v>
      </c>
      <c r="C94" s="829"/>
      <c r="D94" s="391">
        <f t="shared" si="25"/>
        <v>45.946818979253052</v>
      </c>
      <c r="E94" s="383">
        <f t="shared" si="47"/>
        <v>48.874469171746846</v>
      </c>
      <c r="F94" s="383">
        <f t="shared" si="26"/>
        <v>48.918151878910685</v>
      </c>
      <c r="G94" s="110">
        <f t="shared" si="48"/>
        <v>0.94158916565407358</v>
      </c>
      <c r="H94" s="412" t="b">
        <f>Wh_hp&gt;='2024'!Maxi_hp</f>
        <v>0</v>
      </c>
      <c r="I94" s="388">
        <f>IF(H94,Wh_hp,'2024'!Maxi_hp)</f>
        <v>52.150714918937091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4.231478406917677E-2</v>
      </c>
      <c r="M94" s="832"/>
      <c r="N94" s="832"/>
      <c r="O94" s="48">
        <f>IF(t&lt;Tnet,'2024'!Resal+('2024'!Salim-'2024'!Resal)*(1-EXP(('2024'!Tnet-t)/('2024'!Tau_j))),Resal+(Salim-Resal)*(1-EXP((Tnet-t)/(Tau_j))))*Salcycl</f>
        <v>5.9901421787434905E-2</v>
      </c>
      <c r="P94" s="169">
        <f>(INDEX(Models!$BJ94:$BT94,,T94)*(1-R94)+INDEX(Models!$BJ94:$BT94,,T94+1)*R94-ERP_i)*Q94*Ramure*Pc/MaxiM</f>
        <v>9.7415650119812706E-4</v>
      </c>
      <c r="Q94" s="304">
        <f t="shared" si="28"/>
        <v>0.6</v>
      </c>
      <c r="R94" s="177">
        <f t="shared" si="29"/>
        <v>0.51574438333896011</v>
      </c>
      <c r="S94" s="799">
        <f t="shared" si="30"/>
        <v>1</v>
      </c>
      <c r="T94" s="176">
        <f t="shared" si="31"/>
        <v>7</v>
      </c>
      <c r="U94" s="250">
        <f t="shared" si="32"/>
        <v>1.5157443833389601</v>
      </c>
      <c r="V94" s="382">
        <f t="shared" si="33"/>
        <v>46.728462359034289</v>
      </c>
      <c r="W94" s="400">
        <f t="shared" si="34"/>
        <v>44.002589255480409</v>
      </c>
      <c r="X94" s="157">
        <f t="shared" si="35"/>
        <v>45737</v>
      </c>
      <c r="Y94" s="383">
        <f t="shared" si="36"/>
        <v>43.352804360195663</v>
      </c>
      <c r="Z94" s="383">
        <f t="shared" si="37"/>
        <v>45.268323702855596</v>
      </c>
      <c r="AA94" s="384">
        <f t="shared" si="38"/>
        <v>48.874469171746846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7.378382885794843E-2</v>
      </c>
      <c r="AD94" s="230">
        <f>(INDEX(Models!$BJ94:$BT94,,AH94)*(1-AF94)+INDEX(Models!$BJ94:$BT94,,AH94+1)*AF94-ERP_i)*AE94*Ramure*Pc/MaxiM</f>
        <v>9.7415650119812706E-4</v>
      </c>
      <c r="AE94" s="304">
        <f t="shared" si="40"/>
        <v>0.6</v>
      </c>
      <c r="AF94" s="177">
        <f t="shared" si="41"/>
        <v>0.51574438333896011</v>
      </c>
      <c r="AG94" s="799">
        <f t="shared" si="49"/>
        <v>1</v>
      </c>
      <c r="AH94" s="176">
        <f t="shared" si="42"/>
        <v>7</v>
      </c>
      <c r="AI94" s="224">
        <f t="shared" si="43"/>
        <v>1.5157443833389601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'2024'!Wh/'2024'!Env_an*'2025'!Env_an</f>
        <v>41.777226204984544</v>
      </c>
      <c r="C95" s="829"/>
      <c r="D95" s="391">
        <f t="shared" si="25"/>
        <v>43.623965553997024</v>
      </c>
      <c r="E95" s="383">
        <f t="shared" si="47"/>
        <v>46.406328568578523</v>
      </c>
      <c r="F95" s="383">
        <f t="shared" si="26"/>
        <v>46.443081090184577</v>
      </c>
      <c r="G95" s="110">
        <f t="shared" si="48"/>
        <v>0.88753766129117106</v>
      </c>
      <c r="H95" s="412" t="b">
        <f>Wh_hp&gt;='2024'!Maxi_hp</f>
        <v>0</v>
      </c>
      <c r="I95" s="388">
        <f>IF(H95,Wh_hp,'2024'!Maxi_hp)</f>
        <v>50.892769880316351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4.2333137887856975E-2</v>
      </c>
      <c r="M95" s="832"/>
      <c r="N95" s="832"/>
      <c r="O95" s="48">
        <f>IF(t&lt;Tnet,'2024'!Resal+('2024'!Salim-'2024'!Resal)*(1-EXP(('2024'!Tnet-t)/('2024'!Tau_j))),Resal+(Salim-Resal)*(1-EXP((Tnet-t)/(Tau_j))))*Salcycl</f>
        <v>5.9956542575217278E-2</v>
      </c>
      <c r="P95" s="169">
        <f>(INDEX(Models!$BJ95:$BT95,,T95)*(1-R95)+INDEX(Models!$BJ95:$BT95,,T95+1)*R95-ERP_i)*Q95*Ramure*Pc/MaxiM</f>
        <v>9.426036841630993E-4</v>
      </c>
      <c r="Q95" s="304">
        <f t="shared" si="28"/>
        <v>0.6</v>
      </c>
      <c r="R95" s="177">
        <f t="shared" si="29"/>
        <v>0.51644518090013469</v>
      </c>
      <c r="S95" s="799">
        <f t="shared" si="30"/>
        <v>1</v>
      </c>
      <c r="T95" s="176">
        <f t="shared" si="31"/>
        <v>7</v>
      </c>
      <c r="U95" s="250">
        <f t="shared" si="32"/>
        <v>1.5164451809001347</v>
      </c>
      <c r="V95" s="382">
        <f t="shared" si="33"/>
        <v>47.063807963702494</v>
      </c>
      <c r="W95" s="400">
        <f t="shared" si="34"/>
        <v>41.777226204984544</v>
      </c>
      <c r="X95" s="157">
        <f t="shared" si="35"/>
        <v>45738</v>
      </c>
      <c r="Y95" s="383">
        <f t="shared" si="36"/>
        <v>41.160863769851431</v>
      </c>
      <c r="Z95" s="383">
        <f t="shared" si="37"/>
        <v>42.98035715579713</v>
      </c>
      <c r="AA95" s="384">
        <f t="shared" si="38"/>
        <v>46.406328568578523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7.3825521614332201E-2</v>
      </c>
      <c r="AD95" s="230">
        <f>(INDEX(Models!$BJ95:$BT95,,AH95)*(1-AF95)+INDEX(Models!$BJ95:$BT95,,AH95+1)*AF95-ERP_i)*AE95*Ramure*Pc/MaxiM</f>
        <v>9.426036841630993E-4</v>
      </c>
      <c r="AE95" s="304">
        <f t="shared" si="40"/>
        <v>0.6</v>
      </c>
      <c r="AF95" s="177">
        <f t="shared" si="41"/>
        <v>0.51644518090013469</v>
      </c>
      <c r="AG95" s="799">
        <f t="shared" si="49"/>
        <v>1</v>
      </c>
      <c r="AH95" s="176">
        <f t="shared" si="42"/>
        <v>7</v>
      </c>
      <c r="AI95" s="224">
        <f t="shared" si="43"/>
        <v>1.5164451809001347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'2024'!Wh/'2024'!Env_an*'2025'!Env_an</f>
        <v>47.619967190578699</v>
      </c>
      <c r="C96" s="829"/>
      <c r="D96" s="391">
        <f t="shared" si="25"/>
        <v>49.725934683432982</v>
      </c>
      <c r="E96" s="383">
        <f t="shared" si="47"/>
        <v>52.900603835822864</v>
      </c>
      <c r="F96" s="383">
        <f t="shared" si="26"/>
        <v>52.948902458584236</v>
      </c>
      <c r="G96" s="110">
        <f t="shared" si="48"/>
        <v>1.0046718730909368</v>
      </c>
      <c r="H96" s="412" t="b">
        <f>Wh_hp&gt;='2024'!Maxi_hp</f>
        <v>0</v>
      </c>
      <c r="I96" s="388">
        <f>IF(H96,Wh_hp,'2024'!Maxi_hp)</f>
        <v>53.286062169656844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4.2351491354790438E-2</v>
      </c>
      <c r="M96" s="832"/>
      <c r="N96" s="832"/>
      <c r="O96" s="48">
        <f>IF(t&lt;Tnet,'2024'!Resal+('2024'!Salim-'2024'!Resal)*(1-EXP(('2024'!Tnet-t)/('2024'!Tau_j))),Resal+(Salim-Resal)*(1-EXP((Tnet-t)/(Tau_j))))*Salcycl</f>
        <v>6.0011964367032031E-2</v>
      </c>
      <c r="P96" s="169">
        <f>(INDEX(Models!$BJ96:$BT96,,T96)*(1-R96)+INDEX(Models!$BJ96:$BT96,,T96+1)*R96-ERP_i)*Q96*Ramure*Pc/MaxiM</f>
        <v>9.121742003840534E-4</v>
      </c>
      <c r="Q96" s="304">
        <f t="shared" si="28"/>
        <v>0.6</v>
      </c>
      <c r="R96" s="177">
        <f t="shared" si="29"/>
        <v>0.51717322060242932</v>
      </c>
      <c r="S96" s="799">
        <f t="shared" si="30"/>
        <v>1</v>
      </c>
      <c r="T96" s="176">
        <f t="shared" si="31"/>
        <v>7</v>
      </c>
      <c r="U96" s="250">
        <f t="shared" si="32"/>
        <v>1.5171732206024293</v>
      </c>
      <c r="V96" s="382">
        <f t="shared" si="33"/>
        <v>47.398527286399336</v>
      </c>
      <c r="W96" s="400">
        <f t="shared" si="34"/>
        <v>47.619967190578699</v>
      </c>
      <c r="X96" s="157">
        <f t="shared" si="35"/>
        <v>45739</v>
      </c>
      <c r="Y96" s="383">
        <f t="shared" si="36"/>
        <v>46.918037698569421</v>
      </c>
      <c r="Z96" s="383">
        <f t="shared" si="37"/>
        <v>48.99296273634323</v>
      </c>
      <c r="AA96" s="384">
        <f t="shared" si="38"/>
        <v>52.900603835822864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7.386760861193585E-2</v>
      </c>
      <c r="AD96" s="230">
        <f>(INDEX(Models!$BJ96:$BT96,,AH96)*(1-AF96)+INDEX(Models!$BJ96:$BT96,,AH96+1)*AF96-ERP_i)*AE96*Ramure*Pc/MaxiM</f>
        <v>9.121742003840534E-4</v>
      </c>
      <c r="AE96" s="304">
        <f t="shared" si="40"/>
        <v>0.6</v>
      </c>
      <c r="AF96" s="177">
        <f t="shared" si="41"/>
        <v>0.51717322060242932</v>
      </c>
      <c r="AG96" s="799">
        <f t="shared" si="49"/>
        <v>1</v>
      </c>
      <c r="AH96" s="176">
        <f t="shared" si="42"/>
        <v>7</v>
      </c>
      <c r="AI96" s="224">
        <f t="shared" si="43"/>
        <v>1.5171732206024293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'2024'!Wh/'2024'!Env_an*'2025'!Env_an</f>
        <v>46.838840702506417</v>
      </c>
      <c r="C97" s="829"/>
      <c r="D97" s="391">
        <f t="shared" si="25"/>
        <v>48.911200667634255</v>
      </c>
      <c r="E97" s="383">
        <f t="shared" si="47"/>
        <v>52.036940584180726</v>
      </c>
      <c r="F97" s="383">
        <f t="shared" si="26"/>
        <v>52.081692436269826</v>
      </c>
      <c r="G97" s="110">
        <f t="shared" si="48"/>
        <v>0.9812683915153132</v>
      </c>
      <c r="H97" s="412" t="b">
        <f>Wh_hp&gt;='2024'!Maxi_hp</f>
        <v>0</v>
      </c>
      <c r="I97" s="388">
        <f>IF(H97,Wh_hp,'2024'!Maxi_hp)</f>
        <v>52.432685420203406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4.2369844469983931E-2</v>
      </c>
      <c r="M97" s="832"/>
      <c r="N97" s="832"/>
      <c r="O97" s="48">
        <f>IF(t&lt;Tnet,'2024'!Resal+('2024'!Salim-'2024'!Resal)*(1-EXP(('2024'!Tnet-t)/('2024'!Tau_j))),Resal+(Salim-Resal)*(1-EXP((Tnet-t)/(Tau_j))))*Salcycl</f>
        <v>6.0067711157805834E-2</v>
      </c>
      <c r="P97" s="169">
        <f>(INDEX(Models!$BJ97:$BT97,,T97)*(1-R97)+INDEX(Models!$BJ97:$BT97,,T97+1)*R97-ERP_i)*Q97*Ramure*Pc/MaxiM</f>
        <v>8.828581951838652E-4</v>
      </c>
      <c r="Q97" s="304">
        <f t="shared" si="28"/>
        <v>0.6</v>
      </c>
      <c r="R97" s="177">
        <f t="shared" si="29"/>
        <v>0.5179294710549891</v>
      </c>
      <c r="S97" s="799">
        <f t="shared" si="30"/>
        <v>1</v>
      </c>
      <c r="T97" s="176">
        <f t="shared" si="31"/>
        <v>7</v>
      </c>
      <c r="U97" s="250">
        <f t="shared" si="32"/>
        <v>1.5179294710549891</v>
      </c>
      <c r="V97" s="382">
        <f t="shared" si="33"/>
        <v>47.731828486657861</v>
      </c>
      <c r="W97" s="400">
        <f t="shared" si="34"/>
        <v>46.838840702506417</v>
      </c>
      <c r="X97" s="157">
        <f t="shared" si="35"/>
        <v>45740</v>
      </c>
      <c r="Y97" s="383">
        <f t="shared" si="36"/>
        <v>46.149043853493481</v>
      </c>
      <c r="Z97" s="383">
        <f t="shared" si="37"/>
        <v>48.190884118463813</v>
      </c>
      <c r="AA97" s="384">
        <f t="shared" si="38"/>
        <v>52.036940584180726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7.3910118898998442E-2</v>
      </c>
      <c r="AD97" s="230">
        <f>(INDEX(Models!$BJ97:$BT97,,AH97)*(1-AF97)+INDEX(Models!$BJ97:$BT97,,AH97+1)*AF97-ERP_i)*AE97*Ramure*Pc/MaxiM</f>
        <v>8.828581951838652E-4</v>
      </c>
      <c r="AE97" s="304">
        <f t="shared" si="40"/>
        <v>0.6</v>
      </c>
      <c r="AF97" s="177">
        <f t="shared" si="41"/>
        <v>0.5179294710549891</v>
      </c>
      <c r="AG97" s="799">
        <f t="shared" si="49"/>
        <v>1</v>
      </c>
      <c r="AH97" s="176">
        <f t="shared" si="42"/>
        <v>7</v>
      </c>
      <c r="AI97" s="224">
        <f t="shared" si="43"/>
        <v>1.5179294710549891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'2024'!Wh/'2024'!Env_an*'2025'!Env_an</f>
        <v>41.683408231598825</v>
      </c>
      <c r="C98" s="829"/>
      <c r="D98" s="391">
        <f t="shared" si="25"/>
        <v>43.528503002129661</v>
      </c>
      <c r="E98" s="383">
        <f t="shared" si="47"/>
        <v>46.31301795858878</v>
      </c>
      <c r="F98" s="383">
        <f t="shared" si="26"/>
        <v>46.345116043737256</v>
      </c>
      <c r="G98" s="110">
        <f t="shared" si="48"/>
        <v>0.86712685289744118</v>
      </c>
      <c r="H98" s="412" t="b">
        <f>Wh_hp&gt;='2024'!Maxi_hp</f>
        <v>0</v>
      </c>
      <c r="I98" s="388">
        <f>IF(H98,Wh_hp,'2024'!Maxi_hp)</f>
        <v>46.350209045253081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4.2388197233444114E-2</v>
      </c>
      <c r="M98" s="832"/>
      <c r="N98" s="832"/>
      <c r="O98" s="48">
        <f>IF(t&lt;Tnet,'2024'!Resal+('2024'!Salim-'2024'!Resal)*(1-EXP(('2024'!Tnet-t)/('2024'!Tau_j))),Resal+(Salim-Resal)*(1-EXP((Tnet-t)/(Tau_j))))*Salcycl</f>
        <v>6.0123807067570444E-2</v>
      </c>
      <c r="P98" s="169">
        <f>(INDEX(Models!$BJ98:$BT98,,T98)*(1-R98)+INDEX(Models!$BJ98:$BT98,,T98+1)*R98-ERP_i)*Q98*Ramure*Pc/MaxiM</f>
        <v>8.5464408523247516E-4</v>
      </c>
      <c r="Q98" s="304">
        <f t="shared" si="28"/>
        <v>0.6</v>
      </c>
      <c r="R98" s="177">
        <f t="shared" si="29"/>
        <v>0.51871492789023632</v>
      </c>
      <c r="S98" s="799">
        <f t="shared" si="30"/>
        <v>1</v>
      </c>
      <c r="T98" s="176">
        <f t="shared" si="31"/>
        <v>7</v>
      </c>
      <c r="U98" s="250">
        <f t="shared" si="32"/>
        <v>1.5187149278902363</v>
      </c>
      <c r="V98" s="382">
        <f t="shared" si="33"/>
        <v>48.062919944409295</v>
      </c>
      <c r="W98" s="400">
        <f t="shared" si="34"/>
        <v>41.683408231598825</v>
      </c>
      <c r="X98" s="157">
        <f t="shared" si="35"/>
        <v>45741</v>
      </c>
      <c r="Y98" s="383">
        <f t="shared" si="36"/>
        <v>41.070081389375751</v>
      </c>
      <c r="Z98" s="383">
        <f t="shared" si="37"/>
        <v>42.888027560566428</v>
      </c>
      <c r="AA98" s="384">
        <f t="shared" si="38"/>
        <v>46.31301795858878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7.3953081638619078E-2</v>
      </c>
      <c r="AD98" s="230">
        <f>(INDEX(Models!$BJ98:$BT98,,AH98)*(1-AF98)+INDEX(Models!$BJ98:$BT98,,AH98+1)*AF98-ERP_i)*AE98*Ramure*Pc/MaxiM</f>
        <v>8.5464408523247516E-4</v>
      </c>
      <c r="AE98" s="304">
        <f t="shared" si="40"/>
        <v>0.6</v>
      </c>
      <c r="AF98" s="177">
        <f t="shared" si="41"/>
        <v>0.51871492789023632</v>
      </c>
      <c r="AG98" s="799">
        <f t="shared" si="49"/>
        <v>1</v>
      </c>
      <c r="AH98" s="176">
        <f t="shared" si="42"/>
        <v>7</v>
      </c>
      <c r="AI98" s="224">
        <f t="shared" si="43"/>
        <v>1.5187149278902363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'2024'!Wh/'2024'!Env_an*'2025'!Env_an</f>
        <v>46.143393542287434</v>
      </c>
      <c r="C99" s="829"/>
      <c r="D99" s="391">
        <f t="shared" si="25"/>
        <v>48.186830773737725</v>
      </c>
      <c r="E99" s="383">
        <f t="shared" si="47"/>
        <v>51.272419121723075</v>
      </c>
      <c r="F99" s="383">
        <f t="shared" si="26"/>
        <v>51.312063365576094</v>
      </c>
      <c r="G99" s="110">
        <f t="shared" si="48"/>
        <v>0.95350061257687058</v>
      </c>
      <c r="H99" s="412" t="b">
        <f>Wh_hp&gt;='2024'!Maxi_hp</f>
        <v>0</v>
      </c>
      <c r="I99" s="388">
        <f>IF(H99,Wh_hp,'2024'!Maxi_hp)</f>
        <v>54.664172365947202</v>
      </c>
      <c r="J99" s="85">
        <f>IF(H99,An,'2024'!An_max)</f>
        <v>2018</v>
      </c>
      <c r="K99" s="197">
        <f t="shared" si="27"/>
        <v>45742</v>
      </c>
      <c r="L99" s="147">
        <f>IF(t&lt;Tvie,1-EXP((T0-t)*PertePVj)+'2024'!Pspv,1-EXP((T0-t)*PertePVj)+Pspv)</f>
        <v>4.240654964517776E-2</v>
      </c>
      <c r="M99" s="832"/>
      <c r="N99" s="832"/>
      <c r="O99" s="48">
        <f>IF(t&lt;Tnet,'2024'!Resal+('2024'!Salim-'2024'!Resal)*(1-EXP(('2024'!Tnet-t)/('2024'!Tau_j))),Resal+(Salim-Resal)*(1-EXP((Tnet-t)/(Tau_j))))*Salcycl</f>
        <v>6.0180276274072853E-2</v>
      </c>
      <c r="P99" s="169">
        <f>(INDEX(Models!$BJ99:$BT99,,T99)*(1-R99)+INDEX(Models!$BJ99:$BT99,,T99+1)*R99-ERP_i)*Q99*Ramure*Pc/MaxiM</f>
        <v>8.2751882104041422E-4</v>
      </c>
      <c r="Q99" s="304">
        <f t="shared" si="28"/>
        <v>0.6</v>
      </c>
      <c r="R99" s="177">
        <f t="shared" si="29"/>
        <v>0.51953061389164001</v>
      </c>
      <c r="S99" s="799">
        <f t="shared" si="30"/>
        <v>1</v>
      </c>
      <c r="T99" s="176">
        <f t="shared" si="31"/>
        <v>7</v>
      </c>
      <c r="U99" s="250">
        <f t="shared" si="32"/>
        <v>1.51953061389164</v>
      </c>
      <c r="V99" s="382">
        <f t="shared" si="33"/>
        <v>48.391010265539549</v>
      </c>
      <c r="W99" s="400">
        <f t="shared" si="34"/>
        <v>46.143393542287434</v>
      </c>
      <c r="X99" s="157">
        <f t="shared" si="35"/>
        <v>45742</v>
      </c>
      <c r="Y99" s="383">
        <f t="shared" si="36"/>
        <v>45.465041478075321</v>
      </c>
      <c r="Z99" s="383">
        <f t="shared" si="37"/>
        <v>47.478438225772031</v>
      </c>
      <c r="AA99" s="384">
        <f t="shared" si="38"/>
        <v>51.272419121723075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7.3996526025892365E-2</v>
      </c>
      <c r="AD99" s="230">
        <f>(INDEX(Models!$BJ99:$BT99,,AH99)*(1-AF99)+INDEX(Models!$BJ99:$BT99,,AH99+1)*AF99-ERP_i)*AE99*Ramure*Pc/MaxiM</f>
        <v>8.2751882104041422E-4</v>
      </c>
      <c r="AE99" s="304">
        <f t="shared" si="40"/>
        <v>0.6</v>
      </c>
      <c r="AF99" s="177">
        <f t="shared" si="41"/>
        <v>0.51953061389164001</v>
      </c>
      <c r="AG99" s="799">
        <f t="shared" si="49"/>
        <v>1</v>
      </c>
      <c r="AH99" s="176">
        <f t="shared" si="42"/>
        <v>7</v>
      </c>
      <c r="AI99" s="224">
        <f t="shared" si="43"/>
        <v>1.51953061389164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'2024'!Wh/'2024'!Env_an*'2025'!Env_an</f>
        <v>44.61223897645899</v>
      </c>
      <c r="C100" s="829"/>
      <c r="D100" s="391">
        <f t="shared" si="25"/>
        <v>46.588762652560369</v>
      </c>
      <c r="E100" s="383">
        <f t="shared" si="47"/>
        <v>49.575020232946748</v>
      </c>
      <c r="F100" s="383">
        <f t="shared" si="26"/>
        <v>49.61001136688126</v>
      </c>
      <c r="G100" s="110">
        <f t="shared" si="48"/>
        <v>0.9156864302947707</v>
      </c>
      <c r="H100" s="412" t="b">
        <f>Wh_hp&gt;='2024'!Maxi_hp</f>
        <v>0</v>
      </c>
      <c r="I100" s="388">
        <f>IF(H100,Wh_hp,'2024'!Maxi_hp)</f>
        <v>53.82661692337178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4.2424901705191642E-2</v>
      </c>
      <c r="M100" s="832"/>
      <c r="N100" s="832"/>
      <c r="O100" s="48">
        <f>IF(t&lt;Tnet,'2024'!Resal+('2024'!Salim-'2024'!Resal)*(1-EXP(('2024'!Tnet-t)/('2024'!Tau_j))),Resal+(Salim-Resal)*(1-EXP((Tnet-t)/(Tau_j))))*Salcycl</f>
        <v>6.0237142947281289E-2</v>
      </c>
      <c r="P100" s="169">
        <f>(INDEX(Models!$BJ100:$BT100,,T100)*(1-R100)+INDEX(Models!$BJ100:$BT100,,T100+1)*R100-ERP_i)*Q100*Ramure*Pc/MaxiM</f>
        <v>8.0179766928095274E-4</v>
      </c>
      <c r="Q100" s="304">
        <f t="shared" si="28"/>
        <v>0.6</v>
      </c>
      <c r="R100" s="177">
        <f t="shared" si="29"/>
        <v>0.52037757905960458</v>
      </c>
      <c r="S100" s="799">
        <f t="shared" si="30"/>
        <v>1</v>
      </c>
      <c r="T100" s="176">
        <f t="shared" si="31"/>
        <v>7</v>
      </c>
      <c r="U100" s="250">
        <f t="shared" si="32"/>
        <v>1.5203775790596046</v>
      </c>
      <c r="V100" s="382">
        <f t="shared" si="33"/>
        <v>48.71529222068758</v>
      </c>
      <c r="W100" s="400">
        <f t="shared" si="34"/>
        <v>44.61223897645899</v>
      </c>
      <c r="X100" s="157">
        <f t="shared" si="35"/>
        <v>45743</v>
      </c>
      <c r="Y100" s="383">
        <f t="shared" si="36"/>
        <v>43.956969595978023</v>
      </c>
      <c r="Z100" s="383">
        <f t="shared" si="37"/>
        <v>45.904461879025391</v>
      </c>
      <c r="AA100" s="384">
        <f t="shared" si="38"/>
        <v>49.575020232946748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7.4040481207548997E-2</v>
      </c>
      <c r="AD100" s="230">
        <f>(INDEX(Models!$BJ100:$BT100,,AH100)*(1-AF100)+INDEX(Models!$BJ100:$BT100,,AH100+1)*AF100-ERP_i)*AE100*Ramure*Pc/MaxiM</f>
        <v>8.0179766928095274E-4</v>
      </c>
      <c r="AE100" s="304">
        <f t="shared" si="40"/>
        <v>0.6</v>
      </c>
      <c r="AF100" s="177">
        <f t="shared" si="41"/>
        <v>0.52037757905960458</v>
      </c>
      <c r="AG100" s="799">
        <f t="shared" si="49"/>
        <v>1</v>
      </c>
      <c r="AH100" s="176">
        <f t="shared" si="42"/>
        <v>7</v>
      </c>
      <c r="AI100" s="224">
        <f t="shared" si="43"/>
        <v>1.5203775790596046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'2024'!Wh/'2024'!Env_an*'2025'!Env_an</f>
        <v>14.366000171018852</v>
      </c>
      <c r="C101" s="829"/>
      <c r="D101" s="391">
        <f t="shared" si="25"/>
        <v>15.002766386671791</v>
      </c>
      <c r="E101" s="383">
        <f t="shared" si="47"/>
        <v>15.96539052716977</v>
      </c>
      <c r="F101" s="383">
        <f t="shared" si="26"/>
        <v>15.96539052716977</v>
      </c>
      <c r="G101" s="110">
        <f t="shared" si="48"/>
        <v>0.29274678388394132</v>
      </c>
      <c r="H101" s="412" t="b">
        <f>Wh_hp&gt;='2024'!Maxi_hp</f>
        <v>0</v>
      </c>
      <c r="I101" s="388">
        <f>IF(H101,Wh_hp,'2024'!Maxi_hp)</f>
        <v>53.283033319082513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4.2443253413492532E-2</v>
      </c>
      <c r="M101" s="832"/>
      <c r="N101" s="832"/>
      <c r="O101" s="48">
        <f>IF(t&lt;Tnet,'2024'!Resal+('2024'!Salim-'2024'!Resal)*(1-EXP(('2024'!Tnet-t)/('2024'!Tau_j))),Resal+(Salim-Resal)*(1-EXP((Tnet-t)/(Tau_j))))*Salcycl</f>
        <v>6.0294431185995298E-2</v>
      </c>
      <c r="P101" s="169">
        <f>(INDEX(Models!$BJ101:$BT101,,T101)*(1-R101)+INDEX(Models!$BJ101:$BT101,,T101+1)*R101-ERP_i)*Q101*Ramure*Pc/MaxiM</f>
        <v>7.7719244838865011E-4</v>
      </c>
      <c r="Q101" s="304">
        <f t="shared" si="28"/>
        <v>0.6</v>
      </c>
      <c r="R101" s="177">
        <f t="shared" si="29"/>
        <v>0.52125690060926888</v>
      </c>
      <c r="S101" s="799">
        <f t="shared" si="30"/>
        <v>1</v>
      </c>
      <c r="T101" s="176">
        <f t="shared" si="31"/>
        <v>7</v>
      </c>
      <c r="U101" s="250">
        <f t="shared" si="32"/>
        <v>1.5212569006092689</v>
      </c>
      <c r="V101" s="382">
        <f t="shared" si="33"/>
        <v>49.03498796373907</v>
      </c>
      <c r="W101" s="400">
        <f t="shared" si="34"/>
        <v>14.366000171018852</v>
      </c>
      <c r="X101" s="157">
        <f t="shared" si="35"/>
        <v>45744</v>
      </c>
      <c r="Y101" s="383">
        <f t="shared" si="36"/>
        <v>14.155173526304853</v>
      </c>
      <c r="Z101" s="383">
        <f t="shared" si="37"/>
        <v>14.782594949871253</v>
      </c>
      <c r="AA101" s="384">
        <f t="shared" si="38"/>
        <v>15.96539052716977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7.4084976204349437E-2</v>
      </c>
      <c r="AD101" s="230">
        <f>(INDEX(Models!$BJ101:$BT101,,AH101)*(1-AF101)+INDEX(Models!$BJ101:$BT101,,AH101+1)*AF101-ERP_i)*AE101*Ramure*Pc/MaxiM</f>
        <v>7.7719244838865011E-4</v>
      </c>
      <c r="AE101" s="304">
        <f t="shared" si="40"/>
        <v>0.6</v>
      </c>
      <c r="AF101" s="177">
        <f t="shared" si="41"/>
        <v>0.52125690060926888</v>
      </c>
      <c r="AG101" s="799">
        <f t="shared" si="49"/>
        <v>1</v>
      </c>
      <c r="AH101" s="176">
        <f t="shared" si="42"/>
        <v>7</v>
      </c>
      <c r="AI101" s="224">
        <f t="shared" si="43"/>
        <v>1.5212569006092689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'2024'!Wh/'2024'!Env_an*'2025'!Env_an</f>
        <v>27.573058756279494</v>
      </c>
      <c r="C102" s="829"/>
      <c r="D102" s="391">
        <f t="shared" si="25"/>
        <v>28.795773510114934</v>
      </c>
      <c r="E102" s="383">
        <f t="shared" si="47"/>
        <v>30.645282664636085</v>
      </c>
      <c r="F102" s="383">
        <f t="shared" si="26"/>
        <v>30.653822084335143</v>
      </c>
      <c r="G102" s="110">
        <f t="shared" si="48"/>
        <v>0.55846690960447953</v>
      </c>
      <c r="H102" s="412" t="b">
        <f>Wh_hp&gt;='2024'!Maxi_hp</f>
        <v>0</v>
      </c>
      <c r="I102" s="388">
        <f>IF(H102,Wh_hp,'2024'!Maxi_hp)</f>
        <v>55.473113479022246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4.246160477008698E-2</v>
      </c>
      <c r="M102" s="832"/>
      <c r="N102" s="832"/>
      <c r="O102" s="48">
        <f>IF(t&lt;Tnet,'2024'!Resal+('2024'!Salim-'2024'!Resal)*(1-EXP(('2024'!Tnet-t)/('2024'!Tau_j))),Resal+(Salim-Resal)*(1-EXP((Tnet-t)/(Tau_j))))*Salcycl</f>
        <v>6.0352164956710974E-2</v>
      </c>
      <c r="P102" s="169">
        <f>(INDEX(Models!$BJ102:$BT102,,T102)*(1-R102)+INDEX(Models!$BJ102:$BT102,,T102+1)*R102-ERP_i)*Q102*Ramure*Pc/MaxiM</f>
        <v>7.5368674379526805E-4</v>
      </c>
      <c r="Q102" s="304">
        <f t="shared" si="28"/>
        <v>0.6</v>
      </c>
      <c r="R102" s="177">
        <f t="shared" si="29"/>
        <v>0.52216968289365528</v>
      </c>
      <c r="S102" s="799">
        <f t="shared" si="30"/>
        <v>1</v>
      </c>
      <c r="T102" s="176">
        <f t="shared" si="31"/>
        <v>7</v>
      </c>
      <c r="U102" s="250">
        <f t="shared" si="32"/>
        <v>1.5221696828936553</v>
      </c>
      <c r="V102" s="382">
        <f t="shared" si="33"/>
        <v>49.349306782404859</v>
      </c>
      <c r="W102" s="400">
        <f t="shared" si="34"/>
        <v>27.573058756279494</v>
      </c>
      <c r="X102" s="157">
        <f t="shared" si="35"/>
        <v>45745</v>
      </c>
      <c r="Y102" s="383">
        <f t="shared" si="36"/>
        <v>27.16876031655919</v>
      </c>
      <c r="Z102" s="383">
        <f t="shared" si="37"/>
        <v>28.373546639908618</v>
      </c>
      <c r="AA102" s="384">
        <f t="shared" si="38"/>
        <v>30.645282664636085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7.4130039836408299E-2</v>
      </c>
      <c r="AD102" s="230">
        <f>(INDEX(Models!$BJ102:$BT102,,AH102)*(1-AF102)+INDEX(Models!$BJ102:$BT102,,AH102+1)*AF102-ERP_i)*AE102*Ramure*Pc/MaxiM</f>
        <v>7.5368674379526805E-4</v>
      </c>
      <c r="AE102" s="304">
        <f t="shared" si="40"/>
        <v>0.6</v>
      </c>
      <c r="AF102" s="177">
        <f t="shared" si="41"/>
        <v>0.52216968289365528</v>
      </c>
      <c r="AG102" s="799">
        <f t="shared" si="49"/>
        <v>1</v>
      </c>
      <c r="AH102" s="176">
        <f t="shared" si="42"/>
        <v>7</v>
      </c>
      <c r="AI102" s="224">
        <f t="shared" si="43"/>
        <v>1.5221696828936553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'2024'!Wh/'2024'!Env_an*'2025'!Env_an</f>
        <v>7.7313266407802308</v>
      </c>
      <c r="C103" s="829"/>
      <c r="D103" s="391">
        <f t="shared" si="25"/>
        <v>8.0743235480127069</v>
      </c>
      <c r="E103" s="383">
        <f t="shared" si="47"/>
        <v>8.5934574768829179</v>
      </c>
      <c r="F103" s="383">
        <f t="shared" si="26"/>
        <v>8.5934574768829179</v>
      </c>
      <c r="G103" s="110">
        <f t="shared" si="48"/>
        <v>0.15557930832035097</v>
      </c>
      <c r="H103" s="412" t="b">
        <f>Wh_hp&gt;='2024'!Maxi_hp</f>
        <v>0</v>
      </c>
      <c r="I103" s="388">
        <f>IF(H103,Wh_hp,'2024'!Maxi_hp)</f>
        <v>54.228775027955102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4.2479955774981981E-2</v>
      </c>
      <c r="M103" s="832"/>
      <c r="N103" s="832"/>
      <c r="O103" s="48">
        <f>IF(t&lt;Tnet,'2024'!Resal+('2024'!Salim-'2024'!Resal)*(1-EXP(('2024'!Tnet-t)/('2024'!Tau_j))),Resal+(Salim-Resal)*(1-EXP((Tnet-t)/(Tau_j))))*Salcycl</f>
        <v>6.0410368034835966E-2</v>
      </c>
      <c r="P103" s="169">
        <f>(INDEX(Models!$BJ103:$BT103,,T103)*(1-R103)+INDEX(Models!$BJ103:$BT103,,T103+1)*R103-ERP_i)*Q103*Ramure*Pc/MaxiM</f>
        <v>7.312637464803966E-4</v>
      </c>
      <c r="Q103" s="304">
        <f t="shared" si="28"/>
        <v>0.6</v>
      </c>
      <c r="R103" s="177">
        <f t="shared" si="29"/>
        <v>0.52311705724527346</v>
      </c>
      <c r="S103" s="799">
        <f t="shared" si="30"/>
        <v>1</v>
      </c>
      <c r="T103" s="176">
        <f t="shared" si="31"/>
        <v>7</v>
      </c>
      <c r="U103" s="250">
        <f t="shared" si="32"/>
        <v>1.5231170572452735</v>
      </c>
      <c r="V103" s="382">
        <f t="shared" si="33"/>
        <v>49.657458214095008</v>
      </c>
      <c r="W103" s="400">
        <f t="shared" si="34"/>
        <v>7.7313266407802308</v>
      </c>
      <c r="X103" s="157">
        <f t="shared" si="35"/>
        <v>45746</v>
      </c>
      <c r="Y103" s="383">
        <f t="shared" si="36"/>
        <v>7.6180598707369382</v>
      </c>
      <c r="Z103" s="383">
        <f t="shared" si="37"/>
        <v>7.9560317475157607</v>
      </c>
      <c r="AA103" s="384">
        <f t="shared" si="38"/>
        <v>8.5934574768829179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7.4175700651557638E-2</v>
      </c>
      <c r="AD103" s="230">
        <f>(INDEX(Models!$BJ103:$BT103,,AH103)*(1-AF103)+INDEX(Models!$BJ103:$BT103,,AH103+1)*AF103-ERP_i)*AE103*Ramure*Pc/MaxiM</f>
        <v>7.312637464803966E-4</v>
      </c>
      <c r="AE103" s="304">
        <f t="shared" si="40"/>
        <v>0.6</v>
      </c>
      <c r="AF103" s="177">
        <f t="shared" si="41"/>
        <v>0.52311705724527346</v>
      </c>
      <c r="AG103" s="799">
        <f t="shared" si="49"/>
        <v>1</v>
      </c>
      <c r="AH103" s="176">
        <f t="shared" si="42"/>
        <v>7</v>
      </c>
      <c r="AI103" s="224">
        <f t="shared" si="43"/>
        <v>1.5231170572452735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'2024'!Wh/'2024'!Env_an*'2025'!Env_an</f>
        <v>27.538694168795917</v>
      </c>
      <c r="C104" s="829"/>
      <c r="D104" s="391">
        <f t="shared" si="25"/>
        <v>28.760987425585604</v>
      </c>
      <c r="E104" s="383">
        <f t="shared" si="47"/>
        <v>30.612070685453975</v>
      </c>
      <c r="F104" s="383">
        <f t="shared" si="26"/>
        <v>30.619872174292908</v>
      </c>
      <c r="G104" s="110">
        <f t="shared" si="48"/>
        <v>0.55097878748419038</v>
      </c>
      <c r="H104" s="412" t="b">
        <f>Wh_hp&gt;='2024'!Maxi_hp</f>
        <v>0</v>
      </c>
      <c r="I104" s="388">
        <f>IF(H104,Wh_hp,'2024'!Maxi_hp)</f>
        <v>49.948595361830613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4.2498306428184085E-2</v>
      </c>
      <c r="M104" s="832"/>
      <c r="N104" s="832"/>
      <c r="O104" s="48">
        <f>IF(t&lt;Tnet,'2024'!Resal+('2024'!Salim-'2024'!Resal)*(1-EXP(('2024'!Tnet-t)/('2024'!Tau_j))),Resal+(Salim-Resal)*(1-EXP((Tnet-t)/(Tau_j))))*Salcycl</f>
        <v>6.0469063948292628E-2</v>
      </c>
      <c r="P104" s="169">
        <f>(INDEX(Models!$BJ104:$BT104,,T104)*(1-R104)+INDEX(Models!$BJ104:$BT104,,T104+1)*R104-ERP_i)*Q104*Ramure*Pc/MaxiM</f>
        <v>7.0990646352757554E-4</v>
      </c>
      <c r="Q104" s="304">
        <f t="shared" si="28"/>
        <v>0.6</v>
      </c>
      <c r="R104" s="177">
        <f t="shared" si="29"/>
        <v>0.52410018172893791</v>
      </c>
      <c r="S104" s="799">
        <f t="shared" si="30"/>
        <v>1</v>
      </c>
      <c r="T104" s="176">
        <f t="shared" si="31"/>
        <v>7</v>
      </c>
      <c r="U104" s="250">
        <f t="shared" si="32"/>
        <v>1.5241001817289379</v>
      </c>
      <c r="V104" s="382">
        <f t="shared" si="33"/>
        <v>49.95865204497629</v>
      </c>
      <c r="W104" s="400">
        <f t="shared" si="34"/>
        <v>27.538694168795917</v>
      </c>
      <c r="X104" s="157">
        <f t="shared" si="35"/>
        <v>45747</v>
      </c>
      <c r="Y104" s="383">
        <f t="shared" si="36"/>
        <v>27.135580739135282</v>
      </c>
      <c r="Z104" s="383">
        <f t="shared" si="37"/>
        <v>28.339981977379157</v>
      </c>
      <c r="AA104" s="384">
        <f t="shared" si="38"/>
        <v>30.612070685453975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7.4221986856787561E-2</v>
      </c>
      <c r="AD104" s="230">
        <f>(INDEX(Models!$BJ104:$BT104,,AH104)*(1-AF104)+INDEX(Models!$BJ104:$BT104,,AH104+1)*AF104-ERP_i)*AE104*Ramure*Pc/MaxiM</f>
        <v>7.0990646352757554E-4</v>
      </c>
      <c r="AE104" s="304">
        <f t="shared" si="40"/>
        <v>0.6</v>
      </c>
      <c r="AF104" s="177">
        <f t="shared" si="41"/>
        <v>0.52410018172893791</v>
      </c>
      <c r="AG104" s="799">
        <f t="shared" si="49"/>
        <v>1</v>
      </c>
      <c r="AH104" s="176">
        <f t="shared" si="42"/>
        <v>7</v>
      </c>
      <c r="AI104" s="224">
        <f t="shared" si="43"/>
        <v>1.5241001817289379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'2024'!Wh/'2024'!Env_an*'2025'!Env_an</f>
        <v>32.248598202468798</v>
      </c>
      <c r="C105" s="829"/>
      <c r="D105" s="391">
        <f t="shared" si="25"/>
        <v>33.680584032222626</v>
      </c>
      <c r="E105" s="383">
        <f t="shared" si="47"/>
        <v>35.85055640214226</v>
      </c>
      <c r="F105" s="383">
        <f t="shared" si="26"/>
        <v>35.862629847260109</v>
      </c>
      <c r="G105" s="110">
        <f t="shared" si="48"/>
        <v>0.64150978031438388</v>
      </c>
      <c r="H105" s="412" t="b">
        <f>Wh_hp&gt;='2024'!Maxi_hp</f>
        <v>0</v>
      </c>
      <c r="I105" s="388">
        <f>IF(H105,Wh_hp,'2024'!Maxi_hp)</f>
        <v>50.703405728850484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4.2516656729700175E-2</v>
      </c>
      <c r="M105" s="832"/>
      <c r="N105" s="832"/>
      <c r="O105" s="48">
        <f>IF(t&lt;Tnet,'2024'!Resal+('2024'!Salim-'2024'!Resal)*(1-EXP(('2024'!Tnet-t)/('2024'!Tau_j))),Resal+(Salim-Resal)*(1-EXP((Tnet-t)/(Tau_j))))*Salcycl</f>
        <v>6.0528275923493545E-2</v>
      </c>
      <c r="P105" s="169">
        <f>(INDEX(Models!$BJ105:$BT105,,T105)*(1-R105)+INDEX(Models!$BJ105:$BT105,,T105+1)*R105-ERP_i)*Q105*Ramure*Pc/MaxiM</f>
        <v>6.8959791690500235E-4</v>
      </c>
      <c r="Q105" s="304">
        <f t="shared" si="28"/>
        <v>0.6</v>
      </c>
      <c r="R105" s="177">
        <f t="shared" si="29"/>
        <v>0.52512024079822317</v>
      </c>
      <c r="S105" s="799">
        <f t="shared" si="30"/>
        <v>1</v>
      </c>
      <c r="T105" s="176">
        <f t="shared" si="31"/>
        <v>7</v>
      </c>
      <c r="U105" s="250">
        <f t="shared" si="32"/>
        <v>1.5251202407982232</v>
      </c>
      <c r="V105" s="382">
        <f t="shared" si="33"/>
        <v>50.252098322675437</v>
      </c>
      <c r="W105" s="400">
        <f t="shared" si="34"/>
        <v>32.248598202468798</v>
      </c>
      <c r="X105" s="157">
        <f t="shared" si="35"/>
        <v>45748</v>
      </c>
      <c r="Y105" s="383">
        <f t="shared" si="36"/>
        <v>31.776932371393407</v>
      </c>
      <c r="Z105" s="383">
        <f t="shared" si="37"/>
        <v>33.187974072591992</v>
      </c>
      <c r="AA105" s="384">
        <f t="shared" si="38"/>
        <v>35.85055640214226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7.4268926252736345E-2</v>
      </c>
      <c r="AD105" s="230">
        <f>(INDEX(Models!$BJ105:$BT105,,AH105)*(1-AF105)+INDEX(Models!$BJ105:$BT105,,AH105+1)*AF105-ERP_i)*AE105*Ramure*Pc/MaxiM</f>
        <v>6.8959791690500235E-4</v>
      </c>
      <c r="AE105" s="304">
        <f t="shared" si="40"/>
        <v>0.6</v>
      </c>
      <c r="AF105" s="177">
        <f t="shared" si="41"/>
        <v>0.52512024079822317</v>
      </c>
      <c r="AG105" s="799">
        <f t="shared" si="49"/>
        <v>1</v>
      </c>
      <c r="AH105" s="176">
        <f t="shared" si="42"/>
        <v>7</v>
      </c>
      <c r="AI105" s="224">
        <f t="shared" si="43"/>
        <v>1.5251202407982232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'2024'!Wh/'2024'!Env_an*'2025'!Env_an</f>
        <v>20.132170006496171</v>
      </c>
      <c r="C106" s="829"/>
      <c r="D106" s="391">
        <f t="shared" si="25"/>
        <v>21.026533760444174</v>
      </c>
      <c r="E106" s="383">
        <f t="shared" si="47"/>
        <v>22.382654640404677</v>
      </c>
      <c r="F106" s="383">
        <f t="shared" si="26"/>
        <v>22.384763160135531</v>
      </c>
      <c r="G106" s="110">
        <f t="shared" si="48"/>
        <v>0.39813537208402944</v>
      </c>
      <c r="H106" s="412" t="b">
        <f>Wh_hp&gt;='2024'!Maxi_hp</f>
        <v>0</v>
      </c>
      <c r="I106" s="388">
        <f>IF(H106,Wh_hp,'2024'!Maxi_hp)</f>
        <v>45.942881049826532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4.2535006679536913E-2</v>
      </c>
      <c r="M106" s="832"/>
      <c r="N106" s="832"/>
      <c r="O106" s="48">
        <f>IF(t&lt;Tnet,'2024'!Resal+('2024'!Salim-'2024'!Resal)*(1-EXP(('2024'!Tnet-t)/('2024'!Tau_j))),Resal+(Salim-Resal)*(1-EXP((Tnet-t)/(Tau_j))))*Salcycl</f>
        <v>6.0588026833620613E-2</v>
      </c>
      <c r="P106" s="169">
        <f>(INDEX(Models!$BJ106:$BT106,,T106)*(1-R106)+INDEX(Models!$BJ106:$BT106,,T106+1)*R106-ERP_i)*Q106*Ramure*Pc/MaxiM</f>
        <v>6.7032133147727248E-4</v>
      </c>
      <c r="Q106" s="304">
        <f t="shared" si="28"/>
        <v>0.6</v>
      </c>
      <c r="R106" s="177">
        <f t="shared" si="29"/>
        <v>0.52617844484766252</v>
      </c>
      <c r="S106" s="799">
        <f t="shared" si="30"/>
        <v>1</v>
      </c>
      <c r="T106" s="176">
        <f t="shared" si="31"/>
        <v>7</v>
      </c>
      <c r="U106" s="250">
        <f t="shared" si="32"/>
        <v>1.5261784448476625</v>
      </c>
      <c r="V106" s="382">
        <f t="shared" si="33"/>
        <v>50.537007358998153</v>
      </c>
      <c r="W106" s="400">
        <f t="shared" si="34"/>
        <v>20.132170006496171</v>
      </c>
      <c r="X106" s="157">
        <f t="shared" si="35"/>
        <v>45749</v>
      </c>
      <c r="Y106" s="383">
        <f t="shared" si="36"/>
        <v>19.837959486367531</v>
      </c>
      <c r="Z106" s="383">
        <f t="shared" si="37"/>
        <v>20.719253053388424</v>
      </c>
      <c r="AA106" s="384">
        <f t="shared" si="38"/>
        <v>22.382654640404677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7.4316546171137268E-2</v>
      </c>
      <c r="AD106" s="230">
        <f>(INDEX(Models!$BJ106:$BT106,,AH106)*(1-AF106)+INDEX(Models!$BJ106:$BT106,,AH106+1)*AF106-ERP_i)*AE106*Ramure*Pc/MaxiM</f>
        <v>6.7032133147727248E-4</v>
      </c>
      <c r="AE106" s="304">
        <f t="shared" si="40"/>
        <v>0.6</v>
      </c>
      <c r="AF106" s="177">
        <f t="shared" si="41"/>
        <v>0.52617844484766252</v>
      </c>
      <c r="AG106" s="799">
        <f t="shared" si="49"/>
        <v>1</v>
      </c>
      <c r="AH106" s="176">
        <f t="shared" si="42"/>
        <v>7</v>
      </c>
      <c r="AI106" s="224">
        <f t="shared" si="43"/>
        <v>1.5261784448476625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'2024'!Wh/'2024'!Env_an*'2025'!Env_an</f>
        <v>22.397705516331623</v>
      </c>
      <c r="C107" s="829"/>
      <c r="D107" s="391">
        <f t="shared" si="25"/>
        <v>23.393163121085554</v>
      </c>
      <c r="E107" s="383">
        <f t="shared" si="47"/>
        <v>24.903520264066938</v>
      </c>
      <c r="F107" s="383">
        <f t="shared" si="26"/>
        <v>24.906786168263089</v>
      </c>
      <c r="G107" s="110">
        <f t="shared" si="48"/>
        <v>0.44054186023108288</v>
      </c>
      <c r="H107" s="412" t="b">
        <f>Wh_hp&gt;='2024'!Maxi_hp</f>
        <v>0</v>
      </c>
      <c r="I107" s="388">
        <f>IF(H107,Wh_hp,'2024'!Maxi_hp)</f>
        <v>55.561785950469968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4.2553356277701071E-2</v>
      </c>
      <c r="M107" s="832"/>
      <c r="N107" s="832"/>
      <c r="O107" s="48">
        <f>IF(t&lt;Tnet,'2024'!Resal+('2024'!Salim-'2024'!Resal)*(1-EXP(('2024'!Tnet-t)/('2024'!Tau_j))),Resal+(Salim-Resal)*(1-EXP((Tnet-t)/(Tau_j))))*Salcycl</f>
        <v>6.0648339149090631E-2</v>
      </c>
      <c r="P107" s="169">
        <f>(INDEX(Models!$BJ107:$BT107,,T107)*(1-R107)+INDEX(Models!$BJ107:$BT107,,T107+1)*R107-ERP_i)*Q107*Ramure*Pc/MaxiM</f>
        <v>6.5203225009833937E-4</v>
      </c>
      <c r="Q107" s="304">
        <f t="shared" si="28"/>
        <v>0.6</v>
      </c>
      <c r="R107" s="177">
        <f t="shared" si="29"/>
        <v>0.52727602965247611</v>
      </c>
      <c r="S107" s="799">
        <f t="shared" si="30"/>
        <v>1</v>
      </c>
      <c r="T107" s="176">
        <f t="shared" si="31"/>
        <v>7</v>
      </c>
      <c r="U107" s="250">
        <f t="shared" si="32"/>
        <v>1.5272760296524761</v>
      </c>
      <c r="V107" s="382">
        <f t="shared" si="33"/>
        <v>50.814778075843506</v>
      </c>
      <c r="W107" s="400">
        <f t="shared" si="34"/>
        <v>22.397705516331623</v>
      </c>
      <c r="X107" s="157">
        <f t="shared" si="35"/>
        <v>45750</v>
      </c>
      <c r="Y107" s="383">
        <f t="shared" si="36"/>
        <v>22.070651327790774</v>
      </c>
      <c r="Z107" s="383">
        <f t="shared" si="37"/>
        <v>23.051573132039952</v>
      </c>
      <c r="AA107" s="384">
        <f t="shared" si="38"/>
        <v>24.903520264066938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7.4364873415070698E-2</v>
      </c>
      <c r="AD107" s="230">
        <f>(INDEX(Models!$BJ107:$BT107,,AH107)*(1-AF107)+INDEX(Models!$BJ107:$BT107,,AH107+1)*AF107-ERP_i)*AE107*Ramure*Pc/MaxiM</f>
        <v>6.5203225009833937E-4</v>
      </c>
      <c r="AE107" s="304">
        <f t="shared" si="40"/>
        <v>0.6</v>
      </c>
      <c r="AF107" s="177">
        <f t="shared" si="41"/>
        <v>0.52727602965247611</v>
      </c>
      <c r="AG107" s="799">
        <f t="shared" si="49"/>
        <v>1</v>
      </c>
      <c r="AH107" s="176">
        <f t="shared" si="42"/>
        <v>7</v>
      </c>
      <c r="AI107" s="224">
        <f t="shared" si="43"/>
        <v>1.5272760296524761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'2024'!Wh/'2024'!Env_an*'2025'!Env_an</f>
        <v>45.087492153315672</v>
      </c>
      <c r="C108" s="829"/>
      <c r="D108" s="391">
        <f t="shared" si="25"/>
        <v>47.092291311488154</v>
      </c>
      <c r="E108" s="383">
        <f t="shared" si="47"/>
        <v>50.136010126720883</v>
      </c>
      <c r="F108" s="383">
        <f t="shared" si="26"/>
        <v>50.16251217107186</v>
      </c>
      <c r="G108" s="110">
        <f t="shared" si="48"/>
        <v>0.88246434821646447</v>
      </c>
      <c r="H108" s="412" t="b">
        <f>Wh_hp&gt;='2024'!Maxi_hp</f>
        <v>0</v>
      </c>
      <c r="I108" s="388">
        <f>IF(H108,Wh_hp,'2024'!Maxi_hp)</f>
        <v>57.558924699627966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4.257170552419931E-2</v>
      </c>
      <c r="M108" s="832"/>
      <c r="N108" s="832"/>
      <c r="O108" s="48">
        <f>IF(t&lt;Tnet,'2024'!Resal+('2024'!Salim-'2024'!Resal)*(1-EXP(('2024'!Tnet-t)/('2024'!Tau_j))),Resal+(Salim-Resal)*(1-EXP((Tnet-t)/(Tau_j))))*Salcycl</f>
        <v>6.0709234890044081E-2</v>
      </c>
      <c r="P108" s="169">
        <f>(INDEX(Models!$BJ108:$BT108,,T108)*(1-R108)+INDEX(Models!$BJ108:$BT108,,T108+1)*R108-ERP_i)*Q108*Ramure*Pc/MaxiM</f>
        <v>6.3483179718222104E-4</v>
      </c>
      <c r="Q108" s="304">
        <f t="shared" si="28"/>
        <v>0.6</v>
      </c>
      <c r="R108" s="177">
        <f t="shared" si="29"/>
        <v>0.52841425568732858</v>
      </c>
      <c r="S108" s="799">
        <f t="shared" si="30"/>
        <v>1</v>
      </c>
      <c r="T108" s="176">
        <f t="shared" si="31"/>
        <v>7</v>
      </c>
      <c r="U108" s="250">
        <f t="shared" si="32"/>
        <v>1.5284142556873286</v>
      </c>
      <c r="V108" s="382">
        <f t="shared" si="33"/>
        <v>51.087262078377108</v>
      </c>
      <c r="W108" s="400">
        <f t="shared" si="34"/>
        <v>45.087492153315672</v>
      </c>
      <c r="X108" s="157">
        <f t="shared" si="35"/>
        <v>45751</v>
      </c>
      <c r="Y108" s="383">
        <f t="shared" si="36"/>
        <v>44.429644183724896</v>
      </c>
      <c r="Z108" s="383">
        <f t="shared" si="37"/>
        <v>46.405192368009622</v>
      </c>
      <c r="AA108" s="384">
        <f t="shared" si="38"/>
        <v>50.136010126720883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7.441393420181347E-2</v>
      </c>
      <c r="AD108" s="230">
        <f>(INDEX(Models!$BJ108:$BT108,,AH108)*(1-AF108)+INDEX(Models!$BJ108:$BT108,,AH108+1)*AF108-ERP_i)*AE108*Ramure*Pc/MaxiM</f>
        <v>6.3483179718222104E-4</v>
      </c>
      <c r="AE108" s="304">
        <f t="shared" si="40"/>
        <v>0.6</v>
      </c>
      <c r="AF108" s="177">
        <f t="shared" si="41"/>
        <v>0.52841425568732858</v>
      </c>
      <c r="AG108" s="799">
        <f t="shared" si="49"/>
        <v>1</v>
      </c>
      <c r="AH108" s="176">
        <f t="shared" si="42"/>
        <v>7</v>
      </c>
      <c r="AI108" s="224">
        <f t="shared" si="43"/>
        <v>1.5284142556873286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'2024'!Wh/'2024'!Env_an*'2025'!Env_an</f>
        <v>51.738615860087819</v>
      </c>
      <c r="C109" s="829"/>
      <c r="D109" s="391">
        <f t="shared" si="25"/>
        <v>54.040190514934061</v>
      </c>
      <c r="E109" s="383">
        <f t="shared" si="47"/>
        <v>57.536740561787084</v>
      </c>
      <c r="F109" s="383">
        <f t="shared" si="26"/>
        <v>57.572341328599009</v>
      </c>
      <c r="G109" s="110">
        <f t="shared" si="48"/>
        <v>1.007482097951178</v>
      </c>
      <c r="H109" s="412" t="b">
        <f>Wh_hp&gt;='2024'!Maxi_hp</f>
        <v>0</v>
      </c>
      <c r="I109" s="388">
        <f>IF(H109,Wh_hp,'2024'!Maxi_hp)</f>
        <v>59.132284614261103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4.2590054419038403E-2</v>
      </c>
      <c r="M109" s="832"/>
      <c r="N109" s="832"/>
      <c r="O109" s="48">
        <f>IF(t&lt;Tnet,'2024'!Resal+('2024'!Salim-'2024'!Resal)*(1-EXP(('2024'!Tnet-t)/('2024'!Tau_j))),Resal+(Salim-Resal)*(1-EXP((Tnet-t)/(Tau_j))))*Salcycl</f>
        <v>6.0770735580653434E-2</v>
      </c>
      <c r="P109" s="169">
        <f>(INDEX(Models!$BJ109:$BT109,,T109)*(1-R109)+INDEX(Models!$BJ109:$BT109,,T109+1)*R109-ERP_i)*Q109*Ramure*Pc/MaxiM</f>
        <v>6.1836579840882468E-4</v>
      </c>
      <c r="Q109" s="304">
        <f t="shared" si="28"/>
        <v>0.6</v>
      </c>
      <c r="R109" s="177">
        <f t="shared" si="29"/>
        <v>0.52959440731534735</v>
      </c>
      <c r="S109" s="799">
        <f t="shared" si="30"/>
        <v>1</v>
      </c>
      <c r="T109" s="176">
        <f t="shared" si="31"/>
        <v>7</v>
      </c>
      <c r="U109" s="250">
        <f t="shared" si="32"/>
        <v>1.5295944073153473</v>
      </c>
      <c r="V109" s="382">
        <f t="shared" si="33"/>
        <v>51.354377378321459</v>
      </c>
      <c r="W109" s="400">
        <f t="shared" si="34"/>
        <v>51.738615860087819</v>
      </c>
      <c r="X109" s="157">
        <f t="shared" si="35"/>
        <v>45752</v>
      </c>
      <c r="Y109" s="383">
        <f t="shared" si="36"/>
        <v>50.984318850410496</v>
      </c>
      <c r="Z109" s="383">
        <f t="shared" si="37"/>
        <v>53.252338860416714</v>
      </c>
      <c r="AA109" s="384">
        <f t="shared" si="38"/>
        <v>57.536740561787084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7.4463754108028982E-2</v>
      </c>
      <c r="AD109" s="230">
        <f>(INDEX(Models!$BJ109:$BT109,,AH109)*(1-AF109)+INDEX(Models!$BJ109:$BT109,,AH109+1)*AF109-ERP_i)*AE109*Ramure*Pc/MaxiM</f>
        <v>6.1836579840882468E-4</v>
      </c>
      <c r="AE109" s="304">
        <f t="shared" si="40"/>
        <v>0.6</v>
      </c>
      <c r="AF109" s="177">
        <f t="shared" si="41"/>
        <v>0.52959440731534735</v>
      </c>
      <c r="AG109" s="799">
        <f t="shared" si="49"/>
        <v>1</v>
      </c>
      <c r="AH109" s="176">
        <f t="shared" si="42"/>
        <v>7</v>
      </c>
      <c r="AI109" s="224">
        <f t="shared" si="43"/>
        <v>1.5295944073153473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'2024'!Wh/'2024'!Env_an*'2025'!Env_an</f>
        <v>11.199326159046587</v>
      </c>
      <c r="C110" s="829"/>
      <c r="D110" s="391">
        <f t="shared" si="25"/>
        <v>11.697748542704941</v>
      </c>
      <c r="E110" s="383">
        <f t="shared" si="47"/>
        <v>12.455449165490762</v>
      </c>
      <c r="F110" s="383">
        <f t="shared" si="26"/>
        <v>12.455449165490762</v>
      </c>
      <c r="G110" s="110">
        <f t="shared" si="48"/>
        <v>0.21684306851461449</v>
      </c>
      <c r="H110" s="412" t="b">
        <f>Wh_hp&gt;='2024'!Maxi_hp</f>
        <v>0</v>
      </c>
      <c r="I110" s="388">
        <f>IF(H110,Wh_hp,'2024'!Maxi_hp)</f>
        <v>59.680123270108488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4.2608402962225123E-2</v>
      </c>
      <c r="M110" s="832"/>
      <c r="N110" s="832"/>
      <c r="O110" s="48">
        <f>IF(t&lt;Tnet,'2024'!Resal+('2024'!Salim-'2024'!Resal)*(1-EXP(('2024'!Tnet-t)/('2024'!Tau_j))),Resal+(Salim-Resal)*(1-EXP((Tnet-t)/(Tau_j))))*Salcycl</f>
        <v>6.0832862205011169E-2</v>
      </c>
      <c r="P110" s="169">
        <f>(INDEX(Models!$BJ110:$BT110,,T110)*(1-R110)+INDEX(Models!$BJ110:$BT110,,T110+1)*R110-ERP_i)*Q110*Ramure*Pc/MaxiM</f>
        <v>6.0261817951658375E-4</v>
      </c>
      <c r="Q110" s="304">
        <f t="shared" si="28"/>
        <v>0.6</v>
      </c>
      <c r="R110" s="177">
        <f t="shared" si="29"/>
        <v>0.53081779183838762</v>
      </c>
      <c r="S110" s="799">
        <f t="shared" si="30"/>
        <v>1</v>
      </c>
      <c r="T110" s="176">
        <f t="shared" si="31"/>
        <v>7</v>
      </c>
      <c r="U110" s="250">
        <f t="shared" si="32"/>
        <v>1.5308177918383876</v>
      </c>
      <c r="V110" s="382">
        <f t="shared" si="33"/>
        <v>51.616024981450899</v>
      </c>
      <c r="W110" s="400">
        <f t="shared" si="34"/>
        <v>11.199326159046587</v>
      </c>
      <c r="X110" s="157">
        <f t="shared" si="35"/>
        <v>45753</v>
      </c>
      <c r="Y110" s="383">
        <f t="shared" si="36"/>
        <v>11.036177846274686</v>
      </c>
      <c r="Z110" s="383">
        <f t="shared" si="37"/>
        <v>11.527339367110867</v>
      </c>
      <c r="AA110" s="384">
        <f t="shared" si="38"/>
        <v>12.455449165490762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7.4514358016997795E-2</v>
      </c>
      <c r="AD110" s="230">
        <f>(INDEX(Models!$BJ110:$BT110,,AH110)*(1-AF110)+INDEX(Models!$BJ110:$BT110,,AH110+1)*AF110-ERP_i)*AE110*Ramure*Pc/MaxiM</f>
        <v>6.0261817951658375E-4</v>
      </c>
      <c r="AE110" s="304">
        <f t="shared" si="40"/>
        <v>0.6</v>
      </c>
      <c r="AF110" s="177">
        <f t="shared" si="41"/>
        <v>0.53081779183838762</v>
      </c>
      <c r="AG110" s="799">
        <f t="shared" si="49"/>
        <v>1</v>
      </c>
      <c r="AH110" s="176">
        <f t="shared" si="42"/>
        <v>7</v>
      </c>
      <c r="AI110" s="224">
        <f t="shared" si="43"/>
        <v>1.5308177918383876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'2024'!Wh/'2024'!Env_an*'2025'!Env_an</f>
        <v>37.595875280536767</v>
      </c>
      <c r="C111" s="829"/>
      <c r="D111" s="391">
        <f t="shared" si="25"/>
        <v>39.26982013111914</v>
      </c>
      <c r="E111" s="383">
        <f t="shared" si="47"/>
        <v>41.816247055768613</v>
      </c>
      <c r="F111" s="383">
        <f t="shared" si="26"/>
        <v>41.83116223491038</v>
      </c>
      <c r="G111" s="110">
        <f t="shared" si="48"/>
        <v>0.72461270287010093</v>
      </c>
      <c r="H111" s="412" t="b">
        <f>Wh_hp&gt;='2024'!Maxi_hp</f>
        <v>0</v>
      </c>
      <c r="I111" s="388">
        <f>IF(H111,Wh_hp,'2024'!Maxi_hp)</f>
        <v>57.850737846912956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4.262675115376624E-2</v>
      </c>
      <c r="M111" s="832"/>
      <c r="N111" s="832"/>
      <c r="O111" s="48">
        <f>IF(t&lt;Tnet,'2024'!Resal+('2024'!Salim-'2024'!Resal)*(1-EXP(('2024'!Tnet-t)/('2024'!Tau_j))),Resal+(Salim-Resal)*(1-EXP((Tnet-t)/(Tau_j))))*Salcycl</f>
        <v>6.0895635164327624E-2</v>
      </c>
      <c r="P111" s="169">
        <f>(INDEX(Models!$BJ111:$BT111,,T111)*(1-R111)+INDEX(Models!$BJ111:$BT111,,T111+1)*R111-ERP_i)*Q111*Ramure*Pc/MaxiM</f>
        <v>5.8757365966758974E-4</v>
      </c>
      <c r="Q111" s="304">
        <f t="shared" si="28"/>
        <v>0.6</v>
      </c>
      <c r="R111" s="177">
        <f t="shared" si="29"/>
        <v>0.53208573839933671</v>
      </c>
      <c r="S111" s="799">
        <f t="shared" si="30"/>
        <v>1</v>
      </c>
      <c r="T111" s="176">
        <f t="shared" si="31"/>
        <v>7</v>
      </c>
      <c r="U111" s="250">
        <f t="shared" si="32"/>
        <v>1.5320857383993367</v>
      </c>
      <c r="V111" s="382">
        <f t="shared" si="33"/>
        <v>51.872105950029265</v>
      </c>
      <c r="W111" s="400">
        <f t="shared" si="34"/>
        <v>37.595875280536767</v>
      </c>
      <c r="X111" s="157">
        <f t="shared" si="35"/>
        <v>45754</v>
      </c>
      <c r="Y111" s="383">
        <f t="shared" si="36"/>
        <v>37.048608431255637</v>
      </c>
      <c r="Z111" s="383">
        <f t="shared" si="37"/>
        <v>38.698186392720181</v>
      </c>
      <c r="AA111" s="384">
        <f t="shared" si="38"/>
        <v>41.816247055768613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7.4565770067552897E-2</v>
      </c>
      <c r="AD111" s="230">
        <f>(INDEX(Models!$BJ111:$BT111,,AH111)*(1-AF111)+INDEX(Models!$BJ111:$BT111,,AH111+1)*AF111-ERP_i)*AE111*Ramure*Pc/MaxiM</f>
        <v>5.8757365966758974E-4</v>
      </c>
      <c r="AE111" s="304">
        <f t="shared" si="40"/>
        <v>0.6</v>
      </c>
      <c r="AF111" s="177">
        <f t="shared" si="41"/>
        <v>0.53208573839933671</v>
      </c>
      <c r="AG111" s="799">
        <f t="shared" si="49"/>
        <v>1</v>
      </c>
      <c r="AH111" s="176">
        <f t="shared" si="42"/>
        <v>7</v>
      </c>
      <c r="AI111" s="224">
        <f t="shared" si="43"/>
        <v>1.5320857383993367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'2024'!Wh/'2024'!Env_an*'2025'!Env_an</f>
        <v>30.544444482493891</v>
      </c>
      <c r="C112" s="829"/>
      <c r="D112" s="391">
        <f t="shared" si="25"/>
        <v>31.905037985794866</v>
      </c>
      <c r="E112" s="383">
        <f t="shared" si="47"/>
        <v>33.976195403632687</v>
      </c>
      <c r="F112" s="383">
        <f t="shared" si="26"/>
        <v>33.984154851756436</v>
      </c>
      <c r="G112" s="110">
        <f t="shared" si="48"/>
        <v>0.58581370292069701</v>
      </c>
      <c r="H112" s="412" t="b">
        <f>Wh_hp&gt;='2024'!Maxi_hp</f>
        <v>0</v>
      </c>
      <c r="I112" s="388">
        <f>IF(H112,Wh_hp,'2024'!Maxi_hp)</f>
        <v>57.096062387011123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4.2645098993668529E-2</v>
      </c>
      <c r="M112" s="832"/>
      <c r="N112" s="832"/>
      <c r="O112" s="48">
        <f>IF(t&lt;Tnet,'2024'!Resal+('2024'!Salim-'2024'!Resal)*(1-EXP(('2024'!Tnet-t)/('2024'!Tau_j))),Resal+(Salim-Resal)*(1-EXP((Tnet-t)/(Tau_j))))*Salcycl</f>
        <v>6.0959074235144448E-2</v>
      </c>
      <c r="P112" s="169">
        <f>(INDEX(Models!$BJ112:$BT112,,T112)*(1-R112)+INDEX(Models!$BJ112:$BT112,,T112+1)*R112-ERP_i)*Q112*Ramure*Pc/MaxiM</f>
        <v>5.7321776605531586E-4</v>
      </c>
      <c r="Q112" s="304">
        <f t="shared" si="28"/>
        <v>0.6</v>
      </c>
      <c r="R112" s="177">
        <f t="shared" si="29"/>
        <v>0.53339959672708015</v>
      </c>
      <c r="S112" s="799">
        <f t="shared" si="30"/>
        <v>1</v>
      </c>
      <c r="T112" s="176">
        <f t="shared" si="31"/>
        <v>7</v>
      </c>
      <c r="U112" s="250">
        <f t="shared" si="32"/>
        <v>1.5333995967270801</v>
      </c>
      <c r="V112" s="382">
        <f t="shared" si="33"/>
        <v>52.122521405478892</v>
      </c>
      <c r="W112" s="400">
        <f t="shared" si="34"/>
        <v>30.544444482493891</v>
      </c>
      <c r="X112" s="157">
        <f t="shared" si="35"/>
        <v>45755</v>
      </c>
      <c r="Y112" s="383">
        <f t="shared" si="36"/>
        <v>30.100156375548217</v>
      </c>
      <c r="Z112" s="383">
        <f t="shared" si="37"/>
        <v>31.440959192780223</v>
      </c>
      <c r="AA112" s="384">
        <f t="shared" si="38"/>
        <v>33.976195403632687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7.4618013604354272E-2</v>
      </c>
      <c r="AD112" s="230">
        <f>(INDEX(Models!$BJ112:$BT112,,AH112)*(1-AF112)+INDEX(Models!$BJ112:$BT112,,AH112+1)*AF112-ERP_i)*AE112*Ramure*Pc/MaxiM</f>
        <v>5.7321776605531586E-4</v>
      </c>
      <c r="AE112" s="304">
        <f t="shared" si="40"/>
        <v>0.6</v>
      </c>
      <c r="AF112" s="177">
        <f t="shared" si="41"/>
        <v>0.53339959672708015</v>
      </c>
      <c r="AG112" s="799">
        <f t="shared" si="49"/>
        <v>1</v>
      </c>
      <c r="AH112" s="176">
        <f t="shared" si="42"/>
        <v>7</v>
      </c>
      <c r="AI112" s="224">
        <f t="shared" si="43"/>
        <v>1.5333995967270801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'2024'!Wh/'2024'!Env_an*'2025'!Env_an</f>
        <v>35.835079049115173</v>
      </c>
      <c r="C113" s="829"/>
      <c r="D113" s="391">
        <f t="shared" si="25"/>
        <v>37.432059725941606</v>
      </c>
      <c r="E113" s="383">
        <f t="shared" si="47"/>
        <v>39.864733257808687</v>
      </c>
      <c r="F113" s="383">
        <f t="shared" si="26"/>
        <v>39.876983033621727</v>
      </c>
      <c r="G113" s="110">
        <f t="shared" si="48"/>
        <v>0.68413152056713433</v>
      </c>
      <c r="H113" s="412" t="b">
        <f>Wh_hp&gt;='2024'!Maxi_hp</f>
        <v>0</v>
      </c>
      <c r="I113" s="388">
        <f>IF(H113,Wh_hp,'2024'!Maxi_hp)</f>
        <v>45.048186570983958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4.2663446481938538E-2</v>
      </c>
      <c r="M113" s="832"/>
      <c r="N113" s="832"/>
      <c r="O113" s="48">
        <f>IF(t&lt;Tnet,'2024'!Resal+('2024'!Salim-'2024'!Resal)*(1-EXP(('2024'!Tnet-t)/('2024'!Tau_j))),Resal+(Salim-Resal)*(1-EXP((Tnet-t)/(Tau_j))))*Salcycl</f>
        <v>6.1023198528252234E-2</v>
      </c>
      <c r="P113" s="169">
        <f>(INDEX(Models!$BJ113:$BT113,,T113)*(1-R113)+INDEX(Models!$BJ113:$BT113,,T113+1)*R113-ERP_i)*Q113*Ramure*Pc/MaxiM</f>
        <v>5.5953684885959136E-4</v>
      </c>
      <c r="Q113" s="304">
        <f t="shared" si="28"/>
        <v>0.6</v>
      </c>
      <c r="R113" s="177">
        <f t="shared" si="29"/>
        <v>0.53476073571464622</v>
      </c>
      <c r="S113" s="799">
        <f t="shared" si="30"/>
        <v>1</v>
      </c>
      <c r="T113" s="176">
        <f t="shared" si="31"/>
        <v>7</v>
      </c>
      <c r="U113" s="250">
        <f t="shared" si="32"/>
        <v>1.5347607357146462</v>
      </c>
      <c r="V113" s="382">
        <f t="shared" si="33"/>
        <v>52.367172528912924</v>
      </c>
      <c r="W113" s="400">
        <f t="shared" si="34"/>
        <v>35.835079049115173</v>
      </c>
      <c r="X113" s="157">
        <f t="shared" si="35"/>
        <v>45756</v>
      </c>
      <c r="Y113" s="383">
        <f t="shared" si="36"/>
        <v>35.314220571950585</v>
      </c>
      <c r="Z113" s="383">
        <f t="shared" si="37"/>
        <v>36.887989330582201</v>
      </c>
      <c r="AA113" s="384">
        <f t="shared" si="38"/>
        <v>39.864733257808687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7.4671111129118284E-2</v>
      </c>
      <c r="AD113" s="230">
        <f>(INDEX(Models!$BJ113:$BT113,,AH113)*(1-AF113)+INDEX(Models!$BJ113:$BT113,,AH113+1)*AF113-ERP_i)*AE113*Ramure*Pc/MaxiM</f>
        <v>5.5953684885959136E-4</v>
      </c>
      <c r="AE113" s="304">
        <f t="shared" si="40"/>
        <v>0.6</v>
      </c>
      <c r="AF113" s="177">
        <f t="shared" si="41"/>
        <v>0.53476073571464622</v>
      </c>
      <c r="AG113" s="799">
        <f t="shared" si="49"/>
        <v>1</v>
      </c>
      <c r="AH113" s="176">
        <f t="shared" si="42"/>
        <v>7</v>
      </c>
      <c r="AI113" s="224">
        <f t="shared" si="43"/>
        <v>1.5347607357146462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'2024'!Wh/'2024'!Env_an*'2025'!Env_an</f>
        <v>52.400805412247507</v>
      </c>
      <c r="C114" s="829"/>
      <c r="D114" s="391">
        <f t="shared" si="25"/>
        <v>54.737082260576855</v>
      </c>
      <c r="E114" s="383">
        <f t="shared" si="47"/>
        <v>58.298417532689747</v>
      </c>
      <c r="F114" s="383">
        <f t="shared" si="26"/>
        <v>58.330122964102458</v>
      </c>
      <c r="G114" s="110">
        <f t="shared" si="48"/>
        <v>0.99609719719656242</v>
      </c>
      <c r="H114" s="412" t="b">
        <f>Wh_hp&gt;='2024'!Maxi_hp</f>
        <v>0</v>
      </c>
      <c r="I114" s="388">
        <f>IF(H114,Wh_hp,'2024'!Maxi_hp)</f>
        <v>58.33024090130305</v>
      </c>
      <c r="J114" s="85">
        <f>IF(H114,An,'2024'!An_max)</f>
        <v>2022</v>
      </c>
      <c r="K114" s="197">
        <f t="shared" si="27"/>
        <v>45757</v>
      </c>
      <c r="L114" s="147">
        <f>IF(t&lt;Tvie,1-EXP((T0-t)*PertePVj)+'2024'!Pspv,1-EXP((T0-t)*PertePVj)+Pspv)</f>
        <v>4.2681793618583153E-2</v>
      </c>
      <c r="M114" s="832"/>
      <c r="N114" s="832"/>
      <c r="O114" s="48">
        <f>IF(t&lt;Tnet,'2024'!Resal+('2024'!Salim-'2024'!Resal)*(1-EXP(('2024'!Tnet-t)/('2024'!Tau_j))),Resal+(Salim-Resal)*(1-EXP((Tnet-t)/(Tau_j))))*Salcycl</f>
        <v>6.1088026447989566E-2</v>
      </c>
      <c r="P114" s="169">
        <f>(INDEX(Models!$BJ114:$BT114,,T114)*(1-R114)+INDEX(Models!$BJ114:$BT114,,T114+1)*R114-ERP_i)*Q114*Ramure*Pc/MaxiM</f>
        <v>5.4659673911146268E-4</v>
      </c>
      <c r="Q114" s="304">
        <f t="shared" si="28"/>
        <v>0.6</v>
      </c>
      <c r="R114" s="177">
        <f t="shared" si="29"/>
        <v>0.53617054182098878</v>
      </c>
      <c r="S114" s="799">
        <f t="shared" si="30"/>
        <v>1</v>
      </c>
      <c r="T114" s="176">
        <f t="shared" si="31"/>
        <v>7</v>
      </c>
      <c r="U114" s="250">
        <f t="shared" si="32"/>
        <v>1.5361705418209888</v>
      </c>
      <c r="V114" s="382">
        <f t="shared" si="33"/>
        <v>52.605956431737226</v>
      </c>
      <c r="W114" s="400">
        <f t="shared" si="34"/>
        <v>52.400805412247507</v>
      </c>
      <c r="X114" s="157">
        <f t="shared" si="35"/>
        <v>45757</v>
      </c>
      <c r="Y114" s="383">
        <f t="shared" si="36"/>
        <v>51.639719354625626</v>
      </c>
      <c r="Z114" s="383">
        <f t="shared" si="37"/>
        <v>53.942063370777696</v>
      </c>
      <c r="AA114" s="384">
        <f t="shared" si="38"/>
        <v>58.298417532689747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7.4725084252403789E-2</v>
      </c>
      <c r="AD114" s="230">
        <f>(INDEX(Models!$BJ114:$BT114,,AH114)*(1-AF114)+INDEX(Models!$BJ114:$BT114,,AH114+1)*AF114-ERP_i)*AE114*Ramure*Pc/MaxiM</f>
        <v>5.4659673911146268E-4</v>
      </c>
      <c r="AE114" s="304">
        <f t="shared" si="40"/>
        <v>0.6</v>
      </c>
      <c r="AF114" s="177">
        <f t="shared" si="41"/>
        <v>0.53617054182098878</v>
      </c>
      <c r="AG114" s="799">
        <f t="shared" si="49"/>
        <v>1</v>
      </c>
      <c r="AH114" s="176">
        <f t="shared" si="42"/>
        <v>7</v>
      </c>
      <c r="AI114" s="224">
        <f t="shared" si="43"/>
        <v>1.5361705418209888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'2024'!Wh/'2024'!Env_an*'2025'!Env_an</f>
        <v>43.430715607218275</v>
      </c>
      <c r="C115" s="829"/>
      <c r="D115" s="391">
        <f t="shared" si="25"/>
        <v>45.367932703478282</v>
      </c>
      <c r="E115" s="383">
        <f t="shared" si="47"/>
        <v>48.323060648567143</v>
      </c>
      <c r="F115" s="383">
        <f t="shared" si="26"/>
        <v>48.342311493584006</v>
      </c>
      <c r="G115" s="110">
        <f t="shared" si="48"/>
        <v>0.82183585772011425</v>
      </c>
      <c r="H115" s="412" t="b">
        <f>Wh_hp&gt;='2024'!Maxi_hp</f>
        <v>0</v>
      </c>
      <c r="I115" s="388">
        <f>IF(H115,Wh_hp,'2024'!Maxi_hp)</f>
        <v>59.403908056990687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4.2700140403609033E-2</v>
      </c>
      <c r="M115" s="832"/>
      <c r="N115" s="832"/>
      <c r="O115" s="48">
        <f>IF(t&lt;Tnet,'2024'!Resal+('2024'!Salim-'2024'!Resal)*(1-EXP(('2024'!Tnet-t)/('2024'!Tau_j))),Resal+(Salim-Resal)*(1-EXP((Tnet-t)/(Tau_j))))*Salcycl</f>
        <v>6.1153575651596924E-2</v>
      </c>
      <c r="P115" s="169">
        <f>(INDEX(Models!$BJ115:$BT115,,T115)*(1-R115)+INDEX(Models!$BJ115:$BT115,,T115+1)*R115-ERP_i)*Q115*Ramure*Pc/MaxiM</f>
        <v>5.3406430705640624E-4</v>
      </c>
      <c r="Q115" s="304">
        <f t="shared" si="28"/>
        <v>0.6</v>
      </c>
      <c r="R115" s="177">
        <f t="shared" si="29"/>
        <v>0.53763041728688576</v>
      </c>
      <c r="S115" s="799">
        <f t="shared" si="30"/>
        <v>1</v>
      </c>
      <c r="T115" s="176">
        <f t="shared" si="31"/>
        <v>7</v>
      </c>
      <c r="U115" s="250">
        <f t="shared" si="32"/>
        <v>1.5376304172868858</v>
      </c>
      <c r="V115" s="382">
        <f t="shared" si="33"/>
        <v>52.838791355075912</v>
      </c>
      <c r="W115" s="400">
        <f t="shared" si="34"/>
        <v>43.430715607218275</v>
      </c>
      <c r="X115" s="157">
        <f t="shared" si="35"/>
        <v>45758</v>
      </c>
      <c r="Y115" s="383">
        <f t="shared" si="36"/>
        <v>42.80036400543981</v>
      </c>
      <c r="Z115" s="383">
        <f t="shared" si="37"/>
        <v>44.709464413256001</v>
      </c>
      <c r="AA115" s="384">
        <f t="shared" si="38"/>
        <v>48.323060648567143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7.477995364555387E-2</v>
      </c>
      <c r="AD115" s="230">
        <f>(INDEX(Models!$BJ115:$BT115,,AH115)*(1-AF115)+INDEX(Models!$BJ115:$BT115,,AH115+1)*AF115-ERP_i)*AE115*Ramure*Pc/MaxiM</f>
        <v>5.3406430705640624E-4</v>
      </c>
      <c r="AE115" s="304">
        <f t="shared" si="40"/>
        <v>0.6</v>
      </c>
      <c r="AF115" s="177">
        <f t="shared" si="41"/>
        <v>0.53763041728688576</v>
      </c>
      <c r="AG115" s="799">
        <f t="shared" si="49"/>
        <v>1</v>
      </c>
      <c r="AH115" s="176">
        <f t="shared" si="42"/>
        <v>7</v>
      </c>
      <c r="AI115" s="224">
        <f t="shared" si="43"/>
        <v>1.5376304172868858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'2024'!Wh/'2024'!Env_an*'2025'!Env_an</f>
        <v>37.093699771738592</v>
      </c>
      <c r="C116" s="829"/>
      <c r="D116" s="391">
        <f t="shared" si="25"/>
        <v>38.748998347598295</v>
      </c>
      <c r="E116" s="383">
        <f t="shared" si="47"/>
        <v>41.275903505765164</v>
      </c>
      <c r="F116" s="383">
        <f t="shared" si="26"/>
        <v>41.288187190308399</v>
      </c>
      <c r="G116" s="110">
        <f t="shared" si="48"/>
        <v>0.69885929100850197</v>
      </c>
      <c r="H116" s="412" t="b">
        <f>Wh_hp&gt;='2024'!Maxi_hp</f>
        <v>0</v>
      </c>
      <c r="I116" s="388">
        <f>IF(H116,Wh_hp,'2024'!Maxi_hp)</f>
        <v>58.857771528976158</v>
      </c>
      <c r="J116" s="85">
        <f>IF(H116,An,'2024'!An_max)</f>
        <v>2018</v>
      </c>
      <c r="K116" s="197">
        <f t="shared" si="27"/>
        <v>45759</v>
      </c>
      <c r="L116" s="147">
        <f>IF(t&lt;Tvie,1-EXP((T0-t)*PertePVj)+'2024'!Pspv,1-EXP((T0-t)*PertePVj)+Pspv)</f>
        <v>4.2718486837023062E-2</v>
      </c>
      <c r="M116" s="832"/>
      <c r="N116" s="832"/>
      <c r="O116" s="48">
        <f>IF(t&lt;Tnet,'2024'!Resal+('2024'!Salim-'2024'!Resal)*(1-EXP(('2024'!Tnet-t)/('2024'!Tau_j))),Resal+(Salim-Resal)*(1-EXP((Tnet-t)/(Tau_j))))*Salcycl</f>
        <v>6.121986300830274E-2</v>
      </c>
      <c r="P116" s="169">
        <f>(INDEX(Models!$BJ116:$BT116,,T116)*(1-R116)+INDEX(Models!$BJ116:$BT116,,T116+1)*R116-ERP_i)*Q116*Ramure*Pc/MaxiM</f>
        <v>5.2192769450920627E-4</v>
      </c>
      <c r="Q116" s="304">
        <f t="shared" si="28"/>
        <v>0.6</v>
      </c>
      <c r="R116" s="177">
        <f t="shared" si="29"/>
        <v>0.53914177815551412</v>
      </c>
      <c r="S116" s="799">
        <f t="shared" si="30"/>
        <v>1</v>
      </c>
      <c r="T116" s="176">
        <f t="shared" si="31"/>
        <v>7</v>
      </c>
      <c r="U116" s="250">
        <f t="shared" si="32"/>
        <v>1.5391417781555141</v>
      </c>
      <c r="V116" s="382">
        <f t="shared" si="33"/>
        <v>53.065578895866977</v>
      </c>
      <c r="W116" s="400">
        <f t="shared" si="34"/>
        <v>37.093699771738592</v>
      </c>
      <c r="X116" s="157">
        <f t="shared" si="35"/>
        <v>45759</v>
      </c>
      <c r="Y116" s="383">
        <f t="shared" si="36"/>
        <v>36.555700302020675</v>
      </c>
      <c r="Z116" s="383">
        <f t="shared" si="37"/>
        <v>38.186990764332329</v>
      </c>
      <c r="AA116" s="384">
        <f t="shared" si="38"/>
        <v>41.275903505765164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7.4835738992397663E-2</v>
      </c>
      <c r="AD116" s="230">
        <f>(INDEX(Models!$BJ116:$BT116,,AH116)*(1-AF116)+INDEX(Models!$BJ116:$BT116,,AH116+1)*AF116-ERP_i)*AE116*Ramure*Pc/MaxiM</f>
        <v>5.2192769450920627E-4</v>
      </c>
      <c r="AE116" s="304">
        <f t="shared" si="40"/>
        <v>0.6</v>
      </c>
      <c r="AF116" s="177">
        <f t="shared" si="41"/>
        <v>0.53914177815551412</v>
      </c>
      <c r="AG116" s="799">
        <f t="shared" si="49"/>
        <v>1</v>
      </c>
      <c r="AH116" s="176">
        <f t="shared" si="42"/>
        <v>7</v>
      </c>
      <c r="AI116" s="224">
        <f t="shared" si="43"/>
        <v>1.5391417781555141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'2024'!Wh/'2024'!Env_an*'2025'!Env_an</f>
        <v>7.9270235849463129</v>
      </c>
      <c r="C117" s="829"/>
      <c r="D117" s="391">
        <f t="shared" si="25"/>
        <v>8.280924052595628</v>
      </c>
      <c r="E117" s="383">
        <f t="shared" si="47"/>
        <v>8.8215708215884394</v>
      </c>
      <c r="F117" s="383">
        <f t="shared" si="26"/>
        <v>8.8215708215884394</v>
      </c>
      <c r="G117" s="110">
        <f t="shared" si="48"/>
        <v>0.14868720847833666</v>
      </c>
      <c r="H117" s="412" t="b">
        <f>Wh_hp&gt;='2024'!Maxi_hp</f>
        <v>0</v>
      </c>
      <c r="I117" s="388">
        <f>IF(H117,Wh_hp,'2024'!Maxi_hp)</f>
        <v>58.816606841862637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4.2736832918831791E-2</v>
      </c>
      <c r="M117" s="832"/>
      <c r="N117" s="832"/>
      <c r="O117" s="48">
        <f>IF(t&lt;Tnet,'2024'!Resal+('2024'!Salim-'2024'!Resal)*(1-EXP(('2024'!Tnet-t)/('2024'!Tau_j))),Resal+(Salim-Resal)*(1-EXP((Tnet-t)/(Tau_j))))*Salcycl</f>
        <v>6.1286904557828085E-2</v>
      </c>
      <c r="P117" s="169">
        <f>(INDEX(Models!$BJ117:$BT117,,T117)*(1-R117)+INDEX(Models!$BJ117:$BT117,,T117+1)*R117-ERP_i)*Q117*Ramure*Pc/MaxiM</f>
        <v>5.1017538909270876E-4</v>
      </c>
      <c r="Q117" s="304">
        <f t="shared" si="28"/>
        <v>0.6</v>
      </c>
      <c r="R117" s="177">
        <f t="shared" si="29"/>
        <v>0.5407060520884357</v>
      </c>
      <c r="S117" s="799">
        <f t="shared" si="30"/>
        <v>1</v>
      </c>
      <c r="T117" s="176">
        <f t="shared" si="31"/>
        <v>7</v>
      </c>
      <c r="U117" s="250">
        <f t="shared" si="32"/>
        <v>1.5407060520884357</v>
      </c>
      <c r="V117" s="382">
        <f t="shared" si="33"/>
        <v>53.286220742780806</v>
      </c>
      <c r="W117" s="400">
        <f t="shared" si="34"/>
        <v>7.9270235849463129</v>
      </c>
      <c r="X117" s="157">
        <f t="shared" si="35"/>
        <v>45760</v>
      </c>
      <c r="Y117" s="383">
        <f t="shared" si="36"/>
        <v>7.8121305990062879</v>
      </c>
      <c r="Z117" s="383">
        <f t="shared" si="37"/>
        <v>8.1609016910434224</v>
      </c>
      <c r="AA117" s="384">
        <f t="shared" si="38"/>
        <v>8.8215708215884394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7.4892458940329129E-2</v>
      </c>
      <c r="AD117" s="230">
        <f>(INDEX(Models!$BJ117:$BT117,,AH117)*(1-AF117)+INDEX(Models!$BJ117:$BT117,,AH117+1)*AF117-ERP_i)*AE117*Ramure*Pc/MaxiM</f>
        <v>5.1017538909270876E-4</v>
      </c>
      <c r="AE117" s="304">
        <f t="shared" si="40"/>
        <v>0.6</v>
      </c>
      <c r="AF117" s="177">
        <f t="shared" si="41"/>
        <v>0.5407060520884357</v>
      </c>
      <c r="AG117" s="799">
        <f t="shared" si="49"/>
        <v>1</v>
      </c>
      <c r="AH117" s="176">
        <f t="shared" si="42"/>
        <v>7</v>
      </c>
      <c r="AI117" s="224">
        <f t="shared" si="43"/>
        <v>1.5407060520884357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'2024'!Wh/'2024'!Env_an*'2025'!Env_an</f>
        <v>40.122657140227503</v>
      </c>
      <c r="C118" s="829"/>
      <c r="D118" s="391">
        <f t="shared" si="25"/>
        <v>41.914728860692577</v>
      </c>
      <c r="E118" s="383">
        <f t="shared" si="47"/>
        <v>44.654492545170079</v>
      </c>
      <c r="F118" s="383">
        <f t="shared" si="26"/>
        <v>44.66881414137228</v>
      </c>
      <c r="G118" s="110">
        <f t="shared" si="48"/>
        <v>0.74981386795052407</v>
      </c>
      <c r="H118" s="412" t="b">
        <f>Wh_hp&gt;='2024'!Maxi_hp</f>
        <v>0</v>
      </c>
      <c r="I118" s="388">
        <f>IF(H118,Wh_hp,'2024'!Maxi_hp)</f>
        <v>59.036177217934771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4.2755178649042103E-2</v>
      </c>
      <c r="M118" s="832"/>
      <c r="N118" s="832"/>
      <c r="O118" s="48">
        <f>IF(t&lt;Tnet,'2024'!Resal+('2024'!Salim-'2024'!Resal)*(1-EXP(('2024'!Tnet-t)/('2024'!Tau_j))),Resal+(Salim-Resal)*(1-EXP((Tnet-t)/(Tau_j))))*Salcycl</f>
        <v>6.1354715468014888E-2</v>
      </c>
      <c r="P118" s="169">
        <f>(INDEX(Models!$BJ118:$BT118,,T118)*(1-R118)+INDEX(Models!$BJ118:$BT118,,T118+1)*R118-ERP_i)*Q118*Ramure*Pc/MaxiM</f>
        <v>4.9879623196715265E-4</v>
      </c>
      <c r="Q118" s="304">
        <f t="shared" si="28"/>
        <v>0.6</v>
      </c>
      <c r="R118" s="177">
        <f t="shared" si="29"/>
        <v>0.54232467596799938</v>
      </c>
      <c r="S118" s="799">
        <f t="shared" si="30"/>
        <v>1</v>
      </c>
      <c r="T118" s="176">
        <f t="shared" si="31"/>
        <v>7</v>
      </c>
      <c r="U118" s="250">
        <f t="shared" si="32"/>
        <v>1.5423246759679994</v>
      </c>
      <c r="V118" s="382">
        <f t="shared" si="33"/>
        <v>53.500618688608974</v>
      </c>
      <c r="W118" s="400">
        <f t="shared" si="34"/>
        <v>40.122657140227503</v>
      </c>
      <c r="X118" s="157">
        <f t="shared" si="35"/>
        <v>45761</v>
      </c>
      <c r="Y118" s="383">
        <f t="shared" si="36"/>
        <v>39.541517270800632</v>
      </c>
      <c r="Z118" s="383">
        <f t="shared" si="37"/>
        <v>41.307632476920332</v>
      </c>
      <c r="AA118" s="384">
        <f t="shared" si="38"/>
        <v>44.654492545170079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7.4950131050403129E-2</v>
      </c>
      <c r="AD118" s="230">
        <f>(INDEX(Models!$BJ118:$BT118,,AH118)*(1-AF118)+INDEX(Models!$BJ118:$BT118,,AH118+1)*AF118-ERP_i)*AE118*Ramure*Pc/MaxiM</f>
        <v>4.9879623196715265E-4</v>
      </c>
      <c r="AE118" s="304">
        <f t="shared" si="40"/>
        <v>0.6</v>
      </c>
      <c r="AF118" s="177">
        <f t="shared" si="41"/>
        <v>0.54232467596799938</v>
      </c>
      <c r="AG118" s="799">
        <f t="shared" si="49"/>
        <v>1</v>
      </c>
      <c r="AH118" s="176">
        <f t="shared" si="42"/>
        <v>7</v>
      </c>
      <c r="AI118" s="224">
        <f t="shared" si="43"/>
        <v>1.5423246759679994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'2024'!Wh/'2024'!Env_an*'2025'!Env_an</f>
        <v>43.782617903263734</v>
      </c>
      <c r="C119" s="829"/>
      <c r="D119" s="391">
        <f t="shared" si="25"/>
        <v>45.739037732726594</v>
      </c>
      <c r="E119" s="383">
        <f t="shared" si="47"/>
        <v>48.732339317209046</v>
      </c>
      <c r="F119" s="383">
        <f t="shared" si="26"/>
        <v>48.749840346957463</v>
      </c>
      <c r="G119" s="110">
        <f t="shared" si="48"/>
        <v>0.81508206515281723</v>
      </c>
      <c r="H119" s="412" t="b">
        <f>Wh_hp&gt;='2024'!Maxi_hp</f>
        <v>0</v>
      </c>
      <c r="I119" s="388">
        <f>IF(H119,Wh_hp,'2024'!Maxi_hp)</f>
        <v>59.816550107721071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4.2773524027660659E-2</v>
      </c>
      <c r="M119" s="832"/>
      <c r="N119" s="832"/>
      <c r="O119" s="48">
        <f>IF(t&lt;Tnet,'2024'!Resal+('2024'!Salim-'2024'!Resal)*(1-EXP(('2024'!Tnet-t)/('2024'!Tau_j))),Resal+(Salim-Resal)*(1-EXP((Tnet-t)/(Tau_j))))*Salcycl</f>
        <v>6.1423309991306303E-2</v>
      </c>
      <c r="P119" s="169">
        <f>(INDEX(Models!$BJ119:$BT119,,T119)*(1-R119)+INDEX(Models!$BJ119:$BT119,,T119+1)*R119-ERP_i)*Q119*Ramure*Pc/MaxiM</f>
        <v>4.8777942568848878E-4</v>
      </c>
      <c r="Q119" s="304">
        <f t="shared" si="28"/>
        <v>0.6</v>
      </c>
      <c r="R119" s="177">
        <f t="shared" si="29"/>
        <v>0.54399909327753071</v>
      </c>
      <c r="S119" s="799">
        <f t="shared" si="30"/>
        <v>1</v>
      </c>
      <c r="T119" s="176">
        <f t="shared" si="31"/>
        <v>7</v>
      </c>
      <c r="U119" s="250">
        <f t="shared" si="32"/>
        <v>1.5439990932775307</v>
      </c>
      <c r="V119" s="382">
        <f t="shared" si="33"/>
        <v>53.708674627042242</v>
      </c>
      <c r="W119" s="400">
        <f t="shared" si="34"/>
        <v>43.782617903263734</v>
      </c>
      <c r="X119" s="157">
        <f t="shared" si="35"/>
        <v>45762</v>
      </c>
      <c r="Y119" s="383">
        <f t="shared" si="36"/>
        <v>43.148884839804786</v>
      </c>
      <c r="Z119" s="383">
        <f t="shared" si="37"/>
        <v>45.076986400710091</v>
      </c>
      <c r="AA119" s="384">
        <f t="shared" si="38"/>
        <v>48.732339317209046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7.500877174611903E-2</v>
      </c>
      <c r="AD119" s="230">
        <f>(INDEX(Models!$BJ119:$BT119,,AH119)*(1-AF119)+INDEX(Models!$BJ119:$BT119,,AH119+1)*AF119-ERP_i)*AE119*Ramure*Pc/MaxiM</f>
        <v>4.8777942568848878E-4</v>
      </c>
      <c r="AE119" s="304">
        <f t="shared" si="40"/>
        <v>0.6</v>
      </c>
      <c r="AF119" s="177">
        <f t="shared" si="41"/>
        <v>0.54399909327753071</v>
      </c>
      <c r="AG119" s="799">
        <f t="shared" si="49"/>
        <v>1</v>
      </c>
      <c r="AH119" s="176">
        <f t="shared" si="42"/>
        <v>7</v>
      </c>
      <c r="AI119" s="224">
        <f t="shared" si="43"/>
        <v>1.5439990932775307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'2024'!Wh/'2024'!Env_an*'2025'!Env_an</f>
        <v>45.427765832423837</v>
      </c>
      <c r="C120" s="829"/>
      <c r="D120" s="391">
        <f t="shared" si="25"/>
        <v>47.45860838808477</v>
      </c>
      <c r="E120" s="383">
        <f t="shared" si="47"/>
        <v>50.568182538253495</v>
      </c>
      <c r="F120" s="383">
        <f t="shared" si="26"/>
        <v>50.586893076455546</v>
      </c>
      <c r="G120" s="110">
        <f t="shared" si="48"/>
        <v>0.84256440919751741</v>
      </c>
      <c r="H120" s="412" t="b">
        <f>Wh_hp&gt;='2024'!Maxi_hp</f>
        <v>0</v>
      </c>
      <c r="I120" s="388">
        <f>IF(H120,Wh_hp,'2024'!Maxi_hp)</f>
        <v>51.884062779817704</v>
      </c>
      <c r="J120" s="85">
        <f>IF(H120,An,'2024'!An_max)</f>
        <v>2021</v>
      </c>
      <c r="K120" s="197">
        <f t="shared" si="27"/>
        <v>45763</v>
      </c>
      <c r="L120" s="147">
        <f>IF(t&lt;Tvie,1-EXP((T0-t)*PertePVj)+'2024'!Pspv,1-EXP((T0-t)*PertePVj)+Pspv)</f>
        <v>4.279186905469412E-2</v>
      </c>
      <c r="M120" s="832"/>
      <c r="N120" s="832"/>
      <c r="O120" s="48">
        <f>IF(t&lt;Tnet,'2024'!Resal+('2024'!Salim-'2024'!Resal)*(1-EXP(('2024'!Tnet-t)/('2024'!Tau_j))),Resal+(Salim-Resal)*(1-EXP((Tnet-t)/(Tau_j))))*Salcycl</f>
        <v>6.149270141983873E-2</v>
      </c>
      <c r="P120" s="169">
        <f>(INDEX(Models!$BJ120:$BT120,,T120)*(1-R120)+INDEX(Models!$BJ120:$BT120,,T120+1)*R120-ERP_i)*Q120*Ramure*Pc/MaxiM</f>
        <v>4.7711454187769668E-4</v>
      </c>
      <c r="Q120" s="304">
        <f t="shared" si="28"/>
        <v>0.6</v>
      </c>
      <c r="R120" s="177">
        <f t="shared" si="29"/>
        <v>0.5457307512511731</v>
      </c>
      <c r="S120" s="799">
        <f t="shared" si="30"/>
        <v>1</v>
      </c>
      <c r="T120" s="176">
        <f t="shared" si="31"/>
        <v>7</v>
      </c>
      <c r="U120" s="250">
        <f t="shared" si="32"/>
        <v>1.5457307512511731</v>
      </c>
      <c r="V120" s="382">
        <f t="shared" si="33"/>
        <v>53.91029056263897</v>
      </c>
      <c r="W120" s="400">
        <f t="shared" si="34"/>
        <v>45.427765832423837</v>
      </c>
      <c r="X120" s="157">
        <f t="shared" si="35"/>
        <v>45763</v>
      </c>
      <c r="Y120" s="383">
        <f t="shared" si="36"/>
        <v>44.77064415934619</v>
      </c>
      <c r="Z120" s="383">
        <f t="shared" si="37"/>
        <v>46.772110173293491</v>
      </c>
      <c r="AA120" s="384">
        <f t="shared" si="38"/>
        <v>50.568182538253495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7.5068396260600703E-2</v>
      </c>
      <c r="AD120" s="230">
        <f>(INDEX(Models!$BJ120:$BT120,,AH120)*(1-AF120)+INDEX(Models!$BJ120:$BT120,,AH120+1)*AF120-ERP_i)*AE120*Ramure*Pc/MaxiM</f>
        <v>4.7711454187769668E-4</v>
      </c>
      <c r="AE120" s="304">
        <f t="shared" si="40"/>
        <v>0.6</v>
      </c>
      <c r="AF120" s="177">
        <f t="shared" si="41"/>
        <v>0.5457307512511731</v>
      </c>
      <c r="AG120" s="799">
        <f t="shared" si="49"/>
        <v>1</v>
      </c>
      <c r="AH120" s="176">
        <f t="shared" si="42"/>
        <v>7</v>
      </c>
      <c r="AI120" s="224">
        <f t="shared" si="43"/>
        <v>1.5457307512511731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'2024'!Wh/'2024'!Env_an*'2025'!Env_an</f>
        <v>53.319856058750531</v>
      </c>
      <c r="C121" s="829"/>
      <c r="D121" s="391">
        <f t="shared" si="25"/>
        <v>55.704581080557645</v>
      </c>
      <c r="E121" s="383">
        <f t="shared" si="47"/>
        <v>59.358886388429198</v>
      </c>
      <c r="F121" s="383">
        <f t="shared" si="26"/>
        <v>59.38603204440227</v>
      </c>
      <c r="G121" s="110">
        <f t="shared" si="48"/>
        <v>0.98546776242702505</v>
      </c>
      <c r="H121" s="412" t="b">
        <f>Wh_hp&gt;='2024'!Maxi_hp</f>
        <v>0</v>
      </c>
      <c r="I121" s="388">
        <f>IF(H121,Wh_hp,'2024'!Maxi_hp)</f>
        <v>59.386411049175642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4.2810213730149482E-2</v>
      </c>
      <c r="M121" s="832"/>
      <c r="N121" s="832"/>
      <c r="O121" s="48">
        <f>IF(t&lt;Tnet,'2024'!Resal+('2024'!Salim-'2024'!Resal)*(1-EXP(('2024'!Tnet-t)/('2024'!Tau_j))),Resal+(Salim-Resal)*(1-EXP((Tnet-t)/(Tau_j))))*Salcycl</f>
        <v>6.1562902038941943E-2</v>
      </c>
      <c r="P121" s="169">
        <f>(INDEX(Models!$BJ121:$BT121,,T121)*(1-R121)+INDEX(Models!$BJ121:$BT121,,T121+1)*R121-ERP_i)*Q121*Ramure*Pc/MaxiM</f>
        <v>4.6678940329884517E-4</v>
      </c>
      <c r="Q121" s="304">
        <f t="shared" si="28"/>
        <v>0.6</v>
      </c>
      <c r="R121" s="177">
        <f t="shared" si="29"/>
        <v>0.54752109778585001</v>
      </c>
      <c r="S121" s="799">
        <f t="shared" si="30"/>
        <v>1</v>
      </c>
      <c r="T121" s="176">
        <f t="shared" si="31"/>
        <v>7</v>
      </c>
      <c r="U121" s="250">
        <f t="shared" si="32"/>
        <v>1.54752109778585</v>
      </c>
      <c r="V121" s="382">
        <f t="shared" si="33"/>
        <v>54.105615107804724</v>
      </c>
      <c r="W121" s="400">
        <f t="shared" si="34"/>
        <v>53.319856058750531</v>
      </c>
      <c r="X121" s="157">
        <f t="shared" si="35"/>
        <v>45764</v>
      </c>
      <c r="Y121" s="383">
        <f t="shared" si="36"/>
        <v>52.54906025057133</v>
      </c>
      <c r="Z121" s="383">
        <f t="shared" si="37"/>
        <v>54.899311509950358</v>
      </c>
      <c r="AA121" s="384">
        <f t="shared" si="38"/>
        <v>59.358886388429198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7.5129018581927789E-2</v>
      </c>
      <c r="AD121" s="230">
        <f>(INDEX(Models!$BJ121:$BT121,,AH121)*(1-AF121)+INDEX(Models!$BJ121:$BT121,,AH121+1)*AF121-ERP_i)*AE121*Ramure*Pc/MaxiM</f>
        <v>4.6678940329884517E-4</v>
      </c>
      <c r="AE121" s="304">
        <f t="shared" si="40"/>
        <v>0.6</v>
      </c>
      <c r="AF121" s="177">
        <f t="shared" si="41"/>
        <v>0.54752109778585001</v>
      </c>
      <c r="AG121" s="799">
        <f t="shared" si="49"/>
        <v>1</v>
      </c>
      <c r="AH121" s="176">
        <f t="shared" si="42"/>
        <v>7</v>
      </c>
      <c r="AI121" s="224">
        <f t="shared" si="43"/>
        <v>1.54752109778585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'2024'!Wh/'2024'!Env_an*'2025'!Env_an</f>
        <v>39.444109135382803</v>
      </c>
      <c r="C122" s="829"/>
      <c r="D122" s="391">
        <f t="shared" si="25"/>
        <v>41.209032579567349</v>
      </c>
      <c r="E122" s="383">
        <f t="shared" si="47"/>
        <v>43.915731390012439</v>
      </c>
      <c r="F122" s="383">
        <f t="shared" si="26"/>
        <v>43.927959956847971</v>
      </c>
      <c r="G122" s="110">
        <f t="shared" si="48"/>
        <v>0.72634993225032418</v>
      </c>
      <c r="H122" s="412" t="b">
        <f>Wh_hp&gt;='2024'!Maxi_hp</f>
        <v>0</v>
      </c>
      <c r="I122" s="388">
        <f>IF(H122,Wh_hp,'2024'!Maxi_hp)</f>
        <v>43.933124779978819</v>
      </c>
      <c r="J122" s="85">
        <f>IF(H122,An,'2024'!An_max)</f>
        <v>2022</v>
      </c>
      <c r="K122" s="197">
        <f t="shared" si="27"/>
        <v>45765</v>
      </c>
      <c r="L122" s="147">
        <f>IF(t&lt;Tvie,1-EXP((T0-t)*PertePVj)+'2024'!Pspv,1-EXP((T0-t)*PertePVj)+Pspv)</f>
        <v>4.2828558054033294E-2</v>
      </c>
      <c r="M122" s="832"/>
      <c r="N122" s="832"/>
      <c r="O122" s="48">
        <f>IF(t&lt;Tnet,'2024'!Resal+('2024'!Salim-'2024'!Resal)*(1-EXP(('2024'!Tnet-t)/('2024'!Tau_j))),Resal+(Salim-Resal)*(1-EXP((Tnet-t)/(Tau_j))))*Salcycl</f>
        <v>6.1633923078886904E-2</v>
      </c>
      <c r="P122" s="169">
        <f>(INDEX(Models!$BJ122:$BT122,,T122)*(1-R122)+INDEX(Models!$BJ122:$BT122,,T122+1)*R122-ERP_i)*Q122*Ramure*Pc/MaxiM</f>
        <v>4.5691375477987682E-4</v>
      </c>
      <c r="Q122" s="304">
        <f t="shared" si="28"/>
        <v>0.6</v>
      </c>
      <c r="R122" s="177">
        <f t="shared" si="29"/>
        <v>0.54937157810857284</v>
      </c>
      <c r="S122" s="799">
        <f t="shared" si="30"/>
        <v>1</v>
      </c>
      <c r="T122" s="176">
        <f t="shared" si="31"/>
        <v>7</v>
      </c>
      <c r="U122" s="250">
        <f t="shared" si="32"/>
        <v>1.5493715781085728</v>
      </c>
      <c r="V122" s="382">
        <f t="shared" si="33"/>
        <v>54.294856005246629</v>
      </c>
      <c r="W122" s="400">
        <f t="shared" si="34"/>
        <v>39.444109135382803</v>
      </c>
      <c r="X122" s="157">
        <f t="shared" si="35"/>
        <v>45765</v>
      </c>
      <c r="Y122" s="383">
        <f t="shared" si="36"/>
        <v>38.87425363396671</v>
      </c>
      <c r="Z122" s="383">
        <f t="shared" si="37"/>
        <v>40.613678940246942</v>
      </c>
      <c r="AA122" s="384">
        <f t="shared" si="38"/>
        <v>43.915731390012439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7.5190651396425751E-2</v>
      </c>
      <c r="AD122" s="230">
        <f>(INDEX(Models!$BJ122:$BT122,,AH122)*(1-AF122)+INDEX(Models!$BJ122:$BT122,,AH122+1)*AF122-ERP_i)*AE122*Ramure*Pc/MaxiM</f>
        <v>4.5691375477987682E-4</v>
      </c>
      <c r="AE122" s="304">
        <f t="shared" si="40"/>
        <v>0.6</v>
      </c>
      <c r="AF122" s="177">
        <f t="shared" si="41"/>
        <v>0.54937157810857284</v>
      </c>
      <c r="AG122" s="799">
        <f t="shared" si="49"/>
        <v>1</v>
      </c>
      <c r="AH122" s="176">
        <f t="shared" si="42"/>
        <v>7</v>
      </c>
      <c r="AI122" s="224">
        <f t="shared" si="43"/>
        <v>1.5493715781085728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'2024'!Wh/'2024'!Env_an*'2025'!Env_an</f>
        <v>9.2203382734983634</v>
      </c>
      <c r="C123" s="829"/>
      <c r="D123" s="391">
        <f t="shared" si="25"/>
        <v>9.6330861729627042</v>
      </c>
      <c r="E123" s="383">
        <f t="shared" si="47"/>
        <v>10.266594329215888</v>
      </c>
      <c r="F123" s="383">
        <f t="shared" si="26"/>
        <v>10.266594329215888</v>
      </c>
      <c r="G123" s="110">
        <f t="shared" si="48"/>
        <v>0.16917306095091542</v>
      </c>
      <c r="H123" s="412" t="b">
        <f>Wh_hp&gt;='2024'!Maxi_hp</f>
        <v>0</v>
      </c>
      <c r="I123" s="388">
        <f>IF(H123,Wh_hp,'2024'!Maxi_hp)</f>
        <v>59.533076172726751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4.2846902026352218E-2</v>
      </c>
      <c r="M123" s="832"/>
      <c r="N123" s="832"/>
      <c r="O123" s="48">
        <f>IF(t&lt;Tnet,'2024'!Resal+('2024'!Salim-'2024'!Resal)*(1-EXP(('2024'!Tnet-t)/('2024'!Tau_j))),Resal+(Salim-Resal)*(1-EXP((Tnet-t)/(Tau_j))))*Salcycl</f>
        <v>6.1705774664768211E-2</v>
      </c>
      <c r="P123" s="169">
        <f>(INDEX(Models!$BJ123:$BT123,,T123)*(1-R123)+INDEX(Models!$BJ123:$BT123,,T123+1)*R123-ERP_i)*Q123*Ramure*Pc/MaxiM</f>
        <v>4.4732856907776694E-4</v>
      </c>
      <c r="Q123" s="304">
        <f t="shared" si="28"/>
        <v>0.6</v>
      </c>
      <c r="R123" s="177">
        <f t="shared" si="29"/>
        <v>0.55128363119320967</v>
      </c>
      <c r="S123" s="799">
        <f t="shared" si="30"/>
        <v>1</v>
      </c>
      <c r="T123" s="176">
        <f t="shared" si="31"/>
        <v>7</v>
      </c>
      <c r="U123" s="250">
        <f t="shared" si="32"/>
        <v>1.5512836311932097</v>
      </c>
      <c r="V123" s="382">
        <f t="shared" si="33"/>
        <v>54.478022097419505</v>
      </c>
      <c r="W123" s="400">
        <f t="shared" si="34"/>
        <v>9.2203382734983634</v>
      </c>
      <c r="X123" s="157">
        <f t="shared" si="35"/>
        <v>45766</v>
      </c>
      <c r="Y123" s="383">
        <f t="shared" si="36"/>
        <v>9.0872107122457901</v>
      </c>
      <c r="Z123" s="383">
        <f t="shared" si="37"/>
        <v>9.4939991642757846</v>
      </c>
      <c r="AA123" s="384">
        <f t="shared" si="38"/>
        <v>10.266594329215888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7.5253306029781517E-2</v>
      </c>
      <c r="AD123" s="230">
        <f>(INDEX(Models!$BJ123:$BT123,,AH123)*(1-AF123)+INDEX(Models!$BJ123:$BT123,,AH123+1)*AF123-ERP_i)*AE123*Ramure*Pc/MaxiM</f>
        <v>4.4732856907776694E-4</v>
      </c>
      <c r="AE123" s="304">
        <f t="shared" si="40"/>
        <v>0.6</v>
      </c>
      <c r="AF123" s="177">
        <f t="shared" si="41"/>
        <v>0.55128363119320967</v>
      </c>
      <c r="AG123" s="799">
        <f t="shared" si="49"/>
        <v>1</v>
      </c>
      <c r="AH123" s="176">
        <f t="shared" si="42"/>
        <v>7</v>
      </c>
      <c r="AI123" s="224">
        <f t="shared" si="43"/>
        <v>1.5512836311932097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'2024'!Wh/'2024'!Env_an*'2025'!Env_an</f>
        <v>9.6198411610768026</v>
      </c>
      <c r="C124" s="829"/>
      <c r="D124" s="391">
        <f t="shared" si="25"/>
        <v>10.050665402470649</v>
      </c>
      <c r="E124" s="383">
        <f t="shared" si="47"/>
        <v>10.712465058329661</v>
      </c>
      <c r="F124" s="383">
        <f t="shared" si="26"/>
        <v>10.712465058329661</v>
      </c>
      <c r="G124" s="110">
        <f t="shared" si="48"/>
        <v>0.1759328027126173</v>
      </c>
      <c r="H124" s="412" t="b">
        <f>Wh_hp&gt;='2024'!Maxi_hp</f>
        <v>0</v>
      </c>
      <c r="I124" s="388">
        <f>IF(H124,Wh_hp,'2024'!Maxi_hp)</f>
        <v>52.580415314681325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4.2865245647113248E-2</v>
      </c>
      <c r="M124" s="832"/>
      <c r="N124" s="832"/>
      <c r="O124" s="48">
        <f>IF(t&lt;Tnet,'2024'!Resal+('2024'!Salim-'2024'!Resal)*(1-EXP(('2024'!Tnet-t)/('2024'!Tau_j))),Resal+(Salim-Resal)*(1-EXP((Tnet-t)/(Tau_j))))*Salcycl</f>
        <v>6.1778465764461783E-2</v>
      </c>
      <c r="P124" s="169">
        <f>(INDEX(Models!$BJ124:$BT124,,T124)*(1-R124)+INDEX(Models!$BJ124:$BT124,,T124+1)*R124-ERP_i)*Q124*Ramure*Pc/MaxiM</f>
        <v>4.3802406980207663E-4</v>
      </c>
      <c r="Q124" s="304">
        <f t="shared" si="28"/>
        <v>0.6</v>
      </c>
      <c r="R124" s="177">
        <f t="shared" si="29"/>
        <v>0.55325868592187888</v>
      </c>
      <c r="S124" s="799">
        <f t="shared" si="30"/>
        <v>1</v>
      </c>
      <c r="T124" s="176">
        <f t="shared" si="31"/>
        <v>7</v>
      </c>
      <c r="U124" s="250">
        <f t="shared" si="32"/>
        <v>1.5532586859218789</v>
      </c>
      <c r="V124" s="382">
        <f t="shared" si="33"/>
        <v>54.655114287058289</v>
      </c>
      <c r="W124" s="400">
        <f t="shared" si="34"/>
        <v>9.6198411610768026</v>
      </c>
      <c r="X124" s="157">
        <f t="shared" si="35"/>
        <v>45767</v>
      </c>
      <c r="Y124" s="383">
        <f t="shared" si="36"/>
        <v>9.4810269568606138</v>
      </c>
      <c r="Z124" s="383">
        <f t="shared" si="37"/>
        <v>9.9056344090970558</v>
      </c>
      <c r="AA124" s="384">
        <f t="shared" si="38"/>
        <v>10.712465058329661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7.531699238591591E-2</v>
      </c>
      <c r="AD124" s="230">
        <f>(INDEX(Models!$BJ124:$BT124,,AH124)*(1-AF124)+INDEX(Models!$BJ124:$BT124,,AH124+1)*AF124-ERP_i)*AE124*Ramure*Pc/MaxiM</f>
        <v>4.3802406980207663E-4</v>
      </c>
      <c r="AE124" s="304">
        <f t="shared" si="40"/>
        <v>0.6</v>
      </c>
      <c r="AF124" s="177">
        <f t="shared" si="41"/>
        <v>0.55325868592187888</v>
      </c>
      <c r="AG124" s="799">
        <f t="shared" si="49"/>
        <v>1</v>
      </c>
      <c r="AH124" s="176">
        <f t="shared" si="42"/>
        <v>7</v>
      </c>
      <c r="AI124" s="224">
        <f t="shared" si="43"/>
        <v>1.5532586859218789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'2024'!Wh/'2024'!Env_an*'2025'!Env_an</f>
        <v>9.2599914197320849</v>
      </c>
      <c r="C125" s="829"/>
      <c r="D125" s="391">
        <f t="shared" si="25"/>
        <v>9.6748852203334721</v>
      </c>
      <c r="E125" s="383">
        <f t="shared" si="47"/>
        <v>10.312749441424081</v>
      </c>
      <c r="F125" s="383">
        <f t="shared" si="26"/>
        <v>10.312749441424081</v>
      </c>
      <c r="G125" s="110">
        <f t="shared" si="48"/>
        <v>0.16882494470660037</v>
      </c>
      <c r="H125" s="412" t="b">
        <f>Wh_hp&gt;='2024'!Maxi_hp</f>
        <v>0</v>
      </c>
      <c r="I125" s="388">
        <f>IF(H125,Wh_hp,'2024'!Maxi_hp)</f>
        <v>55.246951602065522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4.2883588916322823E-2</v>
      </c>
      <c r="M125" s="832"/>
      <c r="N125" s="832"/>
      <c r="O125" s="48">
        <f>IF(t&lt;Tnet,'2024'!Resal+('2024'!Salim-'2024'!Resal)*(1-EXP(('2024'!Tnet-t)/('2024'!Tau_j))),Resal+(Salim-Resal)*(1-EXP((Tnet-t)/(Tau_j))))*Salcycl</f>
        <v>6.1852004134653658E-2</v>
      </c>
      <c r="P125" s="169">
        <f>(INDEX(Models!$BJ125:$BT125,,T125)*(1-R125)+INDEX(Models!$BJ125:$BT125,,T125+1)*R125-ERP_i)*Q125*Ramure*Pc/MaxiM</f>
        <v>4.2899207139871664E-4</v>
      </c>
      <c r="Q125" s="304">
        <f t="shared" si="28"/>
        <v>0.6</v>
      </c>
      <c r="R125" s="177">
        <f t="shared" si="29"/>
        <v>0.55529815698735208</v>
      </c>
      <c r="S125" s="799">
        <f t="shared" si="30"/>
        <v>1</v>
      </c>
      <c r="T125" s="176">
        <f t="shared" si="31"/>
        <v>7</v>
      </c>
      <c r="U125" s="250">
        <f t="shared" si="32"/>
        <v>1.5552981569873521</v>
      </c>
      <c r="V125" s="382">
        <f t="shared" si="33"/>
        <v>54.826133501288965</v>
      </c>
      <c r="W125" s="400">
        <f t="shared" si="34"/>
        <v>9.2599914197320849</v>
      </c>
      <c r="X125" s="157">
        <f t="shared" si="35"/>
        <v>45768</v>
      </c>
      <c r="Y125" s="383">
        <f t="shared" si="36"/>
        <v>9.1264463468449168</v>
      </c>
      <c r="Z125" s="383">
        <f t="shared" si="37"/>
        <v>9.5353566621135126</v>
      </c>
      <c r="AA125" s="384">
        <f t="shared" si="38"/>
        <v>10.312749441424081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7.5381718883613086E-2</v>
      </c>
      <c r="AD125" s="230">
        <f>(INDEX(Models!$BJ125:$BT125,,AH125)*(1-AF125)+INDEX(Models!$BJ125:$BT125,,AH125+1)*AF125-ERP_i)*AE125*Ramure*Pc/MaxiM</f>
        <v>4.2899207139871664E-4</v>
      </c>
      <c r="AE125" s="304">
        <f t="shared" si="40"/>
        <v>0.6</v>
      </c>
      <c r="AF125" s="177">
        <f t="shared" si="41"/>
        <v>0.55529815698735208</v>
      </c>
      <c r="AG125" s="799">
        <f t="shared" si="49"/>
        <v>1</v>
      </c>
      <c r="AH125" s="176">
        <f t="shared" si="42"/>
        <v>7</v>
      </c>
      <c r="AI125" s="224">
        <f t="shared" si="43"/>
        <v>1.5552981569873521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'2024'!Wh/'2024'!Env_an*'2025'!Env_an</f>
        <v>26.91404323045937</v>
      </c>
      <c r="C126" s="829"/>
      <c r="D126" s="391">
        <f t="shared" si="25"/>
        <v>28.120465525577714</v>
      </c>
      <c r="E126" s="383">
        <f t="shared" si="47"/>
        <v>29.97682208902819</v>
      </c>
      <c r="F126" s="383">
        <f t="shared" si="26"/>
        <v>29.980231326049086</v>
      </c>
      <c r="G126" s="110">
        <f t="shared" si="48"/>
        <v>0.48927557949483652</v>
      </c>
      <c r="H126" s="412" t="b">
        <f>Wh_hp&gt;='2024'!Maxi_hp</f>
        <v>0</v>
      </c>
      <c r="I126" s="388">
        <f>IF(H126,Wh_hp,'2024'!Maxi_hp)</f>
        <v>61.484611749803321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4.2901931833987939E-2</v>
      </c>
      <c r="M126" s="832"/>
      <c r="N126" s="832"/>
      <c r="O126" s="48">
        <f>IF(t&lt;Tnet,'2024'!Resal+('2024'!Salim-'2024'!Resal)*(1-EXP(('2024'!Tnet-t)/('2024'!Tau_j))),Resal+(Salim-Resal)*(1-EXP((Tnet-t)/(Tau_j))))*Salcycl</f>
        <v>6.1926396264997075E-2</v>
      </c>
      <c r="P126" s="169">
        <f>(INDEX(Models!$BJ126:$BT126,,T126)*(1-R126)+INDEX(Models!$BJ126:$BT126,,T126+1)*R126-ERP_i)*Q126*Ramure*Pc/MaxiM</f>
        <v>4.2022468718723894E-4</v>
      </c>
      <c r="Q126" s="304">
        <f t="shared" si="28"/>
        <v>0.6</v>
      </c>
      <c r="R126" s="177">
        <f t="shared" si="29"/>
        <v>0.55740344053423452</v>
      </c>
      <c r="S126" s="799">
        <f t="shared" si="30"/>
        <v>1</v>
      </c>
      <c r="T126" s="176">
        <f t="shared" si="31"/>
        <v>7</v>
      </c>
      <c r="U126" s="250">
        <f t="shared" si="32"/>
        <v>1.5574034405342345</v>
      </c>
      <c r="V126" s="382">
        <f t="shared" si="33"/>
        <v>54.991080765786116</v>
      </c>
      <c r="W126" s="400">
        <f t="shared" si="34"/>
        <v>26.91404323045937</v>
      </c>
      <c r="X126" s="157">
        <f t="shared" si="35"/>
        <v>45769</v>
      </c>
      <c r="Y126" s="383">
        <f t="shared" si="36"/>
        <v>26.526112726702536</v>
      </c>
      <c r="Z126" s="383">
        <f t="shared" si="37"/>
        <v>27.715146032560465</v>
      </c>
      <c r="AA126" s="384">
        <f t="shared" si="38"/>
        <v>29.97682208902819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7.5447492390980281E-2</v>
      </c>
      <c r="AD126" s="230">
        <f>(INDEX(Models!$BJ126:$BT126,,AH126)*(1-AF126)+INDEX(Models!$BJ126:$BT126,,AH126+1)*AF126-ERP_i)*AE126*Ramure*Pc/MaxiM</f>
        <v>4.2022468718723894E-4</v>
      </c>
      <c r="AE126" s="304">
        <f t="shared" si="40"/>
        <v>0.6</v>
      </c>
      <c r="AF126" s="177">
        <f t="shared" si="41"/>
        <v>0.55740344053423452</v>
      </c>
      <c r="AG126" s="799">
        <f t="shared" si="49"/>
        <v>1</v>
      </c>
      <c r="AH126" s="176">
        <f t="shared" si="42"/>
        <v>7</v>
      </c>
      <c r="AI126" s="224">
        <f t="shared" si="43"/>
        <v>1.5574034405342345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'2024'!Wh/'2024'!Env_an*'2025'!Env_an</f>
        <v>8.9635848717451694</v>
      </c>
      <c r="C127" s="829"/>
      <c r="D127" s="391">
        <f t="shared" si="25"/>
        <v>9.3655571547364183</v>
      </c>
      <c r="E127" s="383">
        <f t="shared" si="47"/>
        <v>9.9846200454220284</v>
      </c>
      <c r="F127" s="383">
        <f t="shared" si="26"/>
        <v>9.9846200454220284</v>
      </c>
      <c r="G127" s="110">
        <f t="shared" si="48"/>
        <v>0.16246421372681247</v>
      </c>
      <c r="H127" s="412" t="b">
        <f>Wh_hp&gt;='2024'!Maxi_hp</f>
        <v>0</v>
      </c>
      <c r="I127" s="388">
        <f>IF(H127,Wh_hp,'2024'!Maxi_hp)</f>
        <v>61.411826255045938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4.2920274400115144E-2</v>
      </c>
      <c r="M127" s="832"/>
      <c r="N127" s="832"/>
      <c r="O127" s="48">
        <f>IF(t&lt;Tnet,'2024'!Resal+('2024'!Salim-'2024'!Resal)*(1-EXP(('2024'!Tnet-t)/('2024'!Tau_j))),Resal+(Salim-Resal)*(1-EXP((Tnet-t)/(Tau_j))))*Salcycl</f>
        <v>6.2001647320515878E-2</v>
      </c>
      <c r="P127" s="169">
        <f>(INDEX(Models!$BJ127:$BT127,,T127)*(1-R127)+INDEX(Models!$BJ127:$BT127,,T127+1)*R127-ERP_i)*Q127*Ramure*Pc/MaxiM</f>
        <v>4.1171314686421948E-4</v>
      </c>
      <c r="Q127" s="304">
        <f t="shared" si="28"/>
        <v>0.6</v>
      </c>
      <c r="R127" s="177">
        <f t="shared" si="29"/>
        <v>0.55957590953826797</v>
      </c>
      <c r="S127" s="799">
        <f t="shared" si="30"/>
        <v>1</v>
      </c>
      <c r="T127" s="176">
        <f t="shared" si="31"/>
        <v>7</v>
      </c>
      <c r="U127" s="250">
        <f t="shared" si="32"/>
        <v>1.559575909538268</v>
      </c>
      <c r="V127" s="382">
        <f t="shared" si="33"/>
        <v>55.149957276601967</v>
      </c>
      <c r="W127" s="400">
        <f t="shared" si="34"/>
        <v>8.9635848717451694</v>
      </c>
      <c r="X127" s="157">
        <f t="shared" si="35"/>
        <v>45770</v>
      </c>
      <c r="Y127" s="383">
        <f t="shared" si="36"/>
        <v>8.8344567431629279</v>
      </c>
      <c r="Z127" s="383">
        <f t="shared" si="37"/>
        <v>9.2306382706264181</v>
      </c>
      <c r="AA127" s="384">
        <f t="shared" si="38"/>
        <v>9.9846200454220284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7.5514318157886437E-2</v>
      </c>
      <c r="AD127" s="230">
        <f>(INDEX(Models!$BJ127:$BT127,,AH127)*(1-AF127)+INDEX(Models!$BJ127:$BT127,,AH127+1)*AF127-ERP_i)*AE127*Ramure*Pc/MaxiM</f>
        <v>4.1171314686421948E-4</v>
      </c>
      <c r="AE127" s="304">
        <f t="shared" si="40"/>
        <v>0.6</v>
      </c>
      <c r="AF127" s="177">
        <f t="shared" si="41"/>
        <v>0.55957590953826797</v>
      </c>
      <c r="AG127" s="799">
        <f t="shared" si="49"/>
        <v>1</v>
      </c>
      <c r="AH127" s="176">
        <f t="shared" si="42"/>
        <v>7</v>
      </c>
      <c r="AI127" s="224">
        <f t="shared" si="43"/>
        <v>1.559575909538268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'2024'!Wh/'2024'!Env_an*'2025'!Env_an</f>
        <v>30.973682198551348</v>
      </c>
      <c r="C128" s="829"/>
      <c r="D128" s="391">
        <f t="shared" si="25"/>
        <v>32.363318316106508</v>
      </c>
      <c r="E128" s="383">
        <f t="shared" si="47"/>
        <v>34.505332076842905</v>
      </c>
      <c r="F128" s="383">
        <f t="shared" si="26"/>
        <v>34.510507253158217</v>
      </c>
      <c r="G128" s="110">
        <f t="shared" si="48"/>
        <v>0.55993276078689247</v>
      </c>
      <c r="H128" s="412" t="b">
        <f>Wh_hp&gt;='2024'!Maxi_hp</f>
        <v>0</v>
      </c>
      <c r="I128" s="388">
        <f>IF(H128,Wh_hp,'2024'!Maxi_hp)</f>
        <v>58.10105142457774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4.2938616614711322E-2</v>
      </c>
      <c r="M128" s="832"/>
      <c r="N128" s="832"/>
      <c r="O128" s="48">
        <f>IF(t&lt;Tnet,'2024'!Resal+('2024'!Salim-'2024'!Resal)*(1-EXP(('2024'!Tnet-t)/('2024'!Tau_j))),Resal+(Salim-Resal)*(1-EXP((Tnet-t)/(Tau_j))))*Salcycl</f>
        <v>6.2077761082436914E-2</v>
      </c>
      <c r="P128" s="169">
        <f>(INDEX(Models!$BJ128:$BT128,,T128)*(1-R128)+INDEX(Models!$BJ128:$BT128,,T128+1)*R128-ERP_i)*Q128*Ramure*Pc/MaxiM</f>
        <v>4.0362075337418843E-4</v>
      </c>
      <c r="Q128" s="304">
        <f t="shared" si="28"/>
        <v>0.6</v>
      </c>
      <c r="R128" s="177">
        <f t="shared" si="29"/>
        <v>0.56181690892484948</v>
      </c>
      <c r="S128" s="799">
        <f t="shared" si="30"/>
        <v>1</v>
      </c>
      <c r="T128" s="176">
        <f t="shared" si="31"/>
        <v>7</v>
      </c>
      <c r="U128" s="250">
        <f t="shared" si="32"/>
        <v>1.5618169089248495</v>
      </c>
      <c r="V128" s="382">
        <f t="shared" si="33"/>
        <v>55.302754837423613</v>
      </c>
      <c r="W128" s="400">
        <f t="shared" si="34"/>
        <v>30.973682198551348</v>
      </c>
      <c r="X128" s="157">
        <f t="shared" si="35"/>
        <v>45771</v>
      </c>
      <c r="Y128" s="383">
        <f t="shared" si="36"/>
        <v>30.527715385847841</v>
      </c>
      <c r="Z128" s="383">
        <f t="shared" si="37"/>
        <v>31.897343175488</v>
      </c>
      <c r="AA128" s="384">
        <f t="shared" si="38"/>
        <v>34.505332076842905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7.5582199746605738E-2</v>
      </c>
      <c r="AD128" s="230">
        <f>(INDEX(Models!$BJ128:$BT128,,AH128)*(1-AF128)+INDEX(Models!$BJ128:$BT128,,AH128+1)*AF128-ERP_i)*AE128*Ramure*Pc/MaxiM</f>
        <v>4.0362075337418843E-4</v>
      </c>
      <c r="AE128" s="304">
        <f t="shared" si="40"/>
        <v>0.6</v>
      </c>
      <c r="AF128" s="177">
        <f t="shared" si="41"/>
        <v>0.56181690892484948</v>
      </c>
      <c r="AG128" s="799">
        <f t="shared" si="49"/>
        <v>1</v>
      </c>
      <c r="AH128" s="176">
        <f t="shared" si="42"/>
        <v>7</v>
      </c>
      <c r="AI128" s="224">
        <f t="shared" si="43"/>
        <v>1.5618169089248495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'2024'!Wh/'2024'!Env_an*'2025'!Env_an</f>
        <v>46.877245204445082</v>
      </c>
      <c r="C129" s="829"/>
      <c r="D129" s="391">
        <f t="shared" si="25"/>
        <v>48.981334350318107</v>
      </c>
      <c r="E129" s="383">
        <f t="shared" si="47"/>
        <v>52.227522421399094</v>
      </c>
      <c r="F129" s="383">
        <f t="shared" si="26"/>
        <v>52.243636123936803</v>
      </c>
      <c r="G129" s="110">
        <f t="shared" si="48"/>
        <v>0.84533067437590392</v>
      </c>
      <c r="H129" s="412" t="b">
        <f>Wh_hp&gt;='2024'!Maxi_hp</f>
        <v>0</v>
      </c>
      <c r="I129" s="388">
        <f>IF(H129,Wh_hp,'2024'!Maxi_hp)</f>
        <v>57.415722541484826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4.2956958477783136E-2</v>
      </c>
      <c r="M129" s="832"/>
      <c r="N129" s="832"/>
      <c r="O129" s="48">
        <f>IF(t&lt;Tnet,'2024'!Resal+('2024'!Salim-'2024'!Resal)*(1-EXP(('2024'!Tnet-t)/('2024'!Tau_j))),Resal+(Salim-Resal)*(1-EXP((Tnet-t)/(Tau_j))))*Salcycl</f>
        <v>6.215473988769829E-2</v>
      </c>
      <c r="P129" s="169">
        <f>(INDEX(Models!$BJ129:$BT129,,T129)*(1-R129)+INDEX(Models!$BJ129:$BT129,,T129+1)*R129-ERP_i)*Q129*Ramure*Pc/MaxiM</f>
        <v>3.9585960221462867E-4</v>
      </c>
      <c r="Q129" s="304">
        <f t="shared" si="28"/>
        <v>0.6</v>
      </c>
      <c r="R129" s="177">
        <f t="shared" si="29"/>
        <v>0.56412775042981522</v>
      </c>
      <c r="S129" s="799">
        <f t="shared" si="30"/>
        <v>1</v>
      </c>
      <c r="T129" s="176">
        <f t="shared" si="31"/>
        <v>7</v>
      </c>
      <c r="U129" s="250">
        <f t="shared" si="32"/>
        <v>1.5641277504298152</v>
      </c>
      <c r="V129" s="382">
        <f t="shared" si="33"/>
        <v>55.44947921502628</v>
      </c>
      <c r="W129" s="400">
        <f t="shared" si="34"/>
        <v>46.877245204445082</v>
      </c>
      <c r="X129" s="157">
        <f t="shared" si="35"/>
        <v>45772</v>
      </c>
      <c r="Y129" s="383">
        <f t="shared" si="36"/>
        <v>46.202641369843377</v>
      </c>
      <c r="Z129" s="383">
        <f t="shared" si="37"/>
        <v>48.276450865110675</v>
      </c>
      <c r="AA129" s="384">
        <f t="shared" si="38"/>
        <v>52.227522421399094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7.5651138960969644E-2</v>
      </c>
      <c r="AD129" s="230">
        <f>(INDEX(Models!$BJ129:$BT129,,AH129)*(1-AF129)+INDEX(Models!$BJ129:$BT129,,AH129+1)*AF129-ERP_i)*AE129*Ramure*Pc/MaxiM</f>
        <v>3.9585960221462867E-4</v>
      </c>
      <c r="AE129" s="304">
        <f t="shared" si="40"/>
        <v>0.6</v>
      </c>
      <c r="AF129" s="177">
        <f t="shared" si="41"/>
        <v>0.56412775042981522</v>
      </c>
      <c r="AG129" s="799">
        <f t="shared" si="49"/>
        <v>1</v>
      </c>
      <c r="AH129" s="176">
        <f t="shared" si="42"/>
        <v>7</v>
      </c>
      <c r="AI129" s="224">
        <f t="shared" si="43"/>
        <v>1.5641277504298152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'2024'!Wh/'2024'!Env_an*'2025'!Env_an</f>
        <v>53.746145986824558</v>
      </c>
      <c r="C130" s="829"/>
      <c r="D130" s="391">
        <f t="shared" si="25"/>
        <v>56.159622616036707</v>
      </c>
      <c r="E130" s="383">
        <f t="shared" si="47"/>
        <v>59.886515240170141</v>
      </c>
      <c r="F130" s="383">
        <f t="shared" si="26"/>
        <v>59.908682502743439</v>
      </c>
      <c r="G130" s="110">
        <f t="shared" si="48"/>
        <v>0.96681109785724928</v>
      </c>
      <c r="H130" s="412" t="b">
        <f>Wh_hp&gt;='2024'!Maxi_hp</f>
        <v>0</v>
      </c>
      <c r="I130" s="388">
        <f>IF(H130,Wh_hp,'2024'!Maxi_hp)</f>
        <v>59.909404473598052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4.2975299989337246E-2</v>
      </c>
      <c r="M130" s="832"/>
      <c r="N130" s="832"/>
      <c r="O130" s="48">
        <f>IF(t&lt;Tnet,'2024'!Resal+('2024'!Salim-'2024'!Resal)*(1-EXP(('2024'!Tnet-t)/('2024'!Tau_j))),Resal+(Salim-Resal)*(1-EXP((Tnet-t)/(Tau_j))))*Salcycl</f>
        <v>6.2232584567444453E-2</v>
      </c>
      <c r="P130" s="169">
        <f>(INDEX(Models!$BJ130:$BT130,,T130)*(1-R130)+INDEX(Models!$BJ130:$BT130,,T130+1)*R130-ERP_i)*Q130*Ramure*Pc/MaxiM</f>
        <v>3.8842388074679618E-4</v>
      </c>
      <c r="Q130" s="304">
        <f t="shared" si="28"/>
        <v>0.6</v>
      </c>
      <c r="R130" s="177">
        <f t="shared" si="29"/>
        <v>0.56650970720767413</v>
      </c>
      <c r="S130" s="799">
        <f t="shared" si="30"/>
        <v>1</v>
      </c>
      <c r="T130" s="176">
        <f t="shared" si="31"/>
        <v>7</v>
      </c>
      <c r="U130" s="250">
        <f t="shared" si="32"/>
        <v>1.5665097072076741</v>
      </c>
      <c r="V130" s="382">
        <f t="shared" si="33"/>
        <v>55.590131794315148</v>
      </c>
      <c r="W130" s="400">
        <f t="shared" si="34"/>
        <v>53.746145986824558</v>
      </c>
      <c r="X130" s="157">
        <f t="shared" si="35"/>
        <v>45773</v>
      </c>
      <c r="Y130" s="383">
        <f t="shared" si="36"/>
        <v>52.973078347247991</v>
      </c>
      <c r="Z130" s="383">
        <f t="shared" si="37"/>
        <v>55.351840288613019</v>
      </c>
      <c r="AA130" s="384">
        <f t="shared" si="38"/>
        <v>59.886515240170141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7.5721135774408713E-2</v>
      </c>
      <c r="AD130" s="230">
        <f>(INDEX(Models!$BJ130:$BT130,,AH130)*(1-AF130)+INDEX(Models!$BJ130:$BT130,,AH130+1)*AF130-ERP_i)*AE130*Ramure*Pc/MaxiM</f>
        <v>3.8842388074679618E-4</v>
      </c>
      <c r="AE130" s="304">
        <f t="shared" si="40"/>
        <v>0.6</v>
      </c>
      <c r="AF130" s="177">
        <f t="shared" si="41"/>
        <v>0.56650970720767413</v>
      </c>
      <c r="AG130" s="799">
        <f t="shared" si="49"/>
        <v>1</v>
      </c>
      <c r="AH130" s="176">
        <f t="shared" si="42"/>
        <v>7</v>
      </c>
      <c r="AI130" s="224">
        <f t="shared" si="43"/>
        <v>1.5665097072076741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'2024'!Wh/'2024'!Env_an*'2025'!Env_an</f>
        <v>39.015029440989039</v>
      </c>
      <c r="C131" s="829"/>
      <c r="D131" s="391">
        <f t="shared" si="25"/>
        <v>40.767784957925187</v>
      </c>
      <c r="E131" s="383">
        <f t="shared" si="47"/>
        <v>43.476886000436366</v>
      </c>
      <c r="F131" s="383">
        <f t="shared" si="26"/>
        <v>43.486364551388249</v>
      </c>
      <c r="G131" s="110">
        <f t="shared" si="48"/>
        <v>0.70002432309036755</v>
      </c>
      <c r="H131" s="412" t="b">
        <f>Wh_hp&gt;='2024'!Maxi_hp</f>
        <v>0</v>
      </c>
      <c r="I131" s="388">
        <f>IF(H131,Wh_hp,'2024'!Maxi_hp)</f>
        <v>43.491010827693984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4.2993641149380535E-2</v>
      </c>
      <c r="M131" s="832"/>
      <c r="N131" s="832"/>
      <c r="O131" s="48">
        <f>IF(t&lt;Tnet,'2024'!Resal+('2024'!Salim-'2024'!Resal)*(1-EXP(('2024'!Tnet-t)/('2024'!Tau_j))),Resal+(Salim-Resal)*(1-EXP((Tnet-t)/(Tau_j))))*Salcycl</f>
        <v>6.2311294384882712E-2</v>
      </c>
      <c r="P131" s="169">
        <f>(INDEX(Models!$BJ131:$BT131,,T131)*(1-R131)+INDEX(Models!$BJ131:$BT131,,T131+1)*R131-ERP_i)*Q131*Ramure*Pc/MaxiM</f>
        <v>3.8130835264704391E-4</v>
      </c>
      <c r="Q131" s="304">
        <f t="shared" si="28"/>
        <v>0.6</v>
      </c>
      <c r="R131" s="177">
        <f t="shared" si="29"/>
        <v>0.56896400819480908</v>
      </c>
      <c r="S131" s="799">
        <f t="shared" si="30"/>
        <v>1</v>
      </c>
      <c r="T131" s="176">
        <f t="shared" si="31"/>
        <v>7</v>
      </c>
      <c r="U131" s="250">
        <f t="shared" si="32"/>
        <v>1.5689640081948091</v>
      </c>
      <c r="V131" s="382">
        <f t="shared" si="33"/>
        <v>55.724714070694816</v>
      </c>
      <c r="W131" s="400">
        <f t="shared" si="34"/>
        <v>39.015029440989039</v>
      </c>
      <c r="X131" s="157">
        <f t="shared" si="35"/>
        <v>45774</v>
      </c>
      <c r="Y131" s="383">
        <f t="shared" si="36"/>
        <v>38.454121041244804</v>
      </c>
      <c r="Z131" s="383">
        <f t="shared" si="37"/>
        <v>40.181677671848327</v>
      </c>
      <c r="AA131" s="384">
        <f t="shared" si="38"/>
        <v>43.476886000436366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7.5792188257341214E-2</v>
      </c>
      <c r="AD131" s="230">
        <f>(INDEX(Models!$BJ131:$BT131,,AH131)*(1-AF131)+INDEX(Models!$BJ131:$BT131,,AH131+1)*AF131-ERP_i)*AE131*Ramure*Pc/MaxiM</f>
        <v>3.8130835264704391E-4</v>
      </c>
      <c r="AE131" s="304">
        <f t="shared" si="40"/>
        <v>0.6</v>
      </c>
      <c r="AF131" s="177">
        <f t="shared" si="41"/>
        <v>0.56896400819480908</v>
      </c>
      <c r="AG131" s="799">
        <f t="shared" si="49"/>
        <v>1</v>
      </c>
      <c r="AH131" s="176">
        <f t="shared" si="42"/>
        <v>7</v>
      </c>
      <c r="AI131" s="224">
        <f t="shared" si="43"/>
        <v>1.5689640081948091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'2024'!Wh/'2024'!Env_an*'2025'!Env_an</f>
        <v>23.508451312126684</v>
      </c>
      <c r="C132" s="829"/>
      <c r="D132" s="391">
        <f t="shared" si="25"/>
        <v>24.565042475895428</v>
      </c>
      <c r="E132" s="383">
        <f t="shared" si="47"/>
        <v>26.199662109292159</v>
      </c>
      <c r="F132" s="383">
        <f t="shared" si="26"/>
        <v>26.201356846965865</v>
      </c>
      <c r="G132" s="110">
        <f t="shared" si="48"/>
        <v>0.42076650311174718</v>
      </c>
      <c r="H132" s="412" t="b">
        <f>Wh_hp&gt;='2024'!Maxi_hp</f>
        <v>0</v>
      </c>
      <c r="I132" s="388">
        <f>IF(H132,Wh_hp,'2024'!Maxi_hp)</f>
        <v>46.721279625112096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4.3011981957919665E-2</v>
      </c>
      <c r="M132" s="832"/>
      <c r="N132" s="832"/>
      <c r="O132" s="48">
        <f>IF(t&lt;Tnet,'2024'!Resal+('2024'!Salim-'2024'!Resal)*(1-EXP(('2024'!Tnet-t)/('2024'!Tau_j))),Resal+(Salim-Resal)*(1-EXP((Tnet-t)/(Tau_j))))*Salcycl</f>
        <v>6.2390866972936443E-2</v>
      </c>
      <c r="P132" s="169">
        <f>(INDEX(Models!$BJ132:$BT132,,T132)*(1-R132)+INDEX(Models!$BJ132:$BT132,,T132+1)*R132-ERP_i)*Q132*Ramure*Pc/MaxiM</f>
        <v>3.7450835983653742E-4</v>
      </c>
      <c r="Q132" s="304">
        <f t="shared" si="28"/>
        <v>0.6</v>
      </c>
      <c r="R132" s="177">
        <f t="shared" si="29"/>
        <v>0.57149183223768651</v>
      </c>
      <c r="S132" s="799">
        <f t="shared" si="30"/>
        <v>1</v>
      </c>
      <c r="T132" s="176">
        <f t="shared" si="31"/>
        <v>7</v>
      </c>
      <c r="U132" s="250">
        <f t="shared" si="32"/>
        <v>1.5714918322376865</v>
      </c>
      <c r="V132" s="382">
        <f t="shared" si="33"/>
        <v>55.853227651679475</v>
      </c>
      <c r="W132" s="400">
        <f t="shared" si="34"/>
        <v>23.508451312126684</v>
      </c>
      <c r="X132" s="157">
        <f t="shared" si="35"/>
        <v>45775</v>
      </c>
      <c r="Y132" s="383">
        <f t="shared" si="36"/>
        <v>23.170635310812479</v>
      </c>
      <c r="Z132" s="383">
        <f t="shared" si="37"/>
        <v>24.212043279515363</v>
      </c>
      <c r="AA132" s="384">
        <f t="shared" si="38"/>
        <v>26.199662109292159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7.5864292504438657E-2</v>
      </c>
      <c r="AD132" s="230">
        <f>(INDEX(Models!$BJ132:$BT132,,AH132)*(1-AF132)+INDEX(Models!$BJ132:$BT132,,AH132+1)*AF132-ERP_i)*AE132*Ramure*Pc/MaxiM</f>
        <v>3.7450835983653742E-4</v>
      </c>
      <c r="AE132" s="304">
        <f t="shared" si="40"/>
        <v>0.6</v>
      </c>
      <c r="AF132" s="177">
        <f t="shared" si="41"/>
        <v>0.57149183223768651</v>
      </c>
      <c r="AG132" s="799">
        <f t="shared" si="49"/>
        <v>1</v>
      </c>
      <c r="AH132" s="176">
        <f t="shared" si="42"/>
        <v>7</v>
      </c>
      <c r="AI132" s="224">
        <f t="shared" si="43"/>
        <v>1.5714918322376865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'2024'!Wh/'2024'!Env_an*'2025'!Env_an</f>
        <v>42.994776882998885</v>
      </c>
      <c r="C133" s="829"/>
      <c r="D133" s="391">
        <f t="shared" si="25"/>
        <v>44.928045151334764</v>
      </c>
      <c r="E133" s="383">
        <f t="shared" si="47"/>
        <v>47.921781027647441</v>
      </c>
      <c r="F133" s="383">
        <f t="shared" si="26"/>
        <v>47.933577424154279</v>
      </c>
      <c r="G133" s="110">
        <f t="shared" si="48"/>
        <v>0.76800385507556257</v>
      </c>
      <c r="H133" s="412" t="b">
        <f>Wh_hp&gt;='2024'!Maxi_hp</f>
        <v>0</v>
      </c>
      <c r="I133" s="388">
        <f>IF(H133,Wh_hp,'2024'!Maxi_hp)</f>
        <v>51.783140656081144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4.3030322414961408E-2</v>
      </c>
      <c r="M133" s="832"/>
      <c r="N133" s="832"/>
      <c r="O133" s="48">
        <f>IF(t&lt;Tnet,'2024'!Resal+('2024'!Salim-'2024'!Resal)*(1-EXP(('2024'!Tnet-t)/('2024'!Tau_j))),Resal+(Salim-Resal)*(1-EXP((Tnet-t)/(Tau_j))))*Salcycl</f>
        <v>6.2471298272188634E-2</v>
      </c>
      <c r="P133" s="169">
        <f>(INDEX(Models!$BJ133:$BT133,,T133)*(1-R133)+INDEX(Models!$BJ133:$BT133,,T133+1)*R133-ERP_i)*Q133*Ramure*Pc/MaxiM</f>
        <v>3.6801982443317822E-4</v>
      </c>
      <c r="Q133" s="304">
        <f t="shared" si="28"/>
        <v>0.6</v>
      </c>
      <c r="R133" s="177">
        <f t="shared" si="29"/>
        <v>0.5740943019988185</v>
      </c>
      <c r="S133" s="799">
        <f t="shared" si="30"/>
        <v>1</v>
      </c>
      <c r="T133" s="176">
        <f t="shared" si="31"/>
        <v>7</v>
      </c>
      <c r="U133" s="250">
        <f t="shared" si="32"/>
        <v>1.5740943019988185</v>
      </c>
      <c r="V133" s="382">
        <f t="shared" si="33"/>
        <v>55.975674264976043</v>
      </c>
      <c r="W133" s="400">
        <f t="shared" si="34"/>
        <v>42.994776882998885</v>
      </c>
      <c r="X133" s="157">
        <f t="shared" si="35"/>
        <v>45776</v>
      </c>
      <c r="Y133" s="383">
        <f t="shared" si="36"/>
        <v>42.377223662320425</v>
      </c>
      <c r="Z133" s="383">
        <f t="shared" si="37"/>
        <v>44.28272353337411</v>
      </c>
      <c r="AA133" s="384">
        <f t="shared" si="38"/>
        <v>47.921781027647441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7.5937442562367494E-2</v>
      </c>
      <c r="AD133" s="230">
        <f>(INDEX(Models!$BJ133:$BT133,,AH133)*(1-AF133)+INDEX(Models!$BJ133:$BT133,,AH133+1)*AF133-ERP_i)*AE133*Ramure*Pc/MaxiM</f>
        <v>3.6801982443317822E-4</v>
      </c>
      <c r="AE133" s="304">
        <f t="shared" si="40"/>
        <v>0.6</v>
      </c>
      <c r="AF133" s="177">
        <f t="shared" si="41"/>
        <v>0.5740943019988185</v>
      </c>
      <c r="AG133" s="799">
        <f t="shared" si="49"/>
        <v>1</v>
      </c>
      <c r="AH133" s="176">
        <f t="shared" si="42"/>
        <v>7</v>
      </c>
      <c r="AI133" s="224">
        <f t="shared" si="43"/>
        <v>1.5740943019988185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'2024'!Wh/'2024'!Env_an*'2025'!Env_an</f>
        <v>48.156841466654839</v>
      </c>
      <c r="C134" s="829"/>
      <c r="D134" s="391">
        <f t="shared" si="25"/>
        <v>50.323187377003997</v>
      </c>
      <c r="E134" s="383">
        <f t="shared" si="47"/>
        <v>50.733546184384537</v>
      </c>
      <c r="F134" s="383">
        <f t="shared" si="26"/>
        <v>50.746960899822497</v>
      </c>
      <c r="G134" s="110">
        <f t="shared" si="48"/>
        <v>0.81131270903431041</v>
      </c>
      <c r="H134" s="412" t="b">
        <f>Wh_hp&gt;='2024'!Maxi_hp</f>
        <v>0</v>
      </c>
      <c r="I134" s="388">
        <f>IF(H134,Wh_hp,'2024'!Maxi_hp)</f>
        <v>61.648626642094747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4.3048662520512426E-2</v>
      </c>
      <c r="M134" s="832"/>
      <c r="N134" s="832"/>
      <c r="O134" s="48">
        <f>IF(t&lt;Tnet,'2024'!Resal+('2024'!Salim-'2024'!Resal)*(1-EXP(('2024'!Tnet-t)/('2024'!Tau_j))),Resal+(Salim-Resal)*(1-EXP((Tnet-t)/(Tau_j))))*Salcycl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3.6183925081945806E-4</v>
      </c>
      <c r="Q134" s="304">
        <f t="shared" si="28"/>
        <v>0.6</v>
      </c>
      <c r="R134" s="177">
        <f t="shared" si="29"/>
        <v>0.57677247765609763</v>
      </c>
      <c r="S134" s="799">
        <f t="shared" si="30"/>
        <v>1</v>
      </c>
      <c r="T134" s="176">
        <f t="shared" si="31"/>
        <v>7</v>
      </c>
      <c r="U134" s="250">
        <f t="shared" si="32"/>
        <v>1.5767724776560976</v>
      </c>
      <c r="V134" s="382">
        <f t="shared" si="33"/>
        <v>59.350907095864308</v>
      </c>
      <c r="W134" s="400">
        <f t="shared" si="34"/>
        <v>48.156841466654839</v>
      </c>
      <c r="X134" s="157">
        <f t="shared" si="35"/>
        <v>45777</v>
      </c>
      <c r="Y134" s="383">
        <f t="shared" si="36"/>
        <v>45.512636092015285</v>
      </c>
      <c r="Z134" s="383">
        <f t="shared" si="37"/>
        <v>47.560031852707304</v>
      </c>
      <c r="AA134" s="384">
        <f t="shared" si="38"/>
        <v>50.733546184384537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6.2552582469664261E-2</v>
      </c>
      <c r="AD134" s="230">
        <f>(INDEX(Models!$BJ134:$BT134,,AH134)*(1-AF134)+INDEX(Models!$BJ134:$BT134,,AH134+1)*AF134-ERP_i)*AE134*Ramure*Pc/MaxiM</f>
        <v>3.6183925081945806E-4</v>
      </c>
      <c r="AE134" s="304">
        <f t="shared" si="40"/>
        <v>0.6</v>
      </c>
      <c r="AF134" s="177">
        <f t="shared" si="41"/>
        <v>0.57677247765609763</v>
      </c>
      <c r="AG134" s="799">
        <f t="shared" si="49"/>
        <v>1</v>
      </c>
      <c r="AH134" s="176">
        <f t="shared" si="42"/>
        <v>7</v>
      </c>
      <c r="AI134" s="224">
        <f t="shared" si="43"/>
        <v>1.5767724776560976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'2024'!Wh/'2024'!Env_an*'2025'!Env_an</f>
        <v>48.725205644304175</v>
      </c>
      <c r="C135" s="829"/>
      <c r="D135" s="391">
        <f t="shared" si="25"/>
        <v>50.918095373575198</v>
      </c>
      <c r="E135" s="383">
        <f t="shared" si="47"/>
        <v>51.339004311732211</v>
      </c>
      <c r="F135" s="383">
        <f t="shared" si="26"/>
        <v>51.352567714070297</v>
      </c>
      <c r="G135" s="110">
        <f t="shared" si="48"/>
        <v>0.81931304767682711</v>
      </c>
      <c r="H135" s="412" t="b">
        <f>Wh_hp&gt;='2024'!Maxi_hp</f>
        <v>0</v>
      </c>
      <c r="I135" s="388">
        <f>IF(H135,Wh_hp,'2024'!Maxi_hp)</f>
        <v>57.098058064772587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4.3067002274579602E-2</v>
      </c>
      <c r="M135" s="832"/>
      <c r="N135" s="832"/>
      <c r="O135" s="48">
        <f>IF(t&lt;Tnet,'2024'!Resal+('2024'!Salim-'2024'!Resal)*(1-EXP(('2024'!Tnet-t)/('2024'!Tau_j))),Resal+(Salim-Resal)*(1-EXP((Tnet-t)/(Tau_j))))*Salcycl</f>
        <v>8.1986190382898338E-3</v>
      </c>
      <c r="P135" s="169">
        <f>(INDEX(Models!$BJ135:$BT135,,T135)*(1-R135)+INDEX(Models!$BJ135:$BT135,,T135+1)*R135-ERP_i)*Q135*Ramure*Pc/MaxiM</f>
        <v>3.5596913027985101E-4</v>
      </c>
      <c r="Q135" s="304">
        <f t="shared" si="28"/>
        <v>0.6</v>
      </c>
      <c r="R135" s="177">
        <f t="shared" si="29"/>
        <v>0.57952735041415759</v>
      </c>
      <c r="S135" s="799">
        <f t="shared" si="30"/>
        <v>1</v>
      </c>
      <c r="T135" s="176">
        <f t="shared" si="31"/>
        <v>7</v>
      </c>
      <c r="U135" s="250">
        <f t="shared" si="32"/>
        <v>1.5795273504141576</v>
      </c>
      <c r="V135" s="382">
        <f t="shared" si="33"/>
        <v>59.465340368041929</v>
      </c>
      <c r="W135" s="400">
        <f t="shared" si="34"/>
        <v>48.725205644304175</v>
      </c>
      <c r="X135" s="157">
        <f t="shared" si="35"/>
        <v>45778</v>
      </c>
      <c r="Y135" s="383">
        <f t="shared" si="36"/>
        <v>46.050869963817419</v>
      </c>
      <c r="Z135" s="383">
        <f t="shared" si="37"/>
        <v>48.123400565429264</v>
      </c>
      <c r="AA135" s="384">
        <f t="shared" si="38"/>
        <v>51.339004311732211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6.2634711939049181E-2</v>
      </c>
      <c r="AD135" s="230">
        <f>(INDEX(Models!$BJ135:$BT135,,AH135)*(1-AF135)+INDEX(Models!$BJ135:$BT135,,AH135+1)*AF135-ERP_i)*AE135*Ramure*Pc/MaxiM</f>
        <v>3.5596913027985101E-4</v>
      </c>
      <c r="AE135" s="304">
        <f t="shared" si="40"/>
        <v>0.6</v>
      </c>
      <c r="AF135" s="177">
        <f t="shared" si="41"/>
        <v>0.57952735041415759</v>
      </c>
      <c r="AG135" s="799">
        <f t="shared" si="49"/>
        <v>1</v>
      </c>
      <c r="AH135" s="176">
        <f t="shared" si="42"/>
        <v>7</v>
      </c>
      <c r="AI135" s="224">
        <f t="shared" si="43"/>
        <v>1.5795273504141576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'2024'!Wh/'2024'!Env_an*'2025'!Env_an</f>
        <v>28.888745196037021</v>
      </c>
      <c r="C136" s="829"/>
      <c r="D136" s="391">
        <f t="shared" si="25"/>
        <v>30.189468773181797</v>
      </c>
      <c r="E136" s="383">
        <f t="shared" si="47"/>
        <v>30.442409840459849</v>
      </c>
      <c r="F136" s="383">
        <f t="shared" si="26"/>
        <v>30.445229952601835</v>
      </c>
      <c r="G136" s="110">
        <f t="shared" si="48"/>
        <v>0.48481431896199739</v>
      </c>
      <c r="H136" s="412" t="b">
        <f>Wh_hp&gt;='2024'!Maxi_hp</f>
        <v>0</v>
      </c>
      <c r="I136" s="388">
        <f>IF(H136,Wh_hp,'2024'!Maxi_hp)</f>
        <v>49.564429764978506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4.3085341677169486E-2</v>
      </c>
      <c r="M136" s="832"/>
      <c r="N136" s="832"/>
      <c r="O136" s="48">
        <f>IF(t&lt;Tnet,'2024'!Resal+('2024'!Salim-'2024'!Resal)*(1-EXP(('2024'!Tnet-t)/('2024'!Tau_j))),Resal+(Salim-Resal)*(1-EXP((Tnet-t)/(Tau_j))))*Salcycl</f>
        <v>8.3088385119195127E-3</v>
      </c>
      <c r="P136" s="169">
        <f>(INDEX(Models!$BJ136:$BT136,,T136)*(1-R136)+INDEX(Models!$BJ136:$BT136,,T136+1)*R136-ERP_i)*Q136*Ramure*Pc/MaxiM</f>
        <v>3.506030094737478E-4</v>
      </c>
      <c r="Q136" s="304">
        <f t="shared" si="28"/>
        <v>0.6</v>
      </c>
      <c r="R136" s="177">
        <f t="shared" si="29"/>
        <v>0.58235983584959272</v>
      </c>
      <c r="S136" s="799">
        <f t="shared" si="30"/>
        <v>1</v>
      </c>
      <c r="T136" s="176">
        <f t="shared" si="31"/>
        <v>7</v>
      </c>
      <c r="U136" s="250">
        <f t="shared" si="32"/>
        <v>1.5823598358495927</v>
      </c>
      <c r="V136" s="382">
        <f t="shared" si="33"/>
        <v>59.571862528624926</v>
      </c>
      <c r="W136" s="400">
        <f t="shared" si="34"/>
        <v>28.888745196037021</v>
      </c>
      <c r="X136" s="157">
        <f t="shared" si="35"/>
        <v>45779</v>
      </c>
      <c r="Y136" s="383">
        <f t="shared" si="36"/>
        <v>27.303772839903274</v>
      </c>
      <c r="Z136" s="383">
        <f t="shared" si="37"/>
        <v>28.533132607413677</v>
      </c>
      <c r="AA136" s="384">
        <f t="shared" si="38"/>
        <v>30.442409840459849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6.2717677182987763E-2</v>
      </c>
      <c r="AD136" s="230">
        <f>(INDEX(Models!$BJ136:$BT136,,AH136)*(1-AF136)+INDEX(Models!$BJ136:$BT136,,AH136+1)*AF136-ERP_i)*AE136*Ramure*Pc/MaxiM</f>
        <v>3.506030094737478E-4</v>
      </c>
      <c r="AE136" s="304">
        <f t="shared" si="40"/>
        <v>0.6</v>
      </c>
      <c r="AF136" s="177">
        <f t="shared" si="41"/>
        <v>0.58235983584959272</v>
      </c>
      <c r="AG136" s="799">
        <f t="shared" si="49"/>
        <v>1</v>
      </c>
      <c r="AH136" s="176">
        <f t="shared" si="42"/>
        <v>7</v>
      </c>
      <c r="AI136" s="224">
        <f t="shared" si="43"/>
        <v>1.5823598358495927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'2024'!Wh/'2024'!Env_an*'2025'!Env_an</f>
        <v>40.321786447049391</v>
      </c>
      <c r="C137" s="829"/>
      <c r="D137" s="391">
        <f t="shared" si="25"/>
        <v>42.1380933701763</v>
      </c>
      <c r="E137" s="383">
        <f t="shared" si="47"/>
        <v>42.495873396389214</v>
      </c>
      <c r="F137" s="383">
        <f t="shared" si="26"/>
        <v>42.503758294778429</v>
      </c>
      <c r="G137" s="110">
        <f t="shared" si="48"/>
        <v>0.67562797693630461</v>
      </c>
      <c r="H137" s="412" t="b">
        <f>Wh_hp&gt;='2024'!Maxi_hp</f>
        <v>0</v>
      </c>
      <c r="I137" s="388">
        <f>IF(H137,Wh_hp,'2024'!Maxi_hp)</f>
        <v>61.404519088032231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4.3103680728288962E-2</v>
      </c>
      <c r="M137" s="832"/>
      <c r="N137" s="832"/>
      <c r="O137" s="48">
        <f>IF(t&lt;Tnet,'2024'!Resal+('2024'!Salim-'2024'!Resal)*(1-EXP(('2024'!Tnet-t)/('2024'!Tau_j))),Resal+(Salim-Resal)*(1-EXP((Tnet-t)/(Tau_j))))*Salcycl</f>
        <v>8.419171030458578E-3</v>
      </c>
      <c r="P137" s="169">
        <f>(INDEX(Models!$BJ137:$BT137,,T137)*(1-R137)+INDEX(Models!$BJ137:$BT137,,T137+1)*R137-ERP_i)*Q137*Ramure*Pc/MaxiM</f>
        <v>3.4560800368808804E-4</v>
      </c>
      <c r="Q137" s="304">
        <f t="shared" si="28"/>
        <v>0.6</v>
      </c>
      <c r="R137" s="177">
        <f t="shared" si="29"/>
        <v>0.58527076711515647</v>
      </c>
      <c r="S137" s="799">
        <f t="shared" si="30"/>
        <v>1</v>
      </c>
      <c r="T137" s="176">
        <f t="shared" si="31"/>
        <v>7</v>
      </c>
      <c r="U137" s="250">
        <f t="shared" si="32"/>
        <v>1.5852707671151565</v>
      </c>
      <c r="V137" s="382">
        <f t="shared" si="33"/>
        <v>59.670900573746714</v>
      </c>
      <c r="W137" s="400">
        <f t="shared" si="34"/>
        <v>40.321786447049391</v>
      </c>
      <c r="X137" s="157">
        <f t="shared" si="35"/>
        <v>45780</v>
      </c>
      <c r="Y137" s="383">
        <f t="shared" si="36"/>
        <v>38.110376896183979</v>
      </c>
      <c r="Z137" s="383">
        <f t="shared" si="37"/>
        <v>39.827070215077839</v>
      </c>
      <c r="AA137" s="384">
        <f t="shared" si="38"/>
        <v>42.495873396389214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6.2801466778139942E-2</v>
      </c>
      <c r="AD137" s="230">
        <f>(INDEX(Models!$BJ137:$BT137,,AH137)*(1-AF137)+INDEX(Models!$BJ137:$BT137,,AH137+1)*AF137-ERP_i)*AE137*Ramure*Pc/MaxiM</f>
        <v>3.4560800368808804E-4</v>
      </c>
      <c r="AE137" s="304">
        <f t="shared" si="40"/>
        <v>0.6</v>
      </c>
      <c r="AF137" s="177">
        <f t="shared" si="41"/>
        <v>0.58527076711515647</v>
      </c>
      <c r="AG137" s="799">
        <f t="shared" si="49"/>
        <v>1</v>
      </c>
      <c r="AH137" s="176">
        <f t="shared" si="42"/>
        <v>7</v>
      </c>
      <c r="AI137" s="224">
        <f t="shared" si="43"/>
        <v>1.5852707671151565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'2024'!Wh/'2024'!Env_an*'2025'!Env_an</f>
        <v>21.834540336480654</v>
      </c>
      <c r="C138" s="829"/>
      <c r="D138" s="391">
        <f t="shared" si="25"/>
        <v>22.818521044268564</v>
      </c>
      <c r="E138" s="383">
        <f t="shared" si="47"/>
        <v>23.014828755967134</v>
      </c>
      <c r="F138" s="383">
        <f t="shared" si="26"/>
        <v>23.015561445867998</v>
      </c>
      <c r="G138" s="110">
        <f t="shared" si="48"/>
        <v>0.36523996803202352</v>
      </c>
      <c r="H138" s="412" t="b">
        <f>Wh_hp&gt;='2024'!Maxi_hp</f>
        <v>0</v>
      </c>
      <c r="I138" s="388">
        <f>IF(H138,Wh_hp,'2024'!Maxi_hp)</f>
        <v>54.000058250195806</v>
      </c>
      <c r="J138" s="85">
        <f>IF(H138,An,'2024'!An_max)</f>
        <v>2021</v>
      </c>
      <c r="K138" s="197">
        <f t="shared" si="27"/>
        <v>45781</v>
      </c>
      <c r="L138" s="147">
        <f>IF(t&lt;Tvie,1-EXP((T0-t)*PertePVj)+'2024'!Pspv,1-EXP((T0-t)*PertePVj)+Pspv)</f>
        <v>4.312201942794458E-2</v>
      </c>
      <c r="M138" s="832"/>
      <c r="N138" s="832"/>
      <c r="O138" s="48">
        <f>IF(t&lt;Tnet,'2024'!Resal+('2024'!Salim-'2024'!Resal)*(1-EXP(('2024'!Tnet-t)/('2024'!Tau_j))),Resal+(Salim-Resal)*(1-EXP((Tnet-t)/(Tau_j))))*Salcycl</f>
        <v>8.529618611551569E-3</v>
      </c>
      <c r="P138" s="169">
        <f>(INDEX(Models!$BJ138:$BT138,,T138)*(1-R138)+INDEX(Models!$BJ138:$BT138,,T138+1)*R138-ERP_i)*Q138*Ramure*Pc/MaxiM</f>
        <v>3.4098217568779833E-4</v>
      </c>
      <c r="Q138" s="304">
        <f t="shared" si="28"/>
        <v>0.6</v>
      </c>
      <c r="R138" s="177">
        <f t="shared" si="29"/>
        <v>0.58826088803144683</v>
      </c>
      <c r="S138" s="799">
        <f t="shared" si="30"/>
        <v>1</v>
      </c>
      <c r="T138" s="176">
        <f t="shared" si="31"/>
        <v>7</v>
      </c>
      <c r="U138" s="250">
        <f t="shared" si="32"/>
        <v>1.5882608880314468</v>
      </c>
      <c r="V138" s="382">
        <f t="shared" si="33"/>
        <v>59.762873550676716</v>
      </c>
      <c r="W138" s="400">
        <f t="shared" si="34"/>
        <v>21.834540336480654</v>
      </c>
      <c r="X138" s="157">
        <f t="shared" si="35"/>
        <v>45781</v>
      </c>
      <c r="Y138" s="383">
        <f t="shared" si="36"/>
        <v>20.63748181185645</v>
      </c>
      <c r="Z138" s="383">
        <f t="shared" si="37"/>
        <v>21.567516685375743</v>
      </c>
      <c r="AA138" s="384">
        <f t="shared" si="38"/>
        <v>23.014828755967134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6.2886067323709258E-2</v>
      </c>
      <c r="AD138" s="230">
        <f>(INDEX(Models!$BJ138:$BT138,,AH138)*(1-AF138)+INDEX(Models!$BJ138:$BT138,,AH138+1)*AF138-ERP_i)*AE138*Ramure*Pc/MaxiM</f>
        <v>3.4098217568779833E-4</v>
      </c>
      <c r="AE138" s="304">
        <f t="shared" si="40"/>
        <v>0.6</v>
      </c>
      <c r="AF138" s="177">
        <f t="shared" si="41"/>
        <v>0.58826088803144683</v>
      </c>
      <c r="AG138" s="799">
        <f t="shared" si="49"/>
        <v>1</v>
      </c>
      <c r="AH138" s="176">
        <f t="shared" si="42"/>
        <v>7</v>
      </c>
      <c r="AI138" s="224">
        <f t="shared" si="43"/>
        <v>1.5882608880314468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'2024'!Wh/'2024'!Env_an*'2025'!Env_an</f>
        <v>44.789632966711451</v>
      </c>
      <c r="C139" s="829"/>
      <c r="D139" s="391">
        <f t="shared" si="25"/>
        <v>46.808989521822625</v>
      </c>
      <c r="E139" s="383">
        <f t="shared" si="47"/>
        <v>47.216952628073017</v>
      </c>
      <c r="F139" s="383">
        <f t="shared" si="26"/>
        <v>47.227139048570699</v>
      </c>
      <c r="G139" s="110">
        <f t="shared" si="48"/>
        <v>0.74829669874370874</v>
      </c>
      <c r="H139" s="412" t="b">
        <f>Wh_hp&gt;='2024'!Maxi_hp</f>
        <v>0</v>
      </c>
      <c r="I139" s="388">
        <f>IF(H139,Wh_hp,'2024'!Maxi_hp)</f>
        <v>59.96671405061354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4.3140357776143334E-2</v>
      </c>
      <c r="M139" s="832"/>
      <c r="N139" s="832"/>
      <c r="O139" s="48">
        <f>IF(t&lt;Tnet,'2024'!Resal+('2024'!Salim-'2024'!Resal)*(1-EXP(('2024'!Tnet-t)/('2024'!Tau_j))),Resal+(Salim-Resal)*(1-EXP((Tnet-t)/(Tau_j))))*Salcycl</f>
        <v>8.6401828907491391E-3</v>
      </c>
      <c r="P139" s="169">
        <f>(INDEX(Models!$BJ139:$BT139,,T139)*(1-R139)+INDEX(Models!$BJ139:$BT139,,T139+1)*R139-ERP_i)*Q139*Ramure*Pc/MaxiM</f>
        <v>3.367244872663566E-4</v>
      </c>
      <c r="Q139" s="304">
        <f t="shared" si="28"/>
        <v>0.6</v>
      </c>
      <c r="R139" s="177">
        <f t="shared" si="29"/>
        <v>0.59133084609802333</v>
      </c>
      <c r="S139" s="799">
        <f t="shared" si="30"/>
        <v>1</v>
      </c>
      <c r="T139" s="176">
        <f t="shared" si="31"/>
        <v>7</v>
      </c>
      <c r="U139" s="250">
        <f t="shared" si="32"/>
        <v>1.5913308460980233</v>
      </c>
      <c r="V139" s="382">
        <f t="shared" si="33"/>
        <v>59.848200294140312</v>
      </c>
      <c r="W139" s="400">
        <f t="shared" si="34"/>
        <v>44.789632966711451</v>
      </c>
      <c r="X139" s="157">
        <f t="shared" si="35"/>
        <v>45782</v>
      </c>
      <c r="Y139" s="383">
        <f t="shared" si="36"/>
        <v>42.334945909235309</v>
      </c>
      <c r="Z139" s="383">
        <f t="shared" si="37"/>
        <v>44.243632024069711</v>
      </c>
      <c r="AA139" s="384">
        <f t="shared" si="38"/>
        <v>47.216952628073017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6.2971463394177349E-2</v>
      </c>
      <c r="AD139" s="230">
        <f>(INDEX(Models!$BJ139:$BT139,,AH139)*(1-AF139)+INDEX(Models!$BJ139:$BT139,,AH139+1)*AF139-ERP_i)*AE139*Ramure*Pc/MaxiM</f>
        <v>3.367244872663566E-4</v>
      </c>
      <c r="AE139" s="304">
        <f t="shared" si="40"/>
        <v>0.6</v>
      </c>
      <c r="AF139" s="177">
        <f t="shared" si="41"/>
        <v>0.59133084609802333</v>
      </c>
      <c r="AG139" s="799">
        <f t="shared" si="49"/>
        <v>1</v>
      </c>
      <c r="AH139" s="176">
        <f t="shared" si="42"/>
        <v>7</v>
      </c>
      <c r="AI139" s="224">
        <f t="shared" si="43"/>
        <v>1.5913308460980233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'2024'!Wh/'2024'!Env_an*'2025'!Env_an</f>
        <v>39.30444923176259</v>
      </c>
      <c r="C140" s="829"/>
      <c r="D140" s="391">
        <f t="shared" si="25"/>
        <v>41.077291561437022</v>
      </c>
      <c r="E140" s="383">
        <f t="shared" si="47"/>
        <v>41.439926770376644</v>
      </c>
      <c r="F140" s="383">
        <f t="shared" si="26"/>
        <v>41.44693991993082</v>
      </c>
      <c r="G140" s="110">
        <f t="shared" si="48"/>
        <v>0.65576151873944277</v>
      </c>
      <c r="H140" s="412" t="b">
        <f>Wh_hp&gt;='2024'!Maxi_hp</f>
        <v>0</v>
      </c>
      <c r="I140" s="388">
        <f>IF(H140,Wh_hp,'2024'!Maxi_hp)</f>
        <v>63.959766591204975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4.3158695772891775E-2</v>
      </c>
      <c r="M140" s="832"/>
      <c r="N140" s="832"/>
      <c r="O140" s="48">
        <f>IF(t&lt;Tnet,'2024'!Resal+('2024'!Salim-'2024'!Resal)*(1-EXP(('2024'!Tnet-t)/('2024'!Tau_j))),Resal+(Salim-Resal)*(1-EXP((Tnet-t)/(Tau_j))))*Salcycl</f>
        <v>8.7508651004386401E-3</v>
      </c>
      <c r="P140" s="169">
        <f>(INDEX(Models!$BJ140:$BT140,,T140)*(1-R140)+INDEX(Models!$BJ140:$BT140,,T140+1)*R140-ERP_i)*Q140*Ramure*Pc/MaxiM</f>
        <v>3.3283476923882824E-4</v>
      </c>
      <c r="Q140" s="304">
        <f t="shared" si="28"/>
        <v>0.6</v>
      </c>
      <c r="R140" s="177">
        <f t="shared" si="29"/>
        <v>0.59448118545936479</v>
      </c>
      <c r="S140" s="799">
        <f t="shared" si="30"/>
        <v>1</v>
      </c>
      <c r="T140" s="176">
        <f t="shared" si="31"/>
        <v>7</v>
      </c>
      <c r="U140" s="250">
        <f t="shared" si="32"/>
        <v>1.5944811854593648</v>
      </c>
      <c r="V140" s="382">
        <f t="shared" si="33"/>
        <v>59.927299416439119</v>
      </c>
      <c r="W140" s="400">
        <f t="shared" si="34"/>
        <v>39.30444923176259</v>
      </c>
      <c r="X140" s="157">
        <f t="shared" si="35"/>
        <v>45783</v>
      </c>
      <c r="Y140" s="383">
        <f t="shared" si="36"/>
        <v>37.151107853242607</v>
      </c>
      <c r="Z140" s="383">
        <f t="shared" si="37"/>
        <v>38.82682289018819</v>
      </c>
      <c r="AA140" s="384">
        <f t="shared" si="38"/>
        <v>41.439926770376644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6.3057637496995667E-2</v>
      </c>
      <c r="AD140" s="230">
        <f>(INDEX(Models!$BJ140:$BT140,,AH140)*(1-AF140)+INDEX(Models!$BJ140:$BT140,,AH140+1)*AF140-ERP_i)*AE140*Ramure*Pc/MaxiM</f>
        <v>3.3283476923882824E-4</v>
      </c>
      <c r="AE140" s="304">
        <f t="shared" si="40"/>
        <v>0.6</v>
      </c>
      <c r="AF140" s="177">
        <f t="shared" si="41"/>
        <v>0.59448118545936479</v>
      </c>
      <c r="AG140" s="799">
        <f t="shared" si="49"/>
        <v>1</v>
      </c>
      <c r="AH140" s="176">
        <f t="shared" si="42"/>
        <v>7</v>
      </c>
      <c r="AI140" s="224">
        <f t="shared" si="43"/>
        <v>1.5944811854593648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'2024'!Wh/'2024'!Env_an*'2025'!Env_an</f>
        <v>53.771435912807782</v>
      </c>
      <c r="C141" s="829"/>
      <c r="D141" s="391">
        <f t="shared" si="25"/>
        <v>56.197894271814192</v>
      </c>
      <c r="E141" s="383">
        <f t="shared" si="47"/>
        <v>56.70035387271124</v>
      </c>
      <c r="F141" s="383">
        <f t="shared" si="26"/>
        <v>56.716261230603763</v>
      </c>
      <c r="G141" s="110">
        <f t="shared" si="48"/>
        <v>0.89613801355677802</v>
      </c>
      <c r="H141" s="412" t="b">
        <f>Wh_hp&gt;='2024'!Maxi_hp</f>
        <v>0</v>
      </c>
      <c r="I141" s="388">
        <f>IF(H141,Wh_hp,'2024'!Maxi_hp)</f>
        <v>60.392486037860046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4.3177033418196786E-2</v>
      </c>
      <c r="M141" s="832"/>
      <c r="N141" s="832"/>
      <c r="O141" s="48">
        <f>IF(t&lt;Tnet,'2024'!Resal+('2024'!Salim-'2024'!Resal)*(1-EXP(('2024'!Tnet-t)/('2024'!Tau_j))),Resal+(Salim-Resal)*(1-EXP((Tnet-t)/(Tau_j))))*Salcycl</f>
        <v>8.8616660492990603E-3</v>
      </c>
      <c r="P141" s="169">
        <f>(INDEX(Models!$BJ141:$BT141,,T141)*(1-R141)+INDEX(Models!$BJ141:$BT141,,T141+1)*R141-ERP_i)*Q141*Ramure*Pc/MaxiM</f>
        <v>3.293136911350585E-4</v>
      </c>
      <c r="Q141" s="304">
        <f t="shared" si="28"/>
        <v>0.6</v>
      </c>
      <c r="R141" s="177">
        <f t="shared" si="29"/>
        <v>0.59771233986451699</v>
      </c>
      <c r="S141" s="799">
        <f t="shared" si="30"/>
        <v>1</v>
      </c>
      <c r="T141" s="176">
        <f t="shared" si="31"/>
        <v>7</v>
      </c>
      <c r="U141" s="250">
        <f t="shared" si="32"/>
        <v>1.597712339864517</v>
      </c>
      <c r="V141" s="382">
        <f t="shared" si="33"/>
        <v>60.000589315040202</v>
      </c>
      <c r="W141" s="400">
        <f t="shared" si="34"/>
        <v>53.771435912807782</v>
      </c>
      <c r="X141" s="157">
        <f t="shared" si="35"/>
        <v>45784</v>
      </c>
      <c r="Y141" s="383">
        <f t="shared" si="36"/>
        <v>50.826468905783713</v>
      </c>
      <c r="Z141" s="383">
        <f t="shared" si="37"/>
        <v>53.12003440653023</v>
      </c>
      <c r="AA141" s="384">
        <f t="shared" si="38"/>
        <v>56.70035387271124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6.3144570035993178E-2</v>
      </c>
      <c r="AD141" s="230">
        <f>(INDEX(Models!$BJ141:$BT141,,AH141)*(1-AF141)+INDEX(Models!$BJ141:$BT141,,AH141+1)*AF141-ERP_i)*AE141*Ramure*Pc/MaxiM</f>
        <v>3.293136911350585E-4</v>
      </c>
      <c r="AE141" s="304">
        <f t="shared" si="40"/>
        <v>0.6</v>
      </c>
      <c r="AF141" s="177">
        <f t="shared" si="41"/>
        <v>0.59771233986451699</v>
      </c>
      <c r="AG141" s="799">
        <f t="shared" si="49"/>
        <v>1</v>
      </c>
      <c r="AH141" s="176">
        <f t="shared" si="42"/>
        <v>7</v>
      </c>
      <c r="AI141" s="224">
        <f t="shared" si="43"/>
        <v>1.597712339864517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'2024'!Wh/'2024'!Env_an*'2025'!Env_an</f>
        <v>49.58309269536749</v>
      </c>
      <c r="C142" s="829"/>
      <c r="D142" s="391">
        <f t="shared" si="25"/>
        <v>51.821543476715611</v>
      </c>
      <c r="E142" s="383">
        <f t="shared" si="47"/>
        <v>52.290726522801243</v>
      </c>
      <c r="F142" s="383">
        <f t="shared" si="26"/>
        <v>52.303531441501981</v>
      </c>
      <c r="G142" s="110">
        <f t="shared" si="48"/>
        <v>0.82537550001998528</v>
      </c>
      <c r="H142" s="412" t="b">
        <f>Wh_hp&gt;='2024'!Maxi_hp</f>
        <v>0</v>
      </c>
      <c r="I142" s="388">
        <f>IF(H142,Wh_hp,'2024'!Maxi_hp)</f>
        <v>59.443974291396984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4.3195370712064918E-2</v>
      </c>
      <c r="M142" s="832"/>
      <c r="N142" s="832"/>
      <c r="O142" s="48">
        <f>IF(t&lt;Tnet,'2024'!Resal+('2024'!Salim-'2024'!Resal)*(1-EXP(('2024'!Tnet-t)/('2024'!Tau_j))),Resal+(Salim-Resal)*(1-EXP((Tnet-t)/(Tau_j))))*Salcycl</f>
        <v>8.9725861024525094E-3</v>
      </c>
      <c r="P142" s="169">
        <f>(INDEX(Models!$BJ142:$BT142,,T142)*(1-R142)+INDEX(Models!$BJ142:$BT142,,T142+1)*R142-ERP_i)*Q142*Ramure*Pc/MaxiM</f>
        <v>3.261508619675184E-4</v>
      </c>
      <c r="Q142" s="304">
        <f t="shared" si="28"/>
        <v>0.6</v>
      </c>
      <c r="R142" s="177">
        <f t="shared" si="29"/>
        <v>0.60102462566264991</v>
      </c>
      <c r="S142" s="799">
        <f t="shared" si="30"/>
        <v>1</v>
      </c>
      <c r="T142" s="176">
        <f t="shared" si="31"/>
        <v>7</v>
      </c>
      <c r="U142" s="250">
        <f t="shared" si="32"/>
        <v>1.6010246256626499</v>
      </c>
      <c r="V142" s="382">
        <f t="shared" si="33"/>
        <v>60.068488876606118</v>
      </c>
      <c r="W142" s="400">
        <f t="shared" si="34"/>
        <v>49.58309269536749</v>
      </c>
      <c r="X142" s="157">
        <f t="shared" si="35"/>
        <v>45785</v>
      </c>
      <c r="Y142" s="383">
        <f t="shared" si="36"/>
        <v>46.868373228019607</v>
      </c>
      <c r="Z142" s="383">
        <f t="shared" si="37"/>
        <v>48.98426679112076</v>
      </c>
      <c r="AA142" s="384">
        <f t="shared" si="38"/>
        <v>52.290726522801243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6.3232239281256E-2</v>
      </c>
      <c r="AD142" s="230">
        <f>(INDEX(Models!$BJ142:$BT142,,AH142)*(1-AF142)+INDEX(Models!$BJ142:$BT142,,AH142+1)*AF142-ERP_i)*AE142*Ramure*Pc/MaxiM</f>
        <v>3.261508619675184E-4</v>
      </c>
      <c r="AE142" s="304">
        <f t="shared" si="40"/>
        <v>0.6</v>
      </c>
      <c r="AF142" s="177">
        <f t="shared" si="41"/>
        <v>0.60102462566264991</v>
      </c>
      <c r="AG142" s="799">
        <f t="shared" si="49"/>
        <v>1</v>
      </c>
      <c r="AH142" s="176">
        <f t="shared" si="42"/>
        <v>7</v>
      </c>
      <c r="AI142" s="224">
        <f t="shared" si="43"/>
        <v>1.6010246256626499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'2024'!Wh/'2024'!Env_an*'2025'!Env_an</f>
        <v>56.936286477910862</v>
      </c>
      <c r="C143" s="829"/>
      <c r="D143" s="391">
        <f t="shared" ref="D143:D206" si="50">Wh/(1-Ppv)</f>
        <v>59.507840918514205</v>
      </c>
      <c r="E143" s="383">
        <f t="shared" si="47"/>
        <v>60.05334297586149</v>
      </c>
      <c r="F143" s="383">
        <f t="shared" ref="F143:F206" si="51">Wh_sa/(1-Pvg*MEDIAN((-Sdif+Wh/Env_an)/Csdif,0,1))</f>
        <v>60.071281731159232</v>
      </c>
      <c r="G143" s="110">
        <f t="shared" si="48"/>
        <v>0.94684080442506791</v>
      </c>
      <c r="H143" s="412" t="b">
        <f>Wh_hp&gt;='2024'!Maxi_hp</f>
        <v>0</v>
      </c>
      <c r="I143" s="388">
        <f>IF(H143,Wh_hp,'2024'!Maxi_hp)</f>
        <v>60.07223224205881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4.3213707654502942E-2</v>
      </c>
      <c r="M143" s="832"/>
      <c r="N143" s="832"/>
      <c r="O143" s="48">
        <f>IF(t&lt;Tnet,'2024'!Resal+('2024'!Salim-'2024'!Resal)*(1-EXP(('2024'!Tnet-t)/('2024'!Tau_j))),Resal+(Salim-Resal)*(1-EXP((Tnet-t)/(Tau_j))))*Salcycl</f>
        <v>9.083625162491794E-3</v>
      </c>
      <c r="P143" s="169">
        <f>(INDEX(Models!$BJ143:$BT143,,T143)*(1-R143)+INDEX(Models!$BJ143:$BT143,,T143+1)*R143-ERP_i)*Q143*Ramure*Pc/MaxiM</f>
        <v>3.2315467239763342E-4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0.60441823487999535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1.6044182348799954</v>
      </c>
      <c r="V143" s="382">
        <f t="shared" ref="V143:V206" si="58">MaxiM*(1-Ppv)*(1-Pvg)*(1-Psa)</f>
        <v>60.131427729549706</v>
      </c>
      <c r="W143" s="400">
        <f t="shared" ref="W143:W206" si="59">Wh*(A143&gt;Tmaj)</f>
        <v>56.936286477910862</v>
      </c>
      <c r="X143" s="157">
        <f t="shared" ref="X143:X206" si="60">t</f>
        <v>45786</v>
      </c>
      <c r="Y143" s="383">
        <f t="shared" ref="Y143:Y206" si="61">Wh_pvt_s*(1-Ppv)</f>
        <v>53.819925470227687</v>
      </c>
      <c r="Z143" s="383">
        <f t="shared" ref="Z143:Z206" si="62">Wh_sa_s*(1-Psa_s)</f>
        <v>56.250727984712</v>
      </c>
      <c r="AA143" s="384">
        <f t="shared" ref="AA143:AA206" si="63">Wh_hp*(1-Pvg_s*MEDIAN((-Sdif+Wh/Env_an)/Csdif,0,1))</f>
        <v>60.05334297586149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6.3320621346224765E-2</v>
      </c>
      <c r="AD143" s="230">
        <f>(INDEX(Models!$BJ143:$BT143,,AH143)*(1-AF143)+INDEX(Models!$BJ143:$BT143,,AH143+1)*AF143-ERP_i)*AE143*Ramure*Pc/MaxiM</f>
        <v>3.2315467239763342E-4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0.60441823487999535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1.6044182348799954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'2024'!Wh/'2024'!Env_an*'2025'!Env_an</f>
        <v>53.184473136256564</v>
      </c>
      <c r="C144" s="829"/>
      <c r="D144" s="391">
        <f t="shared" si="50"/>
        <v>55.587640468494449</v>
      </c>
      <c r="E144" s="383">
        <f t="shared" ref="E144:E169" si="72">Wh_pvt/(1-Psa)</f>
        <v>56.103499956587591</v>
      </c>
      <c r="F144" s="383">
        <f t="shared" si="51"/>
        <v>56.118487113739469</v>
      </c>
      <c r="G144" s="110">
        <f t="shared" ref="G144:G169" si="73">+Wh_hp/MaxiM</f>
        <v>0.88356529821717855</v>
      </c>
      <c r="H144" s="412" t="b">
        <f>Wh_hp&gt;='2024'!Maxi_hp</f>
        <v>0</v>
      </c>
      <c r="I144" s="388">
        <f>IF(H144,Wh_hp,'2024'!Maxi_hp)</f>
        <v>56.120412695618967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4.3232044245517742E-2</v>
      </c>
      <c r="M144" s="832"/>
      <c r="N144" s="832"/>
      <c r="O144" s="48">
        <f>IF(t&lt;Tnet,'2024'!Resal+('2024'!Salim-'2024'!Resal)*(1-EXP(('2024'!Tnet-t)/('2024'!Tau_j))),Resal+(Salim-Resal)*(1-EXP((Tnet-t)/(Tau_j))))*Salcycl</f>
        <v>9.1947826515691618E-3</v>
      </c>
      <c r="P144" s="169">
        <f>(INDEX(Models!$BJ144:$BT144,,T144)*(1-R144)+INDEX(Models!$BJ144:$BT144,,T144+1)*R144-ERP_i)*Q144*Ramure*Pc/MaxiM</f>
        <v>3.2032206631178424E-4</v>
      </c>
      <c r="Q144" s="304">
        <f t="shared" si="53"/>
        <v>0.6</v>
      </c>
      <c r="R144" s="177">
        <f t="shared" si="54"/>
        <v>0.60789322842671356</v>
      </c>
      <c r="S144" s="799">
        <f t="shared" si="55"/>
        <v>1</v>
      </c>
      <c r="T144" s="176">
        <f t="shared" si="56"/>
        <v>7</v>
      </c>
      <c r="U144" s="250">
        <f t="shared" si="57"/>
        <v>1.6078932284267136</v>
      </c>
      <c r="V144" s="382">
        <f t="shared" si="58"/>
        <v>60.189824020801019</v>
      </c>
      <c r="W144" s="400">
        <f t="shared" si="59"/>
        <v>53.184473136256564</v>
      </c>
      <c r="X144" s="157">
        <f t="shared" si="60"/>
        <v>45787</v>
      </c>
      <c r="Y144" s="383">
        <f t="shared" si="61"/>
        <v>50.274323651617642</v>
      </c>
      <c r="Z144" s="383">
        <f t="shared" si="62"/>
        <v>52.545994406734309</v>
      </c>
      <c r="AA144" s="384">
        <f t="shared" si="63"/>
        <v>56.103499956587591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6.340969017273522E-2</v>
      </c>
      <c r="AD144" s="230">
        <f>(INDEX(Models!$BJ144:$BT144,,AH144)*(1-AF144)+INDEX(Models!$BJ144:$BT144,,AH144+1)*AF144-ERP_i)*AE144*Ramure*Pc/MaxiM</f>
        <v>3.2032206631178424E-4</v>
      </c>
      <c r="AE144" s="304">
        <f t="shared" si="65"/>
        <v>0.6</v>
      </c>
      <c r="AF144" s="177">
        <f t="shared" si="66"/>
        <v>0.60789322842671356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1.6078932284267136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'2024'!Wh/'2024'!Env_an*'2025'!Env_an</f>
        <v>57.349784375943742</v>
      </c>
      <c r="C145" s="829"/>
      <c r="D145" s="391">
        <f t="shared" si="50"/>
        <v>59.942312185107227</v>
      </c>
      <c r="E145" s="383">
        <f t="shared" si="72"/>
        <v>60.505378718199516</v>
      </c>
      <c r="F145" s="383">
        <f t="shared" si="51"/>
        <v>60.523284476773824</v>
      </c>
      <c r="G145" s="110">
        <f t="shared" si="73"/>
        <v>0.95193616972093276</v>
      </c>
      <c r="H145" s="412" t="b">
        <f>Wh_hp&gt;='2024'!Maxi_hp</f>
        <v>0</v>
      </c>
      <c r="I145" s="388">
        <f>IF(H145,Wh_hp,'2024'!Maxi_hp)</f>
        <v>60.524133563423938</v>
      </c>
      <c r="J145" s="85">
        <f>IF(H145,An,'2024'!An_max)</f>
        <v>2022</v>
      </c>
      <c r="K145" s="197">
        <f t="shared" si="52"/>
        <v>45788</v>
      </c>
      <c r="L145" s="147">
        <f>IF(t&lt;Tvie,1-EXP((T0-t)*PertePVj)+'2024'!Pspv,1-EXP((T0-t)*PertePVj)+Pspv)</f>
        <v>4.3250380485115869E-2</v>
      </c>
      <c r="M145" s="832"/>
      <c r="N145" s="832"/>
      <c r="O145" s="48">
        <f>IF(t&lt;Tnet,'2024'!Resal+('2024'!Salim-'2024'!Resal)*(1-EXP(('2024'!Tnet-t)/('2024'!Tau_j))),Resal+(Salim-Resal)*(1-EXP((Tnet-t)/(Tau_j))))*Salcycl</f>
        <v>9.306057494735169E-3</v>
      </c>
      <c r="P145" s="169">
        <f>(INDEX(Models!$BJ145:$BT145,,T145)*(1-R145)+INDEX(Models!$BJ145:$BT145,,T145+1)*R145-ERP_i)*Q145*Ramure*Pc/MaxiM</f>
        <v>3.1765037356662593E-4</v>
      </c>
      <c r="Q145" s="304">
        <f t="shared" si="53"/>
        <v>0.6</v>
      </c>
      <c r="R145" s="177">
        <f t="shared" si="54"/>
        <v>0.61144952948507791</v>
      </c>
      <c r="S145" s="799">
        <f t="shared" si="55"/>
        <v>1</v>
      </c>
      <c r="T145" s="176">
        <f t="shared" si="56"/>
        <v>7</v>
      </c>
      <c r="U145" s="250">
        <f t="shared" si="57"/>
        <v>1.6114495294850779</v>
      </c>
      <c r="V145" s="382">
        <f t="shared" si="58"/>
        <v>60.244095697904037</v>
      </c>
      <c r="W145" s="400">
        <f t="shared" si="59"/>
        <v>57.349784375943742</v>
      </c>
      <c r="X145" s="157">
        <f t="shared" si="60"/>
        <v>45788</v>
      </c>
      <c r="Y145" s="383">
        <f t="shared" si="61"/>
        <v>54.212612158591931</v>
      </c>
      <c r="Z145" s="383">
        <f t="shared" si="62"/>
        <v>56.6633224124826</v>
      </c>
      <c r="AA145" s="384">
        <f t="shared" si="63"/>
        <v>60.505378718199516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6.349941752469776E-2</v>
      </c>
      <c r="AD145" s="230">
        <f>(INDEX(Models!$BJ145:$BT145,,AH145)*(1-AF145)+INDEX(Models!$BJ145:$BT145,,AH145+1)*AF145-ERP_i)*AE145*Ramure*Pc/MaxiM</f>
        <v>3.1765037356662593E-4</v>
      </c>
      <c r="AE145" s="304">
        <f t="shared" si="65"/>
        <v>0.6</v>
      </c>
      <c r="AF145" s="177">
        <f t="shared" si="66"/>
        <v>0.61144952948507791</v>
      </c>
      <c r="AG145" s="799">
        <f t="shared" si="74"/>
        <v>1</v>
      </c>
      <c r="AH145" s="176">
        <f t="shared" si="67"/>
        <v>7</v>
      </c>
      <c r="AI145" s="224">
        <f t="shared" si="68"/>
        <v>1.6114495294850779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'2024'!Wh/'2024'!Env_an*'2025'!Env_an</f>
        <v>42.757416711801802</v>
      </c>
      <c r="C146" s="829"/>
      <c r="D146" s="391">
        <f t="shared" si="50"/>
        <v>44.691145197761927</v>
      </c>
      <c r="E146" s="383">
        <f t="shared" si="72"/>
        <v>45.116023003084756</v>
      </c>
      <c r="F146" s="383">
        <f t="shared" si="51"/>
        <v>45.124334621498363</v>
      </c>
      <c r="G146" s="110">
        <f t="shared" si="73"/>
        <v>0.70904813969823055</v>
      </c>
      <c r="H146" s="412" t="b">
        <f>Wh_hp&gt;='2024'!Maxi_hp</f>
        <v>0</v>
      </c>
      <c r="I146" s="388">
        <f>IF(H146,Wh_hp,'2024'!Maxi_hp)</f>
        <v>56.127004376201441</v>
      </c>
      <c r="J146" s="85">
        <f>IF(H146,An,'2024'!An_max)</f>
        <v>2018</v>
      </c>
      <c r="K146" s="197">
        <f t="shared" si="52"/>
        <v>45789</v>
      </c>
      <c r="L146" s="147">
        <f>IF(t&lt;Tvie,1-EXP((T0-t)*PertePVj)+'2024'!Pspv,1-EXP((T0-t)*PertePVj)+Pspv)</f>
        <v>4.3268716373304317E-2</v>
      </c>
      <c r="M146" s="832"/>
      <c r="N146" s="832"/>
      <c r="O146" s="48">
        <f>IF(t&lt;Tnet,'2024'!Resal+('2024'!Salim-'2024'!Resal)*(1-EXP(('2024'!Tnet-t)/('2024'!Tau_j))),Resal+(Salim-Resal)*(1-EXP((Tnet-t)/(Tau_j))))*Salcycl</f>
        <v>9.4174481047183747E-3</v>
      </c>
      <c r="P146" s="169">
        <f>(INDEX(Models!$BJ146:$BT146,,T146)*(1-R146)+INDEX(Models!$BJ146:$BT146,,T146+1)*R146-ERP_i)*Q146*Ramure*Pc/MaxiM</f>
        <v>3.1513729870220756E-4</v>
      </c>
      <c r="Q146" s="304">
        <f t="shared" si="53"/>
        <v>0.6</v>
      </c>
      <c r="R146" s="177">
        <f t="shared" si="54"/>
        <v>0.61508691713290653</v>
      </c>
      <c r="S146" s="799">
        <f t="shared" si="55"/>
        <v>1</v>
      </c>
      <c r="T146" s="176">
        <f t="shared" si="56"/>
        <v>7</v>
      </c>
      <c r="U146" s="250">
        <f t="shared" si="57"/>
        <v>1.6150869171329065</v>
      </c>
      <c r="V146" s="382">
        <f t="shared" si="58"/>
        <v>60.294660513138005</v>
      </c>
      <c r="W146" s="400">
        <f t="shared" si="59"/>
        <v>42.757416711801802</v>
      </c>
      <c r="X146" s="157">
        <f t="shared" si="60"/>
        <v>45789</v>
      </c>
      <c r="Y146" s="383">
        <f t="shared" si="61"/>
        <v>40.419127323419929</v>
      </c>
      <c r="Z146" s="383">
        <f t="shared" si="62"/>
        <v>42.247105342058568</v>
      </c>
      <c r="AA146" s="384">
        <f t="shared" si="63"/>
        <v>45.116023003084756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6.3589772991073087E-2</v>
      </c>
      <c r="AD146" s="230">
        <f>(INDEX(Models!$BJ146:$BT146,,AH146)*(1-AF146)+INDEX(Models!$BJ146:$BT146,,AH146+1)*AF146-ERP_i)*AE146*Ramure*Pc/MaxiM</f>
        <v>3.1513729870220756E-4</v>
      </c>
      <c r="AE146" s="304">
        <f t="shared" si="65"/>
        <v>0.6</v>
      </c>
      <c r="AF146" s="177">
        <f t="shared" si="66"/>
        <v>0.61508691713290653</v>
      </c>
      <c r="AG146" s="799">
        <f t="shared" si="74"/>
        <v>1</v>
      </c>
      <c r="AH146" s="176">
        <f t="shared" si="67"/>
        <v>7</v>
      </c>
      <c r="AI146" s="224">
        <f t="shared" si="68"/>
        <v>1.6150869171329065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'2024'!Wh/'2024'!Env_an*'2025'!Env_an</f>
        <v>44.785156122950845</v>
      </c>
      <c r="C147" s="829"/>
      <c r="D147" s="391">
        <f t="shared" si="50"/>
        <v>46.811487408386157</v>
      </c>
      <c r="E147" s="383">
        <f t="shared" si="72"/>
        <v>47.261843261666378</v>
      </c>
      <c r="F147" s="383">
        <f t="shared" si="51"/>
        <v>47.271183268109226</v>
      </c>
      <c r="G147" s="110">
        <f t="shared" si="73"/>
        <v>0.74210406433862275</v>
      </c>
      <c r="H147" s="412" t="b">
        <f>Wh_hp&gt;='2024'!Maxi_hp</f>
        <v>0</v>
      </c>
      <c r="I147" s="388">
        <f>IF(H147,Wh_hp,'2024'!Maxi_hp)</f>
        <v>64.735176440204555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4.3287051910089525E-2</v>
      </c>
      <c r="M147" s="832"/>
      <c r="N147" s="832"/>
      <c r="O147" s="48">
        <f>IF(t&lt;Tnet,'2024'!Resal+('2024'!Salim-'2024'!Resal)*(1-EXP(('2024'!Tnet-t)/('2024'!Tau_j))),Resal+(Salim-Resal)*(1-EXP((Tnet-t)/(Tau_j))))*Salcycl</f>
        <v>9.528952368336896E-3</v>
      </c>
      <c r="P147" s="169">
        <f>(INDEX(Models!$BJ147:$BT147,,T147)*(1-R147)+INDEX(Models!$BJ147:$BT147,,T147+1)*R147-ERP_i)*Q147*Ramure*Pc/MaxiM</f>
        <v>3.1278090967505579E-4</v>
      </c>
      <c r="Q147" s="304">
        <f t="shared" si="53"/>
        <v>0.6</v>
      </c>
      <c r="R147" s="177">
        <f t="shared" si="54"/>
        <v>0.6188050202583586</v>
      </c>
      <c r="S147" s="799">
        <f t="shared" si="55"/>
        <v>1</v>
      </c>
      <c r="T147" s="176">
        <f t="shared" si="56"/>
        <v>7</v>
      </c>
      <c r="U147" s="250">
        <f t="shared" si="57"/>
        <v>1.6188050202583586</v>
      </c>
      <c r="V147" s="382">
        <f t="shared" si="58"/>
        <v>60.341936019300839</v>
      </c>
      <c r="W147" s="400">
        <f t="shared" si="59"/>
        <v>44.785156122950845</v>
      </c>
      <c r="X147" s="157">
        <f t="shared" si="60"/>
        <v>45790</v>
      </c>
      <c r="Y147" s="383">
        <f t="shared" si="61"/>
        <v>42.336628674721531</v>
      </c>
      <c r="Z147" s="383">
        <f t="shared" si="62"/>
        <v>44.252174865247873</v>
      </c>
      <c r="AA147" s="384">
        <f t="shared" si="63"/>
        <v>47.261843261666378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6.3680723998752978E-2</v>
      </c>
      <c r="AD147" s="230">
        <f>(INDEX(Models!$BJ147:$BT147,,AH147)*(1-AF147)+INDEX(Models!$BJ147:$BT147,,AH147+1)*AF147-ERP_i)*AE147*Ramure*Pc/MaxiM</f>
        <v>3.1278090967505579E-4</v>
      </c>
      <c r="AE147" s="304">
        <f t="shared" si="65"/>
        <v>0.6</v>
      </c>
      <c r="AF147" s="177">
        <f t="shared" si="66"/>
        <v>0.6188050202583586</v>
      </c>
      <c r="AG147" s="799">
        <f t="shared" si="74"/>
        <v>1</v>
      </c>
      <c r="AH147" s="176">
        <f t="shared" si="67"/>
        <v>7</v>
      </c>
      <c r="AI147" s="224">
        <f t="shared" si="68"/>
        <v>1.6188050202583586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'2024'!Wh/'2024'!Env_an*'2025'!Env_an</f>
        <v>51.033171776761641</v>
      </c>
      <c r="C148" s="829"/>
      <c r="D148" s="391">
        <f t="shared" si="50"/>
        <v>53.343220593481867</v>
      </c>
      <c r="E148" s="383">
        <f t="shared" si="72"/>
        <v>53.862485528191073</v>
      </c>
      <c r="F148" s="383">
        <f t="shared" si="51"/>
        <v>53.875515739761781</v>
      </c>
      <c r="G148" s="110">
        <f t="shared" si="73"/>
        <v>0.84505310631234642</v>
      </c>
      <c r="H148" s="412" t="b">
        <f>Wh_hp&gt;='2024'!Maxi_hp</f>
        <v>0</v>
      </c>
      <c r="I148" s="388">
        <f>IF(H148,Wh_hp,'2024'!Maxi_hp)</f>
        <v>63.17753058579234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4.3305387095478376E-2</v>
      </c>
      <c r="M148" s="832"/>
      <c r="N148" s="832"/>
      <c r="O148" s="48">
        <f>IF(t&lt;Tnet,'2024'!Resal+('2024'!Salim-'2024'!Resal)*(1-EXP(('2024'!Tnet-t)/('2024'!Tau_j))),Resal+(Salim-Resal)*(1-EXP((Tnet-t)/(Tau_j))))*Salcycl</f>
        <v>9.6405676347301565E-3</v>
      </c>
      <c r="P148" s="169">
        <f>(INDEX(Models!$BJ148:$BT148,,T148)*(1-R148)+INDEX(Models!$BJ148:$BT148,,T148+1)*R148-ERP_i)*Q148*Ramure*Pc/MaxiM</f>
        <v>3.1057962636357489E-4</v>
      </c>
      <c r="Q148" s="304">
        <f t="shared" si="53"/>
        <v>0.6</v>
      </c>
      <c r="R148" s="177">
        <f t="shared" si="54"/>
        <v>0.62260331182396111</v>
      </c>
      <c r="S148" s="799">
        <f t="shared" si="55"/>
        <v>1</v>
      </c>
      <c r="T148" s="176">
        <f t="shared" si="56"/>
        <v>7</v>
      </c>
      <c r="U148" s="250">
        <f t="shared" si="57"/>
        <v>1.6226033118239611</v>
      </c>
      <c r="V148" s="382">
        <f t="shared" si="58"/>
        <v>60.386339571279194</v>
      </c>
      <c r="W148" s="400">
        <f t="shared" si="59"/>
        <v>51.033171776761641</v>
      </c>
      <c r="X148" s="157">
        <f t="shared" si="60"/>
        <v>45791</v>
      </c>
      <c r="Y148" s="383">
        <f t="shared" si="61"/>
        <v>48.243769634879492</v>
      </c>
      <c r="Z148" s="383">
        <f t="shared" si="62"/>
        <v>50.427554398379613</v>
      </c>
      <c r="AA148" s="384">
        <f t="shared" si="63"/>
        <v>53.862485528191073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6.3772235835898278E-2</v>
      </c>
      <c r="AD148" s="230">
        <f>(INDEX(Models!$BJ148:$BT148,,AH148)*(1-AF148)+INDEX(Models!$BJ148:$BT148,,AH148+1)*AF148-ERP_i)*AE148*Ramure*Pc/MaxiM</f>
        <v>3.1057962636357489E-4</v>
      </c>
      <c r="AE148" s="304">
        <f t="shared" si="65"/>
        <v>0.6</v>
      </c>
      <c r="AF148" s="177">
        <f t="shared" si="66"/>
        <v>0.62260331182396111</v>
      </c>
      <c r="AG148" s="799">
        <f t="shared" si="74"/>
        <v>1</v>
      </c>
      <c r="AH148" s="176">
        <f t="shared" si="67"/>
        <v>7</v>
      </c>
      <c r="AI148" s="224">
        <f t="shared" si="68"/>
        <v>1.6226033118239611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'2024'!Wh/'2024'!Env_an*'2025'!Env_an</f>
        <v>53.703860004540935</v>
      </c>
      <c r="C149" s="829"/>
      <c r="D149" s="391">
        <f t="shared" si="50"/>
        <v>56.135875045270112</v>
      </c>
      <c r="E149" s="383">
        <f t="shared" si="72"/>
        <v>56.68871992167437</v>
      </c>
      <c r="F149" s="383">
        <f t="shared" si="51"/>
        <v>56.703434502271762</v>
      </c>
      <c r="G149" s="110">
        <f t="shared" si="73"/>
        <v>0.88869884958465917</v>
      </c>
      <c r="H149" s="412" t="b">
        <f>Wh_hp&gt;='2024'!Maxi_hp</f>
        <v>0</v>
      </c>
      <c r="I149" s="388">
        <f>IF(H149,Wh_hp,'2024'!Maxi_hp)</f>
        <v>63.749746861981109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4.3323721929477532E-2</v>
      </c>
      <c r="M149" s="832"/>
      <c r="N149" s="832"/>
      <c r="O149" s="48">
        <f>IF(t&lt;Tnet,'2024'!Resal+('2024'!Salim-'2024'!Resal)*(1-EXP(('2024'!Tnet-t)/('2024'!Tau_j))),Resal+(Salim-Resal)*(1-EXP((Tnet-t)/(Tau_j))))*Salcycl</f>
        <v>9.7522907055955441E-3</v>
      </c>
      <c r="P149" s="169">
        <f>(INDEX(Models!$BJ149:$BT149,,T149)*(1-R149)+INDEX(Models!$BJ149:$BT149,,T149+1)*R149-ERP_i)*Q149*Ramure*Pc/MaxiM</f>
        <v>3.0853981658075476E-4</v>
      </c>
      <c r="Q149" s="304">
        <f t="shared" si="53"/>
        <v>0.6</v>
      </c>
      <c r="R149" s="177">
        <f t="shared" si="54"/>
        <v>0.62648110353900077</v>
      </c>
      <c r="S149" s="799">
        <f t="shared" si="55"/>
        <v>1</v>
      </c>
      <c r="T149" s="176">
        <f t="shared" si="56"/>
        <v>7</v>
      </c>
      <c r="U149" s="250">
        <f t="shared" si="57"/>
        <v>1.6264811035390008</v>
      </c>
      <c r="V149" s="382">
        <f t="shared" si="58"/>
        <v>60.426797847056129</v>
      </c>
      <c r="W149" s="400">
        <f t="shared" si="59"/>
        <v>53.703860004540935</v>
      </c>
      <c r="X149" s="157">
        <f t="shared" si="60"/>
        <v>45792</v>
      </c>
      <c r="Y149" s="383">
        <f t="shared" si="61"/>
        <v>50.769218274117158</v>
      </c>
      <c r="Z149" s="383">
        <f t="shared" si="62"/>
        <v>53.068336111052446</v>
      </c>
      <c r="AA149" s="384">
        <f t="shared" si="63"/>
        <v>56.68871992167437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6.3864271686221399E-2</v>
      </c>
      <c r="AD149" s="230">
        <f>(INDEX(Models!$BJ149:$BT149,,AH149)*(1-AF149)+INDEX(Models!$BJ149:$BT149,,AH149+1)*AF149-ERP_i)*AE149*Ramure*Pc/MaxiM</f>
        <v>3.0853981658075476E-4</v>
      </c>
      <c r="AE149" s="304">
        <f t="shared" si="65"/>
        <v>0.6</v>
      </c>
      <c r="AF149" s="177">
        <f t="shared" si="66"/>
        <v>0.62648110353900077</v>
      </c>
      <c r="AG149" s="799">
        <f t="shared" si="74"/>
        <v>1</v>
      </c>
      <c r="AH149" s="176">
        <f t="shared" si="67"/>
        <v>7</v>
      </c>
      <c r="AI149" s="224">
        <f t="shared" si="68"/>
        <v>1.6264811035390008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'2024'!Wh/'2024'!Env_an*'2025'!Env_an</f>
        <v>52.09650771278217</v>
      </c>
      <c r="C150" s="829"/>
      <c r="D150" s="391">
        <f t="shared" si="50"/>
        <v>54.456776386966865</v>
      </c>
      <c r="E150" s="383">
        <f t="shared" si="72"/>
        <v>54.999295922380682</v>
      </c>
      <c r="F150" s="383">
        <f t="shared" si="51"/>
        <v>55.012831560039601</v>
      </c>
      <c r="G150" s="110">
        <f t="shared" si="73"/>
        <v>0.8615868305237161</v>
      </c>
      <c r="H150" s="412" t="b">
        <f>Wh_hp&gt;='2024'!Maxi_hp</f>
        <v>0</v>
      </c>
      <c r="I150" s="388">
        <f>IF(H150,Wh_hp,'2024'!Maxi_hp)</f>
        <v>55.014965480142017</v>
      </c>
      <c r="J150" s="85">
        <f>IF(H150,An,'2024'!An_max)</f>
        <v>2022</v>
      </c>
      <c r="K150" s="197">
        <f t="shared" si="52"/>
        <v>45793</v>
      </c>
      <c r="L150" s="147">
        <f>IF(t&lt;Tvie,1-EXP((T0-t)*PertePVj)+'2024'!Pspv,1-EXP((T0-t)*PertePVj)+Pspv)</f>
        <v>4.3342056412093766E-2</v>
      </c>
      <c r="M150" s="832"/>
      <c r="N150" s="832"/>
      <c r="O150" s="48">
        <f>IF(t&lt;Tnet,'2024'!Resal+('2024'!Salim-'2024'!Resal)*(1-EXP(('2024'!Tnet-t)/('2024'!Tau_j))),Resal+(Salim-Resal)*(1-EXP((Tnet-t)/(Tau_j))))*Salcycl</f>
        <v>9.8641178276075072E-3</v>
      </c>
      <c r="P150" s="169">
        <f>(INDEX(Models!$BJ150:$BT150,,T150)*(1-R150)+INDEX(Models!$BJ150:$BT150,,T150+1)*R150-ERP_i)*Q150*Ramure*Pc/MaxiM</f>
        <v>3.0665881212632953E-4</v>
      </c>
      <c r="Q150" s="304">
        <f t="shared" si="53"/>
        <v>0.6</v>
      </c>
      <c r="R150" s="177">
        <f t="shared" si="54"/>
        <v>0.63043754100012683</v>
      </c>
      <c r="S150" s="799">
        <f t="shared" si="55"/>
        <v>1</v>
      </c>
      <c r="T150" s="176">
        <f t="shared" si="56"/>
        <v>7</v>
      </c>
      <c r="U150" s="250">
        <f t="shared" si="57"/>
        <v>1.6304375410001268</v>
      </c>
      <c r="V150" s="382">
        <f t="shared" si="58"/>
        <v>60.462100077908836</v>
      </c>
      <c r="W150" s="400">
        <f t="shared" si="59"/>
        <v>52.09650771278217</v>
      </c>
      <c r="X150" s="157">
        <f t="shared" si="60"/>
        <v>45793</v>
      </c>
      <c r="Y150" s="383">
        <f t="shared" si="61"/>
        <v>49.250393857995029</v>
      </c>
      <c r="Z150" s="383">
        <f t="shared" si="62"/>
        <v>51.481717355822553</v>
      </c>
      <c r="AA150" s="384">
        <f t="shared" si="63"/>
        <v>54.999295922380682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6.3956792674626409E-2</v>
      </c>
      <c r="AD150" s="230">
        <f>(INDEX(Models!$BJ150:$BT150,,AH150)*(1-AF150)+INDEX(Models!$BJ150:$BT150,,AH150+1)*AF150-ERP_i)*AE150*Ramure*Pc/MaxiM</f>
        <v>3.0665881212632953E-4</v>
      </c>
      <c r="AE150" s="304">
        <f t="shared" si="65"/>
        <v>0.6</v>
      </c>
      <c r="AF150" s="177">
        <f t="shared" si="66"/>
        <v>0.63043754100012683</v>
      </c>
      <c r="AG150" s="799">
        <f t="shared" si="74"/>
        <v>1</v>
      </c>
      <c r="AH150" s="176">
        <f t="shared" si="67"/>
        <v>7</v>
      </c>
      <c r="AI150" s="224">
        <f t="shared" si="68"/>
        <v>1.6304375410001268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'2024'!Wh/'2024'!Env_an*'2025'!Env_an</f>
        <v>55.561870995091489</v>
      </c>
      <c r="C151" s="829"/>
      <c r="D151" s="391">
        <f t="shared" si="50"/>
        <v>58.080253468334291</v>
      </c>
      <c r="E151" s="383">
        <f t="shared" si="72"/>
        <v>58.665503149348581</v>
      </c>
      <c r="F151" s="383">
        <f t="shared" si="51"/>
        <v>58.68130210376858</v>
      </c>
      <c r="G151" s="110">
        <f t="shared" si="73"/>
        <v>0.91845975614173547</v>
      </c>
      <c r="H151" s="412" t="b">
        <f>Wh_hp&gt;='2024'!Maxi_hp</f>
        <v>0</v>
      </c>
      <c r="I151" s="388">
        <f>IF(H151,Wh_hp,'2024'!Maxi_hp)</f>
        <v>58.682633435101266</v>
      </c>
      <c r="J151" s="85">
        <f>IF(H151,An,'2024'!An_max)</f>
        <v>2022</v>
      </c>
      <c r="K151" s="197">
        <f t="shared" si="52"/>
        <v>45794</v>
      </c>
      <c r="L151" s="147">
        <f>IF(t&lt;Tvie,1-EXP((T0-t)*PertePVj)+'2024'!Pspv,1-EXP((T0-t)*PertePVj)+Pspv)</f>
        <v>4.336039054333396E-2</v>
      </c>
      <c r="M151" s="832"/>
      <c r="N151" s="832"/>
      <c r="O151" s="48">
        <f>IF(t&lt;Tnet,'2024'!Resal+('2024'!Salim-'2024'!Resal)*(1-EXP(('2024'!Tnet-t)/('2024'!Tau_j))),Resal+(Salim-Resal)*(1-EXP((Tnet-t)/(Tau_j))))*Salcycl</f>
        <v>9.9760446871884345E-3</v>
      </c>
      <c r="P151" s="169">
        <f>(INDEX(Models!$BJ151:$BT151,,T151)*(1-R151)+INDEX(Models!$BJ151:$BT151,,T151+1)*R151-ERP_i)*Q151*Ramure*Pc/MaxiM</f>
        <v>3.0471393055710817E-4</v>
      </c>
      <c r="Q151" s="304">
        <f t="shared" si="53"/>
        <v>0.6</v>
      </c>
      <c r="R151" s="177">
        <f t="shared" si="54"/>
        <v>0.63447159936010067</v>
      </c>
      <c r="S151" s="799">
        <f t="shared" si="55"/>
        <v>1</v>
      </c>
      <c r="T151" s="176">
        <f t="shared" si="56"/>
        <v>7</v>
      </c>
      <c r="U151" s="250">
        <f t="shared" si="57"/>
        <v>1.6344715993601007</v>
      </c>
      <c r="V151" s="382">
        <f t="shared" si="58"/>
        <v>60.492469829600743</v>
      </c>
      <c r="W151" s="400">
        <f t="shared" si="59"/>
        <v>55.561870995091489</v>
      </c>
      <c r="X151" s="157">
        <f t="shared" si="60"/>
        <v>45794</v>
      </c>
      <c r="Y151" s="383">
        <f t="shared" si="61"/>
        <v>52.527159902499783</v>
      </c>
      <c r="Z151" s="383">
        <f t="shared" si="62"/>
        <v>54.907991874111467</v>
      </c>
      <c r="AA151" s="384">
        <f t="shared" si="63"/>
        <v>58.665503149348581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6.4049757924539971E-2</v>
      </c>
      <c r="AD151" s="230">
        <f>(INDEX(Models!$BJ151:$BT151,,AH151)*(1-AF151)+INDEX(Models!$BJ151:$BT151,,AH151+1)*AF151-ERP_i)*AE151*Ramure*Pc/MaxiM</f>
        <v>3.0471393055710817E-4</v>
      </c>
      <c r="AE151" s="304">
        <f t="shared" si="65"/>
        <v>0.6</v>
      </c>
      <c r="AF151" s="177">
        <f t="shared" si="66"/>
        <v>0.63447159936010067</v>
      </c>
      <c r="AG151" s="799">
        <f t="shared" si="74"/>
        <v>1</v>
      </c>
      <c r="AH151" s="176">
        <f t="shared" si="67"/>
        <v>7</v>
      </c>
      <c r="AI151" s="224">
        <f t="shared" si="68"/>
        <v>1.6344715993601007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'2024'!Wh/'2024'!Env_an*'2025'!Env_an</f>
        <v>53.739205796710863</v>
      </c>
      <c r="C152" s="829"/>
      <c r="D152" s="391">
        <f t="shared" si="50"/>
        <v>56.176051236881769</v>
      </c>
      <c r="E152" s="383">
        <f t="shared" si="72"/>
        <v>56.748534218623959</v>
      </c>
      <c r="F152" s="383">
        <f t="shared" si="51"/>
        <v>56.762966782794408</v>
      </c>
      <c r="G152" s="110">
        <f t="shared" si="73"/>
        <v>0.88794239265836739</v>
      </c>
      <c r="H152" s="412" t="b">
        <f>Wh_hp&gt;='2024'!Maxi_hp</f>
        <v>0</v>
      </c>
      <c r="I152" s="388">
        <f>IF(H152,Wh_hp,'2024'!Maxi_hp)</f>
        <v>65.112138934007149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4.3378724323204554E-2</v>
      </c>
      <c r="M152" s="832"/>
      <c r="N152" s="832"/>
      <c r="O152" s="48">
        <f>IF(t&lt;Tnet,'2024'!Resal+('2024'!Salim-'2024'!Resal)*(1-EXP(('2024'!Tnet-t)/('2024'!Tau_j))),Resal+(Salim-Resal)*(1-EXP((Tnet-t)/(Tau_j))))*Salcycl</f>
        <v>1.0088066407789517E-2</v>
      </c>
      <c r="P152" s="169">
        <f>(INDEX(Models!$BJ152:$BT152,,T152)*(1-R152)+INDEX(Models!$BJ152:$BT152,,T152+1)*R152-ERP_i)*Q152*Ramure*Pc/MaxiM</f>
        <v>3.0269824063214611E-4</v>
      </c>
      <c r="Q152" s="304">
        <f t="shared" si="53"/>
        <v>0.6</v>
      </c>
      <c r="R152" s="177">
        <f t="shared" si="54"/>
        <v>0.63858207958405777</v>
      </c>
      <c r="S152" s="799">
        <f t="shared" si="55"/>
        <v>1</v>
      </c>
      <c r="T152" s="176">
        <f t="shared" si="56"/>
        <v>7</v>
      </c>
      <c r="U152" s="250">
        <f t="shared" si="57"/>
        <v>1.6385820795840578</v>
      </c>
      <c r="V152" s="382">
        <f t="shared" si="58"/>
        <v>60.518117569340433</v>
      </c>
      <c r="W152" s="400">
        <f t="shared" si="59"/>
        <v>53.739205796710863</v>
      </c>
      <c r="X152" s="157">
        <f t="shared" si="60"/>
        <v>45795</v>
      </c>
      <c r="Y152" s="383">
        <f t="shared" si="61"/>
        <v>50.80472667848904</v>
      </c>
      <c r="Z152" s="383">
        <f t="shared" si="62"/>
        <v>53.108505915829063</v>
      </c>
      <c r="AA152" s="384">
        <f t="shared" si="63"/>
        <v>56.748534218623959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6.4143124627178416E-2</v>
      </c>
      <c r="AD152" s="230">
        <f>(INDEX(Models!$BJ152:$BT152,,AH152)*(1-AF152)+INDEX(Models!$BJ152:$BT152,,AH152+1)*AF152-ERP_i)*AE152*Ramure*Pc/MaxiM</f>
        <v>3.0269824063214611E-4</v>
      </c>
      <c r="AE152" s="304">
        <f t="shared" si="65"/>
        <v>0.6</v>
      </c>
      <c r="AF152" s="177">
        <f t="shared" si="66"/>
        <v>0.63858207958405777</v>
      </c>
      <c r="AG152" s="799">
        <f t="shared" si="74"/>
        <v>1</v>
      </c>
      <c r="AH152" s="176">
        <f t="shared" si="67"/>
        <v>7</v>
      </c>
      <c r="AI152" s="224">
        <f t="shared" si="68"/>
        <v>1.6385820795840578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'2024'!Wh/'2024'!Env_an*'2025'!Env_an</f>
        <v>56.492020187271834</v>
      </c>
      <c r="C153" s="829"/>
      <c r="D153" s="391">
        <f t="shared" si="50"/>
        <v>59.0548258763449</v>
      </c>
      <c r="E153" s="383">
        <f t="shared" si="72"/>
        <v>59.663403182028489</v>
      </c>
      <c r="F153" s="383">
        <f t="shared" si="51"/>
        <v>59.679629822444333</v>
      </c>
      <c r="G153" s="110">
        <f t="shared" si="73"/>
        <v>0.93312015715787211</v>
      </c>
      <c r="H153" s="412" t="b">
        <f>Wh_hp&gt;='2024'!Maxi_hp</f>
        <v>0</v>
      </c>
      <c r="I153" s="388">
        <f>IF(H153,Wh_hp,'2024'!Maxi_hp)</f>
        <v>63.796579298765408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4.3397057751712542E-2</v>
      </c>
      <c r="M153" s="832"/>
      <c r="N153" s="832"/>
      <c r="O153" s="48">
        <f>IF(t&lt;Tnet,'2024'!Resal+('2024'!Salim-'2024'!Resal)*(1-EXP(('2024'!Tnet-t)/('2024'!Tau_j))),Resal+(Salim-Resal)*(1-EXP((Tnet-t)/(Tau_j))))*Salcycl</f>
        <v>1.0200177549826755E-2</v>
      </c>
      <c r="P153" s="169">
        <f>(INDEX(Models!$BJ153:$BT153,,T153)*(1-R153)+INDEX(Models!$BJ153:$BT153,,T153+1)*R153-ERP_i)*Q153*Ramure*Pc/MaxiM</f>
        <v>3.0060486821154373E-4</v>
      </c>
      <c r="Q153" s="304">
        <f t="shared" si="53"/>
        <v>0.6</v>
      </c>
      <c r="R153" s="177">
        <f t="shared" si="54"/>
        <v>0.64276760535135424</v>
      </c>
      <c r="S153" s="799">
        <f t="shared" si="55"/>
        <v>1</v>
      </c>
      <c r="T153" s="176">
        <f t="shared" si="56"/>
        <v>7</v>
      </c>
      <c r="U153" s="250">
        <f t="shared" si="57"/>
        <v>1.6427676053513542</v>
      </c>
      <c r="V153" s="382">
        <f t="shared" si="58"/>
        <v>60.539253684882297</v>
      </c>
      <c r="W153" s="400">
        <f t="shared" si="59"/>
        <v>56.492020187271834</v>
      </c>
      <c r="X153" s="157">
        <f t="shared" si="60"/>
        <v>45796</v>
      </c>
      <c r="Y153" s="383">
        <f t="shared" si="61"/>
        <v>53.40792114458803</v>
      </c>
      <c r="Z153" s="383">
        <f t="shared" si="62"/>
        <v>55.830814213329006</v>
      </c>
      <c r="AA153" s="384">
        <f t="shared" si="63"/>
        <v>59.663403182028489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6.4236848122902826E-2</v>
      </c>
      <c r="AD153" s="230">
        <f>(INDEX(Models!$BJ153:$BT153,,AH153)*(1-AF153)+INDEX(Models!$BJ153:$BT153,,AH153+1)*AF153-ERP_i)*AE153*Ramure*Pc/MaxiM</f>
        <v>3.0060486821154373E-4</v>
      </c>
      <c r="AE153" s="304">
        <f t="shared" si="65"/>
        <v>0.6</v>
      </c>
      <c r="AF153" s="177">
        <f t="shared" si="66"/>
        <v>0.64276760535135424</v>
      </c>
      <c r="AG153" s="799">
        <f t="shared" si="74"/>
        <v>1</v>
      </c>
      <c r="AH153" s="176">
        <f t="shared" si="67"/>
        <v>7</v>
      </c>
      <c r="AI153" s="224">
        <f t="shared" si="68"/>
        <v>1.6427676053513542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'2024'!Wh/'2024'!Env_an*'2025'!Env_an</f>
        <v>50.409073285606098</v>
      </c>
      <c r="C154" s="829"/>
      <c r="D154" s="391">
        <f t="shared" si="50"/>
        <v>52.696931146827374</v>
      </c>
      <c r="E154" s="383">
        <f t="shared" si="72"/>
        <v>53.246023959456402</v>
      </c>
      <c r="F154" s="383">
        <f t="shared" si="51"/>
        <v>53.258113042207086</v>
      </c>
      <c r="G154" s="110">
        <f t="shared" si="73"/>
        <v>0.83237660615113274</v>
      </c>
      <c r="H154" s="412" t="b">
        <f>Wh_hp&gt;='2024'!Maxi_hp</f>
        <v>0</v>
      </c>
      <c r="I154" s="388">
        <f>IF(H154,Wh_hp,'2024'!Maxi_hp)</f>
        <v>63.305602398396879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4.3415390828864586E-2</v>
      </c>
      <c r="M154" s="832"/>
      <c r="N154" s="832"/>
      <c r="O154" s="48">
        <f>IF(t&lt;Tnet,'2024'!Resal+('2024'!Salim-'2024'!Resal)*(1-EXP(('2024'!Tnet-t)/('2024'!Tau_j))),Resal+(Salim-Resal)*(1-EXP((Tnet-t)/(Tau_j))))*Salcycl</f>
        <v>1.0312372113401887E-2</v>
      </c>
      <c r="P154" s="169">
        <f>(INDEX(Models!$BJ154:$BT154,,T154)*(1-R154)+INDEX(Models!$BJ154:$BT154,,T154+1)*R154-ERP_i)*Q154*Ramure*Pc/MaxiM</f>
        <v>2.984270136690381E-4</v>
      </c>
      <c r="Q154" s="304">
        <f t="shared" si="53"/>
        <v>0.6</v>
      </c>
      <c r="R154" s="177">
        <f t="shared" si="54"/>
        <v>0.64702662065901495</v>
      </c>
      <c r="S154" s="799">
        <f t="shared" si="55"/>
        <v>1</v>
      </c>
      <c r="T154" s="176">
        <f t="shared" si="56"/>
        <v>7</v>
      </c>
      <c r="U154" s="250">
        <f t="shared" si="57"/>
        <v>1.647026620659015</v>
      </c>
      <c r="V154" s="382">
        <f t="shared" si="58"/>
        <v>60.556088487200796</v>
      </c>
      <c r="W154" s="400">
        <f t="shared" si="59"/>
        <v>50.409073285606098</v>
      </c>
      <c r="X154" s="157">
        <f t="shared" si="60"/>
        <v>45797</v>
      </c>
      <c r="Y154" s="383">
        <f t="shared" si="61"/>
        <v>47.657676838222798</v>
      </c>
      <c r="Z154" s="383">
        <f t="shared" si="62"/>
        <v>49.8206602754328</v>
      </c>
      <c r="AA154" s="384">
        <f t="shared" si="63"/>
        <v>53.246023959456402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6.4330881994715844E-2</v>
      </c>
      <c r="AD154" s="230">
        <f>(INDEX(Models!$BJ154:$BT154,,AH154)*(1-AF154)+INDEX(Models!$BJ154:$BT154,,AH154+1)*AF154-ERP_i)*AE154*Ramure*Pc/MaxiM</f>
        <v>2.984270136690381E-4</v>
      </c>
      <c r="AE154" s="304">
        <f t="shared" si="65"/>
        <v>0.6</v>
      </c>
      <c r="AF154" s="177">
        <f t="shared" si="66"/>
        <v>0.64702662065901495</v>
      </c>
      <c r="AG154" s="799">
        <f t="shared" si="74"/>
        <v>1</v>
      </c>
      <c r="AH154" s="176">
        <f t="shared" si="67"/>
        <v>7</v>
      </c>
      <c r="AI154" s="224">
        <f t="shared" si="68"/>
        <v>1.647026620659015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'2024'!Wh/'2024'!Env_an*'2025'!Env_an</f>
        <v>50.506667108138046</v>
      </c>
      <c r="C155" s="829"/>
      <c r="D155" s="391">
        <f t="shared" si="50"/>
        <v>52.799966245751797</v>
      </c>
      <c r="E155" s="383">
        <f t="shared" si="72"/>
        <v>53.356185460036023</v>
      </c>
      <c r="F155" s="383">
        <f t="shared" si="51"/>
        <v>53.368239859928977</v>
      </c>
      <c r="G155" s="110">
        <f t="shared" si="73"/>
        <v>0.83381360612486777</v>
      </c>
      <c r="H155" s="412" t="b">
        <f>Wh_hp&gt;='2024'!Maxi_hp</f>
        <v>0</v>
      </c>
      <c r="I155" s="388">
        <f>IF(H155,Wh_hp,'2024'!Maxi_hp)</f>
        <v>61.653025263591708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4.3433723554667347E-2</v>
      </c>
      <c r="M155" s="832"/>
      <c r="N155" s="832"/>
      <c r="O155" s="48">
        <f>IF(t&lt;Tnet,'2024'!Resal+('2024'!Salim-'2024'!Resal)*(1-EXP(('2024'!Tnet-t)/('2024'!Tau_j))),Resal+(Salim-Resal)*(1-EXP((Tnet-t)/(Tau_j))))*Salcycl</f>
        <v>1.0424643543921273E-2</v>
      </c>
      <c r="P155" s="169">
        <f>(INDEX(Models!$BJ155:$BT155,,T155)*(1-R155)+INDEX(Models!$BJ155:$BT155,,T155+1)*R155-ERP_i)*Q155*Ramure*Pc/MaxiM</f>
        <v>2.9615797032345035E-4</v>
      </c>
      <c r="Q155" s="304">
        <f t="shared" si="53"/>
        <v>0.6</v>
      </c>
      <c r="R155" s="177">
        <f t="shared" si="54"/>
        <v>0.6513573881799577</v>
      </c>
      <c r="S155" s="799">
        <f t="shared" si="55"/>
        <v>1</v>
      </c>
      <c r="T155" s="176">
        <f t="shared" si="56"/>
        <v>7</v>
      </c>
      <c r="U155" s="250">
        <f t="shared" si="57"/>
        <v>1.6513573881799577</v>
      </c>
      <c r="V155" s="382">
        <f t="shared" si="58"/>
        <v>60.568832210697607</v>
      </c>
      <c r="W155" s="400">
        <f t="shared" si="59"/>
        <v>50.506667108138046</v>
      </c>
      <c r="X155" s="157">
        <f t="shared" si="60"/>
        <v>45798</v>
      </c>
      <c r="Y155" s="383">
        <f t="shared" si="61"/>
        <v>47.75054852816168</v>
      </c>
      <c r="Z155" s="383">
        <f t="shared" si="62"/>
        <v>49.918703705096178</v>
      </c>
      <c r="AA155" s="384">
        <f t="shared" si="63"/>
        <v>53.356185460036023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6.4425178173850739E-2</v>
      </c>
      <c r="AD155" s="230">
        <f>(INDEX(Models!$BJ155:$BT155,,AH155)*(1-AF155)+INDEX(Models!$BJ155:$BT155,,AH155+1)*AF155-ERP_i)*AE155*Ramure*Pc/MaxiM</f>
        <v>2.9615797032345035E-4</v>
      </c>
      <c r="AE155" s="304">
        <f t="shared" si="65"/>
        <v>0.6</v>
      </c>
      <c r="AF155" s="177">
        <f t="shared" si="66"/>
        <v>0.6513573881799577</v>
      </c>
      <c r="AG155" s="799">
        <f t="shared" si="74"/>
        <v>1</v>
      </c>
      <c r="AH155" s="176">
        <f t="shared" si="67"/>
        <v>7</v>
      </c>
      <c r="AI155" s="224">
        <f t="shared" si="68"/>
        <v>1.6513573881799577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'2024'!Wh/'2024'!Env_an*'2025'!Env_an</f>
        <v>38.36473181539936</v>
      </c>
      <c r="C156" s="829"/>
      <c r="D156" s="391">
        <f t="shared" si="50"/>
        <v>40.107484473937504</v>
      </c>
      <c r="E156" s="383">
        <f t="shared" si="72"/>
        <v>40.534596902974819</v>
      </c>
      <c r="F156" s="383">
        <f t="shared" si="51"/>
        <v>40.54027049867851</v>
      </c>
      <c r="G156" s="110">
        <f t="shared" si="73"/>
        <v>0.63321704294768444</v>
      </c>
      <c r="H156" s="412" t="b">
        <f>Wh_hp&gt;='2024'!Maxi_hp</f>
        <v>0</v>
      </c>
      <c r="I156" s="388">
        <f>IF(H156,Wh_hp,'2024'!Maxi_hp)</f>
        <v>60.757180610940942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4.3452055929127487E-2</v>
      </c>
      <c r="M156" s="832"/>
      <c r="N156" s="832"/>
      <c r="O156" s="48">
        <f>IF(t&lt;Tnet,'2024'!Resal+('2024'!Salim-'2024'!Resal)*(1-EXP(('2024'!Tnet-t)/('2024'!Tau_j))),Resal+(Salim-Resal)*(1-EXP((Tnet-t)/(Tau_j))))*Salcycl</f>
        <v>1.0536984740706029E-2</v>
      </c>
      <c r="P156" s="169">
        <f>(INDEX(Models!$BJ156:$BT156,,T156)*(1-R156)+INDEX(Models!$BJ156:$BT156,,T156+1)*R156-ERP_i)*Q156*Ramure*Pc/MaxiM</f>
        <v>2.9391076600416113E-4</v>
      </c>
      <c r="Q156" s="304">
        <f t="shared" si="53"/>
        <v>0.6</v>
      </c>
      <c r="R156" s="177">
        <f t="shared" si="54"/>
        <v>0.65575798842551336</v>
      </c>
      <c r="S156" s="799">
        <f t="shared" si="55"/>
        <v>1</v>
      </c>
      <c r="T156" s="176">
        <f t="shared" si="56"/>
        <v>7</v>
      </c>
      <c r="U156" s="250">
        <f t="shared" si="57"/>
        <v>1.6557579884255134</v>
      </c>
      <c r="V156" s="382">
        <f t="shared" si="58"/>
        <v>60.577687758126487</v>
      </c>
      <c r="W156" s="400">
        <f t="shared" si="59"/>
        <v>38.36473181539936</v>
      </c>
      <c r="X156" s="157">
        <f t="shared" si="60"/>
        <v>45799</v>
      </c>
      <c r="Y156" s="383">
        <f t="shared" si="61"/>
        <v>36.271645095524484</v>
      </c>
      <c r="Z156" s="383">
        <f t="shared" si="62"/>
        <v>37.919317395801173</v>
      </c>
      <c r="AA156" s="384">
        <f t="shared" si="63"/>
        <v>40.534596902974819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6.4519687057297839E-2</v>
      </c>
      <c r="AD156" s="230">
        <f>(INDEX(Models!$BJ156:$BT156,,AH156)*(1-AF156)+INDEX(Models!$BJ156:$BT156,,AH156+1)*AF156-ERP_i)*AE156*Ramure*Pc/MaxiM</f>
        <v>2.9391076600416113E-4</v>
      </c>
      <c r="AE156" s="304">
        <f t="shared" si="65"/>
        <v>0.6</v>
      </c>
      <c r="AF156" s="177">
        <f t="shared" si="66"/>
        <v>0.65575798842551336</v>
      </c>
      <c r="AG156" s="799">
        <f t="shared" si="74"/>
        <v>1</v>
      </c>
      <c r="AH156" s="176">
        <f t="shared" si="67"/>
        <v>7</v>
      </c>
      <c r="AI156" s="224">
        <f t="shared" si="68"/>
        <v>1.6557579884255134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'2024'!Wh/'2024'!Env_an*'2025'!Env_an</f>
        <v>20.255877121330123</v>
      </c>
      <c r="C157" s="829"/>
      <c r="D157" s="391">
        <f t="shared" si="50"/>
        <v>21.176424510231463</v>
      </c>
      <c r="E157" s="383">
        <f t="shared" si="72"/>
        <v>21.404367930689894</v>
      </c>
      <c r="F157" s="383">
        <f t="shared" si="51"/>
        <v>21.404674313024117</v>
      </c>
      <c r="G157" s="110">
        <f t="shared" si="73"/>
        <v>0.33425719800045667</v>
      </c>
      <c r="H157" s="412" t="b">
        <f>Wh_hp&gt;='2024'!Maxi_hp</f>
        <v>0</v>
      </c>
      <c r="I157" s="388">
        <f>IF(H157,Wh_hp,'2024'!Maxi_hp)</f>
        <v>57.940082195716684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4.3470387952251999E-2</v>
      </c>
      <c r="M157" s="832"/>
      <c r="N157" s="832"/>
      <c r="O157" s="48">
        <f>IF(t&lt;Tnet,'2024'!Resal+('2024'!Salim-'2024'!Resal)*(1-EXP(('2024'!Tnet-t)/('2024'!Tau_j))),Resal+(Salim-Resal)*(1-EXP((Tnet-t)/(Tau_j))))*Salcycl</f>
        <v>1.0649388068666246E-2</v>
      </c>
      <c r="P157" s="169">
        <f>(INDEX(Models!$BJ157:$BT157,,T157)*(1-R157)+INDEX(Models!$BJ157:$BT157,,T157+1)*R157-ERP_i)*Q157*Ramure*Pc/MaxiM</f>
        <v>2.9169375904437042E-4</v>
      </c>
      <c r="Q157" s="304">
        <f t="shared" si="53"/>
        <v>0.6</v>
      </c>
      <c r="R157" s="177">
        <f t="shared" si="54"/>
        <v>0.66022631975728574</v>
      </c>
      <c r="S157" s="799">
        <f t="shared" si="55"/>
        <v>1</v>
      </c>
      <c r="T157" s="176">
        <f t="shared" si="56"/>
        <v>7</v>
      </c>
      <c r="U157" s="250">
        <f t="shared" si="57"/>
        <v>1.6602263197572857</v>
      </c>
      <c r="V157" s="382">
        <f t="shared" si="58"/>
        <v>60.582864296651891</v>
      </c>
      <c r="W157" s="400">
        <f t="shared" si="59"/>
        <v>20.255877121330123</v>
      </c>
      <c r="X157" s="157">
        <f t="shared" si="60"/>
        <v>45800</v>
      </c>
      <c r="Y157" s="383">
        <f t="shared" si="61"/>
        <v>19.151003096641638</v>
      </c>
      <c r="Z157" s="383">
        <f t="shared" si="62"/>
        <v>20.021338446222259</v>
      </c>
      <c r="AA157" s="384">
        <f t="shared" si="63"/>
        <v>21.404367930689894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6.4614357637004849E-2</v>
      </c>
      <c r="AD157" s="230">
        <f>(INDEX(Models!$BJ157:$BT157,,AH157)*(1-AF157)+INDEX(Models!$BJ157:$BT157,,AH157+1)*AF157-ERP_i)*AE157*Ramure*Pc/MaxiM</f>
        <v>2.9169375904437042E-4</v>
      </c>
      <c r="AE157" s="304">
        <f t="shared" si="65"/>
        <v>0.6</v>
      </c>
      <c r="AF157" s="177">
        <f t="shared" si="66"/>
        <v>0.66022631975728574</v>
      </c>
      <c r="AG157" s="799">
        <f t="shared" si="74"/>
        <v>1</v>
      </c>
      <c r="AH157" s="176">
        <f t="shared" si="67"/>
        <v>7</v>
      </c>
      <c r="AI157" s="224">
        <f t="shared" si="68"/>
        <v>1.6602263197572857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'2024'!Wh/'2024'!Env_an*'2025'!Env_an</f>
        <v>16.74523268059167</v>
      </c>
      <c r="C158" s="829"/>
      <c r="D158" s="391">
        <f t="shared" si="50"/>
        <v>17.506571040134549</v>
      </c>
      <c r="E158" s="383">
        <f t="shared" si="72"/>
        <v>17.697023672461484</v>
      </c>
      <c r="F158" s="383">
        <f t="shared" si="51"/>
        <v>17.697023672461484</v>
      </c>
      <c r="G158" s="110">
        <f t="shared" si="73"/>
        <v>0.27631432268371531</v>
      </c>
      <c r="H158" s="412" t="b">
        <f>Wh_hp&gt;='2024'!Maxi_hp</f>
        <v>0</v>
      </c>
      <c r="I158" s="388">
        <f>IF(H158,Wh_hp,'2024'!Maxi_hp)</f>
        <v>27.39141049073487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4.3488719624047434E-2</v>
      </c>
      <c r="M158" s="832"/>
      <c r="N158" s="832"/>
      <c r="O158" s="48">
        <f>IF(t&lt;Tnet,'2024'!Resal+('2024'!Salim-'2024'!Resal)*(1-EXP(('2024'!Tnet-t)/('2024'!Tau_j))),Resal+(Salim-Resal)*(1-EXP((Tnet-t)/(Tau_j))))*Salcycl</f>
        <v>1.0761845373089499E-2</v>
      </c>
      <c r="P158" s="169">
        <f>(INDEX(Models!$BJ158:$BT158,,T158)*(1-R158)+INDEX(Models!$BJ158:$BT158,,T158+1)*R158-ERP_i)*Q158*Ramure*Pc/MaxiM</f>
        <v>2.8950339880734499E-4</v>
      </c>
      <c r="Q158" s="304">
        <f t="shared" si="53"/>
        <v>0.6</v>
      </c>
      <c r="R158" s="177">
        <f t="shared" si="54"/>
        <v>0.66476009928811508</v>
      </c>
      <c r="S158" s="799">
        <f t="shared" si="55"/>
        <v>1</v>
      </c>
      <c r="T158" s="176">
        <f t="shared" si="56"/>
        <v>7</v>
      </c>
      <c r="U158" s="250">
        <f t="shared" si="57"/>
        <v>1.6647600992881151</v>
      </c>
      <c r="V158" s="382">
        <f t="shared" si="58"/>
        <v>60.584571643717474</v>
      </c>
      <c r="W158" s="400">
        <f t="shared" si="59"/>
        <v>16.74523268059167</v>
      </c>
      <c r="X158" s="157">
        <f t="shared" si="60"/>
        <v>45801</v>
      </c>
      <c r="Y158" s="383">
        <f t="shared" si="61"/>
        <v>15.832045135935804</v>
      </c>
      <c r="Z158" s="383">
        <f t="shared" si="62"/>
        <v>16.551864531815127</v>
      </c>
      <c r="AA158" s="384">
        <f t="shared" si="63"/>
        <v>17.697023672461484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6.4709137640379152E-2</v>
      </c>
      <c r="AD158" s="230">
        <f>(INDEX(Models!$BJ158:$BT158,,AH158)*(1-AF158)+INDEX(Models!$BJ158:$BT158,,AH158+1)*AF158-ERP_i)*AE158*Ramure*Pc/MaxiM</f>
        <v>2.8950339880734499E-4</v>
      </c>
      <c r="AE158" s="304">
        <f t="shared" si="65"/>
        <v>0.6</v>
      </c>
      <c r="AF158" s="177">
        <f t="shared" si="66"/>
        <v>0.66476009928811508</v>
      </c>
      <c r="AG158" s="799">
        <f t="shared" si="74"/>
        <v>1</v>
      </c>
      <c r="AH158" s="176">
        <f t="shared" si="67"/>
        <v>7</v>
      </c>
      <c r="AI158" s="224">
        <f t="shared" si="68"/>
        <v>1.6647600992881151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'2024'!Wh/'2024'!Env_an*'2025'!Env_an</f>
        <v>42.122188908007914</v>
      </c>
      <c r="C159" s="829"/>
      <c r="D159" s="391">
        <f t="shared" si="50"/>
        <v>44.038159350367259</v>
      </c>
      <c r="E159" s="383">
        <f t="shared" si="72"/>
        <v>44.522310447832837</v>
      </c>
      <c r="F159" s="383">
        <f t="shared" si="51"/>
        <v>44.52953562865828</v>
      </c>
      <c r="G159" s="110">
        <f t="shared" si="73"/>
        <v>0.69519346711940699</v>
      </c>
      <c r="H159" s="412" t="b">
        <f>Wh_hp&gt;='2024'!Maxi_hp</f>
        <v>0</v>
      </c>
      <c r="I159" s="388">
        <f>IF(H159,Wh_hp,'2024'!Maxi_hp)</f>
        <v>59.825577923222795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4.3507050944520564E-2</v>
      </c>
      <c r="M159" s="832"/>
      <c r="N159" s="832"/>
      <c r="O159" s="48">
        <f>IF(t&lt;Tnet,'2024'!Resal+('2024'!Salim-'2024'!Resal)*(1-EXP(('2024'!Tnet-t)/('2024'!Tau_j))),Resal+(Salim-Resal)*(1-EXP((Tnet-t)/(Tau_j))))*Salcycl</f>
        <v>1.087434799756995E-2</v>
      </c>
      <c r="P159" s="169">
        <f>(INDEX(Models!$BJ159:$BT159,,T159)*(1-R159)+INDEX(Models!$BJ159:$BT159,,T159+1)*R159-ERP_i)*Q159*Ramure*Pc/MaxiM</f>
        <v>2.8733812994911141E-4</v>
      </c>
      <c r="Q159" s="304">
        <f t="shared" si="53"/>
        <v>0.6</v>
      </c>
      <c r="R159" s="177">
        <f t="shared" si="54"/>
        <v>0.66935686470583233</v>
      </c>
      <c r="S159" s="799">
        <f t="shared" si="55"/>
        <v>1</v>
      </c>
      <c r="T159" s="176">
        <f t="shared" si="56"/>
        <v>7</v>
      </c>
      <c r="U159" s="250">
        <f t="shared" si="57"/>
        <v>1.6693568647058323</v>
      </c>
      <c r="V159" s="382">
        <f t="shared" si="58"/>
        <v>60.583019416272556</v>
      </c>
      <c r="W159" s="400">
        <f t="shared" si="59"/>
        <v>42.122188908007914</v>
      </c>
      <c r="X159" s="157">
        <f t="shared" si="60"/>
        <v>45802</v>
      </c>
      <c r="Y159" s="383">
        <f t="shared" si="61"/>
        <v>39.825580912651098</v>
      </c>
      <c r="Z159" s="383">
        <f t="shared" si="62"/>
        <v>41.637087813326993</v>
      </c>
      <c r="AA159" s="384">
        <f t="shared" si="63"/>
        <v>44.522310447832837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6.4803973681610352E-2</v>
      </c>
      <c r="AD159" s="230">
        <f>(INDEX(Models!$BJ159:$BT159,,AH159)*(1-AF159)+INDEX(Models!$BJ159:$BT159,,AH159+1)*AF159-ERP_i)*AE159*Ramure*Pc/MaxiM</f>
        <v>2.8733812994911141E-4</v>
      </c>
      <c r="AE159" s="304">
        <f t="shared" si="65"/>
        <v>0.6</v>
      </c>
      <c r="AF159" s="177">
        <f t="shared" si="66"/>
        <v>0.66935686470583233</v>
      </c>
      <c r="AG159" s="799">
        <f t="shared" si="74"/>
        <v>1</v>
      </c>
      <c r="AH159" s="176">
        <f t="shared" si="67"/>
        <v>7</v>
      </c>
      <c r="AI159" s="224">
        <f t="shared" si="68"/>
        <v>1.6693568647058323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'2024'!Wh/'2024'!Env_an*'2025'!Env_an</f>
        <v>25.604934611740937</v>
      </c>
      <c r="C160" s="829"/>
      <c r="D160" s="391">
        <f t="shared" si="50"/>
        <v>26.770114049623519</v>
      </c>
      <c r="E160" s="383">
        <f t="shared" si="72"/>
        <v>27.067501626085619</v>
      </c>
      <c r="F160" s="383">
        <f t="shared" si="51"/>
        <v>27.068854537842927</v>
      </c>
      <c r="G160" s="110">
        <f t="shared" si="73"/>
        <v>0.42257478523705938</v>
      </c>
      <c r="H160" s="412" t="b">
        <f>Wh_hp&gt;='2024'!Maxi_hp</f>
        <v>0</v>
      </c>
      <c r="I160" s="388">
        <f>IF(H160,Wh_hp,'2024'!Maxi_hp)</f>
        <v>62.596709791929555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4.3525381913678052E-2</v>
      </c>
      <c r="M160" s="832"/>
      <c r="N160" s="832"/>
      <c r="O160" s="48">
        <f>IF(t&lt;Tnet,'2024'!Resal+('2024'!Salim-'2024'!Resal)*(1-EXP(('2024'!Tnet-t)/('2024'!Tau_j))),Resal+(Salim-Resal)*(1-EXP((Tnet-t)/(Tau_j))))*Salcycl</f>
        <v>1.0986886805079242E-2</v>
      </c>
      <c r="P160" s="169">
        <f>(INDEX(Models!$BJ160:$BT160,,T160)*(1-R160)+INDEX(Models!$BJ160:$BT160,,T160+1)*R160-ERP_i)*Q160*Ramure*Pc/MaxiM</f>
        <v>2.8519661244639502E-4</v>
      </c>
      <c r="Q160" s="304">
        <f t="shared" si="53"/>
        <v>0.6</v>
      </c>
      <c r="R160" s="177">
        <f t="shared" si="54"/>
        <v>0.67401397704666466</v>
      </c>
      <c r="S160" s="799">
        <f t="shared" si="55"/>
        <v>1</v>
      </c>
      <c r="T160" s="176">
        <f t="shared" si="56"/>
        <v>7</v>
      </c>
      <c r="U160" s="250">
        <f t="shared" si="57"/>
        <v>1.6740139770466647</v>
      </c>
      <c r="V160" s="382">
        <f t="shared" si="58"/>
        <v>60.578417143871725</v>
      </c>
      <c r="W160" s="400">
        <f t="shared" si="59"/>
        <v>25.604934611740937</v>
      </c>
      <c r="X160" s="157">
        <f t="shared" si="60"/>
        <v>45803</v>
      </c>
      <c r="Y160" s="383">
        <f t="shared" si="61"/>
        <v>24.209188401479466</v>
      </c>
      <c r="Z160" s="383">
        <f t="shared" si="62"/>
        <v>25.310852942356473</v>
      </c>
      <c r="AA160" s="384">
        <f t="shared" si="63"/>
        <v>27.067501626085619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6.4898811423224248E-2</v>
      </c>
      <c r="AD160" s="230">
        <f>(INDEX(Models!$BJ160:$BT160,,AH160)*(1-AF160)+INDEX(Models!$BJ160:$BT160,,AH160+1)*AF160-ERP_i)*AE160*Ramure*Pc/MaxiM</f>
        <v>2.8519661244639502E-4</v>
      </c>
      <c r="AE160" s="304">
        <f t="shared" si="65"/>
        <v>0.6</v>
      </c>
      <c r="AF160" s="177">
        <f t="shared" si="66"/>
        <v>0.67401397704666466</v>
      </c>
      <c r="AG160" s="799">
        <f t="shared" si="74"/>
        <v>1</v>
      </c>
      <c r="AH160" s="176">
        <f t="shared" si="67"/>
        <v>7</v>
      </c>
      <c r="AI160" s="224">
        <f t="shared" si="68"/>
        <v>1.6740139770466647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'2024'!Wh/'2024'!Env_an*'2025'!Env_an</f>
        <v>47.141260499072338</v>
      </c>
      <c r="C161" s="829"/>
      <c r="D161" s="391">
        <f t="shared" si="50"/>
        <v>49.287417644401458</v>
      </c>
      <c r="E161" s="383">
        <f t="shared" si="72"/>
        <v>49.840621237553364</v>
      </c>
      <c r="F161" s="383">
        <f t="shared" si="51"/>
        <v>49.850263047565782</v>
      </c>
      <c r="G161" s="110">
        <f t="shared" si="73"/>
        <v>0.77821156852842721</v>
      </c>
      <c r="H161" s="412" t="b">
        <f>Wh_hp&gt;='2024'!Maxi_hp</f>
        <v>0</v>
      </c>
      <c r="I161" s="388">
        <f>IF(H161,Wh_hp,'2024'!Maxi_hp)</f>
        <v>62.270971233570506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4.3543712531526779E-2</v>
      </c>
      <c r="M161" s="832"/>
      <c r="N161" s="832"/>
      <c r="O161" s="48">
        <f>IF(t&lt;Tnet,'2024'!Resal+('2024'!Salim-'2024'!Resal)*(1-EXP(('2024'!Tnet-t)/('2024'!Tau_j))),Resal+(Salim-Resal)*(1-EXP((Tnet-t)/(Tau_j))))*Salcycl</f>
        <v>1.1099452202154353E-2</v>
      </c>
      <c r="P161" s="169">
        <f>(INDEX(Models!$BJ161:$BT161,,T161)*(1-R161)+INDEX(Models!$BJ161:$BT161,,T161+1)*R161-ERP_i)*Q161*Ramure*Pc/MaxiM</f>
        <v>2.8307772439705939E-4</v>
      </c>
      <c r="Q161" s="304">
        <f t="shared" si="53"/>
        <v>0.6</v>
      </c>
      <c r="R161" s="177">
        <f t="shared" si="54"/>
        <v>0.67872862443764048</v>
      </c>
      <c r="S161" s="799">
        <f t="shared" si="55"/>
        <v>1</v>
      </c>
      <c r="T161" s="176">
        <f t="shared" si="56"/>
        <v>7</v>
      </c>
      <c r="U161" s="250">
        <f t="shared" si="57"/>
        <v>1.6787286244376405</v>
      </c>
      <c r="V161" s="382">
        <f t="shared" si="58"/>
        <v>60.570974262046477</v>
      </c>
      <c r="W161" s="400">
        <f t="shared" si="59"/>
        <v>47.141260499072338</v>
      </c>
      <c r="X161" s="157">
        <f t="shared" si="60"/>
        <v>45804</v>
      </c>
      <c r="Y161" s="383">
        <f t="shared" si="61"/>
        <v>44.572106436120521</v>
      </c>
      <c r="Z161" s="383">
        <f t="shared" si="62"/>
        <v>46.601300049051858</v>
      </c>
      <c r="AA161" s="384">
        <f t="shared" si="63"/>
        <v>49.840621237553364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6.4993595747172894E-2</v>
      </c>
      <c r="AD161" s="230">
        <f>(INDEX(Models!$BJ161:$BT161,,AH161)*(1-AF161)+INDEX(Models!$BJ161:$BT161,,AH161+1)*AF161-ERP_i)*AE161*Ramure*Pc/MaxiM</f>
        <v>2.8307772439705939E-4</v>
      </c>
      <c r="AE161" s="304">
        <f t="shared" si="65"/>
        <v>0.6</v>
      </c>
      <c r="AF161" s="177">
        <f t="shared" si="66"/>
        <v>0.67872862443764048</v>
      </c>
      <c r="AG161" s="799">
        <f t="shared" si="74"/>
        <v>1</v>
      </c>
      <c r="AH161" s="176">
        <f t="shared" si="67"/>
        <v>7</v>
      </c>
      <c r="AI161" s="224">
        <f t="shared" si="68"/>
        <v>1.6787286244376405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'2024'!Wh/'2024'!Env_an*'2025'!Env_an</f>
        <v>56.700509899468273</v>
      </c>
      <c r="C162" s="829"/>
      <c r="D162" s="391">
        <f t="shared" si="50"/>
        <v>59.282998413557799</v>
      </c>
      <c r="E162" s="383">
        <f t="shared" si="72"/>
        <v>59.955218370365365</v>
      </c>
      <c r="F162" s="383">
        <f t="shared" si="51"/>
        <v>59.970534466842125</v>
      </c>
      <c r="G162" s="110">
        <f t="shared" si="73"/>
        <v>0.93623210085585051</v>
      </c>
      <c r="H162" s="412" t="b">
        <f>Wh_hp&gt;='2024'!Maxi_hp</f>
        <v>0</v>
      </c>
      <c r="I162" s="388">
        <f>IF(H162,Wh_hp,'2024'!Maxi_hp)</f>
        <v>61.405954695216622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4.3562042798073408E-2</v>
      </c>
      <c r="M162" s="832"/>
      <c r="N162" s="832"/>
      <c r="O162" s="48">
        <f>IF(t&lt;Tnet,'2024'!Resal+('2024'!Salim-'2024'!Resal)*(1-EXP(('2024'!Tnet-t)/('2024'!Tau_j))),Resal+(Salim-Resal)*(1-EXP((Tnet-t)/(Tau_j))))*Salcycl</f>
        <v>1.1212034166150752E-2</v>
      </c>
      <c r="P162" s="169">
        <f>(INDEX(Models!$BJ162:$BT162,,T162)*(1-R162)+INDEX(Models!$BJ162:$BT162,,T162+1)*R162-ERP_i)*Q162*Ramure*Pc/MaxiM</f>
        <v>2.8098056422777118E-4</v>
      </c>
      <c r="Q162" s="304">
        <f t="shared" si="53"/>
        <v>0.6</v>
      </c>
      <c r="R162" s="177">
        <f t="shared" si="54"/>
        <v>0.68349782681918292</v>
      </c>
      <c r="S162" s="799">
        <f t="shared" si="55"/>
        <v>1</v>
      </c>
      <c r="T162" s="176">
        <f t="shared" si="56"/>
        <v>7</v>
      </c>
      <c r="U162" s="250">
        <f t="shared" si="57"/>
        <v>1.6834978268191829</v>
      </c>
      <c r="V162" s="382">
        <f t="shared" si="58"/>
        <v>60.560900110743603</v>
      </c>
      <c r="W162" s="400">
        <f t="shared" si="59"/>
        <v>56.700509899468273</v>
      </c>
      <c r="X162" s="157">
        <f t="shared" si="60"/>
        <v>45805</v>
      </c>
      <c r="Y162" s="383">
        <f t="shared" si="61"/>
        <v>53.61106079430742</v>
      </c>
      <c r="Z162" s="383">
        <f t="shared" si="62"/>
        <v>56.052836873128051</v>
      </c>
      <c r="AA162" s="384">
        <f t="shared" si="63"/>
        <v>59.955218370365365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6.508827093466453E-2</v>
      </c>
      <c r="AD162" s="230">
        <f>(INDEX(Models!$BJ162:$BT162,,AH162)*(1-AF162)+INDEX(Models!$BJ162:$BT162,,AH162+1)*AF162-ERP_i)*AE162*Ramure*Pc/MaxiM</f>
        <v>2.8098056422777118E-4</v>
      </c>
      <c r="AE162" s="304">
        <f t="shared" si="65"/>
        <v>0.6</v>
      </c>
      <c r="AF162" s="177">
        <f t="shared" si="66"/>
        <v>0.68349782681918292</v>
      </c>
      <c r="AG162" s="799">
        <f t="shared" si="74"/>
        <v>1</v>
      </c>
      <c r="AH162" s="176">
        <f t="shared" si="67"/>
        <v>7</v>
      </c>
      <c r="AI162" s="224">
        <f t="shared" si="68"/>
        <v>1.6834978268191829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'2024'!Wh/'2024'!Env_an*'2025'!Env_an</f>
        <v>61.306681773857925</v>
      </c>
      <c r="C163" s="829"/>
      <c r="D163" s="391">
        <f t="shared" si="50"/>
        <v>64.100192033681438</v>
      </c>
      <c r="E163" s="383">
        <f t="shared" si="72"/>
        <v>64.834417320284629</v>
      </c>
      <c r="F163" s="383">
        <f t="shared" si="51"/>
        <v>64.852505396426309</v>
      </c>
      <c r="G163" s="110">
        <f t="shared" si="73"/>
        <v>1.0125472202397048</v>
      </c>
      <c r="H163" s="412" t="b">
        <f>Wh_hp&gt;='2024'!Maxi_hp</f>
        <v>1</v>
      </c>
      <c r="I163" s="388">
        <f>IF(H163,Wh_hp,'2024'!Maxi_hp)</f>
        <v>64.852505396426309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4.35803727133246E-2</v>
      </c>
      <c r="M163" s="832"/>
      <c r="N163" s="832"/>
      <c r="O163" s="48">
        <f>IF(t&lt;Tnet,'2024'!Resal+('2024'!Salim-'2024'!Resal)*(1-EXP(('2024'!Tnet-t)/('2024'!Tau_j))),Resal+(Salim-Resal)*(1-EXP((Tnet-t)/(Tau_j))))*Salcycl</f>
        <v>1.1324622275482048E-2</v>
      </c>
      <c r="P163" s="169">
        <f>(INDEX(Models!$BJ163:$BT163,,T163)*(1-R163)+INDEX(Models!$BJ163:$BT163,,T163+1)*R163-ERP_i)*Q163*Ramure*Pc/MaxiM</f>
        <v>2.7891098472001646E-4</v>
      </c>
      <c r="Q163" s="304">
        <f t="shared" si="53"/>
        <v>0.6</v>
      </c>
      <c r="R163" s="177">
        <f t="shared" si="54"/>
        <v>0.6883184416504049</v>
      </c>
      <c r="S163" s="799">
        <f t="shared" si="55"/>
        <v>1</v>
      </c>
      <c r="T163" s="176">
        <f t="shared" si="56"/>
        <v>7</v>
      </c>
      <c r="U163" s="250">
        <f t="shared" si="57"/>
        <v>1.6883184416504049</v>
      </c>
      <c r="V163" s="382">
        <f t="shared" si="58"/>
        <v>60.546985413030441</v>
      </c>
      <c r="W163" s="400">
        <f t="shared" si="59"/>
        <v>61.306681773857925</v>
      </c>
      <c r="X163" s="157">
        <f t="shared" si="60"/>
        <v>45806</v>
      </c>
      <c r="Y163" s="383">
        <f t="shared" si="61"/>
        <v>57.966996106264311</v>
      </c>
      <c r="Z163" s="383">
        <f t="shared" si="62"/>
        <v>60.608329704310215</v>
      </c>
      <c r="AA163" s="384">
        <f t="shared" si="63"/>
        <v>64.834417320284629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6.5182780853838329E-2</v>
      </c>
      <c r="AD163" s="230">
        <f>(INDEX(Models!$BJ163:$BT163,,AH163)*(1-AF163)+INDEX(Models!$BJ163:$BT163,,AH163+1)*AF163-ERP_i)*AE163*Ramure*Pc/MaxiM</f>
        <v>2.7891098472001646E-4</v>
      </c>
      <c r="AE163" s="304">
        <f t="shared" si="65"/>
        <v>0.6</v>
      </c>
      <c r="AF163" s="177">
        <f t="shared" si="66"/>
        <v>0.6883184416504049</v>
      </c>
      <c r="AG163" s="799">
        <f t="shared" si="74"/>
        <v>1</v>
      </c>
      <c r="AH163" s="176">
        <f t="shared" si="67"/>
        <v>7</v>
      </c>
      <c r="AI163" s="224">
        <f t="shared" si="68"/>
        <v>1.6883184416504049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'2024'!Wh/'2024'!Env_an*'2025'!Env_an</f>
        <v>52.017974398265473</v>
      </c>
      <c r="C164" s="829"/>
      <c r="D164" s="391">
        <f t="shared" si="50"/>
        <v>54.389276261048025</v>
      </c>
      <c r="E164" s="383">
        <f t="shared" si="72"/>
        <v>55.018534560480276</v>
      </c>
      <c r="F164" s="383">
        <f t="shared" si="51"/>
        <v>55.030712356388356</v>
      </c>
      <c r="G164" s="110">
        <f t="shared" si="73"/>
        <v>0.85935343969725264</v>
      </c>
      <c r="H164" s="412" t="b">
        <f>Wh_hp&gt;='2024'!Maxi_hp</f>
        <v>0</v>
      </c>
      <c r="I164" s="388">
        <f>IF(H164,Wh_hp,'2024'!Maxi_hp)</f>
        <v>59.25879141798292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4.3598702277287127E-2</v>
      </c>
      <c r="M164" s="832"/>
      <c r="N164" s="832"/>
      <c r="O164" s="48">
        <f>IF(t&lt;Tnet,'2024'!Resal+('2024'!Salim-'2024'!Resal)*(1-EXP(('2024'!Tnet-t)/('2024'!Tau_j))),Resal+(Salim-Resal)*(1-EXP((Tnet-t)/(Tau_j))))*Salcycl</f>
        <v>1.1437205742739752E-2</v>
      </c>
      <c r="P164" s="169">
        <f>(INDEX(Models!$BJ164:$BT164,,T164)*(1-R164)+INDEX(Models!$BJ164:$BT164,,T164+1)*R164-ERP_i)*Q164*Ramure*Pc/MaxiM</f>
        <v>2.7690969726331652E-4</v>
      </c>
      <c r="Q164" s="304">
        <f t="shared" si="53"/>
        <v>0.6</v>
      </c>
      <c r="R164" s="177">
        <f t="shared" si="54"/>
        <v>0.6931871705904924</v>
      </c>
      <c r="S164" s="799">
        <f t="shared" si="55"/>
        <v>1</v>
      </c>
      <c r="T164" s="176">
        <f t="shared" si="56"/>
        <v>7</v>
      </c>
      <c r="U164" s="250">
        <f t="shared" si="57"/>
        <v>1.6931871705904924</v>
      </c>
      <c r="V164" s="382">
        <f t="shared" si="58"/>
        <v>60.528157772991932</v>
      </c>
      <c r="W164" s="400">
        <f t="shared" si="59"/>
        <v>52.017974398265473</v>
      </c>
      <c r="X164" s="157">
        <f t="shared" si="60"/>
        <v>45807</v>
      </c>
      <c r="Y164" s="383">
        <f t="shared" si="61"/>
        <v>49.184931669145996</v>
      </c>
      <c r="Z164" s="383">
        <f t="shared" si="62"/>
        <v>51.427085875207652</v>
      </c>
      <c r="AA164" s="384">
        <f t="shared" si="63"/>
        <v>55.018534560480276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6.5277069154298373E-2</v>
      </c>
      <c r="AD164" s="230">
        <f>(INDEX(Models!$BJ164:$BT164,,AH164)*(1-AF164)+INDEX(Models!$BJ164:$BT164,,AH164+1)*AF164-ERP_i)*AE164*Ramure*Pc/MaxiM</f>
        <v>2.7690969726331652E-4</v>
      </c>
      <c r="AE164" s="304">
        <f t="shared" si="65"/>
        <v>0.6</v>
      </c>
      <c r="AF164" s="177">
        <f t="shared" si="66"/>
        <v>0.6931871705904924</v>
      </c>
      <c r="AG164" s="799">
        <f t="shared" si="74"/>
        <v>1</v>
      </c>
      <c r="AH164" s="176">
        <f t="shared" si="67"/>
        <v>7</v>
      </c>
      <c r="AI164" s="224">
        <f t="shared" si="68"/>
        <v>1.6931871705904924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'2024'!Wh/'2024'!Env_an*'2025'!Env_an</f>
        <v>56.389234373708859</v>
      </c>
      <c r="C165" s="829"/>
      <c r="D165" s="391">
        <f t="shared" si="50"/>
        <v>58.960935347435928</v>
      </c>
      <c r="E165" s="383">
        <f t="shared" si="72"/>
        <v>59.64987792380947</v>
      </c>
      <c r="F165" s="383">
        <f t="shared" si="51"/>
        <v>59.664690614573729</v>
      </c>
      <c r="G165" s="110">
        <f t="shared" si="73"/>
        <v>0.93195408277700353</v>
      </c>
      <c r="H165" s="412" t="b">
        <f>Wh_hp&gt;='2024'!Maxi_hp</f>
        <v>0</v>
      </c>
      <c r="I165" s="388">
        <f>IF(H165,Wh_hp,'2024'!Maxi_hp)</f>
        <v>62.682352866116169</v>
      </c>
      <c r="J165" s="85">
        <f>IF(H165,An,'2024'!An_max)</f>
        <v>2018</v>
      </c>
      <c r="K165" s="197">
        <f t="shared" si="52"/>
        <v>45808</v>
      </c>
      <c r="L165" s="147">
        <f>IF(t&lt;Tvie,1-EXP((T0-t)*PertePVj)+'2024'!Pspv,1-EXP((T0-t)*PertePVj)+Pspv)</f>
        <v>4.3617031489967761E-2</v>
      </c>
      <c r="M165" s="832"/>
      <c r="N165" s="832"/>
      <c r="O165" s="48">
        <f>IF(t&lt;Tnet,'2024'!Resal+('2024'!Salim-'2024'!Resal)*(1-EXP(('2024'!Tnet-t)/('2024'!Tau_j))),Resal+(Salim-Resal)*(1-EXP((Tnet-t)/(Tau_j))))*Salcycl</f>
        <v>1.154977345055969E-2</v>
      </c>
      <c r="P165" s="169">
        <f>(INDEX(Models!$BJ165:$BT165,,T165)*(1-R165)+INDEX(Models!$BJ165:$BT165,,T165+1)*R165-ERP_i)*Q165*Ramure*Pc/MaxiM</f>
        <v>2.7498687216370504E-4</v>
      </c>
      <c r="Q165" s="304">
        <f t="shared" si="53"/>
        <v>0.6</v>
      </c>
      <c r="R165" s="177">
        <f t="shared" si="54"/>
        <v>0.69810056714011903</v>
      </c>
      <c r="S165" s="799">
        <f t="shared" si="55"/>
        <v>1</v>
      </c>
      <c r="T165" s="176">
        <f t="shared" si="56"/>
        <v>7</v>
      </c>
      <c r="U165" s="250">
        <f t="shared" si="57"/>
        <v>1.698100567140119</v>
      </c>
      <c r="V165" s="382">
        <f t="shared" si="58"/>
        <v>60.504834143706226</v>
      </c>
      <c r="W165" s="400">
        <f t="shared" si="59"/>
        <v>56.389234373708859</v>
      </c>
      <c r="X165" s="157">
        <f t="shared" si="60"/>
        <v>45808</v>
      </c>
      <c r="Y165" s="383">
        <f t="shared" si="61"/>
        <v>53.318829655527651</v>
      </c>
      <c r="Z165" s="383">
        <f t="shared" si="62"/>
        <v>55.750501013829322</v>
      </c>
      <c r="AA165" s="384">
        <f t="shared" si="63"/>
        <v>59.64987792380947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6.5371079467435075E-2</v>
      </c>
      <c r="AD165" s="230">
        <f>(INDEX(Models!$BJ165:$BT165,,AH165)*(1-AF165)+INDEX(Models!$BJ165:$BT165,,AH165+1)*AF165-ERP_i)*AE165*Ramure*Pc/MaxiM</f>
        <v>2.7498687216370504E-4</v>
      </c>
      <c r="AE165" s="304">
        <f t="shared" si="65"/>
        <v>0.6</v>
      </c>
      <c r="AF165" s="177">
        <f t="shared" si="66"/>
        <v>0.69810056714011903</v>
      </c>
      <c r="AG165" s="799">
        <f t="shared" si="74"/>
        <v>1</v>
      </c>
      <c r="AH165" s="176">
        <f t="shared" si="67"/>
        <v>7</v>
      </c>
      <c r="AI165" s="224">
        <f t="shared" si="68"/>
        <v>1.698100567140119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'2024'!Wh/'2024'!Env_an*'2025'!Env_an</f>
        <v>57.459503016028357</v>
      </c>
      <c r="C166" s="829"/>
      <c r="D166" s="391">
        <f t="shared" si="50"/>
        <v>60.081166360499559</v>
      </c>
      <c r="E166" s="383">
        <f t="shared" si="72"/>
        <v>60.790119825397589</v>
      </c>
      <c r="F166" s="383">
        <f t="shared" si="51"/>
        <v>60.805544416556501</v>
      </c>
      <c r="G166" s="110">
        <f t="shared" si="73"/>
        <v>0.95007975866423655</v>
      </c>
      <c r="H166" s="412" t="b">
        <f>Wh_hp&gt;='2024'!Maxi_hp</f>
        <v>0</v>
      </c>
      <c r="I166" s="388">
        <f>IF(H166,Wh_hp,'2024'!Maxi_hp)</f>
        <v>63.124729427681508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4.3635360351373276E-2</v>
      </c>
      <c r="M166" s="832"/>
      <c r="N166" s="832"/>
      <c r="O166" s="48">
        <f>IF(t&lt;Tnet,'2024'!Resal+('2024'!Salim-'2024'!Resal)*(1-EXP(('2024'!Tnet-t)/('2024'!Tau_j))),Resal+(Salim-Resal)*(1-EXP((Tnet-t)/(Tau_j))))*Salcycl</f>
        <v>1.1662313990074362E-2</v>
      </c>
      <c r="P166" s="169">
        <f>(INDEX(Models!$BJ166:$BT166,,T166)*(1-R166)+INDEX(Models!$BJ166:$BT166,,T166+1)*R166-ERP_i)*Q166*Ramure*Pc/MaxiM</f>
        <v>2.7314264731987184E-4</v>
      </c>
      <c r="Q166" s="304">
        <f t="shared" si="53"/>
        <v>0.6</v>
      </c>
      <c r="R166" s="177">
        <f t="shared" si="54"/>
        <v>0.7030550452172013</v>
      </c>
      <c r="S166" s="799">
        <f t="shared" si="55"/>
        <v>1</v>
      </c>
      <c r="T166" s="176">
        <f t="shared" si="56"/>
        <v>7</v>
      </c>
      <c r="U166" s="250">
        <f t="shared" si="57"/>
        <v>1.7030550452172013</v>
      </c>
      <c r="V166" s="382">
        <f t="shared" si="58"/>
        <v>60.477431884572802</v>
      </c>
      <c r="W166" s="400">
        <f t="shared" si="59"/>
        <v>57.459503016028357</v>
      </c>
      <c r="X166" s="157">
        <f t="shared" si="60"/>
        <v>45809</v>
      </c>
      <c r="Y166" s="383">
        <f t="shared" si="61"/>
        <v>54.331562434211492</v>
      </c>
      <c r="Z166" s="383">
        <f t="shared" si="62"/>
        <v>56.810509487441095</v>
      </c>
      <c r="AA166" s="384">
        <f t="shared" si="63"/>
        <v>60.790119825397589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6.5464755611385567E-2</v>
      </c>
      <c r="AD166" s="230">
        <f>(INDEX(Models!$BJ166:$BT166,,AH166)*(1-AF166)+INDEX(Models!$BJ166:$BT166,,AH166+1)*AF166-ERP_i)*AE166*Ramure*Pc/MaxiM</f>
        <v>2.7314264731987184E-4</v>
      </c>
      <c r="AE166" s="304">
        <f t="shared" si="65"/>
        <v>0.6</v>
      </c>
      <c r="AF166" s="177">
        <f t="shared" si="66"/>
        <v>0.7030550452172013</v>
      </c>
      <c r="AG166" s="799">
        <f t="shared" si="74"/>
        <v>1</v>
      </c>
      <c r="AH166" s="176">
        <f t="shared" si="67"/>
        <v>7</v>
      </c>
      <c r="AI166" s="224">
        <f t="shared" si="68"/>
        <v>1.7030550452172013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'2024'!Wh/'2024'!Env_an*'2025'!Env_an</f>
        <v>45.826189750469418</v>
      </c>
      <c r="C167" s="829"/>
      <c r="D167" s="391">
        <f t="shared" si="50"/>
        <v>47.917986629671091</v>
      </c>
      <c r="E167" s="383">
        <f t="shared" si="72"/>
        <v>48.488934901713634</v>
      </c>
      <c r="F167" s="383">
        <f t="shared" si="51"/>
        <v>48.497548486520152</v>
      </c>
      <c r="G167" s="110">
        <f t="shared" si="73"/>
        <v>0.75805864493671882</v>
      </c>
      <c r="H167" s="412" t="b">
        <f>Wh_hp&gt;='2024'!Maxi_hp</f>
        <v>0</v>
      </c>
      <c r="I167" s="388">
        <f>IF(H167,Wh_hp,'2024'!Maxi_hp)</f>
        <v>62.353294055215706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4.3653688861510331E-2</v>
      </c>
      <c r="M167" s="832"/>
      <c r="N167" s="832"/>
      <c r="O167" s="48">
        <f>IF(t&lt;Tnet,'2024'!Resal+('2024'!Salim-'2024'!Resal)*(1-EXP(('2024'!Tnet-t)/('2024'!Tau_j))),Resal+(Salim-Resal)*(1-EXP((Tnet-t)/(Tau_j))))*Salcycl</f>
        <v>1.1774815701764644E-2</v>
      </c>
      <c r="P167" s="169">
        <f>(INDEX(Models!$BJ167:$BT167,,T167)*(1-R167)+INDEX(Models!$BJ167:$BT167,,T167+1)*R167-ERP_i)*Q167*Ramure*Pc/MaxiM</f>
        <v>2.7137741206876984E-4</v>
      </c>
      <c r="Q167" s="304">
        <f t="shared" si="53"/>
        <v>0.6</v>
      </c>
      <c r="R167" s="177">
        <f t="shared" si="54"/>
        <v>0.70804688863161402</v>
      </c>
      <c r="S167" s="799">
        <f t="shared" si="55"/>
        <v>1</v>
      </c>
      <c r="T167" s="176">
        <f t="shared" si="56"/>
        <v>7</v>
      </c>
      <c r="U167" s="250">
        <f t="shared" si="57"/>
        <v>1.708046888631614</v>
      </c>
      <c r="V167" s="382">
        <f t="shared" si="58"/>
        <v>60.446368138883614</v>
      </c>
      <c r="W167" s="400">
        <f t="shared" si="59"/>
        <v>45.826189750469418</v>
      </c>
      <c r="X167" s="157">
        <f t="shared" si="60"/>
        <v>45810</v>
      </c>
      <c r="Y167" s="383">
        <f t="shared" si="61"/>
        <v>43.33214247895247</v>
      </c>
      <c r="Z167" s="383">
        <f t="shared" si="62"/>
        <v>45.310095280617951</v>
      </c>
      <c r="AA167" s="384">
        <f t="shared" si="63"/>
        <v>48.488934901713634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6.5558041799415601E-2</v>
      </c>
      <c r="AD167" s="230">
        <f>(INDEX(Models!$BJ167:$BT167,,AH167)*(1-AF167)+INDEX(Models!$BJ167:$BT167,,AH167+1)*AF167-ERP_i)*AE167*Ramure*Pc/MaxiM</f>
        <v>2.7137741206876984E-4</v>
      </c>
      <c r="AE167" s="304">
        <f t="shared" si="65"/>
        <v>0.6</v>
      </c>
      <c r="AF167" s="177">
        <f t="shared" si="66"/>
        <v>0.70804688863161402</v>
      </c>
      <c r="AG167" s="799">
        <f t="shared" si="74"/>
        <v>1</v>
      </c>
      <c r="AH167" s="176">
        <f t="shared" si="67"/>
        <v>7</v>
      </c>
      <c r="AI167" s="224">
        <f t="shared" si="68"/>
        <v>1.708046888631614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'2024'!Wh/'2024'!Env_an*'2025'!Env_an</f>
        <v>56.051504643364567</v>
      </c>
      <c r="C168" s="829"/>
      <c r="D168" s="391">
        <f t="shared" si="50"/>
        <v>58.611172778533437</v>
      </c>
      <c r="E168" s="383">
        <f t="shared" si="72"/>
        <v>59.316281234315213</v>
      </c>
      <c r="F168" s="383">
        <f t="shared" si="51"/>
        <v>59.330632284155371</v>
      </c>
      <c r="G168" s="110">
        <f t="shared" si="73"/>
        <v>0.92779398150449843</v>
      </c>
      <c r="H168" s="412" t="b">
        <f>Wh_hp&gt;='2024'!Maxi_hp</f>
        <v>0</v>
      </c>
      <c r="I168" s="388">
        <f>IF(H168,Wh_hp,'2024'!Maxi_hp)</f>
        <v>59.33169374417173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4.367201702038559E-2</v>
      </c>
      <c r="M168" s="832"/>
      <c r="N168" s="832"/>
      <c r="O168" s="48">
        <f>IF(t&lt;Tnet,'2024'!Resal+('2024'!Salim-'2024'!Resal)*(1-EXP(('2024'!Tnet-t)/('2024'!Tau_j))),Resal+(Salim-Resal)*(1-EXP((Tnet-t)/(Tau_j))))*Salcycl</f>
        <v>1.1887266718498582E-2</v>
      </c>
      <c r="P168" s="169">
        <f>(INDEX(Models!$BJ168:$BT168,,T168)*(1-R168)+INDEX(Models!$BJ168:$BT168,,T168+1)*R168-ERP_i)*Q168*Ramure*Pc/MaxiM</f>
        <v>2.6969179574532561E-4</v>
      </c>
      <c r="Q168" s="304">
        <f t="shared" si="53"/>
        <v>0.6</v>
      </c>
      <c r="R168" s="177">
        <f t="shared" si="54"/>
        <v>0.7130722614138858</v>
      </c>
      <c r="S168" s="799">
        <f t="shared" si="55"/>
        <v>1</v>
      </c>
      <c r="T168" s="176">
        <f t="shared" si="56"/>
        <v>7</v>
      </c>
      <c r="U168" s="250">
        <f t="shared" si="57"/>
        <v>1.7130722614138858</v>
      </c>
      <c r="V168" s="382">
        <f t="shared" si="58"/>
        <v>60.412059830572808</v>
      </c>
      <c r="W168" s="400">
        <f t="shared" si="59"/>
        <v>56.051504643364567</v>
      </c>
      <c r="X168" s="157">
        <f t="shared" si="60"/>
        <v>45811</v>
      </c>
      <c r="Y168" s="383">
        <f t="shared" si="61"/>
        <v>53.001719454121989</v>
      </c>
      <c r="Z168" s="383">
        <f t="shared" si="62"/>
        <v>55.422115003877074</v>
      </c>
      <c r="AA168" s="384">
        <f t="shared" si="63"/>
        <v>59.316281234315213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6.5650882850446082E-2</v>
      </c>
      <c r="AD168" s="230">
        <f>(INDEX(Models!$BJ168:$BT168,,AH168)*(1-AF168)+INDEX(Models!$BJ168:$BT168,,AH168+1)*AF168-ERP_i)*AE168*Ramure*Pc/MaxiM</f>
        <v>2.6969179574532561E-4</v>
      </c>
      <c r="AE168" s="304">
        <f t="shared" si="65"/>
        <v>0.6</v>
      </c>
      <c r="AF168" s="177">
        <f t="shared" si="66"/>
        <v>0.7130722614138858</v>
      </c>
      <c r="AG168" s="799">
        <f t="shared" si="74"/>
        <v>1</v>
      </c>
      <c r="AH168" s="176">
        <f t="shared" si="67"/>
        <v>7</v>
      </c>
      <c r="AI168" s="224">
        <f t="shared" si="68"/>
        <v>1.7130722614138858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'2024'!Wh/'2024'!Env_an*'2025'!Env_an</f>
        <v>26.72107471054974</v>
      </c>
      <c r="C169" s="829"/>
      <c r="D169" s="391">
        <f t="shared" si="50"/>
        <v>27.941864401383572</v>
      </c>
      <c r="E169" s="383">
        <f t="shared" si="72"/>
        <v>28.281229397426102</v>
      </c>
      <c r="F169" s="383">
        <f t="shared" si="51"/>
        <v>28.282773851403249</v>
      </c>
      <c r="G169" s="110">
        <f t="shared" si="73"/>
        <v>0.44249116006454131</v>
      </c>
      <c r="H169" s="412" t="b">
        <f>Wh_hp&gt;='2024'!Maxi_hp</f>
        <v>0</v>
      </c>
      <c r="I169" s="388">
        <f>IF(H169,Wh_hp,'2024'!Maxi_hp)</f>
        <v>57.206955445857666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4.3690344828005934E-2</v>
      </c>
      <c r="M169" s="832"/>
      <c r="N169" s="832"/>
      <c r="O169" s="48">
        <f>IF(t&lt;Tnet,'2024'!Resal+('2024'!Salim-'2024'!Resal)*(1-EXP(('2024'!Tnet-t)/('2024'!Tau_j))),Resal+(Salim-Resal)*(1-EXP((Tnet-t)/(Tau_j))))*Salcycl</f>
        <v>1.1999655010521524E-2</v>
      </c>
      <c r="P169" s="169">
        <f>(INDEX(Models!$BJ169:$BT169,,T169)*(1-R169)+INDEX(Models!$BJ169:$BT169,,T169+1)*R169-ERP_i)*Q169*Ramure*Pc/MaxiM</f>
        <v>2.6808665554689558E-4</v>
      </c>
      <c r="Q169" s="304">
        <f t="shared" si="53"/>
        <v>0.6</v>
      </c>
      <c r="R169" s="177">
        <f t="shared" si="54"/>
        <v>0.7181272189435457</v>
      </c>
      <c r="S169" s="799">
        <f t="shared" si="55"/>
        <v>1</v>
      </c>
      <c r="T169" s="176">
        <f t="shared" si="56"/>
        <v>7</v>
      </c>
      <c r="U169" s="250">
        <f t="shared" si="57"/>
        <v>1.7181272189435457</v>
      </c>
      <c r="V169" s="382">
        <f t="shared" si="58"/>
        <v>60.374923659355986</v>
      </c>
      <c r="W169" s="400">
        <f t="shared" si="59"/>
        <v>26.72107471054974</v>
      </c>
      <c r="X169" s="157">
        <f t="shared" si="60"/>
        <v>45812</v>
      </c>
      <c r="Y169" s="383">
        <f t="shared" si="61"/>
        <v>25.267546945947771</v>
      </c>
      <c r="Z169" s="383">
        <f t="shared" si="62"/>
        <v>26.421930186831958</v>
      </c>
      <c r="AA169" s="384">
        <f t="shared" si="63"/>
        <v>28.281229397426102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6.5743224400398995E-2</v>
      </c>
      <c r="AD169" s="230">
        <f>(INDEX(Models!$BJ169:$BT169,,AH169)*(1-AF169)+INDEX(Models!$BJ169:$BT169,,AH169+1)*AF169-ERP_i)*AE169*Ramure*Pc/MaxiM</f>
        <v>2.6808665554689558E-4</v>
      </c>
      <c r="AE169" s="304">
        <f t="shared" si="65"/>
        <v>0.6</v>
      </c>
      <c r="AF169" s="177">
        <f t="shared" si="66"/>
        <v>0.7181272189435457</v>
      </c>
      <c r="AG169" s="799">
        <f t="shared" si="74"/>
        <v>1</v>
      </c>
      <c r="AH169" s="176">
        <f t="shared" si="67"/>
        <v>7</v>
      </c>
      <c r="AI169" s="224">
        <f t="shared" si="68"/>
        <v>1.7181272189435457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'2024'!Wh/'2024'!Env_an*'2025'!Env_an</f>
        <v>36.820130467592428</v>
      </c>
      <c r="C170" s="829"/>
      <c r="D170" s="391">
        <f t="shared" si="50"/>
        <v>38.503047555129399</v>
      </c>
      <c r="E170" s="383">
        <f t="shared" ref="E170:E232" si="75">Wh_pvt/(1-Psa)</f>
        <v>38.975112892117778</v>
      </c>
      <c r="F170" s="383">
        <f t="shared" si="51"/>
        <v>38.979720886244905</v>
      </c>
      <c r="G170" s="110">
        <f t="shared" ref="G170:G232" si="76">+Wh_hp/MaxiM</f>
        <v>0.61016720223576881</v>
      </c>
      <c r="H170" s="412" t="b">
        <f>Wh_hp&gt;='2024'!Maxi_hp</f>
        <v>0</v>
      </c>
      <c r="I170" s="388">
        <f>IF(H170,Wh_hp,'2024'!Maxi_hp)</f>
        <v>45.501902889660293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4.3708672284378025E-2</v>
      </c>
      <c r="M170" s="832"/>
      <c r="N170" s="832"/>
      <c r="O170" s="48">
        <f>IF(t&lt;Tnet,'2024'!Resal+('2024'!Salim-'2024'!Resal)*(1-EXP(('2024'!Tnet-t)/('2024'!Tau_j))),Resal+(Salim-Resal)*(1-EXP((Tnet-t)/(Tau_j))))*Salcycl</f>
        <v>1.2111968432138789E-2</v>
      </c>
      <c r="P170" s="169">
        <f>(INDEX(Models!$BJ170:$BT170,,T170)*(1-R170)+INDEX(Models!$BJ170:$BT170,,T170+1)*R170-ERP_i)*Q170*Ramure*Pc/MaxiM</f>
        <v>2.6671563324091066E-4</v>
      </c>
      <c r="Q170" s="304">
        <f t="shared" si="53"/>
        <v>0.6</v>
      </c>
      <c r="R170" s="177">
        <f t="shared" si="54"/>
        <v>0.7232077198138176</v>
      </c>
      <c r="S170" s="799">
        <f t="shared" si="55"/>
        <v>1</v>
      </c>
      <c r="T170" s="176">
        <f t="shared" si="56"/>
        <v>7</v>
      </c>
      <c r="U170" s="250">
        <f t="shared" si="57"/>
        <v>1.7232077198138176</v>
      </c>
      <c r="V170" s="382">
        <f t="shared" si="58"/>
        <v>60.335366895530754</v>
      </c>
      <c r="W170" s="400">
        <f t="shared" si="59"/>
        <v>36.820130467592428</v>
      </c>
      <c r="X170" s="157">
        <f t="shared" si="60"/>
        <v>45813</v>
      </c>
      <c r="Y170" s="383">
        <f t="shared" si="61"/>
        <v>34.817788652471798</v>
      </c>
      <c r="Z170" s="383">
        <f t="shared" si="62"/>
        <v>36.409185823784618</v>
      </c>
      <c r="AA170" s="384">
        <f t="shared" si="63"/>
        <v>38.975112892117778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6.5835013112998247E-2</v>
      </c>
      <c r="AD170" s="230">
        <f>(INDEX(Models!$BJ170:$BT170,,AH170)*(1-AF170)+INDEX(Models!$BJ170:$BT170,,AH170+1)*AF170-ERP_i)*AE170*Ramure*Pc/MaxiM</f>
        <v>2.6671563324091066E-4</v>
      </c>
      <c r="AE170" s="304">
        <f t="shared" si="65"/>
        <v>0.6</v>
      </c>
      <c r="AF170" s="177">
        <f t="shared" si="66"/>
        <v>0.7232077198138176</v>
      </c>
      <c r="AG170" s="799">
        <f t="shared" si="74"/>
        <v>1</v>
      </c>
      <c r="AH170" s="176">
        <f t="shared" si="67"/>
        <v>7</v>
      </c>
      <c r="AI170" s="224">
        <f t="shared" si="68"/>
        <v>1.7232077198138176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'2024'!Wh/'2024'!Env_an*'2025'!Env_an</f>
        <v>48.027801291553054</v>
      </c>
      <c r="C171" s="829"/>
      <c r="D171" s="391">
        <f t="shared" si="50"/>
        <v>50.22394364464099</v>
      </c>
      <c r="E171" s="383">
        <f t="shared" si="75"/>
        <v>50.845488802934348</v>
      </c>
      <c r="F171" s="383">
        <f t="shared" si="51"/>
        <v>50.855064821920557</v>
      </c>
      <c r="G171" s="110">
        <f t="shared" si="76"/>
        <v>0.79650120558251725</v>
      </c>
      <c r="H171" s="412" t="b">
        <f>Wh_hp&gt;='2024'!Maxi_hp</f>
        <v>0</v>
      </c>
      <c r="I171" s="388">
        <f>IF(H171,Wh_hp,'2024'!Maxi_hp)</f>
        <v>58.87079114151684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4.3726999389508636E-2</v>
      </c>
      <c r="M171" s="832"/>
      <c r="N171" s="832"/>
      <c r="O171" s="48">
        <f>IF(t&lt;Tnet,'2024'!Resal+('2024'!Salim-'2024'!Resal)*(1-EXP(('2024'!Tnet-t)/('2024'!Tau_j))),Resal+(Salim-Resal)*(1-EXP((Tnet-t)/(Tau_j))))*Salcycl</f>
        <v>1.2224194769811842E-2</v>
      </c>
      <c r="P171" s="169">
        <f>(INDEX(Models!$BJ171:$BT171,,T171)*(1-R171)+INDEX(Models!$BJ171:$BT171,,T171+1)*R171-ERP_i)*Q171*Ramure*Pc/MaxiM</f>
        <v>2.6544512911999855E-4</v>
      </c>
      <c r="Q171" s="304">
        <f t="shared" si="53"/>
        <v>0.6</v>
      </c>
      <c r="R171" s="177">
        <f t="shared" si="54"/>
        <v>0.72830963836095752</v>
      </c>
      <c r="S171" s="799">
        <f t="shared" si="55"/>
        <v>1</v>
      </c>
      <c r="T171" s="176">
        <f t="shared" si="56"/>
        <v>7</v>
      </c>
      <c r="U171" s="250">
        <f t="shared" si="57"/>
        <v>1.7283096383609575</v>
      </c>
      <c r="V171" s="382">
        <f t="shared" si="58"/>
        <v>60.293813940187192</v>
      </c>
      <c r="W171" s="400">
        <f t="shared" si="59"/>
        <v>48.027801291553054</v>
      </c>
      <c r="X171" s="157">
        <f t="shared" si="60"/>
        <v>45814</v>
      </c>
      <c r="Y171" s="383">
        <f t="shared" si="61"/>
        <v>45.416693514803654</v>
      </c>
      <c r="Z171" s="383">
        <f t="shared" si="62"/>
        <v>47.493439097213162</v>
      </c>
      <c r="AA171" s="384">
        <f t="shared" si="63"/>
        <v>50.845488802934348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6.5926196888635935E-2</v>
      </c>
      <c r="AD171" s="230">
        <f>(INDEX(Models!$BJ171:$BT171,,AH171)*(1-AF171)+INDEX(Models!$BJ171:$BT171,,AH171+1)*AF171-ERP_i)*AE171*Ramure*Pc/MaxiM</f>
        <v>2.6544512911999855E-4</v>
      </c>
      <c r="AE171" s="304">
        <f t="shared" si="65"/>
        <v>0.6</v>
      </c>
      <c r="AF171" s="177">
        <f t="shared" si="66"/>
        <v>0.72830963836095752</v>
      </c>
      <c r="AG171" s="799">
        <f t="shared" si="74"/>
        <v>1</v>
      </c>
      <c r="AH171" s="176">
        <f t="shared" si="67"/>
        <v>7</v>
      </c>
      <c r="AI171" s="224">
        <f t="shared" si="68"/>
        <v>1.7283096383609575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'2024'!Wh/'2024'!Env_an*'2025'!Env_an</f>
        <v>29.133741756103888</v>
      </c>
      <c r="C172" s="829"/>
      <c r="D172" s="391">
        <f t="shared" si="50"/>
        <v>30.466509134650167</v>
      </c>
      <c r="E172" s="383">
        <f t="shared" si="75"/>
        <v>30.84704824815331</v>
      </c>
      <c r="F172" s="383">
        <f t="shared" si="51"/>
        <v>30.849185919310127</v>
      </c>
      <c r="G172" s="110">
        <f t="shared" si="76"/>
        <v>0.48344782834093714</v>
      </c>
      <c r="H172" s="412" t="b">
        <f>Wh_hp&gt;='2024'!Maxi_hp</f>
        <v>0</v>
      </c>
      <c r="I172" s="388">
        <f>IF(H172,Wh_hp,'2024'!Maxi_hp)</f>
        <v>52.613805955532094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4.3745326143404317E-2</v>
      </c>
      <c r="M172" s="832"/>
      <c r="N172" s="832"/>
      <c r="O172" s="48">
        <f>IF(t&lt;Tnet,'2024'!Resal+('2024'!Salim-'2024'!Resal)*(1-EXP(('2024'!Tnet-t)/('2024'!Tau_j))),Resal+(Salim-Resal)*(1-EXP((Tnet-t)/(Tau_j))))*Salcycl</f>
        <v>1.2336321791370257E-2</v>
      </c>
      <c r="P172" s="169">
        <f>(INDEX(Models!$BJ172:$BT172,,T172)*(1-R172)+INDEX(Models!$BJ172:$BT172,,T172+1)*R172-ERP_i)*Q172*Ramure*Pc/MaxiM</f>
        <v>2.6427707551004482E-4</v>
      </c>
      <c r="Q172" s="304">
        <f t="shared" si="53"/>
        <v>0.6</v>
      </c>
      <c r="R172" s="177">
        <f t="shared" si="54"/>
        <v>0.73342877777878357</v>
      </c>
      <c r="S172" s="799">
        <f t="shared" si="55"/>
        <v>1</v>
      </c>
      <c r="T172" s="176">
        <f t="shared" si="56"/>
        <v>7</v>
      </c>
      <c r="U172" s="250">
        <f t="shared" si="57"/>
        <v>1.7334287777787836</v>
      </c>
      <c r="V172" s="382">
        <f t="shared" si="58"/>
        <v>60.250680788198849</v>
      </c>
      <c r="W172" s="400">
        <f t="shared" si="59"/>
        <v>29.133741756103888</v>
      </c>
      <c r="X172" s="157">
        <f t="shared" si="60"/>
        <v>45815</v>
      </c>
      <c r="Y172" s="383">
        <f t="shared" si="61"/>
        <v>27.550296863894538</v>
      </c>
      <c r="Z172" s="383">
        <f t="shared" si="62"/>
        <v>28.810627144737079</v>
      </c>
      <c r="AA172" s="384">
        <f t="shared" si="63"/>
        <v>30.84704824815331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6.6016725069898544E-2</v>
      </c>
      <c r="AD172" s="230">
        <f>(INDEX(Models!$BJ172:$BT172,,AH172)*(1-AF172)+INDEX(Models!$BJ172:$BT172,,AH172+1)*AF172-ERP_i)*AE172*Ramure*Pc/MaxiM</f>
        <v>2.6427707551004482E-4</v>
      </c>
      <c r="AE172" s="304">
        <f t="shared" si="65"/>
        <v>0.6</v>
      </c>
      <c r="AF172" s="177">
        <f t="shared" si="66"/>
        <v>0.73342877777878357</v>
      </c>
      <c r="AG172" s="799">
        <f t="shared" si="74"/>
        <v>1</v>
      </c>
      <c r="AH172" s="176">
        <f t="shared" si="67"/>
        <v>7</v>
      </c>
      <c r="AI172" s="224">
        <f t="shared" si="68"/>
        <v>1.7334287777787836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'2024'!Wh/'2024'!Env_an*'2025'!Env_an</f>
        <v>21.719756285683566</v>
      </c>
      <c r="C173" s="829"/>
      <c r="D173" s="391">
        <f t="shared" si="50"/>
        <v>22.713794914316448</v>
      </c>
      <c r="E173" s="383">
        <f t="shared" si="75"/>
        <v>23.00010801675402</v>
      </c>
      <c r="F173" s="383">
        <f t="shared" si="51"/>
        <v>23.000633467901153</v>
      </c>
      <c r="G173" s="110">
        <f t="shared" si="76"/>
        <v>0.36066832562483558</v>
      </c>
      <c r="H173" s="412" t="b">
        <f>Wh_hp&gt;='2024'!Maxi_hp</f>
        <v>0</v>
      </c>
      <c r="I173" s="388">
        <f>IF(H173,Wh_hp,'2024'!Maxi_hp)</f>
        <v>63.747853574878313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4.3763652546072063E-2</v>
      </c>
      <c r="M173" s="832"/>
      <c r="N173" s="832"/>
      <c r="O173" s="48">
        <f>IF(t&lt;Tnet,'2024'!Resal+('2024'!Salim-'2024'!Resal)*(1-EXP(('2024'!Tnet-t)/('2024'!Tau_j))),Resal+(Salim-Resal)*(1-EXP((Tnet-t)/(Tau_j))))*Salcycl</f>
        <v>1.244833729602538E-2</v>
      </c>
      <c r="P173" s="169">
        <f>(INDEX(Models!$BJ173:$BT173,,T173)*(1-R173)+INDEX(Models!$BJ173:$BT173,,T173+1)*R173-ERP_i)*Q173*Ramure*Pc/MaxiM</f>
        <v>2.6321356274535763E-4</v>
      </c>
      <c r="Q173" s="304">
        <f t="shared" si="53"/>
        <v>0.6</v>
      </c>
      <c r="R173" s="177">
        <f t="shared" si="54"/>
        <v>0.73856088373205009</v>
      </c>
      <c r="S173" s="799">
        <f t="shared" si="55"/>
        <v>1</v>
      </c>
      <c r="T173" s="176">
        <f t="shared" si="56"/>
        <v>7</v>
      </c>
      <c r="U173" s="250">
        <f t="shared" si="57"/>
        <v>1.7385608837320501</v>
      </c>
      <c r="V173" s="382">
        <f t="shared" si="58"/>
        <v>60.206383202001817</v>
      </c>
      <c r="W173" s="400">
        <f t="shared" si="59"/>
        <v>21.719756285683566</v>
      </c>
      <c r="X173" s="157">
        <f t="shared" si="60"/>
        <v>45816</v>
      </c>
      <c r="Y173" s="383">
        <f t="shared" si="61"/>
        <v>20.539622306690774</v>
      </c>
      <c r="Z173" s="383">
        <f t="shared" si="62"/>
        <v>21.479650257365254</v>
      </c>
      <c r="AA173" s="384">
        <f t="shared" si="63"/>
        <v>23.00010801675402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6.6106548642346274E-2</v>
      </c>
      <c r="AD173" s="230">
        <f>(INDEX(Models!$BJ173:$BT173,,AH173)*(1-AF173)+INDEX(Models!$BJ173:$BT173,,AH173+1)*AF173-ERP_i)*AE173*Ramure*Pc/MaxiM</f>
        <v>2.6321356274535763E-4</v>
      </c>
      <c r="AE173" s="304">
        <f t="shared" si="65"/>
        <v>0.6</v>
      </c>
      <c r="AF173" s="177">
        <f t="shared" si="66"/>
        <v>0.73856088373205009</v>
      </c>
      <c r="AG173" s="799">
        <f t="shared" si="74"/>
        <v>1</v>
      </c>
      <c r="AH173" s="176">
        <f t="shared" si="67"/>
        <v>7</v>
      </c>
      <c r="AI173" s="224">
        <f t="shared" si="68"/>
        <v>1.7385608837320501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'2024'!Wh/'2024'!Env_an*'2025'!Env_an</f>
        <v>47.320255643935191</v>
      </c>
      <c r="C174" s="829"/>
      <c r="D174" s="391">
        <f t="shared" si="50"/>
        <v>49.486889584585263</v>
      </c>
      <c r="E174" s="383">
        <f t="shared" si="75"/>
        <v>50.116362583543683</v>
      </c>
      <c r="F174" s="383">
        <f t="shared" si="51"/>
        <v>50.125499932938766</v>
      </c>
      <c r="G174" s="110">
        <f t="shared" si="76"/>
        <v>0.78649301134278393</v>
      </c>
      <c r="H174" s="412" t="b">
        <f>Wh_hp&gt;='2024'!Maxi_hp</f>
        <v>0</v>
      </c>
      <c r="I174" s="388">
        <f>IF(H174,Wh_hp,'2024'!Maxi_hp)</f>
        <v>60.451525350346095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4.3781978597518423E-2</v>
      </c>
      <c r="M174" s="832"/>
      <c r="N174" s="832"/>
      <c r="O174" s="48">
        <f>IF(t&lt;Tnet,'2024'!Resal+('2024'!Salim-'2024'!Resal)*(1-EXP(('2024'!Tnet-t)/('2024'!Tau_j))),Resal+(Salim-Resal)*(1-EXP((Tnet-t)/(Tau_j))))*Salcycl</f>
        <v>1.2560229164857878E-2</v>
      </c>
      <c r="P174" s="169">
        <f>(INDEX(Models!$BJ174:$BT174,,T174)*(1-R174)+INDEX(Models!$BJ174:$BT174,,T174+1)*R174-ERP_i)*Q174*Ramure*Pc/MaxiM</f>
        <v>2.6225682081278318E-4</v>
      </c>
      <c r="Q174" s="304">
        <f t="shared" si="53"/>
        <v>0.6</v>
      </c>
      <c r="R174" s="177">
        <f t="shared" si="54"/>
        <v>0.74370165837635582</v>
      </c>
      <c r="S174" s="799">
        <f t="shared" si="55"/>
        <v>1</v>
      </c>
      <c r="T174" s="176">
        <f t="shared" si="56"/>
        <v>7</v>
      </c>
      <c r="U174" s="250">
        <f t="shared" si="57"/>
        <v>1.7437016583763558</v>
      </c>
      <c r="V174" s="382">
        <f t="shared" si="58"/>
        <v>60.161336712201965</v>
      </c>
      <c r="W174" s="400">
        <f t="shared" si="59"/>
        <v>47.320255643935191</v>
      </c>
      <c r="X174" s="157">
        <f t="shared" si="60"/>
        <v>45817</v>
      </c>
      <c r="Y174" s="383">
        <f t="shared" si="61"/>
        <v>44.749931355657736</v>
      </c>
      <c r="Z174" s="383">
        <f t="shared" si="62"/>
        <v>46.798878868673874</v>
      </c>
      <c r="AA174" s="384">
        <f t="shared" si="63"/>
        <v>50.116362583543683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6.6195620429147978E-2</v>
      </c>
      <c r="AD174" s="230">
        <f>(INDEX(Models!$BJ174:$BT174,,AH174)*(1-AF174)+INDEX(Models!$BJ174:$BT174,,AH174+1)*AF174-ERP_i)*AE174*Ramure*Pc/MaxiM</f>
        <v>2.6225682081278318E-4</v>
      </c>
      <c r="AE174" s="304">
        <f t="shared" si="65"/>
        <v>0.6</v>
      </c>
      <c r="AF174" s="177">
        <f t="shared" si="66"/>
        <v>0.74370165837635582</v>
      </c>
      <c r="AG174" s="799">
        <f t="shared" si="74"/>
        <v>1</v>
      </c>
      <c r="AH174" s="176">
        <f t="shared" si="67"/>
        <v>7</v>
      </c>
      <c r="AI174" s="224">
        <f t="shared" si="68"/>
        <v>1.7437016583763558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'2024'!Wh/'2024'!Env_an*'2025'!Env_an</f>
        <v>59.032465035126862</v>
      </c>
      <c r="C175" s="829"/>
      <c r="D175" s="391">
        <f t="shared" si="50"/>
        <v>61.73654446916801</v>
      </c>
      <c r="E175" s="383">
        <f t="shared" si="75"/>
        <v>62.528909903255332</v>
      </c>
      <c r="F175" s="383">
        <f t="shared" si="51"/>
        <v>62.544838730568671</v>
      </c>
      <c r="G175" s="110">
        <f t="shared" si="76"/>
        <v>0.98197002810302825</v>
      </c>
      <c r="H175" s="412" t="b">
        <f>Wh_hp&gt;='2024'!Maxi_hp</f>
        <v>0</v>
      </c>
      <c r="I175" s="388">
        <f>IF(H175,Wh_hp,'2024'!Maxi_hp)</f>
        <v>62.54511086114735</v>
      </c>
      <c r="J175" s="85">
        <f>IF(H175,An,'2024'!An_max)</f>
        <v>2022</v>
      </c>
      <c r="K175" s="197">
        <f t="shared" si="52"/>
        <v>45818</v>
      </c>
      <c r="L175" s="147">
        <f>IF(t&lt;Tvie,1-EXP((T0-t)*PertePVj)+'2024'!Pspv,1-EXP((T0-t)*PertePVj)+Pspv)</f>
        <v>4.3800304297750281E-2</v>
      </c>
      <c r="M175" s="832"/>
      <c r="N175" s="832"/>
      <c r="O175" s="48">
        <f>IF(t&lt;Tnet,'2024'!Resal+('2024'!Salim-'2024'!Resal)*(1-EXP(('2024'!Tnet-t)/('2024'!Tau_j))),Resal+(Salim-Resal)*(1-EXP((Tnet-t)/(Tau_j))))*Salcycl</f>
        <v>1.2671985411440458E-2</v>
      </c>
      <c r="P175" s="169">
        <f>(INDEX(Models!$BJ175:$BT175,,T175)*(1-R175)+INDEX(Models!$BJ175:$BT175,,T175+1)*R175-ERP_i)*Q175*Ramure*Pc/MaxiM</f>
        <v>2.6140920040746996E-4</v>
      </c>
      <c r="Q175" s="304">
        <f t="shared" si="53"/>
        <v>0.6</v>
      </c>
      <c r="R175" s="177">
        <f t="shared" si="54"/>
        <v>0.74884677468736749</v>
      </c>
      <c r="S175" s="799">
        <f t="shared" si="55"/>
        <v>1</v>
      </c>
      <c r="T175" s="176">
        <f t="shared" si="56"/>
        <v>7</v>
      </c>
      <c r="U175" s="250">
        <f t="shared" si="57"/>
        <v>1.7488467746873675</v>
      </c>
      <c r="V175" s="382">
        <f t="shared" si="58"/>
        <v>60.115956613894397</v>
      </c>
      <c r="W175" s="400">
        <f t="shared" si="59"/>
        <v>59.032465035126862</v>
      </c>
      <c r="X175" s="157">
        <f t="shared" si="60"/>
        <v>45818</v>
      </c>
      <c r="Y175" s="383">
        <f t="shared" si="61"/>
        <v>55.827002262965365</v>
      </c>
      <c r="Z175" s="383">
        <f t="shared" si="62"/>
        <v>58.384250187368067</v>
      </c>
      <c r="AA175" s="384">
        <f t="shared" si="63"/>
        <v>62.528909903255332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6.6283895278198196E-2</v>
      </c>
      <c r="AD175" s="230">
        <f>(INDEX(Models!$BJ175:$BT175,,AH175)*(1-AF175)+INDEX(Models!$BJ175:$BT175,,AH175+1)*AF175-ERP_i)*AE175*Ramure*Pc/MaxiM</f>
        <v>2.6140920040746996E-4</v>
      </c>
      <c r="AE175" s="304">
        <f t="shared" si="65"/>
        <v>0.6</v>
      </c>
      <c r="AF175" s="177">
        <f t="shared" si="66"/>
        <v>0.74884677468736749</v>
      </c>
      <c r="AG175" s="799">
        <f t="shared" si="74"/>
        <v>1</v>
      </c>
      <c r="AH175" s="176">
        <f t="shared" si="67"/>
        <v>7</v>
      </c>
      <c r="AI175" s="224">
        <f t="shared" si="68"/>
        <v>1.7488467746873675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'2024'!Wh/'2024'!Env_an*'2025'!Env_an</f>
        <v>57.046522944268801</v>
      </c>
      <c r="C176" s="829"/>
      <c r="D176" s="391">
        <f t="shared" si="50"/>
        <v>59.660776410227562</v>
      </c>
      <c r="E176" s="383">
        <f t="shared" si="75"/>
        <v>60.43333159949848</v>
      </c>
      <c r="F176" s="383">
        <f t="shared" si="51"/>
        <v>60.44795552709769</v>
      </c>
      <c r="G176" s="110">
        <f t="shared" si="76"/>
        <v>0.94963922742611706</v>
      </c>
      <c r="H176" s="412" t="b">
        <f>Wh_hp&gt;='2024'!Maxi_hp</f>
        <v>0</v>
      </c>
      <c r="I176" s="388">
        <f>IF(H176,Wh_hp,'2024'!Maxi_hp)</f>
        <v>60.448688456997267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4.3818629646774188E-2</v>
      </c>
      <c r="M176" s="832"/>
      <c r="N176" s="832"/>
      <c r="O176" s="48">
        <f>IF(t&lt;Tnet,'2024'!Resal+('2024'!Salim-'2024'!Resal)*(1-EXP(('2024'!Tnet-t)/('2024'!Tau_j))),Resal+(Salim-Resal)*(1-EXP((Tnet-t)/(Tau_j))))*Salcycl</f>
        <v>1.2783594232248671E-2</v>
      </c>
      <c r="P176" s="169">
        <f>(INDEX(Models!$BJ176:$BT176,,T176)*(1-R176)+INDEX(Models!$BJ176:$BT176,,T176+1)*R176-ERP_i)*Q176*Ramure*Pc/MaxiM</f>
        <v>2.6067315343478224E-4</v>
      </c>
      <c r="Q176" s="304">
        <f t="shared" si="53"/>
        <v>0.6</v>
      </c>
      <c r="R176" s="177">
        <f t="shared" si="54"/>
        <v>0.75399189099837893</v>
      </c>
      <c r="S176" s="799">
        <f t="shared" si="55"/>
        <v>1</v>
      </c>
      <c r="T176" s="176">
        <f t="shared" si="56"/>
        <v>7</v>
      </c>
      <c r="U176" s="250">
        <f t="shared" si="57"/>
        <v>1.7539918909983789</v>
      </c>
      <c r="V176" s="382">
        <f t="shared" si="58"/>
        <v>60.070657965482702</v>
      </c>
      <c r="W176" s="400">
        <f t="shared" si="59"/>
        <v>57.046522944268801</v>
      </c>
      <c r="X176" s="157">
        <f t="shared" si="60"/>
        <v>45819</v>
      </c>
      <c r="Y176" s="383">
        <f t="shared" si="61"/>
        <v>53.949943517651896</v>
      </c>
      <c r="Z176" s="383">
        <f t="shared" si="62"/>
        <v>56.422290990381967</v>
      </c>
      <c r="AA176" s="384">
        <f t="shared" si="63"/>
        <v>60.43333159949848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6.6371330240376808E-2</v>
      </c>
      <c r="AD176" s="230">
        <f>(INDEX(Models!$BJ176:$BT176,,AH176)*(1-AF176)+INDEX(Models!$BJ176:$BT176,,AH176+1)*AF176-ERP_i)*AE176*Ramure*Pc/MaxiM</f>
        <v>2.6067315343478224E-4</v>
      </c>
      <c r="AE176" s="304">
        <f t="shared" si="65"/>
        <v>0.6</v>
      </c>
      <c r="AF176" s="177">
        <f t="shared" si="66"/>
        <v>0.75399189099837893</v>
      </c>
      <c r="AG176" s="799">
        <f t="shared" si="74"/>
        <v>1</v>
      </c>
      <c r="AH176" s="176">
        <f t="shared" si="67"/>
        <v>7</v>
      </c>
      <c r="AI176" s="224">
        <f t="shared" si="68"/>
        <v>1.7539918909983789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'2024'!Wh/'2024'!Env_an*'2025'!Env_an</f>
        <v>44.281772166966093</v>
      </c>
      <c r="C177" s="829"/>
      <c r="D177" s="391">
        <f t="shared" si="50"/>
        <v>46.311946881932343</v>
      </c>
      <c r="E177" s="383">
        <f t="shared" si="75"/>
        <v>46.916942927985374</v>
      </c>
      <c r="F177" s="383">
        <f t="shared" si="51"/>
        <v>46.92457371618606</v>
      </c>
      <c r="G177" s="110">
        <f t="shared" si="76"/>
        <v>0.73765247567312042</v>
      </c>
      <c r="H177" s="412" t="b">
        <f>Wh_hp&gt;='2024'!Maxi_hp</f>
        <v>0</v>
      </c>
      <c r="I177" s="388">
        <f>IF(H177,Wh_hp,'2024'!Maxi_hp)</f>
        <v>56.41651381708197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4.3836954644596915E-2</v>
      </c>
      <c r="M177" s="832"/>
      <c r="N177" s="832"/>
      <c r="O177" s="48">
        <f>IF(t&lt;Tnet,'2024'!Resal+('2024'!Salim-'2024'!Resal)*(1-EXP(('2024'!Tnet-t)/('2024'!Tau_j))),Resal+(Salim-Resal)*(1-EXP((Tnet-t)/(Tau_j))))*Salcycl</f>
        <v>1.2895044056507767E-2</v>
      </c>
      <c r="P177" s="169">
        <f>(INDEX(Models!$BJ177:$BT177,,T177)*(1-R177)+INDEX(Models!$BJ177:$BT177,,T177+1)*R177-ERP_i)*Q177*Ramure*Pc/MaxiM</f>
        <v>2.6005570031878173E-4</v>
      </c>
      <c r="Q177" s="304">
        <f t="shared" si="53"/>
        <v>0.6</v>
      </c>
      <c r="R177" s="177">
        <f t="shared" si="54"/>
        <v>0.75913266564268489</v>
      </c>
      <c r="S177" s="799">
        <f t="shared" si="55"/>
        <v>1</v>
      </c>
      <c r="T177" s="176">
        <f t="shared" si="56"/>
        <v>7</v>
      </c>
      <c r="U177" s="250">
        <f t="shared" si="57"/>
        <v>1.7591326656426849</v>
      </c>
      <c r="V177" s="382">
        <f t="shared" si="58"/>
        <v>60.02481957127727</v>
      </c>
      <c r="W177" s="400">
        <f t="shared" si="59"/>
        <v>44.281772166966093</v>
      </c>
      <c r="X177" s="157">
        <f t="shared" si="60"/>
        <v>45820</v>
      </c>
      <c r="Y177" s="383">
        <f t="shared" si="61"/>
        <v>41.878929902445961</v>
      </c>
      <c r="Z177" s="383">
        <f t="shared" si="62"/>
        <v>43.798942142633926</v>
      </c>
      <c r="AA177" s="384">
        <f t="shared" si="63"/>
        <v>46.916942927985374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6.6457884737660441E-2</v>
      </c>
      <c r="AD177" s="230">
        <f>(INDEX(Models!$BJ177:$BT177,,AH177)*(1-AF177)+INDEX(Models!$BJ177:$BT177,,AH177+1)*AF177-ERP_i)*AE177*Ramure*Pc/MaxiM</f>
        <v>2.6005570031878173E-4</v>
      </c>
      <c r="AE177" s="304">
        <f t="shared" si="65"/>
        <v>0.6</v>
      </c>
      <c r="AF177" s="177">
        <f t="shared" si="66"/>
        <v>0.75913266564268489</v>
      </c>
      <c r="AG177" s="799">
        <f t="shared" si="74"/>
        <v>1</v>
      </c>
      <c r="AH177" s="176">
        <f t="shared" si="67"/>
        <v>7</v>
      </c>
      <c r="AI177" s="224">
        <f t="shared" si="68"/>
        <v>1.7591326656426849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'2024'!Wh/'2024'!Env_an*'2025'!Env_an</f>
        <v>55.687440434957125</v>
      </c>
      <c r="C178" s="829"/>
      <c r="D178" s="391">
        <f t="shared" si="50"/>
        <v>58.241643998909417</v>
      </c>
      <c r="E178" s="383">
        <f t="shared" si="75"/>
        <v>59.009135915697485</v>
      </c>
      <c r="F178" s="383">
        <f t="shared" si="51"/>
        <v>59.022897292992255</v>
      </c>
      <c r="G178" s="110">
        <f t="shared" si="76"/>
        <v>0.92844696998377518</v>
      </c>
      <c r="H178" s="412" t="b">
        <f>Wh_hp&gt;='2024'!Maxi_hp</f>
        <v>0</v>
      </c>
      <c r="I178" s="388">
        <f>IF(H178,Wh_hp,'2024'!Maxi_hp)</f>
        <v>64.279104061315721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4.3855279291225346E-2</v>
      </c>
      <c r="M178" s="832"/>
      <c r="N178" s="832"/>
      <c r="O178" s="48">
        <f>IF(t&lt;Tnet,'2024'!Resal+('2024'!Salim-'2024'!Resal)*(1-EXP(('2024'!Tnet-t)/('2024'!Tau_j))),Resal+(Salim-Resal)*(1-EXP((Tnet-t)/(Tau_j))))*Salcycl</f>
        <v>1.3006323595121477E-2</v>
      </c>
      <c r="P178" s="169">
        <f>(INDEX(Models!$BJ178:$BT178,,T178)*(1-R178)+INDEX(Models!$BJ178:$BT178,,T178+1)*R178-ERP_i)*Q178*Ramure*Pc/MaxiM</f>
        <v>2.5968911800838167E-4</v>
      </c>
      <c r="Q178" s="304">
        <f t="shared" si="53"/>
        <v>0.6</v>
      </c>
      <c r="R178" s="177">
        <f t="shared" si="54"/>
        <v>0.76426477159595141</v>
      </c>
      <c r="S178" s="799">
        <f t="shared" si="55"/>
        <v>1</v>
      </c>
      <c r="T178" s="176">
        <f t="shared" si="56"/>
        <v>7</v>
      </c>
      <c r="U178" s="250">
        <f t="shared" si="57"/>
        <v>1.7642647715959514</v>
      </c>
      <c r="V178" s="382">
        <f t="shared" si="58"/>
        <v>59.977536868782266</v>
      </c>
      <c r="W178" s="400">
        <f t="shared" si="59"/>
        <v>55.687440434957125</v>
      </c>
      <c r="X178" s="157">
        <f t="shared" si="60"/>
        <v>45821</v>
      </c>
      <c r="Y178" s="383">
        <f t="shared" si="61"/>
        <v>52.666803578601879</v>
      </c>
      <c r="Z178" s="383">
        <f t="shared" si="62"/>
        <v>55.082460257230544</v>
      </c>
      <c r="AA178" s="384">
        <f t="shared" si="63"/>
        <v>59.009135915697485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6.654352071985474E-2</v>
      </c>
      <c r="AD178" s="230">
        <f>(INDEX(Models!$BJ178:$BT178,,AH178)*(1-AF178)+INDEX(Models!$BJ178:$BT178,,AH178+1)*AF178-ERP_i)*AE178*Ramure*Pc/MaxiM</f>
        <v>2.5968911800838167E-4</v>
      </c>
      <c r="AE178" s="304">
        <f t="shared" si="65"/>
        <v>0.6</v>
      </c>
      <c r="AF178" s="177">
        <f t="shared" si="66"/>
        <v>0.76426477159595141</v>
      </c>
      <c r="AG178" s="799">
        <f t="shared" si="74"/>
        <v>1</v>
      </c>
      <c r="AH178" s="176">
        <f t="shared" si="67"/>
        <v>7</v>
      </c>
      <c r="AI178" s="224">
        <f t="shared" si="68"/>
        <v>1.7642647715959514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'2024'!Wh/'2024'!Env_an*'2025'!Env_an</f>
        <v>49.503588910693658</v>
      </c>
      <c r="C179" s="829"/>
      <c r="D179" s="391">
        <f t="shared" si="50"/>
        <v>51.775151377886687</v>
      </c>
      <c r="E179" s="383">
        <f t="shared" si="75"/>
        <v>52.463335077770623</v>
      </c>
      <c r="F179" s="383">
        <f t="shared" si="51"/>
        <v>52.473569525474424</v>
      </c>
      <c r="G179" s="110">
        <f t="shared" si="76"/>
        <v>0.82598657871858394</v>
      </c>
      <c r="H179" s="412" t="b">
        <f>Wh_hp&gt;='2024'!Maxi_hp</f>
        <v>0</v>
      </c>
      <c r="I179" s="388">
        <f>IF(H179,Wh_hp,'2024'!Maxi_hp)</f>
        <v>56.161235442538548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4.3873603586666032E-2</v>
      </c>
      <c r="M179" s="832"/>
      <c r="N179" s="832"/>
      <c r="O179" s="48">
        <f>IF(t&lt;Tnet,'2024'!Resal+('2024'!Salim-'2024'!Resal)*(1-EXP(('2024'!Tnet-t)/('2024'!Tau_j))),Resal+(Salim-Resal)*(1-EXP((Tnet-t)/(Tau_j))))*Salcycl</f>
        <v>1.311742188833E-2</v>
      </c>
      <c r="P179" s="169">
        <f>(INDEX(Models!$BJ179:$BT179,,T179)*(1-R179)+INDEX(Models!$BJ179:$BT179,,T179+1)*R179-ERP_i)*Q179*Ramure*Pc/MaxiM</f>
        <v>2.5953933218287228E-4</v>
      </c>
      <c r="Q179" s="304">
        <f t="shared" si="53"/>
        <v>0.6</v>
      </c>
      <c r="R179" s="177">
        <f t="shared" si="54"/>
        <v>0.76938391101377723</v>
      </c>
      <c r="S179" s="799">
        <f t="shared" si="55"/>
        <v>1</v>
      </c>
      <c r="T179" s="176">
        <f t="shared" si="56"/>
        <v>7</v>
      </c>
      <c r="U179" s="250">
        <f t="shared" si="57"/>
        <v>1.7693839110137772</v>
      </c>
      <c r="V179" s="382">
        <f t="shared" si="58"/>
        <v>59.928813151829566</v>
      </c>
      <c r="W179" s="400">
        <f t="shared" si="59"/>
        <v>49.503588910693658</v>
      </c>
      <c r="X179" s="157">
        <f t="shared" si="60"/>
        <v>45822</v>
      </c>
      <c r="Y179" s="383">
        <f t="shared" si="61"/>
        <v>46.819403618817148</v>
      </c>
      <c r="Z179" s="383">
        <f t="shared" si="62"/>
        <v>48.967797348183552</v>
      </c>
      <c r="AA179" s="384">
        <f t="shared" si="63"/>
        <v>52.463335077770623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6.6628202808787299E-2</v>
      </c>
      <c r="AD179" s="230">
        <f>(INDEX(Models!$BJ179:$BT179,,AH179)*(1-AF179)+INDEX(Models!$BJ179:$BT179,,AH179+1)*AF179-ERP_i)*AE179*Ramure*Pc/MaxiM</f>
        <v>2.5953933218287228E-4</v>
      </c>
      <c r="AE179" s="304">
        <f t="shared" si="65"/>
        <v>0.6</v>
      </c>
      <c r="AF179" s="177">
        <f t="shared" si="66"/>
        <v>0.76938391101377723</v>
      </c>
      <c r="AG179" s="799">
        <f t="shared" si="74"/>
        <v>1</v>
      </c>
      <c r="AH179" s="176">
        <f t="shared" si="67"/>
        <v>7</v>
      </c>
      <c r="AI179" s="224">
        <f t="shared" si="68"/>
        <v>1.7693839110137772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'2024'!Wh/'2024'!Env_an*'2025'!Env_an</f>
        <v>55.805956425366773</v>
      </c>
      <c r="C180" s="829"/>
      <c r="D180" s="391">
        <f t="shared" si="50"/>
        <v>58.367833127119475</v>
      </c>
      <c r="E180" s="383">
        <f t="shared" si="75"/>
        <v>59.150292619998829</v>
      </c>
      <c r="F180" s="383">
        <f t="shared" si="51"/>
        <v>59.164159947150544</v>
      </c>
      <c r="G180" s="110">
        <f t="shared" si="76"/>
        <v>0.93196070811777865</v>
      </c>
      <c r="H180" s="412" t="b">
        <f>Wh_hp&gt;='2024'!Maxi_hp</f>
        <v>0</v>
      </c>
      <c r="I180" s="388">
        <f>IF(H180,Wh_hp,'2024'!Maxi_hp)</f>
        <v>59.165126104140107</v>
      </c>
      <c r="J180" s="85">
        <f>IF(H180,An,'2024'!An_max)</f>
        <v>2022</v>
      </c>
      <c r="K180" s="197">
        <f t="shared" si="52"/>
        <v>45823</v>
      </c>
      <c r="L180" s="147">
        <f>IF(t&lt;Tvie,1-EXP((T0-t)*PertePVj)+'2024'!Pspv,1-EXP((T0-t)*PertePVj)+Pspv)</f>
        <v>4.3891927530925856E-2</v>
      </c>
      <c r="M180" s="832"/>
      <c r="N180" s="832"/>
      <c r="O180" s="48">
        <f>IF(t&lt;Tnet,'2024'!Resal+('2024'!Salim-'2024'!Resal)*(1-EXP(('2024'!Tnet-t)/('2024'!Tau_j))),Resal+(Salim-Resal)*(1-EXP((Tnet-t)/(Tau_j))))*Salcycl</f>
        <v>1.3228328351748626E-2</v>
      </c>
      <c r="P180" s="169">
        <f>(INDEX(Models!$BJ180:$BT180,,T180)*(1-R180)+INDEX(Models!$BJ180:$BT180,,T180+1)*R180-ERP_i)*Q180*Ramure*Pc/MaxiM</f>
        <v>2.5961265707396023E-4</v>
      </c>
      <c r="Q180" s="304">
        <f t="shared" si="53"/>
        <v>0.6</v>
      </c>
      <c r="R180" s="177">
        <f t="shared" si="54"/>
        <v>0.77448582956091738</v>
      </c>
      <c r="S180" s="799">
        <f t="shared" si="55"/>
        <v>1</v>
      </c>
      <c r="T180" s="176">
        <f t="shared" si="56"/>
        <v>7</v>
      </c>
      <c r="U180" s="250">
        <f t="shared" si="57"/>
        <v>1.7744858295609174</v>
      </c>
      <c r="V180" s="382">
        <f t="shared" si="58"/>
        <v>59.878649264452392</v>
      </c>
      <c r="W180" s="400">
        <f t="shared" si="59"/>
        <v>55.805956425366773</v>
      </c>
      <c r="X180" s="157">
        <f t="shared" si="60"/>
        <v>45823</v>
      </c>
      <c r="Y180" s="383">
        <f t="shared" si="61"/>
        <v>52.781242738347146</v>
      </c>
      <c r="Z180" s="383">
        <f t="shared" si="62"/>
        <v>55.204264306694668</v>
      </c>
      <c r="AA180" s="384">
        <f t="shared" si="63"/>
        <v>59.150292619998829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6.6711898428884628E-2</v>
      </c>
      <c r="AD180" s="230">
        <f>(INDEX(Models!$BJ180:$BT180,,AH180)*(1-AF180)+INDEX(Models!$BJ180:$BT180,,AH180+1)*AF180-ERP_i)*AE180*Ramure*Pc/MaxiM</f>
        <v>2.5961265707396023E-4</v>
      </c>
      <c r="AE180" s="304">
        <f t="shared" si="65"/>
        <v>0.6</v>
      </c>
      <c r="AF180" s="177">
        <f t="shared" si="66"/>
        <v>0.77448582956091738</v>
      </c>
      <c r="AG180" s="799">
        <f t="shared" si="74"/>
        <v>1</v>
      </c>
      <c r="AH180" s="176">
        <f t="shared" si="67"/>
        <v>7</v>
      </c>
      <c r="AI180" s="224">
        <f t="shared" si="68"/>
        <v>1.7744858295609174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'2024'!Wh/'2024'!Env_an*'2025'!Env_an</f>
        <v>53.598927411026644</v>
      </c>
      <c r="C181" s="829"/>
      <c r="D181" s="391">
        <f t="shared" si="50"/>
        <v>56.060560709953592</v>
      </c>
      <c r="E181" s="383">
        <f t="shared" si="75"/>
        <v>56.818464066950014</v>
      </c>
      <c r="F181" s="383">
        <f t="shared" si="51"/>
        <v>56.831038586839867</v>
      </c>
      <c r="G181" s="110">
        <f t="shared" si="76"/>
        <v>0.8958633043716806</v>
      </c>
      <c r="H181" s="412" t="b">
        <f>Wh_hp&gt;='2024'!Maxi_hp</f>
        <v>0</v>
      </c>
      <c r="I181" s="388">
        <f>IF(H181,Wh_hp,'2024'!Maxi_hp)</f>
        <v>63.760579589282713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4.3910251124011368E-2</v>
      </c>
      <c r="M181" s="832"/>
      <c r="N181" s="832"/>
      <c r="O181" s="48">
        <f>IF(t&lt;Tnet,'2024'!Resal+('2024'!Salim-'2024'!Resal)*(1-EXP(('2024'!Tnet-t)/('2024'!Tau_j))),Resal+(Salim-Resal)*(1-EXP((Tnet-t)/(Tau_j))))*Salcycl</f>
        <v>1.3339032820446814E-2</v>
      </c>
      <c r="P181" s="169">
        <f>(INDEX(Models!$BJ181:$BT181,,T181)*(1-R181)+INDEX(Models!$BJ181:$BT181,,T181+1)*R181-ERP_i)*Q181*Ramure*Pc/MaxiM</f>
        <v>2.5991537700162419E-4</v>
      </c>
      <c r="Q181" s="304">
        <f t="shared" si="53"/>
        <v>0.6</v>
      </c>
      <c r="R181" s="177">
        <f t="shared" si="54"/>
        <v>0.77956633043118928</v>
      </c>
      <c r="S181" s="799">
        <f t="shared" si="55"/>
        <v>1</v>
      </c>
      <c r="T181" s="176">
        <f t="shared" si="56"/>
        <v>7</v>
      </c>
      <c r="U181" s="250">
        <f t="shared" si="57"/>
        <v>1.7795663304311893</v>
      </c>
      <c r="V181" s="382">
        <f t="shared" si="58"/>
        <v>59.827046027805352</v>
      </c>
      <c r="W181" s="400">
        <f t="shared" si="59"/>
        <v>53.598927411026644</v>
      </c>
      <c r="X181" s="157">
        <f t="shared" si="60"/>
        <v>45824</v>
      </c>
      <c r="Y181" s="383">
        <f t="shared" si="61"/>
        <v>50.695032378200011</v>
      </c>
      <c r="Z181" s="383">
        <f t="shared" si="62"/>
        <v>53.023298741356449</v>
      </c>
      <c r="AA181" s="384">
        <f t="shared" si="63"/>
        <v>56.818464066950014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6.6794577923149537E-2</v>
      </c>
      <c r="AD181" s="230">
        <f>(INDEX(Models!$BJ181:$BT181,,AH181)*(1-AF181)+INDEX(Models!$BJ181:$BT181,,AH181+1)*AF181-ERP_i)*AE181*Ramure*Pc/MaxiM</f>
        <v>2.5991537700162419E-4</v>
      </c>
      <c r="AE181" s="304">
        <f t="shared" si="65"/>
        <v>0.6</v>
      </c>
      <c r="AF181" s="177">
        <f t="shared" si="66"/>
        <v>0.77956633043118928</v>
      </c>
      <c r="AG181" s="799">
        <f t="shared" si="74"/>
        <v>1</v>
      </c>
      <c r="AH181" s="176">
        <f t="shared" si="67"/>
        <v>7</v>
      </c>
      <c r="AI181" s="224">
        <f t="shared" si="68"/>
        <v>1.7795663304311893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'2024'!Wh/'2024'!Env_an*'2025'!Env_an</f>
        <v>53.74233348731056</v>
      </c>
      <c r="C182" s="829"/>
      <c r="D182" s="391">
        <f t="shared" si="50"/>
        <v>56.211630267757897</v>
      </c>
      <c r="E182" s="383">
        <f t="shared" si="75"/>
        <v>56.977956755245522</v>
      </c>
      <c r="F182" s="383">
        <f t="shared" si="51"/>
        <v>56.990660443005702</v>
      </c>
      <c r="G182" s="110">
        <f t="shared" si="76"/>
        <v>0.89905831041630979</v>
      </c>
      <c r="H182" s="412" t="b">
        <f>Wh_hp&gt;='2024'!Maxi_hp</f>
        <v>0</v>
      </c>
      <c r="I182" s="388">
        <f>IF(H182,Wh_hp,'2024'!Maxi_hp)</f>
        <v>62.238525909161851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4.3928574365929451E-2</v>
      </c>
      <c r="M182" s="832"/>
      <c r="N182" s="832"/>
      <c r="O182" s="48">
        <f>IF(t&lt;Tnet,'2024'!Resal+('2024'!Salim-'2024'!Resal)*(1-EXP(('2024'!Tnet-t)/('2024'!Tau_j))),Resal+(Salim-Resal)*(1-EXP((Tnet-t)/(Tau_j))))*Salcycl</f>
        <v>1.3449525590737794E-2</v>
      </c>
      <c r="P182" s="169">
        <f>(INDEX(Models!$BJ182:$BT182,,T182)*(1-R182)+INDEX(Models!$BJ182:$BT182,,T182+1)*R182-ERP_i)*Q182*Ramure*Pc/MaxiM</f>
        <v>2.6045373304162995E-4</v>
      </c>
      <c r="Q182" s="304">
        <f t="shared" si="53"/>
        <v>0.6</v>
      </c>
      <c r="R182" s="177">
        <f t="shared" si="54"/>
        <v>0.78462128796084896</v>
      </c>
      <c r="S182" s="799">
        <f t="shared" si="55"/>
        <v>1</v>
      </c>
      <c r="T182" s="176">
        <f t="shared" si="56"/>
        <v>7</v>
      </c>
      <c r="U182" s="250">
        <f t="shared" si="57"/>
        <v>1.784621287960849</v>
      </c>
      <c r="V182" s="382">
        <f t="shared" si="58"/>
        <v>59.774004235704147</v>
      </c>
      <c r="W182" s="400">
        <f t="shared" si="59"/>
        <v>53.74233348731056</v>
      </c>
      <c r="X182" s="157">
        <f t="shared" si="60"/>
        <v>45825</v>
      </c>
      <c r="Y182" s="383">
        <f t="shared" si="61"/>
        <v>50.831914795898356</v>
      </c>
      <c r="Z182" s="383">
        <f t="shared" si="62"/>
        <v>53.167486688754892</v>
      </c>
      <c r="AA182" s="384">
        <f t="shared" si="63"/>
        <v>56.977956755245522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6.6876214653657742E-2</v>
      </c>
      <c r="AD182" s="230">
        <f>(INDEX(Models!$BJ182:$BT182,,AH182)*(1-AF182)+INDEX(Models!$BJ182:$BT182,,AH182+1)*AF182-ERP_i)*AE182*Ramure*Pc/MaxiM</f>
        <v>2.6045373304162995E-4</v>
      </c>
      <c r="AE182" s="304">
        <f t="shared" si="65"/>
        <v>0.6</v>
      </c>
      <c r="AF182" s="177">
        <f t="shared" si="66"/>
        <v>0.78462128796084896</v>
      </c>
      <c r="AG182" s="799">
        <f t="shared" si="74"/>
        <v>1</v>
      </c>
      <c r="AH182" s="176">
        <f t="shared" si="67"/>
        <v>7</v>
      </c>
      <c r="AI182" s="224">
        <f t="shared" si="68"/>
        <v>1.784621287960849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'2024'!Wh/'2024'!Env_an*'2025'!Env_an</f>
        <v>56.19404097364022</v>
      </c>
      <c r="C183" s="829"/>
      <c r="D183" s="391">
        <f t="shared" si="50"/>
        <v>58.777112706811153</v>
      </c>
      <c r="E183" s="383">
        <f t="shared" si="75"/>
        <v>59.585074245176905</v>
      </c>
      <c r="F183" s="383">
        <f t="shared" si="51"/>
        <v>59.599330579543881</v>
      </c>
      <c r="G183" s="110">
        <f t="shared" si="76"/>
        <v>0.94094524346887409</v>
      </c>
      <c r="H183" s="412" t="b">
        <f>Wh_hp&gt;='2024'!Maxi_hp</f>
        <v>0</v>
      </c>
      <c r="I183" s="388">
        <f>IF(H183,Wh_hp,'2024'!Maxi_hp)</f>
        <v>59.600179801280198</v>
      </c>
      <c r="J183" s="85">
        <f>IF(H183,An,'2024'!An_max)</f>
        <v>2022</v>
      </c>
      <c r="K183" s="197">
        <f t="shared" si="52"/>
        <v>45826</v>
      </c>
      <c r="L183" s="147">
        <f>IF(t&lt;Tvie,1-EXP((T0-t)*PertePVj)+'2024'!Pspv,1-EXP((T0-t)*PertePVj)+Pspv)</f>
        <v>4.3946897256686879E-2</v>
      </c>
      <c r="M183" s="832"/>
      <c r="N183" s="832"/>
      <c r="O183" s="48">
        <f>IF(t&lt;Tnet,'2024'!Resal+('2024'!Salim-'2024'!Resal)*(1-EXP(('2024'!Tnet-t)/('2024'!Tau_j))),Resal+(Salim-Resal)*(1-EXP((Tnet-t)/(Tau_j))))*Salcycl</f>
        <v>1.355979745936378E-2</v>
      </c>
      <c r="P183" s="169">
        <f>(INDEX(Models!$BJ183:$BT183,,T183)*(1-R183)+INDEX(Models!$BJ183:$BT183,,T183+1)*R183-ERP_i)*Q183*Ramure*Pc/MaxiM</f>
        <v>2.6123391093912739E-4</v>
      </c>
      <c r="Q183" s="304">
        <f t="shared" si="53"/>
        <v>0.6</v>
      </c>
      <c r="R183" s="177">
        <f t="shared" si="54"/>
        <v>0.78964666074312095</v>
      </c>
      <c r="S183" s="799">
        <f t="shared" si="55"/>
        <v>1</v>
      </c>
      <c r="T183" s="176">
        <f t="shared" si="56"/>
        <v>7</v>
      </c>
      <c r="U183" s="250">
        <f t="shared" si="57"/>
        <v>1.789646660743121</v>
      </c>
      <c r="V183" s="382">
        <f t="shared" si="58"/>
        <v>59.719524656187872</v>
      </c>
      <c r="W183" s="400">
        <f t="shared" si="59"/>
        <v>56.19404097364022</v>
      </c>
      <c r="X183" s="157">
        <f t="shared" si="60"/>
        <v>45826</v>
      </c>
      <c r="Y183" s="383">
        <f t="shared" si="61"/>
        <v>53.152201739167637</v>
      </c>
      <c r="Z183" s="383">
        <f t="shared" si="62"/>
        <v>55.595449234620872</v>
      </c>
      <c r="AA183" s="384">
        <f t="shared" si="63"/>
        <v>59.585074245176905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6.6956785085804785E-2</v>
      </c>
      <c r="AD183" s="230">
        <f>(INDEX(Models!$BJ183:$BT183,,AH183)*(1-AF183)+INDEX(Models!$BJ183:$BT183,,AH183+1)*AF183-ERP_i)*AE183*Ramure*Pc/MaxiM</f>
        <v>2.6123391093912739E-4</v>
      </c>
      <c r="AE183" s="304">
        <f t="shared" si="65"/>
        <v>0.6</v>
      </c>
      <c r="AF183" s="177">
        <f t="shared" si="66"/>
        <v>0.78964666074312095</v>
      </c>
      <c r="AG183" s="799">
        <f t="shared" si="74"/>
        <v>1</v>
      </c>
      <c r="AH183" s="176">
        <f t="shared" si="67"/>
        <v>7</v>
      </c>
      <c r="AI183" s="224">
        <f t="shared" si="68"/>
        <v>1.789646660743121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'2024'!Wh/'2024'!Env_an*'2025'!Env_an</f>
        <v>57.559554404492992</v>
      </c>
      <c r="C184" s="829"/>
      <c r="D184" s="391">
        <f t="shared" si="50"/>
        <v>60.206548544424635</v>
      </c>
      <c r="E184" s="383">
        <f t="shared" si="75"/>
        <v>61.040968806795178</v>
      </c>
      <c r="F184" s="383">
        <f t="shared" si="51"/>
        <v>61.056182360809757</v>
      </c>
      <c r="G184" s="110">
        <f t="shared" si="76"/>
        <v>0.96472209313302448</v>
      </c>
      <c r="H184" s="412" t="b">
        <f>Wh_hp&gt;='2024'!Maxi_hp</f>
        <v>0</v>
      </c>
      <c r="I184" s="388">
        <f>IF(H184,Wh_hp,'2024'!Maxi_hp)</f>
        <v>61.056703983579069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4.39652197962902E-2</v>
      </c>
      <c r="M184" s="832"/>
      <c r="N184" s="832"/>
      <c r="O184" s="48">
        <f>IF(t&lt;Tnet,'2024'!Resal+('2024'!Salim-'2024'!Resal)*(1-EXP(('2024'!Tnet-t)/('2024'!Tau_j))),Resal+(Salim-Resal)*(1-EXP((Tnet-t)/(Tau_j))))*Salcycl</f>
        <v>1.3669839759778771E-2</v>
      </c>
      <c r="P184" s="169">
        <f>(INDEX(Models!$BJ184:$BT184,,T184)*(1-R184)+INDEX(Models!$BJ184:$BT184,,T184+1)*R184-ERP_i)*Q184*Ramure*Pc/MaxiM</f>
        <v>2.6239202271956572E-4</v>
      </c>
      <c r="Q184" s="304">
        <f t="shared" si="53"/>
        <v>0.6</v>
      </c>
      <c r="R184" s="177">
        <f t="shared" si="54"/>
        <v>0.79463850415753345</v>
      </c>
      <c r="S184" s="799">
        <f t="shared" si="55"/>
        <v>1</v>
      </c>
      <c r="T184" s="176">
        <f t="shared" si="56"/>
        <v>7</v>
      </c>
      <c r="U184" s="250">
        <f t="shared" si="57"/>
        <v>1.7946385041575335</v>
      </c>
      <c r="V184" s="382">
        <f t="shared" si="58"/>
        <v>59.663600269222954</v>
      </c>
      <c r="W184" s="400">
        <f t="shared" si="59"/>
        <v>57.559554404492992</v>
      </c>
      <c r="X184" s="157">
        <f t="shared" si="60"/>
        <v>45827</v>
      </c>
      <c r="Y184" s="383">
        <f t="shared" si="61"/>
        <v>54.445234268353765</v>
      </c>
      <c r="Z184" s="383">
        <f t="shared" si="62"/>
        <v>56.949010010653268</v>
      </c>
      <c r="AA184" s="384">
        <f t="shared" si="63"/>
        <v>61.040968806795178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6.7036268855653919E-2</v>
      </c>
      <c r="AD184" s="230">
        <f>(INDEX(Models!$BJ184:$BT184,,AH184)*(1-AF184)+INDEX(Models!$BJ184:$BT184,,AH184+1)*AF184-ERP_i)*AE184*Ramure*Pc/MaxiM</f>
        <v>2.6239202271956572E-4</v>
      </c>
      <c r="AE184" s="304">
        <f t="shared" si="65"/>
        <v>0.6</v>
      </c>
      <c r="AF184" s="177">
        <f t="shared" si="66"/>
        <v>0.79463850415753345</v>
      </c>
      <c r="AG184" s="799">
        <f t="shared" si="74"/>
        <v>1</v>
      </c>
      <c r="AH184" s="176">
        <f t="shared" si="67"/>
        <v>7</v>
      </c>
      <c r="AI184" s="224">
        <f t="shared" si="68"/>
        <v>1.7946385041575335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'2024'!Wh/'2024'!Env_an*'2025'!Env_an</f>
        <v>32.47041531591416</v>
      </c>
      <c r="C185" s="829"/>
      <c r="D185" s="391">
        <f t="shared" si="50"/>
        <v>33.964284865267537</v>
      </c>
      <c r="E185" s="383">
        <f t="shared" si="75"/>
        <v>34.438839831531048</v>
      </c>
      <c r="F185" s="383">
        <f t="shared" si="51"/>
        <v>34.442016162560812</v>
      </c>
      <c r="G185" s="110">
        <f t="shared" si="76"/>
        <v>0.54465511865496596</v>
      </c>
      <c r="H185" s="412" t="b">
        <f>Wh_hp&gt;='2024'!Maxi_hp</f>
        <v>0</v>
      </c>
      <c r="I185" s="388">
        <f>IF(H185,Wh_hp,'2024'!Maxi_hp)</f>
        <v>56.990075158502776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4.3983541984746188E-2</v>
      </c>
      <c r="M185" s="832"/>
      <c r="N185" s="832"/>
      <c r="O185" s="48">
        <f>IF(t&lt;Tnet,'2024'!Resal+('2024'!Salim-'2024'!Resal)*(1-EXP(('2024'!Tnet-t)/('2024'!Tau_j))),Resal+(Salim-Resal)*(1-EXP((Tnet-t)/(Tau_j))))*Salcycl</f>
        <v>1.3779644395251246E-2</v>
      </c>
      <c r="P185" s="169">
        <f>(INDEX(Models!$BJ185:$BT185,,T185)*(1-R185)+INDEX(Models!$BJ185:$BT185,,T185+1)*R185-ERP_i)*Q185*Ramure*Pc/MaxiM</f>
        <v>2.6376372095020549E-4</v>
      </c>
      <c r="Q185" s="304">
        <f t="shared" si="53"/>
        <v>0.6</v>
      </c>
      <c r="R185" s="177">
        <f t="shared" si="54"/>
        <v>0.79959298223461572</v>
      </c>
      <c r="S185" s="799">
        <f t="shared" si="55"/>
        <v>1</v>
      </c>
      <c r="T185" s="176">
        <f t="shared" si="56"/>
        <v>7</v>
      </c>
      <c r="U185" s="250">
        <f t="shared" si="57"/>
        <v>1.7995929822346157</v>
      </c>
      <c r="V185" s="382">
        <f t="shared" si="58"/>
        <v>59.606241964160596</v>
      </c>
      <c r="W185" s="400">
        <f t="shared" si="59"/>
        <v>32.47041531591416</v>
      </c>
      <c r="X185" s="157">
        <f t="shared" si="60"/>
        <v>45828</v>
      </c>
      <c r="Y185" s="383">
        <f t="shared" si="61"/>
        <v>30.714408420800677</v>
      </c>
      <c r="Z185" s="383">
        <f t="shared" si="62"/>
        <v>32.127489190474385</v>
      </c>
      <c r="AA185" s="384">
        <f t="shared" si="63"/>
        <v>34.438839831531048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6.7114648819861428E-2</v>
      </c>
      <c r="AD185" s="230">
        <f>(INDEX(Models!$BJ185:$BT185,,AH185)*(1-AF185)+INDEX(Models!$BJ185:$BT185,,AH185+1)*AF185-ERP_i)*AE185*Ramure*Pc/MaxiM</f>
        <v>2.6376372095020549E-4</v>
      </c>
      <c r="AE185" s="304">
        <f t="shared" si="65"/>
        <v>0.6</v>
      </c>
      <c r="AF185" s="177">
        <f t="shared" si="66"/>
        <v>0.79959298223461572</v>
      </c>
      <c r="AG185" s="799">
        <f t="shared" si="74"/>
        <v>1</v>
      </c>
      <c r="AH185" s="176">
        <f t="shared" si="67"/>
        <v>7</v>
      </c>
      <c r="AI185" s="224">
        <f t="shared" si="68"/>
        <v>1.7995929822346157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'2024'!Wh/'2024'!Env_an*'2025'!Env_an</f>
        <v>23.367260260254753</v>
      </c>
      <c r="C186" s="829"/>
      <c r="D186" s="391">
        <f t="shared" si="50"/>
        <v>24.442788511781618</v>
      </c>
      <c r="E186" s="383">
        <f t="shared" si="75"/>
        <v>24.787061056091435</v>
      </c>
      <c r="F186" s="383">
        <f t="shared" si="51"/>
        <v>24.787929428942657</v>
      </c>
      <c r="G186" s="110">
        <f t="shared" si="76"/>
        <v>0.39232373335102899</v>
      </c>
      <c r="H186" s="412" t="b">
        <f>Wh_hp&gt;='2024'!Maxi_hp</f>
        <v>0</v>
      </c>
      <c r="I186" s="388">
        <f>IF(H186,Wh_hp,'2024'!Maxi_hp)</f>
        <v>52.195932812822107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4.4001863822061615E-2</v>
      </c>
      <c r="M186" s="832"/>
      <c r="N186" s="832"/>
      <c r="O186" s="48">
        <f>IF(t&lt;Tnet,'2024'!Resal+('2024'!Salim-'2024'!Resal)*(1-EXP(('2024'!Tnet-t)/('2024'!Tau_j))),Resal+(Salim-Resal)*(1-EXP((Tnet-t)/(Tau_j))))*Salcycl</f>
        <v>1.3889203868532514E-2</v>
      </c>
      <c r="P186" s="169">
        <f>(INDEX(Models!$BJ186:$BT186,,T186)*(1-R186)+INDEX(Models!$BJ186:$BT186,,T186+1)*R186-ERP_i)*Q186*Ramure*Pc/MaxiM</f>
        <v>2.6535403915680961E-4</v>
      </c>
      <c r="Q186" s="304">
        <f t="shared" si="53"/>
        <v>0.6</v>
      </c>
      <c r="R186" s="177">
        <f t="shared" si="54"/>
        <v>0.80450637878424258</v>
      </c>
      <c r="S186" s="799">
        <f t="shared" si="55"/>
        <v>1</v>
      </c>
      <c r="T186" s="176">
        <f t="shared" si="56"/>
        <v>7</v>
      </c>
      <c r="U186" s="250">
        <f t="shared" si="57"/>
        <v>1.8045063787842426</v>
      </c>
      <c r="V186" s="382">
        <f t="shared" si="58"/>
        <v>59.547450466772695</v>
      </c>
      <c r="W186" s="400">
        <f t="shared" si="59"/>
        <v>23.367260260254753</v>
      </c>
      <c r="X186" s="157">
        <f t="shared" si="60"/>
        <v>45829</v>
      </c>
      <c r="Y186" s="383">
        <f t="shared" si="61"/>
        <v>22.104178832635469</v>
      </c>
      <c r="Z186" s="383">
        <f t="shared" si="62"/>
        <v>23.121571053482949</v>
      </c>
      <c r="AA186" s="384">
        <f t="shared" si="63"/>
        <v>24.787061056091435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6.7191911087788686E-2</v>
      </c>
      <c r="AD186" s="230">
        <f>(INDEX(Models!$BJ186:$BT186,,AH186)*(1-AF186)+INDEX(Models!$BJ186:$BT186,,AH186+1)*AF186-ERP_i)*AE186*Ramure*Pc/MaxiM</f>
        <v>2.6535403915680961E-4</v>
      </c>
      <c r="AE186" s="304">
        <f t="shared" si="65"/>
        <v>0.6</v>
      </c>
      <c r="AF186" s="177">
        <f t="shared" si="66"/>
        <v>0.80450637878424258</v>
      </c>
      <c r="AG186" s="799">
        <f t="shared" si="74"/>
        <v>1</v>
      </c>
      <c r="AH186" s="176">
        <f t="shared" si="67"/>
        <v>7</v>
      </c>
      <c r="AI186" s="224">
        <f t="shared" si="68"/>
        <v>1.8045063787842426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'2024'!Wh/'2024'!Env_an*'2025'!Env_an</f>
        <v>45.258556700899199</v>
      </c>
      <c r="C187" s="829"/>
      <c r="D187" s="391">
        <f t="shared" si="50"/>
        <v>47.34258611463698</v>
      </c>
      <c r="E187" s="383">
        <f t="shared" si="75"/>
        <v>48.01472072565894</v>
      </c>
      <c r="F187" s="383">
        <f t="shared" si="51"/>
        <v>48.023166904753111</v>
      </c>
      <c r="G187" s="110">
        <f t="shared" si="76"/>
        <v>0.76074187642032676</v>
      </c>
      <c r="H187" s="412" t="b">
        <f>Wh_hp&gt;='2024'!Maxi_hp</f>
        <v>0</v>
      </c>
      <c r="I187" s="388">
        <f>IF(H187,Wh_hp,'2024'!Maxi_hp)</f>
        <v>63.676809848065162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4.4020185308243254E-2</v>
      </c>
      <c r="M187" s="832"/>
      <c r="N187" s="832"/>
      <c r="O187" s="48">
        <f>IF(t&lt;Tnet,'2024'!Resal+('2024'!Salim-'2024'!Resal)*(1-EXP(('2024'!Tnet-t)/('2024'!Tau_j))),Resal+(Salim-Resal)*(1-EXP((Tnet-t)/(Tau_j))))*Salcycl</f>
        <v>1.3998511307861831E-2</v>
      </c>
      <c r="P187" s="169">
        <f>(INDEX(Models!$BJ187:$BT187,,T187)*(1-R187)+INDEX(Models!$BJ187:$BT187,,T187+1)*R187-ERP_i)*Q187*Ramure*Pc/MaxiM</f>
        <v>2.6716795621542131E-4</v>
      </c>
      <c r="Q187" s="304">
        <f t="shared" si="53"/>
        <v>0.6</v>
      </c>
      <c r="R187" s="177">
        <f t="shared" si="54"/>
        <v>0.80937510772433008</v>
      </c>
      <c r="S187" s="799">
        <f t="shared" si="55"/>
        <v>1</v>
      </c>
      <c r="T187" s="176">
        <f t="shared" si="56"/>
        <v>7</v>
      </c>
      <c r="U187" s="250">
        <f t="shared" si="57"/>
        <v>1.8093751077243301</v>
      </c>
      <c r="V187" s="382">
        <f t="shared" si="58"/>
        <v>59.487226466621593</v>
      </c>
      <c r="W187" s="400">
        <f t="shared" si="59"/>
        <v>45.258556700899199</v>
      </c>
      <c r="X187" s="157">
        <f t="shared" si="60"/>
        <v>45830</v>
      </c>
      <c r="Y187" s="383">
        <f t="shared" si="61"/>
        <v>42.813426302726313</v>
      </c>
      <c r="Z187" s="383">
        <f t="shared" si="62"/>
        <v>44.784864329516147</v>
      </c>
      <c r="AA187" s="384">
        <f t="shared" si="63"/>
        <v>48.01472072565894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6.7268045035546065E-2</v>
      </c>
      <c r="AD187" s="230">
        <f>(INDEX(Models!$BJ187:$BT187,,AH187)*(1-AF187)+INDEX(Models!$BJ187:$BT187,,AH187+1)*AF187-ERP_i)*AE187*Ramure*Pc/MaxiM</f>
        <v>2.6716795621542131E-4</v>
      </c>
      <c r="AE187" s="304">
        <f t="shared" si="65"/>
        <v>0.6</v>
      </c>
      <c r="AF187" s="177">
        <f t="shared" si="66"/>
        <v>0.80937510772433008</v>
      </c>
      <c r="AG187" s="799">
        <f t="shared" si="74"/>
        <v>1</v>
      </c>
      <c r="AH187" s="176">
        <f t="shared" si="67"/>
        <v>7</v>
      </c>
      <c r="AI187" s="224">
        <f t="shared" si="68"/>
        <v>1.8093751077243301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'2024'!Wh/'2024'!Env_an*'2025'!Env_an</f>
        <v>42.689662243192039</v>
      </c>
      <c r="C188" s="829"/>
      <c r="D188" s="391">
        <f t="shared" si="50"/>
        <v>44.65625710964887</v>
      </c>
      <c r="E188" s="383">
        <f t="shared" si="75"/>
        <v>45.295262769033044</v>
      </c>
      <c r="F188" s="383">
        <f t="shared" si="51"/>
        <v>45.302551879809641</v>
      </c>
      <c r="G188" s="110">
        <f t="shared" si="76"/>
        <v>0.71829411573533053</v>
      </c>
      <c r="H188" s="412" t="b">
        <f>Wh_hp&gt;='2024'!Maxi_hp</f>
        <v>0</v>
      </c>
      <c r="I188" s="388">
        <f>IF(H188,Wh_hp,'2024'!Maxi_hp)</f>
        <v>54.409239843799597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4.4038506443297765E-2</v>
      </c>
      <c r="M188" s="832"/>
      <c r="N188" s="832"/>
      <c r="O188" s="48">
        <f>IF(t&lt;Tnet,'2024'!Resal+('2024'!Salim-'2024'!Resal)*(1-EXP(('2024'!Tnet-t)/('2024'!Tau_j))),Resal+(Salim-Resal)*(1-EXP((Tnet-t)/(Tau_j))))*Salcycl</f>
        <v>1.4107560489108001E-2</v>
      </c>
      <c r="P188" s="169">
        <f>(INDEX(Models!$BJ188:$BT188,,T188)*(1-R188)+INDEX(Models!$BJ188:$BT188,,T188+1)*R188-ERP_i)*Q188*Ramure*Pc/MaxiM</f>
        <v>2.6920764003207322E-4</v>
      </c>
      <c r="Q188" s="304">
        <f t="shared" si="53"/>
        <v>0.6</v>
      </c>
      <c r="R188" s="177">
        <f t="shared" si="54"/>
        <v>0.81419572255555206</v>
      </c>
      <c r="S188" s="799">
        <f t="shared" si="55"/>
        <v>1</v>
      </c>
      <c r="T188" s="176">
        <f t="shared" si="56"/>
        <v>7</v>
      </c>
      <c r="U188" s="250">
        <f t="shared" si="57"/>
        <v>1.8141957225555521</v>
      </c>
      <c r="V188" s="382">
        <f t="shared" si="58"/>
        <v>59.425570781776955</v>
      </c>
      <c r="W188" s="400">
        <f t="shared" si="59"/>
        <v>42.689662243192039</v>
      </c>
      <c r="X188" s="157">
        <f t="shared" si="60"/>
        <v>45831</v>
      </c>
      <c r="Y188" s="383">
        <f t="shared" si="61"/>
        <v>40.384537779759867</v>
      </c>
      <c r="Z188" s="383">
        <f t="shared" si="62"/>
        <v>42.244941927009201</v>
      </c>
      <c r="AA188" s="384">
        <f t="shared" si="63"/>
        <v>45.295262769033044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6.7343043301853908E-2</v>
      </c>
      <c r="AD188" s="230">
        <f>(INDEX(Models!$BJ188:$BT188,,AH188)*(1-AF188)+INDEX(Models!$BJ188:$BT188,,AH188+1)*AF188-ERP_i)*AE188*Ramure*Pc/MaxiM</f>
        <v>2.6920764003207322E-4</v>
      </c>
      <c r="AE188" s="304">
        <f t="shared" si="65"/>
        <v>0.6</v>
      </c>
      <c r="AF188" s="177">
        <f t="shared" si="66"/>
        <v>0.81419572255555206</v>
      </c>
      <c r="AG188" s="799">
        <f t="shared" si="74"/>
        <v>1</v>
      </c>
      <c r="AH188" s="176">
        <f t="shared" si="67"/>
        <v>7</v>
      </c>
      <c r="AI188" s="224">
        <f t="shared" si="68"/>
        <v>1.8141957225555521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'2024'!Wh/'2024'!Env_an*'2025'!Env_an</f>
        <v>40.26562099065346</v>
      </c>
      <c r="C189" s="829"/>
      <c r="D189" s="391">
        <f t="shared" si="50"/>
        <v>42.121354215921343</v>
      </c>
      <c r="E189" s="383">
        <f t="shared" si="75"/>
        <v>42.728801637927837</v>
      </c>
      <c r="F189" s="383">
        <f t="shared" si="51"/>
        <v>42.735071434330322</v>
      </c>
      <c r="G189" s="110">
        <f t="shared" si="76"/>
        <v>0.67821616934949924</v>
      </c>
      <c r="H189" s="412" t="b">
        <f>Wh_hp&gt;='2024'!Maxi_hp</f>
        <v>0</v>
      </c>
      <c r="I189" s="388">
        <f>IF(H189,Wh_hp,'2024'!Maxi_hp)</f>
        <v>62.441537989908561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4.4056827227231921E-2</v>
      </c>
      <c r="M189" s="832"/>
      <c r="N189" s="832"/>
      <c r="O189" s="48">
        <f>IF(t&lt;Tnet,'2024'!Resal+('2024'!Salim-'2024'!Resal)*(1-EXP(('2024'!Tnet-t)/('2024'!Tau_j))),Resal+(Salim-Resal)*(1-EXP((Tnet-t)/(Tau_j))))*Salcycl</f>
        <v>1.4216345853877101E-2</v>
      </c>
      <c r="P189" s="169">
        <f>(INDEX(Models!$BJ189:$BT189,,T189)*(1-R189)+INDEX(Models!$BJ189:$BT189,,T189+1)*R189-ERP_i)*Q189*Ramure*Pc/MaxiM</f>
        <v>2.7147495850683701E-4</v>
      </c>
      <c r="Q189" s="304">
        <f t="shared" si="53"/>
        <v>0.6</v>
      </c>
      <c r="R189" s="177">
        <f t="shared" si="54"/>
        <v>0.81896492493709427</v>
      </c>
      <c r="S189" s="799">
        <f t="shared" si="55"/>
        <v>1</v>
      </c>
      <c r="T189" s="176">
        <f t="shared" si="56"/>
        <v>7</v>
      </c>
      <c r="U189" s="250">
        <f t="shared" si="57"/>
        <v>1.8189649249370943</v>
      </c>
      <c r="V189" s="382">
        <f t="shared" si="58"/>
        <v>59.362484206065986</v>
      </c>
      <c r="W189" s="400">
        <f t="shared" si="59"/>
        <v>40.26562099065346</v>
      </c>
      <c r="X189" s="157">
        <f t="shared" si="60"/>
        <v>45832</v>
      </c>
      <c r="Y189" s="383">
        <f t="shared" si="61"/>
        <v>38.09257479351912</v>
      </c>
      <c r="Z189" s="383">
        <f t="shared" si="62"/>
        <v>39.848158215335559</v>
      </c>
      <c r="AA189" s="384">
        <f t="shared" si="63"/>
        <v>42.728801637927837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6.7416901765747161E-2</v>
      </c>
      <c r="AD189" s="230">
        <f>(INDEX(Models!$BJ189:$BT189,,AH189)*(1-AF189)+INDEX(Models!$BJ189:$BT189,,AH189+1)*AF189-ERP_i)*AE189*Ramure*Pc/MaxiM</f>
        <v>2.7147495850683701E-4</v>
      </c>
      <c r="AE189" s="304">
        <f t="shared" si="65"/>
        <v>0.6</v>
      </c>
      <c r="AF189" s="177">
        <f t="shared" si="66"/>
        <v>0.81896492493709427</v>
      </c>
      <c r="AG189" s="799">
        <f t="shared" si="74"/>
        <v>1</v>
      </c>
      <c r="AH189" s="176">
        <f t="shared" si="67"/>
        <v>7</v>
      </c>
      <c r="AI189" s="224">
        <f t="shared" si="68"/>
        <v>1.8189649249370943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'2024'!Wh/'2024'!Env_an*'2025'!Env_an</f>
        <v>34.942466695253707</v>
      </c>
      <c r="C190" s="829"/>
      <c r="D190" s="391">
        <f t="shared" si="50"/>
        <v>36.553570722343146</v>
      </c>
      <c r="E190" s="383">
        <f t="shared" si="75"/>
        <v>37.084805462299414</v>
      </c>
      <c r="F190" s="383">
        <f t="shared" si="51"/>
        <v>37.089004591328717</v>
      </c>
      <c r="G190" s="110">
        <f t="shared" si="76"/>
        <v>0.5891744758044527</v>
      </c>
      <c r="H190" s="412" t="b">
        <f>Wh_hp&gt;='2024'!Maxi_hp</f>
        <v>0</v>
      </c>
      <c r="I190" s="388">
        <f>IF(H190,Wh_hp,'2024'!Maxi_hp)</f>
        <v>58.359170518097258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4.4075147660052383E-2</v>
      </c>
      <c r="M190" s="832"/>
      <c r="N190" s="832"/>
      <c r="O190" s="48">
        <f>IF(t&lt;Tnet,'2024'!Resal+('2024'!Salim-'2024'!Resal)*(1-EXP(('2024'!Tnet-t)/('2024'!Tau_j))),Resal+(Salim-Resal)*(1-EXP((Tnet-t)/(Tau_j))))*Salcycl</f>
        <v>1.4324862523448448E-2</v>
      </c>
      <c r="P190" s="169">
        <f>(INDEX(Models!$BJ190:$BT190,,T190)*(1-R190)+INDEX(Models!$BJ190:$BT190,,T190+1)*R190-ERP_i)*Q190*Ramure*Pc/MaxiM</f>
        <v>2.739743240947974E-4</v>
      </c>
      <c r="Q190" s="304">
        <f t="shared" si="53"/>
        <v>0.6</v>
      </c>
      <c r="R190" s="177">
        <f t="shared" si="54"/>
        <v>0.82367957232807032</v>
      </c>
      <c r="S190" s="799">
        <f t="shared" si="55"/>
        <v>1</v>
      </c>
      <c r="T190" s="176">
        <f t="shared" si="56"/>
        <v>7</v>
      </c>
      <c r="U190" s="250">
        <f t="shared" si="57"/>
        <v>1.8236795723280703</v>
      </c>
      <c r="V190" s="382">
        <f t="shared" si="58"/>
        <v>59.297967339674692</v>
      </c>
      <c r="W190" s="400">
        <f t="shared" si="59"/>
        <v>34.942466695253707</v>
      </c>
      <c r="X190" s="157">
        <f t="shared" si="60"/>
        <v>45833</v>
      </c>
      <c r="Y190" s="383">
        <f t="shared" si="61"/>
        <v>33.057760792059042</v>
      </c>
      <c r="Z190" s="383">
        <f t="shared" si="62"/>
        <v>34.581966052183972</v>
      </c>
      <c r="AA190" s="384">
        <f t="shared" si="63"/>
        <v>37.084805462299414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6.7489619506291967E-2</v>
      </c>
      <c r="AD190" s="230">
        <f>(INDEX(Models!$BJ190:$BT190,,AH190)*(1-AF190)+INDEX(Models!$BJ190:$BT190,,AH190+1)*AF190-ERP_i)*AE190*Ramure*Pc/MaxiM</f>
        <v>2.739743240947974E-4</v>
      </c>
      <c r="AE190" s="304">
        <f t="shared" si="65"/>
        <v>0.6</v>
      </c>
      <c r="AF190" s="177">
        <f t="shared" si="66"/>
        <v>0.82367957232807032</v>
      </c>
      <c r="AG190" s="799">
        <f t="shared" si="74"/>
        <v>1</v>
      </c>
      <c r="AH190" s="176">
        <f t="shared" si="67"/>
        <v>7</v>
      </c>
      <c r="AI190" s="224">
        <f t="shared" si="68"/>
        <v>1.8236795723280703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'2024'!Wh/'2024'!Env_an*'2025'!Env_an</f>
        <v>12.405670978732656</v>
      </c>
      <c r="C191" s="829"/>
      <c r="D191" s="391">
        <f t="shared" si="50"/>
        <v>12.977912128527352</v>
      </c>
      <c r="E191" s="383">
        <f t="shared" si="75"/>
        <v>13.167966793118365</v>
      </c>
      <c r="F191" s="383">
        <f t="shared" si="51"/>
        <v>13.167966793118365</v>
      </c>
      <c r="G191" s="110">
        <f t="shared" si="76"/>
        <v>0.20938401304104201</v>
      </c>
      <c r="H191" s="412" t="b">
        <f>Wh_hp&gt;='2024'!Maxi_hp</f>
        <v>0</v>
      </c>
      <c r="I191" s="388">
        <f>IF(H191,Wh_hp,'2024'!Maxi_hp)</f>
        <v>60.460509614669505</v>
      </c>
      <c r="J191" s="85">
        <f>IF(H191,An,'2024'!An_max)</f>
        <v>2021</v>
      </c>
      <c r="K191" s="197">
        <f t="shared" si="52"/>
        <v>45834</v>
      </c>
      <c r="L191" s="147">
        <f>IF(t&lt;Tvie,1-EXP((T0-t)*PertePVj)+'2024'!Pspv,1-EXP((T0-t)*PertePVj)+Pspv)</f>
        <v>4.4093467741766035E-2</v>
      </c>
      <c r="M191" s="832"/>
      <c r="N191" s="832"/>
      <c r="O191" s="48">
        <f>IF(t&lt;Tnet,'2024'!Resal+('2024'!Salim-'2024'!Resal)*(1-EXP(('2024'!Tnet-t)/('2024'!Tau_j))),Resal+(Salim-Resal)*(1-EXP((Tnet-t)/(Tau_j))))*Salcycl</f>
        <v>1.4433106308434546E-2</v>
      </c>
      <c r="P191" s="169">
        <f>(INDEX(Models!$BJ191:$BT191,,T191)*(1-R191)+INDEX(Models!$BJ191:$BT191,,T191+1)*R191-ERP_i)*Q191*Ramure*Pc/MaxiM</f>
        <v>2.7671005013696749E-4</v>
      </c>
      <c r="Q191" s="304">
        <f t="shared" si="53"/>
        <v>0.6</v>
      </c>
      <c r="R191" s="177">
        <f t="shared" si="54"/>
        <v>0.82833668466890265</v>
      </c>
      <c r="S191" s="799">
        <f t="shared" si="55"/>
        <v>1</v>
      </c>
      <c r="T191" s="176">
        <f t="shared" si="56"/>
        <v>7</v>
      </c>
      <c r="U191" s="250">
        <f t="shared" si="57"/>
        <v>1.8283366846689026</v>
      </c>
      <c r="V191" s="382">
        <f t="shared" si="58"/>
        <v>59.232020748705146</v>
      </c>
      <c r="W191" s="400">
        <f t="shared" si="59"/>
        <v>12.405670978732656</v>
      </c>
      <c r="X191" s="157">
        <f t="shared" si="60"/>
        <v>45834</v>
      </c>
      <c r="Y191" s="383">
        <f t="shared" si="61"/>
        <v>11.736929324858339</v>
      </c>
      <c r="Z191" s="383">
        <f t="shared" si="62"/>
        <v>12.278323171545876</v>
      </c>
      <c r="AA191" s="384">
        <f t="shared" si="63"/>
        <v>13.167966793118365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6.7561198744624684E-2</v>
      </c>
      <c r="AD191" s="230">
        <f>(INDEX(Models!$BJ191:$BT191,,AH191)*(1-AF191)+INDEX(Models!$BJ191:$BT191,,AH191+1)*AF191-ERP_i)*AE191*Ramure*Pc/MaxiM</f>
        <v>2.7671005013696749E-4</v>
      </c>
      <c r="AE191" s="304">
        <f t="shared" si="65"/>
        <v>0.6</v>
      </c>
      <c r="AF191" s="177">
        <f t="shared" si="66"/>
        <v>0.82833668466890265</v>
      </c>
      <c r="AG191" s="799">
        <f t="shared" si="74"/>
        <v>1</v>
      </c>
      <c r="AH191" s="176">
        <f t="shared" si="67"/>
        <v>7</v>
      </c>
      <c r="AI191" s="224">
        <f t="shared" si="68"/>
        <v>1.8283366846689026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'2024'!Wh/'2024'!Env_an*'2025'!Env_an</f>
        <v>15.073736357579392</v>
      </c>
      <c r="C192" s="829"/>
      <c r="D192" s="391">
        <f t="shared" si="50"/>
        <v>15.76935059981591</v>
      </c>
      <c r="E192" s="383">
        <f t="shared" si="75"/>
        <v>16.002037405302126</v>
      </c>
      <c r="F192" s="383">
        <f t="shared" si="51"/>
        <v>16.002037405302126</v>
      </c>
      <c r="G192" s="110">
        <f t="shared" si="76"/>
        <v>0.25470482328166927</v>
      </c>
      <c r="H192" s="412" t="b">
        <f>Wh_hp&gt;='2024'!Maxi_hp</f>
        <v>0</v>
      </c>
      <c r="I192" s="388">
        <f>IF(H192,Wh_hp,'2024'!Maxi_hp)</f>
        <v>59.284461981263078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4.4111787472379427E-2</v>
      </c>
      <c r="M192" s="832"/>
      <c r="N192" s="832"/>
      <c r="O192" s="48">
        <f>IF(t&lt;Tnet,'2024'!Resal+('2024'!Salim-'2024'!Resal)*(1-EXP(('2024'!Tnet-t)/('2024'!Tau_j))),Resal+(Salim-Resal)*(1-EXP((Tnet-t)/(Tau_j))))*Salcycl</f>
        <v>1.4541073714095697E-2</v>
      </c>
      <c r="P192" s="169">
        <f>(INDEX(Models!$BJ192:$BT192,,T192)*(1-R192)+INDEX(Models!$BJ192:$BT192,,T192+1)*R192-ERP_i)*Q192*Ramure*Pc/MaxiM</f>
        <v>2.7986746023891756E-4</v>
      </c>
      <c r="Q192" s="304">
        <f t="shared" si="53"/>
        <v>0.6</v>
      </c>
      <c r="R192" s="177">
        <f t="shared" si="54"/>
        <v>0.83293345008661968</v>
      </c>
      <c r="S192" s="799">
        <f t="shared" si="55"/>
        <v>1</v>
      </c>
      <c r="T192" s="176">
        <f t="shared" si="56"/>
        <v>7</v>
      </c>
      <c r="U192" s="250">
        <f t="shared" si="57"/>
        <v>1.8329334500866197</v>
      </c>
      <c r="V192" s="382">
        <f t="shared" si="58"/>
        <v>59.164634242531896</v>
      </c>
      <c r="W192" s="400">
        <f t="shared" si="59"/>
        <v>15.073736357579392</v>
      </c>
      <c r="X192" s="157">
        <f t="shared" si="60"/>
        <v>45835</v>
      </c>
      <c r="Y192" s="383">
        <f t="shared" si="61"/>
        <v>14.261654544928383</v>
      </c>
      <c r="Z192" s="383">
        <f t="shared" si="62"/>
        <v>14.919793295930292</v>
      </c>
      <c r="AA192" s="384">
        <f t="shared" si="63"/>
        <v>16.002037405302126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6.7631644768761906E-2</v>
      </c>
      <c r="AD192" s="230">
        <f>(INDEX(Models!$BJ192:$BT192,,AH192)*(1-AF192)+INDEX(Models!$BJ192:$BT192,,AH192+1)*AF192-ERP_i)*AE192*Ramure*Pc/MaxiM</f>
        <v>2.7986746023891756E-4</v>
      </c>
      <c r="AE192" s="304">
        <f t="shared" si="65"/>
        <v>0.6</v>
      </c>
      <c r="AF192" s="177">
        <f t="shared" si="66"/>
        <v>0.83293345008661968</v>
      </c>
      <c r="AG192" s="799">
        <f t="shared" si="74"/>
        <v>1</v>
      </c>
      <c r="AH192" s="176">
        <f t="shared" si="67"/>
        <v>7</v>
      </c>
      <c r="AI192" s="224">
        <f t="shared" si="68"/>
        <v>1.8329334500866197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'2024'!Wh/'2024'!Env_an*'2025'!Env_an</f>
        <v>59.798286578492963</v>
      </c>
      <c r="C193" s="829"/>
      <c r="D193" s="391">
        <f t="shared" si="50"/>
        <v>62.559022945634226</v>
      </c>
      <c r="E193" s="383">
        <f t="shared" si="75"/>
        <v>63.489059057645285</v>
      </c>
      <c r="F193" s="383">
        <f t="shared" si="51"/>
        <v>63.507051622398627</v>
      </c>
      <c r="G193" s="110">
        <f t="shared" si="76"/>
        <v>1.0118869712014775</v>
      </c>
      <c r="H193" s="412" t="b">
        <f>Wh_hp&gt;='2024'!Maxi_hp</f>
        <v>1</v>
      </c>
      <c r="I193" s="388">
        <f>IF(H193,Wh_hp,'2024'!Maxi_hp)</f>
        <v>63.507051622398627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4.4130106851899331E-2</v>
      </c>
      <c r="M193" s="832"/>
      <c r="N193" s="832"/>
      <c r="O193" s="48">
        <f>IF(t&lt;Tnet,'2024'!Resal+('2024'!Salim-'2024'!Resal)*(1-EXP(('2024'!Tnet-t)/('2024'!Tau_j))),Resal+(Salim-Resal)*(1-EXP((Tnet-t)/(Tau_j))))*Salcycl</f>
        <v>1.4648761941276098E-2</v>
      </c>
      <c r="P193" s="169">
        <f>(INDEX(Models!$BJ193:$BT193,,T193)*(1-R193)+INDEX(Models!$BJ193:$BT193,,T193+1)*R193-ERP_i)*Q193*Ramure*Pc/MaxiM</f>
        <v>2.8331601442187671E-4</v>
      </c>
      <c r="Q193" s="304">
        <f t="shared" si="53"/>
        <v>0.6</v>
      </c>
      <c r="R193" s="177">
        <f t="shared" si="54"/>
        <v>0.83746722961744924</v>
      </c>
      <c r="S193" s="799">
        <f t="shared" si="55"/>
        <v>1</v>
      </c>
      <c r="T193" s="176">
        <f t="shared" si="56"/>
        <v>7</v>
      </c>
      <c r="U193" s="250">
        <f t="shared" si="57"/>
        <v>1.8374672296174492</v>
      </c>
      <c r="V193" s="382">
        <f t="shared" si="58"/>
        <v>59.095816311866002</v>
      </c>
      <c r="W193" s="400">
        <f t="shared" si="59"/>
        <v>59.798286578492963</v>
      </c>
      <c r="X193" s="157">
        <f t="shared" si="60"/>
        <v>45836</v>
      </c>
      <c r="Y193" s="383">
        <f t="shared" si="61"/>
        <v>56.578692620593976</v>
      </c>
      <c r="Z193" s="383">
        <f t="shared" si="62"/>
        <v>59.190788439057762</v>
      </c>
      <c r="AA193" s="384">
        <f t="shared" si="63"/>
        <v>63.489059057645285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6.7700965841766186E-2</v>
      </c>
      <c r="AD193" s="230">
        <f>(INDEX(Models!$BJ193:$BT193,,AH193)*(1-AF193)+INDEX(Models!$BJ193:$BT193,,AH193+1)*AF193-ERP_i)*AE193*Ramure*Pc/MaxiM</f>
        <v>2.8331601442187671E-4</v>
      </c>
      <c r="AE193" s="304">
        <f t="shared" si="65"/>
        <v>0.6</v>
      </c>
      <c r="AF193" s="177">
        <f t="shared" si="66"/>
        <v>0.83746722961744924</v>
      </c>
      <c r="AG193" s="799">
        <f t="shared" si="74"/>
        <v>1</v>
      </c>
      <c r="AH193" s="176">
        <f t="shared" si="67"/>
        <v>7</v>
      </c>
      <c r="AI193" s="224">
        <f t="shared" si="68"/>
        <v>1.8374672296174492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'2024'!Wh/'2024'!Env_an*'2025'!Env_an</f>
        <v>58.082524395015504</v>
      </c>
      <c r="C194" s="829"/>
      <c r="D194" s="391">
        <f t="shared" si="50"/>
        <v>60.765212892502795</v>
      </c>
      <c r="E194" s="383">
        <f t="shared" si="75"/>
        <v>61.675304095646339</v>
      </c>
      <c r="F194" s="383">
        <f t="shared" si="51"/>
        <v>61.692609395078676</v>
      </c>
      <c r="G194" s="110">
        <f t="shared" si="76"/>
        <v>0.98401669495475996</v>
      </c>
      <c r="H194" s="412" t="b">
        <f>Wh_hp&gt;='2024'!Maxi_hp</f>
        <v>0</v>
      </c>
      <c r="I194" s="388">
        <f>IF(H194,Wh_hp,'2024'!Maxi_hp)</f>
        <v>61.692866587615413</v>
      </c>
      <c r="J194" s="85">
        <f>IF(H194,An,'2024'!An_max)</f>
        <v>2022</v>
      </c>
      <c r="K194" s="197">
        <f t="shared" si="52"/>
        <v>45837</v>
      </c>
      <c r="L194" s="147">
        <f>IF(t&lt;Tvie,1-EXP((T0-t)*PertePVj)+'2024'!Pspv,1-EXP((T0-t)*PertePVj)+Pspv)</f>
        <v>4.4148425880332631E-2</v>
      </c>
      <c r="M194" s="832"/>
      <c r="N194" s="832"/>
      <c r="O194" s="48">
        <f>IF(t&lt;Tnet,'2024'!Resal+('2024'!Salim-'2024'!Resal)*(1-EXP(('2024'!Tnet-t)/('2024'!Tau_j))),Resal+(Salim-Resal)*(1-EXP((Tnet-t)/(Tau_j))))*Salcycl</f>
        <v>1.4756168882964346E-2</v>
      </c>
      <c r="P194" s="169">
        <f>(INDEX(Models!$BJ194:$BT194,,T194)*(1-R194)+INDEX(Models!$BJ194:$BT194,,T194+1)*R194-ERP_i)*Q194*Ramure*Pc/MaxiM</f>
        <v>2.870603579469233E-4</v>
      </c>
      <c r="Q194" s="304">
        <f t="shared" si="53"/>
        <v>0.6</v>
      </c>
      <c r="R194" s="177">
        <f t="shared" si="54"/>
        <v>0.84193556094922162</v>
      </c>
      <c r="S194" s="799">
        <f t="shared" si="55"/>
        <v>1</v>
      </c>
      <c r="T194" s="176">
        <f t="shared" si="56"/>
        <v>7</v>
      </c>
      <c r="U194" s="250">
        <f t="shared" si="57"/>
        <v>1.8419355609492216</v>
      </c>
      <c r="V194" s="382">
        <f t="shared" si="58"/>
        <v>59.02556738702458</v>
      </c>
      <c r="W194" s="400">
        <f t="shared" si="59"/>
        <v>58.082524395015504</v>
      </c>
      <c r="X194" s="157">
        <f t="shared" si="60"/>
        <v>45837</v>
      </c>
      <c r="Y194" s="383">
        <f t="shared" si="61"/>
        <v>54.957278630372095</v>
      </c>
      <c r="Z194" s="383">
        <f t="shared" si="62"/>
        <v>57.495619736764432</v>
      </c>
      <c r="AA194" s="384">
        <f t="shared" si="63"/>
        <v>61.675304095646339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6.7769173093983212E-2</v>
      </c>
      <c r="AD194" s="230">
        <f>(INDEX(Models!$BJ194:$BT194,,AH194)*(1-AF194)+INDEX(Models!$BJ194:$BT194,,AH194+1)*AF194-ERP_i)*AE194*Ramure*Pc/MaxiM</f>
        <v>2.870603579469233E-4</v>
      </c>
      <c r="AE194" s="304">
        <f t="shared" si="65"/>
        <v>0.6</v>
      </c>
      <c r="AF194" s="177">
        <f t="shared" si="66"/>
        <v>0.84193556094922162</v>
      </c>
      <c r="AG194" s="799">
        <f t="shared" si="74"/>
        <v>1</v>
      </c>
      <c r="AH194" s="176">
        <f t="shared" si="67"/>
        <v>7</v>
      </c>
      <c r="AI194" s="224">
        <f t="shared" si="68"/>
        <v>1.8419355609492216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'2024'!Wh/'2024'!Env_an*'2025'!Env_an</f>
        <v>14.323822906819142</v>
      </c>
      <c r="C195" s="829"/>
      <c r="D195" s="391">
        <f t="shared" si="50"/>
        <v>14.985692143752372</v>
      </c>
      <c r="E195" s="383">
        <f t="shared" si="75"/>
        <v>15.211789428860278</v>
      </c>
      <c r="F195" s="383">
        <f t="shared" si="51"/>
        <v>15.211789428860278</v>
      </c>
      <c r="G195" s="110">
        <f t="shared" si="76"/>
        <v>0.2428958239864015</v>
      </c>
      <c r="H195" s="412" t="b">
        <f>Wh_hp&gt;='2024'!Maxi_hp</f>
        <v>0</v>
      </c>
      <c r="I195" s="388">
        <f>IF(H195,Wh_hp,'2024'!Maxi_hp)</f>
        <v>52.702185547178217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4.4166744557685766E-2</v>
      </c>
      <c r="M195" s="832"/>
      <c r="N195" s="832"/>
      <c r="O195" s="48">
        <f>IF(t&lt;Tnet,'2024'!Resal+('2024'!Salim-'2024'!Resal)*(1-EXP(('2024'!Tnet-t)/('2024'!Tau_j))),Resal+(Salim-Resal)*(1-EXP((Tnet-t)/(Tau_j))))*Salcycl</f>
        <v>1.4863293116518322E-2</v>
      </c>
      <c r="P195" s="169">
        <f>(INDEX(Models!$BJ195:$BT195,,T195)*(1-R195)+INDEX(Models!$BJ195:$BT195,,T195+1)*R195-ERP_i)*Q195*Ramure*Pc/MaxiM</f>
        <v>2.9110500183483469E-4</v>
      </c>
      <c r="Q195" s="304">
        <f t="shared" si="53"/>
        <v>0.6</v>
      </c>
      <c r="R195" s="177">
        <f t="shared" si="54"/>
        <v>0.84633616119477706</v>
      </c>
      <c r="S195" s="799">
        <f t="shared" si="55"/>
        <v>1</v>
      </c>
      <c r="T195" s="176">
        <f t="shared" si="56"/>
        <v>7</v>
      </c>
      <c r="U195" s="250">
        <f t="shared" si="57"/>
        <v>1.8463361611947771</v>
      </c>
      <c r="V195" s="382">
        <f t="shared" si="58"/>
        <v>58.953887865635998</v>
      </c>
      <c r="W195" s="400">
        <f t="shared" si="59"/>
        <v>14.323822906819142</v>
      </c>
      <c r="X195" s="157">
        <f t="shared" si="60"/>
        <v>45838</v>
      </c>
      <c r="Y195" s="383">
        <f t="shared" si="61"/>
        <v>13.553599156760216</v>
      </c>
      <c r="Z195" s="383">
        <f t="shared" si="62"/>
        <v>14.179878215775464</v>
      </c>
      <c r="AA195" s="384">
        <f t="shared" si="63"/>
        <v>15.211789428860278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6.7836280400190144E-2</v>
      </c>
      <c r="AD195" s="230">
        <f>(INDEX(Models!$BJ195:$BT195,,AH195)*(1-AF195)+INDEX(Models!$BJ195:$BT195,,AH195+1)*AF195-ERP_i)*AE195*Ramure*Pc/MaxiM</f>
        <v>2.9110500183483469E-4</v>
      </c>
      <c r="AE195" s="304">
        <f t="shared" si="65"/>
        <v>0.6</v>
      </c>
      <c r="AF195" s="177">
        <f t="shared" si="66"/>
        <v>0.84633616119477706</v>
      </c>
      <c r="AG195" s="799">
        <f t="shared" si="74"/>
        <v>1</v>
      </c>
      <c r="AH195" s="176">
        <f t="shared" si="67"/>
        <v>7</v>
      </c>
      <c r="AI195" s="224">
        <f t="shared" si="68"/>
        <v>1.8463361611947771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'2024'!Wh/'2024'!Env_an*'2025'!Env_an</f>
        <v>51.664041381287163</v>
      </c>
      <c r="C196" s="829"/>
      <c r="D196" s="391">
        <f t="shared" si="50"/>
        <v>54.052347766370218</v>
      </c>
      <c r="E196" s="383">
        <f t="shared" si="75"/>
        <v>54.87381614114792</v>
      </c>
      <c r="F196" s="383">
        <f t="shared" si="51"/>
        <v>54.887193373295375</v>
      </c>
      <c r="G196" s="110">
        <f t="shared" si="76"/>
        <v>0.87738935688727615</v>
      </c>
      <c r="H196" s="412" t="b">
        <f>Wh_hp&gt;='2024'!Maxi_hp</f>
        <v>0</v>
      </c>
      <c r="I196" s="388">
        <f>IF(H196,Wh_hp,'2024'!Maxi_hp)</f>
        <v>60.959454139649438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4.4185062883965731E-2</v>
      </c>
      <c r="M196" s="832"/>
      <c r="N196" s="832"/>
      <c r="O196" s="48">
        <f>IF(t&lt;Tnet,'2024'!Resal+('2024'!Salim-'2024'!Resal)*(1-EXP(('2024'!Tnet-t)/('2024'!Tau_j))),Resal+(Salim-Resal)*(1-EXP((Tnet-t)/(Tau_j))))*Salcycl</f>
        <v>1.4970133891630526E-2</v>
      </c>
      <c r="P196" s="169">
        <f>(INDEX(Models!$BJ196:$BT196,,T196)*(1-R196)+INDEX(Models!$BJ196:$BT196,,T196+1)*R196-ERP_i)*Q196*Ramure*Pc/MaxiM</f>
        <v>2.9545432832920541E-4</v>
      </c>
      <c r="Q196" s="304">
        <f t="shared" si="53"/>
        <v>0.6</v>
      </c>
      <c r="R196" s="177">
        <f t="shared" si="54"/>
        <v>0.85066692871572003</v>
      </c>
      <c r="S196" s="799">
        <f t="shared" si="55"/>
        <v>1</v>
      </c>
      <c r="T196" s="176">
        <f t="shared" si="56"/>
        <v>7</v>
      </c>
      <c r="U196" s="250">
        <f t="shared" si="57"/>
        <v>1.85066692871572</v>
      </c>
      <c r="V196" s="382">
        <f t="shared" si="58"/>
        <v>58.880778114919217</v>
      </c>
      <c r="W196" s="400">
        <f t="shared" si="59"/>
        <v>51.664041381287163</v>
      </c>
      <c r="X196" s="157">
        <f t="shared" si="60"/>
        <v>45839</v>
      </c>
      <c r="Y196" s="383">
        <f t="shared" si="61"/>
        <v>48.887790697418403</v>
      </c>
      <c r="Z196" s="383">
        <f t="shared" si="62"/>
        <v>51.147757582578471</v>
      </c>
      <c r="AA196" s="384">
        <f t="shared" si="63"/>
        <v>54.87381614114792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6.7902304242613259E-2</v>
      </c>
      <c r="AD196" s="230">
        <f>(INDEX(Models!$BJ196:$BT196,,AH196)*(1-AF196)+INDEX(Models!$BJ196:$BT196,,AH196+1)*AF196-ERP_i)*AE196*Ramure*Pc/MaxiM</f>
        <v>2.9545432832920541E-4</v>
      </c>
      <c r="AE196" s="304">
        <f t="shared" si="65"/>
        <v>0.6</v>
      </c>
      <c r="AF196" s="177">
        <f t="shared" si="66"/>
        <v>0.85066692871572003</v>
      </c>
      <c r="AG196" s="799">
        <f t="shared" si="74"/>
        <v>1</v>
      </c>
      <c r="AH196" s="176">
        <f t="shared" si="67"/>
        <v>7</v>
      </c>
      <c r="AI196" s="224">
        <f t="shared" si="68"/>
        <v>1.85066692871572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'2024'!Wh/'2024'!Env_an*'2025'!Env_an</f>
        <v>57.070034508756265</v>
      </c>
      <c r="C197" s="829"/>
      <c r="D197" s="391">
        <f t="shared" si="50"/>
        <v>59.709391481272796</v>
      </c>
      <c r="E197" s="383">
        <f t="shared" si="75"/>
        <v>60.623391631188127</v>
      </c>
      <c r="F197" s="383">
        <f t="shared" si="51"/>
        <v>60.64082311736437</v>
      </c>
      <c r="G197" s="110">
        <f t="shared" si="76"/>
        <v>0.97046356638024744</v>
      </c>
      <c r="H197" s="412" t="b">
        <f>Wh_hp&gt;='2024'!Maxi_hp</f>
        <v>0</v>
      </c>
      <c r="I197" s="388">
        <f>IF(H197,Wh_hp,'2024'!Maxi_hp)</f>
        <v>60.641307786297681</v>
      </c>
      <c r="J197" s="85">
        <f>IF(H197,An,'2024'!An_max)</f>
        <v>2022</v>
      </c>
      <c r="K197" s="197">
        <f t="shared" si="52"/>
        <v>45840</v>
      </c>
      <c r="L197" s="147">
        <f>IF(t&lt;Tvie,1-EXP((T0-t)*PertePVj)+'2024'!Pspv,1-EXP((T0-t)*PertePVj)+Pspv)</f>
        <v>4.4203380859179187E-2</v>
      </c>
      <c r="M197" s="832"/>
      <c r="N197" s="832"/>
      <c r="O197" s="48">
        <f>IF(t&lt;Tnet,'2024'!Resal+('2024'!Salim-'2024'!Resal)*(1-EXP(('2024'!Tnet-t)/('2024'!Tau_j))),Resal+(Salim-Resal)*(1-EXP((Tnet-t)/(Tau_j))))*Salcycl</f>
        <v>1.5076691114146095E-2</v>
      </c>
      <c r="P197" s="169">
        <f>(INDEX(Models!$BJ197:$BT197,,T197)*(1-R197)+INDEX(Models!$BJ197:$BT197,,T197+1)*R197-ERP_i)*Q197*Ramure*Pc/MaxiM</f>
        <v>3.001125976970216E-4</v>
      </c>
      <c r="Q197" s="304">
        <f t="shared" si="53"/>
        <v>0.6</v>
      </c>
      <c r="R197" s="177">
        <f t="shared" si="54"/>
        <v>0.85492594402338051</v>
      </c>
      <c r="S197" s="799">
        <f t="shared" si="55"/>
        <v>1</v>
      </c>
      <c r="T197" s="176">
        <f t="shared" si="56"/>
        <v>7</v>
      </c>
      <c r="U197" s="250">
        <f t="shared" si="57"/>
        <v>1.8549259440233805</v>
      </c>
      <c r="V197" s="382">
        <f t="shared" si="58"/>
        <v>58.80623847014656</v>
      </c>
      <c r="W197" s="400">
        <f t="shared" si="59"/>
        <v>57.070034508756265</v>
      </c>
      <c r="X197" s="157">
        <f t="shared" si="60"/>
        <v>45840</v>
      </c>
      <c r="Y197" s="383">
        <f t="shared" si="61"/>
        <v>54.005362602333882</v>
      </c>
      <c r="Z197" s="383">
        <f t="shared" si="62"/>
        <v>56.502985594236641</v>
      </c>
      <c r="AA197" s="384">
        <f t="shared" si="63"/>
        <v>60.623391631188127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6.796726356088123E-2</v>
      </c>
      <c r="AD197" s="230">
        <f>(INDEX(Models!$BJ197:$BT197,,AH197)*(1-AF197)+INDEX(Models!$BJ197:$BT197,,AH197+1)*AF197-ERP_i)*AE197*Ramure*Pc/MaxiM</f>
        <v>3.001125976970216E-4</v>
      </c>
      <c r="AE197" s="304">
        <f t="shared" si="65"/>
        <v>0.6</v>
      </c>
      <c r="AF197" s="177">
        <f t="shared" si="66"/>
        <v>0.85492594402338051</v>
      </c>
      <c r="AG197" s="799">
        <f t="shared" si="74"/>
        <v>1</v>
      </c>
      <c r="AH197" s="176">
        <f t="shared" si="67"/>
        <v>7</v>
      </c>
      <c r="AI197" s="224">
        <f t="shared" si="68"/>
        <v>1.8549259440233805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'2024'!Wh/'2024'!Env_an*'2025'!Env_an</f>
        <v>47.011751987130793</v>
      </c>
      <c r="C198" s="829"/>
      <c r="D198" s="391">
        <f t="shared" si="50"/>
        <v>49.186879334392358</v>
      </c>
      <c r="E198" s="383">
        <f t="shared" si="75"/>
        <v>49.945195505953578</v>
      </c>
      <c r="F198" s="383">
        <f t="shared" si="51"/>
        <v>49.956093711524026</v>
      </c>
      <c r="G198" s="110">
        <f t="shared" si="76"/>
        <v>0.80039926694458685</v>
      </c>
      <c r="H198" s="412" t="b">
        <f>Wh_hp&gt;='2024'!Maxi_hp</f>
        <v>0</v>
      </c>
      <c r="I198" s="388">
        <f>IF(H198,Wh_hp,'2024'!Maxi_hp)</f>
        <v>49.958829458254328</v>
      </c>
      <c r="J198" s="85">
        <f>IF(H198,An,'2024'!An_max)</f>
        <v>2022</v>
      </c>
      <c r="K198" s="197">
        <f t="shared" si="52"/>
        <v>45841</v>
      </c>
      <c r="L198" s="147">
        <f>IF(t&lt;Tvie,1-EXP((T0-t)*PertePVj)+'2024'!Pspv,1-EXP((T0-t)*PertePVj)+Pspv)</f>
        <v>4.4221698483332683E-2</v>
      </c>
      <c r="M198" s="832"/>
      <c r="N198" s="832"/>
      <c r="O198" s="48">
        <f>IF(t&lt;Tnet,'2024'!Resal+('2024'!Salim-'2024'!Resal)*(1-EXP(('2024'!Tnet-t)/('2024'!Tau_j))),Resal+(Salim-Resal)*(1-EXP((Tnet-t)/(Tau_j))))*Salcycl</f>
        <v>1.5182965325880576E-2</v>
      </c>
      <c r="P198" s="169">
        <f>(INDEX(Models!$BJ198:$BT198,,T198)*(1-R198)+INDEX(Models!$BJ198:$BT198,,T198+1)*R198-ERP_i)*Q198*Ramure*Pc/MaxiM</f>
        <v>3.0513179642047762E-4</v>
      </c>
      <c r="Q198" s="304">
        <f t="shared" si="53"/>
        <v>0.6</v>
      </c>
      <c r="R198" s="177">
        <f t="shared" si="54"/>
        <v>0.85911146979067698</v>
      </c>
      <c r="S198" s="799">
        <f t="shared" si="55"/>
        <v>1</v>
      </c>
      <c r="T198" s="176">
        <f t="shared" si="56"/>
        <v>7</v>
      </c>
      <c r="U198" s="250">
        <f t="shared" si="57"/>
        <v>1.859111469790677</v>
      </c>
      <c r="V198" s="382">
        <f t="shared" si="58"/>
        <v>58.730266426565812</v>
      </c>
      <c r="W198" s="400">
        <f t="shared" si="59"/>
        <v>47.011751987130793</v>
      </c>
      <c r="X198" s="157">
        <f t="shared" si="60"/>
        <v>45841</v>
      </c>
      <c r="Y198" s="383">
        <f t="shared" si="61"/>
        <v>44.488961403219498</v>
      </c>
      <c r="Z198" s="383">
        <f t="shared" si="62"/>
        <v>46.54736494082637</v>
      </c>
      <c r="AA198" s="384">
        <f t="shared" si="63"/>
        <v>49.945195505953578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6.8031179590080482E-2</v>
      </c>
      <c r="AD198" s="230">
        <f>(INDEX(Models!$BJ198:$BT198,,AH198)*(1-AF198)+INDEX(Models!$BJ198:$BT198,,AH198+1)*AF198-ERP_i)*AE198*Ramure*Pc/MaxiM</f>
        <v>3.0513179642047762E-4</v>
      </c>
      <c r="AE198" s="304">
        <f t="shared" si="65"/>
        <v>0.6</v>
      </c>
      <c r="AF198" s="177">
        <f t="shared" si="66"/>
        <v>0.85911146979067698</v>
      </c>
      <c r="AG198" s="799">
        <f t="shared" si="74"/>
        <v>1</v>
      </c>
      <c r="AH198" s="176">
        <f t="shared" si="67"/>
        <v>7</v>
      </c>
      <c r="AI198" s="224">
        <f t="shared" si="68"/>
        <v>1.859111469790677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'2024'!Wh/'2024'!Env_an*'2025'!Env_an</f>
        <v>45.482057300906327</v>
      </c>
      <c r="C199" s="829"/>
      <c r="D199" s="391">
        <f t="shared" si="50"/>
        <v>47.587321137851319</v>
      </c>
      <c r="E199" s="383">
        <f t="shared" si="75"/>
        <v>48.326178028596566</v>
      </c>
      <c r="F199" s="383">
        <f t="shared" si="51"/>
        <v>48.336367754087746</v>
      </c>
      <c r="G199" s="110">
        <f t="shared" si="76"/>
        <v>0.77536747040125464</v>
      </c>
      <c r="H199" s="412" t="b">
        <f>Wh_hp&gt;='2024'!Maxi_hp</f>
        <v>0</v>
      </c>
      <c r="I199" s="388">
        <f>IF(H199,Wh_hp,'2024'!Maxi_hp)</f>
        <v>58.082093863284776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4.4240015756433215E-2</v>
      </c>
      <c r="M199" s="832"/>
      <c r="N199" s="832"/>
      <c r="O199" s="48">
        <f>IF(t&lt;Tnet,'2024'!Resal+('2024'!Salim-'2024'!Resal)*(1-EXP(('2024'!Tnet-t)/('2024'!Tau_j))),Resal+(Salim-Resal)*(1-EXP((Tnet-t)/(Tau_j))))*Salcycl</f>
        <v>1.5288957680618467E-2</v>
      </c>
      <c r="P199" s="169">
        <f>(INDEX(Models!$BJ199:$BT199,,T199)*(1-R199)+INDEX(Models!$BJ199:$BT199,,T199+1)*R199-ERP_i)*Q199*Ramure*Pc/MaxiM</f>
        <v>3.103748384838553E-4</v>
      </c>
      <c r="Q199" s="304">
        <f t="shared" si="53"/>
        <v>0.6</v>
      </c>
      <c r="R199" s="177">
        <f t="shared" si="54"/>
        <v>0.86322195001463431</v>
      </c>
      <c r="S199" s="799">
        <f t="shared" si="55"/>
        <v>1</v>
      </c>
      <c r="T199" s="176">
        <f t="shared" si="56"/>
        <v>7</v>
      </c>
      <c r="U199" s="250">
        <f t="shared" si="57"/>
        <v>1.8632219500146343</v>
      </c>
      <c r="V199" s="382">
        <f t="shared" si="58"/>
        <v>58.652870552378658</v>
      </c>
      <c r="W199" s="400">
        <f t="shared" si="59"/>
        <v>45.482057300906327</v>
      </c>
      <c r="X199" s="157">
        <f t="shared" si="60"/>
        <v>45842</v>
      </c>
      <c r="Y199" s="383">
        <f t="shared" si="61"/>
        <v>43.043082515629656</v>
      </c>
      <c r="Z199" s="383">
        <f t="shared" si="62"/>
        <v>45.035451604197434</v>
      </c>
      <c r="AA199" s="384">
        <f t="shared" si="63"/>
        <v>48.326178028596566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6.8094075688167971E-2</v>
      </c>
      <c r="AD199" s="230">
        <f>(INDEX(Models!$BJ199:$BT199,,AH199)*(1-AF199)+INDEX(Models!$BJ199:$BT199,,AH199+1)*AF199-ERP_i)*AE199*Ramure*Pc/MaxiM</f>
        <v>3.103748384838553E-4</v>
      </c>
      <c r="AE199" s="304">
        <f t="shared" si="65"/>
        <v>0.6</v>
      </c>
      <c r="AF199" s="177">
        <f t="shared" si="66"/>
        <v>0.86322195001463431</v>
      </c>
      <c r="AG199" s="799">
        <f t="shared" si="74"/>
        <v>1</v>
      </c>
      <c r="AH199" s="176">
        <f t="shared" si="67"/>
        <v>7</v>
      </c>
      <c r="AI199" s="224">
        <f t="shared" si="68"/>
        <v>1.8632219500146343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'2024'!Wh/'2024'!Env_an*'2025'!Env_an</f>
        <v>57.013367375977666</v>
      </c>
      <c r="C200" s="829"/>
      <c r="D200" s="391">
        <f t="shared" si="50"/>
        <v>59.653533298133688</v>
      </c>
      <c r="E200" s="383">
        <f t="shared" si="75"/>
        <v>60.586238440406419</v>
      </c>
      <c r="F200" s="383">
        <f t="shared" si="51"/>
        <v>60.604651484282378</v>
      </c>
      <c r="G200" s="110">
        <f t="shared" si="76"/>
        <v>0.97334366717016518</v>
      </c>
      <c r="H200" s="412" t="b">
        <f>Wh_hp&gt;='2024'!Maxi_hp</f>
        <v>0</v>
      </c>
      <c r="I200" s="388">
        <f>IF(H200,Wh_hp,'2024'!Maxi_hp)</f>
        <v>61.390169549077257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4.4258332678487333E-2</v>
      </c>
      <c r="M200" s="832"/>
      <c r="N200" s="832"/>
      <c r="O200" s="48">
        <f>IF(t&lt;Tnet,'2024'!Resal+('2024'!Salim-'2024'!Resal)*(1-EXP(('2024'!Tnet-t)/('2024'!Tau_j))),Resal+(Salim-Resal)*(1-EXP((Tnet-t)/(Tau_j))))*Salcycl</f>
        <v>1.5394669916505106E-2</v>
      </c>
      <c r="P200" s="169">
        <f>(INDEX(Models!$BJ200:$BT200,,T200)*(1-R200)+INDEX(Models!$BJ200:$BT200,,T200+1)*R200-ERP_i)*Q200*Ramure*Pc/MaxiM</f>
        <v>3.1584451573303204E-4</v>
      </c>
      <c r="Q200" s="304">
        <f t="shared" si="53"/>
        <v>0.6</v>
      </c>
      <c r="R200" s="177">
        <f t="shared" si="54"/>
        <v>0.86725600837460792</v>
      </c>
      <c r="S200" s="799">
        <f t="shared" si="55"/>
        <v>1</v>
      </c>
      <c r="T200" s="176">
        <f t="shared" si="56"/>
        <v>7</v>
      </c>
      <c r="U200" s="250">
        <f t="shared" si="57"/>
        <v>1.8672560083746079</v>
      </c>
      <c r="V200" s="382">
        <f t="shared" si="58"/>
        <v>58.574051142422583</v>
      </c>
      <c r="W200" s="400">
        <f t="shared" si="59"/>
        <v>57.013367375977666</v>
      </c>
      <c r="X200" s="157">
        <f t="shared" si="60"/>
        <v>45843</v>
      </c>
      <c r="Y200" s="383">
        <f t="shared" si="61"/>
        <v>53.958234826047978</v>
      </c>
      <c r="Z200" s="383">
        <f t="shared" si="62"/>
        <v>56.456924157410796</v>
      </c>
      <c r="AA200" s="384">
        <f t="shared" si="63"/>
        <v>60.586238440406419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6.8155977154074024E-2</v>
      </c>
      <c r="AD200" s="230">
        <f>(INDEX(Models!$BJ200:$BT200,,AH200)*(1-AF200)+INDEX(Models!$BJ200:$BT200,,AH200+1)*AF200-ERP_i)*AE200*Ramure*Pc/MaxiM</f>
        <v>3.1584451573303204E-4</v>
      </c>
      <c r="AE200" s="304">
        <f t="shared" si="65"/>
        <v>0.6</v>
      </c>
      <c r="AF200" s="177">
        <f t="shared" si="66"/>
        <v>0.86725600837460792</v>
      </c>
      <c r="AG200" s="799">
        <f t="shared" si="74"/>
        <v>1</v>
      </c>
      <c r="AH200" s="176">
        <f t="shared" si="67"/>
        <v>7</v>
      </c>
      <c r="AI200" s="224">
        <f t="shared" si="68"/>
        <v>1.8672560083746079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'2024'!Wh/'2024'!Env_an*'2025'!Env_an</f>
        <v>48.461061222959565</v>
      </c>
      <c r="C201" s="829"/>
      <c r="D201" s="391">
        <f t="shared" si="50"/>
        <v>50.706160087963411</v>
      </c>
      <c r="E201" s="383">
        <f t="shared" si="75"/>
        <v>51.504484978336912</v>
      </c>
      <c r="F201" s="383">
        <f t="shared" si="51"/>
        <v>51.516991094048045</v>
      </c>
      <c r="G201" s="110">
        <f t="shared" si="76"/>
        <v>0.82841660498776915</v>
      </c>
      <c r="H201" s="412" t="b">
        <f>Wh_hp&gt;='2024'!Maxi_hp</f>
        <v>0</v>
      </c>
      <c r="I201" s="388">
        <f>IF(H201,Wh_hp,'2024'!Maxi_hp)</f>
        <v>60.936475957669771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4.4276649249501809E-2</v>
      </c>
      <c r="M201" s="832"/>
      <c r="N201" s="832"/>
      <c r="O201" s="48">
        <f>IF(t&lt;Tnet,'2024'!Resal+('2024'!Salim-'2024'!Resal)*(1-EXP(('2024'!Tnet-t)/('2024'!Tau_j))),Resal+(Salim-Resal)*(1-EXP((Tnet-t)/(Tau_j))))*Salcycl</f>
        <v>1.5500104325075429E-2</v>
      </c>
      <c r="P201" s="169">
        <f>(INDEX(Models!$BJ201:$BT201,,T201)*(1-R201)+INDEX(Models!$BJ201:$BT201,,T201+1)*R201-ERP_i)*Q201*Ramure*Pc/MaxiM</f>
        <v>3.2154360766037393E-4</v>
      </c>
      <c r="Q201" s="304">
        <f t="shared" si="53"/>
        <v>0.6</v>
      </c>
      <c r="R201" s="177">
        <f t="shared" si="54"/>
        <v>0.87121244583573421</v>
      </c>
      <c r="S201" s="799">
        <f t="shared" si="55"/>
        <v>1</v>
      </c>
      <c r="T201" s="176">
        <f t="shared" si="56"/>
        <v>7</v>
      </c>
      <c r="U201" s="250">
        <f t="shared" si="57"/>
        <v>1.8712124458357342</v>
      </c>
      <c r="V201" s="382">
        <f t="shared" si="58"/>
        <v>58.493808461438</v>
      </c>
      <c r="W201" s="400">
        <f t="shared" si="59"/>
        <v>48.461061222959565</v>
      </c>
      <c r="X201" s="157">
        <f t="shared" si="60"/>
        <v>45844</v>
      </c>
      <c r="Y201" s="383">
        <f t="shared" si="61"/>
        <v>45.866127075366322</v>
      </c>
      <c r="Z201" s="383">
        <f t="shared" si="62"/>
        <v>47.991008108517129</v>
      </c>
      <c r="AA201" s="384">
        <f t="shared" si="63"/>
        <v>51.504484978336912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6.821691103789447E-2</v>
      </c>
      <c r="AD201" s="230">
        <f>(INDEX(Models!$BJ201:$BT201,,AH201)*(1-AF201)+INDEX(Models!$BJ201:$BT201,,AH201+1)*AF201-ERP_i)*AE201*Ramure*Pc/MaxiM</f>
        <v>3.2154360766037393E-4</v>
      </c>
      <c r="AE201" s="304">
        <f t="shared" si="65"/>
        <v>0.6</v>
      </c>
      <c r="AF201" s="177">
        <f t="shared" si="66"/>
        <v>0.87121244583573421</v>
      </c>
      <c r="AG201" s="799">
        <f t="shared" si="74"/>
        <v>1</v>
      </c>
      <c r="AH201" s="176">
        <f t="shared" si="67"/>
        <v>7</v>
      </c>
      <c r="AI201" s="224">
        <f t="shared" si="68"/>
        <v>1.8712124458357342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'2024'!Wh/'2024'!Env_an*'2025'!Env_an</f>
        <v>56.445623362677949</v>
      </c>
      <c r="C202" s="829"/>
      <c r="D202" s="391">
        <f t="shared" si="50"/>
        <v>59.061762074327113</v>
      </c>
      <c r="E202" s="383">
        <f t="shared" si="75"/>
        <v>59.998047426941</v>
      </c>
      <c r="F202" s="383">
        <f t="shared" si="51"/>
        <v>60.016756155537195</v>
      </c>
      <c r="G202" s="110">
        <f t="shared" si="76"/>
        <v>0.96631849864613639</v>
      </c>
      <c r="H202" s="412" t="b">
        <f>Wh_hp&gt;='2024'!Maxi_hp</f>
        <v>0</v>
      </c>
      <c r="I202" s="388">
        <f>IF(H202,Wh_hp,'2024'!Maxi_hp)</f>
        <v>60.017344561452532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4.4294965469483416E-2</v>
      </c>
      <c r="M202" s="832"/>
      <c r="N202" s="832"/>
      <c r="O202" s="48">
        <f>IF(t&lt;Tnet,'2024'!Resal+('2024'!Salim-'2024'!Resal)*(1-EXP(('2024'!Tnet-t)/('2024'!Tau_j))),Resal+(Salim-Resal)*(1-EXP((Tnet-t)/(Tau_j))))*Salcycl</f>
        <v>1.5605263717189947E-2</v>
      </c>
      <c r="P202" s="169">
        <f>(INDEX(Models!$BJ202:$BT202,,T202)*(1-R202)+INDEX(Models!$BJ202:$BT202,,T202+1)*R202-ERP_i)*Q202*Ramure*Pc/MaxiM</f>
        <v>3.2747488849455485E-4</v>
      </c>
      <c r="Q202" s="304">
        <f t="shared" si="53"/>
        <v>0.6</v>
      </c>
      <c r="R202" s="177">
        <f t="shared" si="54"/>
        <v>0.87509023755077386</v>
      </c>
      <c r="S202" s="799">
        <f t="shared" si="55"/>
        <v>1</v>
      </c>
      <c r="T202" s="176">
        <f t="shared" si="56"/>
        <v>7</v>
      </c>
      <c r="U202" s="250">
        <f t="shared" si="57"/>
        <v>1.8750902375507739</v>
      </c>
      <c r="V202" s="382">
        <f t="shared" si="58"/>
        <v>58.412142743042779</v>
      </c>
      <c r="W202" s="400">
        <f t="shared" si="59"/>
        <v>56.445623362677949</v>
      </c>
      <c r="X202" s="157">
        <f t="shared" si="60"/>
        <v>45845</v>
      </c>
      <c r="Y202" s="383">
        <f t="shared" si="61"/>
        <v>53.425408433156782</v>
      </c>
      <c r="Z202" s="383">
        <f t="shared" si="62"/>
        <v>55.901566385910733</v>
      </c>
      <c r="AA202" s="384">
        <f t="shared" si="63"/>
        <v>59.998047426941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6.8276905944622782E-2</v>
      </c>
      <c r="AD202" s="230">
        <f>(INDEX(Models!$BJ202:$BT202,,AH202)*(1-AF202)+INDEX(Models!$BJ202:$BT202,,AH202+1)*AF202-ERP_i)*AE202*Ramure*Pc/MaxiM</f>
        <v>3.2747488849455485E-4</v>
      </c>
      <c r="AE202" s="304">
        <f t="shared" si="65"/>
        <v>0.6</v>
      </c>
      <c r="AF202" s="177">
        <f t="shared" si="66"/>
        <v>0.87509023755077386</v>
      </c>
      <c r="AG202" s="799">
        <f t="shared" si="74"/>
        <v>1</v>
      </c>
      <c r="AH202" s="176">
        <f t="shared" si="67"/>
        <v>7</v>
      </c>
      <c r="AI202" s="224">
        <f t="shared" si="68"/>
        <v>1.8750902375507739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'2024'!Wh/'2024'!Env_an*'2025'!Env_an</f>
        <v>58.876089077425988</v>
      </c>
      <c r="C203" s="829"/>
      <c r="D203" s="391">
        <f t="shared" si="50"/>
        <v>61.606055549125898</v>
      </c>
      <c r="E203" s="383">
        <f t="shared" si="75"/>
        <v>62.589343612438597</v>
      </c>
      <c r="F203" s="383">
        <f t="shared" si="51"/>
        <v>62.610232961581055</v>
      </c>
      <c r="G203" s="110">
        <f t="shared" si="76"/>
        <v>1.0093784288127614</v>
      </c>
      <c r="H203" s="412" t="b">
        <f>Wh_hp&gt;='2024'!Maxi_hp</f>
        <v>0</v>
      </c>
      <c r="I203" s="388">
        <f>IF(H203,Wh_hp,'2024'!Maxi_hp)</f>
        <v>63.179240618782657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4.4313281338438926E-2</v>
      </c>
      <c r="M203" s="832"/>
      <c r="N203" s="832"/>
      <c r="O203" s="48">
        <f>IF(t&lt;Tnet,'2024'!Resal+('2024'!Salim-'2024'!Resal)*(1-EXP(('2024'!Tnet-t)/('2024'!Tau_j))),Resal+(Salim-Resal)*(1-EXP((Tnet-t)/(Tau_j))))*Salcycl</f>
        <v>1.5710151386174334E-2</v>
      </c>
      <c r="P203" s="169">
        <f>(INDEX(Models!$BJ203:$BT203,,T203)*(1-R203)+INDEX(Models!$BJ203:$BT203,,T203+1)*R203-ERP_i)*Q203*Ramure*Pc/MaxiM</f>
        <v>3.3364113427387574E-4</v>
      </c>
      <c r="Q203" s="304">
        <f t="shared" si="53"/>
        <v>0.6</v>
      </c>
      <c r="R203" s="177">
        <f t="shared" si="54"/>
        <v>0.87888852911637616</v>
      </c>
      <c r="S203" s="799">
        <f t="shared" si="55"/>
        <v>1</v>
      </c>
      <c r="T203" s="176">
        <f t="shared" si="56"/>
        <v>7</v>
      </c>
      <c r="U203" s="250">
        <f t="shared" si="57"/>
        <v>1.8788885291163762</v>
      </c>
      <c r="V203" s="382">
        <f t="shared" si="58"/>
        <v>58.329054194943012</v>
      </c>
      <c r="W203" s="400">
        <f t="shared" si="59"/>
        <v>58.876089077425988</v>
      </c>
      <c r="X203" s="157">
        <f t="shared" si="60"/>
        <v>45846</v>
      </c>
      <c r="Y203" s="383">
        <f t="shared" si="61"/>
        <v>55.728232097817681</v>
      </c>
      <c r="Z203" s="383">
        <f t="shared" si="62"/>
        <v>58.31223873851156</v>
      </c>
      <c r="AA203" s="384">
        <f t="shared" si="63"/>
        <v>62.589343612438597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6.8335991832913723E-2</v>
      </c>
      <c r="AD203" s="230">
        <f>(INDEX(Models!$BJ203:$BT203,,AH203)*(1-AF203)+INDEX(Models!$BJ203:$BT203,,AH203+1)*AF203-ERP_i)*AE203*Ramure*Pc/MaxiM</f>
        <v>3.3364113427387574E-4</v>
      </c>
      <c r="AE203" s="304">
        <f t="shared" si="65"/>
        <v>0.6</v>
      </c>
      <c r="AF203" s="177">
        <f t="shared" si="66"/>
        <v>0.87888852911637616</v>
      </c>
      <c r="AG203" s="799">
        <f t="shared" si="74"/>
        <v>1</v>
      </c>
      <c r="AH203" s="176">
        <f t="shared" si="67"/>
        <v>7</v>
      </c>
      <c r="AI203" s="224">
        <f t="shared" si="68"/>
        <v>1.8788885291163762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'2024'!Wh/'2024'!Env_an*'2025'!Env_an</f>
        <v>58.186673591155035</v>
      </c>
      <c r="C204" s="829"/>
      <c r="D204" s="391">
        <f t="shared" si="50"/>
        <v>60.885840109134904</v>
      </c>
      <c r="E204" s="383">
        <f t="shared" si="75"/>
        <v>61.864208402350876</v>
      </c>
      <c r="F204" s="383">
        <f t="shared" si="51"/>
        <v>61.885222301901955</v>
      </c>
      <c r="G204" s="110">
        <f t="shared" si="76"/>
        <v>0.99900595836859563</v>
      </c>
      <c r="H204" s="412" t="b">
        <f>Wh_hp&gt;='2024'!Maxi_hp</f>
        <v>0</v>
      </c>
      <c r="I204" s="388">
        <f>IF(H204,Wh_hp,'2024'!Maxi_hp)</f>
        <v>61.885240787846676</v>
      </c>
      <c r="J204" s="85">
        <f>IF(H204,An,'2024'!An_max)</f>
        <v>2022</v>
      </c>
      <c r="K204" s="197">
        <f t="shared" si="52"/>
        <v>45847</v>
      </c>
      <c r="L204" s="147">
        <f>IF(t&lt;Tvie,1-EXP((T0-t)*PertePVj)+'2024'!Pspv,1-EXP((T0-t)*PertePVj)+Pspv)</f>
        <v>4.4331596856374889E-2</v>
      </c>
      <c r="M204" s="832"/>
      <c r="N204" s="832"/>
      <c r="O204" s="48">
        <f>IF(t&lt;Tnet,'2024'!Resal+('2024'!Salim-'2024'!Resal)*(1-EXP(('2024'!Tnet-t)/('2024'!Tau_j))),Resal+(Salim-Resal)*(1-EXP((Tnet-t)/(Tau_j))))*Salcycl</f>
        <v>1.5814771068480983E-2</v>
      </c>
      <c r="P204" s="169">
        <f>(INDEX(Models!$BJ204:$BT204,,T204)*(1-R204)+INDEX(Models!$BJ204:$BT204,,T204+1)*R204-ERP_i)*Q204*Ramure*Pc/MaxiM</f>
        <v>3.4004512985319214E-4</v>
      </c>
      <c r="Q204" s="304">
        <f t="shared" si="53"/>
        <v>0.6</v>
      </c>
      <c r="R204" s="177">
        <f t="shared" si="54"/>
        <v>0.88260663224182823</v>
      </c>
      <c r="S204" s="799">
        <f t="shared" si="55"/>
        <v>1</v>
      </c>
      <c r="T204" s="176">
        <f t="shared" si="56"/>
        <v>7</v>
      </c>
      <c r="U204" s="250">
        <f t="shared" si="57"/>
        <v>1.8826066322418282</v>
      </c>
      <c r="V204" s="382">
        <f t="shared" si="58"/>
        <v>58.24454299836006</v>
      </c>
      <c r="W204" s="400">
        <f t="shared" si="59"/>
        <v>58.186673591155035</v>
      </c>
      <c r="X204" s="157">
        <f t="shared" si="60"/>
        <v>45847</v>
      </c>
      <c r="Y204" s="383">
        <f t="shared" si="61"/>
        <v>55.078089995426183</v>
      </c>
      <c r="Z204" s="383">
        <f t="shared" si="62"/>
        <v>57.633055371768556</v>
      </c>
      <c r="AA204" s="384">
        <f t="shared" si="63"/>
        <v>61.864208402350876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6.8394199810395268E-2</v>
      </c>
      <c r="AD204" s="230">
        <f>(INDEX(Models!$BJ204:$BT204,,AH204)*(1-AF204)+INDEX(Models!$BJ204:$BT204,,AH204+1)*AF204-ERP_i)*AE204*Ramure*Pc/MaxiM</f>
        <v>3.4004512985319214E-4</v>
      </c>
      <c r="AE204" s="304">
        <f t="shared" si="65"/>
        <v>0.6</v>
      </c>
      <c r="AF204" s="177">
        <f t="shared" si="66"/>
        <v>0.88260663224182823</v>
      </c>
      <c r="AG204" s="799">
        <f t="shared" si="74"/>
        <v>1</v>
      </c>
      <c r="AH204" s="176">
        <f t="shared" si="67"/>
        <v>7</v>
      </c>
      <c r="AI204" s="224">
        <f t="shared" si="68"/>
        <v>1.8826066322418282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'2024'!Wh/'2024'!Env_an*'2025'!Env_an</f>
        <v>57.632270365499174</v>
      </c>
      <c r="C205" s="829"/>
      <c r="D205" s="391">
        <f t="shared" si="50"/>
        <v>60.306874964578256</v>
      </c>
      <c r="E205" s="383">
        <f t="shared" si="75"/>
        <v>61.28243786990609</v>
      </c>
      <c r="F205" s="383">
        <f t="shared" si="51"/>
        <v>61.303415962446245</v>
      </c>
      <c r="G205" s="110">
        <f t="shared" si="76"/>
        <v>0.99093787060659688</v>
      </c>
      <c r="H205" s="412" t="b">
        <f>Wh_hp&gt;='2024'!Maxi_hp</f>
        <v>0</v>
      </c>
      <c r="I205" s="388">
        <f>IF(H205,Wh_hp,'2024'!Maxi_hp)</f>
        <v>61.303585673539317</v>
      </c>
      <c r="J205" s="85">
        <f>IF(H205,An,'2024'!An_max)</f>
        <v>2022</v>
      </c>
      <c r="K205" s="197">
        <f t="shared" si="52"/>
        <v>45848</v>
      </c>
      <c r="L205" s="147">
        <f>IF(t&lt;Tvie,1-EXP((T0-t)*PertePVj)+'2024'!Pspv,1-EXP((T0-t)*PertePVj)+Pspv)</f>
        <v>4.4349912023298077E-2</v>
      </c>
      <c r="M205" s="832"/>
      <c r="N205" s="832"/>
      <c r="O205" s="48">
        <f>IF(t&lt;Tnet,'2024'!Resal+('2024'!Salim-'2024'!Resal)*(1-EXP(('2024'!Tnet-t)/('2024'!Tau_j))),Resal+(Salim-Resal)*(1-EXP((Tnet-t)/(Tau_j))))*Salcycl</f>
        <v>1.591912690221001E-2</v>
      </c>
      <c r="P205" s="169">
        <f>(INDEX(Models!$BJ205:$BT205,,T205)*(1-R205)+INDEX(Models!$BJ205:$BT205,,T205+1)*R205-ERP_i)*Q205*Ramure*Pc/MaxiM</f>
        <v>3.466870101058783E-4</v>
      </c>
      <c r="Q205" s="304">
        <f t="shared" si="53"/>
        <v>0.6</v>
      </c>
      <c r="R205" s="177">
        <f t="shared" si="54"/>
        <v>0.88624401988965706</v>
      </c>
      <c r="S205" s="799">
        <f t="shared" si="55"/>
        <v>1</v>
      </c>
      <c r="T205" s="176">
        <f t="shared" si="56"/>
        <v>7</v>
      </c>
      <c r="U205" s="250">
        <f t="shared" si="57"/>
        <v>1.8862440198896571</v>
      </c>
      <c r="V205" s="382">
        <f t="shared" si="58"/>
        <v>58.159056636848419</v>
      </c>
      <c r="W205" s="400">
        <f t="shared" si="59"/>
        <v>57.632270365499174</v>
      </c>
      <c r="X205" s="157">
        <f t="shared" si="60"/>
        <v>45848</v>
      </c>
      <c r="Y205" s="383">
        <f t="shared" si="61"/>
        <v>54.555731047364127</v>
      </c>
      <c r="Z205" s="383">
        <f t="shared" si="62"/>
        <v>57.087559279013178</v>
      </c>
      <c r="AA205" s="384">
        <f t="shared" si="63"/>
        <v>61.28243786990609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6.8451561927057231E-2</v>
      </c>
      <c r="AD205" s="230">
        <f>(INDEX(Models!$BJ205:$BT205,,AH205)*(1-AF205)+INDEX(Models!$BJ205:$BT205,,AH205+1)*AF205-ERP_i)*AE205*Ramure*Pc/MaxiM</f>
        <v>3.466870101058783E-4</v>
      </c>
      <c r="AE205" s="304">
        <f t="shared" si="65"/>
        <v>0.6</v>
      </c>
      <c r="AF205" s="177">
        <f t="shared" si="66"/>
        <v>0.88624401988965706</v>
      </c>
      <c r="AG205" s="799">
        <f t="shared" si="74"/>
        <v>1</v>
      </c>
      <c r="AH205" s="176">
        <f t="shared" si="67"/>
        <v>7</v>
      </c>
      <c r="AI205" s="224">
        <f t="shared" si="68"/>
        <v>1.8862440198896571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'2024'!Wh/'2024'!Env_an*'2025'!Env_an</f>
        <v>56.117193809182965</v>
      </c>
      <c r="C206" s="829"/>
      <c r="D206" s="391">
        <f t="shared" si="50"/>
        <v>58.722611978014747</v>
      </c>
      <c r="E206" s="383">
        <f t="shared" si="75"/>
        <v>59.678859677927235</v>
      </c>
      <c r="F206" s="383">
        <f t="shared" si="51"/>
        <v>59.698961680507175</v>
      </c>
      <c r="G206" s="110">
        <f t="shared" si="76"/>
        <v>0.96630689432078376</v>
      </c>
      <c r="H206" s="412" t="b">
        <f>Wh_hp&gt;='2024'!Maxi_hp</f>
        <v>0</v>
      </c>
      <c r="I206" s="388">
        <f>IF(H206,Wh_hp,'2024'!Maxi_hp)</f>
        <v>60.983970970198122</v>
      </c>
      <c r="J206" s="85">
        <f>IF(H206,An,'2024'!An_max)</f>
        <v>2018</v>
      </c>
      <c r="K206" s="197">
        <f t="shared" si="52"/>
        <v>45849</v>
      </c>
      <c r="L206" s="147">
        <f>IF(t&lt;Tvie,1-EXP((T0-t)*PertePVj)+'2024'!Pspv,1-EXP((T0-t)*PertePVj)+Pspv)</f>
        <v>4.4368226839215374E-2</v>
      </c>
      <c r="M206" s="832"/>
      <c r="N206" s="832"/>
      <c r="O206" s="48">
        <f>IF(t&lt;Tnet,'2024'!Resal+('2024'!Salim-'2024'!Resal)*(1-EXP(('2024'!Tnet-t)/('2024'!Tau_j))),Resal+(Salim-Resal)*(1-EXP((Tnet-t)/(Tau_j))))*Salcycl</f>
        <v>1.6023223383843641E-2</v>
      </c>
      <c r="P206" s="169">
        <f>(INDEX(Models!$BJ206:$BT206,,T206)*(1-R206)+INDEX(Models!$BJ206:$BT206,,T206+1)*R206-ERP_i)*Q206*Ramure*Pc/MaxiM</f>
        <v>3.5374112885702301E-4</v>
      </c>
      <c r="Q206" s="304">
        <f t="shared" si="53"/>
        <v>0.6</v>
      </c>
      <c r="R206" s="177">
        <f t="shared" si="54"/>
        <v>0.8898003209480212</v>
      </c>
      <c r="S206" s="799">
        <f t="shared" si="55"/>
        <v>1</v>
      </c>
      <c r="T206" s="176">
        <f t="shared" si="56"/>
        <v>7</v>
      </c>
      <c r="U206" s="250">
        <f t="shared" si="57"/>
        <v>1.8898003209480212</v>
      </c>
      <c r="V206" s="382">
        <f t="shared" si="58"/>
        <v>58.072894643958826</v>
      </c>
      <c r="W206" s="400">
        <f t="shared" si="59"/>
        <v>56.117193809182965</v>
      </c>
      <c r="X206" s="157">
        <f t="shared" si="60"/>
        <v>45849</v>
      </c>
      <c r="Y206" s="383">
        <f t="shared" si="61"/>
        <v>53.123927424628931</v>
      </c>
      <c r="Z206" s="383">
        <f t="shared" si="62"/>
        <v>55.59037373665354</v>
      </c>
      <c r="AA206" s="384">
        <f t="shared" si="63"/>
        <v>59.678859677927235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6.8508110968243885E-2</v>
      </c>
      <c r="AD206" s="230">
        <f>(INDEX(Models!$BJ206:$BT206,,AH206)*(1-AF206)+INDEX(Models!$BJ206:$BT206,,AH206+1)*AF206-ERP_i)*AE206*Ramure*Pc/MaxiM</f>
        <v>3.5374112885702301E-4</v>
      </c>
      <c r="AE206" s="304">
        <f t="shared" si="65"/>
        <v>0.6</v>
      </c>
      <c r="AF206" s="177">
        <f t="shared" si="66"/>
        <v>0.8898003209480212</v>
      </c>
      <c r="AG206" s="799">
        <f t="shared" si="74"/>
        <v>1</v>
      </c>
      <c r="AH206" s="176">
        <f t="shared" si="67"/>
        <v>7</v>
      </c>
      <c r="AI206" s="224">
        <f t="shared" si="68"/>
        <v>1.8898003209480212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'2024'!Wh/'2024'!Env_an*'2025'!Env_an</f>
        <v>55.872919196770212</v>
      </c>
      <c r="C207" s="829"/>
      <c r="D207" s="391">
        <f t="shared" ref="D207:D270" si="77">Wh/(1-Ppv)</f>
        <v>58.468116672425722</v>
      </c>
      <c r="E207" s="383">
        <f t="shared" si="75"/>
        <v>59.426491584153332</v>
      </c>
      <c r="F207" s="383">
        <f t="shared" ref="F207:F270" si="78">Wh_sa/(1-Pvg*MEDIAN((-Sdif+Wh/Env_an)/Csdif,0,1))</f>
        <v>59.446835858490331</v>
      </c>
      <c r="G207" s="110">
        <f t="shared" si="76"/>
        <v>0.96354296108349113</v>
      </c>
      <c r="H207" s="412" t="b">
        <f>Wh_hp&gt;='2024'!Maxi_hp</f>
        <v>0</v>
      </c>
      <c r="I207" s="388">
        <f>IF(H207,Wh_hp,'2024'!Maxi_hp)</f>
        <v>61.397076269848142</v>
      </c>
      <c r="J207" s="85">
        <f>IF(H207,An,'2024'!An_max)</f>
        <v>2018</v>
      </c>
      <c r="K207" s="197">
        <f t="shared" ref="K207:K270" si="79">t</f>
        <v>45850</v>
      </c>
      <c r="L207" s="147">
        <f>IF(t&lt;Tvie,1-EXP((T0-t)*PertePVj)+'2024'!Pspv,1-EXP((T0-t)*PertePVj)+Pspv)</f>
        <v>4.4386541304133331E-2</v>
      </c>
      <c r="M207" s="832"/>
      <c r="N207" s="832"/>
      <c r="O207" s="48">
        <f>IF(t&lt;Tnet,'2024'!Resal+('2024'!Salim-'2024'!Resal)*(1-EXP(('2024'!Tnet-t)/('2024'!Tau_j))),Resal+(Salim-Resal)*(1-EXP((Tnet-t)/(Tau_j))))*Salcycl</f>
        <v>1.6127065323559665E-2</v>
      </c>
      <c r="P207" s="169">
        <f>(INDEX(Models!$BJ207:$BT207,,T207)*(1-R207)+INDEX(Models!$BJ207:$BT207,,T207+1)*R207-ERP_i)*Q207*Ramure*Pc/MaxiM</f>
        <v>3.6101944772212003E-4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0.8932753144947394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1.8932753144947394</v>
      </c>
      <c r="V207" s="382">
        <f t="shared" ref="V207:V270" si="85">MaxiM*(1-Ppv)*(1-Pvg)*(1-Psa)</f>
        <v>57.985861626641466</v>
      </c>
      <c r="W207" s="400">
        <f t="shared" ref="W207:W270" si="86">Wh*(A207&gt;Tmaj)</f>
        <v>55.872919196770212</v>
      </c>
      <c r="X207" s="157">
        <f t="shared" ref="X207:X270" si="87">t</f>
        <v>45850</v>
      </c>
      <c r="Y207" s="383">
        <f t="shared" ref="Y207:Y270" si="88">Wh_pvt_s*(1-Ppv)</f>
        <v>52.895097752565881</v>
      </c>
      <c r="Z207" s="383">
        <f t="shared" ref="Z207:Z270" si="89">Wh_sa_s*(1-Psa_s)</f>
        <v>55.351980731573455</v>
      </c>
      <c r="AA207" s="384">
        <f t="shared" ref="AA207:AA270" si="90">Wh_hp*(1-Pvg_s*MEDIAN((-Sdif+Wh/Env_an)/Csdif,0,1))</f>
        <v>59.426491584153332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6.8563880248760742E-2</v>
      </c>
      <c r="AD207" s="230">
        <f>(INDEX(Models!$BJ207:$BT207,,AH207)*(1-AF207)+INDEX(Models!$BJ207:$BT207,,AH207+1)*AF207-ERP_i)*AE207*Ramure*Pc/MaxiM</f>
        <v>3.6101944772212003E-4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0.8932753144947394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1.8932753144947394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'2024'!Wh/'2024'!Env_an*'2025'!Env_an</f>
        <v>55.58755592801883</v>
      </c>
      <c r="C208" s="829"/>
      <c r="D208" s="391">
        <f t="shared" si="77"/>
        <v>58.170613615180692</v>
      </c>
      <c r="E208" s="383">
        <f t="shared" si="75"/>
        <v>59.130337895125223</v>
      </c>
      <c r="F208" s="383">
        <f t="shared" si="78"/>
        <v>59.150893953362726</v>
      </c>
      <c r="G208" s="110">
        <f t="shared" si="76"/>
        <v>0.9600785305271623</v>
      </c>
      <c r="H208" s="412" t="b">
        <f>Wh_hp&gt;='2024'!Maxi_hp</f>
        <v>0</v>
      </c>
      <c r="I208" s="388">
        <f>IF(H208,Wh_hp,'2024'!Maxi_hp)</f>
        <v>59.151654034195076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4.4404855418058831E-2</v>
      </c>
      <c r="M208" s="832"/>
      <c r="N208" s="832"/>
      <c r="O208" s="48">
        <f>IF(t&lt;Tnet,'2024'!Resal+('2024'!Salim-'2024'!Resal)*(1-EXP(('2024'!Tnet-t)/('2024'!Tau_j))),Resal+(Salim-Resal)*(1-EXP((Tnet-t)/(Tau_j))))*Salcycl</f>
        <v>1.6230657799499112E-2</v>
      </c>
      <c r="P208" s="169">
        <f>(INDEX(Models!$BJ208:$BT208,,T208)*(1-R208)+INDEX(Models!$BJ208:$BT208,,T208+1)*R208-ERP_i)*Q208*Ramure*Pc/MaxiM</f>
        <v>3.6852561998072022E-4</v>
      </c>
      <c r="Q208" s="304">
        <f t="shared" si="80"/>
        <v>0.6</v>
      </c>
      <c r="R208" s="177">
        <f t="shared" si="81"/>
        <v>0.89666892371208484</v>
      </c>
      <c r="S208" s="799">
        <f t="shared" si="82"/>
        <v>1</v>
      </c>
      <c r="T208" s="176">
        <f t="shared" si="83"/>
        <v>7</v>
      </c>
      <c r="U208" s="250">
        <f t="shared" si="84"/>
        <v>1.8966689237120848</v>
      </c>
      <c r="V208" s="382">
        <f t="shared" si="85"/>
        <v>57.897751118016672</v>
      </c>
      <c r="W208" s="400">
        <f t="shared" si="86"/>
        <v>55.58755592801883</v>
      </c>
      <c r="X208" s="157">
        <f t="shared" si="87"/>
        <v>45851</v>
      </c>
      <c r="Y208" s="383">
        <f t="shared" si="88"/>
        <v>52.627375723269736</v>
      </c>
      <c r="Z208" s="383">
        <f t="shared" si="89"/>
        <v>55.072878950524007</v>
      </c>
      <c r="AA208" s="384">
        <f t="shared" si="90"/>
        <v>59.130337895125223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6.8618903409576479E-2</v>
      </c>
      <c r="AD208" s="230">
        <f>(INDEX(Models!$BJ208:$BT208,,AH208)*(1-AF208)+INDEX(Models!$BJ208:$BT208,,AH208+1)*AF208-ERP_i)*AE208*Ramure*Pc/MaxiM</f>
        <v>3.6852561998072022E-4</v>
      </c>
      <c r="AE208" s="304">
        <f t="shared" si="92"/>
        <v>0.6</v>
      </c>
      <c r="AF208" s="177">
        <f t="shared" si="93"/>
        <v>0.89666892371208484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1.8966689237120848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'2024'!Wh/'2024'!Env_an*'2025'!Env_an</f>
        <v>55.004805116770505</v>
      </c>
      <c r="C209" s="829"/>
      <c r="D209" s="391">
        <f t="shared" si="77"/>
        <v>57.56188654095687</v>
      </c>
      <c r="E209" s="383">
        <f t="shared" si="75"/>
        <v>58.517715259630961</v>
      </c>
      <c r="F209" s="383">
        <f t="shared" si="78"/>
        <v>58.538215061774082</v>
      </c>
      <c r="G209" s="110">
        <f t="shared" si="76"/>
        <v>0.95147784569829652</v>
      </c>
      <c r="H209" s="412" t="b">
        <f>Wh_hp&gt;='2024'!Maxi_hp</f>
        <v>0</v>
      </c>
      <c r="I209" s="388">
        <f>IF(H209,Wh_hp,'2024'!Maxi_hp)</f>
        <v>61.162094530225126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4.4423169180998423E-2</v>
      </c>
      <c r="M209" s="832"/>
      <c r="N209" s="832"/>
      <c r="O209" s="48">
        <f>IF(t&lt;Tnet,'2024'!Resal+('2024'!Salim-'2024'!Resal)*(1-EXP(('2024'!Tnet-t)/('2024'!Tau_j))),Resal+(Salim-Resal)*(1-EXP((Tnet-t)/(Tau_j))))*Salcycl</f>
        <v>1.6334006111367854E-2</v>
      </c>
      <c r="P209" s="169">
        <f>(INDEX(Models!$BJ209:$BT209,,T209)*(1-R209)+INDEX(Models!$BJ209:$BT209,,T209+1)*R209-ERP_i)*Q209*Ramure*Pc/MaxiM</f>
        <v>3.7626345706120475E-4</v>
      </c>
      <c r="Q209" s="304">
        <f t="shared" si="80"/>
        <v>0.6</v>
      </c>
      <c r="R209" s="177">
        <f t="shared" si="81"/>
        <v>0.89998120951021776</v>
      </c>
      <c r="S209" s="799">
        <f t="shared" si="82"/>
        <v>1</v>
      </c>
      <c r="T209" s="176">
        <f t="shared" si="83"/>
        <v>7</v>
      </c>
      <c r="U209" s="250">
        <f t="shared" si="84"/>
        <v>1.8999812095102178</v>
      </c>
      <c r="V209" s="382">
        <f t="shared" si="85"/>
        <v>57.808356740969977</v>
      </c>
      <c r="W209" s="400">
        <f t="shared" si="86"/>
        <v>55.004805116770505</v>
      </c>
      <c r="X209" s="157">
        <f t="shared" si="87"/>
        <v>45852</v>
      </c>
      <c r="Y209" s="383">
        <f t="shared" si="88"/>
        <v>52.078092228667963</v>
      </c>
      <c r="Z209" s="383">
        <f t="shared" si="89"/>
        <v>54.49911566402578</v>
      </c>
      <c r="AA209" s="384">
        <f t="shared" si="90"/>
        <v>58.517715259630961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6.8673214218557474E-2</v>
      </c>
      <c r="AD209" s="230">
        <f>(INDEX(Models!$BJ209:$BT209,,AH209)*(1-AF209)+INDEX(Models!$BJ209:$BT209,,AH209+1)*AF209-ERP_i)*AE209*Ramure*Pc/MaxiM</f>
        <v>3.7626345706120475E-4</v>
      </c>
      <c r="AE209" s="304">
        <f t="shared" si="92"/>
        <v>0.6</v>
      </c>
      <c r="AF209" s="177">
        <f t="shared" si="93"/>
        <v>0.89998120951021776</v>
      </c>
      <c r="AG209" s="799">
        <f t="shared" si="99"/>
        <v>1</v>
      </c>
      <c r="AH209" s="176">
        <f t="shared" si="94"/>
        <v>7</v>
      </c>
      <c r="AI209" s="224">
        <f t="shared" si="95"/>
        <v>1.8999812095102178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'2024'!Wh/'2024'!Env_an*'2025'!Env_an</f>
        <v>53.188508625485355</v>
      </c>
      <c r="C210" s="829"/>
      <c r="D210" s="391">
        <f t="shared" si="77"/>
        <v>55.662220216314132</v>
      </c>
      <c r="E210" s="383">
        <f t="shared" si="75"/>
        <v>56.592436647138243</v>
      </c>
      <c r="F210" s="383">
        <f t="shared" si="78"/>
        <v>56.611750605379974</v>
      </c>
      <c r="G210" s="110">
        <f t="shared" si="76"/>
        <v>0.92149248545655893</v>
      </c>
      <c r="H210" s="412" t="b">
        <f>Wh_hp&gt;='2024'!Maxi_hp</f>
        <v>0</v>
      </c>
      <c r="I210" s="388">
        <f>IF(H210,Wh_hp,'2024'!Maxi_hp)</f>
        <v>62.506291921724774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4.4441482592958992E-2</v>
      </c>
      <c r="M210" s="832"/>
      <c r="N210" s="832"/>
      <c r="O210" s="48">
        <f>IF(t&lt;Tnet,'2024'!Resal+('2024'!Salim-'2024'!Resal)*(1-EXP(('2024'!Tnet-t)/('2024'!Tau_j))),Resal+(Salim-Resal)*(1-EXP((Tnet-t)/(Tau_j))))*Salcycl</f>
        <v>1.6437115733753269E-2</v>
      </c>
      <c r="P210" s="169">
        <f>(INDEX(Models!$BJ210:$BT210,,T210)*(1-R210)+INDEX(Models!$BJ210:$BT210,,T210+1)*R210-ERP_i)*Q210*Ramure*Pc/MaxiM</f>
        <v>3.8423694120036291E-4</v>
      </c>
      <c r="Q210" s="304">
        <f t="shared" si="80"/>
        <v>0.6</v>
      </c>
      <c r="R210" s="177">
        <f t="shared" si="81"/>
        <v>0.90321236391537019</v>
      </c>
      <c r="S210" s="799">
        <f t="shared" si="82"/>
        <v>1</v>
      </c>
      <c r="T210" s="176">
        <f t="shared" si="83"/>
        <v>7</v>
      </c>
      <c r="U210" s="250">
        <f t="shared" si="84"/>
        <v>1.9032123639153702</v>
      </c>
      <c r="V210" s="382">
        <f t="shared" si="85"/>
        <v>57.717472209975675</v>
      </c>
      <c r="W210" s="400">
        <f t="shared" si="86"/>
        <v>53.188508625485355</v>
      </c>
      <c r="X210" s="157">
        <f t="shared" si="87"/>
        <v>45853</v>
      </c>
      <c r="Y210" s="383">
        <f t="shared" si="88"/>
        <v>50.360816737338311</v>
      </c>
      <c r="Z210" s="383">
        <f t="shared" si="89"/>
        <v>52.703016947612035</v>
      </c>
      <c r="AA210" s="384">
        <f t="shared" si="90"/>
        <v>56.592436647138243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6.8726846376615428E-2</v>
      </c>
      <c r="AD210" s="230">
        <f>(INDEX(Models!$BJ210:$BT210,,AH210)*(1-AF210)+INDEX(Models!$BJ210:$BT210,,AH210+1)*AF210-ERP_i)*AE210*Ramure*Pc/MaxiM</f>
        <v>3.8423694120036291E-4</v>
      </c>
      <c r="AE210" s="304">
        <f t="shared" si="92"/>
        <v>0.6</v>
      </c>
      <c r="AF210" s="177">
        <f t="shared" si="93"/>
        <v>0.90321236391537019</v>
      </c>
      <c r="AG210" s="799">
        <f t="shared" si="99"/>
        <v>1</v>
      </c>
      <c r="AH210" s="176">
        <f t="shared" si="94"/>
        <v>7</v>
      </c>
      <c r="AI210" s="224">
        <f t="shared" si="95"/>
        <v>1.9032123639153702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'2024'!Wh/'2024'!Env_an*'2025'!Env_an</f>
        <v>54.734395828916085</v>
      </c>
      <c r="C211" s="829"/>
      <c r="D211" s="391">
        <f t="shared" si="77"/>
        <v>57.281101914884779</v>
      </c>
      <c r="E211" s="383">
        <f t="shared" si="75"/>
        <v>58.244464914310655</v>
      </c>
      <c r="F211" s="383">
        <f t="shared" si="78"/>
        <v>58.265692741919331</v>
      </c>
      <c r="G211" s="110">
        <f t="shared" si="76"/>
        <v>0.94981274153930118</v>
      </c>
      <c r="H211" s="412" t="b">
        <f>Wh_hp&gt;='2024'!Maxi_hp</f>
        <v>0</v>
      </c>
      <c r="I211" s="388">
        <f>IF(H211,Wh_hp,'2024'!Maxi_hp)</f>
        <v>60.8270261955942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4.4459795653947087E-2</v>
      </c>
      <c r="M211" s="832"/>
      <c r="N211" s="832"/>
      <c r="O211" s="48">
        <f>IF(t&lt;Tnet,'2024'!Resal+('2024'!Salim-'2024'!Resal)*(1-EXP(('2024'!Tnet-t)/('2024'!Tau_j))),Resal+(Salim-Resal)*(1-EXP((Tnet-t)/(Tau_j))))*Salcycl</f>
        <v>1.6539992269534658E-2</v>
      </c>
      <c r="P211" s="169">
        <f>(INDEX(Models!$BJ211:$BT211,,T211)*(1-R211)+INDEX(Models!$BJ211:$BT211,,T211+1)*R211-ERP_i)*Q211*Ramure*Pc/MaxiM</f>
        <v>3.9245023777984586E-4</v>
      </c>
      <c r="Q211" s="304">
        <f t="shared" si="80"/>
        <v>0.6</v>
      </c>
      <c r="R211" s="177">
        <f t="shared" si="81"/>
        <v>0.90636270327671165</v>
      </c>
      <c r="S211" s="799">
        <f t="shared" si="82"/>
        <v>1</v>
      </c>
      <c r="T211" s="176">
        <f t="shared" si="83"/>
        <v>7</v>
      </c>
      <c r="U211" s="250">
        <f t="shared" si="84"/>
        <v>1.9063627032767116</v>
      </c>
      <c r="V211" s="382">
        <f t="shared" si="85"/>
        <v>57.624891333386529</v>
      </c>
      <c r="W211" s="400">
        <f t="shared" si="86"/>
        <v>54.734395828916085</v>
      </c>
      <c r="X211" s="157">
        <f t="shared" si="87"/>
        <v>45854</v>
      </c>
      <c r="Y211" s="383">
        <f t="shared" si="88"/>
        <v>51.826991240829784</v>
      </c>
      <c r="Z211" s="383">
        <f t="shared" si="89"/>
        <v>54.238420325075531</v>
      </c>
      <c r="AA211" s="384">
        <f t="shared" si="90"/>
        <v>58.244464914310655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6.8779833330580353E-2</v>
      </c>
      <c r="AD211" s="230">
        <f>(INDEX(Models!$BJ211:$BT211,,AH211)*(1-AF211)+INDEX(Models!$BJ211:$BT211,,AH211+1)*AF211-ERP_i)*AE211*Ramure*Pc/MaxiM</f>
        <v>3.9245023777984586E-4</v>
      </c>
      <c r="AE211" s="304">
        <f t="shared" si="92"/>
        <v>0.6</v>
      </c>
      <c r="AF211" s="177">
        <f t="shared" si="93"/>
        <v>0.90636270327671165</v>
      </c>
      <c r="AG211" s="799">
        <f t="shared" si="99"/>
        <v>1</v>
      </c>
      <c r="AH211" s="176">
        <f t="shared" si="94"/>
        <v>7</v>
      </c>
      <c r="AI211" s="224">
        <f t="shared" si="95"/>
        <v>1.9063627032767116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'2024'!Wh/'2024'!Env_an*'2025'!Env_an</f>
        <v>54.251429987589034</v>
      </c>
      <c r="C212" s="829"/>
      <c r="D212" s="391">
        <f t="shared" si="77"/>
        <v>56.776752539599642</v>
      </c>
      <c r="E212" s="383">
        <f t="shared" si="75"/>
        <v>57.737659705571772</v>
      </c>
      <c r="F212" s="383">
        <f t="shared" si="78"/>
        <v>57.758929782825895</v>
      </c>
      <c r="G212" s="110">
        <f t="shared" si="76"/>
        <v>0.9429736344251306</v>
      </c>
      <c r="H212" s="412" t="b">
        <f>Wh_hp&gt;='2024'!Maxi_hp</f>
        <v>0</v>
      </c>
      <c r="I212" s="388">
        <f>IF(H212,Wh_hp,'2024'!Maxi_hp)</f>
        <v>61.26677577265081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4.4478108363969704E-2</v>
      </c>
      <c r="M212" s="832"/>
      <c r="N212" s="832"/>
      <c r="O212" s="48">
        <f>IF(t&lt;Tnet,'2024'!Resal+('2024'!Salim-'2024'!Resal)*(1-EXP(('2024'!Tnet-t)/('2024'!Tau_j))),Resal+(Salim-Resal)*(1-EXP((Tnet-t)/(Tau_j))))*Salcycl</f>
        <v>1.664264140375956E-2</v>
      </c>
      <c r="P212" s="169">
        <f>(INDEX(Models!$BJ212:$BT212,,T212)*(1-R212)+INDEX(Models!$BJ212:$BT212,,T212+1)*R212-ERP_i)*Q212*Ramure*Pc/MaxiM</f>
        <v>4.0089810786676501E-4</v>
      </c>
      <c r="Q212" s="304">
        <f t="shared" si="80"/>
        <v>0.6</v>
      </c>
      <c r="R212" s="177">
        <f t="shared" si="81"/>
        <v>0.90943266134328793</v>
      </c>
      <c r="S212" s="799">
        <f t="shared" si="82"/>
        <v>1</v>
      </c>
      <c r="T212" s="176">
        <f t="shared" si="83"/>
        <v>7</v>
      </c>
      <c r="U212" s="250">
        <f t="shared" si="84"/>
        <v>1.9094326613432879</v>
      </c>
      <c r="V212" s="382">
        <f t="shared" si="85"/>
        <v>57.530408569452398</v>
      </c>
      <c r="W212" s="400">
        <f t="shared" si="86"/>
        <v>54.251429987589034</v>
      </c>
      <c r="X212" s="157">
        <f t="shared" si="87"/>
        <v>45855</v>
      </c>
      <c r="Y212" s="383">
        <f t="shared" si="88"/>
        <v>51.372152582860352</v>
      </c>
      <c r="Z212" s="383">
        <f t="shared" si="89"/>
        <v>53.763449097855542</v>
      </c>
      <c r="AA212" s="384">
        <f t="shared" si="90"/>
        <v>57.737659705571772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6.8832208094030373E-2</v>
      </c>
      <c r="AD212" s="230">
        <f>(INDEX(Models!$BJ212:$BT212,,AH212)*(1-AF212)+INDEX(Models!$BJ212:$BT212,,AH212+1)*AF212-ERP_i)*AE212*Ramure*Pc/MaxiM</f>
        <v>4.0089810786676501E-4</v>
      </c>
      <c r="AE212" s="304">
        <f t="shared" si="92"/>
        <v>0.6</v>
      </c>
      <c r="AF212" s="177">
        <f t="shared" si="93"/>
        <v>0.90943266134328793</v>
      </c>
      <c r="AG212" s="799">
        <f t="shared" si="99"/>
        <v>1</v>
      </c>
      <c r="AH212" s="176">
        <f t="shared" si="94"/>
        <v>7</v>
      </c>
      <c r="AI212" s="224">
        <f t="shared" si="95"/>
        <v>1.9094326613432879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'2024'!Wh/'2024'!Env_an*'2025'!Env_an</f>
        <v>55.227936749800726</v>
      </c>
      <c r="C213" s="829"/>
      <c r="D213" s="391">
        <f t="shared" si="77"/>
        <v>57.799821944771701</v>
      </c>
      <c r="E213" s="383">
        <f t="shared" si="75"/>
        <v>58.784166866735809</v>
      </c>
      <c r="F213" s="383">
        <f t="shared" si="78"/>
        <v>58.806928908803876</v>
      </c>
      <c r="G213" s="110">
        <f t="shared" si="76"/>
        <v>0.96157097809539904</v>
      </c>
      <c r="H213" s="412" t="b">
        <f>Wh_hp&gt;='2024'!Maxi_hp</f>
        <v>0</v>
      </c>
      <c r="I213" s="388">
        <f>IF(H213,Wh_hp,'2024'!Maxi_hp)</f>
        <v>58.807726124673266</v>
      </c>
      <c r="J213" s="85">
        <f>IF(H213,An,'2024'!An_max)</f>
        <v>2022</v>
      </c>
      <c r="K213" s="197">
        <f t="shared" si="79"/>
        <v>45856</v>
      </c>
      <c r="L213" s="147">
        <f>IF(t&lt;Tvie,1-EXP((T0-t)*PertePVj)+'2024'!Pspv,1-EXP((T0-t)*PertePVj)+Pspv)</f>
        <v>4.4496420723033281E-2</v>
      </c>
      <c r="M213" s="832"/>
      <c r="N213" s="832"/>
      <c r="O213" s="48">
        <f>IF(t&lt;Tnet,'2024'!Resal+('2024'!Salim-'2024'!Resal)*(1-EXP(('2024'!Tnet-t)/('2024'!Tau_j))),Resal+(Salim-Resal)*(1-EXP((Tnet-t)/(Tau_j))))*Salcycl</f>
        <v>1.6745068858348023E-2</v>
      </c>
      <c r="P213" s="169">
        <f>(INDEX(Models!$BJ213:$BT213,,T213)*(1-R213)+INDEX(Models!$BJ213:$BT213,,T213+1)*R213-ERP_i)*Q213*Ramure*Pc/MaxiM</f>
        <v>4.0953415461572048E-4</v>
      </c>
      <c r="Q213" s="304">
        <f t="shared" si="80"/>
        <v>0.6</v>
      </c>
      <c r="R213" s="177">
        <f t="shared" si="81"/>
        <v>0.91242278225957829</v>
      </c>
      <c r="S213" s="799">
        <f t="shared" si="82"/>
        <v>1</v>
      </c>
      <c r="T213" s="176">
        <f t="shared" si="83"/>
        <v>7</v>
      </c>
      <c r="U213" s="250">
        <f t="shared" si="84"/>
        <v>1.9124227822595783</v>
      </c>
      <c r="V213" s="382">
        <f t="shared" si="85"/>
        <v>57.433820845455273</v>
      </c>
      <c r="W213" s="400">
        <f t="shared" si="86"/>
        <v>55.227936749800726</v>
      </c>
      <c r="X213" s="157">
        <f t="shared" si="87"/>
        <v>45856</v>
      </c>
      <c r="Y213" s="383">
        <f t="shared" si="88"/>
        <v>52.29937196965939</v>
      </c>
      <c r="Z213" s="383">
        <f t="shared" si="89"/>
        <v>54.734878135395924</v>
      </c>
      <c r="AA213" s="384">
        <f t="shared" si="90"/>
        <v>58.784166866735809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6.8884003077217273E-2</v>
      </c>
      <c r="AD213" s="230">
        <f>(INDEX(Models!$BJ213:$BT213,,AH213)*(1-AF213)+INDEX(Models!$BJ213:$BT213,,AH213+1)*AF213-ERP_i)*AE213*Ramure*Pc/MaxiM</f>
        <v>4.0953415461572048E-4</v>
      </c>
      <c r="AE213" s="304">
        <f t="shared" si="92"/>
        <v>0.6</v>
      </c>
      <c r="AF213" s="177">
        <f t="shared" si="93"/>
        <v>0.91242278225957829</v>
      </c>
      <c r="AG213" s="799">
        <f t="shared" si="99"/>
        <v>1</v>
      </c>
      <c r="AH213" s="176">
        <f t="shared" si="94"/>
        <v>7</v>
      </c>
      <c r="AI213" s="224">
        <f t="shared" si="95"/>
        <v>1.9124227822595783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'2024'!Wh/'2024'!Env_an*'2025'!Env_an</f>
        <v>45.637104406367655</v>
      </c>
      <c r="C214" s="829"/>
      <c r="D214" s="391">
        <f t="shared" si="77"/>
        <v>47.763273772725</v>
      </c>
      <c r="E214" s="383">
        <f t="shared" si="75"/>
        <v>48.581744034263714</v>
      </c>
      <c r="F214" s="383">
        <f t="shared" si="78"/>
        <v>48.596149113748396</v>
      </c>
      <c r="G214" s="110">
        <f t="shared" si="76"/>
        <v>0.79587685881733128</v>
      </c>
      <c r="H214" s="412" t="b">
        <f>Wh_hp&gt;='2024'!Maxi_hp</f>
        <v>0</v>
      </c>
      <c r="I214" s="388">
        <f>IF(H214,Wh_hp,'2024'!Maxi_hp)</f>
        <v>60.996282625351171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4.4514732731144702E-2</v>
      </c>
      <c r="M214" s="832"/>
      <c r="N214" s="832"/>
      <c r="O214" s="48">
        <f>IF(t&lt;Tnet,'2024'!Resal+('2024'!Salim-'2024'!Resal)*(1-EXP(('2024'!Tnet-t)/('2024'!Tau_j))),Resal+(Salim-Resal)*(1-EXP((Tnet-t)/(Tau_j))))*Salcycl</f>
        <v>1.6847280347973084E-2</v>
      </c>
      <c r="P214" s="169">
        <f>(INDEX(Models!$BJ214:$BT214,,T214)*(1-R214)+INDEX(Models!$BJ214:$BT214,,T214+1)*R214-ERP_i)*Q214*Ramure*Pc/MaxiM</f>
        <v>4.1836272066342653E-4</v>
      </c>
      <c r="Q214" s="304">
        <f t="shared" si="80"/>
        <v>0.6</v>
      </c>
      <c r="R214" s="177">
        <f t="shared" si="81"/>
        <v>0.91533371352514203</v>
      </c>
      <c r="S214" s="799">
        <f t="shared" si="82"/>
        <v>1</v>
      </c>
      <c r="T214" s="176">
        <f t="shared" si="83"/>
        <v>7</v>
      </c>
      <c r="U214" s="250">
        <f t="shared" si="84"/>
        <v>1.915333713525142</v>
      </c>
      <c r="V214" s="382">
        <f t="shared" si="85"/>
        <v>57.334922273875662</v>
      </c>
      <c r="W214" s="400">
        <f t="shared" si="86"/>
        <v>45.637104406367655</v>
      </c>
      <c r="X214" s="157">
        <f t="shared" si="87"/>
        <v>45857</v>
      </c>
      <c r="Y214" s="383">
        <f t="shared" si="88"/>
        <v>43.21922561858289</v>
      </c>
      <c r="Z214" s="383">
        <f t="shared" si="89"/>
        <v>45.23274936736604</v>
      </c>
      <c r="AA214" s="384">
        <f t="shared" si="90"/>
        <v>48.581744034263714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6.8935249927126879E-2</v>
      </c>
      <c r="AD214" s="230">
        <f>(INDEX(Models!$BJ214:$BT214,,AH214)*(1-AF214)+INDEX(Models!$BJ214:$BT214,,AH214+1)*AF214-ERP_i)*AE214*Ramure*Pc/MaxiM</f>
        <v>4.1836272066342653E-4</v>
      </c>
      <c r="AE214" s="304">
        <f t="shared" si="92"/>
        <v>0.6</v>
      </c>
      <c r="AF214" s="177">
        <f t="shared" si="93"/>
        <v>0.91533371352514203</v>
      </c>
      <c r="AG214" s="799">
        <f t="shared" si="99"/>
        <v>1</v>
      </c>
      <c r="AH214" s="176">
        <f t="shared" si="94"/>
        <v>7</v>
      </c>
      <c r="AI214" s="224">
        <f t="shared" si="95"/>
        <v>1.915333713525142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'2024'!Wh/'2024'!Env_an*'2025'!Env_an</f>
        <v>45.190448358643039</v>
      </c>
      <c r="C215" s="829"/>
      <c r="D215" s="391">
        <f t="shared" si="77"/>
        <v>47.29671507028953</v>
      </c>
      <c r="E215" s="383">
        <f t="shared" si="75"/>
        <v>48.112181988188297</v>
      </c>
      <c r="F215" s="383">
        <f t="shared" si="78"/>
        <v>48.126567770375026</v>
      </c>
      <c r="G215" s="110">
        <f t="shared" si="76"/>
        <v>0.78947880699316886</v>
      </c>
      <c r="H215" s="412" t="b">
        <f>Wh_hp&gt;='2024'!Maxi_hp</f>
        <v>0</v>
      </c>
      <c r="I215" s="388">
        <f>IF(H215,Wh_hp,'2024'!Maxi_hp)</f>
        <v>59.776097909915435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4.4533044388310739E-2</v>
      </c>
      <c r="M215" s="832"/>
      <c r="N215" s="832"/>
      <c r="O215" s="48">
        <f>IF(t&lt;Tnet,'2024'!Resal+('2024'!Salim-'2024'!Resal)*(1-EXP(('2024'!Tnet-t)/('2024'!Tau_j))),Resal+(Salim-Resal)*(1-EXP((Tnet-t)/(Tau_j))))*Salcycl</f>
        <v>1.6949281537448697E-2</v>
      </c>
      <c r="P215" s="169">
        <f>(INDEX(Models!$BJ215:$BT215,,T215)*(1-R215)+INDEX(Models!$BJ215:$BT215,,T215+1)*R215-ERP_i)*Q215*Ramure*Pc/MaxiM</f>
        <v>4.2738838617574861E-4</v>
      </c>
      <c r="Q215" s="304">
        <f t="shared" si="80"/>
        <v>0.6</v>
      </c>
      <c r="R215" s="177">
        <f t="shared" si="81"/>
        <v>0.91816619896057716</v>
      </c>
      <c r="S215" s="799">
        <f t="shared" si="82"/>
        <v>1</v>
      </c>
      <c r="T215" s="176">
        <f t="shared" si="83"/>
        <v>7</v>
      </c>
      <c r="U215" s="250">
        <f t="shared" si="84"/>
        <v>1.9181661989605772</v>
      </c>
      <c r="V215" s="382">
        <f t="shared" si="85"/>
        <v>57.233507068120637</v>
      </c>
      <c r="W215" s="400">
        <f t="shared" si="86"/>
        <v>45.190448358643039</v>
      </c>
      <c r="X215" s="157">
        <f t="shared" si="87"/>
        <v>45858</v>
      </c>
      <c r="Y215" s="383">
        <f t="shared" si="88"/>
        <v>42.798342170853815</v>
      </c>
      <c r="Z215" s="383">
        <f t="shared" si="89"/>
        <v>44.793115993691636</v>
      </c>
      <c r="AA215" s="384">
        <f t="shared" si="90"/>
        <v>48.112181988188297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6.8985979378601098E-2</v>
      </c>
      <c r="AD215" s="230">
        <f>(INDEX(Models!$BJ215:$BT215,,AH215)*(1-AF215)+INDEX(Models!$BJ215:$BT215,,AH215+1)*AF215-ERP_i)*AE215*Ramure*Pc/MaxiM</f>
        <v>4.2738838617574861E-4</v>
      </c>
      <c r="AE215" s="304">
        <f t="shared" si="92"/>
        <v>0.6</v>
      </c>
      <c r="AF215" s="177">
        <f t="shared" si="93"/>
        <v>0.91816619896057716</v>
      </c>
      <c r="AG215" s="799">
        <f t="shared" si="99"/>
        <v>1</v>
      </c>
      <c r="AH215" s="176">
        <f t="shared" si="94"/>
        <v>7</v>
      </c>
      <c r="AI215" s="224">
        <f t="shared" si="95"/>
        <v>1.9181661989605772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'2024'!Wh/'2024'!Env_an*'2025'!Env_an</f>
        <v>53.439605968389586</v>
      </c>
      <c r="C216" s="829"/>
      <c r="D216" s="391">
        <f t="shared" si="77"/>
        <v>55.931426860975961</v>
      </c>
      <c r="E216" s="383">
        <f t="shared" si="75"/>
        <v>56.901661530108662</v>
      </c>
      <c r="F216" s="383">
        <f t="shared" si="78"/>
        <v>56.924222376779447</v>
      </c>
      <c r="G216" s="110">
        <f t="shared" si="76"/>
        <v>0.93537619512687331</v>
      </c>
      <c r="H216" s="412" t="b">
        <f>Wh_hp&gt;='2024'!Maxi_hp</f>
        <v>0</v>
      </c>
      <c r="I216" s="388">
        <f>IF(H216,Wh_hp,'2024'!Maxi_hp)</f>
        <v>56.925596291857346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4.4551355694537942E-2</v>
      </c>
      <c r="M216" s="832"/>
      <c r="N216" s="832"/>
      <c r="O216" s="48">
        <f>IF(t&lt;Tnet,'2024'!Resal+('2024'!Salim-'2024'!Resal)*(1-EXP(('2024'!Tnet-t)/('2024'!Tau_j))),Resal+(Salim-Resal)*(1-EXP((Tnet-t)/(Tau_j))))*Salcycl</f>
        <v>1.705107800093527E-2</v>
      </c>
      <c r="P216" s="169">
        <f>(INDEX(Models!$BJ216:$BT216,,T216)*(1-R216)+INDEX(Models!$BJ216:$BT216,,T216+1)*R216-ERP_i)*Q216*Ramure*Pc/MaxiM</f>
        <v>4.3661597446510313E-4</v>
      </c>
      <c r="Q216" s="304">
        <f t="shared" si="80"/>
        <v>0.6</v>
      </c>
      <c r="R216" s="177">
        <f t="shared" si="81"/>
        <v>0.92092107171863713</v>
      </c>
      <c r="S216" s="799">
        <f t="shared" si="82"/>
        <v>1</v>
      </c>
      <c r="T216" s="176">
        <f t="shared" si="83"/>
        <v>7</v>
      </c>
      <c r="U216" s="250">
        <f t="shared" si="84"/>
        <v>1.9209210717186371</v>
      </c>
      <c r="V216" s="382">
        <f t="shared" si="85"/>
        <v>57.129369543485041</v>
      </c>
      <c r="W216" s="400">
        <f t="shared" si="86"/>
        <v>53.439605968389586</v>
      </c>
      <c r="X216" s="157">
        <f t="shared" si="87"/>
        <v>45859</v>
      </c>
      <c r="Y216" s="383">
        <f t="shared" si="88"/>
        <v>50.613349687747167</v>
      </c>
      <c r="Z216" s="383">
        <f t="shared" si="89"/>
        <v>52.973385842772529</v>
      </c>
      <c r="AA216" s="384">
        <f t="shared" si="90"/>
        <v>56.901661530108662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6.9036221117331445E-2</v>
      </c>
      <c r="AD216" s="230">
        <f>(INDEX(Models!$BJ216:$BT216,,AH216)*(1-AF216)+INDEX(Models!$BJ216:$BT216,,AH216+1)*AF216-ERP_i)*AE216*Ramure*Pc/MaxiM</f>
        <v>4.3661597446510313E-4</v>
      </c>
      <c r="AE216" s="304">
        <f t="shared" si="92"/>
        <v>0.6</v>
      </c>
      <c r="AF216" s="177">
        <f t="shared" si="93"/>
        <v>0.92092107171863713</v>
      </c>
      <c r="AG216" s="799">
        <f t="shared" si="99"/>
        <v>1</v>
      </c>
      <c r="AH216" s="176">
        <f t="shared" si="94"/>
        <v>7</v>
      </c>
      <c r="AI216" s="224">
        <f t="shared" si="95"/>
        <v>1.9209210717186371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'2024'!Wh/'2024'!Env_an*'2025'!Env_an</f>
        <v>43.147834503417144</v>
      </c>
      <c r="C217" s="829"/>
      <c r="D217" s="391">
        <f t="shared" si="77"/>
        <v>45.160628668886304</v>
      </c>
      <c r="E217" s="383">
        <f t="shared" si="75"/>
        <v>45.948773048048352</v>
      </c>
      <c r="F217" s="383">
        <f t="shared" si="78"/>
        <v>45.962148290124709</v>
      </c>
      <c r="G217" s="110">
        <f t="shared" si="76"/>
        <v>0.75656610802432911</v>
      </c>
      <c r="H217" s="412" t="b">
        <f>Wh_hp&gt;='2024'!Maxi_hp</f>
        <v>0</v>
      </c>
      <c r="I217" s="388">
        <f>IF(H217,Wh_hp,'2024'!Maxi_hp)</f>
        <v>55.348148280408218</v>
      </c>
      <c r="J217" s="85">
        <f>IF(H217,An,'2024'!An_max)</f>
        <v>2020</v>
      </c>
      <c r="K217" s="197">
        <f t="shared" si="79"/>
        <v>45860</v>
      </c>
      <c r="L217" s="147">
        <f>IF(t&lt;Tvie,1-EXP((T0-t)*PertePVj)+'2024'!Pspv,1-EXP((T0-t)*PertePVj)+Pspv)</f>
        <v>4.4569666649833195E-2</v>
      </c>
      <c r="M217" s="832"/>
      <c r="N217" s="832"/>
      <c r="O217" s="48">
        <f>IF(t&lt;Tnet,'2024'!Resal+('2024'!Salim-'2024'!Resal)*(1-EXP(('2024'!Tnet-t)/('2024'!Tau_j))),Resal+(Salim-Resal)*(1-EXP((Tnet-t)/(Tau_j))))*Salcycl</f>
        <v>1.7152675183250029E-2</v>
      </c>
      <c r="P217" s="169">
        <f>(INDEX(Models!$BJ217:$BT217,,T217)*(1-R217)+INDEX(Models!$BJ217:$BT217,,T217+1)*R217-ERP_i)*Q217*Ramure*Pc/MaxiM</f>
        <v>4.460505575966091E-4</v>
      </c>
      <c r="Q217" s="304">
        <f t="shared" si="80"/>
        <v>0.6</v>
      </c>
      <c r="R217" s="177">
        <f t="shared" si="81"/>
        <v>0.92359924737591625</v>
      </c>
      <c r="S217" s="799">
        <f t="shared" si="82"/>
        <v>1</v>
      </c>
      <c r="T217" s="176">
        <f t="shared" si="83"/>
        <v>7</v>
      </c>
      <c r="U217" s="250">
        <f t="shared" si="84"/>
        <v>1.9235992473759163</v>
      </c>
      <c r="V217" s="382">
        <f t="shared" si="85"/>
        <v>57.022304123715003</v>
      </c>
      <c r="W217" s="400">
        <f t="shared" si="86"/>
        <v>43.147834503417144</v>
      </c>
      <c r="X217" s="157">
        <f t="shared" si="87"/>
        <v>45860</v>
      </c>
      <c r="Y217" s="383">
        <f t="shared" si="88"/>
        <v>40.867917159646481</v>
      </c>
      <c r="Z217" s="383">
        <f t="shared" si="89"/>
        <v>42.774355945289336</v>
      </c>
      <c r="AA217" s="384">
        <f t="shared" si="90"/>
        <v>45.948773048048352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6.9086003655408748E-2</v>
      </c>
      <c r="AD217" s="230">
        <f>(INDEX(Models!$BJ217:$BT217,,AH217)*(1-AF217)+INDEX(Models!$BJ217:$BT217,,AH217+1)*AF217-ERP_i)*AE217*Ramure*Pc/MaxiM</f>
        <v>4.460505575966091E-4</v>
      </c>
      <c r="AE217" s="304">
        <f t="shared" si="92"/>
        <v>0.6</v>
      </c>
      <c r="AF217" s="177">
        <f t="shared" si="93"/>
        <v>0.92359924737591625</v>
      </c>
      <c r="AG217" s="799">
        <f t="shared" si="99"/>
        <v>1</v>
      </c>
      <c r="AH217" s="176">
        <f t="shared" si="94"/>
        <v>7</v>
      </c>
      <c r="AI217" s="224">
        <f t="shared" si="95"/>
        <v>1.9235992473759163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'2024'!Wh/'2024'!Env_an*'2025'!Env_an</f>
        <v>49.580393500010537</v>
      </c>
      <c r="C218" s="829"/>
      <c r="D218" s="391">
        <f t="shared" si="77"/>
        <v>51.894253285110921</v>
      </c>
      <c r="E218" s="383">
        <f t="shared" si="75"/>
        <v>52.805361123958846</v>
      </c>
      <c r="F218" s="383">
        <f t="shared" si="78"/>
        <v>52.825003189707012</v>
      </c>
      <c r="G218" s="110">
        <f t="shared" si="76"/>
        <v>0.87110173857439233</v>
      </c>
      <c r="H218" s="412" t="b">
        <f>Wh_hp&gt;='2024'!Maxi_hp</f>
        <v>0</v>
      </c>
      <c r="I218" s="388">
        <f>IF(H218,Wh_hp,'2024'!Maxi_hp)</f>
        <v>56.109961045476417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4.4587977254203159E-2</v>
      </c>
      <c r="M218" s="832"/>
      <c r="N218" s="832"/>
      <c r="O218" s="48">
        <f>IF(t&lt;Tnet,'2024'!Resal+('2024'!Salim-'2024'!Resal)*(1-EXP(('2024'!Tnet-t)/('2024'!Tau_j))),Resal+(Salim-Resal)*(1-EXP((Tnet-t)/(Tau_j))))*Salcycl</f>
        <v>1.7254078363542102E-2</v>
      </c>
      <c r="P218" s="169">
        <f>(INDEX(Models!$BJ218:$BT218,,T218)*(1-R218)+INDEX(Models!$BJ218:$BT218,,T218+1)*R218-ERP_i)*Q218*Ramure*Pc/MaxiM</f>
        <v>4.5569746220359644E-4</v>
      </c>
      <c r="Q218" s="304">
        <f t="shared" si="80"/>
        <v>0.6</v>
      </c>
      <c r="R218" s="177">
        <f t="shared" si="81"/>
        <v>0.92620171713704846</v>
      </c>
      <c r="S218" s="799">
        <f t="shared" si="82"/>
        <v>1</v>
      </c>
      <c r="T218" s="176">
        <f t="shared" si="83"/>
        <v>7</v>
      </c>
      <c r="U218" s="250">
        <f t="shared" si="84"/>
        <v>1.9262017171370485</v>
      </c>
      <c r="V218" s="382">
        <f t="shared" si="85"/>
        <v>56.912105339855913</v>
      </c>
      <c r="W218" s="400">
        <f t="shared" si="86"/>
        <v>49.580393500010537</v>
      </c>
      <c r="X218" s="157">
        <f t="shared" si="87"/>
        <v>45861</v>
      </c>
      <c r="Y218" s="383">
        <f t="shared" si="88"/>
        <v>46.962937639230582</v>
      </c>
      <c r="Z218" s="383">
        <f t="shared" si="89"/>
        <v>49.154643777939818</v>
      </c>
      <c r="AA218" s="384">
        <f t="shared" si="90"/>
        <v>52.805361123958846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6.9135354219983278E-2</v>
      </c>
      <c r="AD218" s="230">
        <f>(INDEX(Models!$BJ218:$BT218,,AH218)*(1-AF218)+INDEX(Models!$BJ218:$BT218,,AH218+1)*AF218-ERP_i)*AE218*Ramure*Pc/MaxiM</f>
        <v>4.5569746220359644E-4</v>
      </c>
      <c r="AE218" s="304">
        <f t="shared" si="92"/>
        <v>0.6</v>
      </c>
      <c r="AF218" s="177">
        <f t="shared" si="93"/>
        <v>0.92620171713704846</v>
      </c>
      <c r="AG218" s="799">
        <f t="shared" si="99"/>
        <v>1</v>
      </c>
      <c r="AH218" s="176">
        <f t="shared" si="94"/>
        <v>7</v>
      </c>
      <c r="AI218" s="224">
        <f t="shared" si="95"/>
        <v>1.9262017171370485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'2024'!Wh/'2024'!Env_an*'2025'!Env_an</f>
        <v>53.672135241578147</v>
      </c>
      <c r="C219" s="829"/>
      <c r="D219" s="391">
        <f t="shared" si="77"/>
        <v>56.178028533977994</v>
      </c>
      <c r="E219" s="383">
        <f t="shared" si="75"/>
        <v>57.17023468620048</v>
      </c>
      <c r="F219" s="383">
        <f t="shared" si="78"/>
        <v>57.194767963917911</v>
      </c>
      <c r="G219" s="110">
        <f t="shared" si="76"/>
        <v>0.94491259819951579</v>
      </c>
      <c r="H219" s="412" t="b">
        <f>Wh_hp&gt;='2024'!Maxi_hp</f>
        <v>0</v>
      </c>
      <c r="I219" s="388">
        <f>IF(H219,Wh_hp,'2024'!Maxi_hp)</f>
        <v>57.196015224186993</v>
      </c>
      <c r="J219" s="85">
        <f>IF(H219,An,'2024'!An_max)</f>
        <v>2022</v>
      </c>
      <c r="K219" s="197">
        <f t="shared" si="79"/>
        <v>45862</v>
      </c>
      <c r="L219" s="147">
        <f>IF(t&lt;Tvie,1-EXP((T0-t)*PertePVj)+'2024'!Pspv,1-EXP((T0-t)*PertePVj)+Pspv)</f>
        <v>4.4606287507654607E-2</v>
      </c>
      <c r="M219" s="832"/>
      <c r="N219" s="832"/>
      <c r="O219" s="48">
        <f>IF(t&lt;Tnet,'2024'!Resal+('2024'!Salim-'2024'!Resal)*(1-EXP(('2024'!Tnet-t)/('2024'!Tau_j))),Resal+(Salim-Resal)*(1-EXP((Tnet-t)/(Tau_j))))*Salcycl</f>
        <v>1.7355292621563788E-2</v>
      </c>
      <c r="P219" s="169">
        <f>(INDEX(Models!$BJ219:$BT219,,T219)*(1-R219)+INDEX(Models!$BJ219:$BT219,,T219+1)*R219-ERP_i)*Q219*Ramure*Pc/MaxiM</f>
        <v>4.6555730234808831E-4</v>
      </c>
      <c r="Q219" s="304">
        <f t="shared" si="80"/>
        <v>0.6</v>
      </c>
      <c r="R219" s="177">
        <f t="shared" si="81"/>
        <v>0.92872954117992568</v>
      </c>
      <c r="S219" s="799">
        <f t="shared" si="82"/>
        <v>1</v>
      </c>
      <c r="T219" s="176">
        <f t="shared" si="83"/>
        <v>7</v>
      </c>
      <c r="U219" s="250">
        <f t="shared" si="84"/>
        <v>1.9287295411799257</v>
      </c>
      <c r="V219" s="382">
        <f t="shared" si="85"/>
        <v>56.799083128103462</v>
      </c>
      <c r="W219" s="400">
        <f t="shared" si="86"/>
        <v>53.672135241578147</v>
      </c>
      <c r="X219" s="157">
        <f t="shared" si="87"/>
        <v>45862</v>
      </c>
      <c r="Y219" s="383">
        <f t="shared" si="88"/>
        <v>50.841230642591348</v>
      </c>
      <c r="Z219" s="383">
        <f t="shared" si="89"/>
        <v>53.214952095467858</v>
      </c>
      <c r="AA219" s="384">
        <f t="shared" si="90"/>
        <v>57.17023468620048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6.9184298655456333E-2</v>
      </c>
      <c r="AD219" s="230">
        <f>(INDEX(Models!$BJ219:$BT219,,AH219)*(1-AF219)+INDEX(Models!$BJ219:$BT219,,AH219+1)*AF219-ERP_i)*AE219*Ramure*Pc/MaxiM</f>
        <v>4.6555730234808831E-4</v>
      </c>
      <c r="AE219" s="304">
        <f t="shared" si="92"/>
        <v>0.6</v>
      </c>
      <c r="AF219" s="177">
        <f t="shared" si="93"/>
        <v>0.92872954117992568</v>
      </c>
      <c r="AG219" s="799">
        <f t="shared" si="99"/>
        <v>1</v>
      </c>
      <c r="AH219" s="176">
        <f t="shared" si="94"/>
        <v>7</v>
      </c>
      <c r="AI219" s="224">
        <f t="shared" si="95"/>
        <v>1.9287295411799257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'2024'!Wh/'2024'!Env_an*'2025'!Env_an</f>
        <v>27.350658121741095</v>
      </c>
      <c r="C220" s="829"/>
      <c r="D220" s="391">
        <f t="shared" si="77"/>
        <v>28.628179088136108</v>
      </c>
      <c r="E220" s="383">
        <f t="shared" si="75"/>
        <v>29.136800482921505</v>
      </c>
      <c r="F220" s="383">
        <f t="shared" si="78"/>
        <v>29.140414173510493</v>
      </c>
      <c r="G220" s="110">
        <f t="shared" si="76"/>
        <v>0.48234408288554792</v>
      </c>
      <c r="H220" s="412" t="b">
        <f>Wh_hp&gt;='2024'!Maxi_hp</f>
        <v>0</v>
      </c>
      <c r="I220" s="388">
        <f>IF(H220,Wh_hp,'2024'!Maxi_hp)</f>
        <v>59.315557328001788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4.46245974101942E-2</v>
      </c>
      <c r="M220" s="832"/>
      <c r="N220" s="832"/>
      <c r="O220" s="48">
        <f>IF(t&lt;Tnet,'2024'!Resal+('2024'!Salim-'2024'!Resal)*(1-EXP(('2024'!Tnet-t)/('2024'!Tau_j))),Resal+(Salim-Resal)*(1-EXP((Tnet-t)/(Tau_j))))*Salcycl</f>
        <v>1.7456322806738079E-2</v>
      </c>
      <c r="P220" s="169">
        <f>(INDEX(Models!$BJ220:$BT220,,T220)*(1-R220)+INDEX(Models!$BJ220:$BT220,,T220+1)*R220-ERP_i)*Q220*Ramure*Pc/MaxiM</f>
        <v>4.7561733333548336E-4</v>
      </c>
      <c r="Q220" s="304">
        <f t="shared" si="80"/>
        <v>0.6</v>
      </c>
      <c r="R220" s="177">
        <f t="shared" si="81"/>
        <v>0.93118384216706063</v>
      </c>
      <c r="S220" s="799">
        <f t="shared" si="82"/>
        <v>1</v>
      </c>
      <c r="T220" s="176">
        <f t="shared" si="83"/>
        <v>7</v>
      </c>
      <c r="U220" s="250">
        <f t="shared" si="84"/>
        <v>1.9311838421670606</v>
      </c>
      <c r="V220" s="382">
        <f t="shared" si="85"/>
        <v>56.683685351905062</v>
      </c>
      <c r="W220" s="400">
        <f t="shared" si="86"/>
        <v>27.350658121741095</v>
      </c>
      <c r="X220" s="157">
        <f t="shared" si="87"/>
        <v>45863</v>
      </c>
      <c r="Y220" s="383">
        <f t="shared" si="88"/>
        <v>25.909376235747295</v>
      </c>
      <c r="Z220" s="383">
        <f t="shared" si="89"/>
        <v>27.119576415211089</v>
      </c>
      <c r="AA220" s="384">
        <f t="shared" si="90"/>
        <v>29.136800482921505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6.9232861339487459E-2</v>
      </c>
      <c r="AD220" s="230">
        <f>(INDEX(Models!$BJ220:$BT220,,AH220)*(1-AF220)+INDEX(Models!$BJ220:$BT220,,AH220+1)*AF220-ERP_i)*AE220*Ramure*Pc/MaxiM</f>
        <v>4.7561733333548336E-4</v>
      </c>
      <c r="AE220" s="304">
        <f t="shared" si="92"/>
        <v>0.6</v>
      </c>
      <c r="AF220" s="177">
        <f t="shared" si="93"/>
        <v>0.93118384216706063</v>
      </c>
      <c r="AG220" s="799">
        <f t="shared" si="99"/>
        <v>1</v>
      </c>
      <c r="AH220" s="176">
        <f t="shared" si="94"/>
        <v>7</v>
      </c>
      <c r="AI220" s="224">
        <f t="shared" si="95"/>
        <v>1.9311838421670606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'2024'!Wh/'2024'!Env_an*'2025'!Env_an</f>
        <v>57.998649229916317</v>
      </c>
      <c r="C221" s="829"/>
      <c r="D221" s="391">
        <f t="shared" si="77"/>
        <v>60.70886964943378</v>
      </c>
      <c r="E221" s="383">
        <f t="shared" si="75"/>
        <v>61.793794012768835</v>
      </c>
      <c r="F221" s="383">
        <f t="shared" si="78"/>
        <v>61.823821811123068</v>
      </c>
      <c r="G221" s="110">
        <f t="shared" si="76"/>
        <v>1.0253284376351128</v>
      </c>
      <c r="H221" s="412" t="b">
        <f>Wh_hp&gt;='2024'!Maxi_hp</f>
        <v>1</v>
      </c>
      <c r="I221" s="388">
        <f>IF(H221,Wh_hp,'2024'!Maxi_hp)</f>
        <v>61.823821811123068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4.464290696182871E-2</v>
      </c>
      <c r="M221" s="832"/>
      <c r="N221" s="832"/>
      <c r="O221" s="48">
        <f>IF(t&lt;Tnet,'2024'!Resal+('2024'!Salim-'2024'!Resal)*(1-EXP(('2024'!Tnet-t)/('2024'!Tau_j))),Resal+(Salim-Resal)*(1-EXP((Tnet-t)/(Tau_j))))*Salcycl</f>
        <v>1.7557173510188925E-2</v>
      </c>
      <c r="P221" s="169">
        <f>(INDEX(Models!$BJ221:$BT221,,T221)*(1-R221)+INDEX(Models!$BJ221:$BT221,,T221+1)*R221-ERP_i)*Q221*Ramure*Pc/MaxiM</f>
        <v>4.8569948402693293E-4</v>
      </c>
      <c r="Q221" s="304">
        <f t="shared" si="80"/>
        <v>0.6</v>
      </c>
      <c r="R221" s="177">
        <f t="shared" si="81"/>
        <v>0.93356579894491953</v>
      </c>
      <c r="S221" s="799">
        <f t="shared" si="82"/>
        <v>1</v>
      </c>
      <c r="T221" s="176">
        <f t="shared" si="83"/>
        <v>7</v>
      </c>
      <c r="U221" s="250">
        <f t="shared" si="84"/>
        <v>1.9335657989449195</v>
      </c>
      <c r="V221" s="382">
        <f t="shared" si="85"/>
        <v>56.565922782448474</v>
      </c>
      <c r="W221" s="400">
        <f t="shared" si="86"/>
        <v>57.998649229916317</v>
      </c>
      <c r="X221" s="157">
        <f t="shared" si="87"/>
        <v>45864</v>
      </c>
      <c r="Y221" s="383">
        <f t="shared" si="88"/>
        <v>54.945122078016773</v>
      </c>
      <c r="Z221" s="383">
        <f t="shared" si="89"/>
        <v>57.512654146193107</v>
      </c>
      <c r="AA221" s="384">
        <f t="shared" si="90"/>
        <v>61.793794012768835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6.928106511296403E-2</v>
      </c>
      <c r="AD221" s="230">
        <f>(INDEX(Models!$BJ221:$BT221,,AH221)*(1-AF221)+INDEX(Models!$BJ221:$BT221,,AH221+1)*AF221-ERP_i)*AE221*Ramure*Pc/MaxiM</f>
        <v>4.8569948402693293E-4</v>
      </c>
      <c r="AE221" s="304">
        <f t="shared" si="92"/>
        <v>0.6</v>
      </c>
      <c r="AF221" s="177">
        <f t="shared" si="93"/>
        <v>0.93356579894491953</v>
      </c>
      <c r="AG221" s="799">
        <f t="shared" si="99"/>
        <v>1</v>
      </c>
      <c r="AH221" s="176">
        <f t="shared" si="94"/>
        <v>7</v>
      </c>
      <c r="AI221" s="224">
        <f t="shared" si="95"/>
        <v>1.9335657989449195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'2024'!Wh/'2024'!Env_an*'2025'!Env_an</f>
        <v>58.036941518508812</v>
      </c>
      <c r="C222" s="829"/>
      <c r="D222" s="391">
        <f t="shared" si="77"/>
        <v>60.750115561501836</v>
      </c>
      <c r="E222" s="383">
        <f t="shared" si="75"/>
        <v>61.842114279760018</v>
      </c>
      <c r="F222" s="383">
        <f t="shared" si="78"/>
        <v>61.872791150508753</v>
      </c>
      <c r="G222" s="110">
        <f t="shared" si="76"/>
        <v>1.0281889115450082</v>
      </c>
      <c r="H222" s="412" t="b">
        <f>Wh_hp&gt;='2024'!Maxi_hp</f>
        <v>1</v>
      </c>
      <c r="I222" s="388">
        <f>IF(H222,Wh_hp,'2024'!Maxi_hp)</f>
        <v>61.872791150508753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4.4661216162564799E-2</v>
      </c>
      <c r="M222" s="832"/>
      <c r="N222" s="832"/>
      <c r="O222" s="48">
        <f>IF(t&lt;Tnet,'2024'!Resal+('2024'!Salim-'2024'!Resal)*(1-EXP(('2024'!Tnet-t)/('2024'!Tau_j))),Resal+(Salim-Resal)*(1-EXP((Tnet-t)/(Tau_j))))*Salcycl</f>
        <v>1.7657849039866721E-2</v>
      </c>
      <c r="P222" s="169">
        <f>(INDEX(Models!$BJ222:$BT222,,T222)*(1-R222)+INDEX(Models!$BJ222:$BT222,,T222+1)*R222-ERP_i)*Q222*Ramure*Pc/MaxiM</f>
        <v>4.9580550963204814E-4</v>
      </c>
      <c r="Q222" s="304">
        <f t="shared" si="80"/>
        <v>0.6</v>
      </c>
      <c r="R222" s="177">
        <f t="shared" si="81"/>
        <v>0.9358766404498855</v>
      </c>
      <c r="S222" s="799">
        <f t="shared" si="82"/>
        <v>1</v>
      </c>
      <c r="T222" s="176">
        <f t="shared" si="83"/>
        <v>7</v>
      </c>
      <c r="U222" s="250">
        <f t="shared" si="84"/>
        <v>1.9358766404498855</v>
      </c>
      <c r="V222" s="382">
        <f t="shared" si="85"/>
        <v>56.445795968855158</v>
      </c>
      <c r="W222" s="400">
        <f t="shared" si="86"/>
        <v>58.036941518508812</v>
      </c>
      <c r="X222" s="157">
        <f t="shared" si="87"/>
        <v>45865</v>
      </c>
      <c r="Y222" s="383">
        <f t="shared" si="88"/>
        <v>54.984205186280505</v>
      </c>
      <c r="Z222" s="383">
        <f t="shared" si="89"/>
        <v>57.554666592115311</v>
      </c>
      <c r="AA222" s="384">
        <f t="shared" si="90"/>
        <v>61.842114279760018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6.9328931223942986E-2</v>
      </c>
      <c r="AD222" s="230">
        <f>(INDEX(Models!$BJ222:$BT222,,AH222)*(1-AF222)+INDEX(Models!$BJ222:$BT222,,AH222+1)*AF222-ERP_i)*AE222*Ramure*Pc/MaxiM</f>
        <v>4.9580550963204814E-4</v>
      </c>
      <c r="AE222" s="304">
        <f t="shared" si="92"/>
        <v>0.6</v>
      </c>
      <c r="AF222" s="177">
        <f t="shared" si="93"/>
        <v>0.9358766404498855</v>
      </c>
      <c r="AG222" s="799">
        <f t="shared" si="99"/>
        <v>1</v>
      </c>
      <c r="AH222" s="176">
        <f t="shared" si="94"/>
        <v>7</v>
      </c>
      <c r="AI222" s="224">
        <f t="shared" si="95"/>
        <v>1.9358766404498855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'2024'!Wh/'2024'!Env_an*'2025'!Env_an</f>
        <v>45.248953210180282</v>
      </c>
      <c r="C223" s="829"/>
      <c r="D223" s="391">
        <f t="shared" si="77"/>
        <v>47.365208215356262</v>
      </c>
      <c r="E223" s="383">
        <f t="shared" si="75"/>
        <v>48.221543424934978</v>
      </c>
      <c r="F223" s="383">
        <f t="shared" si="78"/>
        <v>48.239094053530181</v>
      </c>
      <c r="G223" s="110">
        <f t="shared" si="76"/>
        <v>0.80326465391476365</v>
      </c>
      <c r="H223" s="412" t="b">
        <f>Wh_hp&gt;='2024'!Maxi_hp</f>
        <v>0</v>
      </c>
      <c r="I223" s="388">
        <f>IF(H223,Wh_hp,'2024'!Maxi_hp)</f>
        <v>56.218409152668862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4.4679525012409238E-2</v>
      </c>
      <c r="M223" s="832"/>
      <c r="N223" s="832"/>
      <c r="O223" s="48">
        <f>IF(t&lt;Tnet,'2024'!Resal+('2024'!Salim-'2024'!Resal)*(1-EXP(('2024'!Tnet-t)/('2024'!Tau_j))),Resal+(Salim-Resal)*(1-EXP((Tnet-t)/(Tau_j))))*Salcycl</f>
        <v>1.7758353398865109E-2</v>
      </c>
      <c r="P223" s="169">
        <f>(INDEX(Models!$BJ223:$BT223,,T223)*(1-R223)+INDEX(Models!$BJ223:$BT223,,T223+1)*R223-ERP_i)*Q223*Ramure*Pc/MaxiM</f>
        <v>5.0593718014561352E-4</v>
      </c>
      <c r="Q223" s="304">
        <f t="shared" si="80"/>
        <v>0.6</v>
      </c>
      <c r="R223" s="177">
        <f t="shared" si="81"/>
        <v>0.93811763983646701</v>
      </c>
      <c r="S223" s="799">
        <f t="shared" si="82"/>
        <v>1</v>
      </c>
      <c r="T223" s="176">
        <f t="shared" si="83"/>
        <v>7</v>
      </c>
      <c r="U223" s="250">
        <f t="shared" si="84"/>
        <v>1.938117639836467</v>
      </c>
      <c r="V223" s="382">
        <f t="shared" si="85"/>
        <v>56.323305475491466</v>
      </c>
      <c r="W223" s="400">
        <f t="shared" si="86"/>
        <v>45.248953210180282</v>
      </c>
      <c r="X223" s="157">
        <f t="shared" si="87"/>
        <v>45866</v>
      </c>
      <c r="Y223" s="383">
        <f t="shared" si="88"/>
        <v>42.871059571562029</v>
      </c>
      <c r="Z223" s="383">
        <f t="shared" si="89"/>
        <v>44.876102516403101</v>
      </c>
      <c r="AA223" s="384">
        <f t="shared" si="90"/>
        <v>48.221543424934978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6.9376479285438608E-2</v>
      </c>
      <c r="AD223" s="230">
        <f>(INDEX(Models!$BJ223:$BT223,,AH223)*(1-AF223)+INDEX(Models!$BJ223:$BT223,,AH223+1)*AF223-ERP_i)*AE223*Ramure*Pc/MaxiM</f>
        <v>5.0593718014561352E-4</v>
      </c>
      <c r="AE223" s="304">
        <f t="shared" si="92"/>
        <v>0.6</v>
      </c>
      <c r="AF223" s="177">
        <f t="shared" si="93"/>
        <v>0.93811763983646701</v>
      </c>
      <c r="AG223" s="799">
        <f t="shared" si="99"/>
        <v>1</v>
      </c>
      <c r="AH223" s="176">
        <f t="shared" si="94"/>
        <v>7</v>
      </c>
      <c r="AI223" s="224">
        <f t="shared" si="95"/>
        <v>1.938117639836467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'2024'!Wh/'2024'!Env_an*'2025'!Env_an</f>
        <v>32.317557880053798</v>
      </c>
      <c r="C224" s="829"/>
      <c r="D224" s="391">
        <f t="shared" si="77"/>
        <v>33.829670876642354</v>
      </c>
      <c r="E224" s="383">
        <f t="shared" si="75"/>
        <v>34.444810071005712</v>
      </c>
      <c r="F224" s="383">
        <f t="shared" si="78"/>
        <v>34.451796803778457</v>
      </c>
      <c r="G224" s="110">
        <f t="shared" si="76"/>
        <v>0.57488115215188018</v>
      </c>
      <c r="H224" s="412" t="b">
        <f>Wh_hp&gt;='2024'!Maxi_hp</f>
        <v>0</v>
      </c>
      <c r="I224" s="388">
        <f>IF(H224,Wh_hp,'2024'!Maxi_hp)</f>
        <v>59.204840320642759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4.469783351136869E-2</v>
      </c>
      <c r="M224" s="832"/>
      <c r="N224" s="832"/>
      <c r="O224" s="48">
        <f>IF(t&lt;Tnet,'2024'!Resal+('2024'!Salim-'2024'!Resal)*(1-EXP(('2024'!Tnet-t)/('2024'!Tau_j))),Resal+(Salim-Resal)*(1-EXP((Tnet-t)/(Tau_j))))*Salcycl</f>
        <v>1.7858690266989132E-2</v>
      </c>
      <c r="P224" s="169">
        <f>(INDEX(Models!$BJ224:$BT224,,T224)*(1-R224)+INDEX(Models!$BJ224:$BT224,,T224+1)*R224-ERP_i)*Q224*Ramure*Pc/MaxiM</f>
        <v>5.1609626719075624E-4</v>
      </c>
      <c r="Q224" s="304">
        <f t="shared" si="80"/>
        <v>0.6</v>
      </c>
      <c r="R224" s="177">
        <f t="shared" si="81"/>
        <v>0.94029010884050024</v>
      </c>
      <c r="S224" s="799">
        <f t="shared" si="82"/>
        <v>1</v>
      </c>
      <c r="T224" s="176">
        <f t="shared" si="83"/>
        <v>7</v>
      </c>
      <c r="U224" s="250">
        <f t="shared" si="84"/>
        <v>1.9402901088405002</v>
      </c>
      <c r="V224" s="382">
        <f t="shared" si="85"/>
        <v>56.198451887278885</v>
      </c>
      <c r="W224" s="400">
        <f t="shared" si="86"/>
        <v>32.317557880053798</v>
      </c>
      <c r="X224" s="157">
        <f t="shared" si="87"/>
        <v>45867</v>
      </c>
      <c r="Y224" s="383">
        <f t="shared" si="88"/>
        <v>30.620799938332429</v>
      </c>
      <c r="Z224" s="383">
        <f t="shared" si="89"/>
        <v>32.053522971568427</v>
      </c>
      <c r="AA224" s="384">
        <f t="shared" si="90"/>
        <v>34.444810071005712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6.9423727246798808E-2</v>
      </c>
      <c r="AD224" s="230">
        <f>(INDEX(Models!$BJ224:$BT224,,AH224)*(1-AF224)+INDEX(Models!$BJ224:$BT224,,AH224+1)*AF224-ERP_i)*AE224*Ramure*Pc/MaxiM</f>
        <v>5.1609626719075624E-4</v>
      </c>
      <c r="AE224" s="304">
        <f t="shared" si="92"/>
        <v>0.6</v>
      </c>
      <c r="AF224" s="177">
        <f t="shared" si="93"/>
        <v>0.94029010884050024</v>
      </c>
      <c r="AG224" s="799">
        <f t="shared" si="99"/>
        <v>1</v>
      </c>
      <c r="AH224" s="176">
        <f t="shared" si="94"/>
        <v>7</v>
      </c>
      <c r="AI224" s="224">
        <f t="shared" si="95"/>
        <v>1.9402901088405002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'2024'!Wh/'2024'!Env_an*'2025'!Env_an</f>
        <v>49.982287449207419</v>
      </c>
      <c r="C225" s="829"/>
      <c r="D225" s="391">
        <f t="shared" si="77"/>
        <v>52.321921921755312</v>
      </c>
      <c r="E225" s="383">
        <f t="shared" si="75"/>
        <v>53.278747650861355</v>
      </c>
      <c r="F225" s="383">
        <f t="shared" si="78"/>
        <v>53.302448075159965</v>
      </c>
      <c r="G225" s="110">
        <f t="shared" si="76"/>
        <v>0.89133410660343648</v>
      </c>
      <c r="H225" s="412" t="b">
        <f>Wh_hp&gt;='2024'!Maxi_hp</f>
        <v>0</v>
      </c>
      <c r="I225" s="388">
        <f>IF(H225,Wh_hp,'2024'!Maxi_hp)</f>
        <v>53.305021788323607</v>
      </c>
      <c r="J225" s="85">
        <f>IF(H225,An,'2024'!An_max)</f>
        <v>2022</v>
      </c>
      <c r="K225" s="197">
        <f t="shared" si="79"/>
        <v>45868</v>
      </c>
      <c r="L225" s="147">
        <f>IF(t&lt;Tvie,1-EXP((T0-t)*PertePVj)+'2024'!Pspv,1-EXP((T0-t)*PertePVj)+Pspv)</f>
        <v>4.4716141659450037E-2</v>
      </c>
      <c r="M225" s="832"/>
      <c r="N225" s="832"/>
      <c r="O225" s="48">
        <f>IF(t&lt;Tnet,'2024'!Resal+('2024'!Salim-'2024'!Resal)*(1-EXP(('2024'!Tnet-t)/('2024'!Tau_j))),Resal+(Salim-Resal)*(1-EXP((Tnet-t)/(Tau_j))))*Salcycl</f>
        <v>1.7958862985597488E-2</v>
      </c>
      <c r="P225" s="169">
        <f>(INDEX(Models!$BJ225:$BT225,,T225)*(1-R225)+INDEX(Models!$BJ225:$BT225,,T225+1)*R225-ERP_i)*Q225*Ramure*Pc/MaxiM</f>
        <v>5.2628453166361799E-4</v>
      </c>
      <c r="Q225" s="304">
        <f t="shared" si="80"/>
        <v>0.6</v>
      </c>
      <c r="R225" s="177">
        <f t="shared" si="81"/>
        <v>0.9423953923873829</v>
      </c>
      <c r="S225" s="799">
        <f t="shared" si="82"/>
        <v>1</v>
      </c>
      <c r="T225" s="176">
        <f t="shared" si="83"/>
        <v>7</v>
      </c>
      <c r="U225" s="250">
        <f t="shared" si="84"/>
        <v>1.9423953923873829</v>
      </c>
      <c r="V225" s="382">
        <f t="shared" si="85"/>
        <v>56.071235808797034</v>
      </c>
      <c r="W225" s="400">
        <f t="shared" si="86"/>
        <v>49.982287449207419</v>
      </c>
      <c r="X225" s="157">
        <f t="shared" si="87"/>
        <v>45868</v>
      </c>
      <c r="Y225" s="383">
        <f t="shared" si="88"/>
        <v>47.36052455484942</v>
      </c>
      <c r="Z225" s="383">
        <f t="shared" si="89"/>
        <v>49.577436215786896</v>
      </c>
      <c r="AA225" s="384">
        <f t="shared" si="90"/>
        <v>53.278747650861355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6.9470691378283919E-2</v>
      </c>
      <c r="AD225" s="230">
        <f>(INDEX(Models!$BJ225:$BT225,,AH225)*(1-AF225)+INDEX(Models!$BJ225:$BT225,,AH225+1)*AF225-ERP_i)*AE225*Ramure*Pc/MaxiM</f>
        <v>5.2628453166361799E-4</v>
      </c>
      <c r="AE225" s="304">
        <f t="shared" si="92"/>
        <v>0.6</v>
      </c>
      <c r="AF225" s="177">
        <f t="shared" si="93"/>
        <v>0.9423953923873829</v>
      </c>
      <c r="AG225" s="799">
        <f t="shared" si="99"/>
        <v>1</v>
      </c>
      <c r="AH225" s="176">
        <f t="shared" si="94"/>
        <v>7</v>
      </c>
      <c r="AI225" s="224">
        <f t="shared" si="95"/>
        <v>1.9423953923873829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'2024'!Wh/'2024'!Env_an*'2025'!Env_an</f>
        <v>55.495601861158391</v>
      </c>
      <c r="C226" s="829"/>
      <c r="D226" s="391">
        <f t="shared" si="77"/>
        <v>58.09442393227031</v>
      </c>
      <c r="E226" s="383">
        <f t="shared" si="75"/>
        <v>59.162838205185622</v>
      </c>
      <c r="F226" s="383">
        <f t="shared" si="78"/>
        <v>59.194256261461909</v>
      </c>
      <c r="G226" s="110">
        <f t="shared" si="76"/>
        <v>0.99202070805488896</v>
      </c>
      <c r="H226" s="412" t="b">
        <f>Wh_hp&gt;='2024'!Maxi_hp</f>
        <v>0</v>
      </c>
      <c r="I226" s="388">
        <f>IF(H226,Wh_hp,'2024'!Maxi_hp)</f>
        <v>59.194470240108124</v>
      </c>
      <c r="J226" s="85">
        <f>IF(H226,An,'2024'!An_max)</f>
        <v>2022</v>
      </c>
      <c r="K226" s="197">
        <f t="shared" si="79"/>
        <v>45869</v>
      </c>
      <c r="L226" s="147">
        <f>IF(t&lt;Tvie,1-EXP((T0-t)*PertePVj)+'2024'!Pspv,1-EXP((T0-t)*PertePVj)+Pspv)</f>
        <v>4.4734449456659831E-2</v>
      </c>
      <c r="M226" s="832"/>
      <c r="N226" s="832"/>
      <c r="O226" s="48">
        <f>IF(t&lt;Tnet,'2024'!Resal+('2024'!Salim-'2024'!Resal)*(1-EXP(('2024'!Tnet-t)/('2024'!Tau_j))),Resal+(Salim-Resal)*(1-EXP((Tnet-t)/(Tau_j))))*Salcycl</f>
        <v>1.805887454570539E-2</v>
      </c>
      <c r="P226" s="169">
        <f>(INDEX(Models!$BJ226:$BT226,,T226)*(1-R226)+INDEX(Models!$BJ226:$BT226,,T226+1)*R226-ERP_i)*Q226*Ramure*Pc/MaxiM</f>
        <v>5.3687710670555374E-4</v>
      </c>
      <c r="Q226" s="304">
        <f t="shared" si="80"/>
        <v>0.6</v>
      </c>
      <c r="R226" s="177">
        <f t="shared" si="81"/>
        <v>0.94443486345285588</v>
      </c>
      <c r="S226" s="799">
        <f t="shared" si="82"/>
        <v>1</v>
      </c>
      <c r="T226" s="176">
        <f t="shared" si="83"/>
        <v>7</v>
      </c>
      <c r="U226" s="250">
        <f t="shared" si="84"/>
        <v>1.9444348634528559</v>
      </c>
      <c r="V226" s="382">
        <f t="shared" si="85"/>
        <v>55.941636967445589</v>
      </c>
      <c r="W226" s="400">
        <f t="shared" si="86"/>
        <v>55.495601861158391</v>
      </c>
      <c r="X226" s="157">
        <f t="shared" si="87"/>
        <v>45869</v>
      </c>
      <c r="Y226" s="383">
        <f t="shared" si="88"/>
        <v>52.587361229515714</v>
      </c>
      <c r="Z226" s="383">
        <f t="shared" si="89"/>
        <v>55.049992328944391</v>
      </c>
      <c r="AA226" s="384">
        <f t="shared" si="90"/>
        <v>59.162838205185622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6.951738626834067E-2</v>
      </c>
      <c r="AD226" s="230">
        <f>(INDEX(Models!$BJ226:$BT226,,AH226)*(1-AF226)+INDEX(Models!$BJ226:$BT226,,AH226+1)*AF226-ERP_i)*AE226*Ramure*Pc/MaxiM</f>
        <v>5.3687710670555374E-4</v>
      </c>
      <c r="AE226" s="304">
        <f t="shared" si="92"/>
        <v>0.6</v>
      </c>
      <c r="AF226" s="177">
        <f t="shared" si="93"/>
        <v>0.94443486345285588</v>
      </c>
      <c r="AG226" s="799">
        <f t="shared" si="99"/>
        <v>1</v>
      </c>
      <c r="AH226" s="176">
        <f t="shared" si="94"/>
        <v>7</v>
      </c>
      <c r="AI226" s="224">
        <f t="shared" si="95"/>
        <v>1.9444348634528559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'2024'!Wh/'2024'!Env_an*'2025'!Env_an</f>
        <v>55.118229353977462</v>
      </c>
      <c r="C227" s="829"/>
      <c r="D227" s="391">
        <f t="shared" si="77"/>
        <v>57.700485138569306</v>
      </c>
      <c r="E227" s="383">
        <f t="shared" si="75"/>
        <v>58.767630531878524</v>
      </c>
      <c r="F227" s="383">
        <f t="shared" si="78"/>
        <v>58.799275791757069</v>
      </c>
      <c r="G227" s="110">
        <f t="shared" si="76"/>
        <v>0.98760141298839799</v>
      </c>
      <c r="H227" s="412" t="b">
        <f>Wh_hp&gt;='2024'!Maxi_hp</f>
        <v>0</v>
      </c>
      <c r="I227" s="388">
        <f>IF(H227,Wh_hp,'2024'!Maxi_hp)</f>
        <v>58.799612686809596</v>
      </c>
      <c r="J227" s="85">
        <f>IF(H227,An,'2024'!An_max)</f>
        <v>2022</v>
      </c>
      <c r="K227" s="197">
        <f t="shared" si="79"/>
        <v>45870</v>
      </c>
      <c r="L227" s="147">
        <f>IF(t&lt;Tvie,1-EXP((T0-t)*PertePVj)+'2024'!Pspv,1-EXP((T0-t)*PertePVj)+Pspv)</f>
        <v>4.4752756903004953E-2</v>
      </c>
      <c r="M227" s="832"/>
      <c r="N227" s="832"/>
      <c r="O227" s="48">
        <f>IF(t&lt;Tnet,'2024'!Resal+('2024'!Salim-'2024'!Resal)*(1-EXP(('2024'!Tnet-t)/('2024'!Tau_j))),Resal+(Salim-Resal)*(1-EXP((Tnet-t)/(Tau_j))))*Salcycl</f>
        <v>1.8158727579298067E-2</v>
      </c>
      <c r="P227" s="169">
        <f>(INDEX(Models!$BJ227:$BT227,,T227)*(1-R227)+INDEX(Models!$BJ227:$BT227,,T227+1)*R227-ERP_i)*Q227*Ramure*Pc/MaxiM</f>
        <v>5.478881622301957E-4</v>
      </c>
      <c r="Q227" s="304">
        <f t="shared" si="80"/>
        <v>0.6</v>
      </c>
      <c r="R227" s="177">
        <f t="shared" si="81"/>
        <v>0.94640991818152509</v>
      </c>
      <c r="S227" s="799">
        <f t="shared" si="82"/>
        <v>1</v>
      </c>
      <c r="T227" s="176">
        <f t="shared" si="83"/>
        <v>7</v>
      </c>
      <c r="U227" s="250">
        <f t="shared" si="84"/>
        <v>1.9464099181815251</v>
      </c>
      <c r="V227" s="382">
        <f t="shared" si="85"/>
        <v>55.809655462766116</v>
      </c>
      <c r="W227" s="400">
        <f t="shared" si="86"/>
        <v>55.118229353977462</v>
      </c>
      <c r="X227" s="157">
        <f t="shared" si="87"/>
        <v>45870</v>
      </c>
      <c r="Y227" s="383">
        <f t="shared" si="88"/>
        <v>52.232469689989514</v>
      </c>
      <c r="Z227" s="383">
        <f t="shared" si="89"/>
        <v>54.679529375711446</v>
      </c>
      <c r="AA227" s="384">
        <f t="shared" si="90"/>
        <v>58.767630531878524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6.9563824832949192E-2</v>
      </c>
      <c r="AD227" s="230">
        <f>(INDEX(Models!$BJ227:$BT227,,AH227)*(1-AF227)+INDEX(Models!$BJ227:$BT227,,AH227+1)*AF227-ERP_i)*AE227*Ramure*Pc/MaxiM</f>
        <v>5.478881622301957E-4</v>
      </c>
      <c r="AE227" s="304">
        <f t="shared" si="92"/>
        <v>0.6</v>
      </c>
      <c r="AF227" s="177">
        <f t="shared" si="93"/>
        <v>0.94640991818152509</v>
      </c>
      <c r="AG227" s="799">
        <f t="shared" si="99"/>
        <v>1</v>
      </c>
      <c r="AH227" s="176">
        <f t="shared" si="94"/>
        <v>7</v>
      </c>
      <c r="AI227" s="224">
        <f t="shared" si="95"/>
        <v>1.9464099181815251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'2024'!Wh/'2024'!Env_an*'2025'!Env_an</f>
        <v>55.105641416719102</v>
      </c>
      <c r="C228" s="829"/>
      <c r="D228" s="391">
        <f t="shared" si="77"/>
        <v>57.688413049321724</v>
      </c>
      <c r="E228" s="383">
        <f t="shared" si="75"/>
        <v>58.761301833782866</v>
      </c>
      <c r="F228" s="383">
        <f t="shared" si="78"/>
        <v>58.793705815319512</v>
      </c>
      <c r="G228" s="110">
        <f t="shared" si="76"/>
        <v>0.98976024602352086</v>
      </c>
      <c r="H228" s="412" t="b">
        <f>Wh_hp&gt;='2024'!Maxi_hp</f>
        <v>0</v>
      </c>
      <c r="I228" s="388">
        <f>IF(H228,Wh_hp,'2024'!Maxi_hp)</f>
        <v>58.793989724542534</v>
      </c>
      <c r="J228" s="85">
        <f>IF(H228,An,'2024'!An_max)</f>
        <v>2022</v>
      </c>
      <c r="K228" s="197">
        <f t="shared" si="79"/>
        <v>45871</v>
      </c>
      <c r="L228" s="147">
        <f>IF(t&lt;Tvie,1-EXP((T0-t)*PertePVj)+'2024'!Pspv,1-EXP((T0-t)*PertePVj)+Pspv)</f>
        <v>4.4771063998491956E-2</v>
      </c>
      <c r="M228" s="832"/>
      <c r="N228" s="832"/>
      <c r="O228" s="48">
        <f>IF(t&lt;Tnet,'2024'!Resal+('2024'!Salim-'2024'!Resal)*(1-EXP(('2024'!Tnet-t)/('2024'!Tau_j))),Resal+(Salim-Resal)*(1-EXP((Tnet-t)/(Tau_j))))*Salcycl</f>
        <v>1.8258424353769606E-2</v>
      </c>
      <c r="P228" s="169">
        <f>(INDEX(Models!$BJ228:$BT228,,T228)*(1-R228)+INDEX(Models!$BJ228:$BT228,,T228+1)*R228-ERP_i)*Q228*Ramure*Pc/MaxiM</f>
        <v>5.593225423670212E-4</v>
      </c>
      <c r="Q228" s="304">
        <f t="shared" si="80"/>
        <v>0.6</v>
      </c>
      <c r="R228" s="177">
        <f t="shared" si="81"/>
        <v>0.94832197126616191</v>
      </c>
      <c r="S228" s="799">
        <f t="shared" si="82"/>
        <v>1</v>
      </c>
      <c r="T228" s="176">
        <f t="shared" si="83"/>
        <v>7</v>
      </c>
      <c r="U228" s="250">
        <f t="shared" si="84"/>
        <v>1.9483219712661619</v>
      </c>
      <c r="V228" s="382">
        <f t="shared" si="85"/>
        <v>55.6752919484194</v>
      </c>
      <c r="W228" s="400">
        <f t="shared" si="86"/>
        <v>55.105641416719102</v>
      </c>
      <c r="X228" s="157">
        <f t="shared" si="87"/>
        <v>45871</v>
      </c>
      <c r="Y228" s="383">
        <f t="shared" si="88"/>
        <v>52.223250984882313</v>
      </c>
      <c r="Z228" s="383">
        <f t="shared" si="89"/>
        <v>54.670926535667533</v>
      </c>
      <c r="AA228" s="384">
        <f t="shared" si="90"/>
        <v>58.761301833782866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6.9610018336314375E-2</v>
      </c>
      <c r="AD228" s="230">
        <f>(INDEX(Models!$BJ228:$BT228,,AH228)*(1-AF228)+INDEX(Models!$BJ228:$BT228,,AH228+1)*AF228-ERP_i)*AE228*Ramure*Pc/MaxiM</f>
        <v>5.593225423670212E-4</v>
      </c>
      <c r="AE228" s="304">
        <f t="shared" si="92"/>
        <v>0.6</v>
      </c>
      <c r="AF228" s="177">
        <f t="shared" si="93"/>
        <v>0.94832197126616191</v>
      </c>
      <c r="AG228" s="799">
        <f t="shared" si="99"/>
        <v>1</v>
      </c>
      <c r="AH228" s="176">
        <f t="shared" si="94"/>
        <v>7</v>
      </c>
      <c r="AI228" s="224">
        <f t="shared" si="95"/>
        <v>1.9483219712661619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'2024'!Wh/'2024'!Env_an*'2025'!Env_an</f>
        <v>52.036877218620909</v>
      </c>
      <c r="C229" s="829"/>
      <c r="D229" s="391">
        <f t="shared" si="77"/>
        <v>54.47686156832674</v>
      </c>
      <c r="E229" s="383">
        <f t="shared" si="75"/>
        <v>55.495648845680286</v>
      </c>
      <c r="F229" s="383">
        <f t="shared" si="78"/>
        <v>55.524507049887042</v>
      </c>
      <c r="G229" s="110">
        <f t="shared" si="76"/>
        <v>0.93690241103942495</v>
      </c>
      <c r="H229" s="412" t="b">
        <f>Wh_hp&gt;='2024'!Maxi_hp</f>
        <v>0</v>
      </c>
      <c r="I229" s="388">
        <f>IF(H229,Wh_hp,'2024'!Maxi_hp)</f>
        <v>56.932913500318811</v>
      </c>
      <c r="J229" s="85">
        <f>IF(H229,An,'2024'!An_max)</f>
        <v>2018</v>
      </c>
      <c r="K229" s="197">
        <f t="shared" si="79"/>
        <v>45872</v>
      </c>
      <c r="L229" s="147">
        <f>IF(t&lt;Tvie,1-EXP((T0-t)*PertePVj)+'2024'!Pspv,1-EXP((T0-t)*PertePVj)+Pspv)</f>
        <v>4.4789370743127721E-2</v>
      </c>
      <c r="M229" s="832"/>
      <c r="N229" s="832"/>
      <c r="O229" s="48">
        <f>IF(t&lt;Tnet,'2024'!Resal+('2024'!Salim-'2024'!Resal)*(1-EXP(('2024'!Tnet-t)/('2024'!Tau_j))),Resal+(Salim-Resal)*(1-EXP((Tnet-t)/(Tau_j))))*Salcycl</f>
        <v>1.8357966769368475E-2</v>
      </c>
      <c r="P229" s="169">
        <f>(INDEX(Models!$BJ229:$BT229,,T229)*(1-R229)+INDEX(Models!$BJ229:$BT229,,T229+1)*R229-ERP_i)*Q229*Ramure*Pc/MaxiM</f>
        <v>5.7118507761925097E-4</v>
      </c>
      <c r="Q229" s="304">
        <f t="shared" si="80"/>
        <v>0.6</v>
      </c>
      <c r="R229" s="177">
        <f t="shared" si="81"/>
        <v>0.95017245158888475</v>
      </c>
      <c r="S229" s="799">
        <f t="shared" si="82"/>
        <v>1</v>
      </c>
      <c r="T229" s="176">
        <f t="shared" si="83"/>
        <v>7</v>
      </c>
      <c r="U229" s="250">
        <f t="shared" si="84"/>
        <v>1.9501724515888847</v>
      </c>
      <c r="V229" s="382">
        <f t="shared" si="85"/>
        <v>55.538547105411787</v>
      </c>
      <c r="W229" s="400">
        <f t="shared" si="86"/>
        <v>52.036877218620909</v>
      </c>
      <c r="X229" s="157">
        <f t="shared" si="87"/>
        <v>45872</v>
      </c>
      <c r="Y229" s="383">
        <f t="shared" si="88"/>
        <v>49.317568000501439</v>
      </c>
      <c r="Z229" s="383">
        <f t="shared" si="89"/>
        <v>51.630045238157741</v>
      </c>
      <c r="AA229" s="384">
        <f t="shared" si="90"/>
        <v>55.495648845680286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6.9655976422076549E-2</v>
      </c>
      <c r="AD229" s="230">
        <f>(INDEX(Models!$BJ229:$BT229,,AH229)*(1-AF229)+INDEX(Models!$BJ229:$BT229,,AH229+1)*AF229-ERP_i)*AE229*Ramure*Pc/MaxiM</f>
        <v>5.7118507761925097E-4</v>
      </c>
      <c r="AE229" s="304">
        <f t="shared" si="92"/>
        <v>0.6</v>
      </c>
      <c r="AF229" s="177">
        <f t="shared" si="93"/>
        <v>0.95017245158888475</v>
      </c>
      <c r="AG229" s="799">
        <f t="shared" si="99"/>
        <v>1</v>
      </c>
      <c r="AH229" s="176">
        <f t="shared" si="94"/>
        <v>7</v>
      </c>
      <c r="AI229" s="224">
        <f t="shared" si="95"/>
        <v>1.9501724515888847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'2024'!Wh/'2024'!Env_an*'2025'!Env_an</f>
        <v>51.264435020288524</v>
      </c>
      <c r="C230" s="829"/>
      <c r="D230" s="391">
        <f t="shared" si="77"/>
        <v>53.66922848231146</v>
      </c>
      <c r="E230" s="383">
        <f t="shared" si="75"/>
        <v>54.678448083778072</v>
      </c>
      <c r="F230" s="383">
        <f t="shared" si="78"/>
        <v>54.706964925031052</v>
      </c>
      <c r="G230" s="110">
        <f t="shared" si="76"/>
        <v>0.92530287146485168</v>
      </c>
      <c r="H230" s="412" t="b">
        <f>Wh_hp&gt;='2024'!Maxi_hp</f>
        <v>0</v>
      </c>
      <c r="I230" s="388">
        <f>IF(H230,Wh_hp,'2024'!Maxi_hp)</f>
        <v>54.708974263466324</v>
      </c>
      <c r="J230" s="85">
        <f>IF(H230,An,'2024'!An_max)</f>
        <v>2022</v>
      </c>
      <c r="K230" s="197">
        <f t="shared" si="79"/>
        <v>45873</v>
      </c>
      <c r="L230" s="147">
        <f>IF(t&lt;Tvie,1-EXP((T0-t)*PertePVj)+'2024'!Pspv,1-EXP((T0-t)*PertePVj)+Pspv)</f>
        <v>4.48076771369188E-2</v>
      </c>
      <c r="M230" s="832"/>
      <c r="N230" s="832"/>
      <c r="O230" s="48">
        <f>IF(t&lt;Tnet,'2024'!Resal+('2024'!Salim-'2024'!Resal)*(1-EXP(('2024'!Tnet-t)/('2024'!Tau_j))),Resal+(Salim-Resal)*(1-EXP((Tnet-t)/(Tau_j))))*Salcycl</f>
        <v>1.845735635949821E-2</v>
      </c>
      <c r="P230" s="169">
        <f>(INDEX(Models!$BJ230:$BT230,,T230)*(1-R230)+INDEX(Models!$BJ230:$BT230,,T230+1)*R230-ERP_i)*Q230*Ramure*Pc/MaxiM</f>
        <v>5.8348058433712821E-4</v>
      </c>
      <c r="Q230" s="304">
        <f t="shared" si="80"/>
        <v>0.6</v>
      </c>
      <c r="R230" s="177">
        <f t="shared" si="81"/>
        <v>0.95196279812356166</v>
      </c>
      <c r="S230" s="799">
        <f t="shared" si="82"/>
        <v>1</v>
      </c>
      <c r="T230" s="176">
        <f t="shared" si="83"/>
        <v>7</v>
      </c>
      <c r="U230" s="250">
        <f t="shared" si="84"/>
        <v>1.9519627981235617</v>
      </c>
      <c r="V230" s="382">
        <f t="shared" si="85"/>
        <v>55.399421643612314</v>
      </c>
      <c r="W230" s="400">
        <f t="shared" si="86"/>
        <v>51.264435020288524</v>
      </c>
      <c r="X230" s="157">
        <f t="shared" si="87"/>
        <v>45873</v>
      </c>
      <c r="Y230" s="383">
        <f t="shared" si="88"/>
        <v>48.588022835358132</v>
      </c>
      <c r="Z230" s="383">
        <f t="shared" si="89"/>
        <v>50.867266907800321</v>
      </c>
      <c r="AA230" s="384">
        <f t="shared" si="90"/>
        <v>54.678448083778072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6.97017071541291E-2</v>
      </c>
      <c r="AD230" s="230">
        <f>(INDEX(Models!$BJ230:$BT230,,AH230)*(1-AF230)+INDEX(Models!$BJ230:$BT230,,AH230+1)*AF230-ERP_i)*AE230*Ramure*Pc/MaxiM</f>
        <v>5.8348058433712821E-4</v>
      </c>
      <c r="AE230" s="304">
        <f t="shared" si="92"/>
        <v>0.6</v>
      </c>
      <c r="AF230" s="177">
        <f t="shared" si="93"/>
        <v>0.95196279812356166</v>
      </c>
      <c r="AG230" s="799">
        <f t="shared" si="99"/>
        <v>1</v>
      </c>
      <c r="AH230" s="176">
        <f t="shared" si="94"/>
        <v>7</v>
      </c>
      <c r="AI230" s="224">
        <f t="shared" si="95"/>
        <v>1.9519627981235617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'2024'!Wh/'2024'!Env_an*'2025'!Env_an</f>
        <v>46.553839470888086</v>
      </c>
      <c r="C231" s="829"/>
      <c r="D231" s="391">
        <f t="shared" si="77"/>
        <v>48.738594906371702</v>
      </c>
      <c r="E231" s="383">
        <f t="shared" si="75"/>
        <v>49.660117560519325</v>
      </c>
      <c r="F231" s="383">
        <f t="shared" si="78"/>
        <v>49.683073675597548</v>
      </c>
      <c r="G231" s="110">
        <f t="shared" si="76"/>
        <v>0.84236963502275175</v>
      </c>
      <c r="H231" s="412" t="b">
        <f>Wh_hp&gt;='2024'!Maxi_hp</f>
        <v>0</v>
      </c>
      <c r="I231" s="388">
        <f>IF(H231,Wh_hp,'2024'!Maxi_hp)</f>
        <v>57.498472641811972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4.4825983179872075E-2</v>
      </c>
      <c r="M231" s="832"/>
      <c r="N231" s="832"/>
      <c r="O231" s="48">
        <f>IF(t&lt;Tnet,'2024'!Resal+('2024'!Salim-'2024'!Resal)*(1-EXP(('2024'!Tnet-t)/('2024'!Tau_j))),Resal+(Salim-Resal)*(1-EXP((Tnet-t)/(Tau_j))))*Salcycl</f>
        <v>1.8556594293692288E-2</v>
      </c>
      <c r="P231" s="169">
        <f>(INDEX(Models!$BJ231:$BT231,,T231)*(1-R231)+INDEX(Models!$BJ231:$BT231,,T231+1)*R231-ERP_i)*Q231*Ramure*Pc/MaxiM</f>
        <v>5.9621386402056349E-4</v>
      </c>
      <c r="Q231" s="304">
        <f t="shared" si="80"/>
        <v>0.6</v>
      </c>
      <c r="R231" s="177">
        <f t="shared" si="81"/>
        <v>0.95369445609720405</v>
      </c>
      <c r="S231" s="799">
        <f t="shared" si="82"/>
        <v>1</v>
      </c>
      <c r="T231" s="176">
        <f t="shared" si="83"/>
        <v>7</v>
      </c>
      <c r="U231" s="250">
        <f t="shared" si="84"/>
        <v>1.953694456097204</v>
      </c>
      <c r="V231" s="382">
        <f t="shared" si="85"/>
        <v>55.257916303112829</v>
      </c>
      <c r="W231" s="400">
        <f t="shared" si="86"/>
        <v>46.553839470888086</v>
      </c>
      <c r="X231" s="157">
        <f t="shared" si="87"/>
        <v>45874</v>
      </c>
      <c r="Y231" s="383">
        <f t="shared" si="88"/>
        <v>44.125660707748551</v>
      </c>
      <c r="Z231" s="383">
        <f t="shared" si="89"/>
        <v>46.196462561499935</v>
      </c>
      <c r="AA231" s="384">
        <f t="shared" si="90"/>
        <v>49.660117560519325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6.9747217066055786E-2</v>
      </c>
      <c r="AD231" s="230">
        <f>(INDEX(Models!$BJ231:$BT231,,AH231)*(1-AF231)+INDEX(Models!$BJ231:$BT231,,AH231+1)*AF231-ERP_i)*AE231*Ramure*Pc/MaxiM</f>
        <v>5.9621386402056349E-4</v>
      </c>
      <c r="AE231" s="304">
        <f t="shared" si="92"/>
        <v>0.6</v>
      </c>
      <c r="AF231" s="177">
        <f t="shared" si="93"/>
        <v>0.95369445609720405</v>
      </c>
      <c r="AG231" s="799">
        <f t="shared" si="99"/>
        <v>1</v>
      </c>
      <c r="AH231" s="176">
        <f t="shared" si="94"/>
        <v>7</v>
      </c>
      <c r="AI231" s="224">
        <f t="shared" si="95"/>
        <v>1.953694456097204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'2024'!Wh/'2024'!Env_an*'2025'!Env_an</f>
        <v>51.118010550073592</v>
      </c>
      <c r="C232" s="829"/>
      <c r="D232" s="391">
        <f t="shared" si="77"/>
        <v>53.517986601059</v>
      </c>
      <c r="E232" s="383">
        <f t="shared" si="75"/>
        <v>54.535381298670394</v>
      </c>
      <c r="F232" s="383">
        <f t="shared" si="78"/>
        <v>54.565188642197874</v>
      </c>
      <c r="G232" s="110">
        <f t="shared" si="76"/>
        <v>0.92743681659873112</v>
      </c>
      <c r="H232" s="412" t="b">
        <f>Wh_hp&gt;='2024'!Maxi_hp</f>
        <v>0</v>
      </c>
      <c r="I232" s="388">
        <f>IF(H232,Wh_hp,'2024'!Maxi_hp)</f>
        <v>58.413322100606401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4.484428887199432E-2</v>
      </c>
      <c r="M232" s="832"/>
      <c r="N232" s="832"/>
      <c r="O232" s="48">
        <f>IF(t&lt;Tnet,'2024'!Resal+('2024'!Salim-'2024'!Resal)*(1-EXP(('2024'!Tnet-t)/('2024'!Tau_j))),Resal+(Salim-Resal)*(1-EXP((Tnet-t)/(Tau_j))))*Salcycl</f>
        <v>1.8655681383054734E-2</v>
      </c>
      <c r="P232" s="169">
        <f>(INDEX(Models!$BJ232:$BT232,,T232)*(1-R232)+INDEX(Models!$BJ232:$BT232,,T232+1)*R232-ERP_i)*Q232*Ramure*Pc/MaxiM</f>
        <v>6.0938970254801759E-4</v>
      </c>
      <c r="Q232" s="304">
        <f t="shared" si="80"/>
        <v>0.6</v>
      </c>
      <c r="R232" s="177">
        <f t="shared" si="81"/>
        <v>0.9553688734067356</v>
      </c>
      <c r="S232" s="799">
        <f t="shared" si="82"/>
        <v>1</v>
      </c>
      <c r="T232" s="176">
        <f t="shared" si="83"/>
        <v>7</v>
      </c>
      <c r="U232" s="250">
        <f t="shared" si="84"/>
        <v>1.9553688734067356</v>
      </c>
      <c r="V232" s="382">
        <f t="shared" si="85"/>
        <v>55.114031850903949</v>
      </c>
      <c r="W232" s="400">
        <f t="shared" si="86"/>
        <v>51.118010550073592</v>
      </c>
      <c r="X232" s="157">
        <f t="shared" si="87"/>
        <v>45875</v>
      </c>
      <c r="Y232" s="383">
        <f t="shared" si="88"/>
        <v>48.454304287738303</v>
      </c>
      <c r="Z232" s="383">
        <f t="shared" si="89"/>
        <v>50.729220087597504</v>
      </c>
      <c r="AA232" s="384">
        <f t="shared" si="90"/>
        <v>54.535381298670394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6.9792511218137995E-2</v>
      </c>
      <c r="AD232" s="230">
        <f>(INDEX(Models!$BJ232:$BT232,,AH232)*(1-AF232)+INDEX(Models!$BJ232:$BT232,,AH232+1)*AF232-ERP_i)*AE232*Ramure*Pc/MaxiM</f>
        <v>6.0938970254801759E-4</v>
      </c>
      <c r="AE232" s="304">
        <f t="shared" si="92"/>
        <v>0.6</v>
      </c>
      <c r="AF232" s="177">
        <f t="shared" si="93"/>
        <v>0.9553688734067356</v>
      </c>
      <c r="AG232" s="799">
        <f t="shared" si="99"/>
        <v>1</v>
      </c>
      <c r="AH232" s="176">
        <f t="shared" si="94"/>
        <v>7</v>
      </c>
      <c r="AI232" s="224">
        <f t="shared" si="95"/>
        <v>1.9553688734067356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'2024'!Wh/'2024'!Env_an*'2025'!Env_an</f>
        <v>53.790741031365769</v>
      </c>
      <c r="C233" s="829"/>
      <c r="D233" s="391">
        <f t="shared" si="77"/>
        <v>56.317280325819205</v>
      </c>
      <c r="E233" s="383">
        <f t="shared" ref="E233:E296" si="100">Wh_pvt/(1-Psa)</f>
        <v>57.393676815149568</v>
      </c>
      <c r="F233" s="383">
        <f t="shared" si="78"/>
        <v>57.428360265306821</v>
      </c>
      <c r="G233" s="110">
        <f t="shared" ref="G233:G296" si="101">+Wh_hp/MaxiM</f>
        <v>0.97856033737125703</v>
      </c>
      <c r="H233" s="412" t="b">
        <f>Wh_hp&gt;='2024'!Maxi_hp</f>
        <v>0</v>
      </c>
      <c r="I233" s="388">
        <f>IF(H233,Wh_hp,'2024'!Maxi_hp)</f>
        <v>57.429006468910806</v>
      </c>
      <c r="J233" s="85">
        <f>IF(H233,An,'2024'!An_max)</f>
        <v>2022</v>
      </c>
      <c r="K233" s="197">
        <f t="shared" si="79"/>
        <v>45876</v>
      </c>
      <c r="L233" s="147">
        <f>IF(t&lt;Tvie,1-EXP((T0-t)*PertePVj)+'2024'!Pspv,1-EXP((T0-t)*PertePVj)+Pspv)</f>
        <v>4.4862594213291973E-2</v>
      </c>
      <c r="M233" s="832"/>
      <c r="N233" s="832"/>
      <c r="O233" s="48">
        <f>IF(t&lt;Tnet,'2024'!Resal+('2024'!Salim-'2024'!Resal)*(1-EXP(('2024'!Tnet-t)/('2024'!Tau_j))),Resal+(Salim-Resal)*(1-EXP((Tnet-t)/(Tau_j))))*Salcycl</f>
        <v>1.8754618087932644E-2</v>
      </c>
      <c r="P233" s="169">
        <f>(INDEX(Models!$BJ233:$BT233,,T233)*(1-R233)+INDEX(Models!$BJ233:$BT233,,T233+1)*R233-ERP_i)*Q233*Ramure*Pc/MaxiM</f>
        <v>6.2300781974591879E-4</v>
      </c>
      <c r="Q233" s="304">
        <f t="shared" si="80"/>
        <v>0.6</v>
      </c>
      <c r="R233" s="177">
        <f t="shared" si="81"/>
        <v>0.95698749728629906</v>
      </c>
      <c r="S233" s="799">
        <f t="shared" si="82"/>
        <v>1</v>
      </c>
      <c r="T233" s="176">
        <f t="shared" si="83"/>
        <v>7</v>
      </c>
      <c r="U233" s="250">
        <f t="shared" si="84"/>
        <v>1.9569874972862991</v>
      </c>
      <c r="V233" s="382">
        <f t="shared" si="85"/>
        <v>54.968214877489245</v>
      </c>
      <c r="W233" s="400">
        <f t="shared" si="86"/>
        <v>53.790741031365769</v>
      </c>
      <c r="X233" s="157">
        <f t="shared" si="87"/>
        <v>45876</v>
      </c>
      <c r="Y233" s="383">
        <f t="shared" si="88"/>
        <v>50.990431201338708</v>
      </c>
      <c r="Z233" s="383">
        <f t="shared" si="89"/>
        <v>53.385440557989618</v>
      </c>
      <c r="AA233" s="384">
        <f t="shared" si="90"/>
        <v>57.393676815149568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6.9837593260830055E-2</v>
      </c>
      <c r="AD233" s="230">
        <f>(INDEX(Models!$BJ233:$BT233,,AH233)*(1-AF233)+INDEX(Models!$BJ233:$BT233,,AH233+1)*AF233-ERP_i)*AE233*Ramure*Pc/MaxiM</f>
        <v>6.2300781974591879E-4</v>
      </c>
      <c r="AE233" s="304">
        <f t="shared" si="92"/>
        <v>0.6</v>
      </c>
      <c r="AF233" s="177">
        <f t="shared" si="93"/>
        <v>0.95698749728629906</v>
      </c>
      <c r="AG233" s="799">
        <f t="shared" si="99"/>
        <v>1</v>
      </c>
      <c r="AH233" s="176">
        <f t="shared" si="94"/>
        <v>7</v>
      </c>
      <c r="AI233" s="224">
        <f t="shared" si="95"/>
        <v>1.9569874972862991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'2024'!Wh/'2024'!Env_an*'2025'!Env_an</f>
        <v>54.242563130633016</v>
      </c>
      <c r="C234" s="829"/>
      <c r="D234" s="391">
        <f t="shared" si="77"/>
        <v>56.791412804344617</v>
      </c>
      <c r="E234" s="383">
        <f t="shared" si="100"/>
        <v>57.882698738814739</v>
      </c>
      <c r="F234" s="383">
        <f t="shared" si="78"/>
        <v>57.919062209783874</v>
      </c>
      <c r="G234" s="110">
        <f t="shared" si="101"/>
        <v>0.98944354883235797</v>
      </c>
      <c r="H234" s="412" t="b">
        <f>Wh_hp&gt;='2024'!Maxi_hp</f>
        <v>0</v>
      </c>
      <c r="I234" s="388">
        <f>IF(H234,Wh_hp,'2024'!Maxi_hp)</f>
        <v>57.919390552745952</v>
      </c>
      <c r="J234" s="85">
        <f>IF(H234,An,'2024'!An_max)</f>
        <v>2022</v>
      </c>
      <c r="K234" s="197">
        <f t="shared" si="79"/>
        <v>45877</v>
      </c>
      <c r="L234" s="147">
        <f>IF(t&lt;Tvie,1-EXP((T0-t)*PertePVj)+'2024'!Pspv,1-EXP((T0-t)*PertePVj)+Pspv)</f>
        <v>4.4880899203772029E-2</v>
      </c>
      <c r="M234" s="832"/>
      <c r="N234" s="832"/>
      <c r="O234" s="48">
        <f>IF(t&lt;Tnet,'2024'!Resal+('2024'!Salim-'2024'!Resal)*(1-EXP(('2024'!Tnet-t)/('2024'!Tau_j))),Resal+(Salim-Resal)*(1-EXP((Tnet-t)/(Tau_j))))*Salcycl</f>
        <v>1.8853404527566259E-2</v>
      </c>
      <c r="P234" s="169">
        <f>(INDEX(Models!$BJ234:$BT234,,T234)*(1-R234)+INDEX(Models!$BJ234:$BT234,,T234+1)*R234-ERP_i)*Q234*Ramure*Pc/MaxiM</f>
        <v>6.3743682223414689E-4</v>
      </c>
      <c r="Q234" s="304">
        <f t="shared" si="80"/>
        <v>0.6</v>
      </c>
      <c r="R234" s="177">
        <f t="shared" si="81"/>
        <v>0.95855177121922064</v>
      </c>
      <c r="S234" s="799">
        <f t="shared" si="82"/>
        <v>1</v>
      </c>
      <c r="T234" s="176">
        <f t="shared" si="83"/>
        <v>7</v>
      </c>
      <c r="U234" s="250">
        <f t="shared" si="84"/>
        <v>1.9585517712192206</v>
      </c>
      <c r="V234" s="382">
        <f t="shared" si="85"/>
        <v>54.8207544589741</v>
      </c>
      <c r="W234" s="400">
        <f t="shared" si="86"/>
        <v>54.242563130633016</v>
      </c>
      <c r="X234" s="157">
        <f t="shared" si="87"/>
        <v>45877</v>
      </c>
      <c r="Y234" s="383">
        <f t="shared" si="88"/>
        <v>51.42142806859394</v>
      </c>
      <c r="Z234" s="383">
        <f t="shared" si="89"/>
        <v>53.837713040946248</v>
      </c>
      <c r="AA234" s="384">
        <f t="shared" si="90"/>
        <v>57.882698738814739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6.9882465503565389E-2</v>
      </c>
      <c r="AD234" s="230">
        <f>(INDEX(Models!$BJ234:$BT234,,AH234)*(1-AF234)+INDEX(Models!$BJ234:$BT234,,AH234+1)*AF234-ERP_i)*AE234*Ramure*Pc/MaxiM</f>
        <v>6.3743682223414689E-4</v>
      </c>
      <c r="AE234" s="304">
        <f t="shared" si="92"/>
        <v>0.6</v>
      </c>
      <c r="AF234" s="177">
        <f t="shared" si="93"/>
        <v>0.95855177121922064</v>
      </c>
      <c r="AG234" s="799">
        <f t="shared" si="99"/>
        <v>1</v>
      </c>
      <c r="AH234" s="176">
        <f t="shared" si="94"/>
        <v>7</v>
      </c>
      <c r="AI234" s="224">
        <f t="shared" si="95"/>
        <v>1.9585517712192206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'2024'!Wh/'2024'!Env_an*'2025'!Env_an</f>
        <v>52.205656236435985</v>
      </c>
      <c r="C235" s="829"/>
      <c r="D235" s="391">
        <f t="shared" si="77"/>
        <v>54.659839512769608</v>
      </c>
      <c r="E235" s="383">
        <f t="shared" si="100"/>
        <v>55.715766984674971</v>
      </c>
      <c r="F235" s="383">
        <f t="shared" si="78"/>
        <v>55.749810257621732</v>
      </c>
      <c r="G235" s="110">
        <f t="shared" si="101"/>
        <v>0.95485787127250077</v>
      </c>
      <c r="H235" s="412" t="b">
        <f>Wh_hp&gt;='2024'!Maxi_hp</f>
        <v>0</v>
      </c>
      <c r="I235" s="388">
        <f>IF(H235,Wh_hp,'2024'!Maxi_hp)</f>
        <v>56.144783633335642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4.4899203843441149E-2</v>
      </c>
      <c r="M235" s="832"/>
      <c r="N235" s="832"/>
      <c r="O235" s="48">
        <f>IF(t&lt;Tnet,'2024'!Resal+('2024'!Salim-'2024'!Resal)*(1-EXP(('2024'!Tnet-t)/('2024'!Tau_j))),Resal+(Salim-Resal)*(1-EXP((Tnet-t)/(Tau_j))))*Salcycl</f>
        <v>1.8952040491442914E-2</v>
      </c>
      <c r="P235" s="169">
        <f>(INDEX(Models!$BJ235:$BT235,,T235)*(1-R235)+INDEX(Models!$BJ235:$BT235,,T235+1)*R235-ERP_i)*Q235*Ramure*Pc/MaxiM</f>
        <v>6.5269795764578563E-4</v>
      </c>
      <c r="Q235" s="304">
        <f t="shared" si="80"/>
        <v>0.6</v>
      </c>
      <c r="R235" s="177">
        <f t="shared" si="81"/>
        <v>0.96006313208784899</v>
      </c>
      <c r="S235" s="799">
        <f t="shared" si="82"/>
        <v>1</v>
      </c>
      <c r="T235" s="176">
        <f t="shared" si="83"/>
        <v>7</v>
      </c>
      <c r="U235" s="250">
        <f t="shared" si="84"/>
        <v>1.960063132087849</v>
      </c>
      <c r="V235" s="382">
        <f t="shared" si="85"/>
        <v>54.671444827339883</v>
      </c>
      <c r="W235" s="400">
        <f t="shared" si="86"/>
        <v>52.205656236435985</v>
      </c>
      <c r="X235" s="157">
        <f t="shared" si="87"/>
        <v>45878</v>
      </c>
      <c r="Y235" s="383">
        <f t="shared" si="88"/>
        <v>49.493059037831962</v>
      </c>
      <c r="Z235" s="383">
        <f t="shared" si="89"/>
        <v>51.819723360087252</v>
      </c>
      <c r="AA235" s="384">
        <f t="shared" si="90"/>
        <v>55.715766984674971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6.9927128987730736E-2</v>
      </c>
      <c r="AD235" s="230">
        <f>(INDEX(Models!$BJ235:$BT235,,AH235)*(1-AF235)+INDEX(Models!$BJ235:$BT235,,AH235+1)*AF235-ERP_i)*AE235*Ramure*Pc/MaxiM</f>
        <v>6.5269795764578563E-4</v>
      </c>
      <c r="AE235" s="304">
        <f t="shared" si="92"/>
        <v>0.6</v>
      </c>
      <c r="AF235" s="177">
        <f t="shared" si="93"/>
        <v>0.96006313208784899</v>
      </c>
      <c r="AG235" s="799">
        <f t="shared" si="99"/>
        <v>1</v>
      </c>
      <c r="AH235" s="176">
        <f t="shared" si="94"/>
        <v>7</v>
      </c>
      <c r="AI235" s="224">
        <f t="shared" si="95"/>
        <v>1.960063132087849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'2024'!Wh/'2024'!Env_an*'2025'!Env_an</f>
        <v>49.331753096691429</v>
      </c>
      <c r="C236" s="829"/>
      <c r="D236" s="391">
        <f t="shared" si="77"/>
        <v>51.651824336368712</v>
      </c>
      <c r="E236" s="383">
        <f t="shared" si="100"/>
        <v>52.65492838983608</v>
      </c>
      <c r="F236" s="383">
        <f t="shared" si="78"/>
        <v>52.68537416060142</v>
      </c>
      <c r="G236" s="110">
        <f t="shared" si="101"/>
        <v>0.90475406980315121</v>
      </c>
      <c r="H236" s="412" t="b">
        <f>Wh_hp&gt;='2024'!Maxi_hp</f>
        <v>0</v>
      </c>
      <c r="I236" s="388">
        <f>IF(H236,Wh_hp,'2024'!Maxi_hp)</f>
        <v>53.37794367209424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4.4917508132305994E-2</v>
      </c>
      <c r="M236" s="832"/>
      <c r="N236" s="832"/>
      <c r="O236" s="48">
        <f>IF(t&lt;Tnet,'2024'!Resal+('2024'!Salim-'2024'!Resal)*(1-EXP(('2024'!Tnet-t)/('2024'!Tau_j))),Resal+(Salim-Resal)*(1-EXP((Tnet-t)/(Tau_j))))*Salcycl</f>
        <v>1.9050525452067521E-2</v>
      </c>
      <c r="P236" s="169">
        <f>(INDEX(Models!$BJ236:$BT236,,T236)*(1-R236)+INDEX(Models!$BJ236:$BT236,,T236+1)*R236-ERP_i)*Q236*Ramure*Pc/MaxiM</f>
        <v>6.6880118504045747E-4</v>
      </c>
      <c r="Q236" s="304">
        <f t="shared" si="80"/>
        <v>0.6</v>
      </c>
      <c r="R236" s="177">
        <f t="shared" si="81"/>
        <v>0.9615230075537462</v>
      </c>
      <c r="S236" s="799">
        <f t="shared" si="82"/>
        <v>1</v>
      </c>
      <c r="T236" s="176">
        <f t="shared" si="83"/>
        <v>7</v>
      </c>
      <c r="U236" s="250">
        <f t="shared" si="84"/>
        <v>1.9615230075537462</v>
      </c>
      <c r="V236" s="382">
        <f t="shared" si="85"/>
        <v>54.520080979152965</v>
      </c>
      <c r="W236" s="400">
        <f t="shared" si="86"/>
        <v>49.331753096691429</v>
      </c>
      <c r="X236" s="157">
        <f t="shared" si="87"/>
        <v>45879</v>
      </c>
      <c r="Y236" s="383">
        <f t="shared" si="88"/>
        <v>46.770943257539869</v>
      </c>
      <c r="Z236" s="383">
        <f t="shared" si="89"/>
        <v>48.970579668021983</v>
      </c>
      <c r="AA236" s="384">
        <f t="shared" si="90"/>
        <v>52.65492838983608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6.9971583562637343E-2</v>
      </c>
      <c r="AD236" s="230">
        <f>(INDEX(Models!$BJ236:$BT236,,AH236)*(1-AF236)+INDEX(Models!$BJ236:$BT236,,AH236+1)*AF236-ERP_i)*AE236*Ramure*Pc/MaxiM</f>
        <v>6.6880118504045747E-4</v>
      </c>
      <c r="AE236" s="304">
        <f t="shared" si="92"/>
        <v>0.6</v>
      </c>
      <c r="AF236" s="177">
        <f t="shared" si="93"/>
        <v>0.9615230075537462</v>
      </c>
      <c r="AG236" s="799">
        <f t="shared" si="99"/>
        <v>1</v>
      </c>
      <c r="AH236" s="176">
        <f t="shared" si="94"/>
        <v>7</v>
      </c>
      <c r="AI236" s="224">
        <f t="shared" si="95"/>
        <v>1.9615230075537462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'2024'!Wh/'2024'!Env_an*'2025'!Env_an</f>
        <v>47.701738059514888</v>
      </c>
      <c r="C237" s="829"/>
      <c r="D237" s="391">
        <f t="shared" si="77"/>
        <v>49.946106934364245</v>
      </c>
      <c r="E237" s="383">
        <f t="shared" si="100"/>
        <v>50.921189592538617</v>
      </c>
      <c r="F237" s="383">
        <f t="shared" si="78"/>
        <v>50.950010091480948</v>
      </c>
      <c r="G237" s="110">
        <f t="shared" si="101"/>
        <v>0.87730574743774592</v>
      </c>
      <c r="H237" s="412" t="b">
        <f>Wh_hp&gt;='2024'!Maxi_hp</f>
        <v>0</v>
      </c>
      <c r="I237" s="388">
        <f>IF(H237,Wh_hp,'2024'!Maxi_hp)</f>
        <v>51.914944304147305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4.4935812070373227E-2</v>
      </c>
      <c r="M237" s="832"/>
      <c r="N237" s="832"/>
      <c r="O237" s="48">
        <f>IF(t&lt;Tnet,'2024'!Resal+('2024'!Salim-'2024'!Resal)*(1-EXP(('2024'!Tnet-t)/('2024'!Tau_j))),Resal+(Salim-Resal)*(1-EXP((Tnet-t)/(Tau_j))))*Salcycl</f>
        <v>1.9148858578850795E-2</v>
      </c>
      <c r="P237" s="169">
        <f>(INDEX(Models!$BJ237:$BT237,,T237)*(1-R237)+INDEX(Models!$BJ237:$BT237,,T237+1)*R237-ERP_i)*Q237*Ramure*Pc/MaxiM</f>
        <v>6.8575672093347734E-4</v>
      </c>
      <c r="Q237" s="304">
        <f t="shared" si="80"/>
        <v>0.6</v>
      </c>
      <c r="R237" s="177">
        <f t="shared" si="81"/>
        <v>0.96293281366008854</v>
      </c>
      <c r="S237" s="799">
        <f t="shared" si="82"/>
        <v>1</v>
      </c>
      <c r="T237" s="176">
        <f t="shared" si="83"/>
        <v>7</v>
      </c>
      <c r="U237" s="250">
        <f t="shared" si="84"/>
        <v>1.9629328136600885</v>
      </c>
      <c r="V237" s="382">
        <f t="shared" si="85"/>
        <v>54.366458036966186</v>
      </c>
      <c r="W237" s="400">
        <f t="shared" si="86"/>
        <v>47.701738059514888</v>
      </c>
      <c r="X237" s="157">
        <f t="shared" si="87"/>
        <v>45880</v>
      </c>
      <c r="Y237" s="383">
        <f t="shared" si="88"/>
        <v>45.227924504133121</v>
      </c>
      <c r="Z237" s="383">
        <f t="shared" si="89"/>
        <v>47.355900342339829</v>
      </c>
      <c r="AA237" s="384">
        <f t="shared" si="90"/>
        <v>50.921189592538617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7.0015827963320079E-2</v>
      </c>
      <c r="AD237" s="230">
        <f>(INDEX(Models!$BJ237:$BT237,,AH237)*(1-AF237)+INDEX(Models!$BJ237:$BT237,,AH237+1)*AF237-ERP_i)*AE237*Ramure*Pc/MaxiM</f>
        <v>6.8575672093347734E-4</v>
      </c>
      <c r="AE237" s="304">
        <f t="shared" si="92"/>
        <v>0.6</v>
      </c>
      <c r="AF237" s="177">
        <f t="shared" si="93"/>
        <v>0.96293281366008854</v>
      </c>
      <c r="AG237" s="799">
        <f t="shared" si="99"/>
        <v>1</v>
      </c>
      <c r="AH237" s="176">
        <f t="shared" si="94"/>
        <v>7</v>
      </c>
      <c r="AI237" s="224">
        <f t="shared" si="95"/>
        <v>1.9629328136600885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'2024'!Wh/'2024'!Env_an*'2025'!Env_an</f>
        <v>48.64928338562958</v>
      </c>
      <c r="C238" s="829"/>
      <c r="D238" s="391">
        <f t="shared" si="77"/>
        <v>50.9392105481191</v>
      </c>
      <c r="E238" s="383">
        <f t="shared" si="100"/>
        <v>51.938880187872634</v>
      </c>
      <c r="F238" s="383">
        <f t="shared" si="78"/>
        <v>51.9700865456076</v>
      </c>
      <c r="G238" s="110">
        <f t="shared" si="101"/>
        <v>0.89732394647219871</v>
      </c>
      <c r="H238" s="412" t="b">
        <f>Wh_hp&gt;='2024'!Maxi_hp</f>
        <v>0</v>
      </c>
      <c r="I238" s="388">
        <f>IF(H238,Wh_hp,'2024'!Maxi_hp)</f>
        <v>51.973251161233648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4.4954115657649729E-2</v>
      </c>
      <c r="M238" s="832"/>
      <c r="N238" s="832"/>
      <c r="O238" s="48">
        <f>IF(t&lt;Tnet,'2024'!Resal+('2024'!Salim-'2024'!Resal)*(1-EXP(('2024'!Tnet-t)/('2024'!Tau_j))),Resal+(Salim-Resal)*(1-EXP((Tnet-t)/(Tau_j))))*Salcycl</f>
        <v>1.9247038752809885E-2</v>
      </c>
      <c r="P238" s="169">
        <f>(INDEX(Models!$BJ238:$BT238,,T238)*(1-R238)+INDEX(Models!$BJ238:$BT238,,T238+1)*R238-ERP_i)*Q238*Ramure*Pc/MaxiM</f>
        <v>7.0357507557778764E-4</v>
      </c>
      <c r="Q238" s="304">
        <f t="shared" si="80"/>
        <v>0.6</v>
      </c>
      <c r="R238" s="177">
        <f t="shared" si="81"/>
        <v>0.96429395264765461</v>
      </c>
      <c r="S238" s="799">
        <f t="shared" si="82"/>
        <v>1</v>
      </c>
      <c r="T238" s="176">
        <f t="shared" si="83"/>
        <v>7</v>
      </c>
      <c r="U238" s="250">
        <f t="shared" si="84"/>
        <v>1.9642939526476546</v>
      </c>
      <c r="V238" s="382">
        <f t="shared" si="85"/>
        <v>54.210371251720161</v>
      </c>
      <c r="W238" s="400">
        <f t="shared" si="86"/>
        <v>48.64928338562958</v>
      </c>
      <c r="X238" s="157">
        <f t="shared" si="87"/>
        <v>45881</v>
      </c>
      <c r="Y238" s="383">
        <f t="shared" si="88"/>
        <v>46.128763506765317</v>
      </c>
      <c r="Z238" s="383">
        <f t="shared" si="89"/>
        <v>48.300049519117955</v>
      </c>
      <c r="AA238" s="384">
        <f t="shared" si="90"/>
        <v>51.938880187872634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7.0059859889014683E-2</v>
      </c>
      <c r="AD238" s="230">
        <f>(INDEX(Models!$BJ238:$BT238,,AH238)*(1-AF238)+INDEX(Models!$BJ238:$BT238,,AH238+1)*AF238-ERP_i)*AE238*Ramure*Pc/MaxiM</f>
        <v>7.0357507557778764E-4</v>
      </c>
      <c r="AE238" s="304">
        <f t="shared" si="92"/>
        <v>0.6</v>
      </c>
      <c r="AF238" s="177">
        <f t="shared" si="93"/>
        <v>0.96429395264765461</v>
      </c>
      <c r="AG238" s="799">
        <f t="shared" si="99"/>
        <v>1</v>
      </c>
      <c r="AH238" s="176">
        <f t="shared" si="94"/>
        <v>7</v>
      </c>
      <c r="AI238" s="224">
        <f t="shared" si="95"/>
        <v>1.9642939526476546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'2024'!Wh/'2024'!Env_an*'2025'!Env_an</f>
        <v>36.611628730667647</v>
      </c>
      <c r="C239" s="829"/>
      <c r="D239" s="391">
        <f t="shared" si="77"/>
        <v>38.335676848488333</v>
      </c>
      <c r="E239" s="383">
        <f t="shared" si="100"/>
        <v>39.091912418856126</v>
      </c>
      <c r="F239" s="383">
        <f t="shared" si="78"/>
        <v>39.107138748021775</v>
      </c>
      <c r="G239" s="110">
        <f t="shared" si="101"/>
        <v>0.67712009412742069</v>
      </c>
      <c r="H239" s="412" t="b">
        <f>Wh_hp&gt;='2024'!Maxi_hp</f>
        <v>0</v>
      </c>
      <c r="I239" s="388">
        <f>IF(H239,Wh_hp,'2024'!Maxi_hp)</f>
        <v>49.870847104426645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4.4972418894142274E-2</v>
      </c>
      <c r="M239" s="832"/>
      <c r="N239" s="832"/>
      <c r="O239" s="48">
        <f>IF(t&lt;Tnet,'2024'!Resal+('2024'!Salim-'2024'!Resal)*(1-EXP(('2024'!Tnet-t)/('2024'!Tau_j))),Resal+(Salim-Resal)*(1-EXP((Tnet-t)/(Tau_j))))*Salcycl</f>
        <v>1.9345064581773125E-2</v>
      </c>
      <c r="P239" s="169">
        <f>(INDEX(Models!$BJ239:$BT239,,T239)*(1-R239)+INDEX(Models!$BJ239:$BT239,,T239+1)*R239-ERP_i)*Q239*Ramure*Pc/MaxiM</f>
        <v>7.2226708999767973E-4</v>
      </c>
      <c r="Q239" s="304">
        <f t="shared" si="80"/>
        <v>0.6</v>
      </c>
      <c r="R239" s="177">
        <f t="shared" si="81"/>
        <v>0.96560781097539827</v>
      </c>
      <c r="S239" s="799">
        <f t="shared" si="82"/>
        <v>1</v>
      </c>
      <c r="T239" s="176">
        <f t="shared" si="83"/>
        <v>7</v>
      </c>
      <c r="U239" s="250">
        <f t="shared" si="84"/>
        <v>1.9656078109753983</v>
      </c>
      <c r="V239" s="382">
        <f t="shared" si="85"/>
        <v>54.051615999353636</v>
      </c>
      <c r="W239" s="400">
        <f t="shared" si="86"/>
        <v>36.611628730667647</v>
      </c>
      <c r="X239" s="157">
        <f t="shared" si="87"/>
        <v>45882</v>
      </c>
      <c r="Y239" s="383">
        <f t="shared" si="88"/>
        <v>34.716614111373026</v>
      </c>
      <c r="Z239" s="383">
        <f t="shared" si="89"/>
        <v>36.351425653250267</v>
      </c>
      <c r="AA239" s="384">
        <f t="shared" si="90"/>
        <v>39.091912418856126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7.0103676081193014E-2</v>
      </c>
      <c r="AD239" s="230">
        <f>(INDEX(Models!$BJ239:$BT239,,AH239)*(1-AF239)+INDEX(Models!$BJ239:$BT239,,AH239+1)*AF239-ERP_i)*AE239*Ramure*Pc/MaxiM</f>
        <v>7.2226708999767973E-4</v>
      </c>
      <c r="AE239" s="304">
        <f t="shared" si="92"/>
        <v>0.6</v>
      </c>
      <c r="AF239" s="177">
        <f t="shared" si="93"/>
        <v>0.96560781097539827</v>
      </c>
      <c r="AG239" s="799">
        <f t="shared" si="99"/>
        <v>1</v>
      </c>
      <c r="AH239" s="176">
        <f t="shared" si="94"/>
        <v>7</v>
      </c>
      <c r="AI239" s="224">
        <f t="shared" si="95"/>
        <v>1.9656078109753983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'2024'!Wh/'2024'!Env_an*'2025'!Env_an</f>
        <v>34.751134858182141</v>
      </c>
      <c r="C240" s="829"/>
      <c r="D240" s="391">
        <f t="shared" si="77"/>
        <v>36.388269361055912</v>
      </c>
      <c r="E240" s="383">
        <f t="shared" si="100"/>
        <v>37.109792625251949</v>
      </c>
      <c r="F240" s="383">
        <f t="shared" si="78"/>
        <v>37.123364799475297</v>
      </c>
      <c r="G240" s="110">
        <f t="shared" si="101"/>
        <v>0.64461055721164451</v>
      </c>
      <c r="H240" s="412" t="b">
        <f>Wh_hp&gt;='2024'!Maxi_hp</f>
        <v>0</v>
      </c>
      <c r="I240" s="388">
        <f>IF(H240,Wh_hp,'2024'!Maxi_hp)</f>
        <v>56.99494858795164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4.4990721779857301E-2</v>
      </c>
      <c r="M240" s="832"/>
      <c r="N240" s="832"/>
      <c r="O240" s="48">
        <f>IF(t&lt;Tnet,'2024'!Resal+('2024'!Salim-'2024'!Resal)*(1-EXP(('2024'!Tnet-t)/('2024'!Tau_j))),Resal+(Salim-Resal)*(1-EXP((Tnet-t)/(Tau_j))))*Salcycl</f>
        <v>1.9442934415781817E-2</v>
      </c>
      <c r="P240" s="169">
        <f>(INDEX(Models!$BJ240:$BT240,,T240)*(1-R240)+INDEX(Models!$BJ240:$BT240,,T240+1)*R240-ERP_i)*Q240*Ramure*Pc/MaxiM</f>
        <v>7.4210536555106019E-4</v>
      </c>
      <c r="Q240" s="304">
        <f t="shared" si="80"/>
        <v>0.6</v>
      </c>
      <c r="R240" s="177">
        <f t="shared" si="81"/>
        <v>0.96687575753634714</v>
      </c>
      <c r="S240" s="799">
        <f t="shared" si="82"/>
        <v>1</v>
      </c>
      <c r="T240" s="176">
        <f t="shared" si="83"/>
        <v>7</v>
      </c>
      <c r="U240" s="250">
        <f t="shared" si="84"/>
        <v>1.9668757575363471</v>
      </c>
      <c r="V240" s="382">
        <f t="shared" si="85"/>
        <v>53.889973683781506</v>
      </c>
      <c r="W240" s="400">
        <f t="shared" si="86"/>
        <v>34.751134858182141</v>
      </c>
      <c r="X240" s="157">
        <f t="shared" si="87"/>
        <v>45883</v>
      </c>
      <c r="Y240" s="383">
        <f t="shared" si="88"/>
        <v>32.954163168281148</v>
      </c>
      <c r="Z240" s="383">
        <f t="shared" si="89"/>
        <v>34.506641893257886</v>
      </c>
      <c r="AA240" s="384">
        <f t="shared" si="90"/>
        <v>37.109792625251949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7.0147272400080854E-2</v>
      </c>
      <c r="AD240" s="230">
        <f>(INDEX(Models!$BJ240:$BT240,,AH240)*(1-AF240)+INDEX(Models!$BJ240:$BT240,,AH240+1)*AF240-ERP_i)*AE240*Ramure*Pc/MaxiM</f>
        <v>7.4210536555106019E-4</v>
      </c>
      <c r="AE240" s="304">
        <f t="shared" si="92"/>
        <v>0.6</v>
      </c>
      <c r="AF240" s="177">
        <f t="shared" si="93"/>
        <v>0.96687575753634714</v>
      </c>
      <c r="AG240" s="799">
        <f t="shared" si="99"/>
        <v>1</v>
      </c>
      <c r="AH240" s="176">
        <f t="shared" si="94"/>
        <v>7</v>
      </c>
      <c r="AI240" s="224">
        <f t="shared" si="95"/>
        <v>1.9668757575363471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'2024'!Wh/'2024'!Env_an*'2025'!Env_an</f>
        <v>39.365397230191341</v>
      </c>
      <c r="C241" s="829"/>
      <c r="D241" s="391">
        <f t="shared" si="77"/>
        <v>41.220700752640091</v>
      </c>
      <c r="E241" s="383">
        <f t="shared" si="100"/>
        <v>42.042233163166571</v>
      </c>
      <c r="F241" s="383">
        <f t="shared" si="78"/>
        <v>42.062064768701582</v>
      </c>
      <c r="G241" s="110">
        <f t="shared" si="101"/>
        <v>0.73250323588996502</v>
      </c>
      <c r="H241" s="412" t="b">
        <f>Wh_hp&gt;='2024'!Maxi_hp</f>
        <v>0</v>
      </c>
      <c r="I241" s="388">
        <f>IF(H241,Wh_hp,'2024'!Maxi_hp)</f>
        <v>50.673625731633024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4.5009024314801804E-2</v>
      </c>
      <c r="M241" s="832"/>
      <c r="N241" s="832"/>
      <c r="O241" s="48">
        <f>IF(t&lt;Tnet,'2024'!Resal+('2024'!Salim-'2024'!Resal)*(1-EXP(('2024'!Tnet-t)/('2024'!Tau_j))),Resal+(Salim-Resal)*(1-EXP((Tnet-t)/(Tau_j))))*Salcycl</f>
        <v>1.9540646362387459E-2</v>
      </c>
      <c r="P241" s="169">
        <f>(INDEX(Models!$BJ241:$BT241,,T241)*(1-R241)+INDEX(Models!$BJ241:$BT241,,T241+1)*R241-ERP_i)*Q241*Ramure*Pc/MaxiM</f>
        <v>7.6271387301020117E-4</v>
      </c>
      <c r="Q241" s="304">
        <f t="shared" si="80"/>
        <v>0.6</v>
      </c>
      <c r="R241" s="177">
        <f t="shared" si="81"/>
        <v>0.96809914205938741</v>
      </c>
      <c r="S241" s="799">
        <f t="shared" si="82"/>
        <v>1</v>
      </c>
      <c r="T241" s="176">
        <f t="shared" si="83"/>
        <v>7</v>
      </c>
      <c r="U241" s="250">
        <f t="shared" si="84"/>
        <v>1.9680991420593874</v>
      </c>
      <c r="V241" s="382">
        <f t="shared" si="85"/>
        <v>53.725260897927981</v>
      </c>
      <c r="W241" s="400">
        <f t="shared" si="86"/>
        <v>39.365397230191341</v>
      </c>
      <c r="X241" s="157">
        <f t="shared" si="87"/>
        <v>45884</v>
      </c>
      <c r="Y241" s="383">
        <f t="shared" si="88"/>
        <v>37.331802196062348</v>
      </c>
      <c r="Z241" s="383">
        <f t="shared" si="89"/>
        <v>39.091261746507172</v>
      </c>
      <c r="AA241" s="384">
        <f t="shared" si="90"/>
        <v>42.042233163166571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7.0190643898639549E-2</v>
      </c>
      <c r="AD241" s="230">
        <f>(INDEX(Models!$BJ241:$BT241,,AH241)*(1-AF241)+INDEX(Models!$BJ241:$BT241,,AH241+1)*AF241-ERP_i)*AE241*Ramure*Pc/MaxiM</f>
        <v>7.6271387301020117E-4</v>
      </c>
      <c r="AE241" s="304">
        <f t="shared" si="92"/>
        <v>0.6</v>
      </c>
      <c r="AF241" s="177">
        <f t="shared" si="93"/>
        <v>0.96809914205938741</v>
      </c>
      <c r="AG241" s="799">
        <f t="shared" si="99"/>
        <v>1</v>
      </c>
      <c r="AH241" s="176">
        <f t="shared" si="94"/>
        <v>7</v>
      </c>
      <c r="AI241" s="224">
        <f t="shared" si="95"/>
        <v>1.9680991420593874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'2024'!Wh/'2024'!Env_an*'2025'!Env_an</f>
        <v>36.408849225944309</v>
      </c>
      <c r="C242" s="829"/>
      <c r="D242" s="391">
        <f t="shared" si="77"/>
        <v>38.125540380612271</v>
      </c>
      <c r="E242" s="383">
        <f t="shared" si="100"/>
        <v>38.889255287752846</v>
      </c>
      <c r="F242" s="383">
        <f t="shared" si="78"/>
        <v>38.905807569853039</v>
      </c>
      <c r="G242" s="110">
        <f t="shared" si="101"/>
        <v>0.67956755490637422</v>
      </c>
      <c r="H242" s="412" t="b">
        <f>Wh_hp&gt;='2024'!Maxi_hp</f>
        <v>0</v>
      </c>
      <c r="I242" s="388">
        <f>IF(H242,Wh_hp,'2024'!Maxi_hp)</f>
        <v>55.891220971481495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4.5027326498982334E-2</v>
      </c>
      <c r="M242" s="832"/>
      <c r="N242" s="832"/>
      <c r="O242" s="48">
        <f>IF(t&lt;Tnet,'2024'!Resal+('2024'!Salim-'2024'!Resal)*(1-EXP(('2024'!Tnet-t)/('2024'!Tau_j))),Resal+(Salim-Resal)*(1-EXP((Tnet-t)/(Tau_j))))*Salcycl</f>
        <v>1.9638198301552102E-2</v>
      </c>
      <c r="P242" s="169">
        <f>(INDEX(Models!$BJ242:$BT242,,T242)*(1-R242)+INDEX(Models!$BJ242:$BT242,,T242+1)*R242-ERP_i)*Q242*Ramure*Pc/MaxiM</f>
        <v>7.8410351176656757E-4</v>
      </c>
      <c r="Q242" s="304">
        <f t="shared" si="80"/>
        <v>0.6</v>
      </c>
      <c r="R242" s="177">
        <f t="shared" si="81"/>
        <v>0.96927929368740617</v>
      </c>
      <c r="S242" s="799">
        <f t="shared" si="82"/>
        <v>1</v>
      </c>
      <c r="T242" s="176">
        <f t="shared" si="83"/>
        <v>7</v>
      </c>
      <c r="U242" s="250">
        <f t="shared" si="84"/>
        <v>1.9692792936874062</v>
      </c>
      <c r="V242" s="382">
        <f t="shared" si="85"/>
        <v>53.557273389922109</v>
      </c>
      <c r="W242" s="400">
        <f t="shared" si="86"/>
        <v>36.408849225944309</v>
      </c>
      <c r="X242" s="157">
        <f t="shared" si="87"/>
        <v>45885</v>
      </c>
      <c r="Y242" s="383">
        <f t="shared" si="88"/>
        <v>34.529821421600005</v>
      </c>
      <c r="Z242" s="383">
        <f t="shared" si="89"/>
        <v>36.157915697221476</v>
      </c>
      <c r="AA242" s="384">
        <f t="shared" si="90"/>
        <v>38.889255287752846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7.0233784893061008E-2</v>
      </c>
      <c r="AD242" s="230">
        <f>(INDEX(Models!$BJ242:$BT242,,AH242)*(1-AF242)+INDEX(Models!$BJ242:$BT242,,AH242+1)*AF242-ERP_i)*AE242*Ramure*Pc/MaxiM</f>
        <v>7.8410351176656757E-4</v>
      </c>
      <c r="AE242" s="304">
        <f t="shared" si="92"/>
        <v>0.6</v>
      </c>
      <c r="AF242" s="177">
        <f t="shared" si="93"/>
        <v>0.96927929368740617</v>
      </c>
      <c r="AG242" s="799">
        <f t="shared" si="99"/>
        <v>1</v>
      </c>
      <c r="AH242" s="176">
        <f t="shared" si="94"/>
        <v>7</v>
      </c>
      <c r="AI242" s="224">
        <f t="shared" si="95"/>
        <v>1.9692792936874062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'2024'!Wh/'2024'!Env_an*'2025'!Env_an</f>
        <v>29.210121903020205</v>
      </c>
      <c r="C243" s="829"/>
      <c r="D243" s="391">
        <f t="shared" si="77"/>
        <v>30.587976525005974</v>
      </c>
      <c r="E243" s="383">
        <f t="shared" si="100"/>
        <v>31.20380190021794</v>
      </c>
      <c r="F243" s="383">
        <f t="shared" si="78"/>
        <v>31.212687468711117</v>
      </c>
      <c r="G243" s="110">
        <f t="shared" si="101"/>
        <v>0.54686597375664325</v>
      </c>
      <c r="H243" s="412" t="b">
        <f>Wh_hp&gt;='2024'!Maxi_hp</f>
        <v>0</v>
      </c>
      <c r="I243" s="388">
        <f>IF(H243,Wh_hp,'2024'!Maxi_hp)</f>
        <v>54.973908818601828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4.5045628332405663E-2</v>
      </c>
      <c r="M243" s="832"/>
      <c r="N243" s="832"/>
      <c r="O243" s="48">
        <f>IF(t&lt;Tnet,'2024'!Resal+('2024'!Salim-'2024'!Resal)*(1-EXP(('2024'!Tnet-t)/('2024'!Tau_j))),Resal+(Salim-Resal)*(1-EXP((Tnet-t)/(Tau_j))))*Salcycl</f>
        <v>1.9735587899872752E-2</v>
      </c>
      <c r="P243" s="169">
        <f>(INDEX(Models!$BJ243:$BT243,,T243)*(1-R243)+INDEX(Models!$BJ243:$BT243,,T243+1)*R243-ERP_i)*Q243*Ramure*Pc/MaxiM</f>
        <v>8.0628564265976146E-4</v>
      </c>
      <c r="Q243" s="304">
        <f t="shared" si="80"/>
        <v>0.6</v>
      </c>
      <c r="R243" s="177">
        <f t="shared" si="81"/>
        <v>0.97041751972225887</v>
      </c>
      <c r="S243" s="799">
        <f t="shared" si="82"/>
        <v>1</v>
      </c>
      <c r="T243" s="176">
        <f t="shared" si="83"/>
        <v>7</v>
      </c>
      <c r="U243" s="250">
        <f t="shared" si="84"/>
        <v>1.9704175197222589</v>
      </c>
      <c r="V243" s="382">
        <f t="shared" si="85"/>
        <v>53.385807026614174</v>
      </c>
      <c r="W243" s="400">
        <f t="shared" si="86"/>
        <v>29.210121903020205</v>
      </c>
      <c r="X243" s="157">
        <f t="shared" si="87"/>
        <v>45886</v>
      </c>
      <c r="Y243" s="383">
        <f t="shared" si="88"/>
        <v>27.704087707686067</v>
      </c>
      <c r="Z243" s="383">
        <f t="shared" si="89"/>
        <v>29.010902017556766</v>
      </c>
      <c r="AA243" s="384">
        <f t="shared" si="90"/>
        <v>31.20380190021794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7.0276689028905048E-2</v>
      </c>
      <c r="AD243" s="230">
        <f>(INDEX(Models!$BJ243:$BT243,,AH243)*(1-AF243)+INDEX(Models!$BJ243:$BT243,,AH243+1)*AF243-ERP_i)*AE243*Ramure*Pc/MaxiM</f>
        <v>8.0628564265976146E-4</v>
      </c>
      <c r="AE243" s="304">
        <f t="shared" si="92"/>
        <v>0.6</v>
      </c>
      <c r="AF243" s="177">
        <f t="shared" si="93"/>
        <v>0.97041751972225887</v>
      </c>
      <c r="AG243" s="799">
        <f t="shared" si="99"/>
        <v>1</v>
      </c>
      <c r="AH243" s="176">
        <f t="shared" si="94"/>
        <v>7</v>
      </c>
      <c r="AI243" s="224">
        <f t="shared" si="95"/>
        <v>1.9704175197222589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'2024'!Wh/'2024'!Env_an*'2025'!Env_an</f>
        <v>37.059326308019692</v>
      </c>
      <c r="C244" s="829"/>
      <c r="D244" s="391">
        <f t="shared" si="77"/>
        <v>38.80817519108188</v>
      </c>
      <c r="E244" s="383">
        <f t="shared" si="100"/>
        <v>39.593424153454698</v>
      </c>
      <c r="F244" s="383">
        <f t="shared" si="78"/>
        <v>39.612029178619444</v>
      </c>
      <c r="G244" s="110">
        <f t="shared" si="101"/>
        <v>0.69621379222514812</v>
      </c>
      <c r="H244" s="412" t="b">
        <f>Wh_hp&gt;='2024'!Maxi_hp</f>
        <v>0</v>
      </c>
      <c r="I244" s="388">
        <f>IF(H244,Wh_hp,'2024'!Maxi_hp)</f>
        <v>54.287330596628593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4.5063929815078563E-2</v>
      </c>
      <c r="M244" s="832"/>
      <c r="N244" s="832"/>
      <c r="O244" s="48">
        <f>IF(t&lt;Tnet,'2024'!Resal+('2024'!Salim-'2024'!Resal)*(1-EXP(('2024'!Tnet-t)/('2024'!Tau_j))),Resal+(Salim-Resal)*(1-EXP((Tnet-t)/(Tau_j))))*Salcycl</f>
        <v>1.9832812623868438E-2</v>
      </c>
      <c r="P244" s="169">
        <f>(INDEX(Models!$BJ244:$BT244,,T244)*(1-R244)+INDEX(Models!$BJ244:$BT244,,T244+1)*R244-ERP_i)*Q244*Ramure*Pc/MaxiM</f>
        <v>8.2927212511596364E-4</v>
      </c>
      <c r="Q244" s="304">
        <f t="shared" si="80"/>
        <v>0.6</v>
      </c>
      <c r="R244" s="177">
        <f t="shared" si="81"/>
        <v>0.97151510452707246</v>
      </c>
      <c r="S244" s="799">
        <f t="shared" si="82"/>
        <v>1</v>
      </c>
      <c r="T244" s="176">
        <f t="shared" si="83"/>
        <v>7</v>
      </c>
      <c r="U244" s="250">
        <f t="shared" si="84"/>
        <v>1.9715151045270725</v>
      </c>
      <c r="V244" s="382">
        <f t="shared" si="85"/>
        <v>53.210657792288266</v>
      </c>
      <c r="W244" s="400">
        <f t="shared" si="86"/>
        <v>37.059326308019692</v>
      </c>
      <c r="X244" s="157">
        <f t="shared" si="87"/>
        <v>45887</v>
      </c>
      <c r="Y244" s="383">
        <f t="shared" si="88"/>
        <v>35.150471306036522</v>
      </c>
      <c r="Z244" s="383">
        <f t="shared" si="89"/>
        <v>36.809240328758037</v>
      </c>
      <c r="AA244" s="384">
        <f t="shared" si="90"/>
        <v>39.593424153454698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7.0319349342098464E-2</v>
      </c>
      <c r="AD244" s="230">
        <f>(INDEX(Models!$BJ244:$BT244,,AH244)*(1-AF244)+INDEX(Models!$BJ244:$BT244,,AH244+1)*AF244-ERP_i)*AE244*Ramure*Pc/MaxiM</f>
        <v>8.2927212511596364E-4</v>
      </c>
      <c r="AE244" s="304">
        <f t="shared" si="92"/>
        <v>0.6</v>
      </c>
      <c r="AF244" s="177">
        <f t="shared" si="93"/>
        <v>0.97151510452707246</v>
      </c>
      <c r="AG244" s="799">
        <f t="shared" si="99"/>
        <v>1</v>
      </c>
      <c r="AH244" s="176">
        <f t="shared" si="94"/>
        <v>7</v>
      </c>
      <c r="AI244" s="224">
        <f t="shared" si="95"/>
        <v>1.9715151045270725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'2024'!Wh/'2024'!Env_an*'2025'!Env_an</f>
        <v>42.212722898396073</v>
      </c>
      <c r="C245" s="829"/>
      <c r="D245" s="391">
        <f t="shared" si="77"/>
        <v>44.205610437283127</v>
      </c>
      <c r="E245" s="383">
        <f t="shared" si="100"/>
        <v>45.104538004949909</v>
      </c>
      <c r="F245" s="383">
        <f t="shared" si="78"/>
        <v>45.131818136743597</v>
      </c>
      <c r="G245" s="110">
        <f t="shared" si="101"/>
        <v>0.79579353153369503</v>
      </c>
      <c r="H245" s="412" t="b">
        <f>Wh_hp&gt;='2024'!Maxi_hp</f>
        <v>0</v>
      </c>
      <c r="I245" s="388">
        <f>IF(H245,Wh_hp,'2024'!Maxi_hp)</f>
        <v>46.197672752985881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4.5082230947007806E-2</v>
      </c>
      <c r="M245" s="832"/>
      <c r="N245" s="832"/>
      <c r="O245" s="48">
        <f>IF(t&lt;Tnet,'2024'!Resal+('2024'!Salim-'2024'!Resal)*(1-EXP(('2024'!Tnet-t)/('2024'!Tau_j))),Resal+(Salim-Resal)*(1-EXP((Tnet-t)/(Tau_j))))*Salcycl</f>
        <v>1.9929869752088512E-2</v>
      </c>
      <c r="P245" s="169">
        <f>(INDEX(Models!$BJ245:$BT245,,T245)*(1-R245)+INDEX(Models!$BJ245:$BT245,,T245+1)*R245-ERP_i)*Q245*Ramure*Pc/MaxiM</f>
        <v>8.5307535567493852E-4</v>
      </c>
      <c r="Q245" s="304">
        <f t="shared" si="80"/>
        <v>0.6</v>
      </c>
      <c r="R245" s="177">
        <f t="shared" si="81"/>
        <v>0.97257330857651181</v>
      </c>
      <c r="S245" s="799">
        <f t="shared" si="82"/>
        <v>1</v>
      </c>
      <c r="T245" s="176">
        <f t="shared" si="83"/>
        <v>7</v>
      </c>
      <c r="U245" s="250">
        <f t="shared" si="84"/>
        <v>1.9725733085765118</v>
      </c>
      <c r="V245" s="382">
        <f t="shared" si="85"/>
        <v>53.031621791846597</v>
      </c>
      <c r="W245" s="400">
        <f t="shared" si="86"/>
        <v>42.212722898396073</v>
      </c>
      <c r="X245" s="157">
        <f t="shared" si="87"/>
        <v>45888</v>
      </c>
      <c r="Y245" s="383">
        <f t="shared" si="88"/>
        <v>40.040564731946269</v>
      </c>
      <c r="Z245" s="383">
        <f t="shared" si="89"/>
        <v>41.9309034029759</v>
      </c>
      <c r="AA245" s="384">
        <f t="shared" si="90"/>
        <v>45.104538004949909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7.036175831411301E-2</v>
      </c>
      <c r="AD245" s="230">
        <f>(INDEX(Models!$BJ245:$BT245,,AH245)*(1-AF245)+INDEX(Models!$BJ245:$BT245,,AH245+1)*AF245-ERP_i)*AE245*Ramure*Pc/MaxiM</f>
        <v>8.5307535567493852E-4</v>
      </c>
      <c r="AE245" s="304">
        <f t="shared" si="92"/>
        <v>0.6</v>
      </c>
      <c r="AF245" s="177">
        <f t="shared" si="93"/>
        <v>0.97257330857651181</v>
      </c>
      <c r="AG245" s="799">
        <f t="shared" si="99"/>
        <v>1</v>
      </c>
      <c r="AH245" s="176">
        <f t="shared" si="94"/>
        <v>7</v>
      </c>
      <c r="AI245" s="224">
        <f t="shared" si="95"/>
        <v>1.9725733085765118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'2024'!Wh/'2024'!Env_an*'2025'!Env_an</f>
        <v>50.691799021233066</v>
      </c>
      <c r="C246" s="829"/>
      <c r="D246" s="391">
        <f t="shared" si="77"/>
        <v>53.08600612478746</v>
      </c>
      <c r="E246" s="383">
        <f t="shared" si="100"/>
        <v>54.170873001597982</v>
      </c>
      <c r="F246" s="383">
        <f t="shared" si="78"/>
        <v>54.215684385701422</v>
      </c>
      <c r="G246" s="110">
        <f t="shared" si="101"/>
        <v>0.95914184092655841</v>
      </c>
      <c r="H246" s="412" t="b">
        <f>Wh_hp&gt;='2024'!Maxi_hp</f>
        <v>0</v>
      </c>
      <c r="I246" s="388">
        <f>IF(H246,Wh_hp,'2024'!Maxi_hp)</f>
        <v>54.217324757132701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4.5100531728199944E-2</v>
      </c>
      <c r="M246" s="832"/>
      <c r="N246" s="832"/>
      <c r="O246" s="48">
        <f>IF(t&lt;Tnet,'2024'!Resal+('2024'!Salim-'2024'!Resal)*(1-EXP(('2024'!Tnet-t)/('2024'!Tau_j))),Resal+(Salim-Resal)*(1-EXP((Tnet-t)/(Tau_j))))*Salcycl</f>
        <v>2.0026756385825954E-2</v>
      </c>
      <c r="P246" s="169">
        <f>(INDEX(Models!$BJ246:$BT246,,T246)*(1-R246)+INDEX(Models!$BJ246:$BT246,,T246+1)*R246-ERP_i)*Q246*Ramure*Pc/MaxiM</f>
        <v>8.7770830821560749E-4</v>
      </c>
      <c r="Q246" s="304">
        <f t="shared" si="80"/>
        <v>0.6</v>
      </c>
      <c r="R246" s="177">
        <f t="shared" si="81"/>
        <v>0.97359336764579707</v>
      </c>
      <c r="S246" s="799">
        <f t="shared" si="82"/>
        <v>1</v>
      </c>
      <c r="T246" s="176">
        <f t="shared" si="83"/>
        <v>7</v>
      </c>
      <c r="U246" s="250">
        <f t="shared" si="84"/>
        <v>1.9735933676457971</v>
      </c>
      <c r="V246" s="382">
        <f t="shared" si="85"/>
        <v>52.848495242789539</v>
      </c>
      <c r="W246" s="400">
        <f t="shared" si="86"/>
        <v>50.691799021233066</v>
      </c>
      <c r="X246" s="157">
        <f t="shared" si="87"/>
        <v>45889</v>
      </c>
      <c r="Y246" s="383">
        <f t="shared" si="88"/>
        <v>48.085902934262087</v>
      </c>
      <c r="Z246" s="383">
        <f t="shared" si="89"/>
        <v>50.357031846806983</v>
      </c>
      <c r="AA246" s="384">
        <f t="shared" si="90"/>
        <v>54.170873001597982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7.0403907920747272E-2</v>
      </c>
      <c r="AD246" s="230">
        <f>(INDEX(Models!$BJ246:$BT246,,AH246)*(1-AF246)+INDEX(Models!$BJ246:$BT246,,AH246+1)*AF246-ERP_i)*AE246*Ramure*Pc/MaxiM</f>
        <v>8.7770830821560749E-4</v>
      </c>
      <c r="AE246" s="304">
        <f t="shared" si="92"/>
        <v>0.6</v>
      </c>
      <c r="AF246" s="177">
        <f t="shared" si="93"/>
        <v>0.97359336764579707</v>
      </c>
      <c r="AG246" s="799">
        <f t="shared" si="99"/>
        <v>1</v>
      </c>
      <c r="AH246" s="176">
        <f t="shared" si="94"/>
        <v>7</v>
      </c>
      <c r="AI246" s="224">
        <f t="shared" si="95"/>
        <v>1.9735933676457971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'2024'!Wh/'2024'!Env_an*'2025'!Env_an</f>
        <v>34.2411352793698</v>
      </c>
      <c r="C247" s="829"/>
      <c r="D247" s="391">
        <f t="shared" si="77"/>
        <v>35.859053914297384</v>
      </c>
      <c r="E247" s="383">
        <f t="shared" si="100"/>
        <v>36.595481978195394</v>
      </c>
      <c r="F247" s="383">
        <f t="shared" si="78"/>
        <v>36.612025485185661</v>
      </c>
      <c r="G247" s="110">
        <f t="shared" si="101"/>
        <v>0.64991725507578946</v>
      </c>
      <c r="H247" s="412" t="b">
        <f>Wh_hp&gt;='2024'!Maxi_hp</f>
        <v>0</v>
      </c>
      <c r="I247" s="388">
        <f>IF(H247,Wh_hp,'2024'!Maxi_hp)</f>
        <v>54.553633144965026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4.5118832158661748E-2</v>
      </c>
      <c r="M247" s="832"/>
      <c r="N247" s="832"/>
      <c r="O247" s="48">
        <f>IF(t&lt;Tnet,'2024'!Resal+('2024'!Salim-'2024'!Resal)*(1-EXP(('2024'!Tnet-t)/('2024'!Tau_j))),Resal+(Salim-Resal)*(1-EXP((Tnet-t)/(Tau_j))))*Salcycl</f>
        <v>2.0123469458246095E-2</v>
      </c>
      <c r="P247" s="169">
        <f>(INDEX(Models!$BJ247:$BT247,,T247)*(1-R247)+INDEX(Models!$BJ247:$BT247,,T247+1)*R247-ERP_i)*Q247*Ramure*Pc/MaxiM</f>
        <v>9.0317577613416072E-4</v>
      </c>
      <c r="Q247" s="304">
        <f t="shared" si="80"/>
        <v>0.6</v>
      </c>
      <c r="R247" s="177">
        <f t="shared" si="81"/>
        <v>0.97457649212946129</v>
      </c>
      <c r="S247" s="799">
        <f t="shared" si="82"/>
        <v>1</v>
      </c>
      <c r="T247" s="176">
        <f t="shared" si="83"/>
        <v>7</v>
      </c>
      <c r="U247" s="250">
        <f t="shared" si="84"/>
        <v>1.9745764921294613</v>
      </c>
      <c r="V247" s="382">
        <f t="shared" si="85"/>
        <v>52.661588008105277</v>
      </c>
      <c r="W247" s="400">
        <f t="shared" si="86"/>
        <v>34.2411352793698</v>
      </c>
      <c r="X247" s="157">
        <f t="shared" si="87"/>
        <v>45890</v>
      </c>
      <c r="Y247" s="383">
        <f t="shared" si="88"/>
        <v>32.482655184812927</v>
      </c>
      <c r="Z247" s="383">
        <f t="shared" si="89"/>
        <v>34.017484351738936</v>
      </c>
      <c r="AA247" s="384">
        <f t="shared" si="90"/>
        <v>36.595481978195394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7.0445789674050407E-2</v>
      </c>
      <c r="AD247" s="230">
        <f>(INDEX(Models!$BJ247:$BT247,,AH247)*(1-AF247)+INDEX(Models!$BJ247:$BT247,,AH247+1)*AF247-ERP_i)*AE247*Ramure*Pc/MaxiM</f>
        <v>9.0317577613416072E-4</v>
      </c>
      <c r="AE247" s="304">
        <f t="shared" si="92"/>
        <v>0.6</v>
      </c>
      <c r="AF247" s="177">
        <f t="shared" si="93"/>
        <v>0.97457649212946129</v>
      </c>
      <c r="AG247" s="799">
        <f t="shared" si="99"/>
        <v>1</v>
      </c>
      <c r="AH247" s="176">
        <f t="shared" si="94"/>
        <v>7</v>
      </c>
      <c r="AI247" s="224">
        <f t="shared" si="95"/>
        <v>1.9745764921294613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'2024'!Wh/'2024'!Env_an*'2025'!Env_an</f>
        <v>27.288599675572247</v>
      </c>
      <c r="C248" s="829"/>
      <c r="D248" s="391">
        <f t="shared" si="77"/>
        <v>28.578553629949482</v>
      </c>
      <c r="E248" s="383">
        <f t="shared" si="100"/>
        <v>29.168337583363019</v>
      </c>
      <c r="F248" s="383">
        <f t="shared" si="78"/>
        <v>29.176865112061805</v>
      </c>
      <c r="G248" s="110">
        <f t="shared" si="101"/>
        <v>0.51973520274090534</v>
      </c>
      <c r="H248" s="412" t="b">
        <f>Wh_hp&gt;='2024'!Maxi_hp</f>
        <v>0</v>
      </c>
      <c r="I248" s="388">
        <f>IF(H248,Wh_hp,'2024'!Maxi_hp)</f>
        <v>56.59830554422004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4.5137132238399991E-2</v>
      </c>
      <c r="M248" s="832"/>
      <c r="N248" s="832"/>
      <c r="O248" s="48">
        <f>IF(t&lt;Tnet,'2024'!Resal+('2024'!Salim-'2024'!Resal)*(1-EXP(('2024'!Tnet-t)/('2024'!Tau_j))),Resal+(Salim-Resal)*(1-EXP((Tnet-t)/(Tau_j))))*Salcycl</f>
        <v>2.0220005741771688E-2</v>
      </c>
      <c r="P248" s="169">
        <f>(INDEX(Models!$BJ248:$BT248,,T248)*(1-R248)+INDEX(Models!$BJ248:$BT248,,T248+1)*R248-ERP_i)*Q248*Ramure*Pc/MaxiM</f>
        <v>9.296684546048166E-4</v>
      </c>
      <c r="Q248" s="304">
        <f t="shared" si="80"/>
        <v>0.6</v>
      </c>
      <c r="R248" s="177">
        <f t="shared" si="81"/>
        <v>0.97552386648107969</v>
      </c>
      <c r="S248" s="799">
        <f t="shared" si="82"/>
        <v>1</v>
      </c>
      <c r="T248" s="176">
        <f t="shared" si="83"/>
        <v>7</v>
      </c>
      <c r="U248" s="250">
        <f t="shared" si="84"/>
        <v>1.9755238664810797</v>
      </c>
      <c r="V248" s="382">
        <f t="shared" si="85"/>
        <v>52.471336829343336</v>
      </c>
      <c r="W248" s="400">
        <f t="shared" si="86"/>
        <v>27.288599675572247</v>
      </c>
      <c r="X248" s="157">
        <f t="shared" si="87"/>
        <v>45891</v>
      </c>
      <c r="Y248" s="383">
        <f t="shared" si="88"/>
        <v>25.888564299381816</v>
      </c>
      <c r="Z248" s="383">
        <f t="shared" si="89"/>
        <v>27.112337460634606</v>
      </c>
      <c r="AA248" s="384">
        <f t="shared" si="90"/>
        <v>29.168337583363019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7.0487394657044511E-2</v>
      </c>
      <c r="AD248" s="230">
        <f>(INDEX(Models!$BJ248:$BT248,,AH248)*(1-AF248)+INDEX(Models!$BJ248:$BT248,,AH248+1)*AF248-ERP_i)*AE248*Ramure*Pc/MaxiM</f>
        <v>9.296684546048166E-4</v>
      </c>
      <c r="AE248" s="304">
        <f t="shared" si="92"/>
        <v>0.6</v>
      </c>
      <c r="AF248" s="177">
        <f t="shared" si="93"/>
        <v>0.97552386648107969</v>
      </c>
      <c r="AG248" s="799">
        <f t="shared" si="99"/>
        <v>1</v>
      </c>
      <c r="AH248" s="176">
        <f t="shared" si="94"/>
        <v>7</v>
      </c>
      <c r="AI248" s="224">
        <f t="shared" si="95"/>
        <v>1.9755238664810797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'2024'!Wh/'2024'!Env_an*'2025'!Env_an</f>
        <v>49.48756018475347</v>
      </c>
      <c r="C249" s="829"/>
      <c r="D249" s="391">
        <f t="shared" si="77"/>
        <v>51.827870044567291</v>
      </c>
      <c r="E249" s="383">
        <f t="shared" si="100"/>
        <v>52.902659620433752</v>
      </c>
      <c r="F249" s="383">
        <f t="shared" si="78"/>
        <v>52.949459443002638</v>
      </c>
      <c r="G249" s="110">
        <f t="shared" si="101"/>
        <v>0.94655822044085247</v>
      </c>
      <c r="H249" s="412" t="b">
        <f>Wh_hp&gt;='2024'!Maxi_hp</f>
        <v>0</v>
      </c>
      <c r="I249" s="388">
        <f>IF(H249,Wh_hp,'2024'!Maxi_hp)</f>
        <v>53.920594526150673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4.5155431967421444E-2</v>
      </c>
      <c r="M249" s="832"/>
      <c r="N249" s="832"/>
      <c r="O249" s="48">
        <f>IF(t&lt;Tnet,'2024'!Resal+('2024'!Salim-'2024'!Resal)*(1-EXP(('2024'!Tnet-t)/('2024'!Tau_j))),Resal+(Salim-Resal)*(1-EXP((Tnet-t)/(Tau_j))))*Salcycl</f>
        <v>2.0316361853597989E-2</v>
      </c>
      <c r="P249" s="169">
        <f>(INDEX(Models!$BJ249:$BT249,,T249)*(1-R249)+INDEX(Models!$BJ249:$BT249,,T249+1)*R249-ERP_i)*Q249*Ramure*Pc/MaxiM</f>
        <v>9.5681208431451471E-4</v>
      </c>
      <c r="Q249" s="304">
        <f t="shared" si="80"/>
        <v>0.6</v>
      </c>
      <c r="R249" s="177">
        <f t="shared" si="81"/>
        <v>0.97643664876546588</v>
      </c>
      <c r="S249" s="799">
        <f t="shared" si="82"/>
        <v>1</v>
      </c>
      <c r="T249" s="176">
        <f t="shared" si="83"/>
        <v>7</v>
      </c>
      <c r="U249" s="250">
        <f t="shared" si="84"/>
        <v>1.9764366487654659</v>
      </c>
      <c r="V249" s="382">
        <f t="shared" si="85"/>
        <v>52.277763396567984</v>
      </c>
      <c r="W249" s="400">
        <f t="shared" si="86"/>
        <v>49.48756018475347</v>
      </c>
      <c r="X249" s="157">
        <f t="shared" si="87"/>
        <v>45892</v>
      </c>
      <c r="Y249" s="383">
        <f t="shared" si="88"/>
        <v>46.951142631280852</v>
      </c>
      <c r="Z249" s="383">
        <f t="shared" si="89"/>
        <v>49.171503093976774</v>
      </c>
      <c r="AA249" s="384">
        <f t="shared" si="90"/>
        <v>52.902659620433752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7.052871355102551E-2</v>
      </c>
      <c r="AD249" s="230">
        <f>(INDEX(Models!$BJ249:$BT249,,AH249)*(1-AF249)+INDEX(Models!$BJ249:$BT249,,AH249+1)*AF249-ERP_i)*AE249*Ramure*Pc/MaxiM</f>
        <v>9.5681208431451471E-4</v>
      </c>
      <c r="AE249" s="304">
        <f t="shared" si="92"/>
        <v>0.6</v>
      </c>
      <c r="AF249" s="177">
        <f t="shared" si="93"/>
        <v>0.97643664876546588</v>
      </c>
      <c r="AG249" s="799">
        <f t="shared" si="99"/>
        <v>1</v>
      </c>
      <c r="AH249" s="176">
        <f t="shared" si="94"/>
        <v>7</v>
      </c>
      <c r="AI249" s="224">
        <f t="shared" si="95"/>
        <v>1.9764366487654659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'2024'!Wh/'2024'!Env_an*'2025'!Env_an</f>
        <v>47.177322665933225</v>
      </c>
      <c r="C250" s="829"/>
      <c r="D250" s="391">
        <f t="shared" si="77"/>
        <v>49.409326298097113</v>
      </c>
      <c r="E250" s="383">
        <f t="shared" si="100"/>
        <v>50.438912323907992</v>
      </c>
      <c r="F250" s="383">
        <f t="shared" si="78"/>
        <v>50.481932042127781</v>
      </c>
      <c r="G250" s="110">
        <f t="shared" si="101"/>
        <v>0.90572738457964663</v>
      </c>
      <c r="H250" s="412" t="b">
        <f>Wh_hp&gt;='2024'!Maxi_hp</f>
        <v>0</v>
      </c>
      <c r="I250" s="388">
        <f>IF(H250,Wh_hp,'2024'!Maxi_hp)</f>
        <v>53.710943273979339</v>
      </c>
      <c r="J250" s="85">
        <f>IF(H250,An,'2024'!An_max)</f>
        <v>2018</v>
      </c>
      <c r="K250" s="197">
        <f t="shared" si="79"/>
        <v>45893</v>
      </c>
      <c r="L250" s="147">
        <f>IF(t&lt;Tvie,1-EXP((T0-t)*PertePVj)+'2024'!Pspv,1-EXP((T0-t)*PertePVj)+Pspv)</f>
        <v>4.517373134573277E-2</v>
      </c>
      <c r="M250" s="832"/>
      <c r="N250" s="832"/>
      <c r="O250" s="48">
        <f>IF(t&lt;Tnet,'2024'!Resal+('2024'!Salim-'2024'!Resal)*(1-EXP(('2024'!Tnet-t)/('2024'!Tau_j))),Resal+(Salim-Resal)*(1-EXP((Tnet-t)/(Tau_j))))*Salcycl</f>
        <v>2.0412534259246089E-2</v>
      </c>
      <c r="P250" s="169">
        <f>(INDEX(Models!$BJ250:$BT250,,T250)*(1-R250)+INDEX(Models!$BJ250:$BT250,,T250+1)*R250-ERP_i)*Q250*Ramure*Pc/MaxiM</f>
        <v>9.8461477341534021E-4</v>
      </c>
      <c r="Q250" s="304">
        <f t="shared" si="80"/>
        <v>0.6</v>
      </c>
      <c r="R250" s="177">
        <f t="shared" si="81"/>
        <v>0.97731597031513018</v>
      </c>
      <c r="S250" s="799">
        <f t="shared" si="82"/>
        <v>1</v>
      </c>
      <c r="T250" s="176">
        <f t="shared" si="83"/>
        <v>7</v>
      </c>
      <c r="U250" s="250">
        <f t="shared" si="84"/>
        <v>1.9773159703151302</v>
      </c>
      <c r="V250" s="382">
        <f t="shared" si="85"/>
        <v>52.080869195121366</v>
      </c>
      <c r="W250" s="400">
        <f t="shared" si="86"/>
        <v>47.177322665933225</v>
      </c>
      <c r="X250" s="157">
        <f t="shared" si="87"/>
        <v>45893</v>
      </c>
      <c r="Y250" s="383">
        <f t="shared" si="88"/>
        <v>44.761731813438935</v>
      </c>
      <c r="Z250" s="383">
        <f t="shared" si="89"/>
        <v>46.879451564027612</v>
      </c>
      <c r="AA250" s="384">
        <f t="shared" si="90"/>
        <v>50.438912323907992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7.0569736655348117E-2</v>
      </c>
      <c r="AD250" s="230">
        <f>(INDEX(Models!$BJ250:$BT250,,AH250)*(1-AF250)+INDEX(Models!$BJ250:$BT250,,AH250+1)*AF250-ERP_i)*AE250*Ramure*Pc/MaxiM</f>
        <v>9.8461477341534021E-4</v>
      </c>
      <c r="AE250" s="304">
        <f t="shared" si="92"/>
        <v>0.6</v>
      </c>
      <c r="AF250" s="177">
        <f t="shared" si="93"/>
        <v>0.97731597031513018</v>
      </c>
      <c r="AG250" s="799">
        <f t="shared" si="99"/>
        <v>1</v>
      </c>
      <c r="AH250" s="176">
        <f t="shared" si="94"/>
        <v>7</v>
      </c>
      <c r="AI250" s="224">
        <f t="shared" si="95"/>
        <v>1.9773159703151302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'2024'!Wh/'2024'!Env_an*'2025'!Env_an</f>
        <v>33.075363068046194</v>
      </c>
      <c r="C251" s="829"/>
      <c r="D251" s="391">
        <f t="shared" si="77"/>
        <v>34.640853574964432</v>
      </c>
      <c r="E251" s="383">
        <f t="shared" si="100"/>
        <v>35.366161173032474</v>
      </c>
      <c r="F251" s="383">
        <f t="shared" si="78"/>
        <v>35.383445705092235</v>
      </c>
      <c r="G251" s="110">
        <f t="shared" si="101"/>
        <v>0.63719324731661753</v>
      </c>
      <c r="H251" s="412" t="b">
        <f>Wh_hp&gt;='2024'!Maxi_hp</f>
        <v>0</v>
      </c>
      <c r="I251" s="388">
        <f>IF(H251,Wh_hp,'2024'!Maxi_hp)</f>
        <v>50.59926404911738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4.519203037334063E-2</v>
      </c>
      <c r="M251" s="832"/>
      <c r="N251" s="832"/>
      <c r="O251" s="48">
        <f>IF(t&lt;Tnet,'2024'!Resal+('2024'!Salim-'2024'!Resal)*(1-EXP(('2024'!Tnet-t)/('2024'!Tau_j))),Resal+(Salim-Resal)*(1-EXP((Tnet-t)/(Tau_j))))*Salcycl</f>
        <v>2.0508519274099357E-2</v>
      </c>
      <c r="P251" s="169">
        <f>(INDEX(Models!$BJ251:$BT251,,T251)*(1-R251)+INDEX(Models!$BJ251:$BT251,,T251+1)*R251-ERP_i)*Q251*Ramure*Pc/MaxiM</f>
        <v>1.0130850953662751E-3</v>
      </c>
      <c r="Q251" s="304">
        <f t="shared" si="80"/>
        <v>0.6</v>
      </c>
      <c r="R251" s="177">
        <f t="shared" si="81"/>
        <v>0.97816293548309474</v>
      </c>
      <c r="S251" s="799">
        <f t="shared" si="82"/>
        <v>1</v>
      </c>
      <c r="T251" s="176">
        <f t="shared" si="83"/>
        <v>7</v>
      </c>
      <c r="U251" s="250">
        <f t="shared" si="84"/>
        <v>1.9781629354830947</v>
      </c>
      <c r="V251" s="382">
        <f t="shared" si="85"/>
        <v>51.880655706767989</v>
      </c>
      <c r="W251" s="400">
        <f t="shared" si="86"/>
        <v>33.075363068046194</v>
      </c>
      <c r="X251" s="157">
        <f t="shared" si="87"/>
        <v>45894</v>
      </c>
      <c r="Y251" s="383">
        <f t="shared" si="88"/>
        <v>31.383526323405974</v>
      </c>
      <c r="Z251" s="383">
        <f t="shared" si="89"/>
        <v>32.868940479913761</v>
      </c>
      <c r="AA251" s="384">
        <f t="shared" si="90"/>
        <v>35.366161173032474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7.0610453899726811E-2</v>
      </c>
      <c r="AD251" s="230">
        <f>(INDEX(Models!$BJ251:$BT251,,AH251)*(1-AF251)+INDEX(Models!$BJ251:$BT251,,AH251+1)*AF251-ERP_i)*AE251*Ramure*Pc/MaxiM</f>
        <v>1.0130850953662751E-3</v>
      </c>
      <c r="AE251" s="304">
        <f t="shared" si="92"/>
        <v>0.6</v>
      </c>
      <c r="AF251" s="177">
        <f t="shared" si="93"/>
        <v>0.97816293548309474</v>
      </c>
      <c r="AG251" s="799">
        <f t="shared" si="99"/>
        <v>1</v>
      </c>
      <c r="AH251" s="176">
        <f t="shared" si="94"/>
        <v>7</v>
      </c>
      <c r="AI251" s="224">
        <f t="shared" si="95"/>
        <v>1.9781629354830947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'2024'!Wh/'2024'!Env_an*'2025'!Env_an</f>
        <v>43.9227104100394</v>
      </c>
      <c r="C252" s="829"/>
      <c r="D252" s="391">
        <f t="shared" si="77"/>
        <v>46.002498504564478</v>
      </c>
      <c r="E252" s="383">
        <f t="shared" si="100"/>
        <v>46.970289044696578</v>
      </c>
      <c r="F252" s="383">
        <f t="shared" si="78"/>
        <v>47.008780487715178</v>
      </c>
      <c r="G252" s="110">
        <f t="shared" si="101"/>
        <v>0.84975489128201454</v>
      </c>
      <c r="H252" s="412" t="b">
        <f>Wh_hp&gt;='2024'!Maxi_hp</f>
        <v>0</v>
      </c>
      <c r="I252" s="388">
        <f>IF(H252,Wh_hp,'2024'!Maxi_hp)</f>
        <v>53.844483293966427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4.5210329050251796E-2</v>
      </c>
      <c r="M252" s="832"/>
      <c r="N252" s="832"/>
      <c r="O252" s="48">
        <f>IF(t&lt;Tnet,'2024'!Resal+('2024'!Salim-'2024'!Resal)*(1-EXP(('2024'!Tnet-t)/('2024'!Tau_j))),Resal+(Salim-Resal)*(1-EXP((Tnet-t)/(Tau_j))))*Salcycl</f>
        <v>2.0604313062905683E-2</v>
      </c>
      <c r="P252" s="169">
        <f>(INDEX(Models!$BJ252:$BT252,,T252)*(1-R252)+INDEX(Models!$BJ252:$BT252,,T252+1)*R252-ERP_i)*Q252*Ramure*Pc/MaxiM</f>
        <v>1.0422311236900463E-3</v>
      </c>
      <c r="Q252" s="304">
        <f t="shared" si="80"/>
        <v>0.6</v>
      </c>
      <c r="R252" s="177">
        <f t="shared" si="81"/>
        <v>0.97897862148449843</v>
      </c>
      <c r="S252" s="799">
        <f t="shared" si="82"/>
        <v>1</v>
      </c>
      <c r="T252" s="176">
        <f t="shared" si="83"/>
        <v>7</v>
      </c>
      <c r="U252" s="250">
        <f t="shared" si="84"/>
        <v>1.9789786214844984</v>
      </c>
      <c r="V252" s="382">
        <f t="shared" si="85"/>
        <v>51.677124461404652</v>
      </c>
      <c r="W252" s="400">
        <f t="shared" si="86"/>
        <v>43.9227104100394</v>
      </c>
      <c r="X252" s="157">
        <f t="shared" si="87"/>
        <v>45895</v>
      </c>
      <c r="Y252" s="383">
        <f t="shared" si="88"/>
        <v>41.678285821262335</v>
      </c>
      <c r="Z252" s="383">
        <f t="shared" si="89"/>
        <v>43.651797971174233</v>
      </c>
      <c r="AA252" s="384">
        <f t="shared" si="90"/>
        <v>46.970289044696578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7.0650854849210992E-2</v>
      </c>
      <c r="AD252" s="230">
        <f>(INDEX(Models!$BJ252:$BT252,,AH252)*(1-AF252)+INDEX(Models!$BJ252:$BT252,,AH252+1)*AF252-ERP_i)*AE252*Ramure*Pc/MaxiM</f>
        <v>1.0422311236900463E-3</v>
      </c>
      <c r="AE252" s="304">
        <f t="shared" si="92"/>
        <v>0.6</v>
      </c>
      <c r="AF252" s="177">
        <f t="shared" si="93"/>
        <v>0.97897862148449843</v>
      </c>
      <c r="AG252" s="799">
        <f t="shared" si="99"/>
        <v>1</v>
      </c>
      <c r="AH252" s="176">
        <f t="shared" si="94"/>
        <v>7</v>
      </c>
      <c r="AI252" s="224">
        <f t="shared" si="95"/>
        <v>1.9789786214844984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'2024'!Wh/'2024'!Env_an*'2025'!Env_an</f>
        <v>49.948587807662534</v>
      </c>
      <c r="C253" s="829"/>
      <c r="D253" s="391">
        <f t="shared" si="77"/>
        <v>52.31471034831457</v>
      </c>
      <c r="E253" s="383">
        <f t="shared" si="100"/>
        <v>53.42051018884127</v>
      </c>
      <c r="F253" s="383">
        <f t="shared" si="78"/>
        <v>53.475417819603273</v>
      </c>
      <c r="G253" s="110">
        <f t="shared" si="101"/>
        <v>0.97039158908843826</v>
      </c>
      <c r="H253" s="412" t="b">
        <f>Wh_hp&gt;='2024'!Maxi_hp</f>
        <v>0</v>
      </c>
      <c r="I253" s="388">
        <f>IF(H253,Wh_hp,'2024'!Maxi_hp)</f>
        <v>53.476850706483603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4.5228627376473041E-2</v>
      </c>
      <c r="M253" s="832"/>
      <c r="N253" s="832"/>
      <c r="O253" s="48">
        <f>IF(t&lt;Tnet,'2024'!Resal+('2024'!Salim-'2024'!Resal)*(1-EXP(('2024'!Tnet-t)/('2024'!Tau_j))),Resal+(Salim-Resal)*(1-EXP((Tnet-t)/(Tau_j))))*Salcycl</f>
        <v>2.0699911637266359E-2</v>
      </c>
      <c r="P253" s="169">
        <f>(INDEX(Models!$BJ253:$BT253,,T253)*(1-R253)+INDEX(Models!$BJ253:$BT253,,T253+1)*R253-ERP_i)*Q253*Ramure*Pc/MaxiM</f>
        <v>1.0720610255322695E-3</v>
      </c>
      <c r="Q253" s="304">
        <f t="shared" si="80"/>
        <v>0.6</v>
      </c>
      <c r="R253" s="177">
        <f t="shared" si="81"/>
        <v>0.97976407831974566</v>
      </c>
      <c r="S253" s="799">
        <f t="shared" si="82"/>
        <v>1</v>
      </c>
      <c r="T253" s="176">
        <f t="shared" si="83"/>
        <v>7</v>
      </c>
      <c r="U253" s="250">
        <f t="shared" si="84"/>
        <v>1.9797640783197457</v>
      </c>
      <c r="V253" s="382">
        <f t="shared" si="85"/>
        <v>51.470277003007332</v>
      </c>
      <c r="W253" s="400">
        <f t="shared" si="86"/>
        <v>49.948587807662534</v>
      </c>
      <c r="X253" s="157">
        <f t="shared" si="87"/>
        <v>45896</v>
      </c>
      <c r="Y253" s="383">
        <f t="shared" si="88"/>
        <v>47.398827284682596</v>
      </c>
      <c r="Z253" s="383">
        <f t="shared" si="89"/>
        <v>49.644164711851168</v>
      </c>
      <c r="AA253" s="384">
        <f t="shared" si="90"/>
        <v>53.42051018884127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7.069092870211717E-2</v>
      </c>
      <c r="AD253" s="230">
        <f>(INDEX(Models!$BJ253:$BT253,,AH253)*(1-AF253)+INDEX(Models!$BJ253:$BT253,,AH253+1)*AF253-ERP_i)*AE253*Ramure*Pc/MaxiM</f>
        <v>1.0720610255322695E-3</v>
      </c>
      <c r="AE253" s="304">
        <f t="shared" si="92"/>
        <v>0.6</v>
      </c>
      <c r="AF253" s="177">
        <f t="shared" si="93"/>
        <v>0.97976407831974566</v>
      </c>
      <c r="AG253" s="799">
        <f t="shared" si="99"/>
        <v>1</v>
      </c>
      <c r="AH253" s="176">
        <f t="shared" si="94"/>
        <v>7</v>
      </c>
      <c r="AI253" s="224">
        <f t="shared" si="95"/>
        <v>1.9797640783197457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'2024'!Wh/'2024'!Env_an*'2025'!Env_an</f>
        <v>48.860288366207129</v>
      </c>
      <c r="C254" s="829"/>
      <c r="D254" s="391">
        <f t="shared" si="77"/>
        <v>51.175837673234611</v>
      </c>
      <c r="E254" s="383">
        <f t="shared" si="100"/>
        <v>52.262655847490997</v>
      </c>
      <c r="F254" s="383">
        <f t="shared" si="78"/>
        <v>52.316499551825984</v>
      </c>
      <c r="G254" s="110">
        <f t="shared" si="101"/>
        <v>0.95311332893459266</v>
      </c>
      <c r="H254" s="412" t="b">
        <f>Wh_hp&gt;='2024'!Maxi_hp</f>
        <v>0</v>
      </c>
      <c r="I254" s="388">
        <f>IF(H254,Wh_hp,'2024'!Maxi_hp)</f>
        <v>54.734917062438733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4.5246925352011025E-2</v>
      </c>
      <c r="M254" s="832"/>
      <c r="N254" s="832"/>
      <c r="O254" s="48">
        <f>IF(t&lt;Tnet,'2024'!Resal+('2024'!Salim-'2024'!Resal)*(1-EXP(('2024'!Tnet-t)/('2024'!Tau_j))),Resal+(Salim-Resal)*(1-EXP((Tnet-t)/(Tau_j))))*Salcycl</f>
        <v>2.0795310851171828E-2</v>
      </c>
      <c r="P254" s="169">
        <f>(INDEX(Models!$BJ254:$BT254,,T254)*(1-R254)+INDEX(Models!$BJ254:$BT254,,T254+1)*R254-ERP_i)*Q254*Ramure*Pc/MaxiM</f>
        <v>1.1029579231656267E-3</v>
      </c>
      <c r="Q254" s="304">
        <f t="shared" si="80"/>
        <v>0.6</v>
      </c>
      <c r="R254" s="177">
        <f t="shared" si="81"/>
        <v>0.98052032877230544</v>
      </c>
      <c r="S254" s="799">
        <f t="shared" si="82"/>
        <v>1</v>
      </c>
      <c r="T254" s="176">
        <f t="shared" si="83"/>
        <v>7</v>
      </c>
      <c r="U254" s="250">
        <f t="shared" si="84"/>
        <v>1.9805203287723054</v>
      </c>
      <c r="V254" s="382">
        <f t="shared" si="85"/>
        <v>51.26009565516636</v>
      </c>
      <c r="W254" s="400">
        <f t="shared" si="86"/>
        <v>48.860288366207129</v>
      </c>
      <c r="X254" s="157">
        <f t="shared" si="87"/>
        <v>45897</v>
      </c>
      <c r="Y254" s="383">
        <f t="shared" si="88"/>
        <v>46.368617528329047</v>
      </c>
      <c r="Z254" s="383">
        <f t="shared" si="89"/>
        <v>48.566083482291845</v>
      </c>
      <c r="AA254" s="384">
        <f t="shared" si="90"/>
        <v>52.262655847490997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7.0730664281321923E-2</v>
      </c>
      <c r="AD254" s="230">
        <f>(INDEX(Models!$BJ254:$BT254,,AH254)*(1-AF254)+INDEX(Models!$BJ254:$BT254,,AH254+1)*AF254-ERP_i)*AE254*Ramure*Pc/MaxiM</f>
        <v>1.1029579231656267E-3</v>
      </c>
      <c r="AE254" s="304">
        <f t="shared" si="92"/>
        <v>0.6</v>
      </c>
      <c r="AF254" s="177">
        <f t="shared" si="93"/>
        <v>0.98052032877230544</v>
      </c>
      <c r="AG254" s="799">
        <f t="shared" si="99"/>
        <v>1</v>
      </c>
      <c r="AH254" s="176">
        <f t="shared" si="94"/>
        <v>7</v>
      </c>
      <c r="AI254" s="224">
        <f t="shared" si="95"/>
        <v>1.9805203287723054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'2024'!Wh/'2024'!Env_an*'2025'!Env_an</f>
        <v>33.432400193761417</v>
      </c>
      <c r="C255" s="829"/>
      <c r="D255" s="391">
        <f t="shared" si="77"/>
        <v>35.017473960678352</v>
      </c>
      <c r="E255" s="383">
        <f t="shared" si="100"/>
        <v>35.764614876458374</v>
      </c>
      <c r="F255" s="383">
        <f t="shared" si="78"/>
        <v>35.785203378488724</v>
      </c>
      <c r="G255" s="110">
        <f t="shared" si="101"/>
        <v>0.65457234100920691</v>
      </c>
      <c r="H255" s="412" t="b">
        <f>Wh_hp&gt;='2024'!Maxi_hp</f>
        <v>0</v>
      </c>
      <c r="I255" s="388">
        <f>IF(H255,Wh_hp,'2024'!Maxi_hp)</f>
        <v>54.247939934538053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4.5265222976872521E-2</v>
      </c>
      <c r="M255" s="832"/>
      <c r="N255" s="832"/>
      <c r="O255" s="48">
        <f>IF(t&lt;Tnet,'2024'!Resal+('2024'!Salim-'2024'!Resal)*(1-EXP(('2024'!Tnet-t)/('2024'!Tau_j))),Resal+(Salim-Resal)*(1-EXP((Tnet-t)/(Tau_j))))*Salcycl</f>
        <v>2.0890506394682838E-2</v>
      </c>
      <c r="P255" s="169">
        <f>(INDEX(Models!$BJ255:$BT255,,T255)*(1-R255)+INDEX(Models!$BJ255:$BT255,,T255+1)*R255-ERP_i)*Q255*Ramure*Pc/MaxiM</f>
        <v>1.1346599637728962E-3</v>
      </c>
      <c r="Q255" s="304">
        <f t="shared" si="80"/>
        <v>0.6</v>
      </c>
      <c r="R255" s="177">
        <f t="shared" si="81"/>
        <v>0.98124836847460006</v>
      </c>
      <c r="S255" s="799">
        <f t="shared" si="82"/>
        <v>1</v>
      </c>
      <c r="T255" s="176">
        <f t="shared" si="83"/>
        <v>7</v>
      </c>
      <c r="U255" s="250">
        <f t="shared" si="84"/>
        <v>1.9812483684746001</v>
      </c>
      <c r="V255" s="382">
        <f t="shared" si="85"/>
        <v>51.04659604483021</v>
      </c>
      <c r="W255" s="400">
        <f t="shared" si="86"/>
        <v>33.432400193761417</v>
      </c>
      <c r="X255" s="157">
        <f t="shared" si="87"/>
        <v>45898</v>
      </c>
      <c r="Y255" s="383">
        <f t="shared" si="88"/>
        <v>31.729227183146993</v>
      </c>
      <c r="Z255" s="383">
        <f t="shared" si="89"/>
        <v>33.233551292725544</v>
      </c>
      <c r="AA255" s="384">
        <f t="shared" si="90"/>
        <v>35.764614876458374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7.0770050019436162E-2</v>
      </c>
      <c r="AD255" s="230">
        <f>(INDEX(Models!$BJ255:$BT255,,AH255)*(1-AF255)+INDEX(Models!$BJ255:$BT255,,AH255+1)*AF255-ERP_i)*AE255*Ramure*Pc/MaxiM</f>
        <v>1.1346599637728962E-3</v>
      </c>
      <c r="AE255" s="304">
        <f t="shared" si="92"/>
        <v>0.6</v>
      </c>
      <c r="AF255" s="177">
        <f t="shared" si="93"/>
        <v>0.98124836847460006</v>
      </c>
      <c r="AG255" s="799">
        <f t="shared" si="99"/>
        <v>1</v>
      </c>
      <c r="AH255" s="176">
        <f t="shared" si="94"/>
        <v>7</v>
      </c>
      <c r="AI255" s="224">
        <f t="shared" si="95"/>
        <v>1.9812483684746001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'2024'!Wh/'2024'!Env_an*'2025'!Env_an</f>
        <v>48.533977180133924</v>
      </c>
      <c r="C256" s="829"/>
      <c r="D256" s="391">
        <f t="shared" si="77"/>
        <v>50.836010700157829</v>
      </c>
      <c r="E256" s="383">
        <f t="shared" si="100"/>
        <v>51.925697093848996</v>
      </c>
      <c r="F256" s="383">
        <f t="shared" si="78"/>
        <v>51.982454990528389</v>
      </c>
      <c r="G256" s="110">
        <f t="shared" si="101"/>
        <v>0.95476152538184278</v>
      </c>
      <c r="H256" s="412" t="b">
        <f>Wh_hp&gt;='2024'!Maxi_hp</f>
        <v>0</v>
      </c>
      <c r="I256" s="388">
        <f>IF(H256,Wh_hp,'2024'!Maxi_hp)</f>
        <v>52.905760781813107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4.528352025106408E-2</v>
      </c>
      <c r="M256" s="832"/>
      <c r="N256" s="832"/>
      <c r="O256" s="48">
        <f>IF(t&lt;Tnet,'2024'!Resal+('2024'!Salim-'2024'!Resal)*(1-EXP(('2024'!Tnet-t)/('2024'!Tau_j))),Resal+(Salim-Resal)*(1-EXP((Tnet-t)/(Tau_j))))*Salcycl</f>
        <v>2.0985493785893618E-2</v>
      </c>
      <c r="P256" s="169">
        <f>(INDEX(Models!$BJ256:$BT256,,T256)*(1-R256)+INDEX(Models!$BJ256:$BT256,,T256+1)*R256-ERP_i)*Q256*Ramure*Pc/MaxiM</f>
        <v>1.1671768078617122E-3</v>
      </c>
      <c r="Q256" s="304">
        <f t="shared" si="80"/>
        <v>0.6</v>
      </c>
      <c r="R256" s="177">
        <f t="shared" si="81"/>
        <v>0.98194916603577487</v>
      </c>
      <c r="S256" s="799">
        <f t="shared" si="82"/>
        <v>1</v>
      </c>
      <c r="T256" s="176">
        <f t="shared" si="83"/>
        <v>7</v>
      </c>
      <c r="U256" s="250">
        <f t="shared" si="84"/>
        <v>1.9819491660357749</v>
      </c>
      <c r="V256" s="382">
        <f t="shared" si="85"/>
        <v>50.829779774055311</v>
      </c>
      <c r="W256" s="400">
        <f t="shared" si="86"/>
        <v>48.533977180133924</v>
      </c>
      <c r="X256" s="157">
        <f t="shared" si="87"/>
        <v>45899</v>
      </c>
      <c r="Y256" s="383">
        <f t="shared" si="88"/>
        <v>46.064007136983342</v>
      </c>
      <c r="Z256" s="383">
        <f t="shared" si="89"/>
        <v>48.248886569022986</v>
      </c>
      <c r="AA256" s="384">
        <f t="shared" si="90"/>
        <v>51.925697093848996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7.0809073938490383E-2</v>
      </c>
      <c r="AD256" s="230">
        <f>(INDEX(Models!$BJ256:$BT256,,AH256)*(1-AF256)+INDEX(Models!$BJ256:$BT256,,AH256+1)*AF256-ERP_i)*AE256*Ramure*Pc/MaxiM</f>
        <v>1.1671768078617122E-3</v>
      </c>
      <c r="AE256" s="304">
        <f t="shared" si="92"/>
        <v>0.6</v>
      </c>
      <c r="AF256" s="177">
        <f t="shared" si="93"/>
        <v>0.98194916603577487</v>
      </c>
      <c r="AG256" s="799">
        <f t="shared" si="99"/>
        <v>1</v>
      </c>
      <c r="AH256" s="176">
        <f t="shared" si="94"/>
        <v>7</v>
      </c>
      <c r="AI256" s="224">
        <f t="shared" si="95"/>
        <v>1.9819491660357749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'2024'!Wh/'2024'!Env_an*'2025'!Env_an</f>
        <v>25.068192624288649</v>
      </c>
      <c r="C257" s="829"/>
      <c r="D257" s="391">
        <f t="shared" si="77"/>
        <v>26.257714820509985</v>
      </c>
      <c r="E257" s="383">
        <f t="shared" si="100"/>
        <v>26.823154107391677</v>
      </c>
      <c r="F257" s="383">
        <f t="shared" si="78"/>
        <v>26.832142509727515</v>
      </c>
      <c r="G257" s="110">
        <f t="shared" si="101"/>
        <v>0.49489551484251049</v>
      </c>
      <c r="H257" s="412" t="b">
        <f>Wh_hp&gt;='2024'!Maxi_hp</f>
        <v>0</v>
      </c>
      <c r="I257" s="388">
        <f>IF(H257,Wh_hp,'2024'!Maxi_hp)</f>
        <v>52.429420207764473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4.5301817174592696E-2</v>
      </c>
      <c r="M257" s="832"/>
      <c r="N257" s="832"/>
      <c r="O257" s="48">
        <f>IF(t&lt;Tnet,'2024'!Resal+('2024'!Salim-'2024'!Resal)*(1-EXP(('2024'!Tnet-t)/('2024'!Tau_j))),Resal+(Salim-Resal)*(1-EXP((Tnet-t)/(Tau_j))))*Salcycl</f>
        <v>2.1080268361350966E-2</v>
      </c>
      <c r="P257" s="169">
        <f>(INDEX(Models!$BJ257:$BT257,,T257)*(1-R257)+INDEX(Models!$BJ257:$BT257,,T257+1)*R257-ERP_i)*Q257*Ramure*Pc/MaxiM</f>
        <v>1.2005181855276072E-3</v>
      </c>
      <c r="Q257" s="304">
        <f t="shared" si="80"/>
        <v>0.6</v>
      </c>
      <c r="R257" s="177">
        <f t="shared" si="81"/>
        <v>0.98262366322547501</v>
      </c>
      <c r="S257" s="799">
        <f t="shared" si="82"/>
        <v>1</v>
      </c>
      <c r="T257" s="176">
        <f t="shared" si="83"/>
        <v>7</v>
      </c>
      <c r="U257" s="250">
        <f t="shared" si="84"/>
        <v>1.982623663225475</v>
      </c>
      <c r="V257" s="382">
        <f t="shared" si="85"/>
        <v>50.609648470020439</v>
      </c>
      <c r="W257" s="400">
        <f t="shared" si="86"/>
        <v>25.068192624288649</v>
      </c>
      <c r="X257" s="157">
        <f t="shared" si="87"/>
        <v>45900</v>
      </c>
      <c r="Y257" s="383">
        <f t="shared" si="88"/>
        <v>23.793746809535214</v>
      </c>
      <c r="Z257" s="383">
        <f t="shared" si="89"/>
        <v>24.922794698444033</v>
      </c>
      <c r="AA257" s="384">
        <f t="shared" si="90"/>
        <v>26.823154107391677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7.0847723624864758E-2</v>
      </c>
      <c r="AD257" s="230">
        <f>(INDEX(Models!$BJ257:$BT257,,AH257)*(1-AF257)+INDEX(Models!$BJ257:$BT257,,AH257+1)*AF257-ERP_i)*AE257*Ramure*Pc/MaxiM</f>
        <v>1.2005181855276072E-3</v>
      </c>
      <c r="AE257" s="304">
        <f t="shared" si="92"/>
        <v>0.6</v>
      </c>
      <c r="AF257" s="177">
        <f t="shared" si="93"/>
        <v>0.98262366322547501</v>
      </c>
      <c r="AG257" s="799">
        <f t="shared" si="99"/>
        <v>1</v>
      </c>
      <c r="AH257" s="176">
        <f t="shared" si="94"/>
        <v>7</v>
      </c>
      <c r="AI257" s="224">
        <f t="shared" si="95"/>
        <v>1.982623663225475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'2024'!Wh/'2024'!Env_an*'2025'!Env_an</f>
        <v>41.033037190530131</v>
      </c>
      <c r="C258" s="829"/>
      <c r="D258" s="391">
        <f t="shared" si="77"/>
        <v>42.980938198666458</v>
      </c>
      <c r="E258" s="383">
        <f t="shared" si="100"/>
        <v>43.910740455065302</v>
      </c>
      <c r="F258" s="383">
        <f t="shared" si="78"/>
        <v>43.950615598527733</v>
      </c>
      <c r="G258" s="110">
        <f t="shared" si="101"/>
        <v>0.81410359938656718</v>
      </c>
      <c r="H258" s="412" t="b">
        <f>Wh_hp&gt;='2024'!Maxi_hp</f>
        <v>0</v>
      </c>
      <c r="I258" s="388">
        <f>IF(H258,Wh_hp,'2024'!Maxi_hp)</f>
        <v>47.872949450269061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4.5320113747464918E-2</v>
      </c>
      <c r="M258" s="832"/>
      <c r="N258" s="832"/>
      <c r="O258" s="48">
        <f>IF(t&lt;Tnet,'2024'!Resal+('2024'!Salim-'2024'!Resal)*(1-EXP(('2024'!Tnet-t)/('2024'!Tau_j))),Resal+(Salim-Resal)*(1-EXP((Tnet-t)/(Tau_j))))*Salcycl</f>
        <v>2.1174825265138267E-2</v>
      </c>
      <c r="P258" s="169">
        <f>(INDEX(Models!$BJ258:$BT258,,T258)*(1-R258)+INDEX(Models!$BJ258:$BT258,,T258+1)*R258-ERP_i)*Q258*Ramure*Pc/MaxiM</f>
        <v>1.2346938815273557E-3</v>
      </c>
      <c r="Q258" s="304">
        <f t="shared" si="80"/>
        <v>0.6</v>
      </c>
      <c r="R258" s="177">
        <f t="shared" si="81"/>
        <v>0.98327277520809653</v>
      </c>
      <c r="S258" s="799">
        <f t="shared" si="82"/>
        <v>1</v>
      </c>
      <c r="T258" s="176">
        <f t="shared" si="83"/>
        <v>7</v>
      </c>
      <c r="U258" s="250">
        <f t="shared" si="84"/>
        <v>1.9832727752080965</v>
      </c>
      <c r="V258" s="382">
        <f t="shared" si="85"/>
        <v>50.386203781254487</v>
      </c>
      <c r="W258" s="400">
        <f t="shared" si="86"/>
        <v>41.033037190530131</v>
      </c>
      <c r="X258" s="157">
        <f t="shared" si="87"/>
        <v>45901</v>
      </c>
      <c r="Y258" s="383">
        <f t="shared" si="88"/>
        <v>38.949110491373602</v>
      </c>
      <c r="Z258" s="383">
        <f t="shared" si="89"/>
        <v>40.798084313122999</v>
      </c>
      <c r="AA258" s="384">
        <f t="shared" si="90"/>
        <v>43.910740455065302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7.0885986200290671E-2</v>
      </c>
      <c r="AD258" s="230">
        <f>(INDEX(Models!$BJ258:$BT258,,AH258)*(1-AF258)+INDEX(Models!$BJ258:$BT258,,AH258+1)*AF258-ERP_i)*AE258*Ramure*Pc/MaxiM</f>
        <v>1.2346938815273557E-3</v>
      </c>
      <c r="AE258" s="304">
        <f t="shared" si="92"/>
        <v>0.6</v>
      </c>
      <c r="AF258" s="177">
        <f t="shared" si="93"/>
        <v>0.98327277520809653</v>
      </c>
      <c r="AG258" s="799">
        <f t="shared" si="99"/>
        <v>1</v>
      </c>
      <c r="AH258" s="176">
        <f t="shared" si="94"/>
        <v>7</v>
      </c>
      <c r="AI258" s="224">
        <f t="shared" si="95"/>
        <v>1.9832727752080965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'2024'!Wh/'2024'!Env_an*'2025'!Env_an</f>
        <v>39.48960323422363</v>
      </c>
      <c r="C259" s="829"/>
      <c r="D259" s="391">
        <f t="shared" si="77"/>
        <v>41.365027824121164</v>
      </c>
      <c r="E259" s="383">
        <f t="shared" si="100"/>
        <v>42.263946439371345</v>
      </c>
      <c r="F259" s="383">
        <f t="shared" si="78"/>
        <v>42.301335257774355</v>
      </c>
      <c r="G259" s="110">
        <f t="shared" si="101"/>
        <v>0.78697742780897362</v>
      </c>
      <c r="H259" s="412" t="b">
        <f>Wh_hp&gt;='2024'!Maxi_hp</f>
        <v>0</v>
      </c>
      <c r="I259" s="388">
        <f>IF(H259,Wh_hp,'2024'!Maxi_hp)</f>
        <v>52.448101483562709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4.533840996968741E-2</v>
      </c>
      <c r="M259" s="832"/>
      <c r="N259" s="832"/>
      <c r="O259" s="48">
        <f>IF(t&lt;Tnet,'2024'!Resal+('2024'!Salim-'2024'!Resal)*(1-EXP(('2024'!Tnet-t)/('2024'!Tau_j))),Resal+(Salim-Resal)*(1-EXP((Tnet-t)/(Tau_j))))*Salcycl</f>
        <v>2.1269159436866532E-2</v>
      </c>
      <c r="P259" s="169">
        <f>(INDEX(Models!$BJ259:$BT259,,T259)*(1-R259)+INDEX(Models!$BJ259:$BT259,,T259+1)*R259-ERP_i)*Q259*Ramure*Pc/MaxiM</f>
        <v>1.2697137177882819E-3</v>
      </c>
      <c r="Q259" s="304">
        <f t="shared" si="80"/>
        <v>0.6</v>
      </c>
      <c r="R259" s="177">
        <f t="shared" si="81"/>
        <v>0.98389739082230321</v>
      </c>
      <c r="S259" s="799">
        <f t="shared" si="82"/>
        <v>1</v>
      </c>
      <c r="T259" s="176">
        <f t="shared" si="83"/>
        <v>7</v>
      </c>
      <c r="U259" s="250">
        <f t="shared" si="84"/>
        <v>1.9838973908223032</v>
      </c>
      <c r="V259" s="382">
        <f t="shared" si="85"/>
        <v>50.159447381958266</v>
      </c>
      <c r="W259" s="400">
        <f t="shared" si="86"/>
        <v>39.48960323422363</v>
      </c>
      <c r="X259" s="157">
        <f t="shared" si="87"/>
        <v>45902</v>
      </c>
      <c r="Y259" s="383">
        <f t="shared" si="88"/>
        <v>37.486147452249583</v>
      </c>
      <c r="Z259" s="383">
        <f t="shared" si="89"/>
        <v>39.266424713975681</v>
      </c>
      <c r="AA259" s="384">
        <f t="shared" si="90"/>
        <v>42.263946439371345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7.0923848289834501E-2</v>
      </c>
      <c r="AD259" s="230">
        <f>(INDEX(Models!$BJ259:$BT259,,AH259)*(1-AF259)+INDEX(Models!$BJ259:$BT259,,AH259+1)*AF259-ERP_i)*AE259*Ramure*Pc/MaxiM</f>
        <v>1.2697137177882819E-3</v>
      </c>
      <c r="AE259" s="304">
        <f t="shared" si="92"/>
        <v>0.6</v>
      </c>
      <c r="AF259" s="177">
        <f t="shared" si="93"/>
        <v>0.98389739082230321</v>
      </c>
      <c r="AG259" s="799">
        <f t="shared" si="99"/>
        <v>1</v>
      </c>
      <c r="AH259" s="176">
        <f t="shared" si="94"/>
        <v>7</v>
      </c>
      <c r="AI259" s="224">
        <f t="shared" si="95"/>
        <v>1.9838973908223032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'2024'!Wh/'2024'!Env_an*'2025'!Env_an</f>
        <v>38.553122588265715</v>
      </c>
      <c r="C260" s="829"/>
      <c r="D260" s="391">
        <f t="shared" si="77"/>
        <v>40.384846176749356</v>
      </c>
      <c r="E260" s="383">
        <f t="shared" si="100"/>
        <v>41.266431922220441</v>
      </c>
      <c r="F260" s="383">
        <f t="shared" si="78"/>
        <v>41.302804180804529</v>
      </c>
      <c r="G260" s="110">
        <f t="shared" si="101"/>
        <v>0.77182459993860941</v>
      </c>
      <c r="H260" s="412" t="b">
        <f>Wh_hp&gt;='2024'!Maxi_hp</f>
        <v>0</v>
      </c>
      <c r="I260" s="388">
        <f>IF(H260,Wh_hp,'2024'!Maxi_hp)</f>
        <v>55.043508007448153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4.5356705841267053E-2</v>
      </c>
      <c r="M260" s="832"/>
      <c r="N260" s="832"/>
      <c r="O260" s="48">
        <f>IF(t&lt;Tnet,'2024'!Resal+('2024'!Salim-'2024'!Resal)*(1-EXP(('2024'!Tnet-t)/('2024'!Tau_j))),Resal+(Salim-Resal)*(1-EXP((Tnet-t)/(Tau_j))))*Salcycl</f>
        <v>2.1363265598845875E-2</v>
      </c>
      <c r="P260" s="169">
        <f>(INDEX(Models!$BJ260:$BT260,,T260)*(1-R260)+INDEX(Models!$BJ260:$BT260,,T260+1)*R260-ERP_i)*Q260*Ramure*Pc/MaxiM</f>
        <v>1.3055875335948779E-3</v>
      </c>
      <c r="Q260" s="304">
        <f t="shared" si="80"/>
        <v>0.6</v>
      </c>
      <c r="R260" s="177">
        <f t="shared" si="81"/>
        <v>0.98449837290092868</v>
      </c>
      <c r="S260" s="799">
        <f t="shared" si="82"/>
        <v>1</v>
      </c>
      <c r="T260" s="176">
        <f t="shared" si="83"/>
        <v>7</v>
      </c>
      <c r="U260" s="250">
        <f t="shared" si="84"/>
        <v>1.9844983729009287</v>
      </c>
      <c r="V260" s="382">
        <f t="shared" si="85"/>
        <v>49.929380971170616</v>
      </c>
      <c r="W260" s="400">
        <f t="shared" si="86"/>
        <v>38.553122588265715</v>
      </c>
      <c r="X260" s="157">
        <f t="shared" si="87"/>
        <v>45903</v>
      </c>
      <c r="Y260" s="383">
        <f t="shared" si="88"/>
        <v>36.5992219441275</v>
      </c>
      <c r="Z260" s="383">
        <f t="shared" si="89"/>
        <v>38.338112432225365</v>
      </c>
      <c r="AA260" s="384">
        <f t="shared" si="90"/>
        <v>41.266431922220441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7.0961295987848283E-2</v>
      </c>
      <c r="AD260" s="230">
        <f>(INDEX(Models!$BJ260:$BT260,,AH260)*(1-AF260)+INDEX(Models!$BJ260:$BT260,,AH260+1)*AF260-ERP_i)*AE260*Ramure*Pc/MaxiM</f>
        <v>1.3055875335948779E-3</v>
      </c>
      <c r="AE260" s="304">
        <f t="shared" si="92"/>
        <v>0.6</v>
      </c>
      <c r="AF260" s="177">
        <f t="shared" si="93"/>
        <v>0.98449837290092868</v>
      </c>
      <c r="AG260" s="799">
        <f t="shared" si="99"/>
        <v>1</v>
      </c>
      <c r="AH260" s="176">
        <f t="shared" si="94"/>
        <v>7</v>
      </c>
      <c r="AI260" s="224">
        <f t="shared" si="95"/>
        <v>1.9844983729009287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'2024'!Wh/'2024'!Env_an*'2025'!Env_an</f>
        <v>46.593550852099696</v>
      </c>
      <c r="C261" s="829"/>
      <c r="D261" s="391">
        <f t="shared" si="77"/>
        <v>48.808224086512269</v>
      </c>
      <c r="E261" s="383">
        <f t="shared" si="100"/>
        <v>49.878473385276891</v>
      </c>
      <c r="F261" s="383">
        <f t="shared" si="78"/>
        <v>49.939530028536211</v>
      </c>
      <c r="G261" s="110">
        <f t="shared" si="101"/>
        <v>0.9374589554977999</v>
      </c>
      <c r="H261" s="412" t="b">
        <f>Wh_hp&gt;='2024'!Maxi_hp</f>
        <v>0</v>
      </c>
      <c r="I261" s="388">
        <f>IF(H261,Wh_hp,'2024'!Maxi_hp)</f>
        <v>53.392231312994895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4.537500136221051E-2</v>
      </c>
      <c r="M261" s="832"/>
      <c r="N261" s="832"/>
      <c r="O261" s="48">
        <f>IF(t&lt;Tnet,'2024'!Resal+('2024'!Salim-'2024'!Resal)*(1-EXP(('2024'!Tnet-t)/('2024'!Tau_j))),Resal+(Salim-Resal)*(1-EXP((Tnet-t)/(Tau_j))))*Salcycl</f>
        <v>2.1457138242738066E-2</v>
      </c>
      <c r="P261" s="169">
        <f>(INDEX(Models!$BJ261:$BT261,,T261)*(1-R261)+INDEX(Models!$BJ261:$BT261,,T261+1)*R261-ERP_i)*Q261*Ramure*Pc/MaxiM</f>
        <v>1.3423251631345156E-3</v>
      </c>
      <c r="Q261" s="304">
        <f t="shared" si="80"/>
        <v>0.6</v>
      </c>
      <c r="R261" s="177">
        <f t="shared" si="81"/>
        <v>0.98507655862669274</v>
      </c>
      <c r="S261" s="799">
        <f t="shared" si="82"/>
        <v>1</v>
      </c>
      <c r="T261" s="176">
        <f t="shared" si="83"/>
        <v>7</v>
      </c>
      <c r="U261" s="250">
        <f t="shared" si="84"/>
        <v>1.9850765586266927</v>
      </c>
      <c r="V261" s="382">
        <f t="shared" si="85"/>
        <v>49.696006279387788</v>
      </c>
      <c r="W261" s="400">
        <f t="shared" si="86"/>
        <v>46.593550852099696</v>
      </c>
      <c r="X261" s="157">
        <f t="shared" si="87"/>
        <v>45904</v>
      </c>
      <c r="Y261" s="383">
        <f t="shared" si="88"/>
        <v>44.23463595887074</v>
      </c>
      <c r="Z261" s="383">
        <f t="shared" si="89"/>
        <v>46.337185828981788</v>
      </c>
      <c r="AA261" s="384">
        <f t="shared" si="90"/>
        <v>49.878473385276891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7.0998314822931591E-2</v>
      </c>
      <c r="AD261" s="230">
        <f>(INDEX(Models!$BJ261:$BT261,,AH261)*(1-AF261)+INDEX(Models!$BJ261:$BT261,,AH261+1)*AF261-ERP_i)*AE261*Ramure*Pc/MaxiM</f>
        <v>1.3423251631345156E-3</v>
      </c>
      <c r="AE261" s="304">
        <f t="shared" si="92"/>
        <v>0.6</v>
      </c>
      <c r="AF261" s="177">
        <f t="shared" si="93"/>
        <v>0.98507655862669274</v>
      </c>
      <c r="AG261" s="799">
        <f t="shared" si="99"/>
        <v>1</v>
      </c>
      <c r="AH261" s="176">
        <f t="shared" si="94"/>
        <v>7</v>
      </c>
      <c r="AI261" s="224">
        <f t="shared" si="95"/>
        <v>1.9850765586266927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'2024'!Wh/'2024'!Env_an*'2025'!Env_an</f>
        <v>40.724889775276516</v>
      </c>
      <c r="C262" s="829"/>
      <c r="D262" s="391">
        <f t="shared" si="77"/>
        <v>42.661432847002899</v>
      </c>
      <c r="E262" s="383">
        <f t="shared" si="100"/>
        <v>43.601069538848648</v>
      </c>
      <c r="F262" s="383">
        <f t="shared" si="78"/>
        <v>43.646129509008055</v>
      </c>
      <c r="G262" s="110">
        <f t="shared" si="101"/>
        <v>0.82311518483375046</v>
      </c>
      <c r="H262" s="412" t="b">
        <f>Wh_hp&gt;='2024'!Maxi_hp</f>
        <v>0</v>
      </c>
      <c r="I262" s="388">
        <f>IF(H262,Wh_hp,'2024'!Maxi_hp)</f>
        <v>53.427461866974461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4.5393296532524441E-2</v>
      </c>
      <c r="M262" s="832"/>
      <c r="N262" s="832"/>
      <c r="O262" s="48">
        <f>IF(t&lt;Tnet,'2024'!Resal+('2024'!Salim-'2024'!Resal)*(1-EXP(('2024'!Tnet-t)/('2024'!Tau_j))),Resal+(Salim-Resal)*(1-EXP((Tnet-t)/(Tau_j))))*Salcycl</f>
        <v>2.1550771616015842E-2</v>
      </c>
      <c r="P262" s="169">
        <f>(INDEX(Models!$BJ262:$BT262,,T262)*(1-R262)+INDEX(Models!$BJ262:$BT262,,T262+1)*R262-ERP_i)*Q262*Ramure*Pc/MaxiM</f>
        <v>1.3807262338782905E-3</v>
      </c>
      <c r="Q262" s="304">
        <f t="shared" si="80"/>
        <v>0.6</v>
      </c>
      <c r="R262" s="177">
        <f t="shared" si="81"/>
        <v>0.98563275991946475</v>
      </c>
      <c r="S262" s="799">
        <f t="shared" si="82"/>
        <v>1</v>
      </c>
      <c r="T262" s="176">
        <f t="shared" si="83"/>
        <v>7</v>
      </c>
      <c r="U262" s="250">
        <f t="shared" si="84"/>
        <v>1.9856327599194648</v>
      </c>
      <c r="V262" s="382">
        <f t="shared" si="85"/>
        <v>49.459285945823574</v>
      </c>
      <c r="W262" s="400">
        <f t="shared" si="86"/>
        <v>40.724889775276516</v>
      </c>
      <c r="X262" s="157">
        <f t="shared" si="87"/>
        <v>45905</v>
      </c>
      <c r="Y262" s="383">
        <f t="shared" si="88"/>
        <v>38.665268083038065</v>
      </c>
      <c r="Z262" s="383">
        <f t="shared" si="89"/>
        <v>40.503872372351751</v>
      </c>
      <c r="AA262" s="384">
        <f t="shared" si="90"/>
        <v>43.601069538848648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7.1034889722998373E-2</v>
      </c>
      <c r="AD262" s="230">
        <f>(INDEX(Models!$BJ262:$BT262,,AH262)*(1-AF262)+INDEX(Models!$BJ262:$BT262,,AH262+1)*AF262-ERP_i)*AE262*Ramure*Pc/MaxiM</f>
        <v>1.3807262338782905E-3</v>
      </c>
      <c r="AE262" s="304">
        <f t="shared" si="92"/>
        <v>0.6</v>
      </c>
      <c r="AF262" s="177">
        <f t="shared" si="93"/>
        <v>0.98563275991946475</v>
      </c>
      <c r="AG262" s="799">
        <f t="shared" si="99"/>
        <v>1</v>
      </c>
      <c r="AH262" s="176">
        <f t="shared" si="94"/>
        <v>7</v>
      </c>
      <c r="AI262" s="224">
        <f t="shared" si="95"/>
        <v>1.9856327599194648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'2024'!Wh/'2024'!Env_an*'2025'!Env_an</f>
        <v>46.084250408619795</v>
      </c>
      <c r="C263" s="829"/>
      <c r="D263" s="391">
        <f t="shared" si="77"/>
        <v>48.276566100252694</v>
      </c>
      <c r="E263" s="383">
        <f t="shared" si="100"/>
        <v>49.344588249069425</v>
      </c>
      <c r="F263" s="383">
        <f t="shared" si="78"/>
        <v>49.408391594676097</v>
      </c>
      <c r="G263" s="110">
        <f t="shared" si="101"/>
        <v>0.93618457829781576</v>
      </c>
      <c r="H263" s="412" t="b">
        <f>Wh_hp&gt;='2024'!Maxi_hp</f>
        <v>0</v>
      </c>
      <c r="I263" s="388">
        <f>IF(H263,Wh_hp,'2024'!Maxi_hp)</f>
        <v>54.427802265876565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4.5411591352215619E-2</v>
      </c>
      <c r="M263" s="832"/>
      <c r="N263" s="832"/>
      <c r="O263" s="48">
        <f>IF(t&lt;Tnet,'2024'!Resal+('2024'!Salim-'2024'!Resal)*(1-EXP(('2024'!Tnet-t)/('2024'!Tau_j))),Resal+(Salim-Resal)*(1-EXP((Tnet-t)/(Tau_j))))*Salcycl</f>
        <v>2.1644159708574893E-2</v>
      </c>
      <c r="P263" s="169">
        <f>(INDEX(Models!$BJ263:$BT263,,T263)*(1-R263)+INDEX(Models!$BJ263:$BT263,,T263+1)*R263-ERP_i)*Q263*Ramure*Pc/MaxiM</f>
        <v>1.4206101637420411E-3</v>
      </c>
      <c r="Q263" s="304">
        <f t="shared" si="80"/>
        <v>0.6</v>
      </c>
      <c r="R263" s="177">
        <f t="shared" si="81"/>
        <v>0.98616776385109639</v>
      </c>
      <c r="S263" s="799">
        <f t="shared" si="82"/>
        <v>1</v>
      </c>
      <c r="T263" s="176">
        <f t="shared" si="83"/>
        <v>7</v>
      </c>
      <c r="U263" s="250">
        <f t="shared" si="84"/>
        <v>1.9861677638510964</v>
      </c>
      <c r="V263" s="382">
        <f t="shared" si="85"/>
        <v>49.219231706855858</v>
      </c>
      <c r="W263" s="400">
        <f t="shared" si="86"/>
        <v>46.084250408619795</v>
      </c>
      <c r="X263" s="157">
        <f t="shared" si="87"/>
        <v>45906</v>
      </c>
      <c r="Y263" s="383">
        <f t="shared" si="88"/>
        <v>43.75605955958207</v>
      </c>
      <c r="Z263" s="383">
        <f t="shared" si="89"/>
        <v>45.837618771805971</v>
      </c>
      <c r="AA263" s="384">
        <f t="shared" si="90"/>
        <v>49.344588249069425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7.1071004981576438E-2</v>
      </c>
      <c r="AD263" s="230">
        <f>(INDEX(Models!$BJ263:$BT263,,AH263)*(1-AF263)+INDEX(Models!$BJ263:$BT263,,AH263+1)*AF263-ERP_i)*AE263*Ramure*Pc/MaxiM</f>
        <v>1.4206101637420411E-3</v>
      </c>
      <c r="AE263" s="304">
        <f t="shared" si="92"/>
        <v>0.6</v>
      </c>
      <c r="AF263" s="177">
        <f t="shared" si="93"/>
        <v>0.98616776385109639</v>
      </c>
      <c r="AG263" s="799">
        <f t="shared" si="99"/>
        <v>1</v>
      </c>
      <c r="AH263" s="176">
        <f t="shared" si="94"/>
        <v>7</v>
      </c>
      <c r="AI263" s="224">
        <f t="shared" si="95"/>
        <v>1.9861677638510964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'2024'!Wh/'2024'!Env_an*'2025'!Env_an</f>
        <v>36.684557104822886</v>
      </c>
      <c r="C264" s="829"/>
      <c r="D264" s="391">
        <f t="shared" si="77"/>
        <v>38.430447968073523</v>
      </c>
      <c r="E264" s="383">
        <f t="shared" si="100"/>
        <v>39.28438426647444</v>
      </c>
      <c r="F264" s="383">
        <f t="shared" si="78"/>
        <v>39.321261107024554</v>
      </c>
      <c r="G264" s="110">
        <f t="shared" si="101"/>
        <v>0.74864068507701154</v>
      </c>
      <c r="H264" s="412" t="b">
        <f>Wh_hp&gt;='2024'!Maxi_hp</f>
        <v>0</v>
      </c>
      <c r="I264" s="388">
        <f>IF(H264,Wh_hp,'2024'!Maxi_hp)</f>
        <v>49.351657913110358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4.5429885821290705E-2</v>
      </c>
      <c r="M264" s="832"/>
      <c r="N264" s="832"/>
      <c r="O264" s="48">
        <f>IF(t&lt;Tnet,'2024'!Resal+('2024'!Salim-'2024'!Resal)*(1-EXP(('2024'!Tnet-t)/('2024'!Tau_j))),Resal+(Salim-Resal)*(1-EXP((Tnet-t)/(Tau_j))))*Salcycl</f>
        <v>2.1737296239861738E-2</v>
      </c>
      <c r="P264" s="169">
        <f>(INDEX(Models!$BJ264:$BT264,,T264)*(1-R264)+INDEX(Models!$BJ264:$BT264,,T264+1)*R264-ERP_i)*Q264*Ramure*Pc/MaxiM</f>
        <v>1.4619933733662899E-3</v>
      </c>
      <c r="Q264" s="304">
        <f t="shared" si="80"/>
        <v>0.6</v>
      </c>
      <c r="R264" s="177">
        <f t="shared" si="81"/>
        <v>0.98668233308413389</v>
      </c>
      <c r="S264" s="799">
        <f t="shared" si="82"/>
        <v>1</v>
      </c>
      <c r="T264" s="176">
        <f t="shared" si="83"/>
        <v>7</v>
      </c>
      <c r="U264" s="250">
        <f t="shared" si="84"/>
        <v>1.9866823330841339</v>
      </c>
      <c r="V264" s="382">
        <f t="shared" si="85"/>
        <v>48.975845494910097</v>
      </c>
      <c r="W264" s="400">
        <f t="shared" si="86"/>
        <v>36.684557104822886</v>
      </c>
      <c r="X264" s="157">
        <f t="shared" si="87"/>
        <v>45907</v>
      </c>
      <c r="Y264" s="383">
        <f t="shared" si="88"/>
        <v>34.833221406873861</v>
      </c>
      <c r="Z264" s="383">
        <f t="shared" si="89"/>
        <v>36.491003530781583</v>
      </c>
      <c r="AA264" s="384">
        <f t="shared" si="90"/>
        <v>39.28438426647444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7.1106644226488464E-2</v>
      </c>
      <c r="AD264" s="230">
        <f>(INDEX(Models!$BJ264:$BT264,,AH264)*(1-AF264)+INDEX(Models!$BJ264:$BT264,,AH264+1)*AF264-ERP_i)*AE264*Ramure*Pc/MaxiM</f>
        <v>1.4619933733662899E-3</v>
      </c>
      <c r="AE264" s="304">
        <f t="shared" si="92"/>
        <v>0.6</v>
      </c>
      <c r="AF264" s="177">
        <f t="shared" si="93"/>
        <v>0.98668233308413389</v>
      </c>
      <c r="AG264" s="799">
        <f t="shared" si="99"/>
        <v>1</v>
      </c>
      <c r="AH264" s="176">
        <f t="shared" si="94"/>
        <v>7</v>
      </c>
      <c r="AI264" s="224">
        <f t="shared" si="95"/>
        <v>1.9866823330841339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'2024'!Wh/'2024'!Env_an*'2025'!Env_an</f>
        <v>35.651418473371827</v>
      </c>
      <c r="C265" s="829"/>
      <c r="D265" s="391">
        <f t="shared" si="77"/>
        <v>37.348856001470722</v>
      </c>
      <c r="E265" s="383">
        <f t="shared" si="100"/>
        <v>38.182384115138952</v>
      </c>
      <c r="F265" s="383">
        <f t="shared" si="78"/>
        <v>38.217847448844893</v>
      </c>
      <c r="G265" s="110">
        <f t="shared" si="101"/>
        <v>0.73120185438224039</v>
      </c>
      <c r="H265" s="412" t="b">
        <f>Wh_hp&gt;='2024'!Maxi_hp</f>
        <v>0</v>
      </c>
      <c r="I265" s="388">
        <f>IF(H265,Wh_hp,'2024'!Maxi_hp)</f>
        <v>48.219770599083176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4.5448179939756472E-2</v>
      </c>
      <c r="M265" s="832"/>
      <c r="N265" s="832"/>
      <c r="O265" s="48">
        <f>IF(t&lt;Tnet,'2024'!Resal+('2024'!Salim-'2024'!Resal)*(1-EXP(('2024'!Tnet-t)/('2024'!Tau_j))),Resal+(Salim-Resal)*(1-EXP((Tnet-t)/(Tau_j))))*Salcycl</f>
        <v>2.183017464689271E-2</v>
      </c>
      <c r="P265" s="169">
        <f>(INDEX(Models!$BJ265:$BT265,,T265)*(1-R265)+INDEX(Models!$BJ265:$BT265,,T265+1)*R265-ERP_i)*Q265*Ramure*Pc/MaxiM</f>
        <v>1.5048922986363907E-3</v>
      </c>
      <c r="Q265" s="304">
        <f t="shared" si="80"/>
        <v>0.6</v>
      </c>
      <c r="R265" s="177">
        <f t="shared" si="81"/>
        <v>0.98717720633097983</v>
      </c>
      <c r="S265" s="799">
        <f t="shared" si="82"/>
        <v>1</v>
      </c>
      <c r="T265" s="176">
        <f t="shared" si="83"/>
        <v>7</v>
      </c>
      <c r="U265" s="250">
        <f t="shared" si="84"/>
        <v>1.9871772063309798</v>
      </c>
      <c r="V265" s="382">
        <f t="shared" si="85"/>
        <v>48.729129292341497</v>
      </c>
      <c r="W265" s="400">
        <f t="shared" si="86"/>
        <v>35.651418473371827</v>
      </c>
      <c r="X265" s="157">
        <f t="shared" si="87"/>
        <v>45908</v>
      </c>
      <c r="Y265" s="383">
        <f t="shared" si="88"/>
        <v>33.854154845969724</v>
      </c>
      <c r="Z265" s="383">
        <f t="shared" si="89"/>
        <v>35.466020947750252</v>
      </c>
      <c r="AA265" s="384">
        <f t="shared" si="90"/>
        <v>38.182384115138952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7.1141790392069554E-2</v>
      </c>
      <c r="AD265" s="230">
        <f>(INDEX(Models!$BJ265:$BT265,,AH265)*(1-AF265)+INDEX(Models!$BJ265:$BT265,,AH265+1)*AF265-ERP_i)*AE265*Ramure*Pc/MaxiM</f>
        <v>1.5048922986363907E-3</v>
      </c>
      <c r="AE265" s="304">
        <f t="shared" si="92"/>
        <v>0.6</v>
      </c>
      <c r="AF265" s="177">
        <f t="shared" si="93"/>
        <v>0.98717720633097983</v>
      </c>
      <c r="AG265" s="799">
        <f t="shared" si="99"/>
        <v>1</v>
      </c>
      <c r="AH265" s="176">
        <f t="shared" si="94"/>
        <v>7</v>
      </c>
      <c r="AI265" s="224">
        <f t="shared" si="95"/>
        <v>1.9871772063309798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'2024'!Wh/'2024'!Env_an*'2025'!Env_an</f>
        <v>23.87648864709211</v>
      </c>
      <c r="C266" s="829"/>
      <c r="D266" s="391">
        <f t="shared" si="77"/>
        <v>25.013776875741264</v>
      </c>
      <c r="E266" s="383">
        <f t="shared" si="100"/>
        <v>25.574439901808283</v>
      </c>
      <c r="F266" s="383">
        <f t="shared" si="78"/>
        <v>25.585341522624201</v>
      </c>
      <c r="G266" s="110">
        <f t="shared" si="101"/>
        <v>0.49195768129752571</v>
      </c>
      <c r="H266" s="412" t="b">
        <f>Wh_hp&gt;='2024'!Maxi_hp</f>
        <v>0</v>
      </c>
      <c r="I266" s="388">
        <f>IF(H266,Wh_hp,'2024'!Maxi_hp)</f>
        <v>50.375328728188094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4.5466473707619692E-2</v>
      </c>
      <c r="M266" s="832"/>
      <c r="N266" s="832"/>
      <c r="O266" s="48">
        <f>IF(t&lt;Tnet,'2024'!Resal+('2024'!Salim-'2024'!Resal)*(1-EXP(('2024'!Tnet-t)/('2024'!Tau_j))),Resal+(Salim-Resal)*(1-EXP((Tnet-t)/(Tau_j))))*Salcycl</f>
        <v>2.1922788073547379E-2</v>
      </c>
      <c r="P266" s="169">
        <f>(INDEX(Models!$BJ266:$BT266,,T266)*(1-R266)+INDEX(Models!$BJ266:$BT266,,T266+1)*R266-ERP_i)*Q266*Ramure*Pc/MaxiM</f>
        <v>1.5493233521734909E-3</v>
      </c>
      <c r="Q266" s="304">
        <f t="shared" si="80"/>
        <v>0.6</v>
      </c>
      <c r="R266" s="177">
        <f t="shared" si="81"/>
        <v>0.98765309883033492</v>
      </c>
      <c r="S266" s="799">
        <f t="shared" si="82"/>
        <v>1</v>
      </c>
      <c r="T266" s="176">
        <f t="shared" si="83"/>
        <v>7</v>
      </c>
      <c r="U266" s="250">
        <f t="shared" si="84"/>
        <v>1.9876530988303349</v>
      </c>
      <c r="V266" s="382">
        <f t="shared" si="85"/>
        <v>48.479085129540053</v>
      </c>
      <c r="W266" s="400">
        <f t="shared" si="86"/>
        <v>23.87648864709211</v>
      </c>
      <c r="X266" s="157">
        <f t="shared" si="87"/>
        <v>45909</v>
      </c>
      <c r="Y266" s="383">
        <f t="shared" si="88"/>
        <v>22.67412557679237</v>
      </c>
      <c r="Z266" s="383">
        <f t="shared" si="89"/>
        <v>23.754142680418674</v>
      </c>
      <c r="AA266" s="384">
        <f t="shared" si="90"/>
        <v>25.574439901808283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7.1176425696067899E-2</v>
      </c>
      <c r="AD266" s="230">
        <f>(INDEX(Models!$BJ266:$BT266,,AH266)*(1-AF266)+INDEX(Models!$BJ266:$BT266,,AH266+1)*AF266-ERP_i)*AE266*Ramure*Pc/MaxiM</f>
        <v>1.5493233521734909E-3</v>
      </c>
      <c r="AE266" s="304">
        <f t="shared" si="92"/>
        <v>0.6</v>
      </c>
      <c r="AF266" s="177">
        <f t="shared" si="93"/>
        <v>0.98765309883033492</v>
      </c>
      <c r="AG266" s="799">
        <f t="shared" si="99"/>
        <v>1</v>
      </c>
      <c r="AH266" s="176">
        <f t="shared" si="94"/>
        <v>7</v>
      </c>
      <c r="AI266" s="224">
        <f t="shared" si="95"/>
        <v>1.9876530988303349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'2024'!Wh/'2024'!Env_an*'2025'!Env_an</f>
        <v>47.227473896621959</v>
      </c>
      <c r="C267" s="829"/>
      <c r="D267" s="391">
        <f t="shared" si="77"/>
        <v>49.477967736949793</v>
      </c>
      <c r="E267" s="383">
        <f t="shared" si="100"/>
        <v>50.591751695144431</v>
      </c>
      <c r="F267" s="383">
        <f t="shared" si="78"/>
        <v>50.670195692850108</v>
      </c>
      <c r="G267" s="110">
        <f t="shared" si="101"/>
        <v>0.9792543760135467</v>
      </c>
      <c r="H267" s="412" t="b">
        <f>Wh_hp&gt;='2024'!Maxi_hp</f>
        <v>0</v>
      </c>
      <c r="I267" s="388">
        <f>IF(H267,Wh_hp,'2024'!Maxi_hp)</f>
        <v>50.671626429813287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4.5484767124887027E-2</v>
      </c>
      <c r="M267" s="832"/>
      <c r="N267" s="832"/>
      <c r="O267" s="48">
        <f>IF(t&lt;Tnet,'2024'!Resal+('2024'!Salim-'2024'!Resal)*(1-EXP(('2024'!Tnet-t)/('2024'!Tau_j))),Resal+(Salim-Resal)*(1-EXP((Tnet-t)/(Tau_j))))*Salcycl</f>
        <v>2.2015129361522695E-2</v>
      </c>
      <c r="P267" s="169">
        <f>(INDEX(Models!$BJ267:$BT267,,T267)*(1-R267)+INDEX(Models!$BJ267:$BT267,,T267+1)*R267-ERP_i)*Q267*Ramure*Pc/MaxiM</f>
        <v>1.5953028818622196E-3</v>
      </c>
      <c r="Q267" s="304">
        <f t="shared" si="80"/>
        <v>0.6</v>
      </c>
      <c r="R267" s="177">
        <f t="shared" si="81"/>
        <v>0.98811070283799984</v>
      </c>
      <c r="S267" s="799">
        <f t="shared" si="82"/>
        <v>1</v>
      </c>
      <c r="T267" s="176">
        <f t="shared" si="83"/>
        <v>7</v>
      </c>
      <c r="U267" s="250">
        <f t="shared" si="84"/>
        <v>1.9881107028379998</v>
      </c>
      <c r="V267" s="382">
        <f t="shared" si="85"/>
        <v>48.225715089063506</v>
      </c>
      <c r="W267" s="400">
        <f t="shared" si="86"/>
        <v>47.227473896621959</v>
      </c>
      <c r="X267" s="157">
        <f t="shared" si="87"/>
        <v>45910</v>
      </c>
      <c r="Y267" s="383">
        <f t="shared" si="88"/>
        <v>44.851798519772508</v>
      </c>
      <c r="Z267" s="383">
        <f t="shared" si="89"/>
        <v>46.989086161227178</v>
      </c>
      <c r="AA267" s="384">
        <f t="shared" si="90"/>
        <v>50.591751695144431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7.1210531622351816E-2</v>
      </c>
      <c r="AD267" s="230">
        <f>(INDEX(Models!$BJ267:$BT267,,AH267)*(1-AF267)+INDEX(Models!$BJ267:$BT267,,AH267+1)*AF267-ERP_i)*AE267*Ramure*Pc/MaxiM</f>
        <v>1.5953028818622196E-3</v>
      </c>
      <c r="AE267" s="304">
        <f t="shared" si="92"/>
        <v>0.6</v>
      </c>
      <c r="AF267" s="177">
        <f t="shared" si="93"/>
        <v>0.98811070283799984</v>
      </c>
      <c r="AG267" s="799">
        <f t="shared" si="99"/>
        <v>1</v>
      </c>
      <c r="AH267" s="176">
        <f t="shared" si="94"/>
        <v>7</v>
      </c>
      <c r="AI267" s="224">
        <f t="shared" si="95"/>
        <v>1.9881107028379998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'2024'!Wh/'2024'!Env_an*'2025'!Env_an</f>
        <v>46.644296387738258</v>
      </c>
      <c r="C268" s="829"/>
      <c r="D268" s="391">
        <f t="shared" si="77"/>
        <v>48.867937069656456</v>
      </c>
      <c r="E268" s="383">
        <f t="shared" si="100"/>
        <v>49.972692939417961</v>
      </c>
      <c r="F268" s="383">
        <f t="shared" si="78"/>
        <v>50.051716479986439</v>
      </c>
      <c r="G268" s="110">
        <f t="shared" si="101"/>
        <v>0.97232140083355656</v>
      </c>
      <c r="H268" s="412" t="b">
        <f>Wh_hp&gt;='2024'!Maxi_hp</f>
        <v>0</v>
      </c>
      <c r="I268" s="388">
        <f>IF(H268,Wh_hp,'2024'!Maxi_hp)</f>
        <v>50.053661459050645</v>
      </c>
      <c r="J268" s="85">
        <f>IF(H268,An,'2024'!An_max)</f>
        <v>2022</v>
      </c>
      <c r="K268" s="197">
        <f t="shared" si="79"/>
        <v>45911</v>
      </c>
      <c r="L268" s="147">
        <f>IF(t&lt;Tvie,1-EXP((T0-t)*PertePVj)+'2024'!Pspv,1-EXP((T0-t)*PertePVj)+Pspv)</f>
        <v>4.5503060191565137E-2</v>
      </c>
      <c r="M268" s="832"/>
      <c r="N268" s="832"/>
      <c r="O268" s="48">
        <f>IF(t&lt;Tnet,'2024'!Resal+('2024'!Salim-'2024'!Resal)*(1-EXP(('2024'!Tnet-t)/('2024'!Tau_j))),Resal+(Salim-Resal)*(1-EXP((Tnet-t)/(Tau_j))))*Salcycl</f>
        <v>2.2107191043332468E-2</v>
      </c>
      <c r="P268" s="169">
        <f>(INDEX(Models!$BJ268:$BT268,,T268)*(1-R268)+INDEX(Models!$BJ268:$BT268,,T268+1)*R268-ERP_i)*Q268*Ramure*Pc/MaxiM</f>
        <v>1.6436820776147389E-3</v>
      </c>
      <c r="Q268" s="304">
        <f t="shared" si="80"/>
        <v>0.6</v>
      </c>
      <c r="R268" s="177">
        <f t="shared" si="81"/>
        <v>0.98855068812933666</v>
      </c>
      <c r="S268" s="799">
        <f t="shared" si="82"/>
        <v>1</v>
      </c>
      <c r="T268" s="176">
        <f t="shared" si="83"/>
        <v>7</v>
      </c>
      <c r="U268" s="250">
        <f t="shared" si="84"/>
        <v>1.9885506881293367</v>
      </c>
      <c r="V268" s="382">
        <f t="shared" si="85"/>
        <v>47.968981190629158</v>
      </c>
      <c r="W268" s="400">
        <f t="shared" si="86"/>
        <v>46.644296387738258</v>
      </c>
      <c r="X268" s="157">
        <f t="shared" si="87"/>
        <v>45911</v>
      </c>
      <c r="Y268" s="383">
        <f t="shared" si="88"/>
        <v>44.300526184400802</v>
      </c>
      <c r="Z268" s="383">
        <f t="shared" si="89"/>
        <v>46.412433960544497</v>
      </c>
      <c r="AA268" s="384">
        <f t="shared" si="90"/>
        <v>49.972692939417961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7.1244088910509096E-2</v>
      </c>
      <c r="AD268" s="230">
        <f>(INDEX(Models!$BJ268:$BT268,,AH268)*(1-AF268)+INDEX(Models!$BJ268:$BT268,,AH268+1)*AF268-ERP_i)*AE268*Ramure*Pc/MaxiM</f>
        <v>1.6436820776147389E-3</v>
      </c>
      <c r="AE268" s="304">
        <f t="shared" si="92"/>
        <v>0.6</v>
      </c>
      <c r="AF268" s="177">
        <f t="shared" si="93"/>
        <v>0.98855068812933666</v>
      </c>
      <c r="AG268" s="799">
        <f t="shared" si="99"/>
        <v>1</v>
      </c>
      <c r="AH268" s="176">
        <f t="shared" si="94"/>
        <v>7</v>
      </c>
      <c r="AI268" s="224">
        <f t="shared" si="95"/>
        <v>1.9885506881293367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'2024'!Wh/'2024'!Env_an*'2025'!Env_an</f>
        <v>33.855128947571565</v>
      </c>
      <c r="C269" s="829"/>
      <c r="D269" s="391">
        <f t="shared" si="77"/>
        <v>35.469760429639358</v>
      </c>
      <c r="E269" s="383">
        <f t="shared" si="100"/>
        <v>36.275028530615657</v>
      </c>
      <c r="F269" s="383">
        <f t="shared" si="78"/>
        <v>36.31102473447843</v>
      </c>
      <c r="G269" s="110">
        <f t="shared" si="101"/>
        <v>0.70911947083992066</v>
      </c>
      <c r="H269" s="412" t="b">
        <f>Wh_hp&gt;='2024'!Maxi_hp</f>
        <v>0</v>
      </c>
      <c r="I269" s="388">
        <f>IF(H269,Wh_hp,'2024'!Maxi_hp)</f>
        <v>50.716513586551613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4.5521352907660795E-2</v>
      </c>
      <c r="M269" s="832"/>
      <c r="N269" s="832"/>
      <c r="O269" s="48">
        <f>IF(t&lt;Tnet,'2024'!Resal+('2024'!Salim-'2024'!Resal)*(1-EXP(('2024'!Tnet-t)/('2024'!Tau_j))),Resal+(Salim-Resal)*(1-EXP((Tnet-t)/(Tau_j))))*Salcycl</f>
        <v>2.2198965337729935E-2</v>
      </c>
      <c r="P269" s="169">
        <f>(INDEX(Models!$BJ269:$BT269,,T269)*(1-R269)+INDEX(Models!$BJ269:$BT269,,T269+1)*R269-ERP_i)*Q269*Ramure*Pc/MaxiM</f>
        <v>1.6940901120995847E-3</v>
      </c>
      <c r="Q269" s="304">
        <f t="shared" si="80"/>
        <v>0.6</v>
      </c>
      <c r="R269" s="177">
        <f t="shared" si="81"/>
        <v>0.98897370251092354</v>
      </c>
      <c r="S269" s="799">
        <f t="shared" si="82"/>
        <v>1</v>
      </c>
      <c r="T269" s="176">
        <f t="shared" si="83"/>
        <v>7</v>
      </c>
      <c r="U269" s="250">
        <f t="shared" si="84"/>
        <v>1.9889737025109235</v>
      </c>
      <c r="V269" s="382">
        <f t="shared" si="85"/>
        <v>47.708904763431946</v>
      </c>
      <c r="W269" s="400">
        <f t="shared" si="86"/>
        <v>33.855128947571565</v>
      </c>
      <c r="X269" s="157">
        <f t="shared" si="87"/>
        <v>45912</v>
      </c>
      <c r="Y269" s="383">
        <f t="shared" si="88"/>
        <v>32.155861142912478</v>
      </c>
      <c r="Z269" s="383">
        <f t="shared" si="89"/>
        <v>33.689450508788198</v>
      </c>
      <c r="AA269" s="384">
        <f t="shared" si="90"/>
        <v>36.275028530615657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7.1277077553371676E-2</v>
      </c>
      <c r="AD269" s="230">
        <f>(INDEX(Models!$BJ269:$BT269,,AH269)*(1-AF269)+INDEX(Models!$BJ269:$BT269,,AH269+1)*AF269-ERP_i)*AE269*Ramure*Pc/MaxiM</f>
        <v>1.6940901120995847E-3</v>
      </c>
      <c r="AE269" s="304">
        <f t="shared" si="92"/>
        <v>0.6</v>
      </c>
      <c r="AF269" s="177">
        <f t="shared" si="93"/>
        <v>0.98897370251092354</v>
      </c>
      <c r="AG269" s="799">
        <f t="shared" si="99"/>
        <v>1</v>
      </c>
      <c r="AH269" s="176">
        <f t="shared" si="94"/>
        <v>7</v>
      </c>
      <c r="AI269" s="224">
        <f t="shared" si="95"/>
        <v>1.9889737025109235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'2024'!Wh/'2024'!Env_an*'2025'!Env_an</f>
        <v>14.370288479304108</v>
      </c>
      <c r="C270" s="829"/>
      <c r="D270" s="391">
        <f t="shared" si="77"/>
        <v>15.055930199863669</v>
      </c>
      <c r="E270" s="383">
        <f t="shared" si="100"/>
        <v>15.399184870134896</v>
      </c>
      <c r="F270" s="383">
        <f t="shared" si="78"/>
        <v>15.399295525561785</v>
      </c>
      <c r="G270" s="110">
        <f t="shared" si="101"/>
        <v>0.30235315757513148</v>
      </c>
      <c r="H270" s="412" t="b">
        <f>Wh_hp&gt;='2024'!Maxi_hp</f>
        <v>0</v>
      </c>
      <c r="I270" s="388">
        <f>IF(H270,Wh_hp,'2024'!Maxi_hp)</f>
        <v>48.946025733501244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4.5539645273180773E-2</v>
      </c>
      <c r="M270" s="832"/>
      <c r="N270" s="832"/>
      <c r="O270" s="48">
        <f>IF(t&lt;Tnet,'2024'!Resal+('2024'!Salim-'2024'!Resal)*(1-EXP(('2024'!Tnet-t)/('2024'!Tau_j))),Resal+(Salim-Resal)*(1-EXP((Tnet-t)/(Tau_j))))*Salcycl</f>
        <v>2.2290444147919388E-2</v>
      </c>
      <c r="P270" s="169">
        <f>(INDEX(Models!$BJ270:$BT270,,T270)*(1-R270)+INDEX(Models!$BJ270:$BT270,,T270+1)*R270-ERP_i)*Q270*Ramure*Pc/MaxiM</f>
        <v>1.746548009205444E-3</v>
      </c>
      <c r="Q270" s="304">
        <f t="shared" si="80"/>
        <v>0.6</v>
      </c>
      <c r="R270" s="177">
        <f t="shared" si="81"/>
        <v>0.98938037233913367</v>
      </c>
      <c r="S270" s="799">
        <f t="shared" si="82"/>
        <v>1</v>
      </c>
      <c r="T270" s="176">
        <f t="shared" si="83"/>
        <v>7</v>
      </c>
      <c r="U270" s="250">
        <f t="shared" si="84"/>
        <v>1.9893803723391337</v>
      </c>
      <c r="V270" s="382">
        <f t="shared" si="85"/>
        <v>47.445488174330698</v>
      </c>
      <c r="W270" s="400">
        <f t="shared" si="86"/>
        <v>14.370288479304108</v>
      </c>
      <c r="X270" s="157">
        <f t="shared" si="87"/>
        <v>45913</v>
      </c>
      <c r="Y270" s="383">
        <f t="shared" si="88"/>
        <v>13.649811077789654</v>
      </c>
      <c r="Z270" s="383">
        <f t="shared" si="89"/>
        <v>14.301077053846237</v>
      </c>
      <c r="AA270" s="384">
        <f t="shared" si="90"/>
        <v>15.399184870134896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7.1309476803432748E-2</v>
      </c>
      <c r="AD270" s="230">
        <f>(INDEX(Models!$BJ270:$BT270,,AH270)*(1-AF270)+INDEX(Models!$BJ270:$BT270,,AH270+1)*AF270-ERP_i)*AE270*Ramure*Pc/MaxiM</f>
        <v>1.746548009205444E-3</v>
      </c>
      <c r="AE270" s="304">
        <f t="shared" si="92"/>
        <v>0.6</v>
      </c>
      <c r="AF270" s="177">
        <f t="shared" si="93"/>
        <v>0.98938037233913367</v>
      </c>
      <c r="AG270" s="799">
        <f t="shared" si="99"/>
        <v>1</v>
      </c>
      <c r="AH270" s="176">
        <f t="shared" si="94"/>
        <v>7</v>
      </c>
      <c r="AI270" s="224">
        <f t="shared" si="95"/>
        <v>1.9893803723391337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'2024'!Wh/'2024'!Env_an*'2025'!Env_an</f>
        <v>36.033571475313863</v>
      </c>
      <c r="C271" s="829"/>
      <c r="D271" s="391">
        <f t="shared" ref="D271:D334" si="102">Wh/(1-Ppv)</f>
        <v>37.753545116118651</v>
      </c>
      <c r="E271" s="383">
        <f t="shared" si="100"/>
        <v>38.617875699033064</v>
      </c>
      <c r="F271" s="383">
        <f t="shared" ref="F271:F334" si="103">Wh_sa/(1-Pvg*MEDIAN((-Sdif+Wh/Env_an)/Csdif,0,1))</f>
        <v>38.66401182601637</v>
      </c>
      <c r="G271" s="110">
        <f t="shared" si="101"/>
        <v>0.76330245586548573</v>
      </c>
      <c r="H271" s="412" t="b">
        <f>Wh_hp&gt;='2024'!Maxi_hp</f>
        <v>0</v>
      </c>
      <c r="I271" s="388">
        <f>IF(H271,Wh_hp,'2024'!Maxi_hp)</f>
        <v>48.424336454195235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4.5557937288131733E-2</v>
      </c>
      <c r="M271" s="832"/>
      <c r="N271" s="832"/>
      <c r="O271" s="48">
        <f>IF(t&lt;Tnet,'2024'!Resal+('2024'!Salim-'2024'!Resal)*(1-EXP(('2024'!Tnet-t)/('2024'!Tau_j))),Resal+(Salim-Resal)*(1-EXP((Tnet-t)/(Tau_j))))*Salcycl</f>
        <v>2.2381619062905988E-2</v>
      </c>
      <c r="P271" s="169">
        <f>(INDEX(Models!$BJ271:$BT271,,T271)*(1-R271)+INDEX(Models!$BJ271:$BT271,,T271+1)*R271-ERP_i)*Q271*Ramure*Pc/MaxiM</f>
        <v>1.8010766212756143E-3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0.98977130304356908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1.9897713030435691</v>
      </c>
      <c r="V271" s="382">
        <f t="shared" ref="V271:V334" si="110">MaxiM*(1-Ppv)*(1-Pvg)*(1-Psa)</f>
        <v>47.178733860447146</v>
      </c>
      <c r="W271" s="400">
        <f t="shared" ref="W271:W334" si="111">Wh*(A271&gt;Tmaj)</f>
        <v>36.033571475313863</v>
      </c>
      <c r="X271" s="157">
        <f t="shared" ref="X271:X334" si="112">t</f>
        <v>45914</v>
      </c>
      <c r="Y271" s="383">
        <f t="shared" ref="Y271:Y334" si="113">Wh_pvt_s*(1-Ppv)</f>
        <v>34.228991137532994</v>
      </c>
      <c r="Z271" s="383">
        <f t="shared" ref="Z271:Z334" si="114">Wh_sa_s*(1-Psa_s)</f>
        <v>35.862827587750829</v>
      </c>
      <c r="AA271" s="384">
        <f t="shared" ref="AA271:AA334" si="115">Wh_hp*(1-Pvg_s*MEDIAN((-Sdif+Wh/Env_an)/Csdif,0,1))</f>
        <v>38.617875699033064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7.1341265189043518E-2</v>
      </c>
      <c r="AD271" s="230">
        <f>(INDEX(Models!$BJ271:$BT271,,AH271)*(1-AF271)+INDEX(Models!$BJ271:$BT271,,AH271+1)*AF271-ERP_i)*AE271*Ramure*Pc/MaxiM</f>
        <v>1.8010766212756143E-3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0.98977130304356908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1.9897713030435691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'2024'!Wh/'2024'!Env_an*'2025'!Env_an</f>
        <v>41.266740817311835</v>
      </c>
      <c r="C272" s="829"/>
      <c r="D272" s="391">
        <f t="shared" si="102"/>
        <v>43.237335520281107</v>
      </c>
      <c r="E272" s="383">
        <f t="shared" si="100"/>
        <v>44.231323104374525</v>
      </c>
      <c r="F272" s="383">
        <f t="shared" si="103"/>
        <v>44.299478134941744</v>
      </c>
      <c r="G272" s="110">
        <f t="shared" si="101"/>
        <v>0.87944448556728516</v>
      </c>
      <c r="H272" s="412" t="b">
        <f>Wh_hp&gt;='2024'!Maxi_hp</f>
        <v>0</v>
      </c>
      <c r="I272" s="388">
        <f>IF(H272,Wh_hp,'2024'!Maxi_hp)</f>
        <v>49.537413864977964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4.5576228952520337E-2</v>
      </c>
      <c r="M272" s="832"/>
      <c r="N272" s="832"/>
      <c r="O272" s="48">
        <f>IF(t&lt;Tnet,'2024'!Resal+('2024'!Salim-'2024'!Resal)*(1-EXP(('2024'!Tnet-t)/('2024'!Tau_j))),Resal+(Salim-Resal)*(1-EXP((Tnet-t)/(Tau_j))))*Salcycl</f>
        <v>2.2472481362311208E-2</v>
      </c>
      <c r="P272" s="169">
        <f>(INDEX(Models!$BJ272:$BT272,,T272)*(1-R272)+INDEX(Models!$BJ272:$BT272,,T272+1)*R272-ERP_i)*Q272*Ramure*Pc/MaxiM</f>
        <v>1.8576965718794744E-3</v>
      </c>
      <c r="Q272" s="304">
        <f t="shared" si="105"/>
        <v>0.6</v>
      </c>
      <c r="R272" s="177">
        <f t="shared" si="106"/>
        <v>0.99014707965346727</v>
      </c>
      <c r="S272" s="799">
        <f t="shared" si="107"/>
        <v>1</v>
      </c>
      <c r="T272" s="176">
        <f t="shared" si="108"/>
        <v>7</v>
      </c>
      <c r="U272" s="250">
        <f t="shared" si="109"/>
        <v>1.9901470796534673</v>
      </c>
      <c r="V272" s="382">
        <f t="shared" si="110"/>
        <v>46.908644331556367</v>
      </c>
      <c r="W272" s="400">
        <f t="shared" si="111"/>
        <v>41.266740817311835</v>
      </c>
      <c r="X272" s="157">
        <f t="shared" si="112"/>
        <v>45915</v>
      </c>
      <c r="Y272" s="383">
        <f t="shared" si="113"/>
        <v>39.202409043932064</v>
      </c>
      <c r="Z272" s="383">
        <f t="shared" si="114"/>
        <v>41.074426510676112</v>
      </c>
      <c r="AA272" s="384">
        <f t="shared" si="115"/>
        <v>44.231323104374525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7.1372420541184034E-2</v>
      </c>
      <c r="AD272" s="230">
        <f>(INDEX(Models!$BJ272:$BT272,,AH272)*(1-AF272)+INDEX(Models!$BJ272:$BT272,,AH272+1)*AF272-ERP_i)*AE272*Ramure*Pc/MaxiM</f>
        <v>1.8576965718794744E-3</v>
      </c>
      <c r="AE272" s="304">
        <f t="shared" si="117"/>
        <v>0.6</v>
      </c>
      <c r="AF272" s="177">
        <f t="shared" si="118"/>
        <v>0.99014707965346727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1.9901470796534673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'2024'!Wh/'2024'!Env_an*'2025'!Env_an</f>
        <v>32.970069331682481</v>
      </c>
      <c r="C273" s="829"/>
      <c r="D273" s="391">
        <f t="shared" si="102"/>
        <v>34.545138341916996</v>
      </c>
      <c r="E273" s="383">
        <f t="shared" si="100"/>
        <v>35.342573608667962</v>
      </c>
      <c r="F273" s="383">
        <f t="shared" si="103"/>
        <v>35.381996423026528</v>
      </c>
      <c r="G273" s="110">
        <f t="shared" si="101"/>
        <v>0.706410068543329</v>
      </c>
      <c r="H273" s="412" t="b">
        <f>Wh_hp&gt;='2024'!Maxi_hp</f>
        <v>0</v>
      </c>
      <c r="I273" s="388">
        <f>IF(H273,Wh_hp,'2024'!Maxi_hp)</f>
        <v>43.865326468567289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4.5594520266353356E-2</v>
      </c>
      <c r="M273" s="832"/>
      <c r="N273" s="832"/>
      <c r="O273" s="48">
        <f>IF(t&lt;Tnet,'2024'!Resal+('2024'!Salim-'2024'!Resal)*(1-EXP(('2024'!Tnet-t)/('2024'!Tau_j))),Resal+(Salim-Resal)*(1-EXP((Tnet-t)/(Tau_j))))*Salcycl</f>
        <v>2.2563022024954846E-2</v>
      </c>
      <c r="P273" s="169">
        <f>(INDEX(Models!$BJ273:$BT273,,T273)*(1-R273)+INDEX(Models!$BJ273:$BT273,,T273+1)*R273-ERP_i)*Q273*Ramure*Pc/MaxiM</f>
        <v>1.9164281979262294E-3</v>
      </c>
      <c r="Q273" s="304">
        <f t="shared" si="105"/>
        <v>0.6</v>
      </c>
      <c r="R273" s="177">
        <f t="shared" si="106"/>
        <v>0.9905082673253629</v>
      </c>
      <c r="S273" s="799">
        <f t="shared" si="107"/>
        <v>1</v>
      </c>
      <c r="T273" s="176">
        <f t="shared" si="108"/>
        <v>7</v>
      </c>
      <c r="U273" s="250">
        <f t="shared" si="109"/>
        <v>1.9905082673253629</v>
      </c>
      <c r="V273" s="382">
        <f t="shared" si="110"/>
        <v>46.635222170830787</v>
      </c>
      <c r="W273" s="400">
        <f t="shared" si="111"/>
        <v>32.970069331682481</v>
      </c>
      <c r="X273" s="157">
        <f t="shared" si="112"/>
        <v>45916</v>
      </c>
      <c r="Y273" s="383">
        <f t="shared" si="113"/>
        <v>31.322643605305718</v>
      </c>
      <c r="Z273" s="383">
        <f t="shared" si="114"/>
        <v>32.819010651580889</v>
      </c>
      <c r="AA273" s="384">
        <f t="shared" si="115"/>
        <v>35.342573608667962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7.1402920031498576E-2</v>
      </c>
      <c r="AD273" s="230">
        <f>(INDEX(Models!$BJ273:$BT273,,AH273)*(1-AF273)+INDEX(Models!$BJ273:$BT273,,AH273+1)*AF273-ERP_i)*AE273*Ramure*Pc/MaxiM</f>
        <v>1.9164281979262294E-3</v>
      </c>
      <c r="AE273" s="304">
        <f t="shared" si="117"/>
        <v>0.6</v>
      </c>
      <c r="AF273" s="177">
        <f t="shared" si="118"/>
        <v>0.9905082673253629</v>
      </c>
      <c r="AG273" s="799">
        <f t="shared" si="124"/>
        <v>1</v>
      </c>
      <c r="AH273" s="176">
        <f t="shared" si="119"/>
        <v>7</v>
      </c>
      <c r="AI273" s="224">
        <f t="shared" si="120"/>
        <v>1.9905082673253629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'2024'!Wh/'2024'!Env_an*'2025'!Env_an</f>
        <v>46.069865347850659</v>
      </c>
      <c r="C274" s="829"/>
      <c r="D274" s="391">
        <f t="shared" si="102"/>
        <v>48.271672011028691</v>
      </c>
      <c r="E274" s="383">
        <f t="shared" si="100"/>
        <v>49.390527066499622</v>
      </c>
      <c r="F274" s="383">
        <f t="shared" si="103"/>
        <v>49.487508048102725</v>
      </c>
      <c r="G274" s="110">
        <f t="shared" si="101"/>
        <v>0.99375698916237787</v>
      </c>
      <c r="H274" s="412" t="b">
        <f>Wh_hp&gt;='2024'!Maxi_hp</f>
        <v>0</v>
      </c>
      <c r="I274" s="388">
        <f>IF(H274,Wh_hp,'2024'!Maxi_hp)</f>
        <v>49.488032874572205</v>
      </c>
      <c r="J274" s="85">
        <f>IF(H274,An,'2024'!An_max)</f>
        <v>2022</v>
      </c>
      <c r="K274" s="197">
        <f t="shared" si="104"/>
        <v>45917</v>
      </c>
      <c r="L274" s="147">
        <f>IF(t&lt;Tvie,1-EXP((T0-t)*PertePVj)+'2024'!Pspv,1-EXP((T0-t)*PertePVj)+Pspv)</f>
        <v>4.5612811229637562E-2</v>
      </c>
      <c r="M274" s="832"/>
      <c r="N274" s="832"/>
      <c r="O274" s="48">
        <f>IF(t&lt;Tnet,'2024'!Resal+('2024'!Salim-'2024'!Resal)*(1-EXP(('2024'!Tnet-t)/('2024'!Tau_j))),Resal+(Salim-Resal)*(1-EXP((Tnet-t)/(Tau_j))))*Salcycl</f>
        <v>2.2653231741473333E-2</v>
      </c>
      <c r="P274" s="169">
        <f>(INDEX(Models!$BJ274:$BT274,,T274)*(1-R274)+INDEX(Models!$BJ274:$BT274,,T274+1)*R274-ERP_i)*Q274*Ramure*Pc/MaxiM</f>
        <v>1.9772914916794493E-3</v>
      </c>
      <c r="Q274" s="304">
        <f t="shared" si="105"/>
        <v>0.6</v>
      </c>
      <c r="R274" s="177">
        <f t="shared" si="106"/>
        <v>0.99085541187046111</v>
      </c>
      <c r="S274" s="799">
        <f t="shared" si="107"/>
        <v>1</v>
      </c>
      <c r="T274" s="176">
        <f t="shared" si="108"/>
        <v>7</v>
      </c>
      <c r="U274" s="250">
        <f t="shared" si="109"/>
        <v>1.9908554118704611</v>
      </c>
      <c r="V274" s="382">
        <f t="shared" si="110"/>
        <v>46.35847004083908</v>
      </c>
      <c r="W274" s="400">
        <f t="shared" si="111"/>
        <v>46.069865347850659</v>
      </c>
      <c r="X274" s="157">
        <f t="shared" si="112"/>
        <v>45917</v>
      </c>
      <c r="Y274" s="383">
        <f t="shared" si="113"/>
        <v>43.770512180249476</v>
      </c>
      <c r="Z274" s="383">
        <f t="shared" si="114"/>
        <v>45.862426377122304</v>
      </c>
      <c r="AA274" s="384">
        <f t="shared" si="115"/>
        <v>49.390527066499622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7.1432740222169985E-2</v>
      </c>
      <c r="AD274" s="230">
        <f>(INDEX(Models!$BJ274:$BT274,,AH274)*(1-AF274)+INDEX(Models!$BJ274:$BT274,,AH274+1)*AF274-ERP_i)*AE274*Ramure*Pc/MaxiM</f>
        <v>1.9772914916794493E-3</v>
      </c>
      <c r="AE274" s="304">
        <f t="shared" si="117"/>
        <v>0.6</v>
      </c>
      <c r="AF274" s="177">
        <f t="shared" si="118"/>
        <v>0.99085541187046111</v>
      </c>
      <c r="AG274" s="799">
        <f t="shared" si="124"/>
        <v>1</v>
      </c>
      <c r="AH274" s="176">
        <f t="shared" si="119"/>
        <v>7</v>
      </c>
      <c r="AI274" s="224">
        <f t="shared" si="120"/>
        <v>1.9908554118704611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'2024'!Wh/'2024'!Env_an*'2025'!Env_an</f>
        <v>46.060301432872159</v>
      </c>
      <c r="C275" s="829"/>
      <c r="D275" s="391">
        <f t="shared" si="102"/>
        <v>48.262575951280631</v>
      </c>
      <c r="E275" s="383">
        <f t="shared" si="100"/>
        <v>49.385761305209591</v>
      </c>
      <c r="F275" s="383">
        <f t="shared" si="103"/>
        <v>49.486673818702478</v>
      </c>
      <c r="G275" s="110">
        <f t="shared" si="101"/>
        <v>0.99961110437658618</v>
      </c>
      <c r="H275" s="412" t="b">
        <f>Wh_hp&gt;='2024'!Maxi_hp</f>
        <v>0</v>
      </c>
      <c r="I275" s="388">
        <f>IF(H275,Wh_hp,'2024'!Maxi_hp)</f>
        <v>49.486707580546806</v>
      </c>
      <c r="J275" s="85">
        <f>IF(H275,An,'2024'!An_max)</f>
        <v>2022</v>
      </c>
      <c r="K275" s="197">
        <f t="shared" si="104"/>
        <v>45918</v>
      </c>
      <c r="L275" s="147">
        <f>IF(t&lt;Tvie,1-EXP((T0-t)*PertePVj)+'2024'!Pspv,1-EXP((T0-t)*PertePVj)+Pspv)</f>
        <v>4.5631101842379729E-2</v>
      </c>
      <c r="M275" s="832"/>
      <c r="N275" s="832"/>
      <c r="O275" s="48">
        <f>IF(t&lt;Tnet,'2024'!Resal+('2024'!Salim-'2024'!Resal)*(1-EXP(('2024'!Tnet-t)/('2024'!Tau_j))),Resal+(Salim-Resal)*(1-EXP((Tnet-t)/(Tau_j))))*Salcycl</f>
        <v>2.2743100931208723E-2</v>
      </c>
      <c r="P275" s="169">
        <f>(INDEX(Models!$BJ275:$BT275,,T275)*(1-R275)+INDEX(Models!$BJ275:$BT275,,T275+1)*R275-ERP_i)*Q275*Ramure*Pc/MaxiM</f>
        <v>2.0403158458361706E-3</v>
      </c>
      <c r="Q275" s="304">
        <f t="shared" si="105"/>
        <v>0.6</v>
      </c>
      <c r="R275" s="177">
        <f t="shared" si="106"/>
        <v>0.99118904028031896</v>
      </c>
      <c r="S275" s="799">
        <f t="shared" si="107"/>
        <v>1</v>
      </c>
      <c r="T275" s="176">
        <f t="shared" si="108"/>
        <v>7</v>
      </c>
      <c r="U275" s="250">
        <f t="shared" si="109"/>
        <v>1.991189040280319</v>
      </c>
      <c r="V275" s="382">
        <f t="shared" si="110"/>
        <v>46.078168866031994</v>
      </c>
      <c r="W275" s="400">
        <f t="shared" si="111"/>
        <v>46.060301432872159</v>
      </c>
      <c r="X275" s="157">
        <f t="shared" si="112"/>
        <v>45918</v>
      </c>
      <c r="Y275" s="383">
        <f t="shared" si="113"/>
        <v>43.764077586306442</v>
      </c>
      <c r="Z275" s="383">
        <f t="shared" si="114"/>
        <v>45.856563086655115</v>
      </c>
      <c r="AA275" s="384">
        <f t="shared" si="115"/>
        <v>49.385761305209591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7.1461857128082562E-2</v>
      </c>
      <c r="AD275" s="230">
        <f>(INDEX(Models!$BJ275:$BT275,,AH275)*(1-AF275)+INDEX(Models!$BJ275:$BT275,,AH275+1)*AF275-ERP_i)*AE275*Ramure*Pc/MaxiM</f>
        <v>2.0403158458361706E-3</v>
      </c>
      <c r="AE275" s="304">
        <f t="shared" si="117"/>
        <v>0.6</v>
      </c>
      <c r="AF275" s="177">
        <f t="shared" si="118"/>
        <v>0.99118904028031896</v>
      </c>
      <c r="AG275" s="799">
        <f t="shared" si="124"/>
        <v>1</v>
      </c>
      <c r="AH275" s="176">
        <f t="shared" si="119"/>
        <v>7</v>
      </c>
      <c r="AI275" s="224">
        <f t="shared" si="120"/>
        <v>1.991189040280319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'2024'!Wh/'2024'!Env_an*'2025'!Env_an</f>
        <v>45.432933469954477</v>
      </c>
      <c r="C276" s="829"/>
      <c r="D276" s="391">
        <f t="shared" si="102"/>
        <v>47.606124095363313</v>
      </c>
      <c r="E276" s="383">
        <f t="shared" si="100"/>
        <v>48.71849496638383</v>
      </c>
      <c r="F276" s="383">
        <f t="shared" si="103"/>
        <v>48.820163111060928</v>
      </c>
      <c r="G276" s="110">
        <f t="shared" si="101"/>
        <v>0.99208888750093793</v>
      </c>
      <c r="H276" s="412" t="b">
        <f>Wh_hp&gt;='2024'!Maxi_hp</f>
        <v>0</v>
      </c>
      <c r="I276" s="388">
        <f>IF(H276,Wh_hp,'2024'!Maxi_hp)</f>
        <v>48.820863149439049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4.5649392104586295E-2</v>
      </c>
      <c r="M276" s="832"/>
      <c r="N276" s="832"/>
      <c r="O276" s="48">
        <f>IF(t&lt;Tnet,'2024'!Resal+('2024'!Salim-'2024'!Resal)*(1-EXP(('2024'!Tnet-t)/('2024'!Tau_j))),Resal+(Salim-Resal)*(1-EXP((Tnet-t)/(Tau_j))))*Salcycl</f>
        <v>2.2832619763563322E-2</v>
      </c>
      <c r="P276" s="169">
        <f>(INDEX(Models!$BJ276:$BT276,,T276)*(1-R276)+INDEX(Models!$BJ276:$BT276,,T276+1)*R276-ERP_i)*Q276*Ramure*Pc/MaxiM</f>
        <v>2.1062359945456396E-3</v>
      </c>
      <c r="Q276" s="304">
        <f t="shared" si="105"/>
        <v>0.6</v>
      </c>
      <c r="R276" s="177">
        <f t="shared" si="106"/>
        <v>0.99150966124958062</v>
      </c>
      <c r="S276" s="799">
        <f t="shared" si="107"/>
        <v>1</v>
      </c>
      <c r="T276" s="176">
        <f t="shared" si="108"/>
        <v>7</v>
      </c>
      <c r="U276" s="250">
        <f t="shared" si="109"/>
        <v>1.9915096612495806</v>
      </c>
      <c r="V276" s="382">
        <f t="shared" si="110"/>
        <v>45.794135526133886</v>
      </c>
      <c r="W276" s="400">
        <f t="shared" si="111"/>
        <v>45.432933469954477</v>
      </c>
      <c r="X276" s="157">
        <f t="shared" si="112"/>
        <v>45919</v>
      </c>
      <c r="Y276" s="383">
        <f t="shared" si="113"/>
        <v>43.170620222945736</v>
      </c>
      <c r="Z276" s="383">
        <f t="shared" si="114"/>
        <v>45.235597762281472</v>
      </c>
      <c r="AA276" s="384">
        <f t="shared" si="115"/>
        <v>48.71849496638383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7.149024629158976E-2</v>
      </c>
      <c r="AD276" s="230">
        <f>(INDEX(Models!$BJ276:$BT276,,AH276)*(1-AF276)+INDEX(Models!$BJ276:$BT276,,AH276+1)*AF276-ERP_i)*AE276*Ramure*Pc/MaxiM</f>
        <v>2.1062359945456396E-3</v>
      </c>
      <c r="AE276" s="304">
        <f t="shared" si="117"/>
        <v>0.6</v>
      </c>
      <c r="AF276" s="177">
        <f t="shared" si="118"/>
        <v>0.99150966124958062</v>
      </c>
      <c r="AG276" s="799">
        <f t="shared" si="124"/>
        <v>1</v>
      </c>
      <c r="AH276" s="176">
        <f t="shared" si="119"/>
        <v>7</v>
      </c>
      <c r="AI276" s="224">
        <f t="shared" si="120"/>
        <v>1.9915096612495806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'2024'!Wh/'2024'!Env_an*'2025'!Env_an</f>
        <v>47.160106554539027</v>
      </c>
      <c r="C277" s="829"/>
      <c r="D277" s="391">
        <f t="shared" si="102"/>
        <v>49.416860003417334</v>
      </c>
      <c r="E277" s="383">
        <f t="shared" si="100"/>
        <v>50.576155419337454</v>
      </c>
      <c r="F277" s="383">
        <f t="shared" si="103"/>
        <v>50.686359696372001</v>
      </c>
      <c r="G277" s="110">
        <f t="shared" si="101"/>
        <v>1.0363374963227203</v>
      </c>
      <c r="H277" s="412" t="b">
        <f>Wh_hp&gt;='2024'!Maxi_hp</f>
        <v>1</v>
      </c>
      <c r="I277" s="388">
        <f>IF(H277,Wh_hp,'2024'!Maxi_hp)</f>
        <v>50.686359696372001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4.5667682016264255E-2</v>
      </c>
      <c r="M277" s="832"/>
      <c r="N277" s="832"/>
      <c r="O277" s="48">
        <f>IF(t&lt;Tnet,'2024'!Resal+('2024'!Salim-'2024'!Resal)*(1-EXP(('2024'!Tnet-t)/('2024'!Tau_j))),Resal+(Salim-Resal)*(1-EXP((Tnet-t)/(Tau_j))))*Salcycl</f>
        <v>2.292177818397147E-2</v>
      </c>
      <c r="P277" s="169">
        <f>(INDEX(Models!$BJ277:$BT277,,T277)*(1-R277)+INDEX(Models!$BJ277:$BT277,,T277+1)*R277-ERP_i)*Q277*Ramure*Pc/MaxiM</f>
        <v>2.1742393356852844E-3</v>
      </c>
      <c r="Q277" s="304">
        <f t="shared" si="105"/>
        <v>0.6</v>
      </c>
      <c r="R277" s="177">
        <f t="shared" si="106"/>
        <v>0.99181776569463942</v>
      </c>
      <c r="S277" s="799">
        <f t="shared" si="107"/>
        <v>1</v>
      </c>
      <c r="T277" s="176">
        <f t="shared" si="108"/>
        <v>7</v>
      </c>
      <c r="U277" s="250">
        <f t="shared" si="109"/>
        <v>1.9918177656946394</v>
      </c>
      <c r="V277" s="382">
        <f t="shared" si="110"/>
        <v>45.506513777489673</v>
      </c>
      <c r="W277" s="400">
        <f t="shared" si="111"/>
        <v>47.160106554539027</v>
      </c>
      <c r="X277" s="157">
        <f t="shared" si="112"/>
        <v>45920</v>
      </c>
      <c r="Y277" s="383">
        <f t="shared" si="113"/>
        <v>44.814544629239009</v>
      </c>
      <c r="Z277" s="383">
        <f t="shared" si="114"/>
        <v>46.959055860039271</v>
      </c>
      <c r="AA277" s="384">
        <f t="shared" si="115"/>
        <v>50.576155419337454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7.1517882870061056E-2</v>
      </c>
      <c r="AD277" s="230">
        <f>(INDEX(Models!$BJ277:$BT277,,AH277)*(1-AF277)+INDEX(Models!$BJ277:$BT277,,AH277+1)*AF277-ERP_i)*AE277*Ramure*Pc/MaxiM</f>
        <v>2.1742393356852844E-3</v>
      </c>
      <c r="AE277" s="304">
        <f t="shared" si="117"/>
        <v>0.6</v>
      </c>
      <c r="AF277" s="177">
        <f t="shared" si="118"/>
        <v>0.99181776569463942</v>
      </c>
      <c r="AG277" s="799">
        <f t="shared" si="124"/>
        <v>1</v>
      </c>
      <c r="AH277" s="176">
        <f t="shared" si="119"/>
        <v>7</v>
      </c>
      <c r="AI277" s="224">
        <f t="shared" si="120"/>
        <v>1.9918177656946394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'2024'!Wh/'2024'!Env_an*'2025'!Env_an</f>
        <v>45.943773316889661</v>
      </c>
      <c r="C278" s="829"/>
      <c r="D278" s="391">
        <f t="shared" si="102"/>
        <v>48.143244203201952</v>
      </c>
      <c r="E278" s="383">
        <f t="shared" si="100"/>
        <v>49.277139061128985</v>
      </c>
      <c r="F278" s="383">
        <f t="shared" si="103"/>
        <v>49.387982440515266</v>
      </c>
      <c r="G278" s="110">
        <f t="shared" si="101"/>
        <v>1.0161087633722288</v>
      </c>
      <c r="H278" s="412" t="b">
        <f>Wh_hp&gt;='2024'!Maxi_hp</f>
        <v>1</v>
      </c>
      <c r="I278" s="388">
        <f>IF(H278,Wh_hp,'2024'!Maxi_hp)</f>
        <v>49.387982440515266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4.568597157742027E-2</v>
      </c>
      <c r="M278" s="832"/>
      <c r="N278" s="832"/>
      <c r="O278" s="48">
        <f>IF(t&lt;Tnet,'2024'!Resal+('2024'!Salim-'2024'!Resal)*(1-EXP(('2024'!Tnet-t)/('2024'!Tau_j))),Resal+(Salim-Resal)*(1-EXP((Tnet-t)/(Tau_j))))*Salcycl</f>
        <v>2.3010565944593789E-2</v>
      </c>
      <c r="P278" s="169">
        <f>(INDEX(Models!$BJ278:$BT278,,T278)*(1-R278)+INDEX(Models!$BJ278:$BT278,,T278+1)*R278-ERP_i)*Q278*Ramure*Pc/MaxiM</f>
        <v>2.2443390863310661E-3</v>
      </c>
      <c r="Q278" s="304">
        <f t="shared" si="105"/>
        <v>0.6</v>
      </c>
      <c r="R278" s="177">
        <f t="shared" si="106"/>
        <v>0.99211382726722697</v>
      </c>
      <c r="S278" s="799">
        <f t="shared" si="107"/>
        <v>1</v>
      </c>
      <c r="T278" s="176">
        <f t="shared" si="108"/>
        <v>7</v>
      </c>
      <c r="U278" s="250">
        <f t="shared" si="109"/>
        <v>1.992113827267227</v>
      </c>
      <c r="V278" s="382">
        <f t="shared" si="110"/>
        <v>45.215408992648548</v>
      </c>
      <c r="W278" s="400">
        <f t="shared" si="111"/>
        <v>45.943773316889661</v>
      </c>
      <c r="X278" s="157">
        <f t="shared" si="112"/>
        <v>45921</v>
      </c>
      <c r="Y278" s="383">
        <f t="shared" si="113"/>
        <v>43.661411714024204</v>
      </c>
      <c r="Z278" s="383">
        <f t="shared" si="114"/>
        <v>45.751618873499886</v>
      </c>
      <c r="AA278" s="384">
        <f t="shared" si="115"/>
        <v>49.277139061128985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7.1544741736236678E-2</v>
      </c>
      <c r="AD278" s="230">
        <f>(INDEX(Models!$BJ278:$BT278,,AH278)*(1-AF278)+INDEX(Models!$BJ278:$BT278,,AH278+1)*AF278-ERP_i)*AE278*Ramure*Pc/MaxiM</f>
        <v>2.2443390863310661E-3</v>
      </c>
      <c r="AE278" s="304">
        <f t="shared" si="117"/>
        <v>0.6</v>
      </c>
      <c r="AF278" s="177">
        <f t="shared" si="118"/>
        <v>0.99211382726722697</v>
      </c>
      <c r="AG278" s="799">
        <f t="shared" si="124"/>
        <v>1</v>
      </c>
      <c r="AH278" s="176">
        <f t="shared" si="119"/>
        <v>7</v>
      </c>
      <c r="AI278" s="224">
        <f t="shared" si="120"/>
        <v>1.992113827267227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'2024'!Wh/'2024'!Env_an*'2025'!Env_an</f>
        <v>44.456047566658</v>
      </c>
      <c r="C279" s="829"/>
      <c r="D279" s="391">
        <f t="shared" si="102"/>
        <v>46.585189202846038</v>
      </c>
      <c r="E279" s="383">
        <f t="shared" si="100"/>
        <v>47.686703051924219</v>
      </c>
      <c r="F279" s="383">
        <f t="shared" si="103"/>
        <v>47.795787347216681</v>
      </c>
      <c r="G279" s="110">
        <f t="shared" si="101"/>
        <v>0.98961719962254679</v>
      </c>
      <c r="H279" s="412" t="b">
        <f>Wh_hp&gt;='2024'!Maxi_hp</f>
        <v>0</v>
      </c>
      <c r="I279" s="388">
        <f>IF(H279,Wh_hp,'2024'!Maxi_hp)</f>
        <v>47.796779205155985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4.5704260788061002E-2</v>
      </c>
      <c r="M279" s="832"/>
      <c r="N279" s="832"/>
      <c r="O279" s="48">
        <f>IF(t&lt;Tnet,'2024'!Resal+('2024'!Salim-'2024'!Resal)*(1-EXP(('2024'!Tnet-t)/('2024'!Tau_j))),Resal+(Salim-Resal)*(1-EXP((Tnet-t)/(Tau_j))))*Salcycl</f>
        <v>2.3098972639789914E-2</v>
      </c>
      <c r="P279" s="169">
        <f>(INDEX(Models!$BJ279:$BT279,,T279)*(1-R279)+INDEX(Models!$BJ279:$BT279,,T279+1)*R279-ERP_i)*Q279*Ramure*Pc/MaxiM</f>
        <v>2.3165473011643538E-3</v>
      </c>
      <c r="Q279" s="304">
        <f t="shared" si="105"/>
        <v>0.6</v>
      </c>
      <c r="R279" s="177">
        <f t="shared" si="106"/>
        <v>0.99239830286203734</v>
      </c>
      <c r="S279" s="799">
        <f t="shared" si="107"/>
        <v>1</v>
      </c>
      <c r="T279" s="176">
        <f t="shared" si="108"/>
        <v>7</v>
      </c>
      <c r="U279" s="250">
        <f t="shared" si="109"/>
        <v>1.9923983028620373</v>
      </c>
      <c r="V279" s="382">
        <f t="shared" si="110"/>
        <v>44.920926569474688</v>
      </c>
      <c r="W279" s="400">
        <f t="shared" si="111"/>
        <v>44.456047566658</v>
      </c>
      <c r="X279" s="157">
        <f t="shared" si="112"/>
        <v>45922</v>
      </c>
      <c r="Y279" s="383">
        <f t="shared" si="113"/>
        <v>42.25022968405375</v>
      </c>
      <c r="Z279" s="383">
        <f t="shared" si="114"/>
        <v>44.273727680000064</v>
      </c>
      <c r="AA279" s="384">
        <f t="shared" si="115"/>
        <v>47.686703051924219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7.1570797591267568E-2</v>
      </c>
      <c r="AD279" s="230">
        <f>(INDEX(Models!$BJ279:$BT279,,AH279)*(1-AF279)+INDEX(Models!$BJ279:$BT279,,AH279+1)*AF279-ERP_i)*AE279*Ramure*Pc/MaxiM</f>
        <v>2.3165473011643538E-3</v>
      </c>
      <c r="AE279" s="304">
        <f t="shared" si="117"/>
        <v>0.6</v>
      </c>
      <c r="AF279" s="177">
        <f t="shared" si="118"/>
        <v>0.99239830286203734</v>
      </c>
      <c r="AG279" s="799">
        <f t="shared" si="124"/>
        <v>1</v>
      </c>
      <c r="AH279" s="176">
        <f t="shared" si="119"/>
        <v>7</v>
      </c>
      <c r="AI279" s="224">
        <f t="shared" si="120"/>
        <v>1.9923983028620373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'2024'!Wh/'2024'!Env_an*'2025'!Env_an</f>
        <v>28.214688763745983</v>
      </c>
      <c r="C280" s="829"/>
      <c r="D280" s="391">
        <f t="shared" si="102"/>
        <v>29.566546661397339</v>
      </c>
      <c r="E280" s="383">
        <f t="shared" si="100"/>
        <v>30.268379198986839</v>
      </c>
      <c r="F280" s="383">
        <f t="shared" si="103"/>
        <v>30.302771235917838</v>
      </c>
      <c r="G280" s="110">
        <f t="shared" si="101"/>
        <v>0.63149282468872525</v>
      </c>
      <c r="H280" s="412" t="b">
        <f>Wh_hp&gt;='2024'!Maxi_hp</f>
        <v>0</v>
      </c>
      <c r="I280" s="388">
        <f>IF(H280,Wh_hp,'2024'!Maxi_hp)</f>
        <v>41.863369362780062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4.5722549648193112E-2</v>
      </c>
      <c r="M280" s="832"/>
      <c r="N280" s="832"/>
      <c r="O280" s="48">
        <f>IF(t&lt;Tnet,'2024'!Resal+('2024'!Salim-'2024'!Resal)*(1-EXP(('2024'!Tnet-t)/('2024'!Tau_j))),Resal+(Salim-Resal)*(1-EXP((Tnet-t)/(Tau_j))))*Salcycl</f>
        <v>2.318698774637358E-2</v>
      </c>
      <c r="P280" s="169">
        <f>(INDEX(Models!$BJ280:$BT280,,T280)*(1-R280)+INDEX(Models!$BJ280:$BT280,,T280+1)*R280-ERP_i)*Q280*Ramure*Pc/MaxiM</f>
        <v>2.3908874850959599E-3</v>
      </c>
      <c r="Q280" s="304">
        <f t="shared" si="105"/>
        <v>0.6</v>
      </c>
      <c r="R280" s="177">
        <f t="shared" si="106"/>
        <v>0.99267163311760243</v>
      </c>
      <c r="S280" s="799">
        <f t="shared" si="107"/>
        <v>1</v>
      </c>
      <c r="T280" s="176">
        <f t="shared" si="108"/>
        <v>7</v>
      </c>
      <c r="U280" s="250">
        <f t="shared" si="109"/>
        <v>1.9926716331176024</v>
      </c>
      <c r="V280" s="382">
        <f t="shared" si="110"/>
        <v>44.623171358894666</v>
      </c>
      <c r="W280" s="400">
        <f t="shared" si="111"/>
        <v>28.214688763745983</v>
      </c>
      <c r="X280" s="157">
        <f t="shared" si="112"/>
        <v>45923</v>
      </c>
      <c r="Y280" s="383">
        <f t="shared" si="113"/>
        <v>26.81642122955698</v>
      </c>
      <c r="Z280" s="383">
        <f t="shared" si="114"/>
        <v>28.101283562417571</v>
      </c>
      <c r="AA280" s="384">
        <f t="shared" si="115"/>
        <v>30.268379198986839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7.1596025090164273E-2</v>
      </c>
      <c r="AD280" s="230">
        <f>(INDEX(Models!$BJ280:$BT280,,AH280)*(1-AF280)+INDEX(Models!$BJ280:$BT280,,AH280+1)*AF280-ERP_i)*AE280*Ramure*Pc/MaxiM</f>
        <v>2.3908874850959599E-3</v>
      </c>
      <c r="AE280" s="304">
        <f t="shared" si="117"/>
        <v>0.6</v>
      </c>
      <c r="AF280" s="177">
        <f t="shared" si="118"/>
        <v>0.99267163311760243</v>
      </c>
      <c r="AG280" s="799">
        <f t="shared" si="124"/>
        <v>1</v>
      </c>
      <c r="AH280" s="176">
        <f t="shared" si="119"/>
        <v>7</v>
      </c>
      <c r="AI280" s="224">
        <f t="shared" si="120"/>
        <v>1.9926716331176024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'2024'!Wh/'2024'!Env_an*'2025'!Env_an</f>
        <v>17.090310567551171</v>
      </c>
      <c r="C281" s="829"/>
      <c r="D281" s="391">
        <f t="shared" si="102"/>
        <v>17.909506401341432</v>
      </c>
      <c r="E281" s="383">
        <f t="shared" si="100"/>
        <v>18.336275900679031</v>
      </c>
      <c r="F281" s="383">
        <f t="shared" si="103"/>
        <v>18.341809573783156</v>
      </c>
      <c r="G281" s="110">
        <f t="shared" si="101"/>
        <v>0.38475681738581652</v>
      </c>
      <c r="H281" s="412" t="b">
        <f>Wh_hp&gt;='2024'!Maxi_hp</f>
        <v>0</v>
      </c>
      <c r="I281" s="388">
        <f>IF(H281,Wh_hp,'2024'!Maxi_hp)</f>
        <v>40.4343470381435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4.5740838157823482E-2</v>
      </c>
      <c r="M281" s="832"/>
      <c r="N281" s="832"/>
      <c r="O281" s="48">
        <f>IF(t&lt;Tnet,'2024'!Resal+('2024'!Salim-'2024'!Resal)*(1-EXP(('2024'!Tnet-t)/('2024'!Tau_j))),Resal+(Salim-Resal)*(1-EXP((Tnet-t)/(Tau_j))))*Salcycl</f>
        <v>2.3274600668601139E-2</v>
      </c>
      <c r="P281" s="169">
        <f>(INDEX(Models!$BJ281:$BT281,,T281)*(1-R281)+INDEX(Models!$BJ281:$BT281,,T281+1)*R281-ERP_i)*Q281*Ramure*Pc/MaxiM</f>
        <v>2.4673768343981845E-3</v>
      </c>
      <c r="Q281" s="304">
        <f t="shared" si="105"/>
        <v>0.6</v>
      </c>
      <c r="R281" s="177">
        <f t="shared" si="106"/>
        <v>0.99293424290973853</v>
      </c>
      <c r="S281" s="799">
        <f t="shared" si="107"/>
        <v>1</v>
      </c>
      <c r="T281" s="176">
        <f t="shared" si="108"/>
        <v>7</v>
      </c>
      <c r="U281" s="250">
        <f t="shared" si="109"/>
        <v>1.9929342429097385</v>
      </c>
      <c r="V281" s="382">
        <f t="shared" si="110"/>
        <v>44.322248469889914</v>
      </c>
      <c r="W281" s="400">
        <f t="shared" si="111"/>
        <v>17.090310567551171</v>
      </c>
      <c r="X281" s="157">
        <f t="shared" si="112"/>
        <v>45924</v>
      </c>
      <c r="Y281" s="383">
        <f t="shared" si="113"/>
        <v>16.244377096044918</v>
      </c>
      <c r="Z281" s="383">
        <f t="shared" si="114"/>
        <v>17.023024504879263</v>
      </c>
      <c r="AA281" s="384">
        <f t="shared" si="115"/>
        <v>18.336275900679031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7.1620398979224328E-2</v>
      </c>
      <c r="AD281" s="230">
        <f>(INDEX(Models!$BJ281:$BT281,,AH281)*(1-AF281)+INDEX(Models!$BJ281:$BT281,,AH281+1)*AF281-ERP_i)*AE281*Ramure*Pc/MaxiM</f>
        <v>2.4673768343981845E-3</v>
      </c>
      <c r="AE281" s="304">
        <f t="shared" si="117"/>
        <v>0.6</v>
      </c>
      <c r="AF281" s="177">
        <f t="shared" si="118"/>
        <v>0.99293424290973853</v>
      </c>
      <c r="AG281" s="799">
        <f t="shared" si="124"/>
        <v>1</v>
      </c>
      <c r="AH281" s="176">
        <f t="shared" si="119"/>
        <v>7</v>
      </c>
      <c r="AI281" s="224">
        <f t="shared" si="120"/>
        <v>1.9929342429097385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'2024'!Wh/'2024'!Env_an*'2025'!Env_an</f>
        <v>35.988574959784017</v>
      </c>
      <c r="C282" s="829"/>
      <c r="D282" s="391">
        <f t="shared" si="102"/>
        <v>37.714350697304027</v>
      </c>
      <c r="E282" s="383">
        <f t="shared" si="100"/>
        <v>38.616501717550769</v>
      </c>
      <c r="F282" s="383">
        <f t="shared" si="103"/>
        <v>38.689475497417519</v>
      </c>
      <c r="G282" s="110">
        <f t="shared" si="101"/>
        <v>0.81704226990568551</v>
      </c>
      <c r="H282" s="412" t="b">
        <f>Wh_hp&gt;='2024'!Maxi_hp</f>
        <v>0</v>
      </c>
      <c r="I282" s="388">
        <f>IF(H282,Wh_hp,'2024'!Maxi_hp)</f>
        <v>38.705104282673666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4.5759126316958665E-2</v>
      </c>
      <c r="M282" s="832"/>
      <c r="N282" s="832"/>
      <c r="O282" s="48">
        <f>IF(t&lt;Tnet,'2024'!Resal+('2024'!Salim-'2024'!Resal)*(1-EXP(('2024'!Tnet-t)/('2024'!Tau_j))),Resal+(Salim-Resal)*(1-EXP((Tnet-t)/(Tau_j))))*Salcycl</f>
        <v>2.3361800787789107E-2</v>
      </c>
      <c r="P282" s="169">
        <f>(INDEX(Models!$BJ282:$BT282,,T282)*(1-R282)+INDEX(Models!$BJ282:$BT282,,T282+1)*R282-ERP_i)*Q282*Ramure*Pc/MaxiM</f>
        <v>2.5508731948735213E-3</v>
      </c>
      <c r="Q282" s="304">
        <f t="shared" si="105"/>
        <v>0.6</v>
      </c>
      <c r="R282" s="177">
        <f t="shared" si="106"/>
        <v>0.99318654183695676</v>
      </c>
      <c r="S282" s="799">
        <f t="shared" si="107"/>
        <v>1</v>
      </c>
      <c r="T282" s="176">
        <f t="shared" si="108"/>
        <v>7</v>
      </c>
      <c r="U282" s="250">
        <f t="shared" si="109"/>
        <v>1.9931865418369568</v>
      </c>
      <c r="V282" s="382">
        <f t="shared" si="110"/>
        <v>44.018049357710872</v>
      </c>
      <c r="W282" s="400">
        <f t="shared" si="111"/>
        <v>35.988574959784017</v>
      </c>
      <c r="X282" s="157">
        <f t="shared" si="112"/>
        <v>45925</v>
      </c>
      <c r="Y282" s="383">
        <f t="shared" si="113"/>
        <v>34.209406644438104</v>
      </c>
      <c r="Z282" s="383">
        <f t="shared" si="114"/>
        <v>35.849865152392361</v>
      </c>
      <c r="AA282" s="384">
        <f t="shared" si="115"/>
        <v>38.616501717550769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7.1643894244853373E-2</v>
      </c>
      <c r="AD282" s="230">
        <f>(INDEX(Models!$BJ282:$BT282,,AH282)*(1-AF282)+INDEX(Models!$BJ282:$BT282,,AH282+1)*AF282-ERP_i)*AE282*Ramure*Pc/MaxiM</f>
        <v>2.5508731948735213E-3</v>
      </c>
      <c r="AE282" s="304">
        <f t="shared" si="117"/>
        <v>0.6</v>
      </c>
      <c r="AF282" s="177">
        <f t="shared" si="118"/>
        <v>0.99318654183695676</v>
      </c>
      <c r="AG282" s="799">
        <f t="shared" si="124"/>
        <v>1</v>
      </c>
      <c r="AH282" s="176">
        <f t="shared" si="119"/>
        <v>7</v>
      </c>
      <c r="AI282" s="224">
        <f t="shared" si="120"/>
        <v>1.9931865418369568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'2024'!Wh/'2024'!Env_an*'2025'!Env_an</f>
        <v>32.949111807838236</v>
      </c>
      <c r="C283" s="829"/>
      <c r="D283" s="391">
        <f t="shared" si="102"/>
        <v>34.529796606779719</v>
      </c>
      <c r="E283" s="383">
        <f t="shared" si="100"/>
        <v>35.358912814813536</v>
      </c>
      <c r="F283" s="383">
        <f t="shared" si="103"/>
        <v>35.419545058416936</v>
      </c>
      <c r="G283" s="110">
        <f t="shared" si="101"/>
        <v>0.75309806150372438</v>
      </c>
      <c r="H283" s="412" t="b">
        <f>Wh_hp&gt;='2024'!Maxi_hp</f>
        <v>0</v>
      </c>
      <c r="I283" s="388">
        <f>IF(H283,Wh_hp,'2024'!Maxi_hp)</f>
        <v>39.693686966189702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4.5777414125605431E-2</v>
      </c>
      <c r="M283" s="832"/>
      <c r="N283" s="832"/>
      <c r="O283" s="48">
        <f>IF(t&lt;Tnet,'2024'!Resal+('2024'!Salim-'2024'!Resal)*(1-EXP(('2024'!Tnet-t)/('2024'!Tau_j))),Resal+(Salim-Resal)*(1-EXP((Tnet-t)/(Tau_j))))*Salcycl</f>
        <v>2.3448577516400927E-2</v>
      </c>
      <c r="P283" s="169">
        <f>(INDEX(Models!$BJ283:$BT283,,T283)*(1-R283)+INDEX(Models!$BJ283:$BT283,,T283+1)*R283-ERP_i)*Q283*Ramure*Pc/MaxiM</f>
        <v>2.6405527489583446E-3</v>
      </c>
      <c r="Q283" s="304">
        <f t="shared" si="105"/>
        <v>0.6</v>
      </c>
      <c r="R283" s="177">
        <f t="shared" si="106"/>
        <v>0.99342892469733468</v>
      </c>
      <c r="S283" s="799">
        <f t="shared" si="107"/>
        <v>1</v>
      </c>
      <c r="T283" s="176">
        <f t="shared" si="108"/>
        <v>7</v>
      </c>
      <c r="U283" s="250">
        <f t="shared" si="109"/>
        <v>1.9934289246973347</v>
      </c>
      <c r="V283" s="382">
        <f t="shared" si="110"/>
        <v>43.710720331835887</v>
      </c>
      <c r="W283" s="400">
        <f t="shared" si="111"/>
        <v>32.949111807838236</v>
      </c>
      <c r="X283" s="157">
        <f t="shared" si="112"/>
        <v>45926</v>
      </c>
      <c r="Y283" s="383">
        <f t="shared" si="113"/>
        <v>31.322226392298894</v>
      </c>
      <c r="Z283" s="383">
        <f t="shared" si="114"/>
        <v>32.824863774940951</v>
      </c>
      <c r="AA283" s="384">
        <f t="shared" si="115"/>
        <v>35.358912814813536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7.1666486273043783E-2</v>
      </c>
      <c r="AD283" s="230">
        <f>(INDEX(Models!$BJ283:$BT283,,AH283)*(1-AF283)+INDEX(Models!$BJ283:$BT283,,AH283+1)*AF283-ERP_i)*AE283*Ramure*Pc/MaxiM</f>
        <v>2.6405527489583446E-3</v>
      </c>
      <c r="AE283" s="304">
        <f t="shared" si="117"/>
        <v>0.6</v>
      </c>
      <c r="AF283" s="177">
        <f t="shared" si="118"/>
        <v>0.99342892469733468</v>
      </c>
      <c r="AG283" s="799">
        <f t="shared" si="124"/>
        <v>1</v>
      </c>
      <c r="AH283" s="176">
        <f t="shared" si="119"/>
        <v>7</v>
      </c>
      <c r="AI283" s="224">
        <f t="shared" si="120"/>
        <v>1.9934289246973347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'2024'!Wh/'2024'!Env_an*'2025'!Env_an</f>
        <v>17.470559291429947</v>
      </c>
      <c r="C284" s="829"/>
      <c r="D284" s="391">
        <f t="shared" si="102"/>
        <v>18.309034365520315</v>
      </c>
      <c r="E284" s="383">
        <f t="shared" si="100"/>
        <v>18.750321693227068</v>
      </c>
      <c r="F284" s="383">
        <f t="shared" si="103"/>
        <v>18.757841124883576</v>
      </c>
      <c r="G284" s="110">
        <f t="shared" si="101"/>
        <v>0.40160347191777918</v>
      </c>
      <c r="H284" s="412" t="b">
        <f>Wh_hp&gt;='2024'!Maxi_hp</f>
        <v>0</v>
      </c>
      <c r="I284" s="388">
        <f>IF(H284,Wh_hp,'2024'!Maxi_hp)</f>
        <v>37.960845399345402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4.5795701583770554E-2</v>
      </c>
      <c r="M284" s="832"/>
      <c r="N284" s="832"/>
      <c r="O284" s="48">
        <f>IF(t&lt;Tnet,'2024'!Resal+('2024'!Salim-'2024'!Resal)*(1-EXP(('2024'!Tnet-t)/('2024'!Tau_j))),Resal+(Salim-Resal)*(1-EXP((Tnet-t)/(Tau_j))))*Salcycl</f>
        <v>2.3534920356387923E-2</v>
      </c>
      <c r="P284" s="169">
        <f>(INDEX(Models!$BJ284:$BT284,,T284)*(1-R284)+INDEX(Models!$BJ284:$BT284,,T284+1)*R284-ERP_i)*Q284*Ramure*Pc/MaxiM</f>
        <v>2.7364645459974596E-3</v>
      </c>
      <c r="Q284" s="304">
        <f t="shared" si="105"/>
        <v>0.6</v>
      </c>
      <c r="R284" s="177">
        <f t="shared" si="106"/>
        <v>0.99366177195640404</v>
      </c>
      <c r="S284" s="799">
        <f t="shared" si="107"/>
        <v>1</v>
      </c>
      <c r="T284" s="176">
        <f t="shared" si="108"/>
        <v>7</v>
      </c>
      <c r="U284" s="250">
        <f t="shared" si="109"/>
        <v>1.993661771956404</v>
      </c>
      <c r="V284" s="382">
        <f t="shared" si="110"/>
        <v>43.400368724572324</v>
      </c>
      <c r="W284" s="400">
        <f t="shared" si="111"/>
        <v>17.470559291429947</v>
      </c>
      <c r="X284" s="157">
        <f t="shared" si="112"/>
        <v>45927</v>
      </c>
      <c r="Y284" s="383">
        <f t="shared" si="113"/>
        <v>16.609019141253146</v>
      </c>
      <c r="Z284" s="383">
        <f t="shared" si="114"/>
        <v>17.406145800035159</v>
      </c>
      <c r="AA284" s="384">
        <f t="shared" si="115"/>
        <v>18.750321693227068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7.1688151018627452E-2</v>
      </c>
      <c r="AD284" s="230">
        <f>(INDEX(Models!$BJ284:$BT284,,AH284)*(1-AF284)+INDEX(Models!$BJ284:$BT284,,AH284+1)*AF284-ERP_i)*AE284*Ramure*Pc/MaxiM</f>
        <v>2.7364645459974596E-3</v>
      </c>
      <c r="AE284" s="304">
        <f t="shared" si="117"/>
        <v>0.6</v>
      </c>
      <c r="AF284" s="177">
        <f t="shared" si="118"/>
        <v>0.99366177195640404</v>
      </c>
      <c r="AG284" s="799">
        <f t="shared" si="124"/>
        <v>1</v>
      </c>
      <c r="AH284" s="176">
        <f t="shared" si="119"/>
        <v>7</v>
      </c>
      <c r="AI284" s="224">
        <f t="shared" si="120"/>
        <v>1.993661771956404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'2024'!Wh/'2024'!Env_an*'2025'!Env_an</f>
        <v>19.800185688495397</v>
      </c>
      <c r="C285" s="829"/>
      <c r="D285" s="391">
        <f t="shared" si="102"/>
        <v>20.750865610932689</v>
      </c>
      <c r="E285" s="383">
        <f t="shared" si="100"/>
        <v>21.252875946066215</v>
      </c>
      <c r="F285" s="383">
        <f t="shared" si="103"/>
        <v>21.266634699328783</v>
      </c>
      <c r="G285" s="110">
        <f t="shared" si="101"/>
        <v>0.45853076161338818</v>
      </c>
      <c r="H285" s="412" t="b">
        <f>Wh_hp&gt;='2024'!Maxi_hp</f>
        <v>0</v>
      </c>
      <c r="I285" s="388">
        <f>IF(H285,Wh_hp,'2024'!Maxi_hp)</f>
        <v>38.326040675068562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4.5813988691460694E-2</v>
      </c>
      <c r="M285" s="832"/>
      <c r="N285" s="832"/>
      <c r="O285" s="48">
        <f>IF(t&lt;Tnet,'2024'!Resal+('2024'!Salim-'2024'!Resal)*(1-EXP(('2024'!Tnet-t)/('2024'!Tau_j))),Resal+(Salim-Resal)*(1-EXP((Tnet-t)/(Tau_j))))*Salcycl</f>
        <v>2.3620818961513062E-2</v>
      </c>
      <c r="P285" s="169">
        <f>(INDEX(Models!$BJ285:$BT285,,T285)*(1-R285)+INDEX(Models!$BJ285:$BT285,,T285+1)*R285-ERP_i)*Q285*Ramure*Pc/MaxiM</f>
        <v>2.8386551020987585E-3</v>
      </c>
      <c r="Q285" s="304">
        <f t="shared" si="105"/>
        <v>0.6</v>
      </c>
      <c r="R285" s="177">
        <f t="shared" si="106"/>
        <v>0.99388545020569063</v>
      </c>
      <c r="S285" s="799">
        <f t="shared" si="107"/>
        <v>1</v>
      </c>
      <c r="T285" s="176">
        <f t="shared" si="108"/>
        <v>7</v>
      </c>
      <c r="U285" s="250">
        <f t="shared" si="109"/>
        <v>1.9938854502056906</v>
      </c>
      <c r="V285" s="382">
        <f t="shared" si="110"/>
        <v>43.087102030417292</v>
      </c>
      <c r="W285" s="400">
        <f t="shared" si="111"/>
        <v>19.800185688495397</v>
      </c>
      <c r="X285" s="157">
        <f t="shared" si="112"/>
        <v>45928</v>
      </c>
      <c r="Y285" s="383">
        <f t="shared" si="113"/>
        <v>18.824998729290538</v>
      </c>
      <c r="Z285" s="383">
        <f t="shared" si="114"/>
        <v>19.728856330092864</v>
      </c>
      <c r="AA285" s="384">
        <f t="shared" si="115"/>
        <v>21.252875946066215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7.170886518327596E-2</v>
      </c>
      <c r="AD285" s="230">
        <f>(INDEX(Models!$BJ285:$BT285,,AH285)*(1-AF285)+INDEX(Models!$BJ285:$BT285,,AH285+1)*AF285-ERP_i)*AE285*Ramure*Pc/MaxiM</f>
        <v>2.8386551020987585E-3</v>
      </c>
      <c r="AE285" s="304">
        <f t="shared" si="117"/>
        <v>0.6</v>
      </c>
      <c r="AF285" s="177">
        <f t="shared" si="118"/>
        <v>0.99388545020569063</v>
      </c>
      <c r="AG285" s="799">
        <f t="shared" si="124"/>
        <v>1</v>
      </c>
      <c r="AH285" s="176">
        <f t="shared" si="119"/>
        <v>7</v>
      </c>
      <c r="AI285" s="224">
        <f t="shared" si="120"/>
        <v>1.9938854502056906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'2024'!Wh/'2024'!Env_an*'2025'!Env_an</f>
        <v>23.788610990457475</v>
      </c>
      <c r="C286" s="829"/>
      <c r="D286" s="391">
        <f t="shared" si="102"/>
        <v>24.931267719879859</v>
      </c>
      <c r="E286" s="383">
        <f t="shared" si="100"/>
        <v>25.536646175445359</v>
      </c>
      <c r="F286" s="383">
        <f t="shared" si="103"/>
        <v>25.564219769233038</v>
      </c>
      <c r="G286" s="110">
        <f t="shared" si="101"/>
        <v>0.55514476826440251</v>
      </c>
      <c r="H286" s="412" t="b">
        <f>Wh_hp&gt;='2024'!Maxi_hp</f>
        <v>0</v>
      </c>
      <c r="I286" s="388">
        <f>IF(H286,Wh_hp,'2024'!Maxi_hp)</f>
        <v>44.025423023353014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4.5832275448682624E-2</v>
      </c>
      <c r="M286" s="832"/>
      <c r="N286" s="832"/>
      <c r="O286" s="48">
        <f>IF(t&lt;Tnet,'2024'!Resal+('2024'!Salim-'2024'!Resal)*(1-EXP(('2024'!Tnet-t)/('2024'!Tau_j))),Resal+(Salim-Resal)*(1-EXP((Tnet-t)/(Tau_j))))*Salcycl</f>
        <v>2.3706263203333282E-2</v>
      </c>
      <c r="P286" s="169">
        <f>(INDEX(Models!$BJ286:$BT286,,T286)*(1-R286)+INDEX(Models!$BJ286:$BT286,,T286+1)*R286-ERP_i)*Q286*Ramure*Pc/MaxiM</f>
        <v>2.9471680650544536E-3</v>
      </c>
      <c r="Q286" s="304">
        <f t="shared" si="105"/>
        <v>0.6</v>
      </c>
      <c r="R286" s="177">
        <f t="shared" si="106"/>
        <v>0.99410031261160081</v>
      </c>
      <c r="S286" s="799">
        <f t="shared" si="107"/>
        <v>1</v>
      </c>
      <c r="T286" s="176">
        <f t="shared" si="108"/>
        <v>7</v>
      </c>
      <c r="U286" s="250">
        <f t="shared" si="109"/>
        <v>1.9941003126116008</v>
      </c>
      <c r="V286" s="382">
        <f t="shared" si="110"/>
        <v>42.771027914303467</v>
      </c>
      <c r="W286" s="400">
        <f t="shared" si="111"/>
        <v>23.788610990457475</v>
      </c>
      <c r="X286" s="157">
        <f t="shared" si="112"/>
        <v>45929</v>
      </c>
      <c r="Y286" s="383">
        <f t="shared" si="113"/>
        <v>22.618486879111703</v>
      </c>
      <c r="Z286" s="383">
        <f t="shared" si="114"/>
        <v>23.704938133122976</v>
      </c>
      <c r="AA286" s="384">
        <f t="shared" si="115"/>
        <v>25.536646175445359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7.1728606401088524E-2</v>
      </c>
      <c r="AD286" s="230">
        <f>(INDEX(Models!$BJ286:$BT286,,AH286)*(1-AF286)+INDEX(Models!$BJ286:$BT286,,AH286+1)*AF286-ERP_i)*AE286*Ramure*Pc/MaxiM</f>
        <v>2.9471680650544536E-3</v>
      </c>
      <c r="AE286" s="304">
        <f t="shared" si="117"/>
        <v>0.6</v>
      </c>
      <c r="AF286" s="177">
        <f t="shared" si="118"/>
        <v>0.99410031261160081</v>
      </c>
      <c r="AG286" s="799">
        <f t="shared" si="124"/>
        <v>1</v>
      </c>
      <c r="AH286" s="176">
        <f t="shared" si="119"/>
        <v>7</v>
      </c>
      <c r="AI286" s="224">
        <f t="shared" si="120"/>
        <v>1.9941003126116008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'2024'!Wh/'2024'!Env_an*'2025'!Env_an</f>
        <v>28.227175920875229</v>
      </c>
      <c r="C287" s="829"/>
      <c r="D287" s="391">
        <f t="shared" si="102"/>
        <v>29.5836006315383</v>
      </c>
      <c r="E287" s="383">
        <f t="shared" si="100"/>
        <v>30.304584369575998</v>
      </c>
      <c r="F287" s="383">
        <f t="shared" si="103"/>
        <v>30.353035979718982</v>
      </c>
      <c r="G287" s="110">
        <f t="shared" si="101"/>
        <v>0.6639396566810527</v>
      </c>
      <c r="H287" s="412" t="b">
        <f>Wh_hp&gt;='2024'!Maxi_hp</f>
        <v>0</v>
      </c>
      <c r="I287" s="388">
        <f>IF(H287,Wh_hp,'2024'!Maxi_hp)</f>
        <v>36.159220038545989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4.5850561855443006E-2</v>
      </c>
      <c r="M287" s="832"/>
      <c r="N287" s="832"/>
      <c r="O287" s="48">
        <f>IF(t&lt;Tnet,'2024'!Resal+('2024'!Salim-'2024'!Resal)*(1-EXP(('2024'!Tnet-t)/('2024'!Tau_j))),Resal+(Salim-Resal)*(1-EXP((Tnet-t)/(Tau_j))))*Salcycl</f>
        <v>2.3791243240462497E-2</v>
      </c>
      <c r="P287" s="169">
        <f>(INDEX(Models!$BJ287:$BT287,,T287)*(1-R287)+INDEX(Models!$BJ287:$BT287,,T287+1)*R287-ERP_i)*Q287*Ramure*Pc/MaxiM</f>
        <v>3.0620438927263668E-3</v>
      </c>
      <c r="Q287" s="304">
        <f t="shared" si="105"/>
        <v>0.6</v>
      </c>
      <c r="R287" s="177">
        <f t="shared" si="106"/>
        <v>0.99430669935440985</v>
      </c>
      <c r="S287" s="799">
        <f t="shared" si="107"/>
        <v>1</v>
      </c>
      <c r="T287" s="176">
        <f t="shared" si="108"/>
        <v>7</v>
      </c>
      <c r="U287" s="250">
        <f t="shared" si="109"/>
        <v>1.9943066993544099</v>
      </c>
      <c r="V287" s="382">
        <f t="shared" si="110"/>
        <v>42.45225420795316</v>
      </c>
      <c r="W287" s="400">
        <f t="shared" si="111"/>
        <v>28.227175920875229</v>
      </c>
      <c r="X287" s="157">
        <f t="shared" si="112"/>
        <v>45930</v>
      </c>
      <c r="Y287" s="383">
        <f t="shared" si="113"/>
        <v>26.840520096041292</v>
      </c>
      <c r="Z287" s="383">
        <f t="shared" si="114"/>
        <v>28.130310644248222</v>
      </c>
      <c r="AA287" s="384">
        <f t="shared" si="115"/>
        <v>30.304584369575998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7.1747353430480193E-2</v>
      </c>
      <c r="AD287" s="230">
        <f>(INDEX(Models!$BJ287:$BT287,,AH287)*(1-AF287)+INDEX(Models!$BJ287:$BT287,,AH287+1)*AF287-ERP_i)*AE287*Ramure*Pc/MaxiM</f>
        <v>3.0620438927263668E-3</v>
      </c>
      <c r="AE287" s="304">
        <f t="shared" si="117"/>
        <v>0.6</v>
      </c>
      <c r="AF287" s="177">
        <f t="shared" si="118"/>
        <v>0.99430669935440985</v>
      </c>
      <c r="AG287" s="799">
        <f t="shared" si="124"/>
        <v>1</v>
      </c>
      <c r="AH287" s="176">
        <f t="shared" si="119"/>
        <v>7</v>
      </c>
      <c r="AI287" s="224">
        <f t="shared" si="120"/>
        <v>1.9943066993544099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'2024'!Wh/'2024'!Env_an*'2025'!Env_an</f>
        <v>36.87959171852809</v>
      </c>
      <c r="C288" s="829"/>
      <c r="D288" s="391">
        <f t="shared" si="102"/>
        <v>38.652539158596667</v>
      </c>
      <c r="E288" s="383">
        <f t="shared" si="100"/>
        <v>39.597970383779248</v>
      </c>
      <c r="F288" s="383">
        <f t="shared" si="103"/>
        <v>39.701850100860781</v>
      </c>
      <c r="G288" s="110">
        <f t="shared" si="101"/>
        <v>0.87486007520816711</v>
      </c>
      <c r="H288" s="412" t="b">
        <f>Wh_hp&gt;='2024'!Maxi_hp</f>
        <v>0</v>
      </c>
      <c r="I288" s="388">
        <f>IF(H288,Wh_hp,'2024'!Maxi_hp)</f>
        <v>44.503895100671492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4.5868847911748611E-2</v>
      </c>
      <c r="M288" s="832"/>
      <c r="N288" s="832"/>
      <c r="O288" s="48">
        <f>IF(t&lt;Tnet,'2024'!Resal+('2024'!Salim-'2024'!Resal)*(1-EXP(('2024'!Tnet-t)/('2024'!Tau_j))),Resal+(Salim-Resal)*(1-EXP((Tnet-t)/(Tau_j))))*Salcycl</f>
        <v>2.3875749590687719E-2</v>
      </c>
      <c r="P288" s="169">
        <f>(INDEX(Models!$BJ288:$BT288,,T288)*(1-R288)+INDEX(Models!$BJ288:$BT288,,T288+1)*R288-ERP_i)*Q288*Ramure*Pc/MaxiM</f>
        <v>3.1833195477444878E-3</v>
      </c>
      <c r="Q288" s="304">
        <f t="shared" si="105"/>
        <v>0.6</v>
      </c>
      <c r="R288" s="177">
        <f t="shared" si="106"/>
        <v>0.99450493805715823</v>
      </c>
      <c r="S288" s="799">
        <f t="shared" si="107"/>
        <v>1</v>
      </c>
      <c r="T288" s="176">
        <f t="shared" si="108"/>
        <v>7</v>
      </c>
      <c r="U288" s="250">
        <f t="shared" si="109"/>
        <v>1.9945049380571582</v>
      </c>
      <c r="V288" s="382">
        <f t="shared" si="110"/>
        <v>42.13088891452027</v>
      </c>
      <c r="W288" s="400">
        <f t="shared" si="111"/>
        <v>36.87959171852809</v>
      </c>
      <c r="X288" s="157">
        <f t="shared" si="112"/>
        <v>45931</v>
      </c>
      <c r="Y288" s="383">
        <f t="shared" si="113"/>
        <v>35.070253218178713</v>
      </c>
      <c r="Z288" s="383">
        <f t="shared" si="114"/>
        <v>36.756218619864249</v>
      </c>
      <c r="AA288" s="384">
        <f t="shared" si="115"/>
        <v>39.597970383779248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7.1765086350968149E-2</v>
      </c>
      <c r="AD288" s="230">
        <f>(INDEX(Models!$BJ288:$BT288,,AH288)*(1-AF288)+INDEX(Models!$BJ288:$BT288,,AH288+1)*AF288-ERP_i)*AE288*Ramure*Pc/MaxiM</f>
        <v>3.1833195477444878E-3</v>
      </c>
      <c r="AE288" s="304">
        <f t="shared" si="117"/>
        <v>0.6</v>
      </c>
      <c r="AF288" s="177">
        <f t="shared" si="118"/>
        <v>0.99450493805715823</v>
      </c>
      <c r="AG288" s="799">
        <f t="shared" si="124"/>
        <v>1</v>
      </c>
      <c r="AH288" s="176">
        <f t="shared" si="119"/>
        <v>7</v>
      </c>
      <c r="AI288" s="224">
        <f t="shared" si="120"/>
        <v>1.9945049380571582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'2024'!Wh/'2024'!Env_an*'2025'!Env_an</f>
        <v>39.321488816140494</v>
      </c>
      <c r="C289" s="829"/>
      <c r="D289" s="391">
        <f t="shared" si="102"/>
        <v>41.212617711813813</v>
      </c>
      <c r="E289" s="383">
        <f t="shared" si="100"/>
        <v>42.224302421594103</v>
      </c>
      <c r="F289" s="383">
        <f t="shared" si="103"/>
        <v>42.352634991990001</v>
      </c>
      <c r="G289" s="110">
        <f t="shared" si="101"/>
        <v>0.94031754750737262</v>
      </c>
      <c r="H289" s="412" t="b">
        <f>Wh_hp&gt;='2024'!Maxi_hp</f>
        <v>0</v>
      </c>
      <c r="I289" s="388">
        <f>IF(H289,Wh_hp,'2024'!Maxi_hp)</f>
        <v>42.359955312979814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4.5887133617606102E-2</v>
      </c>
      <c r="M289" s="832"/>
      <c r="N289" s="832"/>
      <c r="O289" s="48">
        <f>IF(t&lt;Tnet,'2024'!Resal+('2024'!Salim-'2024'!Resal)*(1-EXP(('2024'!Tnet-t)/('2024'!Tau_j))),Resal+(Salim-Resal)*(1-EXP((Tnet-t)/(Tau_j))))*Salcycl</f>
        <v>2.3959773205463237E-2</v>
      </c>
      <c r="P289" s="169">
        <f>(INDEX(Models!$BJ289:$BT289,,T289)*(1-R289)+INDEX(Models!$BJ289:$BT289,,T289+1)*R289-ERP_i)*Q289*Ramure*Pc/MaxiM</f>
        <v>3.3111532861600278E-3</v>
      </c>
      <c r="Q289" s="304">
        <f t="shared" si="105"/>
        <v>0.6</v>
      </c>
      <c r="R289" s="177">
        <f t="shared" si="106"/>
        <v>0.99469534420431449</v>
      </c>
      <c r="S289" s="799">
        <f t="shared" si="107"/>
        <v>1</v>
      </c>
      <c r="T289" s="176">
        <f t="shared" si="108"/>
        <v>7</v>
      </c>
      <c r="U289" s="250">
        <f t="shared" si="109"/>
        <v>1.9946953442043145</v>
      </c>
      <c r="V289" s="382">
        <f t="shared" si="110"/>
        <v>41.805455783902929</v>
      </c>
      <c r="W289" s="400">
        <f t="shared" si="111"/>
        <v>39.321488816140494</v>
      </c>
      <c r="X289" s="157">
        <f t="shared" si="112"/>
        <v>45932</v>
      </c>
      <c r="Y289" s="383">
        <f t="shared" si="113"/>
        <v>37.394895301181222</v>
      </c>
      <c r="Z289" s="383">
        <f t="shared" si="114"/>
        <v>39.193366548936062</v>
      </c>
      <c r="AA289" s="384">
        <f t="shared" si="115"/>
        <v>42.224302421594103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7.1781786763349217E-2</v>
      </c>
      <c r="AD289" s="230">
        <f>(INDEX(Models!$BJ289:$BT289,,AH289)*(1-AF289)+INDEX(Models!$BJ289:$BT289,,AH289+1)*AF289-ERP_i)*AE289*Ramure*Pc/MaxiM</f>
        <v>3.3111532861600278E-3</v>
      </c>
      <c r="AE289" s="304">
        <f t="shared" si="117"/>
        <v>0.6</v>
      </c>
      <c r="AF289" s="177">
        <f t="shared" si="118"/>
        <v>0.99469534420431449</v>
      </c>
      <c r="AG289" s="799">
        <f t="shared" si="124"/>
        <v>1</v>
      </c>
      <c r="AH289" s="176">
        <f t="shared" si="119"/>
        <v>7</v>
      </c>
      <c r="AI289" s="224">
        <f t="shared" si="120"/>
        <v>1.9946953442043145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'2024'!Wh/'2024'!Env_an*'2025'!Env_an</f>
        <v>37.955623619193204</v>
      </c>
      <c r="C290" s="829"/>
      <c r="D290" s="391">
        <f t="shared" si="102"/>
        <v>39.781824961565292</v>
      </c>
      <c r="E290" s="383">
        <f t="shared" si="100"/>
        <v>40.761875181185182</v>
      </c>
      <c r="F290" s="383">
        <f t="shared" si="103"/>
        <v>40.885788715883223</v>
      </c>
      <c r="G290" s="110">
        <f t="shared" si="101"/>
        <v>0.91476768665691455</v>
      </c>
      <c r="H290" s="412" t="b">
        <f>Wh_hp&gt;='2024'!Maxi_hp</f>
        <v>0</v>
      </c>
      <c r="I290" s="388">
        <f>IF(H290,Wh_hp,'2024'!Maxi_hp)</f>
        <v>40.896316490611177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4.5905418973022138E-2</v>
      </c>
      <c r="M290" s="832"/>
      <c r="N290" s="832"/>
      <c r="O290" s="48">
        <f>IF(t&lt;Tnet,'2024'!Resal+('2024'!Salim-'2024'!Resal)*(1-EXP(('2024'!Tnet-t)/('2024'!Tau_j))),Resal+(Salim-Resal)*(1-EXP((Tnet-t)/(Tau_j))))*Salcycl</f>
        <v>2.404330554626358E-2</v>
      </c>
      <c r="P290" s="169">
        <f>(INDEX(Models!$BJ290:$BT290,,T290)*(1-R290)+INDEX(Models!$BJ290:$BT290,,T290+1)*R290-ERP_i)*Q290*Ramure*Pc/MaxiM</f>
        <v>3.4487552978106563E-3</v>
      </c>
      <c r="Q290" s="304">
        <f t="shared" si="105"/>
        <v>0.6</v>
      </c>
      <c r="R290" s="177">
        <f t="shared" si="106"/>
        <v>0.99487822155010264</v>
      </c>
      <c r="S290" s="799">
        <f t="shared" si="107"/>
        <v>1</v>
      </c>
      <c r="T290" s="176">
        <f t="shared" si="108"/>
        <v>7</v>
      </c>
      <c r="U290" s="250">
        <f t="shared" si="109"/>
        <v>1.9948782215501026</v>
      </c>
      <c r="V290" s="382">
        <f t="shared" si="110"/>
        <v>41.474692749241434</v>
      </c>
      <c r="W290" s="400">
        <f t="shared" si="111"/>
        <v>37.955623619193204</v>
      </c>
      <c r="X290" s="157">
        <f t="shared" si="112"/>
        <v>45933</v>
      </c>
      <c r="Y290" s="383">
        <f t="shared" si="113"/>
        <v>36.098432733921925</v>
      </c>
      <c r="Z290" s="383">
        <f t="shared" si="114"/>
        <v>37.835276975439825</v>
      </c>
      <c r="AA290" s="384">
        <f t="shared" si="115"/>
        <v>40.761875181185182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7.1797437991670571E-2</v>
      </c>
      <c r="AD290" s="230">
        <f>(INDEX(Models!$BJ290:$BT290,,AH290)*(1-AF290)+INDEX(Models!$BJ290:$BT290,,AH290+1)*AF290-ERP_i)*AE290*Ramure*Pc/MaxiM</f>
        <v>3.4487552978106563E-3</v>
      </c>
      <c r="AE290" s="304">
        <f t="shared" si="117"/>
        <v>0.6</v>
      </c>
      <c r="AF290" s="177">
        <f t="shared" si="118"/>
        <v>0.99487822155010264</v>
      </c>
      <c r="AG290" s="799">
        <f t="shared" si="124"/>
        <v>1</v>
      </c>
      <c r="AH290" s="176">
        <f t="shared" si="119"/>
        <v>7</v>
      </c>
      <c r="AI290" s="224">
        <f t="shared" si="120"/>
        <v>1.9948782215501026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'2024'!Wh/'2024'!Env_an*'2025'!Env_an</f>
        <v>41.806220056337182</v>
      </c>
      <c r="C291" s="829"/>
      <c r="D291" s="391">
        <f t="shared" si="102"/>
        <v>43.818529221035519</v>
      </c>
      <c r="E291" s="383">
        <f t="shared" si="100"/>
        <v>44.901846373194928</v>
      </c>
      <c r="F291" s="383">
        <f t="shared" si="103"/>
        <v>45.063870180118194</v>
      </c>
      <c r="G291" s="110">
        <f t="shared" si="101"/>
        <v>1.0162124309112455</v>
      </c>
      <c r="H291" s="412" t="b">
        <f>Wh_hp&gt;='2024'!Maxi_hp</f>
        <v>1</v>
      </c>
      <c r="I291" s="388">
        <f>IF(H291,Wh_hp,'2024'!Maxi_hp)</f>
        <v>45.063870180118194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4.5923703978003605E-2</v>
      </c>
      <c r="M291" s="832"/>
      <c r="N291" s="832"/>
      <c r="O291" s="48">
        <f>IF(t&lt;Tnet,'2024'!Resal+('2024'!Salim-'2024'!Resal)*(1-EXP(('2024'!Tnet-t)/('2024'!Tau_j))),Resal+(Salim-Resal)*(1-EXP((Tnet-t)/(Tau_j))))*Salcycl</f>
        <v>2.4126338662236371E-2</v>
      </c>
      <c r="P291" s="169">
        <f>(INDEX(Models!$BJ291:$BT291,,T291)*(1-R291)+INDEX(Models!$BJ291:$BT291,,T291+1)*R291-ERP_i)*Q291*Ramure*Pc/MaxiM</f>
        <v>3.5954259204915772E-3</v>
      </c>
      <c r="Q291" s="304">
        <f t="shared" si="105"/>
        <v>0.6</v>
      </c>
      <c r="R291" s="177">
        <f t="shared" si="106"/>
        <v>0.99505386251643291</v>
      </c>
      <c r="S291" s="799">
        <f t="shared" si="107"/>
        <v>1</v>
      </c>
      <c r="T291" s="176">
        <f t="shared" si="108"/>
        <v>7</v>
      </c>
      <c r="U291" s="250">
        <f t="shared" si="109"/>
        <v>1.9950538625164329</v>
      </c>
      <c r="V291" s="382">
        <f t="shared" si="110"/>
        <v>41.139252763173957</v>
      </c>
      <c r="W291" s="400">
        <f t="shared" si="111"/>
        <v>41.806220056337182</v>
      </c>
      <c r="X291" s="157">
        <f t="shared" si="112"/>
        <v>45934</v>
      </c>
      <c r="Y291" s="383">
        <f t="shared" si="113"/>
        <v>39.763375385471448</v>
      </c>
      <c r="Z291" s="383">
        <f t="shared" si="114"/>
        <v>41.677353846085595</v>
      </c>
      <c r="AA291" s="384">
        <f t="shared" si="115"/>
        <v>44.901846373194928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7.181202528531791E-2</v>
      </c>
      <c r="AD291" s="230">
        <f>(INDEX(Models!$BJ291:$BT291,,AH291)*(1-AF291)+INDEX(Models!$BJ291:$BT291,,AH291+1)*AF291-ERP_i)*AE291*Ramure*Pc/MaxiM</f>
        <v>3.5954259204915772E-3</v>
      </c>
      <c r="AE291" s="304">
        <f t="shared" si="117"/>
        <v>0.6</v>
      </c>
      <c r="AF291" s="177">
        <f t="shared" si="118"/>
        <v>0.99505386251643291</v>
      </c>
      <c r="AG291" s="799">
        <f t="shared" si="124"/>
        <v>1</v>
      </c>
      <c r="AH291" s="176">
        <f t="shared" si="119"/>
        <v>7</v>
      </c>
      <c r="AI291" s="224">
        <f t="shared" si="120"/>
        <v>1.9950538625164329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'2024'!Wh/'2024'!Env_an*'2025'!Env_an</f>
        <v>42.61818064604595</v>
      </c>
      <c r="C292" s="829"/>
      <c r="D292" s="391">
        <f t="shared" si="102"/>
        <v>44.670428986767469</v>
      </c>
      <c r="E292" s="383">
        <f t="shared" si="100"/>
        <v>45.778678855349298</v>
      </c>
      <c r="F292" s="383">
        <f t="shared" si="103"/>
        <v>45.951050325579985</v>
      </c>
      <c r="G292" s="110">
        <f t="shared" si="101"/>
        <v>1.0445694605831346</v>
      </c>
      <c r="H292" s="412" t="b">
        <f>Wh_hp&gt;='2024'!Maxi_hp</f>
        <v>1</v>
      </c>
      <c r="I292" s="388">
        <f>IF(H292,Wh_hp,'2024'!Maxi_hp)</f>
        <v>45.951050325579985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4.5941988632557051E-2</v>
      </c>
      <c r="M292" s="832"/>
      <c r="N292" s="832"/>
      <c r="O292" s="48">
        <f>IF(t&lt;Tnet,'2024'!Resal+('2024'!Salim-'2024'!Resal)*(1-EXP(('2024'!Tnet-t)/('2024'!Tau_j))),Resal+(Salim-Resal)*(1-EXP((Tnet-t)/(Tau_j))))*Salcycl</f>
        <v>2.4208865268560063E-2</v>
      </c>
      <c r="P292" s="169">
        <f>(INDEX(Models!$BJ292:$BT292,,T292)*(1-R292)+INDEX(Models!$BJ292:$BT292,,T292+1)*R292-ERP_i)*Q292*Ramure*Pc/MaxiM</f>
        <v>3.7511976115752158E-3</v>
      </c>
      <c r="Q292" s="304">
        <f t="shared" si="105"/>
        <v>0.6</v>
      </c>
      <c r="R292" s="177">
        <f t="shared" si="106"/>
        <v>0.9952225485804147</v>
      </c>
      <c r="S292" s="799">
        <f t="shared" si="107"/>
        <v>1</v>
      </c>
      <c r="T292" s="176">
        <f t="shared" si="108"/>
        <v>7</v>
      </c>
      <c r="U292" s="250">
        <f t="shared" si="109"/>
        <v>1.9952225485804147</v>
      </c>
      <c r="V292" s="382">
        <f t="shared" si="110"/>
        <v>40.799757463954769</v>
      </c>
      <c r="W292" s="400">
        <f t="shared" si="111"/>
        <v>42.61818064604595</v>
      </c>
      <c r="X292" s="157">
        <f t="shared" si="112"/>
        <v>45935</v>
      </c>
      <c r="Y292" s="383">
        <f t="shared" si="113"/>
        <v>40.53849801356877</v>
      </c>
      <c r="Z292" s="383">
        <f t="shared" si="114"/>
        <v>42.490600708300008</v>
      </c>
      <c r="AA292" s="384">
        <f t="shared" si="115"/>
        <v>45.778678855349298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7.1825536019484132E-2</v>
      </c>
      <c r="AD292" s="230">
        <f>(INDEX(Models!$BJ292:$BT292,,AH292)*(1-AF292)+INDEX(Models!$BJ292:$BT292,,AH292+1)*AF292-ERP_i)*AE292*Ramure*Pc/MaxiM</f>
        <v>3.7511976115752158E-3</v>
      </c>
      <c r="AE292" s="304">
        <f t="shared" si="117"/>
        <v>0.6</v>
      </c>
      <c r="AF292" s="177">
        <f t="shared" si="118"/>
        <v>0.9952225485804147</v>
      </c>
      <c r="AG292" s="799">
        <f t="shared" si="124"/>
        <v>1</v>
      </c>
      <c r="AH292" s="176">
        <f t="shared" si="119"/>
        <v>7</v>
      </c>
      <c r="AI292" s="224">
        <f t="shared" si="120"/>
        <v>1.9952225485804147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'2024'!Wh/'2024'!Env_an*'2025'!Env_an</f>
        <v>11.77158800435334</v>
      </c>
      <c r="C293" s="829"/>
      <c r="D293" s="391">
        <f t="shared" si="102"/>
        <v>12.338676965358877</v>
      </c>
      <c r="E293" s="383">
        <f t="shared" si="100"/>
        <v>12.645855919127309</v>
      </c>
      <c r="F293" s="383">
        <f t="shared" si="103"/>
        <v>12.645855919127309</v>
      </c>
      <c r="G293" s="110">
        <f t="shared" si="101"/>
        <v>0.28982720143568491</v>
      </c>
      <c r="H293" s="412" t="b">
        <f>Wh_hp&gt;='2024'!Maxi_hp</f>
        <v>0</v>
      </c>
      <c r="I293" s="388">
        <f>IF(H293,Wh_hp,'2024'!Maxi_hp)</f>
        <v>29.938480404074163</v>
      </c>
      <c r="J293" s="85">
        <f>IF(H293,An,'2024'!An_max)</f>
        <v>2020</v>
      </c>
      <c r="K293" s="197">
        <f t="shared" si="104"/>
        <v>45936</v>
      </c>
      <c r="L293" s="147">
        <f>IF(t&lt;Tvie,1-EXP((T0-t)*PertePVj)+'2024'!Pspv,1-EXP((T0-t)*PertePVj)+Pspv)</f>
        <v>4.5960272936689361E-2</v>
      </c>
      <c r="M293" s="832"/>
      <c r="N293" s="832"/>
      <c r="O293" s="48">
        <f>IF(t&lt;Tnet,'2024'!Resal+('2024'!Salim-'2024'!Resal)*(1-EXP(('2024'!Tnet-t)/('2024'!Tau_j))),Resal+(Salim-Resal)*(1-EXP((Tnet-t)/(Tau_j))))*Salcycl</f>
        <v>2.4290878824881471E-2</v>
      </c>
      <c r="P293" s="169">
        <f>(INDEX(Models!$BJ293:$BT293,,T293)*(1-R293)+INDEX(Models!$BJ293:$BT293,,T293+1)*R293-ERP_i)*Q293*Ramure*Pc/MaxiM</f>
        <v>3.9160918549546401E-3</v>
      </c>
      <c r="Q293" s="304">
        <f t="shared" si="105"/>
        <v>0.6</v>
      </c>
      <c r="R293" s="177">
        <f t="shared" si="106"/>
        <v>0.99538455065145381</v>
      </c>
      <c r="S293" s="799">
        <f t="shared" si="107"/>
        <v>1</v>
      </c>
      <c r="T293" s="176">
        <f t="shared" si="108"/>
        <v>7</v>
      </c>
      <c r="U293" s="250">
        <f t="shared" si="109"/>
        <v>1.9953845506514538</v>
      </c>
      <c r="V293" s="382">
        <f t="shared" si="110"/>
        <v>40.45682850459292</v>
      </c>
      <c r="W293" s="400">
        <f t="shared" si="111"/>
        <v>11.77158800435334</v>
      </c>
      <c r="X293" s="157">
        <f t="shared" si="112"/>
        <v>45936</v>
      </c>
      <c r="Y293" s="383">
        <f t="shared" si="113"/>
        <v>11.197949163650115</v>
      </c>
      <c r="Z293" s="383">
        <f t="shared" si="114"/>
        <v>11.737403428806076</v>
      </c>
      <c r="AA293" s="384">
        <f t="shared" si="115"/>
        <v>12.645855919127309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7.1837959892233627E-2</v>
      </c>
      <c r="AD293" s="230">
        <f>(INDEX(Models!$BJ293:$BT293,,AH293)*(1-AF293)+INDEX(Models!$BJ293:$BT293,,AH293+1)*AF293-ERP_i)*AE293*Ramure*Pc/MaxiM</f>
        <v>3.9160918549546401E-3</v>
      </c>
      <c r="AE293" s="304">
        <f t="shared" si="117"/>
        <v>0.6</v>
      </c>
      <c r="AF293" s="177">
        <f t="shared" si="118"/>
        <v>0.99538455065145381</v>
      </c>
      <c r="AG293" s="799">
        <f t="shared" si="124"/>
        <v>1</v>
      </c>
      <c r="AH293" s="176">
        <f t="shared" si="119"/>
        <v>7</v>
      </c>
      <c r="AI293" s="224">
        <f t="shared" si="120"/>
        <v>1.9953845506514538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'2024'!Wh/'2024'!Env_an*'2025'!Env_an</f>
        <v>29.565435728614965</v>
      </c>
      <c r="C294" s="829"/>
      <c r="D294" s="391">
        <f t="shared" si="102"/>
        <v>30.990326205087872</v>
      </c>
      <c r="E294" s="383">
        <f t="shared" si="100"/>
        <v>31.764502528345588</v>
      </c>
      <c r="F294" s="383">
        <f t="shared" si="103"/>
        <v>31.845834277926091</v>
      </c>
      <c r="G294" s="110">
        <f t="shared" si="101"/>
        <v>0.73595364583189027</v>
      </c>
      <c r="H294" s="412" t="b">
        <f>Wh_hp&gt;='2024'!Maxi_hp</f>
        <v>0</v>
      </c>
      <c r="I294" s="388">
        <f>IF(H294,Wh_hp,'2024'!Maxi_hp)</f>
        <v>43.826307821277801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4.5978556890407085E-2</v>
      </c>
      <c r="M294" s="832"/>
      <c r="N294" s="832"/>
      <c r="O294" s="48">
        <f>IF(t&lt;Tnet,'2024'!Resal+('2024'!Salim-'2024'!Resal)*(1-EXP(('2024'!Tnet-t)/('2024'!Tau_j))),Resal+(Salim-Resal)*(1-EXP((Tnet-t)/(Tau_j))))*Salcycl</f>
        <v>2.4372373613182417E-2</v>
      </c>
      <c r="P294" s="169">
        <f>(INDEX(Models!$BJ294:$BT294,,T294)*(1-R294)+INDEX(Models!$BJ294:$BT294,,T294+1)*R294-ERP_i)*Q294*Ramure*Pc/MaxiM</f>
        <v>4.0901175317661909E-3</v>
      </c>
      <c r="Q294" s="304">
        <f t="shared" si="105"/>
        <v>0.6</v>
      </c>
      <c r="R294" s="177">
        <f t="shared" si="106"/>
        <v>0.99554012943797665</v>
      </c>
      <c r="S294" s="799">
        <f t="shared" si="107"/>
        <v>1</v>
      </c>
      <c r="T294" s="176">
        <f t="shared" si="108"/>
        <v>7</v>
      </c>
      <c r="U294" s="250">
        <f t="shared" si="109"/>
        <v>1.9955401294379767</v>
      </c>
      <c r="V294" s="382">
        <f t="shared" si="110"/>
        <v>40.111087550828323</v>
      </c>
      <c r="W294" s="400">
        <f t="shared" si="111"/>
        <v>29.565435728614965</v>
      </c>
      <c r="X294" s="157">
        <f t="shared" si="112"/>
        <v>45937</v>
      </c>
      <c r="Y294" s="383">
        <f t="shared" si="113"/>
        <v>28.126694495855688</v>
      </c>
      <c r="Z294" s="383">
        <f t="shared" si="114"/>
        <v>29.482245602549462</v>
      </c>
      <c r="AA294" s="384">
        <f t="shared" si="115"/>
        <v>31.764502528345588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7.1849289116349774E-2</v>
      </c>
      <c r="AD294" s="230">
        <f>(INDEX(Models!$BJ294:$BT294,,AH294)*(1-AF294)+INDEX(Models!$BJ294:$BT294,,AH294+1)*AF294-ERP_i)*AE294*Ramure*Pc/MaxiM</f>
        <v>4.0901175317661909E-3</v>
      </c>
      <c r="AE294" s="304">
        <f t="shared" si="117"/>
        <v>0.6</v>
      </c>
      <c r="AF294" s="177">
        <f t="shared" si="118"/>
        <v>0.99554012943797665</v>
      </c>
      <c r="AG294" s="799">
        <f t="shared" si="124"/>
        <v>1</v>
      </c>
      <c r="AH294" s="176">
        <f t="shared" si="119"/>
        <v>7</v>
      </c>
      <c r="AI294" s="224">
        <f t="shared" si="120"/>
        <v>1.9955401294379767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'2024'!Wh/'2024'!Env_an*'2025'!Env_an</f>
        <v>17.06072530614215</v>
      </c>
      <c r="C295" s="829"/>
      <c r="D295" s="391">
        <f t="shared" si="102"/>
        <v>17.883300632852663</v>
      </c>
      <c r="E295" s="383">
        <f t="shared" si="100"/>
        <v>18.331568805851134</v>
      </c>
      <c r="F295" s="383">
        <f t="shared" si="103"/>
        <v>18.346022910596783</v>
      </c>
      <c r="G295" s="110">
        <f t="shared" si="101"/>
        <v>0.42756200493594998</v>
      </c>
      <c r="H295" s="412" t="b">
        <f>Wh_hp&gt;='2024'!Maxi_hp</f>
        <v>0</v>
      </c>
      <c r="I295" s="388">
        <f>IF(H295,Wh_hp,'2024'!Maxi_hp)</f>
        <v>40.63677888339361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4.5996840493716995E-2</v>
      </c>
      <c r="M295" s="832"/>
      <c r="N295" s="832"/>
      <c r="O295" s="48">
        <f>IF(t&lt;Tnet,'2024'!Resal+('2024'!Salim-'2024'!Resal)*(1-EXP(('2024'!Tnet-t)/('2024'!Tau_j))),Resal+(Salim-Resal)*(1-EXP((Tnet-t)/(Tau_j))))*Salcycl</f>
        <v>2.4453344814405205E-2</v>
      </c>
      <c r="P295" s="169">
        <f>(INDEX(Models!$BJ295:$BT295,,T295)*(1-R295)+INDEX(Models!$BJ295:$BT295,,T295+1)*R295-ERP_i)*Q295*Ramure*Pc/MaxiM</f>
        <v>4.2732692675332444E-3</v>
      </c>
      <c r="Q295" s="304">
        <f t="shared" si="105"/>
        <v>0.6</v>
      </c>
      <c r="R295" s="177">
        <f t="shared" si="106"/>
        <v>0.99568953580383779</v>
      </c>
      <c r="S295" s="799">
        <f t="shared" si="107"/>
        <v>1</v>
      </c>
      <c r="T295" s="176">
        <f t="shared" si="108"/>
        <v>7</v>
      </c>
      <c r="U295" s="250">
        <f t="shared" si="109"/>
        <v>1.9956895358038378</v>
      </c>
      <c r="V295" s="382">
        <f t="shared" si="110"/>
        <v>39.763156268467299</v>
      </c>
      <c r="W295" s="400">
        <f t="shared" si="111"/>
        <v>17.06072530614215</v>
      </c>
      <c r="X295" s="157">
        <f t="shared" si="112"/>
        <v>45938</v>
      </c>
      <c r="Y295" s="383">
        <f t="shared" si="113"/>
        <v>16.231668382475068</v>
      </c>
      <c r="Z295" s="383">
        <f t="shared" si="114"/>
        <v>17.014271096204023</v>
      </c>
      <c r="AA295" s="384">
        <f t="shared" si="115"/>
        <v>18.331568805851134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7.1859518604138792E-2</v>
      </c>
      <c r="AD295" s="230">
        <f>(INDEX(Models!$BJ295:$BT295,,AH295)*(1-AF295)+INDEX(Models!$BJ295:$BT295,,AH295+1)*AF295-ERP_i)*AE295*Ramure*Pc/MaxiM</f>
        <v>4.2732692675332444E-3</v>
      </c>
      <c r="AE295" s="304">
        <f t="shared" si="117"/>
        <v>0.6</v>
      </c>
      <c r="AF295" s="177">
        <f t="shared" si="118"/>
        <v>0.99568953580383779</v>
      </c>
      <c r="AG295" s="799">
        <f t="shared" si="124"/>
        <v>1</v>
      </c>
      <c r="AH295" s="176">
        <f t="shared" si="119"/>
        <v>7</v>
      </c>
      <c r="AI295" s="224">
        <f t="shared" si="120"/>
        <v>1.9956895358038378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'2024'!Wh/'2024'!Env_an*'2025'!Env_an</f>
        <v>38.949218955294299</v>
      </c>
      <c r="C296" s="829"/>
      <c r="D296" s="391">
        <f t="shared" si="102"/>
        <v>40.827920782414544</v>
      </c>
      <c r="E296" s="383">
        <f t="shared" si="100"/>
        <v>41.854777033345677</v>
      </c>
      <c r="F296" s="383">
        <f t="shared" si="103"/>
        <v>42.039275392666632</v>
      </c>
      <c r="G296" s="110">
        <f t="shared" si="101"/>
        <v>0.98814009289847915</v>
      </c>
      <c r="H296" s="412" t="b">
        <f>Wh_hp&gt;='2024'!Maxi_hp</f>
        <v>0</v>
      </c>
      <c r="I296" s="388">
        <f>IF(H296,Wh_hp,'2024'!Maxi_hp)</f>
        <v>42.04123090982015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4.6015123746625863E-2</v>
      </c>
      <c r="M296" s="832"/>
      <c r="N296" s="832"/>
      <c r="O296" s="48">
        <f>IF(t&lt;Tnet,'2024'!Resal+('2024'!Salim-'2024'!Resal)*(1-EXP(('2024'!Tnet-t)/('2024'!Tau_j))),Resal+(Salim-Resal)*(1-EXP((Tnet-t)/(Tau_j))))*Salcycl</f>
        <v>2.4533788583153509E-2</v>
      </c>
      <c r="P296" s="169">
        <f>(INDEX(Models!$BJ296:$BT296,,T296)*(1-R296)+INDEX(Models!$BJ296:$BT296,,T296+1)*R296-ERP_i)*Q296*Ramure*Pc/MaxiM</f>
        <v>4.4638684655094341E-3</v>
      </c>
      <c r="Q296" s="304">
        <f t="shared" si="105"/>
        <v>0.6</v>
      </c>
      <c r="R296" s="177">
        <f t="shared" si="106"/>
        <v>0.9958330111145004</v>
      </c>
      <c r="S296" s="799">
        <f t="shared" si="107"/>
        <v>1</v>
      </c>
      <c r="T296" s="176">
        <f t="shared" si="108"/>
        <v>7</v>
      </c>
      <c r="U296" s="250">
        <f t="shared" si="109"/>
        <v>1.9958330111145004</v>
      </c>
      <c r="V296" s="382">
        <f t="shared" si="110"/>
        <v>39.413721927497406</v>
      </c>
      <c r="W296" s="400">
        <f t="shared" si="111"/>
        <v>38.949218955294299</v>
      </c>
      <c r="X296" s="157">
        <f t="shared" si="112"/>
        <v>45939</v>
      </c>
      <c r="Y296" s="383">
        <f t="shared" si="113"/>
        <v>37.059193745038513</v>
      </c>
      <c r="Z296" s="383">
        <f t="shared" si="114"/>
        <v>38.8467308733265</v>
      </c>
      <c r="AA296" s="384">
        <f t="shared" si="115"/>
        <v>41.854777033345677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7.1868646143370199E-2</v>
      </c>
      <c r="AD296" s="230">
        <f>(INDEX(Models!$BJ296:$BT296,,AH296)*(1-AF296)+INDEX(Models!$BJ296:$BT296,,AH296+1)*AF296-ERP_i)*AE296*Ramure*Pc/MaxiM</f>
        <v>4.4638684655094341E-3</v>
      </c>
      <c r="AE296" s="304">
        <f t="shared" si="117"/>
        <v>0.6</v>
      </c>
      <c r="AF296" s="177">
        <f t="shared" si="118"/>
        <v>0.9958330111145004</v>
      </c>
      <c r="AG296" s="799">
        <f t="shared" si="124"/>
        <v>1</v>
      </c>
      <c r="AH296" s="176">
        <f t="shared" si="119"/>
        <v>7</v>
      </c>
      <c r="AI296" s="224">
        <f t="shared" si="120"/>
        <v>1.9958330111145004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'2024'!Wh/'2024'!Env_an*'2025'!Env_an</f>
        <v>31.265211371397839</v>
      </c>
      <c r="C297" s="829"/>
      <c r="D297" s="391">
        <f t="shared" si="102"/>
        <v>32.773905909615848</v>
      </c>
      <c r="E297" s="383">
        <f t="shared" ref="E297:E360" si="125">Wh_pvt/(1-Psa)</f>
        <v>33.60094967587959</v>
      </c>
      <c r="F297" s="383">
        <f t="shared" si="103"/>
        <v>33.713169824447775</v>
      </c>
      <c r="G297" s="110">
        <f t="shared" ref="G297:G360" si="126">+Wh_hp/MaxiM</f>
        <v>0.79930025940030236</v>
      </c>
      <c r="H297" s="412" t="b">
        <f>Wh_hp&gt;='2024'!Maxi_hp</f>
        <v>0</v>
      </c>
      <c r="I297" s="388">
        <f>IF(H297,Wh_hp,'2024'!Maxi_hp)</f>
        <v>33.740851067404463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4.6033406649140352E-2</v>
      </c>
      <c r="M297" s="832"/>
      <c r="N297" s="832"/>
      <c r="O297" s="48">
        <f>IF(t&lt;Tnet,'2024'!Resal+('2024'!Salim-'2024'!Resal)*(1-EXP(('2024'!Tnet-t)/('2024'!Tau_j))),Resal+(Salim-Resal)*(1-EXP((Tnet-t)/(Tau_j))))*Salcycl</f>
        <v>2.4613702119777744E-2</v>
      </c>
      <c r="P297" s="169">
        <f>(INDEX(Models!$BJ297:$BT297,,T297)*(1-R297)+INDEX(Models!$BJ297:$BT297,,T297+1)*R297-ERP_i)*Q297*Ramure*Pc/MaxiM</f>
        <v>4.6567278508516897E-3</v>
      </c>
      <c r="Q297" s="304">
        <f t="shared" si="105"/>
        <v>0.6</v>
      </c>
      <c r="R297" s="177">
        <f t="shared" si="106"/>
        <v>0.99597078757309143</v>
      </c>
      <c r="S297" s="799">
        <f t="shared" si="107"/>
        <v>1</v>
      </c>
      <c r="T297" s="176">
        <f t="shared" si="108"/>
        <v>7</v>
      </c>
      <c r="U297" s="250">
        <f t="shared" si="109"/>
        <v>1.9959707875730914</v>
      </c>
      <c r="V297" s="382">
        <f t="shared" si="110"/>
        <v>39.063606501259244</v>
      </c>
      <c r="W297" s="400">
        <f t="shared" si="111"/>
        <v>31.265211371397839</v>
      </c>
      <c r="X297" s="157">
        <f t="shared" si="112"/>
        <v>45940</v>
      </c>
      <c r="Y297" s="383">
        <f t="shared" si="113"/>
        <v>29.750235444275425</v>
      </c>
      <c r="Z297" s="383">
        <f t="shared" si="114"/>
        <v>31.185825218235475</v>
      </c>
      <c r="AA297" s="384">
        <f t="shared" si="115"/>
        <v>33.60094967587959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7.1876672562555879E-2</v>
      </c>
      <c r="AD297" s="230">
        <f>(INDEX(Models!$BJ297:$BT297,,AH297)*(1-AF297)+INDEX(Models!$BJ297:$BT297,,AH297+1)*AF297-ERP_i)*AE297*Ramure*Pc/MaxiM</f>
        <v>4.6567278508516897E-3</v>
      </c>
      <c r="AE297" s="304">
        <f t="shared" si="117"/>
        <v>0.6</v>
      </c>
      <c r="AF297" s="177">
        <f t="shared" si="118"/>
        <v>0.99597078757309143</v>
      </c>
      <c r="AG297" s="799">
        <f t="shared" si="124"/>
        <v>1</v>
      </c>
      <c r="AH297" s="176">
        <f t="shared" si="119"/>
        <v>7</v>
      </c>
      <c r="AI297" s="224">
        <f t="shared" si="120"/>
        <v>1.9959707875730914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'2024'!Wh/'2024'!Env_an*'2025'!Env_an</f>
        <v>22.73804472523868</v>
      </c>
      <c r="C298" s="829"/>
      <c r="D298" s="391">
        <f t="shared" si="102"/>
        <v>23.835719889477353</v>
      </c>
      <c r="E298" s="383">
        <f t="shared" si="125"/>
        <v>24.439199078849221</v>
      </c>
      <c r="F298" s="383">
        <f t="shared" si="103"/>
        <v>24.487968849688929</v>
      </c>
      <c r="G298" s="110">
        <f t="shared" si="126"/>
        <v>0.58565935880163955</v>
      </c>
      <c r="H298" s="412" t="b">
        <f>Wh_hp&gt;='2024'!Maxi_hp</f>
        <v>0</v>
      </c>
      <c r="I298" s="388">
        <f>IF(H298,Wh_hp,'2024'!Maxi_hp)</f>
        <v>42.372842429013986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4.6051689201267121E-2</v>
      </c>
      <c r="M298" s="832"/>
      <c r="N298" s="832"/>
      <c r="O298" s="48">
        <f>IF(t&lt;Tnet,'2024'!Resal+('2024'!Salim-'2024'!Resal)*(1-EXP(('2024'!Tnet-t)/('2024'!Tau_j))),Resal+(Salim-Resal)*(1-EXP((Tnet-t)/(Tau_j))))*Salcycl</f>
        <v>2.4693083739153587E-2</v>
      </c>
      <c r="P298" s="169">
        <f>(INDEX(Models!$BJ298:$BT298,,T298)*(1-R298)+INDEX(Models!$BJ298:$BT298,,T298+1)*R298-ERP_i)*Q298*Ramure*Pc/MaxiM</f>
        <v>4.8517228283306473E-3</v>
      </c>
      <c r="Q298" s="304">
        <f t="shared" si="105"/>
        <v>0.6</v>
      </c>
      <c r="R298" s="177">
        <f t="shared" si="106"/>
        <v>0.9961030885464579</v>
      </c>
      <c r="S298" s="799">
        <f t="shared" si="107"/>
        <v>1</v>
      </c>
      <c r="T298" s="176">
        <f t="shared" si="108"/>
        <v>7</v>
      </c>
      <c r="U298" s="250">
        <f t="shared" si="109"/>
        <v>1.9961030885464579</v>
      </c>
      <c r="V298" s="382">
        <f t="shared" si="110"/>
        <v>38.713427131686743</v>
      </c>
      <c r="W298" s="400">
        <f t="shared" si="111"/>
        <v>22.73804472523868</v>
      </c>
      <c r="X298" s="157">
        <f t="shared" si="112"/>
        <v>45941</v>
      </c>
      <c r="Y298" s="383">
        <f t="shared" si="113"/>
        <v>21.637857600252222</v>
      </c>
      <c r="Z298" s="383">
        <f t="shared" si="114"/>
        <v>22.682421421906</v>
      </c>
      <c r="AA298" s="384">
        <f t="shared" si="115"/>
        <v>24.439199078849221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7.1883601883811973E-2</v>
      </c>
      <c r="AD298" s="230">
        <f>(INDEX(Models!$BJ298:$BT298,,AH298)*(1-AF298)+INDEX(Models!$BJ298:$BT298,,AH298+1)*AF298-ERP_i)*AE298*Ramure*Pc/MaxiM</f>
        <v>4.8517228283306473E-3</v>
      </c>
      <c r="AE298" s="304">
        <f t="shared" si="117"/>
        <v>0.6</v>
      </c>
      <c r="AF298" s="177">
        <f t="shared" si="118"/>
        <v>0.9961030885464579</v>
      </c>
      <c r="AG298" s="799">
        <f t="shared" si="124"/>
        <v>1</v>
      </c>
      <c r="AH298" s="176">
        <f t="shared" si="119"/>
        <v>7</v>
      </c>
      <c r="AI298" s="224">
        <f t="shared" si="120"/>
        <v>1.9961030885464579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'2024'!Wh/'2024'!Env_an*'2025'!Env_an</f>
        <v>28.218466301843289</v>
      </c>
      <c r="C299" s="829"/>
      <c r="D299" s="391">
        <f t="shared" si="102"/>
        <v>29.581274785265126</v>
      </c>
      <c r="E299" s="383">
        <f t="shared" si="125"/>
        <v>30.332673745030462</v>
      </c>
      <c r="F299" s="383">
        <f t="shared" si="103"/>
        <v>30.428260364969042</v>
      </c>
      <c r="G299" s="110">
        <f t="shared" si="126"/>
        <v>0.73414192857291249</v>
      </c>
      <c r="H299" s="412" t="b">
        <f>Wh_hp&gt;='2024'!Maxi_hp</f>
        <v>0</v>
      </c>
      <c r="I299" s="388">
        <f>IF(H299,Wh_hp,'2024'!Maxi_hp)</f>
        <v>40.061070375868503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4.6069971403013055E-2</v>
      </c>
      <c r="M299" s="832"/>
      <c r="N299" s="832"/>
      <c r="O299" s="48">
        <f>IF(t&lt;Tnet,'2024'!Resal+('2024'!Salim-'2024'!Resal)*(1-EXP(('2024'!Tnet-t)/('2024'!Tau_j))),Resal+(Salim-Resal)*(1-EXP((Tnet-t)/(Tau_j))))*Salcycl</f>
        <v>2.4771932935468286E-2</v>
      </c>
      <c r="P299" s="169">
        <f>(INDEX(Models!$BJ299:$BT299,,T299)*(1-R299)+INDEX(Models!$BJ299:$BT299,,T299+1)*R299-ERP_i)*Q299*Ramure*Pc/MaxiM</f>
        <v>5.0487133199502337E-3</v>
      </c>
      <c r="Q299" s="304">
        <f t="shared" si="105"/>
        <v>0.6</v>
      </c>
      <c r="R299" s="177">
        <f t="shared" si="106"/>
        <v>0.99623012888135931</v>
      </c>
      <c r="S299" s="799">
        <f t="shared" si="107"/>
        <v>1</v>
      </c>
      <c r="T299" s="176">
        <f t="shared" si="108"/>
        <v>7</v>
      </c>
      <c r="U299" s="250">
        <f t="shared" si="109"/>
        <v>1.9962301288813593</v>
      </c>
      <c r="V299" s="382">
        <f t="shared" si="110"/>
        <v>38.363800616195135</v>
      </c>
      <c r="W299" s="400">
        <f t="shared" si="111"/>
        <v>28.218466301843289</v>
      </c>
      <c r="X299" s="157">
        <f t="shared" si="112"/>
        <v>45942</v>
      </c>
      <c r="Y299" s="383">
        <f t="shared" si="113"/>
        <v>26.855109491806314</v>
      </c>
      <c r="Z299" s="383">
        <f t="shared" si="114"/>
        <v>28.152074771463106</v>
      </c>
      <c r="AA299" s="384">
        <f t="shared" si="115"/>
        <v>30.332673745030462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7.1889441461605794E-2</v>
      </c>
      <c r="AD299" s="230">
        <f>(INDEX(Models!$BJ299:$BT299,,AH299)*(1-AF299)+INDEX(Models!$BJ299:$BT299,,AH299+1)*AF299-ERP_i)*AE299*Ramure*Pc/MaxiM</f>
        <v>5.0487133199502337E-3</v>
      </c>
      <c r="AE299" s="304">
        <f t="shared" si="117"/>
        <v>0.6</v>
      </c>
      <c r="AF299" s="177">
        <f t="shared" si="118"/>
        <v>0.99623012888135931</v>
      </c>
      <c r="AG299" s="799">
        <f t="shared" si="124"/>
        <v>1</v>
      </c>
      <c r="AH299" s="176">
        <f t="shared" si="119"/>
        <v>7</v>
      </c>
      <c r="AI299" s="224">
        <f t="shared" si="120"/>
        <v>1.9962301288813593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'2024'!Wh/'2024'!Env_an*'2025'!Env_an</f>
        <v>23.624040972929059</v>
      </c>
      <c r="C300" s="829"/>
      <c r="D300" s="391">
        <f t="shared" si="102"/>
        <v>24.765436691104096</v>
      </c>
      <c r="E300" s="383">
        <f t="shared" si="125"/>
        <v>25.396547250653615</v>
      </c>
      <c r="F300" s="383">
        <f t="shared" si="103"/>
        <v>25.457891342278039</v>
      </c>
      <c r="G300" s="110">
        <f t="shared" si="126"/>
        <v>0.61966653317916476</v>
      </c>
      <c r="H300" s="412" t="b">
        <f>Wh_hp&gt;='2024'!Maxi_hp</f>
        <v>0</v>
      </c>
      <c r="I300" s="388">
        <f>IF(H300,Wh_hp,'2024'!Maxi_hp)</f>
        <v>39.39832701671196</v>
      </c>
      <c r="J300" s="85">
        <f>IF(H300,An,'2024'!An_max)</f>
        <v>2018</v>
      </c>
      <c r="K300" s="197">
        <f t="shared" si="104"/>
        <v>45943</v>
      </c>
      <c r="L300" s="147">
        <f>IF(t&lt;Tvie,1-EXP((T0-t)*PertePVj)+'2024'!Pspv,1-EXP((T0-t)*PertePVj)+Pspv)</f>
        <v>4.6088253254384703E-2</v>
      </c>
      <c r="M300" s="832"/>
      <c r="N300" s="832"/>
      <c r="O300" s="48">
        <f>IF(t&lt;Tnet,'2024'!Resal+('2024'!Salim-'2024'!Resal)*(1-EXP(('2024'!Tnet-t)/('2024'!Tau_j))),Resal+(Salim-Resal)*(1-EXP((Tnet-t)/(Tau_j))))*Salcycl</f>
        <v>2.4850250442342191E-2</v>
      </c>
      <c r="P300" s="169">
        <f>(INDEX(Models!$BJ300:$BT300,,T300)*(1-R300)+INDEX(Models!$BJ300:$BT300,,T300+1)*R300-ERP_i)*Q300*Ramure*Pc/MaxiM</f>
        <v>5.247543392682949E-3</v>
      </c>
      <c r="Q300" s="304">
        <f t="shared" si="105"/>
        <v>0.6</v>
      </c>
      <c r="R300" s="177">
        <f t="shared" si="106"/>
        <v>0.99635211521095357</v>
      </c>
      <c r="S300" s="799">
        <f t="shared" si="107"/>
        <v>1</v>
      </c>
      <c r="T300" s="176">
        <f t="shared" si="108"/>
        <v>7</v>
      </c>
      <c r="U300" s="250">
        <f t="shared" si="109"/>
        <v>1.9963521152109536</v>
      </c>
      <c r="V300" s="382">
        <f t="shared" si="110"/>
        <v>38.01534338837731</v>
      </c>
      <c r="W300" s="400">
        <f t="shared" si="111"/>
        <v>23.624040972929059</v>
      </c>
      <c r="X300" s="157">
        <f t="shared" si="112"/>
        <v>45943</v>
      </c>
      <c r="Y300" s="383">
        <f t="shared" si="113"/>
        <v>22.484351153873703</v>
      </c>
      <c r="Z300" s="383">
        <f t="shared" si="114"/>
        <v>23.570682749826464</v>
      </c>
      <c r="AA300" s="384">
        <f t="shared" si="115"/>
        <v>25.396547250653615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7.1894202105767011E-2</v>
      </c>
      <c r="AD300" s="230">
        <f>(INDEX(Models!$BJ300:$BT300,,AH300)*(1-AF300)+INDEX(Models!$BJ300:$BT300,,AH300+1)*AF300-ERP_i)*AE300*Ramure*Pc/MaxiM</f>
        <v>5.247543392682949E-3</v>
      </c>
      <c r="AE300" s="304">
        <f t="shared" si="117"/>
        <v>0.6</v>
      </c>
      <c r="AF300" s="177">
        <f t="shared" si="118"/>
        <v>0.99635211521095357</v>
      </c>
      <c r="AG300" s="799">
        <f t="shared" si="124"/>
        <v>1</v>
      </c>
      <c r="AH300" s="176">
        <f t="shared" si="119"/>
        <v>7</v>
      </c>
      <c r="AI300" s="224">
        <f t="shared" si="120"/>
        <v>1.9963521152109536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'2024'!Wh/'2024'!Env_an*'2025'!Env_an</f>
        <v>18.361370262775505</v>
      </c>
      <c r="C301" s="829"/>
      <c r="D301" s="391">
        <f t="shared" si="102"/>
        <v>19.248868905991529</v>
      </c>
      <c r="E301" s="383">
        <f t="shared" si="125"/>
        <v>19.740972627484567</v>
      </c>
      <c r="F301" s="383">
        <f t="shared" si="103"/>
        <v>19.769814044565923</v>
      </c>
      <c r="G301" s="110">
        <f t="shared" si="126"/>
        <v>0.48549671968797026</v>
      </c>
      <c r="H301" s="412" t="b">
        <f>Wh_hp&gt;='2024'!Maxi_hp</f>
        <v>0</v>
      </c>
      <c r="I301" s="388">
        <f>IF(H301,Wh_hp,'2024'!Maxi_hp)</f>
        <v>42.332847154201126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4.6106534755388839E-2</v>
      </c>
      <c r="M301" s="832"/>
      <c r="N301" s="832"/>
      <c r="O301" s="48">
        <f>IF(t&lt;Tnet,'2024'!Resal+('2024'!Salim-'2024'!Resal)*(1-EXP(('2024'!Tnet-t)/('2024'!Tau_j))),Resal+(Salim-Resal)*(1-EXP((Tnet-t)/(Tau_j))))*Salcycl</f>
        <v>2.4928038287632466E-2</v>
      </c>
      <c r="P301" s="169">
        <f>(INDEX(Models!$BJ301:$BT301,,T301)*(1-R301)+INDEX(Models!$BJ301:$BT301,,T301+1)*R301-ERP_i)*Q301*Ramure*Pc/MaxiM</f>
        <v>5.4480409394813264E-3</v>
      </c>
      <c r="Q301" s="304">
        <f t="shared" si="105"/>
        <v>0.6</v>
      </c>
      <c r="R301" s="177">
        <f t="shared" si="106"/>
        <v>0.99646924625173439</v>
      </c>
      <c r="S301" s="799">
        <f t="shared" si="107"/>
        <v>1</v>
      </c>
      <c r="T301" s="176">
        <f t="shared" si="108"/>
        <v>7</v>
      </c>
      <c r="U301" s="250">
        <f t="shared" si="109"/>
        <v>1.9964692462517344</v>
      </c>
      <c r="V301" s="382">
        <f t="shared" si="110"/>
        <v>37.668671494851601</v>
      </c>
      <c r="W301" s="400">
        <f t="shared" si="111"/>
        <v>18.361370262775505</v>
      </c>
      <c r="X301" s="157">
        <f t="shared" si="112"/>
        <v>45944</v>
      </c>
      <c r="Y301" s="383">
        <f t="shared" si="113"/>
        <v>17.476890939533821</v>
      </c>
      <c r="Z301" s="383">
        <f t="shared" si="114"/>
        <v>18.321638187396687</v>
      </c>
      <c r="AA301" s="384">
        <f t="shared" si="115"/>
        <v>19.740972627484567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7.1897898187235035E-2</v>
      </c>
      <c r="AD301" s="230">
        <f>(INDEX(Models!$BJ301:$BT301,,AH301)*(1-AF301)+INDEX(Models!$BJ301:$BT301,,AH301+1)*AF301-ERP_i)*AE301*Ramure*Pc/MaxiM</f>
        <v>5.4480409394813264E-3</v>
      </c>
      <c r="AE301" s="304">
        <f t="shared" si="117"/>
        <v>0.6</v>
      </c>
      <c r="AF301" s="177">
        <f t="shared" si="118"/>
        <v>0.99646924625173439</v>
      </c>
      <c r="AG301" s="799">
        <f t="shared" si="124"/>
        <v>1</v>
      </c>
      <c r="AH301" s="176">
        <f t="shared" si="119"/>
        <v>7</v>
      </c>
      <c r="AI301" s="224">
        <f t="shared" si="120"/>
        <v>1.9964692462517344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'2024'!Wh/'2024'!Env_an*'2025'!Env_an</f>
        <v>37.724649404776287</v>
      </c>
      <c r="C302" s="829"/>
      <c r="D302" s="391">
        <f t="shared" si="102"/>
        <v>39.548832000078498</v>
      </c>
      <c r="E302" s="383">
        <f t="shared" si="125"/>
        <v>40.563125105891736</v>
      </c>
      <c r="F302" s="383">
        <f t="shared" si="103"/>
        <v>40.793609711418071</v>
      </c>
      <c r="G302" s="110">
        <f t="shared" si="126"/>
        <v>1.0107235166651864</v>
      </c>
      <c r="H302" s="412" t="b">
        <f>Wh_hp&gt;='2024'!Maxi_hp</f>
        <v>1</v>
      </c>
      <c r="I302" s="388">
        <f>IF(H302,Wh_hp,'2024'!Maxi_hp)</f>
        <v>40.793609711418071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4.6124815906032124E-2</v>
      </c>
      <c r="M302" s="832"/>
      <c r="N302" s="832"/>
      <c r="O302" s="48">
        <f>IF(t&lt;Tnet,'2024'!Resal+('2024'!Salim-'2024'!Resal)*(1-EXP(('2024'!Tnet-t)/('2024'!Tau_j))),Resal+(Salim-Resal)*(1-EXP((Tnet-t)/(Tau_j))))*Salcycl</f>
        <v>2.5005299842292373E-2</v>
      </c>
      <c r="P302" s="169">
        <f>(INDEX(Models!$BJ302:$BT302,,T302)*(1-R302)+INDEX(Models!$BJ302:$BT302,,T302+1)*R302-ERP_i)*Q302*Ramure*Pc/MaxiM</f>
        <v>5.6500174207878579E-3</v>
      </c>
      <c r="Q302" s="304">
        <f t="shared" si="105"/>
        <v>0.6</v>
      </c>
      <c r="R302" s="177">
        <f t="shared" si="106"/>
        <v>0.99658171309110033</v>
      </c>
      <c r="S302" s="799">
        <f t="shared" si="107"/>
        <v>1</v>
      </c>
      <c r="T302" s="176">
        <f t="shared" si="108"/>
        <v>7</v>
      </c>
      <c r="U302" s="250">
        <f t="shared" si="109"/>
        <v>1.9965817130911003</v>
      </c>
      <c r="V302" s="382">
        <f t="shared" si="110"/>
        <v>37.324400573211356</v>
      </c>
      <c r="W302" s="400">
        <f t="shared" si="111"/>
        <v>37.724649404776287</v>
      </c>
      <c r="X302" s="157">
        <f t="shared" si="112"/>
        <v>45945</v>
      </c>
      <c r="Y302" s="383">
        <f t="shared" si="113"/>
        <v>35.910171044182341</v>
      </c>
      <c r="Z302" s="383">
        <f t="shared" si="114"/>
        <v>37.646614193335353</v>
      </c>
      <c r="AA302" s="384">
        <f t="shared" si="115"/>
        <v>40.563125105891736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7.1900547725124997E-2</v>
      </c>
      <c r="AD302" s="230">
        <f>(INDEX(Models!$BJ302:$BT302,,AH302)*(1-AF302)+INDEX(Models!$BJ302:$BT302,,AH302+1)*AF302-ERP_i)*AE302*Ramure*Pc/MaxiM</f>
        <v>5.6500174207878579E-3</v>
      </c>
      <c r="AE302" s="304">
        <f t="shared" si="117"/>
        <v>0.6</v>
      </c>
      <c r="AF302" s="177">
        <f t="shared" si="118"/>
        <v>0.99658171309110033</v>
      </c>
      <c r="AG302" s="799">
        <f t="shared" si="124"/>
        <v>1</v>
      </c>
      <c r="AH302" s="176">
        <f t="shared" si="119"/>
        <v>7</v>
      </c>
      <c r="AI302" s="224">
        <f t="shared" si="120"/>
        <v>1.9965817130911003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'2024'!Wh/'2024'!Env_an*'2025'!Env_an</f>
        <v>33.292536410730321</v>
      </c>
      <c r="C303" s="829"/>
      <c r="D303" s="391">
        <f t="shared" si="102"/>
        <v>34.903072248857058</v>
      </c>
      <c r="E303" s="383">
        <f t="shared" si="125"/>
        <v>35.801035241920552</v>
      </c>
      <c r="F303" s="383">
        <f t="shared" si="103"/>
        <v>35.981653111370555</v>
      </c>
      <c r="G303" s="110">
        <f t="shared" si="126"/>
        <v>0.89951795310268523</v>
      </c>
      <c r="H303" s="412" t="b">
        <f>Wh_hp&gt;='2024'!Maxi_hp</f>
        <v>0</v>
      </c>
      <c r="I303" s="388">
        <f>IF(H303,Wh_hp,'2024'!Maxi_hp)</f>
        <v>38.803370286376357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4.614309670632144E-2</v>
      </c>
      <c r="M303" s="832"/>
      <c r="N303" s="832"/>
      <c r="O303" s="48">
        <f>IF(t&lt;Tnet,'2024'!Resal+('2024'!Salim-'2024'!Resal)*(1-EXP(('2024'!Tnet-t)/('2024'!Tau_j))),Resal+(Salim-Resal)*(1-EXP((Tnet-t)/(Tau_j))))*Salcycl</f>
        <v>2.508203986269195E-2</v>
      </c>
      <c r="P303" s="169">
        <f>(INDEX(Models!$BJ303:$BT303,,T303)*(1-R303)+INDEX(Models!$BJ303:$BT303,,T303+1)*R303-ERP_i)*Q303*Ramure*Pc/MaxiM</f>
        <v>5.8536826084697206E-3</v>
      </c>
      <c r="Q303" s="304">
        <f t="shared" si="105"/>
        <v>0.6</v>
      </c>
      <c r="R303" s="177">
        <f t="shared" si="106"/>
        <v>0.99668969946573327</v>
      </c>
      <c r="S303" s="799">
        <f t="shared" si="107"/>
        <v>1</v>
      </c>
      <c r="T303" s="176">
        <f t="shared" si="108"/>
        <v>7</v>
      </c>
      <c r="U303" s="250">
        <f t="shared" si="109"/>
        <v>1.9966896994657333</v>
      </c>
      <c r="V303" s="382">
        <f t="shared" si="110"/>
        <v>36.980508875485448</v>
      </c>
      <c r="W303" s="400">
        <f t="shared" si="111"/>
        <v>33.292536410730321</v>
      </c>
      <c r="X303" s="157">
        <f t="shared" si="112"/>
        <v>45946</v>
      </c>
      <c r="Y303" s="383">
        <f t="shared" si="113"/>
        <v>31.693672677800663</v>
      </c>
      <c r="Z303" s="383">
        <f t="shared" si="114"/>
        <v>33.226863031930741</v>
      </c>
      <c r="AA303" s="384">
        <f t="shared" si="115"/>
        <v>35.801035241920552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7.190217245381865E-2</v>
      </c>
      <c r="AD303" s="230">
        <f>(INDEX(Models!$BJ303:$BT303,,AH303)*(1-AF303)+INDEX(Models!$BJ303:$BT303,,AH303+1)*AF303-ERP_i)*AE303*Ramure*Pc/MaxiM</f>
        <v>5.8536826084697206E-3</v>
      </c>
      <c r="AE303" s="304">
        <f t="shared" si="117"/>
        <v>0.6</v>
      </c>
      <c r="AF303" s="177">
        <f t="shared" si="118"/>
        <v>0.99668969946573327</v>
      </c>
      <c r="AG303" s="799">
        <f t="shared" si="124"/>
        <v>1</v>
      </c>
      <c r="AH303" s="176">
        <f t="shared" si="119"/>
        <v>7</v>
      </c>
      <c r="AI303" s="224">
        <f t="shared" si="120"/>
        <v>1.9966896994657333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'2024'!Wh/'2024'!Env_an*'2025'!Env_an</f>
        <v>19.762143178649875</v>
      </c>
      <c r="C304" s="829"/>
      <c r="D304" s="391">
        <f t="shared" si="102"/>
        <v>20.718539494376738</v>
      </c>
      <c r="E304" s="383">
        <f t="shared" si="125"/>
        <v>21.253233976794625</v>
      </c>
      <c r="F304" s="383">
        <f t="shared" si="103"/>
        <v>21.297357547107485</v>
      </c>
      <c r="G304" s="110">
        <f t="shared" si="126"/>
        <v>0.53727930515455546</v>
      </c>
      <c r="H304" s="412" t="b">
        <f>Wh_hp&gt;='2024'!Maxi_hp</f>
        <v>0</v>
      </c>
      <c r="I304" s="388">
        <f>IF(H304,Wh_hp,'2024'!Maxi_hp)</f>
        <v>35.6425652403491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4.6161377156263339E-2</v>
      </c>
      <c r="M304" s="832"/>
      <c r="N304" s="832"/>
      <c r="O304" s="48">
        <f>IF(t&lt;Tnet,'2024'!Resal+('2024'!Salim-'2024'!Resal)*(1-EXP(('2024'!Tnet-t)/('2024'!Tau_j))),Resal+(Salim-Resal)*(1-EXP((Tnet-t)/(Tau_j))))*Salcycl</f>
        <v>2.5158264525845467E-2</v>
      </c>
      <c r="P304" s="169">
        <f>(INDEX(Models!$BJ304:$BT304,,T304)*(1-R304)+INDEX(Models!$BJ304:$BT304,,T304+1)*R304-ERP_i)*Q304*Ramure*Pc/MaxiM</f>
        <v>6.0570059080530007E-3</v>
      </c>
      <c r="Q304" s="304">
        <f t="shared" si="105"/>
        <v>0.6</v>
      </c>
      <c r="R304" s="177">
        <f t="shared" si="106"/>
        <v>0.99679338203097823</v>
      </c>
      <c r="S304" s="799">
        <f t="shared" si="107"/>
        <v>1</v>
      </c>
      <c r="T304" s="176">
        <f t="shared" si="108"/>
        <v>7</v>
      </c>
      <c r="U304" s="250">
        <f t="shared" si="109"/>
        <v>1.9967933820309782</v>
      </c>
      <c r="V304" s="382">
        <f t="shared" si="110"/>
        <v>36.634992267406233</v>
      </c>
      <c r="W304" s="400">
        <f t="shared" si="111"/>
        <v>19.762143178649875</v>
      </c>
      <c r="X304" s="157">
        <f t="shared" si="112"/>
        <v>45947</v>
      </c>
      <c r="Y304" s="383">
        <f t="shared" si="113"/>
        <v>18.81453073333757</v>
      </c>
      <c r="Z304" s="383">
        <f t="shared" si="114"/>
        <v>19.725066990100142</v>
      </c>
      <c r="AA304" s="384">
        <f t="shared" si="115"/>
        <v>21.253233976794625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7.1902797868927351E-2</v>
      </c>
      <c r="AD304" s="230">
        <f>(INDEX(Models!$BJ304:$BT304,,AH304)*(1-AF304)+INDEX(Models!$BJ304:$BT304,,AH304+1)*AF304-ERP_i)*AE304*Ramure*Pc/MaxiM</f>
        <v>6.0570059080530007E-3</v>
      </c>
      <c r="AE304" s="304">
        <f t="shared" si="117"/>
        <v>0.6</v>
      </c>
      <c r="AF304" s="177">
        <f t="shared" si="118"/>
        <v>0.99679338203097823</v>
      </c>
      <c r="AG304" s="799">
        <f t="shared" si="124"/>
        <v>1</v>
      </c>
      <c r="AH304" s="176">
        <f t="shared" si="119"/>
        <v>7</v>
      </c>
      <c r="AI304" s="224">
        <f t="shared" si="120"/>
        <v>1.9967933820309782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'2024'!Wh/'2024'!Env_an*'2025'!Env_an</f>
        <v>34.85555962896666</v>
      </c>
      <c r="C305" s="829"/>
      <c r="D305" s="391">
        <f t="shared" si="102"/>
        <v>36.543107823311274</v>
      </c>
      <c r="E305" s="383">
        <f t="shared" si="125"/>
        <v>37.489107260770389</v>
      </c>
      <c r="F305" s="383">
        <f t="shared" si="103"/>
        <v>37.711746953425603</v>
      </c>
      <c r="G305" s="110">
        <f t="shared" si="126"/>
        <v>0.96017206920830511</v>
      </c>
      <c r="H305" s="412" t="b">
        <f>Wh_hp&gt;='2024'!Maxi_hp</f>
        <v>0</v>
      </c>
      <c r="I305" s="388">
        <f>IF(H305,Wh_hp,'2024'!Maxi_hp)</f>
        <v>38.775386152374139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4.6179657255864481E-2</v>
      </c>
      <c r="M305" s="832"/>
      <c r="N305" s="832"/>
      <c r="O305" s="48">
        <f>IF(t&lt;Tnet,'2024'!Resal+('2024'!Salim-'2024'!Resal)*(1-EXP(('2024'!Tnet-t)/('2024'!Tau_j))),Resal+(Salim-Resal)*(1-EXP((Tnet-t)/(Tau_j))))*Salcycl</f>
        <v>2.5233981457036085E-2</v>
      </c>
      <c r="P305" s="169">
        <f>(INDEX(Models!$BJ305:$BT305,,T305)*(1-R305)+INDEX(Models!$BJ305:$BT305,,T305+1)*R305-ERP_i)*Q305*Ramure*Pc/MaxiM</f>
        <v>6.2566600435917533E-3</v>
      </c>
      <c r="Q305" s="304">
        <f t="shared" si="105"/>
        <v>0.6</v>
      </c>
      <c r="R305" s="177">
        <f t="shared" si="106"/>
        <v>0.99689293062141848</v>
      </c>
      <c r="S305" s="799">
        <f t="shared" si="107"/>
        <v>1</v>
      </c>
      <c r="T305" s="176">
        <f t="shared" si="108"/>
        <v>7</v>
      </c>
      <c r="U305" s="250">
        <f t="shared" si="109"/>
        <v>1.9968929306214185</v>
      </c>
      <c r="V305" s="382">
        <f t="shared" si="110"/>
        <v>36.288479800872494</v>
      </c>
      <c r="W305" s="400">
        <f t="shared" si="111"/>
        <v>34.85555962896666</v>
      </c>
      <c r="X305" s="157">
        <f t="shared" si="112"/>
        <v>45948</v>
      </c>
      <c r="Y305" s="383">
        <f t="shared" si="113"/>
        <v>33.18679433507274</v>
      </c>
      <c r="Z305" s="383">
        <f t="shared" si="114"/>
        <v>34.793548478526397</v>
      </c>
      <c r="AA305" s="384">
        <f t="shared" si="115"/>
        <v>37.489107260770389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7.1902453251126139E-2</v>
      </c>
      <c r="AD305" s="230">
        <f>(INDEX(Models!$BJ305:$BT305,,AH305)*(1-AF305)+INDEX(Models!$BJ305:$BT305,,AH305+1)*AF305-ERP_i)*AE305*Ramure*Pc/MaxiM</f>
        <v>6.2566600435917533E-3</v>
      </c>
      <c r="AE305" s="304">
        <f t="shared" si="117"/>
        <v>0.6</v>
      </c>
      <c r="AF305" s="177">
        <f t="shared" si="118"/>
        <v>0.99689293062141848</v>
      </c>
      <c r="AG305" s="799">
        <f t="shared" si="124"/>
        <v>1</v>
      </c>
      <c r="AH305" s="176">
        <f t="shared" si="119"/>
        <v>7</v>
      </c>
      <c r="AI305" s="224">
        <f t="shared" si="120"/>
        <v>1.9968929306214185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'2024'!Wh/'2024'!Env_an*'2025'!Env_an</f>
        <v>16.199282882140686</v>
      </c>
      <c r="C306" s="829"/>
      <c r="D306" s="391">
        <f t="shared" si="102"/>
        <v>16.983904219368252</v>
      </c>
      <c r="E306" s="383">
        <f t="shared" si="125"/>
        <v>17.424914870440151</v>
      </c>
      <c r="F306" s="383">
        <f t="shared" si="103"/>
        <v>17.449156066941846</v>
      </c>
      <c r="G306" s="110">
        <f t="shared" si="126"/>
        <v>0.44842748903893614</v>
      </c>
      <c r="H306" s="412" t="b">
        <f>Wh_hp&gt;='2024'!Maxi_hp</f>
        <v>0</v>
      </c>
      <c r="I306" s="388">
        <f>IF(H306,Wh_hp,'2024'!Maxi_hp)</f>
        <v>38.555741543850147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4.6197937005131862E-2</v>
      </c>
      <c r="M306" s="832"/>
      <c r="N306" s="832"/>
      <c r="O306" s="48">
        <f>IF(t&lt;Tnet,'2024'!Resal+('2024'!Salim-'2024'!Resal)*(1-EXP(('2024'!Tnet-t)/('2024'!Tau_j))),Resal+(Salim-Resal)*(1-EXP((Tnet-t)/(Tau_j))))*Salcycl</f>
        <v>2.5309199749379178E-2</v>
      </c>
      <c r="P306" s="169">
        <f>(INDEX(Models!$BJ306:$BT306,,T306)*(1-R306)+INDEX(Models!$BJ306:$BT306,,T306+1)*R306-ERP_i)*Q306*Ramure*Pc/MaxiM</f>
        <v>6.4524955872243472E-3</v>
      </c>
      <c r="Q306" s="304">
        <f t="shared" si="105"/>
        <v>0.6</v>
      </c>
      <c r="R306" s="177">
        <f t="shared" si="106"/>
        <v>0.9969885085028487</v>
      </c>
      <c r="S306" s="799">
        <f t="shared" si="107"/>
        <v>1</v>
      </c>
      <c r="T306" s="176">
        <f t="shared" si="108"/>
        <v>7</v>
      </c>
      <c r="U306" s="250">
        <f t="shared" si="109"/>
        <v>1.9969885085028487</v>
      </c>
      <c r="V306" s="382">
        <f t="shared" si="110"/>
        <v>35.941480355487279</v>
      </c>
      <c r="W306" s="400">
        <f t="shared" si="111"/>
        <v>16.199282882140686</v>
      </c>
      <c r="X306" s="157">
        <f t="shared" si="112"/>
        <v>45949</v>
      </c>
      <c r="Y306" s="383">
        <f t="shared" si="113"/>
        <v>15.424928047831582</v>
      </c>
      <c r="Z306" s="383">
        <f t="shared" si="114"/>
        <v>16.17204307505736</v>
      </c>
      <c r="AA306" s="384">
        <f t="shared" si="115"/>
        <v>17.424914870440151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7.19011716670237E-2</v>
      </c>
      <c r="AD306" s="230">
        <f>(INDEX(Models!$BJ306:$BT306,,AH306)*(1-AF306)+INDEX(Models!$BJ306:$BT306,,AH306+1)*AF306-ERP_i)*AE306*Ramure*Pc/MaxiM</f>
        <v>6.4524955872243472E-3</v>
      </c>
      <c r="AE306" s="304">
        <f t="shared" si="117"/>
        <v>0.6</v>
      </c>
      <c r="AF306" s="177">
        <f t="shared" si="118"/>
        <v>0.9969885085028487</v>
      </c>
      <c r="AG306" s="799">
        <f t="shared" si="124"/>
        <v>1</v>
      </c>
      <c r="AH306" s="176">
        <f t="shared" si="119"/>
        <v>7</v>
      </c>
      <c r="AI306" s="224">
        <f t="shared" si="120"/>
        <v>1.9969885085028487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'2024'!Wh/'2024'!Env_an*'2025'!Env_an</f>
        <v>6.8207643336250099</v>
      </c>
      <c r="C307" s="829"/>
      <c r="D307" s="391">
        <f t="shared" si="102"/>
        <v>7.1512689258665745</v>
      </c>
      <c r="E307" s="383">
        <f t="shared" si="125"/>
        <v>7.337524124430419</v>
      </c>
      <c r="F307" s="383">
        <f t="shared" si="103"/>
        <v>7.337524124430419</v>
      </c>
      <c r="G307" s="110">
        <f t="shared" si="126"/>
        <v>0.1903508780355801</v>
      </c>
      <c r="H307" s="412" t="b">
        <f>Wh_hp&gt;='2024'!Maxi_hp</f>
        <v>0</v>
      </c>
      <c r="I307" s="388">
        <f>IF(H307,Wh_hp,'2024'!Maxi_hp)</f>
        <v>31.702695928532638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4.6216216404071919E-2</v>
      </c>
      <c r="M307" s="832"/>
      <c r="N307" s="832"/>
      <c r="O307" s="48">
        <f>IF(t&lt;Tnet,'2024'!Resal+('2024'!Salim-'2024'!Resal)*(1-EXP(('2024'!Tnet-t)/('2024'!Tau_j))),Resal+(Salim-Resal)*(1-EXP((Tnet-t)/(Tau_j))))*Salcycl</f>
        <v>2.5383929974922278E-2</v>
      </c>
      <c r="P307" s="169">
        <f>(INDEX(Models!$BJ307:$BT307,,T307)*(1-R307)+INDEX(Models!$BJ307:$BT307,,T307+1)*R307-ERP_i)*Q307*Ramure*Pc/MaxiM</f>
        <v>6.644358007614158E-3</v>
      </c>
      <c r="Q307" s="304">
        <f t="shared" si="105"/>
        <v>0.6</v>
      </c>
      <c r="R307" s="177">
        <f t="shared" si="106"/>
        <v>0.99708027261584209</v>
      </c>
      <c r="S307" s="799">
        <f t="shared" si="107"/>
        <v>1</v>
      </c>
      <c r="T307" s="176">
        <f t="shared" si="108"/>
        <v>7</v>
      </c>
      <c r="U307" s="250">
        <f t="shared" si="109"/>
        <v>1.9970802726158421</v>
      </c>
      <c r="V307" s="382">
        <f t="shared" si="110"/>
        <v>35.594502129064949</v>
      </c>
      <c r="W307" s="400">
        <f t="shared" si="111"/>
        <v>6.8207643336250099</v>
      </c>
      <c r="X307" s="157">
        <f t="shared" si="112"/>
        <v>45950</v>
      </c>
      <c r="Y307" s="383">
        <f t="shared" si="113"/>
        <v>6.4952328019914596</v>
      </c>
      <c r="Z307" s="383">
        <f t="shared" si="114"/>
        <v>6.8099635511764731</v>
      </c>
      <c r="AA307" s="384">
        <f t="shared" si="115"/>
        <v>7.337524124430419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7.1898989946407657E-2</v>
      </c>
      <c r="AD307" s="230">
        <f>(INDEX(Models!$BJ307:$BT307,,AH307)*(1-AF307)+INDEX(Models!$BJ307:$BT307,,AH307+1)*AF307-ERP_i)*AE307*Ramure*Pc/MaxiM</f>
        <v>6.644358007614158E-3</v>
      </c>
      <c r="AE307" s="304">
        <f t="shared" si="117"/>
        <v>0.6</v>
      </c>
      <c r="AF307" s="177">
        <f t="shared" si="118"/>
        <v>0.99708027261584209</v>
      </c>
      <c r="AG307" s="799">
        <f t="shared" si="124"/>
        <v>1</v>
      </c>
      <c r="AH307" s="176">
        <f t="shared" si="119"/>
        <v>7</v>
      </c>
      <c r="AI307" s="224">
        <f t="shared" si="120"/>
        <v>1.9970802726158421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'2024'!Wh/'2024'!Env_an*'2025'!Env_an</f>
        <v>16.597846236969225</v>
      </c>
      <c r="C308" s="829"/>
      <c r="D308" s="391">
        <f t="shared" si="102"/>
        <v>17.402439234628389</v>
      </c>
      <c r="E308" s="383">
        <f t="shared" si="125"/>
        <v>17.857047232098047</v>
      </c>
      <c r="F308" s="383">
        <f t="shared" si="103"/>
        <v>17.886880361085069</v>
      </c>
      <c r="G308" s="110">
        <f t="shared" si="126"/>
        <v>0.46845107830829941</v>
      </c>
      <c r="H308" s="412" t="b">
        <f>Wh_hp&gt;='2024'!Maxi_hp</f>
        <v>0</v>
      </c>
      <c r="I308" s="388">
        <f>IF(H308,Wh_hp,'2024'!Maxi_hp)</f>
        <v>24.418087613545492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4.6234495452691426E-2</v>
      </c>
      <c r="M308" s="832"/>
      <c r="N308" s="832"/>
      <c r="O308" s="48">
        <f>IF(t&lt;Tnet,'2024'!Resal+('2024'!Salim-'2024'!Resal)*(1-EXP(('2024'!Tnet-t)/('2024'!Tau_j))),Resal+(Salim-Resal)*(1-EXP((Tnet-t)/(Tau_j))))*Salcycl</f>
        <v>2.5458184186940958E-2</v>
      </c>
      <c r="P308" s="169">
        <f>(INDEX(Models!$BJ308:$BT308,,T308)*(1-R308)+INDEX(Models!$BJ308:$BT308,,T308+1)*R308-ERP_i)*Q308*Ramure*Pc/MaxiM</f>
        <v>6.8320883210165649E-3</v>
      </c>
      <c r="Q308" s="304">
        <f t="shared" si="105"/>
        <v>0.6</v>
      </c>
      <c r="R308" s="177">
        <f t="shared" si="106"/>
        <v>0.99716837381112744</v>
      </c>
      <c r="S308" s="799">
        <f t="shared" si="107"/>
        <v>1</v>
      </c>
      <c r="T308" s="176">
        <f t="shared" si="108"/>
        <v>7</v>
      </c>
      <c r="U308" s="250">
        <f t="shared" si="109"/>
        <v>1.9971683738111274</v>
      </c>
      <c r="V308" s="382">
        <f t="shared" si="110"/>
        <v>35.248052629692758</v>
      </c>
      <c r="W308" s="400">
        <f t="shared" si="111"/>
        <v>16.597846236969225</v>
      </c>
      <c r="X308" s="157">
        <f t="shared" si="112"/>
        <v>45951</v>
      </c>
      <c r="Y308" s="383">
        <f t="shared" si="113"/>
        <v>15.806944439429728</v>
      </c>
      <c r="Z308" s="383">
        <f t="shared" si="114"/>
        <v>16.573197881519391</v>
      </c>
      <c r="AA308" s="384">
        <f t="shared" si="115"/>
        <v>17.857047232098047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7.1895948635390047E-2</v>
      </c>
      <c r="AD308" s="230">
        <f>(INDEX(Models!$BJ308:$BT308,,AH308)*(1-AF308)+INDEX(Models!$BJ308:$BT308,,AH308+1)*AF308-ERP_i)*AE308*Ramure*Pc/MaxiM</f>
        <v>6.8320883210165649E-3</v>
      </c>
      <c r="AE308" s="304">
        <f t="shared" si="117"/>
        <v>0.6</v>
      </c>
      <c r="AF308" s="177">
        <f t="shared" si="118"/>
        <v>0.99716837381112744</v>
      </c>
      <c r="AG308" s="799">
        <f t="shared" si="124"/>
        <v>1</v>
      </c>
      <c r="AH308" s="176">
        <f t="shared" si="119"/>
        <v>7</v>
      </c>
      <c r="AI308" s="224">
        <f t="shared" si="120"/>
        <v>1.9971683738111274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'2024'!Wh/'2024'!Env_an*'2025'!Env_an</f>
        <v>33.530048777876502</v>
      </c>
      <c r="C309" s="829"/>
      <c r="D309" s="391">
        <f t="shared" si="102"/>
        <v>35.156116703803633</v>
      </c>
      <c r="E309" s="383">
        <f t="shared" si="125"/>
        <v>36.077239924570904</v>
      </c>
      <c r="F309" s="383">
        <f t="shared" si="103"/>
        <v>36.317713638232313</v>
      </c>
      <c r="G309" s="110">
        <f t="shared" si="126"/>
        <v>0.96029259139751422</v>
      </c>
      <c r="H309" s="412" t="b">
        <f>Wh_hp&gt;='2024'!Maxi_hp</f>
        <v>0</v>
      </c>
      <c r="I309" s="388">
        <f>IF(H309,Wh_hp,'2024'!Maxi_hp)</f>
        <v>36.326275641473238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4.6252774150997267E-2</v>
      </c>
      <c r="M309" s="832"/>
      <c r="N309" s="832"/>
      <c r="O309" s="48">
        <f>IF(t&lt;Tnet,'2024'!Resal+('2024'!Salim-'2024'!Resal)*(1-EXP(('2024'!Tnet-t)/('2024'!Tau_j))),Resal+(Salim-Resal)*(1-EXP((Tnet-t)/(Tau_j))))*Salcycl</f>
        <v>2.5531975913155355E-2</v>
      </c>
      <c r="P309" s="169">
        <f>(INDEX(Models!$BJ309:$BT309,,T309)*(1-R309)+INDEX(Models!$BJ309:$BT309,,T309+1)*R309-ERP_i)*Q309*Ramure*Pc/MaxiM</f>
        <v>7.0155237415762848E-3</v>
      </c>
      <c r="Q309" s="304">
        <f t="shared" si="105"/>
        <v>0.6</v>
      </c>
      <c r="R309" s="177">
        <f t="shared" si="106"/>
        <v>0.99725295707697326</v>
      </c>
      <c r="S309" s="799">
        <f t="shared" si="107"/>
        <v>1</v>
      </c>
      <c r="T309" s="176">
        <f t="shared" si="108"/>
        <v>7</v>
      </c>
      <c r="U309" s="250">
        <f t="shared" si="109"/>
        <v>1.9972529570769733</v>
      </c>
      <c r="V309" s="382">
        <f t="shared" si="110"/>
        <v>34.902638672336494</v>
      </c>
      <c r="W309" s="400">
        <f t="shared" si="111"/>
        <v>33.530048777876502</v>
      </c>
      <c r="X309" s="157">
        <f t="shared" si="112"/>
        <v>45952</v>
      </c>
      <c r="Y309" s="383">
        <f t="shared" si="113"/>
        <v>31.934863597031296</v>
      </c>
      <c r="Z309" s="383">
        <f t="shared" si="114"/>
        <v>33.483571675507264</v>
      </c>
      <c r="AA309" s="384">
        <f t="shared" si="115"/>
        <v>36.077239924570904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7.1892091925169335E-2</v>
      </c>
      <c r="AD309" s="230">
        <f>(INDEX(Models!$BJ309:$BT309,,AH309)*(1-AF309)+INDEX(Models!$BJ309:$BT309,,AH309+1)*AF309-ERP_i)*AE309*Ramure*Pc/MaxiM</f>
        <v>7.0155237415762848E-3</v>
      </c>
      <c r="AE309" s="304">
        <f t="shared" si="117"/>
        <v>0.6</v>
      </c>
      <c r="AF309" s="177">
        <f t="shared" si="118"/>
        <v>0.99725295707697326</v>
      </c>
      <c r="AG309" s="799">
        <f t="shared" si="124"/>
        <v>1</v>
      </c>
      <c r="AH309" s="176">
        <f t="shared" si="119"/>
        <v>7</v>
      </c>
      <c r="AI309" s="224">
        <f t="shared" si="120"/>
        <v>1.9972529570769733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'2024'!Wh/'2024'!Env_an*'2025'!Env_an</f>
        <v>17.231062875282614</v>
      </c>
      <c r="C310" s="829"/>
      <c r="D310" s="391">
        <f t="shared" si="102"/>
        <v>18.067044017518903</v>
      </c>
      <c r="E310" s="383">
        <f t="shared" si="125"/>
        <v>18.541813077333813</v>
      </c>
      <c r="F310" s="383">
        <f t="shared" si="103"/>
        <v>18.579726630385917</v>
      </c>
      <c r="G310" s="110">
        <f t="shared" si="126"/>
        <v>0.49602678903383973</v>
      </c>
      <c r="H310" s="412" t="b">
        <f>Wh_hp&gt;='2024'!Maxi_hp</f>
        <v>0</v>
      </c>
      <c r="I310" s="388">
        <f>IF(H310,Wh_hp,'2024'!Maxi_hp)</f>
        <v>37.404529448025627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4.627105249899599E-2</v>
      </c>
      <c r="M310" s="832"/>
      <c r="N310" s="832"/>
      <c r="O310" s="48">
        <f>IF(t&lt;Tnet,'2024'!Resal+('2024'!Salim-'2024'!Resal)*(1-EXP(('2024'!Tnet-t)/('2024'!Tau_j))),Resal+(Salim-Resal)*(1-EXP((Tnet-t)/(Tau_j))))*Salcycl</f>
        <v>2.5605320139662283E-2</v>
      </c>
      <c r="P310" s="169">
        <f>(INDEX(Models!$BJ310:$BT310,,T310)*(1-R310)+INDEX(Models!$BJ310:$BT310,,T310+1)*R310-ERP_i)*Q310*Ramure*Pc/MaxiM</f>
        <v>7.1923758235066318E-3</v>
      </c>
      <c r="Q310" s="304">
        <f t="shared" si="105"/>
        <v>0.6</v>
      </c>
      <c r="R310" s="177">
        <f t="shared" si="106"/>
        <v>0.99733416175879519</v>
      </c>
      <c r="S310" s="799">
        <f t="shared" si="107"/>
        <v>1</v>
      </c>
      <c r="T310" s="176">
        <f t="shared" si="108"/>
        <v>7</v>
      </c>
      <c r="U310" s="250">
        <f t="shared" si="109"/>
        <v>1.9973341617587952</v>
      </c>
      <c r="V310" s="382">
        <f t="shared" si="110"/>
        <v>34.558840260814883</v>
      </c>
      <c r="W310" s="400">
        <f t="shared" si="111"/>
        <v>17.231062875282614</v>
      </c>
      <c r="X310" s="157">
        <f t="shared" si="112"/>
        <v>45953</v>
      </c>
      <c r="Y310" s="383">
        <f t="shared" si="113"/>
        <v>16.412615680708559</v>
      </c>
      <c r="Z310" s="383">
        <f t="shared" si="114"/>
        <v>17.208889091301572</v>
      </c>
      <c r="AA310" s="384">
        <f t="shared" si="115"/>
        <v>18.541813077333813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7.188746755632304E-2</v>
      </c>
      <c r="AD310" s="230">
        <f>(INDEX(Models!$BJ310:$BT310,,AH310)*(1-AF310)+INDEX(Models!$BJ310:$BT310,,AH310+1)*AF310-ERP_i)*AE310*Ramure*Pc/MaxiM</f>
        <v>7.1923758235066318E-3</v>
      </c>
      <c r="AE310" s="304">
        <f t="shared" si="117"/>
        <v>0.6</v>
      </c>
      <c r="AF310" s="177">
        <f t="shared" si="118"/>
        <v>0.99733416175879519</v>
      </c>
      <c r="AG310" s="799">
        <f t="shared" si="124"/>
        <v>1</v>
      </c>
      <c r="AH310" s="176">
        <f t="shared" si="119"/>
        <v>7</v>
      </c>
      <c r="AI310" s="224">
        <f t="shared" si="120"/>
        <v>1.9973341617587952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'2024'!Wh/'2024'!Env_an*'2025'!Env_an</f>
        <v>25.49171069448375</v>
      </c>
      <c r="C311" s="829"/>
      <c r="D311" s="391">
        <f t="shared" si="102"/>
        <v>26.728977151697254</v>
      </c>
      <c r="E311" s="383">
        <f t="shared" si="125"/>
        <v>27.433418881555298</v>
      </c>
      <c r="F311" s="383">
        <f t="shared" si="103"/>
        <v>27.562454361096268</v>
      </c>
      <c r="G311" s="110">
        <f t="shared" si="126"/>
        <v>0.74299117148437333</v>
      </c>
      <c r="H311" s="412" t="b">
        <f>Wh_hp&gt;='2024'!Maxi_hp</f>
        <v>0</v>
      </c>
      <c r="I311" s="388">
        <f>IF(H311,Wh_hp,'2024'!Maxi_hp)</f>
        <v>38.420312161688102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4.6289330496694259E-2</v>
      </c>
      <c r="M311" s="832"/>
      <c r="N311" s="832"/>
      <c r="O311" s="48">
        <f>IF(t&lt;Tnet,'2024'!Resal+('2024'!Salim-'2024'!Resal)*(1-EXP(('2024'!Tnet-t)/('2024'!Tau_j))),Resal+(Salim-Resal)*(1-EXP((Tnet-t)/(Tau_j))))*Salcycl</f>
        <v>2.5678233285449933E-2</v>
      </c>
      <c r="P311" s="169">
        <f>(INDEX(Models!$BJ311:$BT311,,T311)*(1-R311)+INDEX(Models!$BJ311:$BT311,,T311+1)*R311-ERP_i)*Q311*Ramure*Pc/MaxiM</f>
        <v>7.3642762869344045E-3</v>
      </c>
      <c r="Q311" s="304">
        <f t="shared" si="105"/>
        <v>0.6</v>
      </c>
      <c r="R311" s="177">
        <f t="shared" si="106"/>
        <v>0.99741212177118777</v>
      </c>
      <c r="S311" s="799">
        <f t="shared" si="107"/>
        <v>1</v>
      </c>
      <c r="T311" s="176">
        <f t="shared" si="108"/>
        <v>7</v>
      </c>
      <c r="U311" s="250">
        <f t="shared" si="109"/>
        <v>1.9974121217711878</v>
      </c>
      <c r="V311" s="382">
        <f t="shared" si="110"/>
        <v>34.217098614685334</v>
      </c>
      <c r="W311" s="400">
        <f t="shared" si="111"/>
        <v>25.49171069448375</v>
      </c>
      <c r="X311" s="157">
        <f t="shared" si="112"/>
        <v>45954</v>
      </c>
      <c r="Y311" s="383">
        <f t="shared" si="113"/>
        <v>24.282853082873402</v>
      </c>
      <c r="Z311" s="383">
        <f t="shared" si="114"/>
        <v>25.461446389731549</v>
      </c>
      <c r="AA311" s="384">
        <f t="shared" si="115"/>
        <v>27.433418881555298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7.1882126698746704E-2</v>
      </c>
      <c r="AD311" s="230">
        <f>(INDEX(Models!$BJ311:$BT311,,AH311)*(1-AF311)+INDEX(Models!$BJ311:$BT311,,AH311+1)*AF311-ERP_i)*AE311*Ramure*Pc/MaxiM</f>
        <v>7.3642762869344045E-3</v>
      </c>
      <c r="AE311" s="304">
        <f t="shared" si="117"/>
        <v>0.6</v>
      </c>
      <c r="AF311" s="177">
        <f t="shared" si="118"/>
        <v>0.99741212177118777</v>
      </c>
      <c r="AG311" s="799">
        <f t="shared" si="124"/>
        <v>1</v>
      </c>
      <c r="AH311" s="176">
        <f t="shared" si="119"/>
        <v>7</v>
      </c>
      <c r="AI311" s="224">
        <f t="shared" si="120"/>
        <v>1.9974121217711878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'2024'!Wh/'2024'!Env_an*'2025'!Env_an</f>
        <v>22.536529581339884</v>
      </c>
      <c r="C312" s="829"/>
      <c r="D312" s="391">
        <f t="shared" si="102"/>
        <v>23.63081615601801</v>
      </c>
      <c r="E312" s="383">
        <f t="shared" si="125"/>
        <v>24.255410766533625</v>
      </c>
      <c r="F312" s="383">
        <f t="shared" si="103"/>
        <v>24.351095805506205</v>
      </c>
      <c r="G312" s="110">
        <f t="shared" si="126"/>
        <v>0.66282232348383319</v>
      </c>
      <c r="H312" s="412" t="b">
        <f>Wh_hp&gt;='2024'!Maxi_hp</f>
        <v>0</v>
      </c>
      <c r="I312" s="388">
        <f>IF(H312,Wh_hp,'2024'!Maxi_hp)</f>
        <v>35.228620832517834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4.6307608144098955E-2</v>
      </c>
      <c r="M312" s="832"/>
      <c r="N312" s="832"/>
      <c r="O312" s="48">
        <f>IF(t&lt;Tnet,'2024'!Resal+('2024'!Salim-'2024'!Resal)*(1-EXP(('2024'!Tnet-t)/('2024'!Tau_j))),Resal+(Salim-Resal)*(1-EXP((Tnet-t)/(Tau_j))))*Salcycl</f>
        <v>2.5750733167438197E-2</v>
      </c>
      <c r="P312" s="169">
        <f>(INDEX(Models!$BJ312:$BT312,,T312)*(1-R312)+INDEX(Models!$BJ312:$BT312,,T312+1)*R312-ERP_i)*Q312*Ramure*Pc/MaxiM</f>
        <v>7.5311241189649327E-3</v>
      </c>
      <c r="Q312" s="304">
        <f t="shared" si="105"/>
        <v>0.6</v>
      </c>
      <c r="R312" s="177">
        <f t="shared" si="106"/>
        <v>0.99748696580259599</v>
      </c>
      <c r="S312" s="799">
        <f t="shared" si="107"/>
        <v>1</v>
      </c>
      <c r="T312" s="176">
        <f t="shared" si="108"/>
        <v>7</v>
      </c>
      <c r="U312" s="250">
        <f t="shared" si="109"/>
        <v>1.997486965802596</v>
      </c>
      <c r="V312" s="382">
        <f t="shared" si="110"/>
        <v>33.877915799324427</v>
      </c>
      <c r="W312" s="400">
        <f t="shared" si="111"/>
        <v>22.536529581339884</v>
      </c>
      <c r="X312" s="157">
        <f t="shared" si="112"/>
        <v>45955</v>
      </c>
      <c r="Y312" s="383">
        <f t="shared" si="113"/>
        <v>21.46954778725393</v>
      </c>
      <c r="Z312" s="383">
        <f t="shared" si="114"/>
        <v>22.512025859275063</v>
      </c>
      <c r="AA312" s="384">
        <f t="shared" si="115"/>
        <v>24.255410766533625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7.1876123807558701E-2</v>
      </c>
      <c r="AD312" s="230">
        <f>(INDEX(Models!$BJ312:$BT312,,AH312)*(1-AF312)+INDEX(Models!$BJ312:$BT312,,AH312+1)*AF312-ERP_i)*AE312*Ramure*Pc/MaxiM</f>
        <v>7.5311241189649327E-3</v>
      </c>
      <c r="AE312" s="304">
        <f t="shared" si="117"/>
        <v>0.6</v>
      </c>
      <c r="AF312" s="177">
        <f t="shared" si="118"/>
        <v>0.99748696580259599</v>
      </c>
      <c r="AG312" s="799">
        <f t="shared" si="124"/>
        <v>1</v>
      </c>
      <c r="AH312" s="176">
        <f t="shared" si="119"/>
        <v>7</v>
      </c>
      <c r="AI312" s="224">
        <f t="shared" si="120"/>
        <v>1.997486965802596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'2024'!Wh/'2024'!Env_an*'2025'!Env_an</f>
        <v>12.561916392079477</v>
      </c>
      <c r="C313" s="829"/>
      <c r="D313" s="391">
        <f t="shared" si="102"/>
        <v>13.172126830653507</v>
      </c>
      <c r="E313" s="383">
        <f t="shared" si="125"/>
        <v>13.521284790271784</v>
      </c>
      <c r="F313" s="383">
        <f t="shared" si="103"/>
        <v>13.532366414928326</v>
      </c>
      <c r="G313" s="110">
        <f t="shared" si="126"/>
        <v>0.37193884983329584</v>
      </c>
      <c r="H313" s="412" t="b">
        <f>Wh_hp&gt;='2024'!Maxi_hp</f>
        <v>0</v>
      </c>
      <c r="I313" s="388">
        <f>IF(H313,Wh_hp,'2024'!Maxi_hp)</f>
        <v>35.899581400046522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4.632588544121663E-2</v>
      </c>
      <c r="M313" s="832"/>
      <c r="N313" s="832"/>
      <c r="O313" s="48">
        <f>IF(t&lt;Tnet,'2024'!Resal+('2024'!Salim-'2024'!Resal)*(1-EXP(('2024'!Tnet-t)/('2024'!Tau_j))),Resal+(Salim-Resal)*(1-EXP((Tnet-t)/(Tau_j))))*Salcycl</f>
        <v>2.582283895606477E-2</v>
      </c>
      <c r="P313" s="169">
        <f>(INDEX(Models!$BJ313:$BT313,,T313)*(1-R313)+INDEX(Models!$BJ313:$BT313,,T313+1)*R313-ERP_i)*Q313*Ramure*Pc/MaxiM</f>
        <v>7.6927589019727344E-3</v>
      </c>
      <c r="Q313" s="304">
        <f t="shared" si="105"/>
        <v>0.6</v>
      </c>
      <c r="R313" s="177">
        <f t="shared" si="106"/>
        <v>0.9975588175128256</v>
      </c>
      <c r="S313" s="799">
        <f t="shared" si="107"/>
        <v>1</v>
      </c>
      <c r="T313" s="176">
        <f t="shared" si="108"/>
        <v>7</v>
      </c>
      <c r="U313" s="250">
        <f t="shared" si="109"/>
        <v>1.9975588175128256</v>
      </c>
      <c r="V313" s="382">
        <f t="shared" si="110"/>
        <v>33.541795270836054</v>
      </c>
      <c r="W313" s="400">
        <f t="shared" si="111"/>
        <v>12.561916392079477</v>
      </c>
      <c r="X313" s="157">
        <f t="shared" si="112"/>
        <v>45956</v>
      </c>
      <c r="Y313" s="383">
        <f t="shared" si="113"/>
        <v>11.968149122622027</v>
      </c>
      <c r="Z313" s="383">
        <f t="shared" si="114"/>
        <v>12.549516590537934</v>
      </c>
      <c r="AA313" s="384">
        <f t="shared" si="115"/>
        <v>13.521284790271784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7.1869516455493346E-2</v>
      </c>
      <c r="AD313" s="230">
        <f>(INDEX(Models!$BJ313:$BT313,,AH313)*(1-AF313)+INDEX(Models!$BJ313:$BT313,,AH313+1)*AF313-ERP_i)*AE313*Ramure*Pc/MaxiM</f>
        <v>7.6927589019727344E-3</v>
      </c>
      <c r="AE313" s="304">
        <f t="shared" si="117"/>
        <v>0.6</v>
      </c>
      <c r="AF313" s="177">
        <f t="shared" si="118"/>
        <v>0.9975588175128256</v>
      </c>
      <c r="AG313" s="799">
        <f t="shared" si="124"/>
        <v>1</v>
      </c>
      <c r="AH313" s="176">
        <f t="shared" si="119"/>
        <v>7</v>
      </c>
      <c r="AI313" s="224">
        <f t="shared" si="120"/>
        <v>1.9975588175128256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'2024'!Wh/'2024'!Env_an*'2025'!Env_an</f>
        <v>14.531108535837532</v>
      </c>
      <c r="C314" s="829"/>
      <c r="D314" s="391">
        <f t="shared" si="102"/>
        <v>15.23726690776093</v>
      </c>
      <c r="E314" s="383">
        <f t="shared" si="125"/>
        <v>15.64231802434777</v>
      </c>
      <c r="F314" s="383">
        <f t="shared" si="103"/>
        <v>15.666483093385143</v>
      </c>
      <c r="G314" s="110">
        <f t="shared" si="126"/>
        <v>0.43479844360108555</v>
      </c>
      <c r="H314" s="412" t="b">
        <f>Wh_hp&gt;='2024'!Maxi_hp</f>
        <v>0</v>
      </c>
      <c r="I314" s="388">
        <f>IF(H314,Wh_hp,'2024'!Maxi_hp)</f>
        <v>30.879725572368368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4.6344162388054166E-2</v>
      </c>
      <c r="M314" s="832"/>
      <c r="N314" s="832"/>
      <c r="O314" s="48">
        <f>IF(t&lt;Tnet,'2024'!Resal+('2024'!Salim-'2024'!Resal)*(1-EXP(('2024'!Tnet-t)/('2024'!Tau_j))),Resal+(Salim-Resal)*(1-EXP((Tnet-t)/(Tau_j))))*Salcycl</f>
        <v>2.5894571121515685E-2</v>
      </c>
      <c r="P314" s="169">
        <f>(INDEX(Models!$BJ314:$BT314,,T314)*(1-R314)+INDEX(Models!$BJ314:$BT314,,T314+1)*R314-ERP_i)*Q314*Ramure*Pc/MaxiM</f>
        <v>7.8490194754402311E-3</v>
      </c>
      <c r="Q314" s="304">
        <f t="shared" si="105"/>
        <v>0.6</v>
      </c>
      <c r="R314" s="177">
        <f t="shared" si="106"/>
        <v>0.99762779572360283</v>
      </c>
      <c r="S314" s="799">
        <f t="shared" si="107"/>
        <v>1</v>
      </c>
      <c r="T314" s="176">
        <f t="shared" si="108"/>
        <v>7</v>
      </c>
      <c r="U314" s="250">
        <f t="shared" si="109"/>
        <v>1.9976277957236028</v>
      </c>
      <c r="V314" s="382">
        <f t="shared" si="110"/>
        <v>33.20923984673923</v>
      </c>
      <c r="W314" s="400">
        <f t="shared" si="111"/>
        <v>14.531108535837532</v>
      </c>
      <c r="X314" s="157">
        <f t="shared" si="112"/>
        <v>45957</v>
      </c>
      <c r="Y314" s="383">
        <f t="shared" si="113"/>
        <v>13.845389121624734</v>
      </c>
      <c r="Z314" s="383">
        <f t="shared" si="114"/>
        <v>14.518224054806858</v>
      </c>
      <c r="AA314" s="384">
        <f t="shared" si="115"/>
        <v>15.64231802434777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7.1862365142507864E-2</v>
      </c>
      <c r="AD314" s="230">
        <f>(INDEX(Models!$BJ314:$BT314,,AH314)*(1-AF314)+INDEX(Models!$BJ314:$BT314,,AH314+1)*AF314-ERP_i)*AE314*Ramure*Pc/MaxiM</f>
        <v>7.8490194754402311E-3</v>
      </c>
      <c r="AE314" s="304">
        <f t="shared" si="117"/>
        <v>0.6</v>
      </c>
      <c r="AF314" s="177">
        <f t="shared" si="118"/>
        <v>0.99762779572360283</v>
      </c>
      <c r="AG314" s="799">
        <f t="shared" si="124"/>
        <v>1</v>
      </c>
      <c r="AH314" s="176">
        <f t="shared" si="119"/>
        <v>7</v>
      </c>
      <c r="AI314" s="224">
        <f t="shared" si="120"/>
        <v>1.9976277957236028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'2024'!Wh/'2024'!Env_an*'2025'!Env_an</f>
        <v>17.478731416382509</v>
      </c>
      <c r="C315" s="829"/>
      <c r="D315" s="391">
        <f t="shared" si="102"/>
        <v>18.328484668506658</v>
      </c>
      <c r="E315" s="383">
        <f t="shared" si="125"/>
        <v>18.817088267397544</v>
      </c>
      <c r="F315" s="383">
        <f t="shared" si="103"/>
        <v>18.867020546531798</v>
      </c>
      <c r="G315" s="110">
        <f t="shared" si="126"/>
        <v>0.5287262289122252</v>
      </c>
      <c r="H315" s="412" t="b">
        <f>Wh_hp&gt;='2024'!Maxi_hp</f>
        <v>0</v>
      </c>
      <c r="I315" s="388">
        <f>IF(H315,Wh_hp,'2024'!Maxi_hp)</f>
        <v>35.461193234664123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4.6362438984618115E-2</v>
      </c>
      <c r="M315" s="832"/>
      <c r="N315" s="832"/>
      <c r="O315" s="48">
        <f>IF(t&lt;Tnet,'2024'!Resal+('2024'!Salim-'2024'!Resal)*(1-EXP(('2024'!Tnet-t)/('2024'!Tau_j))),Resal+(Salim-Resal)*(1-EXP((Tnet-t)/(Tau_j))))*Salcycl</f>
        <v>2.5965951370778121E-2</v>
      </c>
      <c r="P315" s="169">
        <f>(INDEX(Models!$BJ315:$BT315,,T315)*(1-R315)+INDEX(Models!$BJ315:$BT315,,T315+1)*R315-ERP_i)*Q315*Ramure*Pc/MaxiM</f>
        <v>7.9997445230139477E-3</v>
      </c>
      <c r="Q315" s="304">
        <f t="shared" si="105"/>
        <v>0.6</v>
      </c>
      <c r="R315" s="177">
        <f t="shared" si="106"/>
        <v>0.99769401460238494</v>
      </c>
      <c r="S315" s="799">
        <f t="shared" si="107"/>
        <v>1</v>
      </c>
      <c r="T315" s="176">
        <f t="shared" si="108"/>
        <v>7</v>
      </c>
      <c r="U315" s="250">
        <f t="shared" si="109"/>
        <v>1.9976940146023849</v>
      </c>
      <c r="V315" s="382">
        <f t="shared" si="110"/>
        <v>32.880751725912035</v>
      </c>
      <c r="W315" s="400">
        <f t="shared" si="111"/>
        <v>17.478731416382509</v>
      </c>
      <c r="X315" s="157">
        <f t="shared" si="112"/>
        <v>45958</v>
      </c>
      <c r="Y315" s="383">
        <f t="shared" si="113"/>
        <v>16.655271813804035</v>
      </c>
      <c r="Z315" s="383">
        <f t="shared" si="114"/>
        <v>17.464991412534548</v>
      </c>
      <c r="AA315" s="384">
        <f t="shared" si="115"/>
        <v>18.817088267397544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7.1854733083525898E-2</v>
      </c>
      <c r="AD315" s="230">
        <f>(INDEX(Models!$BJ315:$BT315,,AH315)*(1-AF315)+INDEX(Models!$BJ315:$BT315,,AH315+1)*AF315-ERP_i)*AE315*Ramure*Pc/MaxiM</f>
        <v>7.9997445230139477E-3</v>
      </c>
      <c r="AE315" s="304">
        <f t="shared" si="117"/>
        <v>0.6</v>
      </c>
      <c r="AF315" s="177">
        <f t="shared" si="118"/>
        <v>0.99769401460238494</v>
      </c>
      <c r="AG315" s="799">
        <f t="shared" si="124"/>
        <v>1</v>
      </c>
      <c r="AH315" s="176">
        <f t="shared" si="119"/>
        <v>7</v>
      </c>
      <c r="AI315" s="224">
        <f t="shared" si="120"/>
        <v>1.9976940146023849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'2024'!Wh/'2024'!Env_an*'2025'!Env_an</f>
        <v>27.143345104142554</v>
      </c>
      <c r="C316" s="829"/>
      <c r="D316" s="391">
        <f t="shared" si="102"/>
        <v>28.463502718189272</v>
      </c>
      <c r="E316" s="383">
        <f t="shared" si="125"/>
        <v>29.224418990726257</v>
      </c>
      <c r="F316" s="383">
        <f t="shared" si="103"/>
        <v>29.407038548882422</v>
      </c>
      <c r="G316" s="110">
        <f t="shared" si="126"/>
        <v>0.83209883615813174</v>
      </c>
      <c r="H316" s="412" t="b">
        <f>Wh_hp&gt;='2024'!Maxi_hp</f>
        <v>0</v>
      </c>
      <c r="I316" s="388">
        <f>IF(H316,Wh_hp,'2024'!Maxi_hp)</f>
        <v>29.777598995663187</v>
      </c>
      <c r="J316" s="85">
        <f>IF(H316,An,'2024'!An_max)</f>
        <v>2018</v>
      </c>
      <c r="K316" s="197">
        <f t="shared" si="104"/>
        <v>45959</v>
      </c>
      <c r="L316" s="147">
        <f>IF(t&lt;Tvie,1-EXP((T0-t)*PertePVj)+'2024'!Pspv,1-EXP((T0-t)*PertePVj)+Pspv)</f>
        <v>4.6380715230915248E-2</v>
      </c>
      <c r="M316" s="832"/>
      <c r="N316" s="832"/>
      <c r="O316" s="48">
        <f>IF(t&lt;Tnet,'2024'!Resal+('2024'!Salim-'2024'!Resal)*(1-EXP(('2024'!Tnet-t)/('2024'!Tau_j))),Resal+(Salim-Resal)*(1-EXP((Tnet-t)/(Tau_j))))*Salcycl</f>
        <v>2.6037002575772111E-2</v>
      </c>
      <c r="P316" s="169">
        <f>(INDEX(Models!$BJ316:$BT316,,T316)*(1-R316)+INDEX(Models!$BJ316:$BT316,,T316+1)*R316-ERP_i)*Q316*Ramure*Pc/MaxiM</f>
        <v>8.1447731408228821E-3</v>
      </c>
      <c r="Q316" s="304">
        <f t="shared" si="105"/>
        <v>0.6</v>
      </c>
      <c r="R316" s="177">
        <f t="shared" si="106"/>
        <v>0.9977575838396211</v>
      </c>
      <c r="S316" s="799">
        <f t="shared" si="107"/>
        <v>1</v>
      </c>
      <c r="T316" s="176">
        <f t="shared" si="108"/>
        <v>7</v>
      </c>
      <c r="U316" s="250">
        <f t="shared" si="109"/>
        <v>1.9977575838396211</v>
      </c>
      <c r="V316" s="382">
        <f t="shared" si="110"/>
        <v>32.556832508436493</v>
      </c>
      <c r="W316" s="400">
        <f t="shared" si="111"/>
        <v>27.143345104142554</v>
      </c>
      <c r="X316" s="157">
        <f t="shared" si="112"/>
        <v>45959</v>
      </c>
      <c r="Y316" s="383">
        <f t="shared" si="113"/>
        <v>25.86667643303603</v>
      </c>
      <c r="Z316" s="383">
        <f t="shared" si="114"/>
        <v>27.124741336685055</v>
      </c>
      <c r="AA316" s="384">
        <f t="shared" si="115"/>
        <v>29.224418990726257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7.1846685975433477E-2</v>
      </c>
      <c r="AD316" s="230">
        <f>(INDEX(Models!$BJ316:$BT316,,AH316)*(1-AF316)+INDEX(Models!$BJ316:$BT316,,AH316+1)*AF316-ERP_i)*AE316*Ramure*Pc/MaxiM</f>
        <v>8.1447731408228821E-3</v>
      </c>
      <c r="AE316" s="304">
        <f t="shared" si="117"/>
        <v>0.6</v>
      </c>
      <c r="AF316" s="177">
        <f t="shared" si="118"/>
        <v>0.9977575838396211</v>
      </c>
      <c r="AG316" s="799">
        <f t="shared" si="124"/>
        <v>1</v>
      </c>
      <c r="AH316" s="176">
        <f t="shared" si="119"/>
        <v>7</v>
      </c>
      <c r="AI316" s="224">
        <f t="shared" si="120"/>
        <v>1.9977575838396211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'2024'!Wh/'2024'!Env_an*'2025'!Env_an</f>
        <v>23.334542355126324</v>
      </c>
      <c r="C317" s="829"/>
      <c r="D317" s="391">
        <f t="shared" si="102"/>
        <v>24.46992205125995</v>
      </c>
      <c r="E317" s="383">
        <f t="shared" si="125"/>
        <v>25.125902807438678</v>
      </c>
      <c r="F317" s="383">
        <f t="shared" si="103"/>
        <v>25.252579953418852</v>
      </c>
      <c r="G317" s="110">
        <f t="shared" si="126"/>
        <v>0.7214873543158935</v>
      </c>
      <c r="H317" s="412" t="b">
        <f>Wh_hp&gt;='2024'!Maxi_hp</f>
        <v>0</v>
      </c>
      <c r="I317" s="388">
        <f>IF(H317,Wh_hp,'2024'!Maxi_hp)</f>
        <v>28.491037803008169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4.6398991126952338E-2</v>
      </c>
      <c r="M317" s="832"/>
      <c r="N317" s="832"/>
      <c r="O317" s="48">
        <f>IF(t&lt;Tnet,'2024'!Resal+('2024'!Salim-'2024'!Resal)*(1-EXP(('2024'!Tnet-t)/('2024'!Tau_j))),Resal+(Salim-Resal)*(1-EXP((Tnet-t)/(Tau_j))))*Salcycl</f>
        <v>2.6107748692895515E-2</v>
      </c>
      <c r="P317" s="169">
        <f>(INDEX(Models!$BJ317:$BT317,,T317)*(1-R317)+INDEX(Models!$BJ317:$BT317,,T317+1)*R317-ERP_i)*Q317*Ramure*Pc/MaxiM</f>
        <v>8.2844389968946917E-3</v>
      </c>
      <c r="Q317" s="304">
        <f t="shared" si="105"/>
        <v>0.6</v>
      </c>
      <c r="R317" s="177">
        <f t="shared" si="106"/>
        <v>0.99781860881966367</v>
      </c>
      <c r="S317" s="799">
        <f t="shared" si="107"/>
        <v>1</v>
      </c>
      <c r="T317" s="176">
        <f t="shared" si="108"/>
        <v>7</v>
      </c>
      <c r="U317" s="250">
        <f t="shared" si="109"/>
        <v>1.9978186088196637</v>
      </c>
      <c r="V317" s="382">
        <f t="shared" si="110"/>
        <v>32.236046338888627</v>
      </c>
      <c r="W317" s="400">
        <f t="shared" si="111"/>
        <v>23.334542355126324</v>
      </c>
      <c r="X317" s="157">
        <f t="shared" si="112"/>
        <v>45960</v>
      </c>
      <c r="Y317" s="383">
        <f t="shared" si="113"/>
        <v>22.238834598614869</v>
      </c>
      <c r="Z317" s="383">
        <f t="shared" si="114"/>
        <v>23.320900871210711</v>
      </c>
      <c r="AA317" s="384">
        <f t="shared" si="115"/>
        <v>25.125902807438678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7.1838291744628788E-2</v>
      </c>
      <c r="AD317" s="230">
        <f>(INDEX(Models!$BJ317:$BT317,,AH317)*(1-AF317)+INDEX(Models!$BJ317:$BT317,,AH317+1)*AF317-ERP_i)*AE317*Ramure*Pc/MaxiM</f>
        <v>8.2844389968946917E-3</v>
      </c>
      <c r="AE317" s="304">
        <f t="shared" si="117"/>
        <v>0.6</v>
      </c>
      <c r="AF317" s="177">
        <f t="shared" si="118"/>
        <v>0.99781860881966367</v>
      </c>
      <c r="AG317" s="799">
        <f t="shared" si="124"/>
        <v>1</v>
      </c>
      <c r="AH317" s="176">
        <f t="shared" si="119"/>
        <v>7</v>
      </c>
      <c r="AI317" s="224">
        <f t="shared" si="120"/>
        <v>1.9978186088196637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'2024'!Wh/'2024'!Env_an*'2025'!Env_an</f>
        <v>22.192512529476229</v>
      </c>
      <c r="C318" s="829"/>
      <c r="D318" s="391">
        <f t="shared" si="102"/>
        <v>23.272770944626458</v>
      </c>
      <c r="E318" s="383">
        <f t="shared" si="125"/>
        <v>23.898388078107093</v>
      </c>
      <c r="F318" s="383">
        <f t="shared" si="103"/>
        <v>24.012614654958316</v>
      </c>
      <c r="G318" s="110">
        <f t="shared" si="126"/>
        <v>0.69276478676312891</v>
      </c>
      <c r="H318" s="412" t="b">
        <f>Wh_hp&gt;='2024'!Maxi_hp</f>
        <v>0</v>
      </c>
      <c r="I318" s="388">
        <f>IF(H318,Wh_hp,'2024'!Maxi_hp)</f>
        <v>34.120858369867321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4.6417266672736046E-2</v>
      </c>
      <c r="M318" s="832"/>
      <c r="N318" s="832"/>
      <c r="O318" s="48">
        <f>IF(t&lt;Tnet,'2024'!Resal+('2024'!Salim-'2024'!Resal)*(1-EXP(('2024'!Tnet-t)/('2024'!Tau_j))),Resal+(Salim-Resal)*(1-EXP((Tnet-t)/(Tau_j))))*Salcycl</f>
        <v>2.6178214674392689E-2</v>
      </c>
      <c r="P318" s="169">
        <f>(INDEX(Models!$BJ318:$BT318,,T318)*(1-R318)+INDEX(Models!$BJ318:$BT318,,T318+1)*R318-ERP_i)*Q318*Ramure*Pc/MaxiM</f>
        <v>8.4230666240561452E-3</v>
      </c>
      <c r="Q318" s="304">
        <f t="shared" si="105"/>
        <v>0.6</v>
      </c>
      <c r="R318" s="177">
        <f t="shared" si="106"/>
        <v>0.99787719078552461</v>
      </c>
      <c r="S318" s="799">
        <f t="shared" si="107"/>
        <v>1</v>
      </c>
      <c r="T318" s="176">
        <f t="shared" si="108"/>
        <v>7</v>
      </c>
      <c r="U318" s="250">
        <f t="shared" si="109"/>
        <v>1.9978771907855246</v>
      </c>
      <c r="V318" s="382">
        <f t="shared" si="110"/>
        <v>31.916696002324471</v>
      </c>
      <c r="W318" s="400">
        <f t="shared" si="111"/>
        <v>22.192512529476229</v>
      </c>
      <c r="X318" s="157">
        <f t="shared" si="112"/>
        <v>45961</v>
      </c>
      <c r="Y318" s="383">
        <f t="shared" si="113"/>
        <v>21.152158528280314</v>
      </c>
      <c r="Z318" s="383">
        <f t="shared" si="114"/>
        <v>22.181775937233773</v>
      </c>
      <c r="AA318" s="384">
        <f t="shared" si="115"/>
        <v>23.898388078107093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7.1829620276602585E-2</v>
      </c>
      <c r="AD318" s="230">
        <f>(INDEX(Models!$BJ318:$BT318,,AH318)*(1-AF318)+INDEX(Models!$BJ318:$BT318,,AH318+1)*AF318-ERP_i)*AE318*Ramure*Pc/MaxiM</f>
        <v>8.4230666240561452E-3</v>
      </c>
      <c r="AE318" s="304">
        <f t="shared" si="117"/>
        <v>0.6</v>
      </c>
      <c r="AF318" s="177">
        <f t="shared" si="118"/>
        <v>0.99787719078552461</v>
      </c>
      <c r="AG318" s="799">
        <f t="shared" si="124"/>
        <v>1</v>
      </c>
      <c r="AH318" s="176">
        <f t="shared" si="119"/>
        <v>7</v>
      </c>
      <c r="AI318" s="224">
        <f t="shared" si="120"/>
        <v>1.9978771907855246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'2024'!Wh/'2024'!Env_an*'2025'!Env_an</f>
        <v>19.671536668286972</v>
      </c>
      <c r="C319" s="829"/>
      <c r="D319" s="391">
        <f t="shared" si="102"/>
        <v>20.629477641006535</v>
      </c>
      <c r="E319" s="383">
        <f t="shared" si="125"/>
        <v>21.185565394411597</v>
      </c>
      <c r="F319" s="383">
        <f t="shared" si="103"/>
        <v>21.269484995015723</v>
      </c>
      <c r="G319" s="110">
        <f t="shared" si="126"/>
        <v>0.61965062264391713</v>
      </c>
      <c r="H319" s="412" t="b">
        <f>Wh_hp&gt;='2024'!Maxi_hp</f>
        <v>0</v>
      </c>
      <c r="I319" s="388">
        <f>IF(H319,Wh_hp,'2024'!Maxi_hp)</f>
        <v>32.848992554762482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4.6435541868273034E-2</v>
      </c>
      <c r="M319" s="832"/>
      <c r="N319" s="832"/>
      <c r="O319" s="48">
        <f>IF(t&lt;Tnet,'2024'!Resal+('2024'!Salim-'2024'!Resal)*(1-EXP(('2024'!Tnet-t)/('2024'!Tau_j))),Resal+(Salim-Resal)*(1-EXP((Tnet-t)/(Tau_j))))*Salcycl</f>
        <v>2.6248426372031057E-2</v>
      </c>
      <c r="P319" s="169">
        <f>(INDEX(Models!$BJ319:$BT319,,T319)*(1-R319)+INDEX(Models!$BJ319:$BT319,,T319+1)*R319-ERP_i)*Q319*Ramure*Pc/MaxiM</f>
        <v>8.5629922024156903E-3</v>
      </c>
      <c r="Q319" s="304">
        <f t="shared" si="105"/>
        <v>0.6</v>
      </c>
      <c r="R319" s="177">
        <f t="shared" si="106"/>
        <v>0.9979334269976663</v>
      </c>
      <c r="S319" s="799">
        <f t="shared" si="107"/>
        <v>1</v>
      </c>
      <c r="T319" s="176">
        <f t="shared" si="108"/>
        <v>7</v>
      </c>
      <c r="U319" s="250">
        <f t="shared" si="109"/>
        <v>1.9979334269976663</v>
      </c>
      <c r="V319" s="382">
        <f t="shared" si="110"/>
        <v>31.599007193835188</v>
      </c>
      <c r="W319" s="400">
        <f t="shared" si="111"/>
        <v>19.671536668286972</v>
      </c>
      <c r="X319" s="157">
        <f t="shared" si="112"/>
        <v>45962</v>
      </c>
      <c r="Y319" s="383">
        <f t="shared" si="113"/>
        <v>18.750893740022203</v>
      </c>
      <c r="Z319" s="383">
        <f t="shared" si="114"/>
        <v>19.664002344172861</v>
      </c>
      <c r="AA319" s="384">
        <f t="shared" si="115"/>
        <v>21.185565394411597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7.1820743129192052E-2</v>
      </c>
      <c r="AD319" s="230">
        <f>(INDEX(Models!$BJ319:$BT319,,AH319)*(1-AF319)+INDEX(Models!$BJ319:$BT319,,AH319+1)*AF319-ERP_i)*AE319*Ramure*Pc/MaxiM</f>
        <v>8.5629922024156903E-3</v>
      </c>
      <c r="AE319" s="304">
        <f t="shared" si="117"/>
        <v>0.6</v>
      </c>
      <c r="AF319" s="177">
        <f t="shared" si="118"/>
        <v>0.9979334269976663</v>
      </c>
      <c r="AG319" s="799">
        <f t="shared" si="124"/>
        <v>1</v>
      </c>
      <c r="AH319" s="176">
        <f t="shared" si="119"/>
        <v>7</v>
      </c>
      <c r="AI319" s="224">
        <f t="shared" si="120"/>
        <v>1.9979334269976663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'2024'!Wh/'2024'!Env_an*'2025'!Env_an</f>
        <v>29.180807745067941</v>
      </c>
      <c r="C320" s="829"/>
      <c r="D320" s="391">
        <f t="shared" si="102"/>
        <v>30.602406319214953</v>
      </c>
      <c r="E320" s="383">
        <f t="shared" si="125"/>
        <v>31.429582983944549</v>
      </c>
      <c r="F320" s="383">
        <f t="shared" si="103"/>
        <v>31.678848169656735</v>
      </c>
      <c r="G320" s="110">
        <f t="shared" si="126"/>
        <v>0.93200667436732654</v>
      </c>
      <c r="H320" s="412" t="b">
        <f>Wh_hp&gt;='2024'!Maxi_hp</f>
        <v>0</v>
      </c>
      <c r="I320" s="388">
        <f>IF(H320,Wh_hp,'2024'!Maxi_hp)</f>
        <v>31.694440919259218</v>
      </c>
      <c r="J320" s="85">
        <f>IF(H320,An,'2024'!An_max)</f>
        <v>2022</v>
      </c>
      <c r="K320" s="197">
        <f t="shared" si="104"/>
        <v>45963</v>
      </c>
      <c r="L320" s="147">
        <f>IF(t&lt;Tvie,1-EXP((T0-t)*PertePVj)+'2024'!Pspv,1-EXP((T0-t)*PertePVj)+Pspv)</f>
        <v>4.6453816713570184E-2</v>
      </c>
      <c r="M320" s="832"/>
      <c r="N320" s="832"/>
      <c r="O320" s="48">
        <f>IF(t&lt;Tnet,'2024'!Resal+('2024'!Salim-'2024'!Resal)*(1-EXP(('2024'!Tnet-t)/('2024'!Tau_j))),Resal+(Salim-Resal)*(1-EXP((Tnet-t)/(Tau_j))))*Salcycl</f>
        <v>2.6318410433639843E-2</v>
      </c>
      <c r="P320" s="169">
        <f>(INDEX(Models!$BJ320:$BT320,,T320)*(1-R320)+INDEX(Models!$BJ320:$BT320,,T320+1)*R320-ERP_i)*Q320*Ramure*Pc/MaxiM</f>
        <v>8.7042034984671206E-3</v>
      </c>
      <c r="Q320" s="304">
        <f t="shared" si="105"/>
        <v>0.6</v>
      </c>
      <c r="R320" s="177">
        <f t="shared" si="106"/>
        <v>0.99798741088702037</v>
      </c>
      <c r="S320" s="799">
        <f t="shared" si="107"/>
        <v>1</v>
      </c>
      <c r="T320" s="176">
        <f t="shared" si="108"/>
        <v>7</v>
      </c>
      <c r="U320" s="250">
        <f t="shared" si="109"/>
        <v>1.9979874108870204</v>
      </c>
      <c r="V320" s="382">
        <f t="shared" si="110"/>
        <v>31.283282398583278</v>
      </c>
      <c r="W320" s="400">
        <f t="shared" si="111"/>
        <v>29.180807745067941</v>
      </c>
      <c r="X320" s="157">
        <f t="shared" si="112"/>
        <v>45963</v>
      </c>
      <c r="Y320" s="383">
        <f t="shared" si="113"/>
        <v>27.817392928080235</v>
      </c>
      <c r="Z320" s="383">
        <f t="shared" si="114"/>
        <v>29.172570155130433</v>
      </c>
      <c r="AA320" s="384">
        <f t="shared" si="115"/>
        <v>31.429582983944549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7.1811733231302632E-2</v>
      </c>
      <c r="AD320" s="230">
        <f>(INDEX(Models!$BJ320:$BT320,,AH320)*(1-AF320)+INDEX(Models!$BJ320:$BT320,,AH320+1)*AF320-ERP_i)*AE320*Ramure*Pc/MaxiM</f>
        <v>8.7042034984671206E-3</v>
      </c>
      <c r="AE320" s="304">
        <f t="shared" si="117"/>
        <v>0.6</v>
      </c>
      <c r="AF320" s="177">
        <f t="shared" si="118"/>
        <v>0.99798741088702037</v>
      </c>
      <c r="AG320" s="799">
        <f t="shared" si="124"/>
        <v>1</v>
      </c>
      <c r="AH320" s="176">
        <f t="shared" si="119"/>
        <v>7</v>
      </c>
      <c r="AI320" s="224">
        <f t="shared" si="120"/>
        <v>1.9979874108870204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'2024'!Wh/'2024'!Env_an*'2025'!Env_an</f>
        <v>10.242401889190379</v>
      </c>
      <c r="C321" s="829"/>
      <c r="D321" s="391">
        <f t="shared" si="102"/>
        <v>10.741585846368174</v>
      </c>
      <c r="E321" s="383">
        <f t="shared" si="125"/>
        <v>11.032719388058597</v>
      </c>
      <c r="F321" s="383">
        <f t="shared" si="103"/>
        <v>11.037004710201407</v>
      </c>
      <c r="G321" s="110">
        <f t="shared" si="126"/>
        <v>0.32792352225054561</v>
      </c>
      <c r="H321" s="412" t="b">
        <f>Wh_hp&gt;='2024'!Maxi_hp</f>
        <v>0</v>
      </c>
      <c r="I321" s="388">
        <f>IF(H321,Wh_hp,'2024'!Maxi_hp)</f>
        <v>29.614967506581426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4.6472091208634048E-2</v>
      </c>
      <c r="M321" s="832"/>
      <c r="N321" s="832"/>
      <c r="O321" s="48">
        <f>IF(t&lt;Tnet,'2024'!Resal+('2024'!Salim-'2024'!Resal)*(1-EXP(('2024'!Tnet-t)/('2024'!Tau_j))),Resal+(Salim-Resal)*(1-EXP((Tnet-t)/(Tau_j))))*Salcycl</f>
        <v>2.6388194193131945E-2</v>
      </c>
      <c r="P321" s="169">
        <f>(INDEX(Models!$BJ321:$BT321,,T321)*(1-R321)+INDEX(Models!$BJ321:$BT321,,T321+1)*R321-ERP_i)*Q321*Ramure*Pc/MaxiM</f>
        <v>8.8466912316121464E-3</v>
      </c>
      <c r="Q321" s="304">
        <f t="shared" si="105"/>
        <v>0.6</v>
      </c>
      <c r="R321" s="177">
        <f t="shared" si="106"/>
        <v>0.99803923220241364</v>
      </c>
      <c r="S321" s="799">
        <f t="shared" si="107"/>
        <v>1</v>
      </c>
      <c r="T321" s="176">
        <f t="shared" si="108"/>
        <v>7</v>
      </c>
      <c r="U321" s="250">
        <f t="shared" si="109"/>
        <v>1.9980392322024136</v>
      </c>
      <c r="V321" s="382">
        <f t="shared" si="110"/>
        <v>30.969823710104986</v>
      </c>
      <c r="W321" s="400">
        <f t="shared" si="111"/>
        <v>10.242401889190379</v>
      </c>
      <c r="X321" s="157">
        <f t="shared" si="112"/>
        <v>45964</v>
      </c>
      <c r="Y321" s="383">
        <f t="shared" si="113"/>
        <v>9.7646413953257749</v>
      </c>
      <c r="Z321" s="383">
        <f t="shared" si="114"/>
        <v>10.24054073855357</v>
      </c>
      <c r="AA321" s="384">
        <f t="shared" si="115"/>
        <v>11.032719388058597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7.1802664569031949E-2</v>
      </c>
      <c r="AD321" s="230">
        <f>(INDEX(Models!$BJ321:$BT321,,AH321)*(1-AF321)+INDEX(Models!$BJ321:$BT321,,AH321+1)*AF321-ERP_i)*AE321*Ramure*Pc/MaxiM</f>
        <v>8.8466912316121464E-3</v>
      </c>
      <c r="AE321" s="304">
        <f t="shared" si="117"/>
        <v>0.6</v>
      </c>
      <c r="AF321" s="177">
        <f t="shared" si="118"/>
        <v>0.99803923220241364</v>
      </c>
      <c r="AG321" s="799">
        <f t="shared" si="124"/>
        <v>1</v>
      </c>
      <c r="AH321" s="176">
        <f t="shared" si="119"/>
        <v>7</v>
      </c>
      <c r="AI321" s="224">
        <f t="shared" si="120"/>
        <v>1.9980392322024136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'2024'!Wh/'2024'!Env_an*'2025'!Env_an</f>
        <v>17.687499081013375</v>
      </c>
      <c r="C322" s="829"/>
      <c r="D322" s="391">
        <f t="shared" si="102"/>
        <v>18.549890256295342</v>
      </c>
      <c r="E322" s="383">
        <f t="shared" si="125"/>
        <v>19.054017753040945</v>
      </c>
      <c r="F322" s="383">
        <f t="shared" si="103"/>
        <v>19.12202553974112</v>
      </c>
      <c r="G322" s="110">
        <f t="shared" si="126"/>
        <v>0.57376567665748901</v>
      </c>
      <c r="H322" s="412" t="b">
        <f>Wh_hp&gt;='2024'!Maxi_hp</f>
        <v>0</v>
      </c>
      <c r="I322" s="388">
        <f>IF(H322,Wh_hp,'2024'!Maxi_hp)</f>
        <v>19.183080529065357</v>
      </c>
      <c r="J322" s="85">
        <f>IF(H322,An,'2024'!An_max)</f>
        <v>2022</v>
      </c>
      <c r="K322" s="197">
        <f t="shared" si="104"/>
        <v>45965</v>
      </c>
      <c r="L322" s="147">
        <f>IF(t&lt;Tvie,1-EXP((T0-t)*PertePVj)+'2024'!Pspv,1-EXP((T0-t)*PertePVj)+Pspv)</f>
        <v>4.6490365353471286E-2</v>
      </c>
      <c r="M322" s="832"/>
      <c r="N322" s="832"/>
      <c r="O322" s="48">
        <f>IF(t&lt;Tnet,'2024'!Resal+('2024'!Salim-'2024'!Resal)*(1-EXP(('2024'!Tnet-t)/('2024'!Tau_j))),Resal+(Salim-Resal)*(1-EXP((Tnet-t)/(Tau_j))))*Salcycl</f>
        <v>2.6457805554691849E-2</v>
      </c>
      <c r="P322" s="169">
        <f>(INDEX(Models!$BJ322:$BT322,,T322)*(1-R322)+INDEX(Models!$BJ322:$BT322,,T322+1)*R322-ERP_i)*Q322*Ramure*Pc/MaxiM</f>
        <v>8.9904489278139505E-3</v>
      </c>
      <c r="Q322" s="304">
        <f t="shared" si="105"/>
        <v>0.6</v>
      </c>
      <c r="R322" s="177">
        <f t="shared" si="106"/>
        <v>0.99808897715258604</v>
      </c>
      <c r="S322" s="799">
        <f t="shared" si="107"/>
        <v>1</v>
      </c>
      <c r="T322" s="176">
        <f t="shared" si="108"/>
        <v>7</v>
      </c>
      <c r="U322" s="250">
        <f t="shared" si="109"/>
        <v>1.998088977152586</v>
      </c>
      <c r="V322" s="382">
        <f t="shared" si="110"/>
        <v>30.658932842810678</v>
      </c>
      <c r="W322" s="400">
        <f t="shared" si="111"/>
        <v>17.687499081013375</v>
      </c>
      <c r="X322" s="157">
        <f t="shared" si="112"/>
        <v>45965</v>
      </c>
      <c r="Y322" s="383">
        <f t="shared" si="113"/>
        <v>16.863829560617109</v>
      </c>
      <c r="Z322" s="383">
        <f t="shared" si="114"/>
        <v>17.686060998081707</v>
      </c>
      <c r="AA322" s="384">
        <f t="shared" si="115"/>
        <v>19.054017753040945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7.1793611861252576E-2</v>
      </c>
      <c r="AD322" s="230">
        <f>(INDEX(Models!$BJ322:$BT322,,AH322)*(1-AF322)+INDEX(Models!$BJ322:$BT322,,AH322+1)*AF322-ERP_i)*AE322*Ramure*Pc/MaxiM</f>
        <v>8.9904489278139505E-3</v>
      </c>
      <c r="AE322" s="304">
        <f t="shared" si="117"/>
        <v>0.6</v>
      </c>
      <c r="AF322" s="177">
        <f t="shared" si="118"/>
        <v>0.99808897715258604</v>
      </c>
      <c r="AG322" s="799">
        <f t="shared" si="124"/>
        <v>1</v>
      </c>
      <c r="AH322" s="176">
        <f t="shared" si="119"/>
        <v>7</v>
      </c>
      <c r="AI322" s="224">
        <f t="shared" si="120"/>
        <v>1.998088977152586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'2024'!Wh/'2024'!Env_an*'2025'!Env_an</f>
        <v>30.126530578625651</v>
      </c>
      <c r="C323" s="829"/>
      <c r="D323" s="391">
        <f t="shared" si="102"/>
        <v>31.596018396756786</v>
      </c>
      <c r="E323" s="383">
        <f t="shared" si="125"/>
        <v>32.457014476377864</v>
      </c>
      <c r="F323" s="383">
        <f t="shared" si="103"/>
        <v>32.753069162352325</v>
      </c>
      <c r="G323" s="110">
        <f t="shared" si="126"/>
        <v>0.99251048021338528</v>
      </c>
      <c r="H323" s="412" t="b">
        <f>Wh_hp&gt;='2024'!Maxi_hp</f>
        <v>0</v>
      </c>
      <c r="I323" s="388">
        <f>IF(H323,Wh_hp,'2024'!Maxi_hp)</f>
        <v>32.754929856109037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4.6508639148088782E-2</v>
      </c>
      <c r="M323" s="832"/>
      <c r="N323" s="832"/>
      <c r="O323" s="48">
        <f>IF(t&lt;Tnet,'2024'!Resal+('2024'!Salim-'2024'!Resal)*(1-EXP(('2024'!Tnet-t)/('2024'!Tau_j))),Resal+(Salim-Resal)*(1-EXP((Tnet-t)/(Tau_j))))*Salcycl</f>
        <v>2.6527272871869092E-2</v>
      </c>
      <c r="P323" s="169">
        <f>(INDEX(Models!$BJ323:$BT323,,T323)*(1-R323)+INDEX(Models!$BJ323:$BT323,,T323+1)*R323-ERP_i)*Q323*Ramure*Pc/MaxiM</f>
        <v>9.1354726950365304E-3</v>
      </c>
      <c r="Q323" s="304">
        <f t="shared" si="105"/>
        <v>0.6</v>
      </c>
      <c r="R323" s="177">
        <f t="shared" si="106"/>
        <v>0.99813672854297542</v>
      </c>
      <c r="S323" s="799">
        <f t="shared" si="107"/>
        <v>1</v>
      </c>
      <c r="T323" s="176">
        <f t="shared" si="108"/>
        <v>7</v>
      </c>
      <c r="U323" s="250">
        <f t="shared" si="109"/>
        <v>1.9981367285429754</v>
      </c>
      <c r="V323" s="382">
        <f t="shared" si="110"/>
        <v>30.350911145960801</v>
      </c>
      <c r="W323" s="400">
        <f t="shared" si="111"/>
        <v>30.126530578625651</v>
      </c>
      <c r="X323" s="157">
        <f t="shared" si="112"/>
        <v>45966</v>
      </c>
      <c r="Y323" s="383">
        <f t="shared" si="113"/>
        <v>28.725928666731743</v>
      </c>
      <c r="Z323" s="383">
        <f t="shared" si="114"/>
        <v>30.127099044784348</v>
      </c>
      <c r="AA323" s="384">
        <f t="shared" si="115"/>
        <v>32.457014476377864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7.1784650226816862E-2</v>
      </c>
      <c r="AD323" s="230">
        <f>(INDEX(Models!$BJ323:$BT323,,AH323)*(1-AF323)+INDEX(Models!$BJ323:$BT323,,AH323+1)*AF323-ERP_i)*AE323*Ramure*Pc/MaxiM</f>
        <v>9.1354726950365304E-3</v>
      </c>
      <c r="AE323" s="304">
        <f t="shared" si="117"/>
        <v>0.6</v>
      </c>
      <c r="AF323" s="177">
        <f t="shared" si="118"/>
        <v>0.99813672854297542</v>
      </c>
      <c r="AG323" s="799">
        <f t="shared" si="124"/>
        <v>1</v>
      </c>
      <c r="AH323" s="176">
        <f t="shared" si="119"/>
        <v>7</v>
      </c>
      <c r="AI323" s="224">
        <f t="shared" si="120"/>
        <v>1.9981367285429754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'2024'!Wh/'2024'!Env_an*'2025'!Env_an</f>
        <v>30.080976694017263</v>
      </c>
      <c r="C324" s="829"/>
      <c r="D324" s="391">
        <f t="shared" si="102"/>
        <v>31.548847147649898</v>
      </c>
      <c r="E324" s="383">
        <f t="shared" si="125"/>
        <v>32.41086681242777</v>
      </c>
      <c r="F324" s="383">
        <f t="shared" si="103"/>
        <v>32.714436469052202</v>
      </c>
      <c r="G324" s="110">
        <f t="shared" si="126"/>
        <v>1.0011597115070363</v>
      </c>
      <c r="H324" s="412" t="b">
        <f>Wh_hp&gt;='2024'!Maxi_hp</f>
        <v>1</v>
      </c>
      <c r="I324" s="388">
        <f>IF(H324,Wh_hp,'2024'!Maxi_hp)</f>
        <v>32.714436469052202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4.6526912592493197E-2</v>
      </c>
      <c r="M324" s="832"/>
      <c r="N324" s="832"/>
      <c r="O324" s="48">
        <f>IF(t&lt;Tnet,'2024'!Resal+('2024'!Salim-'2024'!Resal)*(1-EXP(('2024'!Tnet-t)/('2024'!Tau_j))),Resal+(Salim-Resal)*(1-EXP((Tnet-t)/(Tau_j))))*Salcycl</f>
        <v>2.6596624822367815E-2</v>
      </c>
      <c r="P324" s="169">
        <f>(INDEX(Models!$BJ324:$BT324,,T324)*(1-R324)+INDEX(Models!$BJ324:$BT324,,T324+1)*R324-ERP_i)*Q324*Ramure*Pc/MaxiM</f>
        <v>9.2793790567538715E-3</v>
      </c>
      <c r="Q324" s="304">
        <f t="shared" si="105"/>
        <v>0.6</v>
      </c>
      <c r="R324" s="177">
        <f t="shared" si="106"/>
        <v>0.99818256590744459</v>
      </c>
      <c r="S324" s="799">
        <f t="shared" si="107"/>
        <v>1</v>
      </c>
      <c r="T324" s="176">
        <f t="shared" si="108"/>
        <v>7</v>
      </c>
      <c r="U324" s="250">
        <f t="shared" si="109"/>
        <v>1.9981825659074446</v>
      </c>
      <c r="V324" s="382">
        <f t="shared" si="110"/>
        <v>30.04613184916985</v>
      </c>
      <c r="W324" s="400">
        <f t="shared" si="111"/>
        <v>30.080976694017263</v>
      </c>
      <c r="X324" s="157">
        <f t="shared" si="112"/>
        <v>45967</v>
      </c>
      <c r="Y324" s="383">
        <f t="shared" si="113"/>
        <v>28.684807952424809</v>
      </c>
      <c r="Z324" s="383">
        <f t="shared" si="114"/>
        <v>30.084549140677687</v>
      </c>
      <c r="AA324" s="384">
        <f t="shared" si="115"/>
        <v>32.41086681242777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7.1775854845636713E-2</v>
      </c>
      <c r="AD324" s="230">
        <f>(INDEX(Models!$BJ324:$BT324,,AH324)*(1-AF324)+INDEX(Models!$BJ324:$BT324,,AH324+1)*AF324-ERP_i)*AE324*Ramure*Pc/MaxiM</f>
        <v>9.2793790567538715E-3</v>
      </c>
      <c r="AE324" s="304">
        <f t="shared" si="117"/>
        <v>0.6</v>
      </c>
      <c r="AF324" s="177">
        <f t="shared" si="118"/>
        <v>0.99818256590744459</v>
      </c>
      <c r="AG324" s="799">
        <f t="shared" si="124"/>
        <v>1</v>
      </c>
      <c r="AH324" s="176">
        <f t="shared" si="119"/>
        <v>7</v>
      </c>
      <c r="AI324" s="224">
        <f t="shared" si="120"/>
        <v>1.9981825659074446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'2024'!Wh/'2024'!Env_an*'2025'!Env_an</f>
        <v>28.213815484913276</v>
      </c>
      <c r="C325" s="829"/>
      <c r="D325" s="391">
        <f t="shared" si="102"/>
        <v>29.591140619740067</v>
      </c>
      <c r="E325" s="383">
        <f t="shared" si="125"/>
        <v>30.401832550832268</v>
      </c>
      <c r="F325" s="383">
        <f t="shared" si="103"/>
        <v>30.66961920797495</v>
      </c>
      <c r="G325" s="110">
        <f t="shared" si="126"/>
        <v>0.94786531113262562</v>
      </c>
      <c r="H325" s="412" t="b">
        <f>Wh_hp&gt;='2024'!Maxi_hp</f>
        <v>0</v>
      </c>
      <c r="I325" s="388">
        <f>IF(H325,Wh_hp,'2024'!Maxi_hp)</f>
        <v>30.682125298124948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4.6545185686691193E-2</v>
      </c>
      <c r="M325" s="832"/>
      <c r="N325" s="832"/>
      <c r="O325" s="48">
        <f>IF(t&lt;Tnet,'2024'!Resal+('2024'!Salim-'2024'!Resal)*(1-EXP(('2024'!Tnet-t)/('2024'!Tau_j))),Resal+(Salim-Resal)*(1-EXP((Tnet-t)/(Tau_j))))*Salcycl</f>
        <v>2.6665890279367586E-2</v>
      </c>
      <c r="P325" s="169">
        <f>(INDEX(Models!$BJ325:$BT325,,T325)*(1-R325)+INDEX(Models!$BJ325:$BT325,,T325+1)*R325-ERP_i)*Q325*Ramure*Pc/MaxiM</f>
        <v>9.4243104578951176E-3</v>
      </c>
      <c r="Q325" s="304">
        <f t="shared" si="105"/>
        <v>0.6</v>
      </c>
      <c r="R325" s="177">
        <f t="shared" si="106"/>
        <v>0.99822656563511569</v>
      </c>
      <c r="S325" s="799">
        <f t="shared" si="107"/>
        <v>1</v>
      </c>
      <c r="T325" s="176">
        <f t="shared" si="108"/>
        <v>7</v>
      </c>
      <c r="U325" s="250">
        <f t="shared" si="109"/>
        <v>1.9982265656351157</v>
      </c>
      <c r="V325" s="382">
        <f t="shared" si="110"/>
        <v>29.744829143895469</v>
      </c>
      <c r="W325" s="400">
        <f t="shared" si="111"/>
        <v>28.213815484913276</v>
      </c>
      <c r="X325" s="157">
        <f t="shared" si="112"/>
        <v>45968</v>
      </c>
      <c r="Y325" s="383">
        <f t="shared" si="113"/>
        <v>26.906471114015588</v>
      </c>
      <c r="Z325" s="383">
        <f t="shared" si="114"/>
        <v>28.219975094880606</v>
      </c>
      <c r="AA325" s="384">
        <f t="shared" si="115"/>
        <v>30.401832550832268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7.1767300615960136E-2</v>
      </c>
      <c r="AD325" s="230">
        <f>(INDEX(Models!$BJ325:$BT325,,AH325)*(1-AF325)+INDEX(Models!$BJ325:$BT325,,AH325+1)*AF325-ERP_i)*AE325*Ramure*Pc/MaxiM</f>
        <v>9.4243104578951176E-3</v>
      </c>
      <c r="AE325" s="304">
        <f t="shared" si="117"/>
        <v>0.6</v>
      </c>
      <c r="AF325" s="177">
        <f t="shared" si="118"/>
        <v>0.99822656563511569</v>
      </c>
      <c r="AG325" s="799">
        <f t="shared" si="124"/>
        <v>1</v>
      </c>
      <c r="AH325" s="176">
        <f t="shared" si="119"/>
        <v>7</v>
      </c>
      <c r="AI325" s="224">
        <f t="shared" si="120"/>
        <v>1.9982265656351157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'2024'!Wh/'2024'!Env_an*'2025'!Env_an</f>
        <v>20.34416160047676</v>
      </c>
      <c r="C326" s="829"/>
      <c r="D326" s="391">
        <f t="shared" si="102"/>
        <v>21.337719621057584</v>
      </c>
      <c r="E326" s="383">
        <f t="shared" si="125"/>
        <v>21.923856065457219</v>
      </c>
      <c r="F326" s="383">
        <f t="shared" si="103"/>
        <v>22.041643445536884</v>
      </c>
      <c r="G326" s="110">
        <f t="shared" si="126"/>
        <v>0.68793113982139198</v>
      </c>
      <c r="H326" s="412" t="b">
        <f>Wh_hp&gt;='2024'!Maxi_hp</f>
        <v>0</v>
      </c>
      <c r="I326" s="388">
        <f>IF(H326,Wh_hp,'2024'!Maxi_hp)</f>
        <v>24.301685975957074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4.6563458430689542E-2</v>
      </c>
      <c r="M326" s="832"/>
      <c r="N326" s="832"/>
      <c r="O326" s="48">
        <f>IF(t&lt;Tnet,'2024'!Resal+('2024'!Salim-'2024'!Resal)*(1-EXP(('2024'!Tnet-t)/('2024'!Tau_j))),Resal+(Salim-Resal)*(1-EXP((Tnet-t)/(Tau_j))))*Salcycl</f>
        <v>2.6735098180248582E-2</v>
      </c>
      <c r="P326" s="169">
        <f>(INDEX(Models!$BJ326:$BT326,,T326)*(1-R326)+INDEX(Models!$BJ326:$BT326,,T326+1)*R326-ERP_i)*Q326*Ramure*Pc/MaxiM</f>
        <v>9.5702689028483012E-3</v>
      </c>
      <c r="Q326" s="304">
        <f t="shared" si="105"/>
        <v>0.6</v>
      </c>
      <c r="R326" s="177">
        <f t="shared" si="106"/>
        <v>0.99826880109248162</v>
      </c>
      <c r="S326" s="799">
        <f t="shared" si="107"/>
        <v>1</v>
      </c>
      <c r="T326" s="176">
        <f t="shared" si="108"/>
        <v>7</v>
      </c>
      <c r="U326" s="250">
        <f t="shared" si="109"/>
        <v>1.9982688010924816</v>
      </c>
      <c r="V326" s="382">
        <f t="shared" si="110"/>
        <v>29.447303171720403</v>
      </c>
      <c r="W326" s="400">
        <f t="shared" si="111"/>
        <v>20.34416160047676</v>
      </c>
      <c r="X326" s="157">
        <f t="shared" si="112"/>
        <v>45969</v>
      </c>
      <c r="Y326" s="383">
        <f t="shared" si="113"/>
        <v>19.403025440866504</v>
      </c>
      <c r="Z326" s="383">
        <f t="shared" si="114"/>
        <v>20.350620722937744</v>
      </c>
      <c r="AA326" s="384">
        <f t="shared" si="115"/>
        <v>21.923856065457219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7.175906181021828E-2</v>
      </c>
      <c r="AD326" s="230">
        <f>(INDEX(Models!$BJ326:$BT326,,AH326)*(1-AF326)+INDEX(Models!$BJ326:$BT326,,AH326+1)*AF326-ERP_i)*AE326*Ramure*Pc/MaxiM</f>
        <v>9.5702689028483012E-3</v>
      </c>
      <c r="AE326" s="304">
        <f t="shared" si="117"/>
        <v>0.6</v>
      </c>
      <c r="AF326" s="177">
        <f t="shared" si="118"/>
        <v>0.99826880109248162</v>
      </c>
      <c r="AG326" s="799">
        <f t="shared" si="124"/>
        <v>1</v>
      </c>
      <c r="AH326" s="176">
        <f t="shared" si="119"/>
        <v>7</v>
      </c>
      <c r="AI326" s="224">
        <f t="shared" si="120"/>
        <v>1.9982688010924816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'2024'!Wh/'2024'!Env_an*'2025'!Env_an</f>
        <v>10.020026191350064</v>
      </c>
      <c r="C327" s="829"/>
      <c r="D327" s="391">
        <f t="shared" si="102"/>
        <v>10.509580648181998</v>
      </c>
      <c r="E327" s="383">
        <f t="shared" si="125"/>
        <v>10.799041142552133</v>
      </c>
      <c r="F327" s="383">
        <f t="shared" si="103"/>
        <v>10.805595400351089</v>
      </c>
      <c r="G327" s="110">
        <f t="shared" si="126"/>
        <v>0.34056154118187887</v>
      </c>
      <c r="H327" s="412" t="b">
        <f>Wh_hp&gt;='2024'!Maxi_hp</f>
        <v>0</v>
      </c>
      <c r="I327" s="388">
        <f>IF(H327,Wh_hp,'2024'!Maxi_hp)</f>
        <v>24.305673600704964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4.6581730824494905E-2</v>
      </c>
      <c r="M327" s="832"/>
      <c r="N327" s="832"/>
      <c r="O327" s="48">
        <f>IF(t&lt;Tnet,'2024'!Resal+('2024'!Salim-'2024'!Resal)*(1-EXP(('2024'!Tnet-t)/('2024'!Tau_j))),Resal+(Salim-Resal)*(1-EXP((Tnet-t)/(Tau_j))))*Salcycl</f>
        <v>2.6804277393624825E-2</v>
      </c>
      <c r="P327" s="169">
        <f>(INDEX(Models!$BJ327:$BT327,,T327)*(1-R327)+INDEX(Models!$BJ327:$BT327,,T327+1)*R327-ERP_i)*Q327*Ramure*Pc/MaxiM</f>
        <v>9.7172572312716372E-3</v>
      </c>
      <c r="Q327" s="304">
        <f t="shared" si="105"/>
        <v>0.6</v>
      </c>
      <c r="R327" s="177">
        <f t="shared" si="106"/>
        <v>0.99830934274095129</v>
      </c>
      <c r="S327" s="799">
        <f t="shared" si="107"/>
        <v>1</v>
      </c>
      <c r="T327" s="176">
        <f t="shared" si="108"/>
        <v>7</v>
      </c>
      <c r="U327" s="250">
        <f t="shared" si="109"/>
        <v>1.9983093427409513</v>
      </c>
      <c r="V327" s="382">
        <f t="shared" si="110"/>
        <v>29.153853780639718</v>
      </c>
      <c r="W327" s="400">
        <f t="shared" si="111"/>
        <v>10.020026191350064</v>
      </c>
      <c r="X327" s="157">
        <f t="shared" si="112"/>
        <v>45970</v>
      </c>
      <c r="Y327" s="383">
        <f t="shared" si="113"/>
        <v>9.5572524153991036</v>
      </c>
      <c r="Z327" s="383">
        <f t="shared" si="114"/>
        <v>10.024196855031951</v>
      </c>
      <c r="AA327" s="384">
        <f t="shared" si="115"/>
        <v>10.799041142552133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7.1751211731846745E-2</v>
      </c>
      <c r="AD327" s="230">
        <f>(INDEX(Models!$BJ327:$BT327,,AH327)*(1-AF327)+INDEX(Models!$BJ327:$BT327,,AH327+1)*AF327-ERP_i)*AE327*Ramure*Pc/MaxiM</f>
        <v>9.7172572312716372E-3</v>
      </c>
      <c r="AE327" s="304">
        <f t="shared" si="117"/>
        <v>0.6</v>
      </c>
      <c r="AF327" s="177">
        <f t="shared" si="118"/>
        <v>0.99830934274095129</v>
      </c>
      <c r="AG327" s="799">
        <f t="shared" si="124"/>
        <v>1</v>
      </c>
      <c r="AH327" s="176">
        <f t="shared" si="119"/>
        <v>7</v>
      </c>
      <c r="AI327" s="224">
        <f t="shared" si="120"/>
        <v>1.9983093427409513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'2024'!Wh/'2024'!Env_an*'2025'!Env_an</f>
        <v>20.229672412857777</v>
      </c>
      <c r="C328" s="829"/>
      <c r="D328" s="391">
        <f t="shared" si="102"/>
        <v>21.218452353382332</v>
      </c>
      <c r="E328" s="383">
        <f t="shared" si="125"/>
        <v>21.804412280168222</v>
      </c>
      <c r="F328" s="383">
        <f t="shared" si="103"/>
        <v>21.928289113970362</v>
      </c>
      <c r="G328" s="110">
        <f t="shared" si="126"/>
        <v>0.69787114837038855</v>
      </c>
      <c r="H328" s="412" t="b">
        <f>Wh_hp&gt;='2024'!Maxi_hp</f>
        <v>0</v>
      </c>
      <c r="I328" s="388">
        <f>IF(H328,Wh_hp,'2024'!Maxi_hp)</f>
        <v>21.982513703587411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4.6600002868113943E-2</v>
      </c>
      <c r="M328" s="832"/>
      <c r="N328" s="832"/>
      <c r="O328" s="48">
        <f>IF(t&lt;Tnet,'2024'!Resal+('2024'!Salim-'2024'!Resal)*(1-EXP(('2024'!Tnet-t)/('2024'!Tau_j))),Resal+(Salim-Resal)*(1-EXP((Tnet-t)/(Tau_j))))*Salcycl</f>
        <v>2.6873456585612184E-2</v>
      </c>
      <c r="P328" s="169">
        <f>(INDEX(Models!$BJ328:$BT328,,T328)*(1-R328)+INDEX(Models!$BJ328:$BT328,,T328+1)*R328-ERP_i)*Q328*Ramure*Pc/MaxiM</f>
        <v>9.8652784143334078E-3</v>
      </c>
      <c r="Q328" s="304">
        <f t="shared" si="105"/>
        <v>0.6</v>
      </c>
      <c r="R328" s="177">
        <f t="shared" si="106"/>
        <v>0.9983482582499863</v>
      </c>
      <c r="S328" s="799">
        <f t="shared" si="107"/>
        <v>1</v>
      </c>
      <c r="T328" s="176">
        <f t="shared" si="108"/>
        <v>7</v>
      </c>
      <c r="U328" s="250">
        <f t="shared" si="109"/>
        <v>1.9983482582499863</v>
      </c>
      <c r="V328" s="382">
        <f t="shared" si="110"/>
        <v>28.864780547921349</v>
      </c>
      <c r="W328" s="400">
        <f t="shared" si="111"/>
        <v>20.229672412857777</v>
      </c>
      <c r="X328" s="157">
        <f t="shared" si="112"/>
        <v>45971</v>
      </c>
      <c r="Y328" s="383">
        <f t="shared" si="113"/>
        <v>19.29689259391505</v>
      </c>
      <c r="Z328" s="383">
        <f t="shared" si="114"/>
        <v>20.240080398537767</v>
      </c>
      <c r="AA328" s="384">
        <f t="shared" si="115"/>
        <v>21.804412280168222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7.174382237549512E-2</v>
      </c>
      <c r="AD328" s="230">
        <f>(INDEX(Models!$BJ328:$BT328,,AH328)*(1-AF328)+INDEX(Models!$BJ328:$BT328,,AH328+1)*AF328-ERP_i)*AE328*Ramure*Pc/MaxiM</f>
        <v>9.8652784143334078E-3</v>
      </c>
      <c r="AE328" s="304">
        <f t="shared" si="117"/>
        <v>0.6</v>
      </c>
      <c r="AF328" s="177">
        <f t="shared" si="118"/>
        <v>0.9983482582499863</v>
      </c>
      <c r="AG328" s="799">
        <f t="shared" si="124"/>
        <v>1</v>
      </c>
      <c r="AH328" s="176">
        <f t="shared" si="119"/>
        <v>7</v>
      </c>
      <c r="AI328" s="224">
        <f t="shared" si="120"/>
        <v>1.9983482582499863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'2024'!Wh/'2024'!Env_an*'2025'!Env_an</f>
        <v>27.670075925860669</v>
      </c>
      <c r="C329" s="829"/>
      <c r="D329" s="391">
        <f t="shared" si="102"/>
        <v>29.023081927792983</v>
      </c>
      <c r="E329" s="383">
        <f t="shared" si="125"/>
        <v>29.826692484199341</v>
      </c>
      <c r="F329" s="383">
        <f t="shared" si="103"/>
        <v>30.114547556587151</v>
      </c>
      <c r="G329" s="110">
        <f t="shared" si="126"/>
        <v>0.96770383398570492</v>
      </c>
      <c r="H329" s="412" t="b">
        <f>Wh_hp&gt;='2024'!Maxi_hp</f>
        <v>0</v>
      </c>
      <c r="I329" s="388">
        <f>IF(H329,Wh_hp,'2024'!Maxi_hp)</f>
        <v>30.122601545435955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4.6618274561553541E-2</v>
      </c>
      <c r="M329" s="832"/>
      <c r="N329" s="832"/>
      <c r="O329" s="48">
        <f>IF(t&lt;Tnet,'2024'!Resal+('2024'!Salim-'2024'!Resal)*(1-EXP(('2024'!Tnet-t)/('2024'!Tau_j))),Resal+(Salim-Resal)*(1-EXP((Tnet-t)/(Tau_j))))*Salcycl</f>
        <v>2.6942664086273486E-2</v>
      </c>
      <c r="P329" s="169">
        <f>(INDEX(Models!$BJ329:$BT329,,T329)*(1-R329)+INDEX(Models!$BJ329:$BT329,,T329+1)*R329-ERP_i)*Q329*Ramure*Pc/MaxiM</f>
        <v>1.0014334747788754E-2</v>
      </c>
      <c r="Q329" s="304">
        <f t="shared" si="105"/>
        <v>0.6</v>
      </c>
      <c r="R329" s="177">
        <f t="shared" si="106"/>
        <v>0.99838561260598357</v>
      </c>
      <c r="S329" s="799">
        <f t="shared" si="107"/>
        <v>1</v>
      </c>
      <c r="T329" s="176">
        <f t="shared" si="108"/>
        <v>7</v>
      </c>
      <c r="U329" s="250">
        <f t="shared" si="109"/>
        <v>1.9983856126059836</v>
      </c>
      <c r="V329" s="382">
        <f t="shared" si="110"/>
        <v>28.580382800332416</v>
      </c>
      <c r="W329" s="400">
        <f t="shared" si="111"/>
        <v>27.670075925860669</v>
      </c>
      <c r="X329" s="157">
        <f t="shared" si="112"/>
        <v>45972</v>
      </c>
      <c r="Y329" s="383">
        <f t="shared" si="113"/>
        <v>26.396295197339843</v>
      </c>
      <c r="Z329" s="383">
        <f t="shared" si="114"/>
        <v>27.687016116446504</v>
      </c>
      <c r="AA329" s="384">
        <f t="shared" si="115"/>
        <v>29.826692484199341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7.1736964093029473E-2</v>
      </c>
      <c r="AD329" s="230">
        <f>(INDEX(Models!$BJ329:$BT329,,AH329)*(1-AF329)+INDEX(Models!$BJ329:$BT329,,AH329+1)*AF329-ERP_i)*AE329*Ramure*Pc/MaxiM</f>
        <v>1.0014334747788754E-2</v>
      </c>
      <c r="AE329" s="304">
        <f t="shared" si="117"/>
        <v>0.6</v>
      </c>
      <c r="AF329" s="177">
        <f t="shared" si="118"/>
        <v>0.99838561260598357</v>
      </c>
      <c r="AG329" s="799">
        <f t="shared" si="124"/>
        <v>1</v>
      </c>
      <c r="AH329" s="176">
        <f t="shared" si="119"/>
        <v>7</v>
      </c>
      <c r="AI329" s="224">
        <f t="shared" si="120"/>
        <v>1.9983856126059836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'2024'!Wh/'2024'!Env_an*'2025'!Env_an</f>
        <v>27.245899520330305</v>
      </c>
      <c r="C330" s="829"/>
      <c r="D330" s="391">
        <f t="shared" si="102"/>
        <v>28.578711931210854</v>
      </c>
      <c r="E330" s="383">
        <f t="shared" si="125"/>
        <v>29.372109223636002</v>
      </c>
      <c r="F330" s="383">
        <f t="shared" si="103"/>
        <v>29.657506326026869</v>
      </c>
      <c r="G330" s="110">
        <f t="shared" si="126"/>
        <v>0.96219377625434055</v>
      </c>
      <c r="H330" s="412" t="b">
        <f>Wh_hp&gt;='2024'!Maxi_hp</f>
        <v>0</v>
      </c>
      <c r="I330" s="388">
        <f>IF(H330,Wh_hp,'2024'!Maxi_hp)</f>
        <v>29.666919468360309</v>
      </c>
      <c r="J330" s="85">
        <f>IF(H330,An,'2024'!An_max)</f>
        <v>2022</v>
      </c>
      <c r="K330" s="197">
        <f t="shared" si="104"/>
        <v>45973</v>
      </c>
      <c r="L330" s="147">
        <f>IF(t&lt;Tvie,1-EXP((T0-t)*PertePVj)+'2024'!Pspv,1-EXP((T0-t)*PertePVj)+Pspv)</f>
        <v>4.6636545904820248E-2</v>
      </c>
      <c r="M330" s="832"/>
      <c r="N330" s="832"/>
      <c r="O330" s="48">
        <f>IF(t&lt;Tnet,'2024'!Resal+('2024'!Salim-'2024'!Resal)*(1-EXP(('2024'!Tnet-t)/('2024'!Tau_j))),Resal+(Salim-Resal)*(1-EXP((Tnet-t)/(Tau_j))))*Salcycl</f>
        <v>2.7011927757189916E-2</v>
      </c>
      <c r="P330" s="169">
        <f>(INDEX(Models!$BJ330:$BT330,,T330)*(1-R330)+INDEX(Models!$BJ330:$BT330,,T330+1)*R330-ERP_i)*Q330*Ramure*Pc/MaxiM</f>
        <v>1.0164426938548845E-2</v>
      </c>
      <c r="Q330" s="304">
        <f t="shared" si="105"/>
        <v>0.6</v>
      </c>
      <c r="R330" s="177">
        <f t="shared" si="106"/>
        <v>0.99842146821704669</v>
      </c>
      <c r="S330" s="799">
        <f t="shared" si="107"/>
        <v>1</v>
      </c>
      <c r="T330" s="176">
        <f t="shared" si="108"/>
        <v>7</v>
      </c>
      <c r="U330" s="250">
        <f t="shared" si="109"/>
        <v>1.9984214682170467</v>
      </c>
      <c r="V330" s="382">
        <f t="shared" si="110"/>
        <v>28.300959640407626</v>
      </c>
      <c r="W330" s="400">
        <f t="shared" si="111"/>
        <v>27.245899520330305</v>
      </c>
      <c r="X330" s="157">
        <f t="shared" si="112"/>
        <v>45973</v>
      </c>
      <c r="Y330" s="383">
        <f t="shared" si="113"/>
        <v>25.993671097925439</v>
      </c>
      <c r="Z330" s="383">
        <f t="shared" si="114"/>
        <v>27.265227113824672</v>
      </c>
      <c r="AA330" s="384">
        <f t="shared" si="115"/>
        <v>29.372109223636002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7.1730705267700118E-2</v>
      </c>
      <c r="AD330" s="230">
        <f>(INDEX(Models!$BJ330:$BT330,,AH330)*(1-AF330)+INDEX(Models!$BJ330:$BT330,,AH330+1)*AF330-ERP_i)*AE330*Ramure*Pc/MaxiM</f>
        <v>1.0164426938548845E-2</v>
      </c>
      <c r="AE330" s="304">
        <f t="shared" si="117"/>
        <v>0.6</v>
      </c>
      <c r="AF330" s="177">
        <f t="shared" si="118"/>
        <v>0.99842146821704669</v>
      </c>
      <c r="AG330" s="799">
        <f t="shared" si="124"/>
        <v>1</v>
      </c>
      <c r="AH330" s="176">
        <f t="shared" si="119"/>
        <v>7</v>
      </c>
      <c r="AI330" s="224">
        <f t="shared" si="120"/>
        <v>1.9984214682170467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'2024'!Wh/'2024'!Env_an*'2025'!Env_an</f>
        <v>26.200994407663789</v>
      </c>
      <c r="C331" s="829"/>
      <c r="D331" s="391">
        <f t="shared" si="102"/>
        <v>27.483218955812696</v>
      </c>
      <c r="E331" s="383">
        <f t="shared" si="125"/>
        <v>28.248216675950214</v>
      </c>
      <c r="F331" s="383">
        <f t="shared" si="103"/>
        <v>28.515033931646354</v>
      </c>
      <c r="G331" s="110">
        <f t="shared" si="126"/>
        <v>0.934011737022449</v>
      </c>
      <c r="H331" s="412" t="b">
        <f>Wh_hp&gt;='2024'!Maxi_hp</f>
        <v>0</v>
      </c>
      <c r="I331" s="388">
        <f>IF(H331,Wh_hp,'2024'!Maxi_hp)</f>
        <v>29.071978311267806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4.6654816897920726E-2</v>
      </c>
      <c r="M331" s="832"/>
      <c r="N331" s="832"/>
      <c r="O331" s="48">
        <f>IF(t&lt;Tnet,'2024'!Resal+('2024'!Salim-'2024'!Resal)*(1-EXP(('2024'!Tnet-t)/('2024'!Tau_j))),Resal+(Salim-Resal)*(1-EXP((Tnet-t)/(Tau_j))))*Salcycl</f>
        <v>2.7081274861107132E-2</v>
      </c>
      <c r="P331" s="169">
        <f>(INDEX(Models!$BJ331:$BT331,,T331)*(1-R331)+INDEX(Models!$BJ331:$BT331,,T331+1)*R331-ERP_i)*Q331*Ramure*Pc/MaxiM</f>
        <v>1.0316233046914E-2</v>
      </c>
      <c r="Q331" s="304">
        <f t="shared" si="105"/>
        <v>0.6</v>
      </c>
      <c r="R331" s="177">
        <f t="shared" si="106"/>
        <v>0.99845588501379745</v>
      </c>
      <c r="S331" s="799">
        <f t="shared" si="107"/>
        <v>1</v>
      </c>
      <c r="T331" s="176">
        <f t="shared" si="108"/>
        <v>7</v>
      </c>
      <c r="U331" s="250">
        <f t="shared" si="109"/>
        <v>1.9984558850137975</v>
      </c>
      <c r="V331" s="382">
        <f t="shared" si="110"/>
        <v>28.024943425596142</v>
      </c>
      <c r="W331" s="400">
        <f t="shared" si="111"/>
        <v>26.200994407663789</v>
      </c>
      <c r="X331" s="157">
        <f t="shared" si="112"/>
        <v>45974</v>
      </c>
      <c r="Y331" s="383">
        <f t="shared" si="113"/>
        <v>24.998722422391555</v>
      </c>
      <c r="Z331" s="383">
        <f t="shared" si="114"/>
        <v>26.222110171101395</v>
      </c>
      <c r="AA331" s="384">
        <f t="shared" si="115"/>
        <v>28.248216675950214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7.1725111998797178E-2</v>
      </c>
      <c r="AD331" s="230">
        <f>(INDEX(Models!$BJ331:$BT331,,AH331)*(1-AF331)+INDEX(Models!$BJ331:$BT331,,AH331+1)*AF331-ERP_i)*AE331*Ramure*Pc/MaxiM</f>
        <v>1.0316233046914E-2</v>
      </c>
      <c r="AE331" s="304">
        <f t="shared" si="117"/>
        <v>0.6</v>
      </c>
      <c r="AF331" s="177">
        <f t="shared" si="118"/>
        <v>0.99845588501379745</v>
      </c>
      <c r="AG331" s="799">
        <f t="shared" si="124"/>
        <v>1</v>
      </c>
      <c r="AH331" s="176">
        <f t="shared" si="119"/>
        <v>7</v>
      </c>
      <c r="AI331" s="224">
        <f t="shared" si="120"/>
        <v>1.9984558850137975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'2024'!Wh/'2024'!Env_an*'2025'!Env_an</f>
        <v>9.70075194419422</v>
      </c>
      <c r="C332" s="829"/>
      <c r="D332" s="391">
        <f t="shared" si="102"/>
        <v>10.175682462557164</v>
      </c>
      <c r="E332" s="383">
        <f t="shared" si="125"/>
        <v>10.459670163284798</v>
      </c>
      <c r="F332" s="383">
        <f t="shared" si="103"/>
        <v>10.467425664799205</v>
      </c>
      <c r="G332" s="110">
        <f t="shared" si="126"/>
        <v>0.34616164864239307</v>
      </c>
      <c r="H332" s="412" t="b">
        <f>Wh_hp&gt;='2024'!Maxi_hp</f>
        <v>0</v>
      </c>
      <c r="I332" s="388">
        <f>IF(H332,Wh_hp,'2024'!Maxi_hp)</f>
        <v>19.875209801097167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4.6673087540861968E-2</v>
      </c>
      <c r="M332" s="832"/>
      <c r="N332" s="832"/>
      <c r="O332" s="48">
        <f>IF(t&lt;Tnet,'2024'!Resal+('2024'!Salim-'2024'!Resal)*(1-EXP(('2024'!Tnet-t)/('2024'!Tau_j))),Resal+(Salim-Resal)*(1-EXP((Tnet-t)/(Tau_j))))*Salcycl</f>
        <v>2.7150731934595621E-2</v>
      </c>
      <c r="P332" s="169">
        <f>(INDEX(Models!$BJ332:$BT332,,T332)*(1-R332)+INDEX(Models!$BJ332:$BT332,,T332+1)*R332-ERP_i)*Q332*Ramure*Pc/MaxiM</f>
        <v>1.0464285601799666E-2</v>
      </c>
      <c r="Q332" s="304">
        <f t="shared" si="105"/>
        <v>0.6</v>
      </c>
      <c r="R332" s="177">
        <f t="shared" si="106"/>
        <v>0.99848892054635918</v>
      </c>
      <c r="S332" s="799">
        <f t="shared" si="107"/>
        <v>1</v>
      </c>
      <c r="T332" s="176">
        <f t="shared" si="108"/>
        <v>7</v>
      </c>
      <c r="U332" s="250">
        <f t="shared" si="109"/>
        <v>1.9984889205463592</v>
      </c>
      <c r="V332" s="382">
        <f t="shared" si="110"/>
        <v>27.751075441738735</v>
      </c>
      <c r="W332" s="400">
        <f t="shared" si="111"/>
        <v>9.70075194419422</v>
      </c>
      <c r="X332" s="157">
        <f t="shared" si="112"/>
        <v>45975</v>
      </c>
      <c r="Y332" s="383">
        <f t="shared" si="113"/>
        <v>9.2563276825266065</v>
      </c>
      <c r="Z332" s="383">
        <f t="shared" si="114"/>
        <v>9.709500027277743</v>
      </c>
      <c r="AA332" s="384">
        <f t="shared" si="115"/>
        <v>10.459670163284798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7.1720247799044123E-2</v>
      </c>
      <c r="AD332" s="230">
        <f>(INDEX(Models!$BJ332:$BT332,,AH332)*(1-AF332)+INDEX(Models!$BJ332:$BT332,,AH332+1)*AF332-ERP_i)*AE332*Ramure*Pc/MaxiM</f>
        <v>1.0464285601799666E-2</v>
      </c>
      <c r="AE332" s="304">
        <f t="shared" si="117"/>
        <v>0.6</v>
      </c>
      <c r="AF332" s="177">
        <f t="shared" si="118"/>
        <v>0.99848892054635918</v>
      </c>
      <c r="AG332" s="799">
        <f t="shared" si="124"/>
        <v>1</v>
      </c>
      <c r="AH332" s="176">
        <f t="shared" si="119"/>
        <v>7</v>
      </c>
      <c r="AI332" s="224">
        <f t="shared" si="120"/>
        <v>1.9984889205463592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'2024'!Wh/'2024'!Env_an*'2025'!Env_an</f>
        <v>12.446870241526135</v>
      </c>
      <c r="C333" s="829"/>
      <c r="D333" s="391">
        <f t="shared" si="102"/>
        <v>13.056495756968278</v>
      </c>
      <c r="E333" s="383">
        <f t="shared" si="125"/>
        <v>13.421842672100672</v>
      </c>
      <c r="F333" s="383">
        <f t="shared" si="103"/>
        <v>13.453013660131628</v>
      </c>
      <c r="G333" s="110">
        <f t="shared" si="126"/>
        <v>0.44918093611659454</v>
      </c>
      <c r="H333" s="412" t="b">
        <f>Wh_hp&gt;='2024'!Maxi_hp</f>
        <v>0</v>
      </c>
      <c r="I333" s="388">
        <f>IF(H333,Wh_hp,'2024'!Maxi_hp)</f>
        <v>26.911873928380832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4.6691357833650415E-2</v>
      </c>
      <c r="M333" s="832"/>
      <c r="N333" s="832"/>
      <c r="O333" s="48">
        <f>IF(t&lt;Tnet,'2024'!Resal+('2024'!Salim-'2024'!Resal)*(1-EXP(('2024'!Tnet-t)/('2024'!Tau_j))),Resal+(Salim-Resal)*(1-EXP((Tnet-t)/(Tau_j))))*Salcycl</f>
        <v>2.7220324664646911E-2</v>
      </c>
      <c r="P333" s="169">
        <f>(INDEX(Models!$BJ333:$BT333,,T333)*(1-R333)+INDEX(Models!$BJ333:$BT333,,T333+1)*R333-ERP_i)*Q333*Ramure*Pc/MaxiM</f>
        <v>1.0604690722803879E-2</v>
      </c>
      <c r="Q333" s="304">
        <f t="shared" si="105"/>
        <v>0.6</v>
      </c>
      <c r="R333" s="177">
        <f t="shared" si="106"/>
        <v>0.99852063007765413</v>
      </c>
      <c r="S333" s="799">
        <f t="shared" si="107"/>
        <v>1</v>
      </c>
      <c r="T333" s="176">
        <f t="shared" si="108"/>
        <v>7</v>
      </c>
      <c r="U333" s="250">
        <f t="shared" si="109"/>
        <v>1.9985206300776541</v>
      </c>
      <c r="V333" s="382">
        <f t="shared" si="110"/>
        <v>27.479962299713534</v>
      </c>
      <c r="W333" s="400">
        <f t="shared" si="111"/>
        <v>12.446870241526135</v>
      </c>
      <c r="X333" s="157">
        <f t="shared" si="112"/>
        <v>45976</v>
      </c>
      <c r="Y333" s="383">
        <f t="shared" si="113"/>
        <v>11.877538800523679</v>
      </c>
      <c r="Z333" s="383">
        <f t="shared" si="114"/>
        <v>12.459279476930497</v>
      </c>
      <c r="AA333" s="384">
        <f t="shared" si="115"/>
        <v>13.421842672100672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7.1716173306889258E-2</v>
      </c>
      <c r="AD333" s="230">
        <f>(INDEX(Models!$BJ333:$BT333,,AH333)*(1-AF333)+INDEX(Models!$BJ333:$BT333,,AH333+1)*AF333-ERP_i)*AE333*Ramure*Pc/MaxiM</f>
        <v>1.0604690722803879E-2</v>
      </c>
      <c r="AE333" s="304">
        <f t="shared" si="117"/>
        <v>0.6</v>
      </c>
      <c r="AF333" s="177">
        <f t="shared" si="118"/>
        <v>0.99852063007765413</v>
      </c>
      <c r="AG333" s="799">
        <f t="shared" si="124"/>
        <v>1</v>
      </c>
      <c r="AH333" s="176">
        <f t="shared" si="119"/>
        <v>7</v>
      </c>
      <c r="AI333" s="224">
        <f t="shared" si="120"/>
        <v>1.9985206300776541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'2024'!Wh/'2024'!Env_an*'2025'!Env_an</f>
        <v>26.796230524969996</v>
      </c>
      <c r="C334" s="829"/>
      <c r="D334" s="391">
        <f t="shared" si="102"/>
        <v>28.109200832966941</v>
      </c>
      <c r="E334" s="383">
        <f t="shared" si="125"/>
        <v>28.897824716877313</v>
      </c>
      <c r="F334" s="383">
        <f t="shared" si="103"/>
        <v>29.204560924342083</v>
      </c>
      <c r="G334" s="110">
        <f t="shared" si="126"/>
        <v>0.98448422472195007</v>
      </c>
      <c r="H334" s="412" t="b">
        <f>Wh_hp&gt;='2024'!Maxi_hp</f>
        <v>0</v>
      </c>
      <c r="I334" s="388">
        <f>IF(H334,Wh_hp,'2024'!Maxi_hp)</f>
        <v>29.2085670452397</v>
      </c>
      <c r="J334" s="85">
        <f>IF(H334,An,'2024'!An_max)</f>
        <v>2022</v>
      </c>
      <c r="K334" s="197">
        <f t="shared" si="104"/>
        <v>45977</v>
      </c>
      <c r="L334" s="147">
        <f>IF(t&lt;Tvie,1-EXP((T0-t)*PertePVj)+'2024'!Pspv,1-EXP((T0-t)*PertePVj)+Pspv)</f>
        <v>4.6709627776292839E-2</v>
      </c>
      <c r="M334" s="832"/>
      <c r="N334" s="832"/>
      <c r="O334" s="48">
        <f>IF(t&lt;Tnet,'2024'!Resal+('2024'!Salim-'2024'!Resal)*(1-EXP(('2024'!Tnet-t)/('2024'!Tau_j))),Resal+(Salim-Resal)*(1-EXP((Tnet-t)/(Tau_j))))*Salcycl</f>
        <v>2.7290077770102467E-2</v>
      </c>
      <c r="P334" s="169">
        <f>(INDEX(Models!$BJ334:$BT334,,T334)*(1-R334)+INDEX(Models!$BJ334:$BT334,,T334+1)*R334-ERP_i)*Q334*Ramure*Pc/MaxiM</f>
        <v>1.0737445339586812E-2</v>
      </c>
      <c r="Q334" s="304">
        <f t="shared" si="105"/>
        <v>0.6</v>
      </c>
      <c r="R334" s="177">
        <f t="shared" si="106"/>
        <v>0.99855106667314386</v>
      </c>
      <c r="S334" s="799">
        <f t="shared" si="107"/>
        <v>1</v>
      </c>
      <c r="T334" s="176">
        <f t="shared" si="108"/>
        <v>7</v>
      </c>
      <c r="U334" s="250">
        <f t="shared" si="109"/>
        <v>1.9985510666731439</v>
      </c>
      <c r="V334" s="382">
        <f t="shared" si="110"/>
        <v>27.212099057283403</v>
      </c>
      <c r="W334" s="400">
        <f t="shared" si="111"/>
        <v>26.796230524969996</v>
      </c>
      <c r="X334" s="157">
        <f t="shared" si="112"/>
        <v>45977</v>
      </c>
      <c r="Y334" s="383">
        <f t="shared" si="113"/>
        <v>25.572468547337696</v>
      </c>
      <c r="Z334" s="383">
        <f t="shared" si="114"/>
        <v>26.825476572983415</v>
      </c>
      <c r="AA334" s="384">
        <f t="shared" si="115"/>
        <v>28.897824716877313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7.1712946015745418E-2</v>
      </c>
      <c r="AD334" s="230">
        <f>(INDEX(Models!$BJ334:$BT334,,AH334)*(1-AF334)+INDEX(Models!$BJ334:$BT334,,AH334+1)*AF334-ERP_i)*AE334*Ramure*Pc/MaxiM</f>
        <v>1.0737445339586812E-2</v>
      </c>
      <c r="AE334" s="304">
        <f t="shared" si="117"/>
        <v>0.6</v>
      </c>
      <c r="AF334" s="177">
        <f t="shared" si="118"/>
        <v>0.99855106667314386</v>
      </c>
      <c r="AG334" s="799">
        <f t="shared" si="124"/>
        <v>1</v>
      </c>
      <c r="AH334" s="176">
        <f t="shared" si="119"/>
        <v>7</v>
      </c>
      <c r="AI334" s="224">
        <f t="shared" si="120"/>
        <v>1.9985510666731439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'2024'!Wh/'2024'!Env_an*'2025'!Env_an</f>
        <v>13.716978646670491</v>
      </c>
      <c r="C335" s="829"/>
      <c r="D335" s="391">
        <f t="shared" ref="D335:D379" si="127">Wh/(1-Ppv)</f>
        <v>14.389363340025518</v>
      </c>
      <c r="E335" s="383">
        <f t="shared" si="125"/>
        <v>14.794130984014695</v>
      </c>
      <c r="F335" s="383">
        <f t="shared" ref="F335:F379" si="128">Wh_sa/(1-Pvg*MEDIAN((-Sdif+Wh/Env_an)/Csdif,0,1))</f>
        <v>14.842271949203127</v>
      </c>
      <c r="G335" s="110">
        <f t="shared" si="126"/>
        <v>0.50512610106268774</v>
      </c>
      <c r="H335" s="412" t="b">
        <f>Wh_hp&gt;='2024'!Maxi_hp</f>
        <v>0</v>
      </c>
      <c r="I335" s="388">
        <f>IF(H335,Wh_hp,'2024'!Maxi_hp)</f>
        <v>23.200751935750731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4.6727897368796012E-2</v>
      </c>
      <c r="M335" s="832"/>
      <c r="N335" s="832"/>
      <c r="O335" s="48">
        <f>IF(t&lt;Tnet,'2024'!Resal+('2024'!Salim-'2024'!Resal)*(1-EXP(('2024'!Tnet-t)/('2024'!Tau_j))),Resal+(Salim-Resal)*(1-EXP((Tnet-t)/(Tau_j))))*Salcycl</f>
        <v>2.7360014888778202E-2</v>
      </c>
      <c r="P335" s="169">
        <f>(INDEX(Models!$BJ335:$BT335,,T335)*(1-R335)+INDEX(Models!$BJ335:$BT335,,T335+1)*R335-ERP_i)*Q335*Ramure*Pc/MaxiM</f>
        <v>1.0862529658837883E-2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0.99858028128713805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1.998580281287138</v>
      </c>
      <c r="V335" s="382">
        <f t="shared" ref="V335:V379" si="135">MaxiM*(1-Ppv)*(1-Pvg)*(1-Psa)</f>
        <v>26.947980951835387</v>
      </c>
      <c r="W335" s="400">
        <f t="shared" ref="W335:W379" si="136">Wh*(A335&gt;Tmaj)</f>
        <v>13.716978646670491</v>
      </c>
      <c r="X335" s="157">
        <f t="shared" ref="X335:X379" si="137">t</f>
        <v>45978</v>
      </c>
      <c r="Y335" s="383">
        <f t="shared" ref="Y335:Y379" si="138">Wh_pvt_s*(1-Ppv)</f>
        <v>13.091509497866028</v>
      </c>
      <c r="Z335" s="383">
        <f t="shared" ref="Z335:Z379" si="139">Wh_sa_s*(1-Psa_s)</f>
        <v>13.733234678462829</v>
      </c>
      <c r="AA335" s="384">
        <f t="shared" ref="AA335:AA379" si="140">Wh_hp*(1-Pvg_s*MEDIAN((-Sdif+Wh/Env_an)/Csdif,0,1))</f>
        <v>14.794130984014695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7.1710620022100824E-2</v>
      </c>
      <c r="AD335" s="230">
        <f>(INDEX(Models!$BJ335:$BT335,,AH335)*(1-AF335)+INDEX(Models!$BJ335:$BT335,,AH335+1)*AF335-ERP_i)*AE335*Ramure*Pc/MaxiM</f>
        <v>1.0862529658837883E-2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0.99858028128713805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1.998580281287138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'2024'!Wh/'2024'!Env_an*'2025'!Env_an</f>
        <v>15.700763587757919</v>
      </c>
      <c r="C336" s="829"/>
      <c r="D336" s="391">
        <f t="shared" si="127"/>
        <v>16.470705952412949</v>
      </c>
      <c r="E336" s="383">
        <f t="shared" si="125"/>
        <v>16.935242333363714</v>
      </c>
      <c r="F336" s="383">
        <f t="shared" si="128"/>
        <v>17.012175509840731</v>
      </c>
      <c r="G336" s="110">
        <f t="shared" si="126"/>
        <v>0.58448936863284484</v>
      </c>
      <c r="H336" s="412" t="b">
        <f>Wh_hp&gt;='2024'!Maxi_hp</f>
        <v>0</v>
      </c>
      <c r="I336" s="388">
        <f>IF(H336,Wh_hp,'2024'!Maxi_hp)</f>
        <v>27.250192771666942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4.6746166611166706E-2</v>
      </c>
      <c r="M336" s="832"/>
      <c r="N336" s="832"/>
      <c r="O336" s="48">
        <f>IF(t&lt;Tnet,'2024'!Resal+('2024'!Salim-'2024'!Resal)*(1-EXP(('2024'!Tnet-t)/('2024'!Tau_j))),Resal+(Salim-Resal)*(1-EXP((Tnet-t)/(Tau_j))))*Salcycl</f>
        <v>2.7430158471106931E-2</v>
      </c>
      <c r="P336" s="169">
        <f>(INDEX(Models!$BJ336:$BT336,,T336)*(1-R336)+INDEX(Models!$BJ336:$BT336,,T336+1)*R336-ERP_i)*Q336*Ramure*Pc/MaxiM</f>
        <v>1.0979905690748226E-2</v>
      </c>
      <c r="Q336" s="304">
        <f t="shared" si="130"/>
        <v>0.6</v>
      </c>
      <c r="R336" s="177">
        <f t="shared" si="131"/>
        <v>0.99860832284580137</v>
      </c>
      <c r="S336" s="799">
        <f t="shared" si="132"/>
        <v>1</v>
      </c>
      <c r="T336" s="176">
        <f t="shared" si="133"/>
        <v>7</v>
      </c>
      <c r="U336" s="250">
        <f t="shared" si="134"/>
        <v>1.9986083228458014</v>
      </c>
      <c r="V336" s="382">
        <f t="shared" si="135"/>
        <v>26.688103465191535</v>
      </c>
      <c r="W336" s="400">
        <f t="shared" si="136"/>
        <v>15.700763587757919</v>
      </c>
      <c r="X336" s="157">
        <f t="shared" si="137"/>
        <v>45979</v>
      </c>
      <c r="Y336" s="383">
        <f t="shared" si="138"/>
        <v>14.985940392284421</v>
      </c>
      <c r="Z336" s="383">
        <f t="shared" si="139"/>
        <v>15.720828878294833</v>
      </c>
      <c r="AA336" s="384">
        <f t="shared" si="140"/>
        <v>16.935242333363714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7.1709245794280424E-2</v>
      </c>
      <c r="AD336" s="230">
        <f>(INDEX(Models!$BJ336:$BT336,,AH336)*(1-AF336)+INDEX(Models!$BJ336:$BT336,,AH336+1)*AF336-ERP_i)*AE336*Ramure*Pc/MaxiM</f>
        <v>1.0979905690748226E-2</v>
      </c>
      <c r="AE336" s="304">
        <f t="shared" si="142"/>
        <v>0.6</v>
      </c>
      <c r="AF336" s="177">
        <f t="shared" si="143"/>
        <v>0.99860832284580137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1.9986083228458014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'2024'!Wh/'2024'!Env_an*'2025'!Env_an</f>
        <v>7.1748790832512448</v>
      </c>
      <c r="C337" s="829"/>
      <c r="D337" s="391">
        <f t="shared" si="127"/>
        <v>7.5268688564304211</v>
      </c>
      <c r="E337" s="383">
        <f t="shared" si="125"/>
        <v>7.7397151218622406</v>
      </c>
      <c r="F337" s="383">
        <f t="shared" si="128"/>
        <v>7.7397151218622406</v>
      </c>
      <c r="G337" s="110">
        <f t="shared" si="126"/>
        <v>0.26842671089640091</v>
      </c>
      <c r="H337" s="412" t="b">
        <f>Wh_hp&gt;='2024'!Maxi_hp</f>
        <v>0</v>
      </c>
      <c r="I337" s="388">
        <f>IF(H337,Wh_hp,'2024'!Maxi_hp)</f>
        <v>28.562272949049884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4.6764435503411361E-2</v>
      </c>
      <c r="M337" s="832"/>
      <c r="N337" s="832"/>
      <c r="O337" s="48">
        <f>IF(t&lt;Tnet,'2024'!Resal+('2024'!Salim-'2024'!Resal)*(1-EXP(('2024'!Tnet-t)/('2024'!Tau_j))),Resal+(Salim-Resal)*(1-EXP((Tnet-t)/(Tau_j))))*Salcycl</f>
        <v>2.7500529681072621E-2</v>
      </c>
      <c r="P337" s="169">
        <f>(INDEX(Models!$BJ337:$BT337,,T337)*(1-R337)+INDEX(Models!$BJ337:$BT337,,T337+1)*R337-ERP_i)*Q337*Ramure*Pc/MaxiM</f>
        <v>1.1089515862401454E-2</v>
      </c>
      <c r="Q337" s="304">
        <f t="shared" si="130"/>
        <v>0.6</v>
      </c>
      <c r="R337" s="177">
        <f t="shared" si="131"/>
        <v>0.99863523832697187</v>
      </c>
      <c r="S337" s="799">
        <f t="shared" si="132"/>
        <v>1</v>
      </c>
      <c r="T337" s="176">
        <f t="shared" si="133"/>
        <v>7</v>
      </c>
      <c r="U337" s="250">
        <f t="shared" si="134"/>
        <v>1.9986352383269719</v>
      </c>
      <c r="V337" s="382">
        <f t="shared" si="135"/>
        <v>26.432962368581677</v>
      </c>
      <c r="W337" s="400">
        <f t="shared" si="136"/>
        <v>7.1748790832512448</v>
      </c>
      <c r="X337" s="157">
        <f t="shared" si="137"/>
        <v>45980</v>
      </c>
      <c r="Y337" s="383">
        <f t="shared" si="138"/>
        <v>6.848720040826823</v>
      </c>
      <c r="Z337" s="383">
        <f t="shared" si="139"/>
        <v>7.1847088966342616</v>
      </c>
      <c r="AA337" s="384">
        <f t="shared" si="140"/>
        <v>7.7397151218622406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7.1708869963477403E-2</v>
      </c>
      <c r="AD337" s="230">
        <f>(INDEX(Models!$BJ337:$BT337,,AH337)*(1-AF337)+INDEX(Models!$BJ337:$BT337,,AH337+1)*AF337-ERP_i)*AE337*Ramure*Pc/MaxiM</f>
        <v>1.1089515862401454E-2</v>
      </c>
      <c r="AE337" s="304">
        <f t="shared" si="142"/>
        <v>0.6</v>
      </c>
      <c r="AF337" s="177">
        <f t="shared" si="143"/>
        <v>0.99863523832697187</v>
      </c>
      <c r="AG337" s="799">
        <f t="shared" si="149"/>
        <v>1</v>
      </c>
      <c r="AH337" s="176">
        <f t="shared" si="144"/>
        <v>7</v>
      </c>
      <c r="AI337" s="224">
        <f t="shared" si="145"/>
        <v>1.9986352383269719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'2024'!Wh/'2024'!Env_an*'2025'!Env_an</f>
        <v>15.787598989968837</v>
      </c>
      <c r="C338" s="829"/>
      <c r="D338" s="391">
        <f t="shared" si="127"/>
        <v>16.562434459564233</v>
      </c>
      <c r="E338" s="383">
        <f t="shared" si="125"/>
        <v>17.032027001973031</v>
      </c>
      <c r="F338" s="383">
        <f t="shared" si="128"/>
        <v>17.114936158187245</v>
      </c>
      <c r="G338" s="110">
        <f t="shared" si="126"/>
        <v>0.59912442105761965</v>
      </c>
      <c r="H338" s="412" t="b">
        <f>Wh_hp&gt;='2024'!Maxi_hp</f>
        <v>0</v>
      </c>
      <c r="I338" s="388">
        <f>IF(H338,Wh_hp,'2024'!Maxi_hp)</f>
        <v>28.66422438766487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4.6782704045536971E-2</v>
      </c>
      <c r="M338" s="832"/>
      <c r="N338" s="832"/>
      <c r="O338" s="48">
        <f>IF(t&lt;Tnet,'2024'!Resal+('2024'!Salim-'2024'!Resal)*(1-EXP(('2024'!Tnet-t)/('2024'!Tau_j))),Resal+(Salim-Resal)*(1-EXP((Tnet-t)/(Tau_j))))*Salcycl</f>
        <v>2.7571148305154662E-2</v>
      </c>
      <c r="P338" s="169">
        <f>(INDEX(Models!$BJ338:$BT338,,T338)*(1-R338)+INDEX(Models!$BJ338:$BT338,,T338+1)*R338-ERP_i)*Q338*Ramure*Pc/MaxiM</f>
        <v>1.1192431691850619E-2</v>
      </c>
      <c r="Q338" s="304">
        <f t="shared" si="130"/>
        <v>0.6</v>
      </c>
      <c r="R338" s="177">
        <f t="shared" si="131"/>
        <v>0.99866107283691097</v>
      </c>
      <c r="S338" s="799">
        <f t="shared" si="132"/>
        <v>1</v>
      </c>
      <c r="T338" s="176">
        <f t="shared" si="133"/>
        <v>7</v>
      </c>
      <c r="U338" s="250">
        <f t="shared" si="134"/>
        <v>1.998661072836911</v>
      </c>
      <c r="V338" s="382">
        <f t="shared" si="135"/>
        <v>26.18302332879766</v>
      </c>
      <c r="W338" s="400">
        <f t="shared" si="136"/>
        <v>15.787598989968837</v>
      </c>
      <c r="X338" s="157">
        <f t="shared" si="137"/>
        <v>45981</v>
      </c>
      <c r="Y338" s="383">
        <f t="shared" si="138"/>
        <v>15.071002449075925</v>
      </c>
      <c r="Z338" s="383">
        <f t="shared" si="139"/>
        <v>15.810668263195147</v>
      </c>
      <c r="AA338" s="384">
        <f t="shared" si="140"/>
        <v>17.032027001973031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7.1709535138501104E-2</v>
      </c>
      <c r="AD338" s="230">
        <f>(INDEX(Models!$BJ338:$BT338,,AH338)*(1-AF338)+INDEX(Models!$BJ338:$BT338,,AH338+1)*AF338-ERP_i)*AE338*Ramure*Pc/MaxiM</f>
        <v>1.1192431691850619E-2</v>
      </c>
      <c r="AE338" s="304">
        <f t="shared" si="142"/>
        <v>0.6</v>
      </c>
      <c r="AF338" s="177">
        <f t="shared" si="143"/>
        <v>0.99866107283691097</v>
      </c>
      <c r="AG338" s="799">
        <f t="shared" si="149"/>
        <v>1</v>
      </c>
      <c r="AH338" s="176">
        <f t="shared" si="144"/>
        <v>7</v>
      </c>
      <c r="AI338" s="224">
        <f t="shared" si="145"/>
        <v>1.998661072836911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'2024'!Wh/'2024'!Env_an*'2025'!Env_an</f>
        <v>3.1708811359237603</v>
      </c>
      <c r="C339" s="829"/>
      <c r="D339" s="391">
        <f t="shared" si="127"/>
        <v>3.3265677403879885</v>
      </c>
      <c r="E339" s="383">
        <f t="shared" si="125"/>
        <v>3.4211348620119937</v>
      </c>
      <c r="F339" s="383">
        <f t="shared" si="128"/>
        <v>3.4211348620119937</v>
      </c>
      <c r="G339" s="110">
        <f t="shared" si="126"/>
        <v>0.12086482212685459</v>
      </c>
      <c r="H339" s="412" t="b">
        <f>Wh_hp&gt;='2024'!Maxi_hp</f>
        <v>0</v>
      </c>
      <c r="I339" s="388">
        <f>IF(H339,Wh_hp,'2024'!Maxi_hp)</f>
        <v>27.981917732937102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4.6800972237550198E-2</v>
      </c>
      <c r="M339" s="832"/>
      <c r="N339" s="832"/>
      <c r="O339" s="48">
        <f>IF(t&lt;Tnet,'2024'!Resal+('2024'!Salim-'2024'!Resal)*(1-EXP(('2024'!Tnet-t)/('2024'!Tau_j))),Resal+(Salim-Resal)*(1-EXP((Tnet-t)/(Tau_j))))*Salcycl</f>
        <v>2.7642032669939667E-2</v>
      </c>
      <c r="P339" s="169">
        <f>(INDEX(Models!$BJ339:$BT339,,T339)*(1-R339)+INDEX(Models!$BJ339:$BT339,,T339+1)*R339-ERP_i)*Q339*Ramure*Pc/MaxiM</f>
        <v>1.12909373492083E-2</v>
      </c>
      <c r="Q339" s="304">
        <f t="shared" si="130"/>
        <v>0.6</v>
      </c>
      <c r="R339" s="177">
        <f t="shared" si="131"/>
        <v>0.99868586968409612</v>
      </c>
      <c r="S339" s="799">
        <f t="shared" si="132"/>
        <v>1</v>
      </c>
      <c r="T339" s="176">
        <f t="shared" si="133"/>
        <v>7</v>
      </c>
      <c r="U339" s="250">
        <f t="shared" si="134"/>
        <v>1.9986858696840961</v>
      </c>
      <c r="V339" s="382">
        <f t="shared" si="135"/>
        <v>25.938721130833361</v>
      </c>
      <c r="W339" s="400">
        <f t="shared" si="136"/>
        <v>3.1708811359237603</v>
      </c>
      <c r="X339" s="157">
        <f t="shared" si="137"/>
        <v>45982</v>
      </c>
      <c r="Y339" s="383">
        <f t="shared" si="138"/>
        <v>3.0271703329877142</v>
      </c>
      <c r="Z339" s="383">
        <f t="shared" si="139"/>
        <v>3.1758009028751615</v>
      </c>
      <c r="AA339" s="384">
        <f t="shared" si="140"/>
        <v>3.4211348620119937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7.1711279745502191E-2</v>
      </c>
      <c r="AD339" s="230">
        <f>(INDEX(Models!$BJ339:$BT339,,AH339)*(1-AF339)+INDEX(Models!$BJ339:$BT339,,AH339+1)*AF339-ERP_i)*AE339*Ramure*Pc/MaxiM</f>
        <v>1.12909373492083E-2</v>
      </c>
      <c r="AE339" s="304">
        <f t="shared" si="142"/>
        <v>0.6</v>
      </c>
      <c r="AF339" s="177">
        <f t="shared" si="143"/>
        <v>0.99868586968409612</v>
      </c>
      <c r="AG339" s="799">
        <f t="shared" si="149"/>
        <v>1</v>
      </c>
      <c r="AH339" s="176">
        <f t="shared" si="144"/>
        <v>7</v>
      </c>
      <c r="AI339" s="224">
        <f t="shared" si="145"/>
        <v>1.9986858696840961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'2024'!Wh/'2024'!Env_an*'2025'!Env_an</f>
        <v>7.8441343068408944</v>
      </c>
      <c r="C340" s="829"/>
      <c r="D340" s="391">
        <f t="shared" si="127"/>
        <v>8.2294299640445789</v>
      </c>
      <c r="E340" s="383">
        <f t="shared" si="125"/>
        <v>8.4639943280074448</v>
      </c>
      <c r="F340" s="383">
        <f t="shared" si="128"/>
        <v>8.4647119598615745</v>
      </c>
      <c r="G340" s="110">
        <f t="shared" si="126"/>
        <v>0.30176340502260107</v>
      </c>
      <c r="H340" s="412" t="b">
        <f>Wh_hp&gt;='2024'!Maxi_hp</f>
        <v>0</v>
      </c>
      <c r="I340" s="388">
        <f>IF(H340,Wh_hp,'2024'!Maxi_hp)</f>
        <v>29.203443370360098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4.6819240079457591E-2</v>
      </c>
      <c r="M340" s="832"/>
      <c r="N340" s="832"/>
      <c r="O340" s="48">
        <f>IF(t&lt;Tnet,'2024'!Resal+('2024'!Salim-'2024'!Resal)*(1-EXP(('2024'!Tnet-t)/('2024'!Tau_j))),Resal+(Salim-Resal)*(1-EXP((Tnet-t)/(Tau_j))))*Salcycl</f>
        <v>2.7713199568989495E-2</v>
      </c>
      <c r="P340" s="169">
        <f>(INDEX(Models!$BJ340:$BT340,,T340)*(1-R340)+INDEX(Models!$BJ340:$BT340,,T340+1)*R340-ERP_i)*Q340*Ramure*Pc/MaxiM</f>
        <v>1.1384913344256618E-2</v>
      </c>
      <c r="Q340" s="304">
        <f t="shared" si="130"/>
        <v>0.6</v>
      </c>
      <c r="R340" s="177">
        <f t="shared" si="131"/>
        <v>0.99870967045016457</v>
      </c>
      <c r="S340" s="799">
        <f t="shared" si="132"/>
        <v>1</v>
      </c>
      <c r="T340" s="176">
        <f t="shared" si="133"/>
        <v>7</v>
      </c>
      <c r="U340" s="250">
        <f t="shared" si="134"/>
        <v>1.9987096704501646</v>
      </c>
      <c r="V340" s="382">
        <f t="shared" si="135"/>
        <v>25.700555112765297</v>
      </c>
      <c r="W340" s="400">
        <f t="shared" si="136"/>
        <v>7.8441343068408944</v>
      </c>
      <c r="X340" s="157">
        <f t="shared" si="137"/>
        <v>45983</v>
      </c>
      <c r="Y340" s="383">
        <f t="shared" si="138"/>
        <v>7.4891472086993218</v>
      </c>
      <c r="Z340" s="383">
        <f t="shared" si="139"/>
        <v>7.8570062716368936</v>
      </c>
      <c r="AA340" s="384">
        <f t="shared" si="140"/>
        <v>8.4639943280074448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7.171413789373908E-2</v>
      </c>
      <c r="AD340" s="230">
        <f>(INDEX(Models!$BJ340:$BT340,,AH340)*(1-AF340)+INDEX(Models!$BJ340:$BT340,,AH340+1)*AF340-ERP_i)*AE340*Ramure*Pc/MaxiM</f>
        <v>1.1384913344256618E-2</v>
      </c>
      <c r="AE340" s="304">
        <f t="shared" si="142"/>
        <v>0.6</v>
      </c>
      <c r="AF340" s="177">
        <f t="shared" si="143"/>
        <v>0.99870967045016457</v>
      </c>
      <c r="AG340" s="799">
        <f t="shared" si="149"/>
        <v>1</v>
      </c>
      <c r="AH340" s="176">
        <f t="shared" si="144"/>
        <v>7</v>
      </c>
      <c r="AI340" s="224">
        <f t="shared" si="145"/>
        <v>1.9987096704501646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'2024'!Wh/'2024'!Env_an*'2025'!Env_an</f>
        <v>13.154567716337207</v>
      </c>
      <c r="C341" s="829"/>
      <c r="D341" s="391">
        <f t="shared" si="127"/>
        <v>13.800970790214709</v>
      </c>
      <c r="E341" s="383">
        <f t="shared" si="125"/>
        <v>14.195384789781217</v>
      </c>
      <c r="F341" s="383">
        <f t="shared" si="128"/>
        <v>14.24593893394165</v>
      </c>
      <c r="G341" s="110">
        <f t="shared" si="126"/>
        <v>0.51238472326703643</v>
      </c>
      <c r="H341" s="412" t="b">
        <f>Wh_hp&gt;='2024'!Maxi_hp</f>
        <v>0</v>
      </c>
      <c r="I341" s="388">
        <f>IF(H341,Wh_hp,'2024'!Maxi_hp)</f>
        <v>29.107219927904186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4.6837507571266035E-2</v>
      </c>
      <c r="M341" s="832"/>
      <c r="N341" s="832"/>
      <c r="O341" s="48">
        <f>IF(t&lt;Tnet,'2024'!Resal+('2024'!Salim-'2024'!Resal)*(1-EXP(('2024'!Tnet-t)/('2024'!Tau_j))),Resal+(Salim-Resal)*(1-EXP((Tnet-t)/(Tau_j))))*Salcycl</f>
        <v>2.7784664199482084E-2</v>
      </c>
      <c r="P341" s="169">
        <f>(INDEX(Models!$BJ341:$BT341,,T341)*(1-R341)+INDEX(Models!$BJ341:$BT341,,T341+1)*R341-ERP_i)*Q341*Ramure*Pc/MaxiM</f>
        <v>1.1474145782953211E-2</v>
      </c>
      <c r="Q341" s="304">
        <f t="shared" si="130"/>
        <v>0.6</v>
      </c>
      <c r="R341" s="177">
        <f t="shared" si="131"/>
        <v>0.99873251505811433</v>
      </c>
      <c r="S341" s="799">
        <f t="shared" si="132"/>
        <v>1</v>
      </c>
      <c r="T341" s="176">
        <f t="shared" si="133"/>
        <v>7</v>
      </c>
      <c r="U341" s="250">
        <f t="shared" si="134"/>
        <v>1.9987325150581143</v>
      </c>
      <c r="V341" s="382">
        <f t="shared" si="135"/>
        <v>25.469026758243661</v>
      </c>
      <c r="W341" s="400">
        <f t="shared" si="136"/>
        <v>13.154567716337207</v>
      </c>
      <c r="X341" s="157">
        <f t="shared" si="137"/>
        <v>45984</v>
      </c>
      <c r="Y341" s="383">
        <f t="shared" si="138"/>
        <v>12.56012546519727</v>
      </c>
      <c r="Z341" s="383">
        <f t="shared" si="139"/>
        <v>13.177318206461388</v>
      </c>
      <c r="AA341" s="384">
        <f t="shared" si="140"/>
        <v>14.195384789781217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7.171813926824315E-2</v>
      </c>
      <c r="AD341" s="230">
        <f>(INDEX(Models!$BJ341:$BT341,,AH341)*(1-AF341)+INDEX(Models!$BJ341:$BT341,,AH341+1)*AF341-ERP_i)*AE341*Ramure*Pc/MaxiM</f>
        <v>1.1474145782953211E-2</v>
      </c>
      <c r="AE341" s="304">
        <f t="shared" si="142"/>
        <v>0.6</v>
      </c>
      <c r="AF341" s="177">
        <f t="shared" si="143"/>
        <v>0.99873251505811433</v>
      </c>
      <c r="AG341" s="799">
        <f t="shared" si="149"/>
        <v>1</v>
      </c>
      <c r="AH341" s="176">
        <f t="shared" si="144"/>
        <v>7</v>
      </c>
      <c r="AI341" s="224">
        <f t="shared" si="145"/>
        <v>1.9987325150581143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'2024'!Wh/'2024'!Env_an*'2025'!Env_an</f>
        <v>13.804118994772551</v>
      </c>
      <c r="C342" s="829"/>
      <c r="D342" s="391">
        <f t="shared" si="127"/>
        <v>14.482717964970885</v>
      </c>
      <c r="E342" s="383">
        <f t="shared" si="125"/>
        <v>14.897715278385109</v>
      </c>
      <c r="F342" s="383">
        <f t="shared" si="128"/>
        <v>14.95867797466555</v>
      </c>
      <c r="G342" s="110">
        <f t="shared" si="126"/>
        <v>0.54270535818229204</v>
      </c>
      <c r="H342" s="412" t="b">
        <f>Wh_hp&gt;='2024'!Maxi_hp</f>
        <v>0</v>
      </c>
      <c r="I342" s="388">
        <f>IF(H342,Wh_hp,'2024'!Maxi_hp)</f>
        <v>27.112988230859333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4.6855774712982079E-2</v>
      </c>
      <c r="M342" s="832"/>
      <c r="N342" s="832"/>
      <c r="O342" s="48">
        <f>IF(t&lt;Tnet,'2024'!Resal+('2024'!Salim-'2024'!Resal)*(1-EXP(('2024'!Tnet-t)/('2024'!Tau_j))),Resal+(Salim-Resal)*(1-EXP((Tnet-t)/(Tau_j))))*Salcycl</f>
        <v>2.7856440109064056E-2</v>
      </c>
      <c r="P342" s="169">
        <f>(INDEX(Models!$BJ342:$BT342,,T342)*(1-R342)+INDEX(Models!$BJ342:$BT342,,T342+1)*R342-ERP_i)*Q342*Ramure*Pc/MaxiM</f>
        <v>1.1558442731003541E-2</v>
      </c>
      <c r="Q342" s="304">
        <f t="shared" si="130"/>
        <v>0.6</v>
      </c>
      <c r="R342" s="177">
        <f t="shared" si="131"/>
        <v>0.99875444183786244</v>
      </c>
      <c r="S342" s="799">
        <f t="shared" si="132"/>
        <v>1</v>
      </c>
      <c r="T342" s="176">
        <f t="shared" si="133"/>
        <v>7</v>
      </c>
      <c r="U342" s="250">
        <f t="shared" si="134"/>
        <v>1.9987544418378624</v>
      </c>
      <c r="V342" s="382">
        <f t="shared" si="135"/>
        <v>25.244636651247461</v>
      </c>
      <c r="W342" s="400">
        <f t="shared" si="136"/>
        <v>13.804118994772551</v>
      </c>
      <c r="X342" s="157">
        <f t="shared" si="137"/>
        <v>45985</v>
      </c>
      <c r="Y342" s="383">
        <f t="shared" si="138"/>
        <v>13.181223875396244</v>
      </c>
      <c r="Z342" s="383">
        <f t="shared" si="139"/>
        <v>13.829201841334154</v>
      </c>
      <c r="AA342" s="384">
        <f t="shared" si="140"/>
        <v>14.897715278385109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7.172330905002916E-2</v>
      </c>
      <c r="AD342" s="230">
        <f>(INDEX(Models!$BJ342:$BT342,,AH342)*(1-AF342)+INDEX(Models!$BJ342:$BT342,,AH342+1)*AF342-ERP_i)*AE342*Ramure*Pc/MaxiM</f>
        <v>1.1558442731003541E-2</v>
      </c>
      <c r="AE342" s="304">
        <f t="shared" si="142"/>
        <v>0.6</v>
      </c>
      <c r="AF342" s="177">
        <f t="shared" si="143"/>
        <v>0.99875444183786244</v>
      </c>
      <c r="AG342" s="799">
        <f t="shared" si="149"/>
        <v>1</v>
      </c>
      <c r="AH342" s="176">
        <f t="shared" si="144"/>
        <v>7</v>
      </c>
      <c r="AI342" s="224">
        <f t="shared" si="145"/>
        <v>1.9987544418378624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'2024'!Wh/'2024'!Env_an*'2025'!Env_an</f>
        <v>4.7832641765215378</v>
      </c>
      <c r="C343" s="829"/>
      <c r="D343" s="391">
        <f t="shared" si="127"/>
        <v>5.018501630227802</v>
      </c>
      <c r="E343" s="383">
        <f t="shared" si="125"/>
        <v>5.1626879631425533</v>
      </c>
      <c r="F343" s="383">
        <f t="shared" si="128"/>
        <v>5.1626879631425533</v>
      </c>
      <c r="G343" s="110">
        <f t="shared" si="126"/>
        <v>0.18889324391122447</v>
      </c>
      <c r="H343" s="412" t="b">
        <f>Wh_hp&gt;='2024'!Maxi_hp</f>
        <v>0</v>
      </c>
      <c r="I343" s="388">
        <f>IF(H343,Wh_hp,'2024'!Maxi_hp)</f>
        <v>25.709723482797013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4.6874041504612607E-2</v>
      </c>
      <c r="M343" s="832"/>
      <c r="N343" s="832"/>
      <c r="O343" s="48">
        <f>IF(t&lt;Tnet,'2024'!Resal+('2024'!Salim-'2024'!Resal)*(1-EXP(('2024'!Tnet-t)/('2024'!Tau_j))),Resal+(Salim-Resal)*(1-EXP((Tnet-t)/(Tau_j))))*Salcycl</f>
        <v>2.7928539153271772E-2</v>
      </c>
      <c r="P343" s="169">
        <f>(INDEX(Models!$BJ343:$BT343,,T343)*(1-R343)+INDEX(Models!$BJ343:$BT343,,T343+1)*R343-ERP_i)*Q343*Ramure*Pc/MaxiM</f>
        <v>1.1637646970131718E-2</v>
      </c>
      <c r="Q343" s="304">
        <f t="shared" si="130"/>
        <v>0.6</v>
      </c>
      <c r="R343" s="177">
        <f t="shared" si="131"/>
        <v>0.99877548758925982</v>
      </c>
      <c r="S343" s="799">
        <f t="shared" si="132"/>
        <v>1</v>
      </c>
      <c r="T343" s="176">
        <f t="shared" si="133"/>
        <v>7</v>
      </c>
      <c r="U343" s="250">
        <f t="shared" si="134"/>
        <v>1.9987754875892598</v>
      </c>
      <c r="V343" s="382">
        <f t="shared" si="135"/>
        <v>25.027884210047056</v>
      </c>
      <c r="W343" s="400">
        <f t="shared" si="136"/>
        <v>4.7832641765215378</v>
      </c>
      <c r="X343" s="157">
        <f t="shared" si="137"/>
        <v>45986</v>
      </c>
      <c r="Y343" s="383">
        <f t="shared" si="138"/>
        <v>4.5677323166806341</v>
      </c>
      <c r="Z343" s="383">
        <f t="shared" si="139"/>
        <v>4.7923700702594383</v>
      </c>
      <c r="AA343" s="384">
        <f t="shared" si="140"/>
        <v>5.1626879631425533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7.1729667864276772E-2</v>
      </c>
      <c r="AD343" s="230">
        <f>(INDEX(Models!$BJ343:$BT343,,AH343)*(1-AF343)+INDEX(Models!$BJ343:$BT343,,AH343+1)*AF343-ERP_i)*AE343*Ramure*Pc/MaxiM</f>
        <v>1.1637646970131718E-2</v>
      </c>
      <c r="AE343" s="304">
        <f t="shared" si="142"/>
        <v>0.6</v>
      </c>
      <c r="AF343" s="177">
        <f t="shared" si="143"/>
        <v>0.99877548758925982</v>
      </c>
      <c r="AG343" s="799">
        <f t="shared" si="149"/>
        <v>1</v>
      </c>
      <c r="AH343" s="176">
        <f t="shared" si="144"/>
        <v>7</v>
      </c>
      <c r="AI343" s="224">
        <f t="shared" si="145"/>
        <v>1.9987754875892598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'2024'!Wh/'2024'!Env_an*'2025'!Env_an</f>
        <v>10.990829587791449</v>
      </c>
      <c r="C344" s="829"/>
      <c r="D344" s="391">
        <f t="shared" si="127"/>
        <v>11.531571594084498</v>
      </c>
      <c r="E344" s="383">
        <f t="shared" si="125"/>
        <v>11.863768641261514</v>
      </c>
      <c r="F344" s="383">
        <f t="shared" si="128"/>
        <v>11.892187874352464</v>
      </c>
      <c r="G344" s="110">
        <f t="shared" si="126"/>
        <v>0.43869661627947676</v>
      </c>
      <c r="H344" s="412" t="b">
        <f>Wh_hp&gt;='2024'!Maxi_hp</f>
        <v>0</v>
      </c>
      <c r="I344" s="388">
        <f>IF(H344,Wh_hp,'2024'!Maxi_hp)</f>
        <v>26.915508219914461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4.6892307946164169E-2</v>
      </c>
      <c r="M344" s="832"/>
      <c r="N344" s="832"/>
      <c r="O344" s="48">
        <f>IF(t&lt;Tnet,'2024'!Resal+('2024'!Salim-'2024'!Resal)*(1-EXP(('2024'!Tnet-t)/('2024'!Tau_j))),Resal+(Salim-Resal)*(1-EXP((Tnet-t)/(Tau_j))))*Salcycl</f>
        <v>2.8000971463793774E-2</v>
      </c>
      <c r="P344" s="169">
        <f>(INDEX(Models!$BJ344:$BT344,,T344)*(1-R344)+INDEX(Models!$BJ344:$BT344,,T344+1)*R344-ERP_i)*Q344*Ramure*Pc/MaxiM</f>
        <v>1.1711577650006459E-2</v>
      </c>
      <c r="Q344" s="304">
        <f t="shared" si="130"/>
        <v>0.6</v>
      </c>
      <c r="R344" s="177">
        <f t="shared" si="131"/>
        <v>0.99879568764265803</v>
      </c>
      <c r="S344" s="799">
        <f t="shared" si="132"/>
        <v>1</v>
      </c>
      <c r="T344" s="176">
        <f t="shared" si="133"/>
        <v>7</v>
      </c>
      <c r="U344" s="250">
        <f t="shared" si="134"/>
        <v>1.998795687642658</v>
      </c>
      <c r="V344" s="382">
        <f t="shared" si="135"/>
        <v>24.819269227037672</v>
      </c>
      <c r="W344" s="400">
        <f t="shared" si="136"/>
        <v>10.990829587791449</v>
      </c>
      <c r="X344" s="157">
        <f t="shared" si="137"/>
        <v>45987</v>
      </c>
      <c r="Y344" s="383">
        <f t="shared" si="138"/>
        <v>10.496284048573759</v>
      </c>
      <c r="Z344" s="383">
        <f t="shared" si="139"/>
        <v>11.012694720735588</v>
      </c>
      <c r="AA344" s="384">
        <f t="shared" si="140"/>
        <v>11.863768641261514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7.1737231756689668E-2</v>
      </c>
      <c r="AD344" s="230">
        <f>(INDEX(Models!$BJ344:$BT344,,AH344)*(1-AF344)+INDEX(Models!$BJ344:$BT344,,AH344+1)*AF344-ERP_i)*AE344*Ramure*Pc/MaxiM</f>
        <v>1.1711577650006459E-2</v>
      </c>
      <c r="AE344" s="304">
        <f t="shared" si="142"/>
        <v>0.6</v>
      </c>
      <c r="AF344" s="177">
        <f t="shared" si="143"/>
        <v>0.99879568764265803</v>
      </c>
      <c r="AG344" s="799">
        <f t="shared" si="149"/>
        <v>1</v>
      </c>
      <c r="AH344" s="176">
        <f t="shared" si="144"/>
        <v>7</v>
      </c>
      <c r="AI344" s="224">
        <f t="shared" si="145"/>
        <v>1.998795687642658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'2024'!Wh/'2024'!Env_an*'2025'!Env_an</f>
        <v>14.467696335791555</v>
      </c>
      <c r="C345" s="829"/>
      <c r="D345" s="391">
        <f t="shared" si="127"/>
        <v>15.17978894916727</v>
      </c>
      <c r="E345" s="383">
        <f t="shared" si="125"/>
        <v>15.618251773482672</v>
      </c>
      <c r="F345" s="383">
        <f t="shared" si="128"/>
        <v>15.694249804254513</v>
      </c>
      <c r="G345" s="110">
        <f t="shared" si="126"/>
        <v>0.58362084802273251</v>
      </c>
      <c r="H345" s="412" t="b">
        <f>Wh_hp&gt;='2024'!Maxi_hp</f>
        <v>0</v>
      </c>
      <c r="I345" s="388">
        <f>IF(H345,Wh_hp,'2024'!Maxi_hp)</f>
        <v>23.300191289146664</v>
      </c>
      <c r="J345" s="85">
        <f>IF(H345,An,'2024'!An_max)</f>
        <v>2020</v>
      </c>
      <c r="K345" s="197">
        <f t="shared" si="129"/>
        <v>45988</v>
      </c>
      <c r="L345" s="147">
        <f>IF(t&lt;Tvie,1-EXP((T0-t)*PertePVj)+'2024'!Pspv,1-EXP((T0-t)*PertePVj)+Pspv)</f>
        <v>4.6910574037643538E-2</v>
      </c>
      <c r="M345" s="832"/>
      <c r="N345" s="832"/>
      <c r="O345" s="48">
        <f>IF(t&lt;Tnet,'2024'!Resal+('2024'!Salim-'2024'!Resal)*(1-EXP(('2024'!Tnet-t)/('2024'!Tau_j))),Resal+(Salim-Resal)*(1-EXP((Tnet-t)/(Tau_j))))*Salcycl</f>
        <v>2.8073745427759297E-2</v>
      </c>
      <c r="P345" s="169">
        <f>(INDEX(Models!$BJ345:$BT345,,T345)*(1-R345)+INDEX(Models!$BJ345:$BT345,,T345+1)*R345-ERP_i)*Q345*Ramure*Pc/MaxiM</f>
        <v>1.1781256375813228E-2</v>
      </c>
      <c r="Q345" s="304">
        <f t="shared" si="130"/>
        <v>0.6</v>
      </c>
      <c r="R345" s="177">
        <f t="shared" si="131"/>
        <v>0.9988150759171186</v>
      </c>
      <c r="S345" s="799">
        <f t="shared" si="132"/>
        <v>1</v>
      </c>
      <c r="T345" s="176">
        <f t="shared" si="133"/>
        <v>7</v>
      </c>
      <c r="U345" s="250">
        <f t="shared" si="134"/>
        <v>1.9988150759171186</v>
      </c>
      <c r="V345" s="382">
        <f t="shared" si="135"/>
        <v>24.616699021125356</v>
      </c>
      <c r="W345" s="400">
        <f t="shared" si="136"/>
        <v>14.467696335791555</v>
      </c>
      <c r="X345" s="157">
        <f t="shared" si="137"/>
        <v>45988</v>
      </c>
      <c r="Y345" s="383">
        <f t="shared" si="138"/>
        <v>13.817608851318974</v>
      </c>
      <c r="Z345" s="383">
        <f t="shared" si="139"/>
        <v>14.497704491230731</v>
      </c>
      <c r="AA345" s="384">
        <f t="shared" si="140"/>
        <v>15.618251773482672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7.174601219801402E-2</v>
      </c>
      <c r="AD345" s="230">
        <f>(INDEX(Models!$BJ345:$BT345,,AH345)*(1-AF345)+INDEX(Models!$BJ345:$BT345,,AH345+1)*AF345-ERP_i)*AE345*Ramure*Pc/MaxiM</f>
        <v>1.1781256375813228E-2</v>
      </c>
      <c r="AE345" s="304">
        <f t="shared" si="142"/>
        <v>0.6</v>
      </c>
      <c r="AF345" s="177">
        <f t="shared" si="143"/>
        <v>0.9988150759171186</v>
      </c>
      <c r="AG345" s="799">
        <f t="shared" si="149"/>
        <v>1</v>
      </c>
      <c r="AH345" s="176">
        <f t="shared" si="144"/>
        <v>7</v>
      </c>
      <c r="AI345" s="224">
        <f t="shared" si="145"/>
        <v>1.9988150759171186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'2024'!Wh/'2024'!Env_an*'2025'!Env_an</f>
        <v>10.495868909308621</v>
      </c>
      <c r="C346" s="829"/>
      <c r="D346" s="391">
        <f t="shared" si="127"/>
        <v>11.012681263879028</v>
      </c>
      <c r="E346" s="383">
        <f t="shared" si="125"/>
        <v>11.331631187490922</v>
      </c>
      <c r="F346" s="383">
        <f t="shared" si="128"/>
        <v>11.356582962667437</v>
      </c>
      <c r="G346" s="110">
        <f t="shared" si="126"/>
        <v>0.4256814896461687</v>
      </c>
      <c r="H346" s="412" t="b">
        <f>Wh_hp&gt;='2024'!Maxi_hp</f>
        <v>0</v>
      </c>
      <c r="I346" s="388">
        <f>IF(H346,Wh_hp,'2024'!Maxi_hp)</f>
        <v>16.384266753107251</v>
      </c>
      <c r="J346" s="85">
        <f>IF(H346,An,'2024'!An_max)</f>
        <v>2020</v>
      </c>
      <c r="K346" s="197">
        <f t="shared" si="129"/>
        <v>45989</v>
      </c>
      <c r="L346" s="147">
        <f>IF(t&lt;Tvie,1-EXP((T0-t)*PertePVj)+'2024'!Pspv,1-EXP((T0-t)*PertePVj)+Pspv)</f>
        <v>4.6928839779057485E-2</v>
      </c>
      <c r="M346" s="832"/>
      <c r="N346" s="832"/>
      <c r="O346" s="48">
        <f>IF(t&lt;Tnet,'2024'!Resal+('2024'!Salim-'2024'!Resal)*(1-EXP(('2024'!Tnet-t)/('2024'!Tau_j))),Resal+(Salim-Resal)*(1-EXP((Tnet-t)/(Tau_j))))*Salcycl</f>
        <v>2.8146867678149119E-2</v>
      </c>
      <c r="P346" s="169">
        <f>(INDEX(Models!$BJ346:$BT346,,T346)*(1-R346)+INDEX(Models!$BJ346:$BT346,,T346+1)*R346-ERP_i)*Q346*Ramure*Pc/MaxiM</f>
        <v>1.184542293686267E-2</v>
      </c>
      <c r="Q346" s="304">
        <f t="shared" si="130"/>
        <v>0.6</v>
      </c>
      <c r="R346" s="177">
        <f t="shared" si="131"/>
        <v>0.99883368497635328</v>
      </c>
      <c r="S346" s="799">
        <f t="shared" si="132"/>
        <v>1</v>
      </c>
      <c r="T346" s="176">
        <f t="shared" si="133"/>
        <v>7</v>
      </c>
      <c r="U346" s="250">
        <f t="shared" si="134"/>
        <v>1.9988336849763533</v>
      </c>
      <c r="V346" s="382">
        <f t="shared" si="135"/>
        <v>24.41820669342934</v>
      </c>
      <c r="W346" s="400">
        <f t="shared" si="136"/>
        <v>10.495868909308621</v>
      </c>
      <c r="X346" s="157">
        <f t="shared" si="137"/>
        <v>45989</v>
      </c>
      <c r="Y346" s="383">
        <f t="shared" si="138"/>
        <v>10.024896609037544</v>
      </c>
      <c r="Z346" s="383">
        <f t="shared" si="139"/>
        <v>10.518518477375347</v>
      </c>
      <c r="AA346" s="384">
        <f t="shared" si="140"/>
        <v>11.331631187490922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7.1756016116477292E-2</v>
      </c>
      <c r="AD346" s="230">
        <f>(INDEX(Models!$BJ346:$BT346,,AH346)*(1-AF346)+INDEX(Models!$BJ346:$BT346,,AH346+1)*AF346-ERP_i)*AE346*Ramure*Pc/MaxiM</f>
        <v>1.184542293686267E-2</v>
      </c>
      <c r="AE346" s="304">
        <f t="shared" si="142"/>
        <v>0.6</v>
      </c>
      <c r="AF346" s="177">
        <f t="shared" si="143"/>
        <v>0.99883368497635328</v>
      </c>
      <c r="AG346" s="799">
        <f t="shared" si="149"/>
        <v>1</v>
      </c>
      <c r="AH346" s="176">
        <f t="shared" si="144"/>
        <v>7</v>
      </c>
      <c r="AI346" s="224">
        <f t="shared" si="145"/>
        <v>1.9988336849763533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'2024'!Wh/'2024'!Env_an*'2025'!Env_an</f>
        <v>15.285747246936529</v>
      </c>
      <c r="C347" s="829"/>
      <c r="D347" s="391">
        <f t="shared" si="127"/>
        <v>16.038718658600505</v>
      </c>
      <c r="E347" s="383">
        <f t="shared" si="125"/>
        <v>16.504480768497878</v>
      </c>
      <c r="F347" s="383">
        <f t="shared" si="128"/>
        <v>16.59795931426531</v>
      </c>
      <c r="G347" s="110">
        <f t="shared" si="126"/>
        <v>0.62702630899192979</v>
      </c>
      <c r="H347" s="412" t="b">
        <f>Wh_hp&gt;='2024'!Maxi_hp</f>
        <v>0</v>
      </c>
      <c r="I347" s="388">
        <f>IF(H347,Wh_hp,'2024'!Maxi_hp)</f>
        <v>16.659001140689998</v>
      </c>
      <c r="J347" s="85">
        <f>IF(H347,An,'2024'!An_max)</f>
        <v>2022</v>
      </c>
      <c r="K347" s="197">
        <f t="shared" si="129"/>
        <v>45990</v>
      </c>
      <c r="L347" s="147">
        <f>IF(t&lt;Tvie,1-EXP((T0-t)*PertePVj)+'2024'!Pspv,1-EXP((T0-t)*PertePVj)+Pspv)</f>
        <v>4.6947105170412673E-2</v>
      </c>
      <c r="M347" s="832"/>
      <c r="N347" s="832"/>
      <c r="O347" s="48">
        <f>IF(t&lt;Tnet,'2024'!Resal+('2024'!Salim-'2024'!Resal)*(1-EXP(('2024'!Tnet-t)/('2024'!Tau_j))),Resal+(Salim-Resal)*(1-EXP((Tnet-t)/(Tau_j))))*Salcycl</f>
        <v>2.8220343095335162E-2</v>
      </c>
      <c r="P347" s="169">
        <f>(INDEX(Models!$BJ347:$BT347,,T347)*(1-R347)+INDEX(Models!$BJ347:$BT347,,T347+1)*R347-ERP_i)*Q347*Ramure*Pc/MaxiM</f>
        <v>1.1910055167150846E-2</v>
      </c>
      <c r="Q347" s="304">
        <f t="shared" si="130"/>
        <v>0.6</v>
      </c>
      <c r="R347" s="177">
        <f t="shared" si="131"/>
        <v>0.9988515460824825</v>
      </c>
      <c r="S347" s="799">
        <f t="shared" si="132"/>
        <v>1</v>
      </c>
      <c r="T347" s="176">
        <f t="shared" si="133"/>
        <v>7</v>
      </c>
      <c r="U347" s="250">
        <f t="shared" si="134"/>
        <v>1.9988515460824825</v>
      </c>
      <c r="V347" s="382">
        <f t="shared" si="135"/>
        <v>24.224243323321463</v>
      </c>
      <c r="W347" s="400">
        <f t="shared" si="136"/>
        <v>15.285747246936529</v>
      </c>
      <c r="X347" s="157">
        <f t="shared" si="137"/>
        <v>45990</v>
      </c>
      <c r="Y347" s="383">
        <f t="shared" si="138"/>
        <v>14.600770003575569</v>
      </c>
      <c r="Z347" s="383">
        <f t="shared" si="139"/>
        <v>15.319999637781166</v>
      </c>
      <c r="AA347" s="384">
        <f t="shared" si="140"/>
        <v>16.504480768497878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7.1767245957687603E-2</v>
      </c>
      <c r="AD347" s="230">
        <f>(INDEX(Models!$BJ347:$BT347,,AH347)*(1-AF347)+INDEX(Models!$BJ347:$BT347,,AH347+1)*AF347-ERP_i)*AE347*Ramure*Pc/MaxiM</f>
        <v>1.1910055167150846E-2</v>
      </c>
      <c r="AE347" s="304">
        <f t="shared" si="142"/>
        <v>0.6</v>
      </c>
      <c r="AF347" s="177">
        <f t="shared" si="143"/>
        <v>0.9988515460824825</v>
      </c>
      <c r="AG347" s="799">
        <f t="shared" si="149"/>
        <v>1</v>
      </c>
      <c r="AH347" s="176">
        <f t="shared" si="144"/>
        <v>7</v>
      </c>
      <c r="AI347" s="224">
        <f t="shared" si="145"/>
        <v>1.9988515460824825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'2024'!Wh/'2024'!Env_an*'2025'!Env_an</f>
        <v>3.9943358348054447</v>
      </c>
      <c r="C348" s="829"/>
      <c r="D348" s="391">
        <f t="shared" si="127"/>
        <v>4.191175965654871</v>
      </c>
      <c r="E348" s="383">
        <f t="shared" si="125"/>
        <v>4.3132148198010931</v>
      </c>
      <c r="F348" s="383">
        <f t="shared" si="128"/>
        <v>4.3132148198010931</v>
      </c>
      <c r="G348" s="110">
        <f t="shared" si="126"/>
        <v>0.16419537223693459</v>
      </c>
      <c r="H348" s="412" t="b">
        <f>Wh_hp&gt;='2024'!Maxi_hp</f>
        <v>0</v>
      </c>
      <c r="I348" s="388">
        <f>IF(H348,Wh_hp,'2024'!Maxi_hp)</f>
        <v>25.310170680267795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4.6965370211715762E-2</v>
      </c>
      <c r="M348" s="832"/>
      <c r="N348" s="832"/>
      <c r="O348" s="48">
        <f>IF(t&lt;Tnet,'2024'!Resal+('2024'!Salim-'2024'!Resal)*(1-EXP(('2024'!Tnet-t)/('2024'!Tau_j))),Resal+(Salim-Resal)*(1-EXP((Tnet-t)/(Tau_j))))*Salcycl</f>
        <v>2.8294174819665004E-2</v>
      </c>
      <c r="P348" s="169">
        <f>(INDEX(Models!$BJ348:$BT348,,T348)*(1-R348)+INDEX(Models!$BJ348:$BT348,,T348+1)*R348-ERP_i)*Q348*Ramure*Pc/MaxiM</f>
        <v>1.1974921209409375E-2</v>
      </c>
      <c r="Q348" s="304">
        <f t="shared" si="130"/>
        <v>0.6</v>
      </c>
      <c r="R348" s="177">
        <f t="shared" si="131"/>
        <v>0.99886868924769168</v>
      </c>
      <c r="S348" s="799">
        <f t="shared" si="132"/>
        <v>1</v>
      </c>
      <c r="T348" s="176">
        <f t="shared" si="133"/>
        <v>7</v>
      </c>
      <c r="U348" s="250">
        <f t="shared" si="134"/>
        <v>1.9988686892476917</v>
      </c>
      <c r="V348" s="382">
        <f t="shared" si="135"/>
        <v>24.035415396512565</v>
      </c>
      <c r="W348" s="400">
        <f t="shared" si="136"/>
        <v>3.9943358348054447</v>
      </c>
      <c r="X348" s="157">
        <f t="shared" si="137"/>
        <v>45991</v>
      </c>
      <c r="Y348" s="383">
        <f t="shared" si="138"/>
        <v>3.8155823621919764</v>
      </c>
      <c r="Z348" s="383">
        <f t="shared" si="139"/>
        <v>4.0036135549865639</v>
      </c>
      <c r="AA348" s="384">
        <f t="shared" si="140"/>
        <v>4.3132148198010931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7.1779699771319691E-2</v>
      </c>
      <c r="AD348" s="230">
        <f>(INDEX(Models!$BJ348:$BT348,,AH348)*(1-AF348)+INDEX(Models!$BJ348:$BT348,,AH348+1)*AF348-ERP_i)*AE348*Ramure*Pc/MaxiM</f>
        <v>1.1974921209409375E-2</v>
      </c>
      <c r="AE348" s="304">
        <f t="shared" si="142"/>
        <v>0.6</v>
      </c>
      <c r="AF348" s="177">
        <f t="shared" si="143"/>
        <v>0.99886868924769168</v>
      </c>
      <c r="AG348" s="799">
        <f t="shared" si="149"/>
        <v>1</v>
      </c>
      <c r="AH348" s="176">
        <f t="shared" si="144"/>
        <v>7</v>
      </c>
      <c r="AI348" s="224">
        <f t="shared" si="145"/>
        <v>1.9988686892476917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'2024'!Wh/'2024'!Env_an*'2025'!Env_an</f>
        <v>3.7807930576574904</v>
      </c>
      <c r="C349" s="829"/>
      <c r="D349" s="391">
        <f t="shared" si="127"/>
        <v>3.9671858701739802</v>
      </c>
      <c r="E349" s="383">
        <f t="shared" si="125"/>
        <v>4.0830143073856</v>
      </c>
      <c r="F349" s="383">
        <f t="shared" si="128"/>
        <v>4.0830143073856</v>
      </c>
      <c r="G349" s="110">
        <f t="shared" si="126"/>
        <v>0.15659993321357948</v>
      </c>
      <c r="H349" s="412" t="b">
        <f>Wh_hp&gt;='2024'!Maxi_hp</f>
        <v>0</v>
      </c>
      <c r="I349" s="388">
        <f>IF(H349,Wh_hp,'2024'!Maxi_hp)</f>
        <v>26.146261330818092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4.6983634902973526E-2</v>
      </c>
      <c r="M349" s="832"/>
      <c r="N349" s="832"/>
      <c r="O349" s="48">
        <f>IF(t&lt;Tnet,'2024'!Resal+('2024'!Salim-'2024'!Resal)*(1-EXP(('2024'!Tnet-t)/('2024'!Tau_j))),Resal+(Salim-Resal)*(1-EXP((Tnet-t)/(Tau_j))))*Salcycl</f>
        <v>2.8368364274918879E-2</v>
      </c>
      <c r="P349" s="169">
        <f>(INDEX(Models!$BJ349:$BT349,,T349)*(1-R349)+INDEX(Models!$BJ349:$BT349,,T349+1)*R349-ERP_i)*Q349*Ramure*Pc/MaxiM</f>
        <v>1.2039759246203954E-2</v>
      </c>
      <c r="Q349" s="304">
        <f t="shared" si="130"/>
        <v>0.6</v>
      </c>
      <c r="R349" s="177">
        <f t="shared" si="131"/>
        <v>0.99888514328386702</v>
      </c>
      <c r="S349" s="799">
        <f t="shared" si="132"/>
        <v>1</v>
      </c>
      <c r="T349" s="176">
        <f t="shared" si="133"/>
        <v>7</v>
      </c>
      <c r="U349" s="250">
        <f t="shared" si="134"/>
        <v>1.998885143283867</v>
      </c>
      <c r="V349" s="382">
        <f t="shared" si="135"/>
        <v>23.852329581706822</v>
      </c>
      <c r="W349" s="400">
        <f t="shared" si="136"/>
        <v>3.7807930576574904</v>
      </c>
      <c r="X349" s="157">
        <f t="shared" si="137"/>
        <v>45992</v>
      </c>
      <c r="Y349" s="383">
        <f t="shared" si="138"/>
        <v>3.6118185624453663</v>
      </c>
      <c r="Z349" s="383">
        <f t="shared" si="139"/>
        <v>3.7898809450954678</v>
      </c>
      <c r="AA349" s="384">
        <f t="shared" si="140"/>
        <v>4.0830143073856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7.1793371323704475E-2</v>
      </c>
      <c r="AD349" s="230">
        <f>(INDEX(Models!$BJ349:$BT349,,AH349)*(1-AF349)+INDEX(Models!$BJ349:$BT349,,AH349+1)*AF349-ERP_i)*AE349*Ramure*Pc/MaxiM</f>
        <v>1.2039759246203954E-2</v>
      </c>
      <c r="AE349" s="304">
        <f t="shared" si="142"/>
        <v>0.6</v>
      </c>
      <c r="AF349" s="177">
        <f t="shared" si="143"/>
        <v>0.99888514328386702</v>
      </c>
      <c r="AG349" s="799">
        <f t="shared" si="149"/>
        <v>1</v>
      </c>
      <c r="AH349" s="176">
        <f t="shared" si="144"/>
        <v>7</v>
      </c>
      <c r="AI349" s="224">
        <f t="shared" si="145"/>
        <v>1.998885143283867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'2024'!Wh/'2024'!Env_an*'2025'!Env_an</f>
        <v>5.6799093025955685</v>
      </c>
      <c r="C350" s="829"/>
      <c r="D350" s="391">
        <f t="shared" si="127"/>
        <v>5.9600426255738856</v>
      </c>
      <c r="E350" s="383">
        <f t="shared" si="125"/>
        <v>6.1345264156838279</v>
      </c>
      <c r="F350" s="383">
        <f t="shared" si="128"/>
        <v>6.1345264156838279</v>
      </c>
      <c r="G350" s="110">
        <f t="shared" si="126"/>
        <v>0.23700180062077644</v>
      </c>
      <c r="H350" s="412" t="b">
        <f>Wh_hp&gt;='2024'!Maxi_hp</f>
        <v>0</v>
      </c>
      <c r="I350" s="388">
        <f>IF(H350,Wh_hp,'2024'!Maxi_hp)</f>
        <v>9.9498204075695913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4.7001899244192624E-2</v>
      </c>
      <c r="M350" s="832"/>
      <c r="N350" s="832"/>
      <c r="O350" s="48">
        <f>IF(t&lt;Tnet,'2024'!Resal+('2024'!Salim-'2024'!Resal)*(1-EXP(('2024'!Tnet-t)/('2024'!Tau_j))),Resal+(Salim-Resal)*(1-EXP((Tnet-t)/(Tau_j))))*Salcycl</f>
        <v>2.8442911202378858E-2</v>
      </c>
      <c r="P350" s="169">
        <f>(INDEX(Models!$BJ350:$BT350,,T350)*(1-R350)+INDEX(Models!$BJ350:$BT350,,T350+1)*R350-ERP_i)*Q350*Ramure*Pc/MaxiM</f>
        <v>1.210427711044303E-2</v>
      </c>
      <c r="Q350" s="304">
        <f t="shared" si="130"/>
        <v>0.6</v>
      </c>
      <c r="R350" s="177">
        <f t="shared" si="131"/>
        <v>0.99890093585028916</v>
      </c>
      <c r="S350" s="799">
        <f t="shared" si="132"/>
        <v>1</v>
      </c>
      <c r="T350" s="176">
        <f t="shared" si="133"/>
        <v>7</v>
      </c>
      <c r="U350" s="250">
        <f t="shared" si="134"/>
        <v>1.9989009358502892</v>
      </c>
      <c r="V350" s="382">
        <f t="shared" si="135"/>
        <v>23.675592724348586</v>
      </c>
      <c r="W350" s="400">
        <f t="shared" si="136"/>
        <v>5.6799093025955685</v>
      </c>
      <c r="X350" s="157">
        <f t="shared" si="137"/>
        <v>45993</v>
      </c>
      <c r="Y350" s="383">
        <f t="shared" si="138"/>
        <v>5.426387203459031</v>
      </c>
      <c r="Z350" s="383">
        <f t="shared" si="139"/>
        <v>5.6940168077517166</v>
      </c>
      <c r="AA350" s="384">
        <f t="shared" si="140"/>
        <v>6.1345264156838279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7.1808250235239512E-2</v>
      </c>
      <c r="AD350" s="230">
        <f>(INDEX(Models!$BJ350:$BT350,,AH350)*(1-AF350)+INDEX(Models!$BJ350:$BT350,,AH350+1)*AF350-ERP_i)*AE350*Ramure*Pc/MaxiM</f>
        <v>1.210427711044303E-2</v>
      </c>
      <c r="AE350" s="304">
        <f t="shared" si="142"/>
        <v>0.6</v>
      </c>
      <c r="AF350" s="177">
        <f t="shared" si="143"/>
        <v>0.99890093585028916</v>
      </c>
      <c r="AG350" s="799">
        <f t="shared" si="149"/>
        <v>1</v>
      </c>
      <c r="AH350" s="176">
        <f t="shared" si="144"/>
        <v>7</v>
      </c>
      <c r="AI350" s="224">
        <f t="shared" si="145"/>
        <v>1.9989009358502892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'2024'!Wh/'2024'!Env_an*'2025'!Env_an</f>
        <v>9.5189883812552409</v>
      </c>
      <c r="C351" s="829"/>
      <c r="D351" s="391">
        <f t="shared" si="127"/>
        <v>9.9886566473141123</v>
      </c>
      <c r="E351" s="383">
        <f t="shared" si="125"/>
        <v>10.281873191530302</v>
      </c>
      <c r="F351" s="383">
        <f t="shared" si="128"/>
        <v>10.300667612943593</v>
      </c>
      <c r="G351" s="110">
        <f t="shared" si="126"/>
        <v>0.40076676156652064</v>
      </c>
      <c r="H351" s="412" t="b">
        <f>Wh_hp&gt;='2024'!Maxi_hp</f>
        <v>0</v>
      </c>
      <c r="I351" s="388">
        <f>IF(H351,Wh_hp,'2024'!Maxi_hp)</f>
        <v>16.647333469246274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4.702016323537983E-2</v>
      </c>
      <c r="M351" s="832"/>
      <c r="N351" s="832"/>
      <c r="O351" s="48">
        <f>IF(t&lt;Tnet,'2024'!Resal+('2024'!Salim-'2024'!Resal)*(1-EXP(('2024'!Tnet-t)/('2024'!Tau_j))),Resal+(Salim-Resal)*(1-EXP((Tnet-t)/(Tau_j))))*Salcycl</f>
        <v>2.8517813705164863E-2</v>
      </c>
      <c r="P351" s="169">
        <f>(INDEX(Models!$BJ351:$BT351,,T351)*(1-R351)+INDEX(Models!$BJ351:$BT351,,T351+1)*R351-ERP_i)*Q351*Ramure*Pc/MaxiM</f>
        <v>1.2168152239301561E-2</v>
      </c>
      <c r="Q351" s="304">
        <f t="shared" si="130"/>
        <v>0.6</v>
      </c>
      <c r="R351" s="177">
        <f t="shared" si="131"/>
        <v>0.99891609349945165</v>
      </c>
      <c r="S351" s="799">
        <f t="shared" si="132"/>
        <v>1</v>
      </c>
      <c r="T351" s="176">
        <f t="shared" si="133"/>
        <v>7</v>
      </c>
      <c r="U351" s="250">
        <f t="shared" si="134"/>
        <v>1.9989160934994517</v>
      </c>
      <c r="V351" s="382">
        <f t="shared" si="135"/>
        <v>23.505811834679587</v>
      </c>
      <c r="W351" s="400">
        <f t="shared" si="136"/>
        <v>9.5189883812552409</v>
      </c>
      <c r="X351" s="157">
        <f t="shared" si="137"/>
        <v>45994</v>
      </c>
      <c r="Y351" s="383">
        <f t="shared" si="138"/>
        <v>9.0946531165922941</v>
      </c>
      <c r="Z351" s="383">
        <f t="shared" si="139"/>
        <v>9.5433846192053426</v>
      </c>
      <c r="AA351" s="384">
        <f t="shared" si="140"/>
        <v>10.281873191530302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7.1824322141347763E-2</v>
      </c>
      <c r="AD351" s="230">
        <f>(INDEX(Models!$BJ351:$BT351,,AH351)*(1-AF351)+INDEX(Models!$BJ351:$BT351,,AH351+1)*AF351-ERP_i)*AE351*Ramure*Pc/MaxiM</f>
        <v>1.2168152239301561E-2</v>
      </c>
      <c r="AE351" s="304">
        <f t="shared" si="142"/>
        <v>0.6</v>
      </c>
      <c r="AF351" s="177">
        <f t="shared" si="143"/>
        <v>0.99891609349945165</v>
      </c>
      <c r="AG351" s="799">
        <f t="shared" si="149"/>
        <v>1</v>
      </c>
      <c r="AH351" s="176">
        <f t="shared" si="144"/>
        <v>7</v>
      </c>
      <c r="AI351" s="224">
        <f t="shared" si="145"/>
        <v>1.9989160934994517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'2024'!Wh/'2024'!Env_an*'2025'!Env_an</f>
        <v>17.456484913060525</v>
      </c>
      <c r="C352" s="829"/>
      <c r="D352" s="391">
        <f t="shared" si="127"/>
        <v>18.318141471166118</v>
      </c>
      <c r="E352" s="383">
        <f t="shared" si="125"/>
        <v>18.857330407509149</v>
      </c>
      <c r="F352" s="383">
        <f t="shared" si="128"/>
        <v>19.005975581855651</v>
      </c>
      <c r="G352" s="110">
        <f t="shared" si="126"/>
        <v>0.74448235592654111</v>
      </c>
      <c r="H352" s="412" t="b">
        <f>Wh_hp&gt;='2024'!Maxi_hp</f>
        <v>0</v>
      </c>
      <c r="I352" s="388">
        <f>IF(H352,Wh_hp,'2024'!Maxi_hp)</f>
        <v>19.053523549254066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4.7038426876541695E-2</v>
      </c>
      <c r="M352" s="832"/>
      <c r="N352" s="832"/>
      <c r="O352" s="48">
        <f>IF(t&lt;Tnet,'2024'!Resal+('2024'!Salim-'2024'!Resal)*(1-EXP(('2024'!Tnet-t)/('2024'!Tau_j))),Resal+(Salim-Resal)*(1-EXP((Tnet-t)/(Tau_j))))*Salcycl</f>
        <v>2.8593068302410495E-2</v>
      </c>
      <c r="P352" s="169">
        <f>(INDEX(Models!$BJ352:$BT352,,T352)*(1-R352)+INDEX(Models!$BJ352:$BT352,,T352+1)*R352-ERP_i)*Q352*Ramure*Pc/MaxiM</f>
        <v>1.2225665338022114E-2</v>
      </c>
      <c r="Q352" s="304">
        <f t="shared" si="130"/>
        <v>0.6</v>
      </c>
      <c r="R352" s="177">
        <f t="shared" si="131"/>
        <v>0.99893064172108659</v>
      </c>
      <c r="S352" s="799">
        <f t="shared" si="132"/>
        <v>1</v>
      </c>
      <c r="T352" s="176">
        <f t="shared" si="133"/>
        <v>7</v>
      </c>
      <c r="U352" s="250">
        <f t="shared" si="134"/>
        <v>1.9989306417210866</v>
      </c>
      <c r="V352" s="382">
        <f t="shared" si="135"/>
        <v>23.34372089170277</v>
      </c>
      <c r="W352" s="400">
        <f t="shared" si="136"/>
        <v>17.456484913060525</v>
      </c>
      <c r="X352" s="157">
        <f t="shared" si="137"/>
        <v>45995</v>
      </c>
      <c r="Y352" s="383">
        <f t="shared" si="138"/>
        <v>16.679295896663589</v>
      </c>
      <c r="Z352" s="383">
        <f t="shared" si="139"/>
        <v>17.502590206229385</v>
      </c>
      <c r="AA352" s="384">
        <f t="shared" si="140"/>
        <v>18.857330407509149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7.1841568875533654E-2</v>
      </c>
      <c r="AD352" s="230">
        <f>(INDEX(Models!$BJ352:$BT352,,AH352)*(1-AF352)+INDEX(Models!$BJ352:$BT352,,AH352+1)*AF352-ERP_i)*AE352*Ramure*Pc/MaxiM</f>
        <v>1.2225665338022114E-2</v>
      </c>
      <c r="AE352" s="304">
        <f t="shared" si="142"/>
        <v>0.6</v>
      </c>
      <c r="AF352" s="177">
        <f t="shared" si="143"/>
        <v>0.99893064172108659</v>
      </c>
      <c r="AG352" s="799">
        <f t="shared" si="149"/>
        <v>1</v>
      </c>
      <c r="AH352" s="176">
        <f t="shared" si="144"/>
        <v>7</v>
      </c>
      <c r="AI352" s="224">
        <f t="shared" si="145"/>
        <v>1.9989306417210866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'2024'!Wh/'2024'!Env_an*'2025'!Env_an</f>
        <v>23.141986805523189</v>
      </c>
      <c r="C353" s="829"/>
      <c r="D353" s="391">
        <f t="shared" si="127"/>
        <v>24.284746602182853</v>
      </c>
      <c r="E353" s="383">
        <f t="shared" si="125"/>
        <v>25.00150654257407</v>
      </c>
      <c r="F353" s="383">
        <f t="shared" si="128"/>
        <v>25.311291093468903</v>
      </c>
      <c r="G353" s="110">
        <f t="shared" si="126"/>
        <v>0.99789498008650079</v>
      </c>
      <c r="H353" s="412" t="b">
        <f>Wh_hp&gt;='2024'!Maxi_hp</f>
        <v>0</v>
      </c>
      <c r="I353" s="388">
        <f>IF(H353,Wh_hp,'2024'!Maxi_hp)</f>
        <v>25.311808746595222</v>
      </c>
      <c r="J353" s="85">
        <f>IF(H353,An,'2024'!An_max)</f>
        <v>2022</v>
      </c>
      <c r="K353" s="197">
        <f t="shared" si="129"/>
        <v>45996</v>
      </c>
      <c r="L353" s="147">
        <f>IF(t&lt;Tvie,1-EXP((T0-t)*PertePVj)+'2024'!Pspv,1-EXP((T0-t)*PertePVj)+Pspv)</f>
        <v>4.7056690167685211E-2</v>
      </c>
      <c r="M353" s="832"/>
      <c r="N353" s="832"/>
      <c r="O353" s="48">
        <f>IF(t&lt;Tnet,'2024'!Resal+('2024'!Salim-'2024'!Resal)*(1-EXP(('2024'!Tnet-t)/('2024'!Tau_j))),Resal+(Salim-Resal)*(1-EXP((Tnet-t)/(Tau_j))))*Salcycl</f>
        <v>2.8668669992773253E-2</v>
      </c>
      <c r="P353" s="169">
        <f>(INDEX(Models!$BJ353:$BT353,,T353)*(1-R353)+INDEX(Models!$BJ353:$BT353,,T353+1)*R353-ERP_i)*Q353*Ramure*Pc/MaxiM</f>
        <v>1.2275257734591731E-2</v>
      </c>
      <c r="Q353" s="304">
        <f t="shared" si="130"/>
        <v>0.6</v>
      </c>
      <c r="R353" s="177">
        <f t="shared" si="131"/>
        <v>0.9989446049844557</v>
      </c>
      <c r="S353" s="799">
        <f t="shared" si="132"/>
        <v>1</v>
      </c>
      <c r="T353" s="176">
        <f t="shared" si="133"/>
        <v>7</v>
      </c>
      <c r="U353" s="250">
        <f t="shared" si="134"/>
        <v>1.9989446049844557</v>
      </c>
      <c r="V353" s="382">
        <f t="shared" si="135"/>
        <v>23.189952328817153</v>
      </c>
      <c r="W353" s="400">
        <f t="shared" si="136"/>
        <v>23.141986805523189</v>
      </c>
      <c r="X353" s="157">
        <f t="shared" si="137"/>
        <v>45996</v>
      </c>
      <c r="Y353" s="383">
        <f t="shared" si="138"/>
        <v>22.112953319944218</v>
      </c>
      <c r="Z353" s="383">
        <f t="shared" si="139"/>
        <v>23.204899065648863</v>
      </c>
      <c r="AA353" s="384">
        <f t="shared" si="140"/>
        <v>25.00150654257407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7.1859968672921257E-2</v>
      </c>
      <c r="AD353" s="230">
        <f>(INDEX(Models!$BJ353:$BT353,,AH353)*(1-AF353)+INDEX(Models!$BJ353:$BT353,,AH353+1)*AF353-ERP_i)*AE353*Ramure*Pc/MaxiM</f>
        <v>1.2275257734591731E-2</v>
      </c>
      <c r="AE353" s="304">
        <f t="shared" si="142"/>
        <v>0.6</v>
      </c>
      <c r="AF353" s="177">
        <f t="shared" si="143"/>
        <v>0.9989446049844557</v>
      </c>
      <c r="AG353" s="799">
        <f t="shared" si="149"/>
        <v>1</v>
      </c>
      <c r="AH353" s="176">
        <f t="shared" si="144"/>
        <v>7</v>
      </c>
      <c r="AI353" s="224">
        <f t="shared" si="145"/>
        <v>1.9989446049844557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'2024'!Wh/'2024'!Env_an*'2025'!Env_an</f>
        <v>11.376310470606578</v>
      </c>
      <c r="C354" s="829"/>
      <c r="D354" s="391">
        <f t="shared" si="127"/>
        <v>11.938305649243436</v>
      </c>
      <c r="E354" s="383">
        <f t="shared" si="125"/>
        <v>12.291623604624078</v>
      </c>
      <c r="F354" s="383">
        <f t="shared" si="128"/>
        <v>12.333648563680686</v>
      </c>
      <c r="G354" s="110">
        <f t="shared" si="126"/>
        <v>0.48924088345133138</v>
      </c>
      <c r="H354" s="412" t="b">
        <f>Wh_hp&gt;='2024'!Maxi_hp</f>
        <v>0</v>
      </c>
      <c r="I354" s="388">
        <f>IF(H354,Wh_hp,'2024'!Maxi_hp)</f>
        <v>18.881092862283797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4.7074953108816819E-2</v>
      </c>
      <c r="M354" s="832"/>
      <c r="N354" s="832"/>
      <c r="O354" s="48">
        <f>IF(t&lt;Tnet,'2024'!Resal+('2024'!Salim-'2024'!Resal)*(1-EXP(('2024'!Tnet-t)/('2024'!Tau_j))),Resal+(Salim-Resal)*(1-EXP((Tnet-t)/(Tau_j))))*Salcycl</f>
        <v>2.874461232670078E-2</v>
      </c>
      <c r="P354" s="169">
        <f>(INDEX(Models!$BJ354:$BT354,,T354)*(1-R354)+INDEX(Models!$BJ354:$BT354,,T354+1)*R354-ERP_i)*Q354*Ramure*Pc/MaxiM</f>
        <v>1.23165020041418E-2</v>
      </c>
      <c r="Q354" s="304">
        <f t="shared" si="130"/>
        <v>0.6</v>
      </c>
      <c r="R354" s="177">
        <f t="shared" si="131"/>
        <v>0.9989580067789785</v>
      </c>
      <c r="S354" s="799">
        <f t="shared" si="132"/>
        <v>1</v>
      </c>
      <c r="T354" s="176">
        <f t="shared" si="133"/>
        <v>7</v>
      </c>
      <c r="U354" s="250">
        <f t="shared" si="134"/>
        <v>1.9989580067789785</v>
      </c>
      <c r="V354" s="382">
        <f t="shared" si="135"/>
        <v>23.045111223677814</v>
      </c>
      <c r="W354" s="400">
        <f t="shared" si="136"/>
        <v>11.376310470606578</v>
      </c>
      <c r="X354" s="157">
        <f t="shared" si="137"/>
        <v>45997</v>
      </c>
      <c r="Y354" s="383">
        <f t="shared" si="138"/>
        <v>10.871071746091701</v>
      </c>
      <c r="Z354" s="383">
        <f t="shared" si="139"/>
        <v>11.408107890077419</v>
      </c>
      <c r="AA354" s="384">
        <f t="shared" si="140"/>
        <v>12.291623604624078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7.1879496392509401E-2</v>
      </c>
      <c r="AD354" s="230">
        <f>(INDEX(Models!$BJ354:$BT354,,AH354)*(1-AF354)+INDEX(Models!$BJ354:$BT354,,AH354+1)*AF354-ERP_i)*AE354*Ramure*Pc/MaxiM</f>
        <v>1.23165020041418E-2</v>
      </c>
      <c r="AE354" s="304">
        <f t="shared" si="142"/>
        <v>0.6</v>
      </c>
      <c r="AF354" s="177">
        <f t="shared" si="143"/>
        <v>0.9989580067789785</v>
      </c>
      <c r="AG354" s="799">
        <f t="shared" si="149"/>
        <v>1</v>
      </c>
      <c r="AH354" s="176">
        <f t="shared" si="144"/>
        <v>7</v>
      </c>
      <c r="AI354" s="224">
        <f t="shared" si="145"/>
        <v>1.9989580067789785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'2024'!Wh/'2024'!Env_an*'2025'!Env_an</f>
        <v>20.499955315055512</v>
      </c>
      <c r="C355" s="829"/>
      <c r="D355" s="391">
        <f t="shared" si="127"/>
        <v>21.513075206105754</v>
      </c>
      <c r="E355" s="383">
        <f t="shared" si="125"/>
        <v>22.151501127773166</v>
      </c>
      <c r="F355" s="383">
        <f t="shared" si="128"/>
        <v>22.386408000085407</v>
      </c>
      <c r="G355" s="110">
        <f t="shared" si="126"/>
        <v>0.89313342318271871</v>
      </c>
      <c r="H355" s="412" t="b">
        <f>Wh_hp&gt;='2024'!Maxi_hp</f>
        <v>0</v>
      </c>
      <c r="I355" s="388">
        <f>IF(H355,Wh_hp,'2024'!Maxi_hp)</f>
        <v>22.409348727529608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4.7093215699943292E-2</v>
      </c>
      <c r="M355" s="832"/>
      <c r="N355" s="832"/>
      <c r="O355" s="48">
        <f>IF(t&lt;Tnet,'2024'!Resal+('2024'!Salim-'2024'!Resal)*(1-EXP(('2024'!Tnet-t)/('2024'!Tau_j))),Resal+(Salim-Resal)*(1-EXP((Tnet-t)/(Tau_j))))*Salcycl</f>
        <v>2.8820887486806342E-2</v>
      </c>
      <c r="P355" s="169">
        <f>(INDEX(Models!$BJ355:$BT355,,T355)*(1-R355)+INDEX(Models!$BJ355:$BT355,,T355+1)*R355-ERP_i)*Q355*Ramure*Pc/MaxiM</f>
        <v>1.2348948743041297E-2</v>
      </c>
      <c r="Q355" s="304">
        <f t="shared" si="130"/>
        <v>0.6</v>
      </c>
      <c r="R355" s="177">
        <f t="shared" si="131"/>
        <v>0.99897086965326354</v>
      </c>
      <c r="S355" s="799">
        <f t="shared" si="132"/>
        <v>1</v>
      </c>
      <c r="T355" s="176">
        <f t="shared" si="133"/>
        <v>7</v>
      </c>
      <c r="U355" s="250">
        <f t="shared" si="134"/>
        <v>1.9989708696532635</v>
      </c>
      <c r="V355" s="382">
        <f t="shared" si="135"/>
        <v>22.909803027659194</v>
      </c>
      <c r="W355" s="400">
        <f t="shared" si="136"/>
        <v>20.499955315055512</v>
      </c>
      <c r="X355" s="157">
        <f t="shared" si="137"/>
        <v>45998</v>
      </c>
      <c r="Y355" s="383">
        <f t="shared" si="138"/>
        <v>19.590625195460085</v>
      </c>
      <c r="Z355" s="383">
        <f t="shared" si="139"/>
        <v>20.558805455299684</v>
      </c>
      <c r="AA355" s="384">
        <f t="shared" si="140"/>
        <v>22.151501127773166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7.1900123756244619E-2</v>
      </c>
      <c r="AD355" s="230">
        <f>(INDEX(Models!$BJ355:$BT355,,AH355)*(1-AF355)+INDEX(Models!$BJ355:$BT355,,AH355+1)*AF355-ERP_i)*AE355*Ramure*Pc/MaxiM</f>
        <v>1.2348948743041297E-2</v>
      </c>
      <c r="AE355" s="304">
        <f t="shared" si="142"/>
        <v>0.6</v>
      </c>
      <c r="AF355" s="177">
        <f t="shared" si="143"/>
        <v>0.99897086965326354</v>
      </c>
      <c r="AG355" s="799">
        <f t="shared" si="149"/>
        <v>1</v>
      </c>
      <c r="AH355" s="176">
        <f t="shared" si="144"/>
        <v>7</v>
      </c>
      <c r="AI355" s="224">
        <f t="shared" si="145"/>
        <v>1.9989708696532635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'2024'!Wh/'2024'!Env_an*'2025'!Env_an</f>
        <v>4.1172794483133126</v>
      </c>
      <c r="C356" s="829"/>
      <c r="D356" s="391">
        <f t="shared" si="127"/>
        <v>4.3208406366539194</v>
      </c>
      <c r="E356" s="383">
        <f t="shared" si="125"/>
        <v>4.4494176217582337</v>
      </c>
      <c r="F356" s="383">
        <f t="shared" si="128"/>
        <v>4.4494176217582337</v>
      </c>
      <c r="G356" s="110">
        <f t="shared" si="126"/>
        <v>0.17846852457352247</v>
      </c>
      <c r="H356" s="412" t="b">
        <f>Wh_hp&gt;='2024'!Maxi_hp</f>
        <v>0</v>
      </c>
      <c r="I356" s="388">
        <f>IF(H356,Wh_hp,'2024'!Maxi_hp)</f>
        <v>17.076709643331426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4.7111477941071511E-2</v>
      </c>
      <c r="M356" s="832"/>
      <c r="N356" s="832"/>
      <c r="O356" s="48">
        <f>IF(t&lt;Tnet,'2024'!Resal+('2024'!Salim-'2024'!Resal)*(1-EXP(('2024'!Tnet-t)/('2024'!Tau_j))),Resal+(Salim-Resal)*(1-EXP((Tnet-t)/(Tau_j))))*Salcycl</f>
        <v>2.8897486375645133E-2</v>
      </c>
      <c r="P356" s="169">
        <f>(INDEX(Models!$BJ356:$BT356,,T356)*(1-R356)+INDEX(Models!$BJ356:$BT356,,T356+1)*R356-ERP_i)*Q356*Ramure*Pc/MaxiM</f>
        <v>1.2372131181036073E-2</v>
      </c>
      <c r="Q356" s="304">
        <f t="shared" si="130"/>
        <v>0.6</v>
      </c>
      <c r="R356" s="177">
        <f t="shared" si="131"/>
        <v>0.9989832152525977</v>
      </c>
      <c r="S356" s="799">
        <f t="shared" si="132"/>
        <v>1</v>
      </c>
      <c r="T356" s="176">
        <f t="shared" si="133"/>
        <v>7</v>
      </c>
      <c r="U356" s="250">
        <f t="shared" si="134"/>
        <v>1.9989832152525977</v>
      </c>
      <c r="V356" s="382">
        <f t="shared" si="135"/>
        <v>22.784633517797779</v>
      </c>
      <c r="W356" s="400">
        <f t="shared" si="136"/>
        <v>4.1172794483133126</v>
      </c>
      <c r="X356" s="157">
        <f t="shared" si="137"/>
        <v>45999</v>
      </c>
      <c r="Y356" s="383">
        <f t="shared" si="138"/>
        <v>3.9348649241115239</v>
      </c>
      <c r="Z356" s="383">
        <f t="shared" si="139"/>
        <v>4.1294074102281861</v>
      </c>
      <c r="AA356" s="384">
        <f t="shared" si="140"/>
        <v>4.4494176217582337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7.1921819602897161E-2</v>
      </c>
      <c r="AD356" s="230">
        <f>(INDEX(Models!$BJ356:$BT356,,AH356)*(1-AF356)+INDEX(Models!$BJ356:$BT356,,AH356+1)*AF356-ERP_i)*AE356*Ramure*Pc/MaxiM</f>
        <v>1.2372131181036073E-2</v>
      </c>
      <c r="AE356" s="304">
        <f t="shared" si="142"/>
        <v>0.6</v>
      </c>
      <c r="AF356" s="177">
        <f t="shared" si="143"/>
        <v>0.9989832152525977</v>
      </c>
      <c r="AG356" s="799">
        <f t="shared" si="149"/>
        <v>1</v>
      </c>
      <c r="AH356" s="176">
        <f t="shared" si="144"/>
        <v>7</v>
      </c>
      <c r="AI356" s="224">
        <f t="shared" si="145"/>
        <v>1.9989832152525977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'2024'!Wh/'2024'!Env_an*'2025'!Env_an</f>
        <v>5.0250848568685393</v>
      </c>
      <c r="C357" s="829"/>
      <c r="D357" s="391">
        <f t="shared" si="127"/>
        <v>5.2736296502565478</v>
      </c>
      <c r="E357" s="383">
        <f t="shared" si="125"/>
        <v>5.4309892996139961</v>
      </c>
      <c r="F357" s="383">
        <f t="shared" si="128"/>
        <v>5.4309892996139961</v>
      </c>
      <c r="G357" s="110">
        <f t="shared" si="126"/>
        <v>0.21891489255709251</v>
      </c>
      <c r="H357" s="412" t="b">
        <f>Wh_hp&gt;='2024'!Maxi_hp</f>
        <v>0</v>
      </c>
      <c r="I357" s="388">
        <f>IF(H357,Wh_hp,'2024'!Maxi_hp)</f>
        <v>11.827516861952027</v>
      </c>
      <c r="J357" s="85">
        <f>IF(H357,An,'2024'!An_max)</f>
        <v>2018</v>
      </c>
      <c r="K357" s="197">
        <f t="shared" si="129"/>
        <v>46000</v>
      </c>
      <c r="L357" s="147">
        <f>IF(t&lt;Tvie,1-EXP((T0-t)*PertePVj)+'2024'!Pspv,1-EXP((T0-t)*PertePVj)+Pspv)</f>
        <v>4.7129739832207918E-2</v>
      </c>
      <c r="M357" s="832"/>
      <c r="N357" s="832"/>
      <c r="O357" s="48">
        <f>IF(t&lt;Tnet,'2024'!Resal+('2024'!Salim-'2024'!Resal)*(1-EXP(('2024'!Tnet-t)/('2024'!Tau_j))),Resal+(Salim-Resal)*(1-EXP((Tnet-t)/(Tau_j))))*Salcycl</f>
        <v>2.897439871012681E-2</v>
      </c>
      <c r="P357" s="169">
        <f>(INDEX(Models!$BJ357:$BT357,,T357)*(1-R357)+INDEX(Models!$BJ357:$BT357,,T357+1)*R357-ERP_i)*Q357*Ramure*Pc/MaxiM</f>
        <v>1.2385570440568842E-2</v>
      </c>
      <c r="Q357" s="304">
        <f t="shared" si="130"/>
        <v>0.6</v>
      </c>
      <c r="R357" s="177">
        <f t="shared" si="131"/>
        <v>0.99899506435495766</v>
      </c>
      <c r="S357" s="799">
        <f t="shared" si="132"/>
        <v>1</v>
      </c>
      <c r="T357" s="176">
        <f t="shared" si="133"/>
        <v>7</v>
      </c>
      <c r="U357" s="250">
        <f t="shared" si="134"/>
        <v>1.9989950643549577</v>
      </c>
      <c r="V357" s="382">
        <f t="shared" si="135"/>
        <v>22.670208757541054</v>
      </c>
      <c r="W357" s="400">
        <f t="shared" si="136"/>
        <v>5.0250848568685393</v>
      </c>
      <c r="X357" s="157">
        <f t="shared" si="137"/>
        <v>46000</v>
      </c>
      <c r="Y357" s="383">
        <f t="shared" si="138"/>
        <v>4.8027131119482513</v>
      </c>
      <c r="Z357" s="383">
        <f t="shared" si="139"/>
        <v>5.0402592175586802</v>
      </c>
      <c r="AA357" s="384">
        <f t="shared" si="140"/>
        <v>5.4309892996139961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7.1944550154625933E-2</v>
      </c>
      <c r="AD357" s="230">
        <f>(INDEX(Models!$BJ357:$BT357,,AH357)*(1-AF357)+INDEX(Models!$BJ357:$BT357,,AH357+1)*AF357-ERP_i)*AE357*Ramure*Pc/MaxiM</f>
        <v>1.2385570440568842E-2</v>
      </c>
      <c r="AE357" s="304">
        <f t="shared" si="142"/>
        <v>0.6</v>
      </c>
      <c r="AF357" s="177">
        <f t="shared" si="143"/>
        <v>0.99899506435495766</v>
      </c>
      <c r="AG357" s="799">
        <f t="shared" si="149"/>
        <v>1</v>
      </c>
      <c r="AH357" s="176">
        <f t="shared" si="144"/>
        <v>7</v>
      </c>
      <c r="AI357" s="224">
        <f t="shared" si="145"/>
        <v>1.9989950643549577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'2024'!Wh/'2024'!Env_an*'2025'!Env_an</f>
        <v>12.16508156164841</v>
      </c>
      <c r="C358" s="829"/>
      <c r="D358" s="391">
        <f t="shared" si="127"/>
        <v>12.767021089510353</v>
      </c>
      <c r="E358" s="383">
        <f t="shared" si="125"/>
        <v>13.149021371319574</v>
      </c>
      <c r="F358" s="383">
        <f t="shared" si="128"/>
        <v>13.204890981976375</v>
      </c>
      <c r="G358" s="110">
        <f t="shared" si="126"/>
        <v>0.53464560381724757</v>
      </c>
      <c r="H358" s="412" t="b">
        <f>Wh_hp&gt;='2024'!Maxi_hp</f>
        <v>0</v>
      </c>
      <c r="I358" s="388">
        <f>IF(H358,Wh_hp,'2024'!Maxi_hp)</f>
        <v>21.581579026303849</v>
      </c>
      <c r="J358" s="85">
        <f>IF(H358,An,'2024'!An_max)</f>
        <v>2018</v>
      </c>
      <c r="K358" s="197">
        <f t="shared" si="129"/>
        <v>46001</v>
      </c>
      <c r="L358" s="147">
        <f>IF(t&lt;Tvie,1-EXP((T0-t)*PertePVj)+'2024'!Pspv,1-EXP((T0-t)*PertePVj)+Pspv)</f>
        <v>4.7148001373359394E-2</v>
      </c>
      <c r="M358" s="832"/>
      <c r="N358" s="832"/>
      <c r="O358" s="48">
        <f>IF(t&lt;Tnet,'2024'!Resal+('2024'!Salim-'2024'!Resal)*(1-EXP(('2024'!Tnet-t)/('2024'!Tau_j))),Resal+(Salim-Resal)*(1-EXP((Tnet-t)/(Tau_j))))*Salcycl</f>
        <v>2.9051613121751665E-2</v>
      </c>
      <c r="P358" s="169">
        <f>(INDEX(Models!$BJ358:$BT358,,T358)*(1-R358)+INDEX(Models!$BJ358:$BT358,,T358+1)*R358-ERP_i)*Q358*Ramure*Pc/MaxiM</f>
        <v>1.2388781413236646E-2</v>
      </c>
      <c r="Q358" s="304">
        <f t="shared" si="130"/>
        <v>0.6</v>
      </c>
      <c r="R358" s="177">
        <f t="shared" si="131"/>
        <v>0.9990064369056022</v>
      </c>
      <c r="S358" s="799">
        <f t="shared" si="132"/>
        <v>1</v>
      </c>
      <c r="T358" s="176">
        <f t="shared" si="133"/>
        <v>7</v>
      </c>
      <c r="U358" s="250">
        <f t="shared" si="134"/>
        <v>1.9990064369056022</v>
      </c>
      <c r="V358" s="382">
        <f t="shared" si="135"/>
        <v>22.567135071620481</v>
      </c>
      <c r="W358" s="400">
        <f t="shared" si="136"/>
        <v>12.16508156164841</v>
      </c>
      <c r="X358" s="157">
        <f t="shared" si="137"/>
        <v>46001</v>
      </c>
      <c r="Y358" s="383">
        <f t="shared" si="138"/>
        <v>11.627375591490187</v>
      </c>
      <c r="Z358" s="383">
        <f t="shared" si="139"/>
        <v>12.202708928825141</v>
      </c>
      <c r="AA358" s="384">
        <f t="shared" si="140"/>
        <v>13.149021371319574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7.1968279294040344E-2</v>
      </c>
      <c r="AD358" s="230">
        <f>(INDEX(Models!$BJ358:$BT358,,AH358)*(1-AF358)+INDEX(Models!$BJ358:$BT358,,AH358+1)*AF358-ERP_i)*AE358*Ramure*Pc/MaxiM</f>
        <v>1.2388781413236646E-2</v>
      </c>
      <c r="AE358" s="304">
        <f t="shared" si="142"/>
        <v>0.6</v>
      </c>
      <c r="AF358" s="177">
        <f t="shared" si="143"/>
        <v>0.9990064369056022</v>
      </c>
      <c r="AG358" s="799">
        <f t="shared" si="149"/>
        <v>1</v>
      </c>
      <c r="AH358" s="176">
        <f t="shared" si="144"/>
        <v>7</v>
      </c>
      <c r="AI358" s="224">
        <f t="shared" si="145"/>
        <v>1.9990064369056022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'2024'!Wh/'2024'!Env_an*'2025'!Env_an</f>
        <v>17.407330458714995</v>
      </c>
      <c r="C359" s="829"/>
      <c r="D359" s="391">
        <f t="shared" si="127"/>
        <v>18.269011449538375</v>
      </c>
      <c r="E359" s="383">
        <f t="shared" si="125"/>
        <v>18.81713807093853</v>
      </c>
      <c r="F359" s="383">
        <f t="shared" si="128"/>
        <v>18.976444932629757</v>
      </c>
      <c r="G359" s="110">
        <f t="shared" si="126"/>
        <v>0.77145820031404844</v>
      </c>
      <c r="H359" s="412" t="b">
        <f>Wh_hp&gt;='2024'!Maxi_hp</f>
        <v>0</v>
      </c>
      <c r="I359" s="388">
        <f>IF(H359,Wh_hp,'2024'!Maxi_hp)</f>
        <v>19.016268227893452</v>
      </c>
      <c r="J359" s="85">
        <f>IF(H359,An,'2024'!An_max)</f>
        <v>2022</v>
      </c>
      <c r="K359" s="197">
        <f t="shared" si="129"/>
        <v>46002</v>
      </c>
      <c r="L359" s="147">
        <f>IF(t&lt;Tvie,1-EXP((T0-t)*PertePVj)+'2024'!Pspv,1-EXP((T0-t)*PertePVj)+Pspv)</f>
        <v>4.7166262564532602E-2</v>
      </c>
      <c r="M359" s="832"/>
      <c r="N359" s="832"/>
      <c r="O359" s="48">
        <f>IF(t&lt;Tnet,'2024'!Resal+('2024'!Salim-'2024'!Resal)*(1-EXP(('2024'!Tnet-t)/('2024'!Tau_j))),Resal+(Salim-Resal)*(1-EXP((Tnet-t)/(Tau_j))))*Salcycl</f>
        <v>2.9129117261816183E-2</v>
      </c>
      <c r="P359" s="169">
        <f>(INDEX(Models!$BJ359:$BT359,,T359)*(1-R359)+INDEX(Models!$BJ359:$BT359,,T359+1)*R359-ERP_i)*Q359*Ramure*Pc/MaxiM</f>
        <v>1.238267680980922E-2</v>
      </c>
      <c r="Q359" s="304">
        <f t="shared" si="130"/>
        <v>0.6</v>
      </c>
      <c r="R359" s="177">
        <f t="shared" si="131"/>
        <v>0.99901735205029363</v>
      </c>
      <c r="S359" s="799">
        <f t="shared" si="132"/>
        <v>1</v>
      </c>
      <c r="T359" s="176">
        <f t="shared" si="133"/>
        <v>7</v>
      </c>
      <c r="U359" s="250">
        <f t="shared" si="134"/>
        <v>1.9990173520502936</v>
      </c>
      <c r="V359" s="382">
        <f t="shared" si="135"/>
        <v>22.473450421922429</v>
      </c>
      <c r="W359" s="400">
        <f t="shared" si="136"/>
        <v>17.407330458714995</v>
      </c>
      <c r="X359" s="157">
        <f t="shared" si="137"/>
        <v>46002</v>
      </c>
      <c r="Y359" s="383">
        <f t="shared" si="138"/>
        <v>16.638798574005609</v>
      </c>
      <c r="Z359" s="383">
        <f t="shared" si="139"/>
        <v>17.462436435960587</v>
      </c>
      <c r="AA359" s="384">
        <f t="shared" si="140"/>
        <v>18.81713807093853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7.1992968849506692E-2</v>
      </c>
      <c r="AD359" s="230">
        <f>(INDEX(Models!$BJ359:$BT359,,AH359)*(1-AF359)+INDEX(Models!$BJ359:$BT359,,AH359+1)*AF359-ERP_i)*AE359*Ramure*Pc/MaxiM</f>
        <v>1.238267680980922E-2</v>
      </c>
      <c r="AE359" s="304">
        <f t="shared" si="142"/>
        <v>0.6</v>
      </c>
      <c r="AF359" s="177">
        <f t="shared" si="143"/>
        <v>0.99901735205029363</v>
      </c>
      <c r="AG359" s="799">
        <f t="shared" si="149"/>
        <v>1</v>
      </c>
      <c r="AH359" s="176">
        <f t="shared" si="144"/>
        <v>7</v>
      </c>
      <c r="AI359" s="224">
        <f t="shared" si="145"/>
        <v>1.9990173520502936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'2024'!Wh/'2024'!Env_an*'2025'!Env_an</f>
        <v>5.3204042693785762</v>
      </c>
      <c r="C360" s="829"/>
      <c r="D360" s="391">
        <f t="shared" si="127"/>
        <v>5.5838768366733262</v>
      </c>
      <c r="E360" s="383">
        <f t="shared" si="125"/>
        <v>5.7518711501512998</v>
      </c>
      <c r="F360" s="383">
        <f t="shared" si="128"/>
        <v>5.7518711501512998</v>
      </c>
      <c r="G360" s="110">
        <f t="shared" si="126"/>
        <v>0.23471544040581857</v>
      </c>
      <c r="H360" s="412" t="b">
        <f>Wh_hp&gt;='2024'!Maxi_hp</f>
        <v>0</v>
      </c>
      <c r="I360" s="388">
        <f>IF(H360,Wh_hp,'2024'!Maxi_hp)</f>
        <v>23.902821263615333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4.7184523405734313E-2</v>
      </c>
      <c r="M360" s="832"/>
      <c r="N360" s="832"/>
      <c r="O360" s="48">
        <f>IF(t&lt;Tnet,'2024'!Resal+('2024'!Salim-'2024'!Resal)*(1-EXP(('2024'!Tnet-t)/('2024'!Tau_j))),Resal+(Salim-Resal)*(1-EXP((Tnet-t)/(Tau_j))))*Salcycl</f>
        <v>2.9206897910700653E-2</v>
      </c>
      <c r="P360" s="169">
        <f>(INDEX(Models!$BJ360:$BT360,,T360)*(1-R360)+INDEX(Models!$BJ360:$BT360,,T360+1)*R360-ERP_i)*Q360*Ramure*Pc/MaxiM</f>
        <v>1.2368235258613828E-2</v>
      </c>
      <c r="Q360" s="304">
        <f t="shared" si="130"/>
        <v>0.6</v>
      </c>
      <c r="R360" s="177">
        <f t="shared" si="131"/>
        <v>0.99902782816720825</v>
      </c>
      <c r="S360" s="799">
        <f t="shared" si="132"/>
        <v>1</v>
      </c>
      <c r="T360" s="176">
        <f t="shared" si="133"/>
        <v>7</v>
      </c>
      <c r="U360" s="250">
        <f t="shared" si="134"/>
        <v>1.9990278281672083</v>
      </c>
      <c r="V360" s="382">
        <f t="shared" si="135"/>
        <v>22.387109465908438</v>
      </c>
      <c r="W360" s="400">
        <f t="shared" si="136"/>
        <v>5.3204042693785762</v>
      </c>
      <c r="X360" s="157">
        <f t="shared" si="137"/>
        <v>46003</v>
      </c>
      <c r="Y360" s="383">
        <f t="shared" si="138"/>
        <v>5.0857760568869415</v>
      </c>
      <c r="Z360" s="383">
        <f t="shared" si="139"/>
        <v>5.3376295639796805</v>
      </c>
      <c r="AA360" s="384">
        <f t="shared" si="140"/>
        <v>5.7518711501512998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7.2018578886407003E-2</v>
      </c>
      <c r="AD360" s="230">
        <f>(INDEX(Models!$BJ360:$BT360,,AH360)*(1-AF360)+INDEX(Models!$BJ360:$BT360,,AH360+1)*AF360-ERP_i)*AE360*Ramure*Pc/MaxiM</f>
        <v>1.2368235258613828E-2</v>
      </c>
      <c r="AE360" s="304">
        <f t="shared" si="142"/>
        <v>0.6</v>
      </c>
      <c r="AF360" s="177">
        <f t="shared" si="143"/>
        <v>0.99902782816720825</v>
      </c>
      <c r="AG360" s="799">
        <f t="shared" si="149"/>
        <v>1</v>
      </c>
      <c r="AH360" s="176">
        <f t="shared" si="144"/>
        <v>7</v>
      </c>
      <c r="AI360" s="224">
        <f t="shared" si="145"/>
        <v>1.9990278281672083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'2024'!Wh/'2024'!Env_an*'2025'!Env_an</f>
        <v>5.3868462010062208</v>
      </c>
      <c r="C361" s="829"/>
      <c r="D361" s="391">
        <f t="shared" si="127"/>
        <v>5.6537174017348564</v>
      </c>
      <c r="E361" s="383">
        <f t="shared" ref="E361:E379" si="150">Wh_pvt/(1-Psa)</f>
        <v>5.8242811315662717</v>
      </c>
      <c r="F361" s="383">
        <f t="shared" si="128"/>
        <v>5.8242811315662717</v>
      </c>
      <c r="G361" s="110">
        <f t="shared" ref="G361:G379" si="151">+Wh_hp/MaxiM</f>
        <v>0.23848859588918647</v>
      </c>
      <c r="H361" s="412" t="b">
        <f>Wh_hp&gt;='2024'!Maxi_hp</f>
        <v>0</v>
      </c>
      <c r="I361" s="388">
        <f>IF(H361,Wh_hp,'2024'!Maxi_hp)</f>
        <v>25.0294040728553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4.7202783896971079E-2</v>
      </c>
      <c r="M361" s="832"/>
      <c r="N361" s="832"/>
      <c r="O361" s="48">
        <f>IF(t&lt;Tnet,'2024'!Resal+('2024'!Salim-'2024'!Resal)*(1-EXP(('2024'!Tnet-t)/('2024'!Tau_j))),Resal+(Salim-Resal)*(1-EXP((Tnet-t)/(Tau_j))))*Salcycl</f>
        <v>2.9284941090326002E-2</v>
      </c>
      <c r="P361" s="169">
        <f>(INDEX(Models!$BJ361:$BT361,,T361)*(1-R361)+INDEX(Models!$BJ361:$BT361,,T361+1)*R361-ERP_i)*Q361*Ramure*Pc/MaxiM</f>
        <v>1.2350650853672559E-2</v>
      </c>
      <c r="Q361" s="304">
        <f t="shared" si="130"/>
        <v>0.6</v>
      </c>
      <c r="R361" s="177">
        <f t="shared" si="131"/>
        <v>0.99903788289758433</v>
      </c>
      <c r="S361" s="799">
        <f t="shared" si="132"/>
        <v>1</v>
      </c>
      <c r="T361" s="176">
        <f t="shared" si="133"/>
        <v>7</v>
      </c>
      <c r="U361" s="250">
        <f t="shared" si="134"/>
        <v>1.9990378828975843</v>
      </c>
      <c r="V361" s="382">
        <f t="shared" si="135"/>
        <v>22.308467725841449</v>
      </c>
      <c r="W361" s="400">
        <f t="shared" si="136"/>
        <v>5.3868462010062208</v>
      </c>
      <c r="X361" s="157">
        <f t="shared" si="137"/>
        <v>46004</v>
      </c>
      <c r="Y361" s="383">
        <f t="shared" si="138"/>
        <v>5.1495549123889051</v>
      </c>
      <c r="Z361" s="383">
        <f t="shared" si="139"/>
        <v>5.4046704013795814</v>
      </c>
      <c r="AA361" s="384">
        <f t="shared" si="140"/>
        <v>5.8242811315662717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7.2045068002040025E-2</v>
      </c>
      <c r="AD361" s="230">
        <f>(INDEX(Models!$BJ361:$BT361,,AH361)*(1-AF361)+INDEX(Models!$BJ361:$BT361,,AH361+1)*AF361-ERP_i)*AE361*Ramure*Pc/MaxiM</f>
        <v>1.2350650853672559E-2</v>
      </c>
      <c r="AE361" s="304">
        <f t="shared" si="142"/>
        <v>0.6</v>
      </c>
      <c r="AF361" s="177">
        <f t="shared" si="143"/>
        <v>0.99903788289758433</v>
      </c>
      <c r="AG361" s="799">
        <f t="shared" si="149"/>
        <v>1</v>
      </c>
      <c r="AH361" s="176">
        <f t="shared" si="144"/>
        <v>7</v>
      </c>
      <c r="AI361" s="224">
        <f t="shared" si="145"/>
        <v>1.9990378828975843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'2024'!Wh/'2024'!Env_an*'2025'!Env_an</f>
        <v>17.201687107533861</v>
      </c>
      <c r="C362" s="829"/>
      <c r="D362" s="391">
        <f t="shared" si="127"/>
        <v>18.054226533761131</v>
      </c>
      <c r="E362" s="383">
        <f t="shared" si="150"/>
        <v>18.600394228098946</v>
      </c>
      <c r="F362" s="383">
        <f t="shared" si="128"/>
        <v>18.756835863297173</v>
      </c>
      <c r="G362" s="110">
        <f t="shared" si="151"/>
        <v>0.77041486706605855</v>
      </c>
      <c r="H362" s="412" t="b">
        <f>Wh_hp&gt;='2024'!Maxi_hp</f>
        <v>0</v>
      </c>
      <c r="I362" s="388">
        <f>IF(H362,Wh_hp,'2024'!Maxi_hp)</f>
        <v>24.68921870882129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4.7221044038249671E-2</v>
      </c>
      <c r="M362" s="832"/>
      <c r="N362" s="832"/>
      <c r="O362" s="48">
        <f>IF(t&lt;Tnet,'2024'!Resal+('2024'!Salim-'2024'!Resal)*(1-EXP(('2024'!Tnet-t)/('2024'!Tau_j))),Resal+(Salim-Resal)*(1-EXP((Tnet-t)/(Tau_j))))*Salcycl</f>
        <v>2.9363232178850267E-2</v>
      </c>
      <c r="P362" s="169">
        <f>(INDEX(Models!$BJ362:$BT362,,T362)*(1-R362)+INDEX(Models!$BJ362:$BT362,,T362+1)*R362-ERP_i)*Q362*Ramure*Pc/MaxiM</f>
        <v>1.2329531770496683E-2</v>
      </c>
      <c r="Q362" s="304">
        <f t="shared" si="130"/>
        <v>0.6</v>
      </c>
      <c r="R362" s="177">
        <f t="shared" si="131"/>
        <v>0.9990475331751536</v>
      </c>
      <c r="S362" s="799">
        <f t="shared" si="132"/>
        <v>1</v>
      </c>
      <c r="T362" s="176">
        <f t="shared" si="133"/>
        <v>7</v>
      </c>
      <c r="U362" s="250">
        <f t="shared" si="134"/>
        <v>1.9990475331751536</v>
      </c>
      <c r="V362" s="382">
        <f t="shared" si="135"/>
        <v>22.238008204768821</v>
      </c>
      <c r="W362" s="400">
        <f t="shared" si="136"/>
        <v>17.201687107533861</v>
      </c>
      <c r="X362" s="157">
        <f t="shared" si="137"/>
        <v>46005</v>
      </c>
      <c r="Y362" s="383">
        <f t="shared" si="138"/>
        <v>16.444792606806402</v>
      </c>
      <c r="Z362" s="383">
        <f t="shared" si="139"/>
        <v>17.259819293769734</v>
      </c>
      <c r="AA362" s="384">
        <f t="shared" si="140"/>
        <v>18.600394228098946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7.2072393621854094E-2</v>
      </c>
      <c r="AD362" s="230">
        <f>(INDEX(Models!$BJ362:$BT362,,AH362)*(1-AF362)+INDEX(Models!$BJ362:$BT362,,AH362+1)*AF362-ERP_i)*AE362*Ramure*Pc/MaxiM</f>
        <v>1.2329531770496683E-2</v>
      </c>
      <c r="AE362" s="304">
        <f t="shared" si="142"/>
        <v>0.6</v>
      </c>
      <c r="AF362" s="177">
        <f t="shared" si="143"/>
        <v>0.9990475331751536</v>
      </c>
      <c r="AG362" s="799">
        <f t="shared" si="149"/>
        <v>1</v>
      </c>
      <c r="AH362" s="176">
        <f t="shared" si="144"/>
        <v>7</v>
      </c>
      <c r="AI362" s="224">
        <f t="shared" si="145"/>
        <v>1.9990475331751536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'2024'!Wh/'2024'!Env_an*'2025'!Env_an</f>
        <v>5.8789782798236869</v>
      </c>
      <c r="C363" s="829"/>
      <c r="D363" s="391">
        <f t="shared" si="127"/>
        <v>6.1704668375321985</v>
      </c>
      <c r="E363" s="383">
        <f t="shared" si="150"/>
        <v>6.3576471333354956</v>
      </c>
      <c r="F363" s="383">
        <f t="shared" si="128"/>
        <v>6.3576471333354956</v>
      </c>
      <c r="G363" s="110">
        <f t="shared" si="151"/>
        <v>0.26184093114627671</v>
      </c>
      <c r="H363" s="412" t="b">
        <f>Wh_hp&gt;='2024'!Maxi_hp</f>
        <v>0</v>
      </c>
      <c r="I363" s="388">
        <f>IF(H363,Wh_hp,'2024'!Maxi_hp)</f>
        <v>24.850474320764231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4.7239303829576862E-2</v>
      </c>
      <c r="M363" s="832"/>
      <c r="N363" s="832"/>
      <c r="O363" s="48">
        <f>IF(t&lt;Tnet,'2024'!Resal+('2024'!Salim-'2024'!Resal)*(1-EXP(('2024'!Tnet-t)/('2024'!Tau_j))),Resal+(Salim-Resal)*(1-EXP((Tnet-t)/(Tau_j))))*Salcycl</f>
        <v>2.9441756026666092E-2</v>
      </c>
      <c r="P363" s="169">
        <f>(INDEX(Models!$BJ363:$BT363,,T363)*(1-R363)+INDEX(Models!$BJ363:$BT363,,T363+1)*R363-ERP_i)*Q363*Ramure*Pc/MaxiM</f>
        <v>1.2304485297983347E-2</v>
      </c>
      <c r="Q363" s="304">
        <f t="shared" si="130"/>
        <v>0.6</v>
      </c>
      <c r="R363" s="177">
        <f t="shared" si="131"/>
        <v>0.99905679525441005</v>
      </c>
      <c r="S363" s="799">
        <f t="shared" si="132"/>
        <v>1</v>
      </c>
      <c r="T363" s="176">
        <f t="shared" si="133"/>
        <v>7</v>
      </c>
      <c r="U363" s="250">
        <f t="shared" si="134"/>
        <v>1.99905679525441</v>
      </c>
      <c r="V363" s="382">
        <f t="shared" si="135"/>
        <v>22.176213827961718</v>
      </c>
      <c r="W363" s="400">
        <f t="shared" si="136"/>
        <v>5.8789782798236869</v>
      </c>
      <c r="X363" s="157">
        <f t="shared" si="137"/>
        <v>46006</v>
      </c>
      <c r="Y363" s="383">
        <f t="shared" si="138"/>
        <v>5.6205806997696532</v>
      </c>
      <c r="Z363" s="383">
        <f t="shared" si="139"/>
        <v>5.8992575180329263</v>
      </c>
      <c r="AA363" s="384">
        <f t="shared" si="140"/>
        <v>6.3576471333354956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7.2100512294723501E-2</v>
      </c>
      <c r="AD363" s="230">
        <f>(INDEX(Models!$BJ363:$BT363,,AH363)*(1-AF363)+INDEX(Models!$BJ363:$BT363,,AH363+1)*AF363-ERP_i)*AE363*Ramure*Pc/MaxiM</f>
        <v>1.2304485297983347E-2</v>
      </c>
      <c r="AE363" s="304">
        <f t="shared" si="142"/>
        <v>0.6</v>
      </c>
      <c r="AF363" s="177">
        <f t="shared" si="143"/>
        <v>0.99905679525441005</v>
      </c>
      <c r="AG363" s="799">
        <f t="shared" si="149"/>
        <v>1</v>
      </c>
      <c r="AH363" s="176">
        <f t="shared" si="144"/>
        <v>7</v>
      </c>
      <c r="AI363" s="224">
        <f t="shared" si="145"/>
        <v>1.99905679525441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'2024'!Wh/'2024'!Env_an*'2025'!Env_an</f>
        <v>5.192745483654857</v>
      </c>
      <c r="C364" s="829"/>
      <c r="D364" s="391">
        <f t="shared" si="127"/>
        <v>5.450314044457401</v>
      </c>
      <c r="E364" s="383">
        <f t="shared" si="150"/>
        <v>5.6161042330288495</v>
      </c>
      <c r="F364" s="383">
        <f t="shared" si="128"/>
        <v>5.6161042330288495</v>
      </c>
      <c r="G364" s="110">
        <f t="shared" si="151"/>
        <v>0.23183439662009958</v>
      </c>
      <c r="H364" s="412" t="b">
        <f>Wh_hp&gt;='2024'!Maxi_hp</f>
        <v>0</v>
      </c>
      <c r="I364" s="388">
        <f>IF(H364,Wh_hp,'2024'!Maxi_hp)</f>
        <v>24.489416018785828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4.7257563270959313E-2</v>
      </c>
      <c r="M364" s="832"/>
      <c r="N364" s="832"/>
      <c r="O364" s="48">
        <f>IF(t&lt;Tnet,'2024'!Resal+('2024'!Salim-'2024'!Resal)*(1-EXP(('2024'!Tnet-t)/('2024'!Tau_j))),Resal+(Salim-Resal)*(1-EXP((Tnet-t)/(Tau_j))))*Salcycl</f>
        <v>2.9520497072760908E-2</v>
      </c>
      <c r="P364" s="169">
        <f>(INDEX(Models!$BJ364:$BT364,,T364)*(1-R364)+INDEX(Models!$BJ364:$BT364,,T364+1)*R364-ERP_i)*Q364*Ramure*Pc/MaxiM</f>
        <v>1.2275121350722919E-2</v>
      </c>
      <c r="Q364" s="304">
        <f t="shared" si="130"/>
        <v>0.6</v>
      </c>
      <c r="R364" s="177">
        <f t="shared" si="131"/>
        <v>0.99906568473775526</v>
      </c>
      <c r="S364" s="799">
        <f t="shared" si="132"/>
        <v>1</v>
      </c>
      <c r="T364" s="176">
        <f t="shared" si="133"/>
        <v>7</v>
      </c>
      <c r="U364" s="250">
        <f t="shared" si="134"/>
        <v>1.9990656847377553</v>
      </c>
      <c r="V364" s="382">
        <f t="shared" si="135"/>
        <v>22.123567414822951</v>
      </c>
      <c r="W364" s="400">
        <f t="shared" si="136"/>
        <v>5.192745483654857</v>
      </c>
      <c r="X364" s="157">
        <f t="shared" si="137"/>
        <v>46007</v>
      </c>
      <c r="Y364" s="383">
        <f t="shared" si="138"/>
        <v>4.9647580984098916</v>
      </c>
      <c r="Z364" s="383">
        <f t="shared" si="139"/>
        <v>5.2110181167692282</v>
      </c>
      <c r="AA364" s="384">
        <f t="shared" si="140"/>
        <v>5.6161042330288495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7.212937998502067E-2</v>
      </c>
      <c r="AD364" s="230">
        <f>(INDEX(Models!$BJ364:$BT364,,AH364)*(1-AF364)+INDEX(Models!$BJ364:$BT364,,AH364+1)*AF364-ERP_i)*AE364*Ramure*Pc/MaxiM</f>
        <v>1.2275121350722919E-2</v>
      </c>
      <c r="AE364" s="304">
        <f t="shared" si="142"/>
        <v>0.6</v>
      </c>
      <c r="AF364" s="177">
        <f t="shared" si="143"/>
        <v>0.99906568473775526</v>
      </c>
      <c r="AG364" s="799">
        <f t="shared" si="149"/>
        <v>1</v>
      </c>
      <c r="AH364" s="176">
        <f t="shared" si="144"/>
        <v>7</v>
      </c>
      <c r="AI364" s="224">
        <f t="shared" si="145"/>
        <v>1.9990656847377553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'2024'!Wh/'2024'!Env_an*'2025'!Env_an</f>
        <v>3.520628576676379</v>
      </c>
      <c r="C365" s="829"/>
      <c r="D365" s="391">
        <f t="shared" si="127"/>
        <v>3.695328259020608</v>
      </c>
      <c r="E365" s="383">
        <f t="shared" si="150"/>
        <v>3.8080442337813611</v>
      </c>
      <c r="F365" s="383">
        <f t="shared" si="128"/>
        <v>3.8080442337813611</v>
      </c>
      <c r="G365" s="110">
        <f t="shared" si="151"/>
        <v>0.15749300210811379</v>
      </c>
      <c r="H365" s="412" t="b">
        <f>Wh_hp&gt;='2024'!Maxi_hp</f>
        <v>0</v>
      </c>
      <c r="I365" s="388">
        <f>IF(H365,Wh_hp,'2024'!Maxi_hp)</f>
        <v>24.995973707121568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4.7275822362403797E-2</v>
      </c>
      <c r="M365" s="832"/>
      <c r="N365" s="832"/>
      <c r="O365" s="48">
        <f>IF(t&lt;Tnet,'2024'!Resal+('2024'!Salim-'2024'!Resal)*(1-EXP(('2024'!Tnet-t)/('2024'!Tau_j))),Resal+(Salim-Resal)*(1-EXP((Tnet-t)/(Tau_j))))*Salcycl</f>
        <v>2.9599439460509389E-2</v>
      </c>
      <c r="P365" s="169">
        <f>(INDEX(Models!$BJ365:$BT365,,T365)*(1-R365)+INDEX(Models!$BJ365:$BT365,,T365+1)*R365-ERP_i)*Q365*Ramure*Pc/MaxiM</f>
        <v>1.2241056174124765E-2</v>
      </c>
      <c r="Q365" s="304">
        <f t="shared" si="130"/>
        <v>0.6</v>
      </c>
      <c r="R365" s="177">
        <f t="shared" si="131"/>
        <v>0.99907421660156759</v>
      </c>
      <c r="S365" s="799">
        <f t="shared" si="132"/>
        <v>1</v>
      </c>
      <c r="T365" s="176">
        <f t="shared" si="133"/>
        <v>7</v>
      </c>
      <c r="U365" s="250">
        <f t="shared" si="134"/>
        <v>1.9990742166015676</v>
      </c>
      <c r="V365" s="382">
        <f t="shared" si="135"/>
        <v>22.080551630566053</v>
      </c>
      <c r="W365" s="400">
        <f t="shared" si="136"/>
        <v>3.520628576676379</v>
      </c>
      <c r="X365" s="157">
        <f t="shared" si="137"/>
        <v>46008</v>
      </c>
      <c r="Y365" s="383">
        <f t="shared" si="138"/>
        <v>3.3662219909695459</v>
      </c>
      <c r="Z365" s="383">
        <f t="shared" si="139"/>
        <v>3.5332597513338353</v>
      </c>
      <c r="AA365" s="384">
        <f t="shared" si="140"/>
        <v>3.8080442337813611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7.2158952359297257E-2</v>
      </c>
      <c r="AD365" s="230">
        <f>(INDEX(Models!$BJ365:$BT365,,AH365)*(1-AF365)+INDEX(Models!$BJ365:$BT365,,AH365+1)*AF365-ERP_i)*AE365*Ramure*Pc/MaxiM</f>
        <v>1.2241056174124765E-2</v>
      </c>
      <c r="AE365" s="304">
        <f t="shared" si="142"/>
        <v>0.6</v>
      </c>
      <c r="AF365" s="177">
        <f t="shared" si="143"/>
        <v>0.99907421660156759</v>
      </c>
      <c r="AG365" s="799">
        <f t="shared" si="149"/>
        <v>1</v>
      </c>
      <c r="AH365" s="176">
        <f t="shared" si="144"/>
        <v>7</v>
      </c>
      <c r="AI365" s="224">
        <f t="shared" si="145"/>
        <v>1.9990742166015676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'2024'!Wh/'2024'!Env_an*'2025'!Env_an</f>
        <v>21.00141773866434</v>
      </c>
      <c r="C366" s="829"/>
      <c r="D366" s="391">
        <f t="shared" si="127"/>
        <v>22.043966896940294</v>
      </c>
      <c r="E366" s="383">
        <f t="shared" si="150"/>
        <v>22.71821084301774</v>
      </c>
      <c r="F366" s="383">
        <f t="shared" si="128"/>
        <v>22.979669867277686</v>
      </c>
      <c r="G366" s="110">
        <f t="shared" si="151"/>
        <v>0.95175280725722045</v>
      </c>
      <c r="H366" s="412" t="b">
        <f>Wh_hp&gt;='2024'!Maxi_hp</f>
        <v>0</v>
      </c>
      <c r="I366" s="388">
        <f>IF(H366,Wh_hp,'2024'!Maxi_hp)</f>
        <v>25.161787004742354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4.7294081103916863E-2</v>
      </c>
      <c r="M366" s="832"/>
      <c r="N366" s="832"/>
      <c r="O366" s="48">
        <f>IF(t&lt;Tnet,'2024'!Resal+('2024'!Salim-'2024'!Resal)*(1-EXP(('2024'!Tnet-t)/('2024'!Tau_j))),Resal+(Salim-Resal)*(1-EXP((Tnet-t)/(Tau_j))))*Salcycl</f>
        <v>2.9678567151984591E-2</v>
      </c>
      <c r="P366" s="169">
        <f>(INDEX(Models!$BJ366:$BT366,,T366)*(1-R366)+INDEX(Models!$BJ366:$BT366,,T366+1)*R366-ERP_i)*Q366*Ramure*Pc/MaxiM</f>
        <v>1.220517821769343E-2</v>
      </c>
      <c r="Q366" s="304">
        <f t="shared" si="130"/>
        <v>0.6</v>
      </c>
      <c r="R366" s="177">
        <f t="shared" si="131"/>
        <v>0.99908240522123704</v>
      </c>
      <c r="S366" s="799">
        <f t="shared" si="132"/>
        <v>1</v>
      </c>
      <c r="T366" s="176">
        <f t="shared" si="133"/>
        <v>7</v>
      </c>
      <c r="U366" s="250">
        <f t="shared" si="134"/>
        <v>1.999082405221237</v>
      </c>
      <c r="V366" s="382">
        <f t="shared" si="135"/>
        <v>22.047576167642227</v>
      </c>
      <c r="W366" s="400">
        <f t="shared" si="136"/>
        <v>21.00141773866434</v>
      </c>
      <c r="X366" s="157">
        <f t="shared" si="137"/>
        <v>46009</v>
      </c>
      <c r="Y366" s="383">
        <f t="shared" si="138"/>
        <v>20.081327534628205</v>
      </c>
      <c r="Z366" s="383">
        <f t="shared" si="139"/>
        <v>21.078201716114862</v>
      </c>
      <c r="AA366" s="384">
        <f t="shared" si="140"/>
        <v>22.71821084301774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7.2189185065465789E-2</v>
      </c>
      <c r="AD366" s="230">
        <f>(INDEX(Models!$BJ366:$BT366,,AH366)*(1-AF366)+INDEX(Models!$BJ366:$BT366,,AH366+1)*AF366-ERP_i)*AE366*Ramure*Pc/MaxiM</f>
        <v>1.220517821769343E-2</v>
      </c>
      <c r="AE366" s="304">
        <f t="shared" si="142"/>
        <v>0.6</v>
      </c>
      <c r="AF366" s="177">
        <f t="shared" si="143"/>
        <v>0.99908240522123704</v>
      </c>
      <c r="AG366" s="799">
        <f t="shared" si="149"/>
        <v>1</v>
      </c>
      <c r="AH366" s="176">
        <f t="shared" si="144"/>
        <v>7</v>
      </c>
      <c r="AI366" s="224">
        <f t="shared" si="145"/>
        <v>1.999082405221237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'2024'!Wh/'2024'!Env_an*'2025'!Env_an</f>
        <v>17.871699524095096</v>
      </c>
      <c r="C367" s="829"/>
      <c r="D367" s="391">
        <f t="shared" si="127"/>
        <v>18.759243207402474</v>
      </c>
      <c r="E367" s="383">
        <f t="shared" si="150"/>
        <v>19.334599593367791</v>
      </c>
      <c r="F367" s="383">
        <f t="shared" si="128"/>
        <v>19.508092070483777</v>
      </c>
      <c r="G367" s="110">
        <f t="shared" si="151"/>
        <v>0.80874310051110965</v>
      </c>
      <c r="H367" s="412" t="b">
        <f>Wh_hp&gt;='2024'!Maxi_hp</f>
        <v>0</v>
      </c>
      <c r="I367" s="388">
        <f>IF(H367,Wh_hp,'2024'!Maxi_hp)</f>
        <v>24.884744497458982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4.7312339495505396E-2</v>
      </c>
      <c r="M367" s="832"/>
      <c r="N367" s="832"/>
      <c r="O367" s="48">
        <f>IF(t&lt;Tnet,'2024'!Resal+('2024'!Salim-'2024'!Resal)*(1-EXP(('2024'!Tnet-t)/('2024'!Tau_j))),Resal+(Salim-Resal)*(1-EXP((Tnet-t)/(Tau_j))))*Salcycl</f>
        <v>2.9757864039898649E-2</v>
      </c>
      <c r="P367" s="169">
        <f>(INDEX(Models!$BJ367:$BT367,,T367)*(1-R367)+INDEX(Models!$BJ367:$BT367,,T367+1)*R367-ERP_i)*Q367*Ramure*Pc/MaxiM</f>
        <v>1.2172494749306024E-2</v>
      </c>
      <c r="Q367" s="304">
        <f t="shared" si="130"/>
        <v>0.6</v>
      </c>
      <c r="R367" s="177">
        <f t="shared" si="131"/>
        <v>0.99909026439520332</v>
      </c>
      <c r="S367" s="799">
        <f t="shared" si="132"/>
        <v>1</v>
      </c>
      <c r="T367" s="176">
        <f t="shared" si="133"/>
        <v>7</v>
      </c>
      <c r="U367" s="250">
        <f t="shared" si="134"/>
        <v>1.9990902643952033</v>
      </c>
      <c r="V367" s="382">
        <f t="shared" si="135"/>
        <v>22.025003902263521</v>
      </c>
      <c r="W367" s="400">
        <f t="shared" si="136"/>
        <v>17.871699524095096</v>
      </c>
      <c r="X367" s="157">
        <f t="shared" si="137"/>
        <v>46010</v>
      </c>
      <c r="Y367" s="383">
        <f t="shared" si="138"/>
        <v>17.089553382852525</v>
      </c>
      <c r="Z367" s="383">
        <f t="shared" si="139"/>
        <v>17.938254153310616</v>
      </c>
      <c r="AA367" s="384">
        <f t="shared" si="140"/>
        <v>19.334599593367791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7.2220034002470609E-2</v>
      </c>
      <c r="AD367" s="230">
        <f>(INDEX(Models!$BJ367:$BT367,,AH367)*(1-AF367)+INDEX(Models!$BJ367:$BT367,,AH367+1)*AF367-ERP_i)*AE367*Ramure*Pc/MaxiM</f>
        <v>1.2172494749306024E-2</v>
      </c>
      <c r="AE367" s="304">
        <f t="shared" si="142"/>
        <v>0.6</v>
      </c>
      <c r="AF367" s="177">
        <f t="shared" si="143"/>
        <v>0.99909026439520332</v>
      </c>
      <c r="AG367" s="799">
        <f t="shared" si="149"/>
        <v>1</v>
      </c>
      <c r="AH367" s="176">
        <f t="shared" si="144"/>
        <v>7</v>
      </c>
      <c r="AI367" s="224">
        <f t="shared" si="145"/>
        <v>1.9990902643952033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'2024'!Wh/'2024'!Env_an*'2025'!Env_an</f>
        <v>4.5554493573277961</v>
      </c>
      <c r="C368" s="829"/>
      <c r="D368" s="391">
        <f t="shared" si="127"/>
        <v>4.781773557071455</v>
      </c>
      <c r="E368" s="383">
        <f t="shared" si="150"/>
        <v>4.9288368088700434</v>
      </c>
      <c r="F368" s="383">
        <f t="shared" si="128"/>
        <v>4.9288368088700434</v>
      </c>
      <c r="G368" s="110">
        <f t="shared" si="151"/>
        <v>0.20442780335200539</v>
      </c>
      <c r="H368" s="412" t="b">
        <f>Wh_hp&gt;='2024'!Maxi_hp</f>
        <v>0</v>
      </c>
      <c r="I368" s="388">
        <f>IF(H368,Wh_hp,'2024'!Maxi_hp)</f>
        <v>24.174700505084488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4.7330597537175945E-2</v>
      </c>
      <c r="M368" s="832"/>
      <c r="N368" s="832"/>
      <c r="O368" s="48">
        <f>IF(t&lt;Tnet,'2024'!Resal+('2024'!Salim-'2024'!Resal)*(1-EXP(('2024'!Tnet-t)/('2024'!Tau_j))),Resal+(Salim-Resal)*(1-EXP((Tnet-t)/(Tau_j))))*Salcycl</f>
        <v>2.9837314056316486E-2</v>
      </c>
      <c r="P368" s="169">
        <f>(INDEX(Models!$BJ368:$BT368,,T368)*(1-R368)+INDEX(Models!$BJ368:$BT368,,T368+1)*R368-ERP_i)*Q368*Ramure*Pc/MaxiM</f>
        <v>1.2142625495351465E-2</v>
      </c>
      <c r="Q368" s="304">
        <f t="shared" si="130"/>
        <v>0.6</v>
      </c>
      <c r="R368" s="177">
        <f t="shared" si="131"/>
        <v>0.99909780736804166</v>
      </c>
      <c r="S368" s="799">
        <f t="shared" si="132"/>
        <v>1</v>
      </c>
      <c r="T368" s="176">
        <f t="shared" si="133"/>
        <v>7</v>
      </c>
      <c r="U368" s="250">
        <f t="shared" si="134"/>
        <v>1.9990978073680417</v>
      </c>
      <c r="V368" s="382">
        <f t="shared" si="135"/>
        <v>22.013317993100568</v>
      </c>
      <c r="W368" s="400">
        <f t="shared" si="136"/>
        <v>4.5554493573277961</v>
      </c>
      <c r="X368" s="157">
        <f t="shared" si="137"/>
        <v>46011</v>
      </c>
      <c r="Y368" s="383">
        <f t="shared" si="138"/>
        <v>4.3562915495307202</v>
      </c>
      <c r="Z368" s="383">
        <f t="shared" si="139"/>
        <v>4.5727211751200496</v>
      </c>
      <c r="AA368" s="384">
        <f t="shared" si="140"/>
        <v>4.9288368088700434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7.2251455578549617E-2</v>
      </c>
      <c r="AD368" s="230">
        <f>(INDEX(Models!$BJ368:$BT368,,AH368)*(1-AF368)+INDEX(Models!$BJ368:$BT368,,AH368+1)*AF368-ERP_i)*AE368*Ramure*Pc/MaxiM</f>
        <v>1.2142625495351465E-2</v>
      </c>
      <c r="AE368" s="304">
        <f t="shared" si="142"/>
        <v>0.6</v>
      </c>
      <c r="AF368" s="177">
        <f t="shared" si="143"/>
        <v>0.99909780736804166</v>
      </c>
      <c r="AG368" s="799">
        <f t="shared" si="149"/>
        <v>1</v>
      </c>
      <c r="AH368" s="176">
        <f t="shared" si="144"/>
        <v>7</v>
      </c>
      <c r="AI368" s="224">
        <f t="shared" si="145"/>
        <v>1.9990978073680417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'2024'!Wh/'2024'!Env_an*'2025'!Env_an</f>
        <v>20.857225031290753</v>
      </c>
      <c r="C369" s="829"/>
      <c r="D369" s="391">
        <f t="shared" si="127"/>
        <v>21.893874946534638</v>
      </c>
      <c r="E369" s="383">
        <f t="shared" si="150"/>
        <v>22.569071634546262</v>
      </c>
      <c r="F369" s="383">
        <f t="shared" si="128"/>
        <v>22.824857976305438</v>
      </c>
      <c r="G369" s="110">
        <f t="shared" si="151"/>
        <v>0.94662499012768009</v>
      </c>
      <c r="H369" s="412" t="b">
        <f>Wh_hp&gt;='2024'!Maxi_hp</f>
        <v>0</v>
      </c>
      <c r="I369" s="388">
        <f>IF(H369,Wh_hp,'2024'!Maxi_hp)</f>
        <v>22.834906208285311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4.7348855228935394E-2</v>
      </c>
      <c r="M369" s="832"/>
      <c r="N369" s="832"/>
      <c r="O369" s="48">
        <f>IF(t&lt;Tnet,'2024'!Resal+('2024'!Salim-'2024'!Resal)*(1-EXP(('2024'!Tnet-t)/('2024'!Tau_j))),Resal+(Salim-Resal)*(1-EXP((Tnet-t)/(Tau_j))))*Salcycl</f>
        <v>2.991690127732614E-2</v>
      </c>
      <c r="P369" s="169">
        <f>(INDEX(Models!$BJ369:$BT369,,T369)*(1-R369)+INDEX(Models!$BJ369:$BT369,,T369+1)*R369-ERP_i)*Q369*Ramure*Pc/MaxiM</f>
        <v>1.2115194327184785E-2</v>
      </c>
      <c r="Q369" s="304">
        <f t="shared" si="130"/>
        <v>0.6</v>
      </c>
      <c r="R369" s="177">
        <f t="shared" si="131"/>
        <v>0.99910504685262858</v>
      </c>
      <c r="S369" s="799">
        <f t="shared" si="132"/>
        <v>1</v>
      </c>
      <c r="T369" s="176">
        <f t="shared" si="133"/>
        <v>7</v>
      </c>
      <c r="U369" s="250">
        <f t="shared" si="134"/>
        <v>1.9991050468526286</v>
      </c>
      <c r="V369" s="382">
        <f t="shared" si="135"/>
        <v>22.013001144171039</v>
      </c>
      <c r="W369" s="400">
        <f t="shared" si="136"/>
        <v>20.857225031290753</v>
      </c>
      <c r="X369" s="157">
        <f t="shared" si="137"/>
        <v>46012</v>
      </c>
      <c r="Y369" s="383">
        <f t="shared" si="138"/>
        <v>19.94632601253689</v>
      </c>
      <c r="Z369" s="383">
        <f t="shared" si="139"/>
        <v>20.937702244960061</v>
      </c>
      <c r="AA369" s="384">
        <f t="shared" si="140"/>
        <v>22.569071634546262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7.228340695631813E-2</v>
      </c>
      <c r="AD369" s="230">
        <f>(INDEX(Models!$BJ369:$BT369,,AH369)*(1-AF369)+INDEX(Models!$BJ369:$BT369,,AH369+1)*AF369-ERP_i)*AE369*Ramure*Pc/MaxiM</f>
        <v>1.2115194327184785E-2</v>
      </c>
      <c r="AE369" s="304">
        <f t="shared" si="142"/>
        <v>0.6</v>
      </c>
      <c r="AF369" s="177">
        <f t="shared" si="143"/>
        <v>0.99910504685262858</v>
      </c>
      <c r="AG369" s="799">
        <f t="shared" si="149"/>
        <v>1</v>
      </c>
      <c r="AH369" s="176">
        <f t="shared" si="144"/>
        <v>7</v>
      </c>
      <c r="AI369" s="224">
        <f t="shared" si="145"/>
        <v>1.9991050468526286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'2024'!Wh/'2024'!Env_an*'2025'!Env_an</f>
        <v>17.634398412527432</v>
      </c>
      <c r="C370" s="829"/>
      <c r="D370" s="391">
        <f t="shared" si="127"/>
        <v>18.51122152639082</v>
      </c>
      <c r="E370" s="383">
        <f t="shared" si="150"/>
        <v>19.083666838347604</v>
      </c>
      <c r="F370" s="383">
        <f t="shared" si="128"/>
        <v>19.250126059378129</v>
      </c>
      <c r="G370" s="110">
        <f t="shared" si="151"/>
        <v>0.79789013637490269</v>
      </c>
      <c r="H370" s="412" t="b">
        <f>Wh_hp&gt;='2024'!Maxi_hp</f>
        <v>0</v>
      </c>
      <c r="I370" s="388">
        <f>IF(H370,Wh_hp,'2024'!Maxi_hp)</f>
        <v>24.5370383220707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4.7367112570790182E-2</v>
      </c>
      <c r="M370" s="832"/>
      <c r="N370" s="832"/>
      <c r="O370" s="48">
        <f>IF(t&lt;Tnet,'2024'!Resal+('2024'!Salim-'2024'!Resal)*(1-EXP(('2024'!Tnet-t)/('2024'!Tau_j))),Resal+(Salim-Resal)*(1-EXP((Tnet-t)/(Tau_j))))*Salcycl</f>
        <v>2.9996610022895911E-2</v>
      </c>
      <c r="P370" s="169">
        <f>(INDEX(Models!$BJ370:$BT370,,T370)*(1-R370)+INDEX(Models!$BJ370:$BT370,,T370+1)*R370-ERP_i)*Q370*Ramure*Pc/MaxiM</f>
        <v>1.2089830708522745E-2</v>
      </c>
      <c r="Q370" s="304">
        <f t="shared" si="130"/>
        <v>0.6</v>
      </c>
      <c r="R370" s="177">
        <f t="shared" si="131"/>
        <v>0.99911199505142578</v>
      </c>
      <c r="S370" s="799">
        <f t="shared" si="132"/>
        <v>1</v>
      </c>
      <c r="T370" s="176">
        <f t="shared" si="133"/>
        <v>7</v>
      </c>
      <c r="U370" s="250">
        <f t="shared" si="134"/>
        <v>1.9991119950514258</v>
      </c>
      <c r="V370" s="382">
        <f t="shared" si="135"/>
        <v>22.024535607710643</v>
      </c>
      <c r="W370" s="400">
        <f t="shared" si="136"/>
        <v>17.634398412527432</v>
      </c>
      <c r="X370" s="157">
        <f t="shared" si="137"/>
        <v>46013</v>
      </c>
      <c r="Y370" s="383">
        <f t="shared" si="138"/>
        <v>16.865046180940883</v>
      </c>
      <c r="Z370" s="383">
        <f t="shared" si="139"/>
        <v>17.703615320748757</v>
      </c>
      <c r="AA370" s="384">
        <f t="shared" si="140"/>
        <v>19.083666838347604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7.2315846283048046E-2</v>
      </c>
      <c r="AD370" s="230">
        <f>(INDEX(Models!$BJ370:$BT370,,AH370)*(1-AF370)+INDEX(Models!$BJ370:$BT370,,AH370+1)*AF370-ERP_i)*AE370*Ramure*Pc/MaxiM</f>
        <v>1.2089830708522745E-2</v>
      </c>
      <c r="AE370" s="304">
        <f t="shared" si="142"/>
        <v>0.6</v>
      </c>
      <c r="AF370" s="177">
        <f t="shared" si="143"/>
        <v>0.99911199505142578</v>
      </c>
      <c r="AG370" s="799">
        <f t="shared" si="149"/>
        <v>1</v>
      </c>
      <c r="AH370" s="176">
        <f t="shared" si="144"/>
        <v>7</v>
      </c>
      <c r="AI370" s="224">
        <f t="shared" si="145"/>
        <v>1.9991119950514258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'2024'!Wh/'2024'!Env_an*'2025'!Env_an</f>
        <v>17.871231423085252</v>
      </c>
      <c r="C371" s="829"/>
      <c r="D371" s="391">
        <f t="shared" si="127"/>
        <v>18.760189957278222</v>
      </c>
      <c r="E371" s="383">
        <f t="shared" si="150"/>
        <v>19.341925941262321</v>
      </c>
      <c r="F371" s="383">
        <f t="shared" si="128"/>
        <v>19.513655019210621</v>
      </c>
      <c r="G371" s="110">
        <f t="shared" si="151"/>
        <v>0.80787487276166037</v>
      </c>
      <c r="H371" s="412" t="b">
        <f>Wh_hp&gt;='2024'!Maxi_hp</f>
        <v>0</v>
      </c>
      <c r="I371" s="388">
        <f>IF(H371,Wh_hp,'2024'!Maxi_hp)</f>
        <v>20.621523847427799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4.7385369562747304E-2</v>
      </c>
      <c r="M371" s="832"/>
      <c r="N371" s="832"/>
      <c r="O371" s="48">
        <f>IF(t&lt;Tnet,'2024'!Resal+('2024'!Salim-'2024'!Resal)*(1-EXP(('2024'!Tnet-t)/('2024'!Tau_j))),Resal+(Salim-Resal)*(1-EXP((Tnet-t)/(Tau_j))))*Salcycl</f>
        <v>3.0076424951202815E-2</v>
      </c>
      <c r="P371" s="169">
        <f>(INDEX(Models!$BJ371:$BT371,,T371)*(1-R371)+INDEX(Models!$BJ371:$BT371,,T371+1)*R371-ERP_i)*Q371*Ramure*Pc/MaxiM</f>
        <v>1.2066155341578079E-2</v>
      </c>
      <c r="Q371" s="304">
        <f t="shared" si="130"/>
        <v>0.6</v>
      </c>
      <c r="R371" s="177">
        <f t="shared" si="131"/>
        <v>0.99911199505142578</v>
      </c>
      <c r="S371" s="799">
        <f t="shared" si="132"/>
        <v>1</v>
      </c>
      <c r="T371" s="176">
        <f t="shared" si="133"/>
        <v>7</v>
      </c>
      <c r="U371" s="250">
        <f t="shared" si="134"/>
        <v>1.9991119950514258</v>
      </c>
      <c r="V371" s="382">
        <f t="shared" si="135"/>
        <v>22.048403529187727</v>
      </c>
      <c r="W371" s="400">
        <f t="shared" si="136"/>
        <v>17.871231423085252</v>
      </c>
      <c r="X371" s="157">
        <f t="shared" si="137"/>
        <v>46014</v>
      </c>
      <c r="Y371" s="383">
        <f t="shared" si="138"/>
        <v>17.092347171110692</v>
      </c>
      <c r="Z371" s="383">
        <f t="shared" si="139"/>
        <v>17.942562107475986</v>
      </c>
      <c r="AA371" s="384">
        <f t="shared" si="140"/>
        <v>19.341925941262321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7.2348732904672197E-2</v>
      </c>
      <c r="AD371" s="230">
        <f>(INDEX(Models!$BJ371:$BT371,,AH371)*(1-AF371)+INDEX(Models!$BJ371:$BT371,,AH371+1)*AF371-ERP_i)*AE371*Ramure*Pc/MaxiM</f>
        <v>1.2066155341578079E-2</v>
      </c>
      <c r="AE371" s="304">
        <f t="shared" si="142"/>
        <v>0.6</v>
      </c>
      <c r="AF371" s="177">
        <f t="shared" si="143"/>
        <v>0.99911199505142578</v>
      </c>
      <c r="AG371" s="799">
        <f t="shared" si="149"/>
        <v>1</v>
      </c>
      <c r="AH371" s="176">
        <f t="shared" si="144"/>
        <v>7</v>
      </c>
      <c r="AI371" s="224">
        <f t="shared" si="145"/>
        <v>1.9991119950514258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'2024'!Wh/'2024'!Env_an*'2025'!Env_an</f>
        <v>21.239325509944781</v>
      </c>
      <c r="C372" s="829"/>
      <c r="D372" s="391">
        <f t="shared" si="127"/>
        <v>22.296248541579427</v>
      </c>
      <c r="E372" s="383">
        <f t="shared" si="150"/>
        <v>22.989528372075949</v>
      </c>
      <c r="F372" s="383">
        <f t="shared" si="128"/>
        <v>23.254276437862732</v>
      </c>
      <c r="G372" s="110">
        <f t="shared" si="151"/>
        <v>0.96106348213560244</v>
      </c>
      <c r="H372" s="412" t="b">
        <f>Wh_hp&gt;='2024'!Maxi_hp</f>
        <v>0</v>
      </c>
      <c r="I372" s="388">
        <f>IF(H372,Wh_hp,'2024'!Maxi_hp)</f>
        <v>23.261737833249224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4.7403626204813309E-2</v>
      </c>
      <c r="M372" s="832"/>
      <c r="N372" s="832"/>
      <c r="O372" s="48">
        <f>IF(t&lt;Tnet,'2024'!Resal+('2024'!Salim-'2024'!Resal)*(1-EXP(('2024'!Tnet-t)/('2024'!Tau_j))),Resal+(Salim-Resal)*(1-EXP((Tnet-t)/(Tau_j))))*Salcycl</f>
        <v>3.0156331146775805E-2</v>
      </c>
      <c r="P372" s="169">
        <f>(INDEX(Models!$BJ372:$BT372,,T372)*(1-R372)+INDEX(Models!$BJ372:$BT372,,T372+1)*R372-ERP_i)*Q372*Ramure*Pc/MaxiM</f>
        <v>1.2043811703124272E-2</v>
      </c>
      <c r="Q372" s="304">
        <f t="shared" si="130"/>
        <v>0.6</v>
      </c>
      <c r="R372" s="177">
        <f t="shared" si="131"/>
        <v>0.99911199505142578</v>
      </c>
      <c r="S372" s="799">
        <f t="shared" si="132"/>
        <v>1</v>
      </c>
      <c r="T372" s="176">
        <f t="shared" si="133"/>
        <v>7</v>
      </c>
      <c r="U372" s="250">
        <f t="shared" si="134"/>
        <v>1.9991119950514258</v>
      </c>
      <c r="V372" s="382">
        <f t="shared" si="135"/>
        <v>22.08508628073583</v>
      </c>
      <c r="W372" s="400">
        <f t="shared" si="136"/>
        <v>21.239325509944781</v>
      </c>
      <c r="X372" s="157">
        <f t="shared" si="137"/>
        <v>46015</v>
      </c>
      <c r="Y372" s="383">
        <f t="shared" si="138"/>
        <v>20.314593679595287</v>
      </c>
      <c r="Z372" s="383">
        <f t="shared" si="139"/>
        <v>21.32549969580614</v>
      </c>
      <c r="AA372" s="384">
        <f t="shared" si="140"/>
        <v>22.989528372075949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7.2382027562209947E-2</v>
      </c>
      <c r="AD372" s="230">
        <f>(INDEX(Models!$BJ372:$BT372,,AH372)*(1-AF372)+INDEX(Models!$BJ372:$BT372,,AH372+1)*AF372-ERP_i)*AE372*Ramure*Pc/MaxiM</f>
        <v>1.2043811703124272E-2</v>
      </c>
      <c r="AE372" s="304">
        <f t="shared" si="142"/>
        <v>0.6</v>
      </c>
      <c r="AF372" s="177">
        <f t="shared" si="143"/>
        <v>0.99911199505142578</v>
      </c>
      <c r="AG372" s="799">
        <f t="shared" si="149"/>
        <v>1</v>
      </c>
      <c r="AH372" s="176">
        <f t="shared" si="144"/>
        <v>7</v>
      </c>
      <c r="AI372" s="224">
        <f t="shared" si="145"/>
        <v>1.9991119950514258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'2024'!Wh/'2024'!Env_an*'2025'!Env_an</f>
        <v>11.999023009196939</v>
      </c>
      <c r="C373" s="829"/>
      <c r="D373" s="391">
        <f t="shared" si="127"/>
        <v>12.596366417328589</v>
      </c>
      <c r="E373" s="383">
        <f t="shared" si="150"/>
        <v>12.989109204436232</v>
      </c>
      <c r="F373" s="383">
        <f t="shared" si="128"/>
        <v>13.043340590018936</v>
      </c>
      <c r="G373" s="110">
        <f t="shared" si="151"/>
        <v>0.53780333158848481</v>
      </c>
      <c r="H373" s="412" t="b">
        <f>Wh_hp&gt;='2024'!Maxi_hp</f>
        <v>0</v>
      </c>
      <c r="I373" s="388">
        <f>IF(H373,Wh_hp,'2024'!Maxi_hp)</f>
        <v>13.093361004637606</v>
      </c>
      <c r="J373" s="85">
        <f>IF(H373,An,'2024'!An_max)</f>
        <v>2022</v>
      </c>
      <c r="K373" s="197">
        <f t="shared" si="129"/>
        <v>46016</v>
      </c>
      <c r="L373" s="147">
        <f>IF(t&lt;Tvie,1-EXP((T0-t)*PertePVj)+'2024'!Pspv,1-EXP((T0-t)*PertePVj)+Pspv)</f>
        <v>4.7421882496994971E-2</v>
      </c>
      <c r="M373" s="832"/>
      <c r="N373" s="832"/>
      <c r="O373" s="48">
        <f>IF(t&lt;Tnet,'2024'!Resal+('2024'!Salim-'2024'!Resal)*(1-EXP(('2024'!Tnet-t)/('2024'!Tau_j))),Resal+(Salim-Resal)*(1-EXP((Tnet-t)/(Tau_j))))*Salcycl</f>
        <v>3.0236314201862884E-2</v>
      </c>
      <c r="P373" s="169">
        <f>(INDEX(Models!$BJ373:$BT373,,T373)*(1-R373)+INDEX(Models!$BJ373:$BT373,,T373+1)*R373-ERP_i)*Q373*Ramure*Pc/MaxiM</f>
        <v>1.2022451114027404E-2</v>
      </c>
      <c r="Q373" s="304">
        <f t="shared" si="130"/>
        <v>0.6</v>
      </c>
      <c r="R373" s="177">
        <f t="shared" si="131"/>
        <v>0.99911199505142578</v>
      </c>
      <c r="S373" s="799">
        <f t="shared" si="132"/>
        <v>1</v>
      </c>
      <c r="T373" s="176">
        <f t="shared" si="133"/>
        <v>7</v>
      </c>
      <c r="U373" s="250">
        <f t="shared" si="134"/>
        <v>1.9991119950514258</v>
      </c>
      <c r="V373" s="382">
        <f t="shared" si="135"/>
        <v>22.134970128354613</v>
      </c>
      <c r="W373" s="400">
        <f t="shared" si="136"/>
        <v>11.999023009196939</v>
      </c>
      <c r="X373" s="157">
        <f t="shared" si="137"/>
        <v>46016</v>
      </c>
      <c r="Y373" s="383">
        <f t="shared" si="138"/>
        <v>11.477131605179059</v>
      </c>
      <c r="Z373" s="383">
        <f t="shared" si="139"/>
        <v>12.048493865536285</v>
      </c>
      <c r="AA373" s="384">
        <f t="shared" si="140"/>
        <v>12.989109204436232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7.2415692569486989E-2</v>
      </c>
      <c r="AD373" s="230">
        <f>(INDEX(Models!$BJ373:$BT373,,AH373)*(1-AF373)+INDEX(Models!$BJ373:$BT373,,AH373+1)*AF373-ERP_i)*AE373*Ramure*Pc/MaxiM</f>
        <v>1.2022451114027404E-2</v>
      </c>
      <c r="AE373" s="304">
        <f t="shared" si="142"/>
        <v>0.6</v>
      </c>
      <c r="AF373" s="177">
        <f t="shared" si="143"/>
        <v>0.99911199505142578</v>
      </c>
      <c r="AG373" s="799">
        <f t="shared" si="149"/>
        <v>1</v>
      </c>
      <c r="AH373" s="176">
        <f t="shared" si="144"/>
        <v>7</v>
      </c>
      <c r="AI373" s="224">
        <f t="shared" si="145"/>
        <v>1.9991119950514258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'2024'!Wh/'2024'!Env_an*'2025'!Env_an</f>
        <v>20.743461149176913</v>
      </c>
      <c r="C374" s="829"/>
      <c r="D374" s="391">
        <f t="shared" si="127"/>
        <v>21.776543381945821</v>
      </c>
      <c r="E374" s="383">
        <f t="shared" si="150"/>
        <v>22.457369073969009</v>
      </c>
      <c r="F374" s="383">
        <f t="shared" si="128"/>
        <v>22.704363665572551</v>
      </c>
      <c r="G374" s="110">
        <f t="shared" si="151"/>
        <v>0.93342132596072958</v>
      </c>
      <c r="H374" s="412" t="b">
        <f>Wh_hp&gt;='2024'!Maxi_hp</f>
        <v>0</v>
      </c>
      <c r="I374" s="388">
        <f>IF(H374,Wh_hp,'2024'!Maxi_hp)</f>
        <v>22.716928260345419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4.7440138439298951E-2</v>
      </c>
      <c r="M374" s="832"/>
      <c r="N374" s="832"/>
      <c r="O374" s="48">
        <f>IF(t&lt;Tnet,'2024'!Resal+('2024'!Salim-'2024'!Resal)*(1-EXP(('2024'!Tnet-t)/('2024'!Tau_j))),Resal+(Salim-Resal)*(1-EXP((Tnet-t)/(Tau_j))))*Salcycl</f>
        <v>3.0316360290500412E-2</v>
      </c>
      <c r="P374" s="169">
        <f>(INDEX(Models!$BJ374:$BT374,,T374)*(1-R374)+INDEX(Models!$BJ374:$BT374,,T374+1)*R374-ERP_i)*Q374*Ramure*Pc/MaxiM</f>
        <v>1.200207724687502E-2</v>
      </c>
      <c r="Q374" s="304">
        <f t="shared" si="130"/>
        <v>0.6</v>
      </c>
      <c r="R374" s="177">
        <f t="shared" si="131"/>
        <v>0.99911199505142578</v>
      </c>
      <c r="S374" s="799">
        <f t="shared" si="132"/>
        <v>1</v>
      </c>
      <c r="T374" s="176">
        <f t="shared" si="133"/>
        <v>7</v>
      </c>
      <c r="U374" s="250">
        <f t="shared" si="134"/>
        <v>1.9991119950514258</v>
      </c>
      <c r="V374" s="382">
        <f t="shared" si="135"/>
        <v>22.197802997300609</v>
      </c>
      <c r="W374" s="400">
        <f t="shared" si="136"/>
        <v>20.743461149176913</v>
      </c>
      <c r="X374" s="157">
        <f t="shared" si="137"/>
        <v>46017</v>
      </c>
      <c r="Y374" s="383">
        <f t="shared" si="138"/>
        <v>19.842145407616165</v>
      </c>
      <c r="Z374" s="383">
        <f t="shared" si="139"/>
        <v>20.830339602076275</v>
      </c>
      <c r="AA374" s="384">
        <f t="shared" si="140"/>
        <v>22.457369073969009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7.2449691971205654E-2</v>
      </c>
      <c r="AD374" s="230">
        <f>(INDEX(Models!$BJ374:$BT374,,AH374)*(1-AF374)+INDEX(Models!$BJ374:$BT374,,AH374+1)*AF374-ERP_i)*AE374*Ramure*Pc/MaxiM</f>
        <v>1.200207724687502E-2</v>
      </c>
      <c r="AE374" s="304">
        <f t="shared" si="142"/>
        <v>0.6</v>
      </c>
      <c r="AF374" s="177">
        <f t="shared" si="143"/>
        <v>0.99911199505142578</v>
      </c>
      <c r="AG374" s="799">
        <f t="shared" si="149"/>
        <v>1</v>
      </c>
      <c r="AH374" s="176">
        <f t="shared" si="144"/>
        <v>7</v>
      </c>
      <c r="AI374" s="224">
        <f t="shared" si="145"/>
        <v>1.9991119950514258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'2024'!Wh/'2024'!Env_an*'2025'!Env_an</f>
        <v>7.0284163239690818</v>
      </c>
      <c r="C375" s="829"/>
      <c r="D375" s="391">
        <f t="shared" si="127"/>
        <v>7.3785924729499097</v>
      </c>
      <c r="E375" s="383">
        <f t="shared" si="150"/>
        <v>7.6099066679329335</v>
      </c>
      <c r="F375" s="383">
        <f t="shared" si="128"/>
        <v>7.611932576992503</v>
      </c>
      <c r="G375" s="110">
        <f t="shared" si="151"/>
        <v>0.31185788177482293</v>
      </c>
      <c r="H375" s="412" t="b">
        <f>Wh_hp&gt;='2024'!Maxi_hp</f>
        <v>0</v>
      </c>
      <c r="I375" s="388">
        <f>IF(H375,Wh_hp,'2024'!Maxi_hp)</f>
        <v>21.290446008401918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4.745839403173191E-2</v>
      </c>
      <c r="M375" s="832"/>
      <c r="N375" s="832"/>
      <c r="O375" s="48">
        <f>IF(t&lt;Tnet,'2024'!Resal+('2024'!Salim-'2024'!Resal)*(1-EXP(('2024'!Tnet-t)/('2024'!Tau_j))),Resal+(Salim-Resal)*(1-EXP((Tnet-t)/(Tau_j))))*Salcycl</f>
        <v>3.0396456234837735E-2</v>
      </c>
      <c r="P375" s="169">
        <f>(INDEX(Models!$BJ375:$BT375,,T375)*(1-R375)+INDEX(Models!$BJ375:$BT375,,T375+1)*R375-ERP_i)*Q375*Ramure*Pc/MaxiM</f>
        <v>1.1977558723152903E-2</v>
      </c>
      <c r="Q375" s="304">
        <f t="shared" si="130"/>
        <v>0.6</v>
      </c>
      <c r="R375" s="177">
        <f t="shared" si="131"/>
        <v>0.99911199505142578</v>
      </c>
      <c r="S375" s="799">
        <f t="shared" si="132"/>
        <v>1</v>
      </c>
      <c r="T375" s="176">
        <f t="shared" si="133"/>
        <v>7</v>
      </c>
      <c r="U375" s="250">
        <f t="shared" si="134"/>
        <v>1.9991119950514258</v>
      </c>
      <c r="V375" s="382">
        <f t="shared" si="135"/>
        <v>22.2732281404686</v>
      </c>
      <c r="W375" s="400">
        <f t="shared" si="136"/>
        <v>7.0284163239690818</v>
      </c>
      <c r="X375" s="157">
        <f t="shared" si="137"/>
        <v>46018</v>
      </c>
      <c r="Y375" s="383">
        <f t="shared" si="138"/>
        <v>6.7233341869813898</v>
      </c>
      <c r="Z375" s="383">
        <f t="shared" si="139"/>
        <v>7.0583102563242406</v>
      </c>
      <c r="AA375" s="384">
        <f t="shared" si="140"/>
        <v>7.6099066679329335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7.2483991680613161E-2</v>
      </c>
      <c r="AD375" s="230">
        <f>(INDEX(Models!$BJ375:$BT375,,AH375)*(1-AF375)+INDEX(Models!$BJ375:$BT375,,AH375+1)*AF375-ERP_i)*AE375*Ramure*Pc/MaxiM</f>
        <v>1.1977558723152903E-2</v>
      </c>
      <c r="AE375" s="304">
        <f t="shared" si="142"/>
        <v>0.6</v>
      </c>
      <c r="AF375" s="177">
        <f t="shared" si="143"/>
        <v>0.99911199505142578</v>
      </c>
      <c r="AG375" s="799">
        <f t="shared" si="149"/>
        <v>1</v>
      </c>
      <c r="AH375" s="176">
        <f t="shared" si="144"/>
        <v>7</v>
      </c>
      <c r="AI375" s="224">
        <f t="shared" si="145"/>
        <v>1.9991119950514258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'2024'!Wh/'2024'!Env_an*'2025'!Env_an</f>
        <v>21.818305835656254</v>
      </c>
      <c r="C376" s="829"/>
      <c r="D376" s="391">
        <f t="shared" si="127"/>
        <v>22.905796292588033</v>
      </c>
      <c r="E376" s="383">
        <f t="shared" si="150"/>
        <v>23.625831048547585</v>
      </c>
      <c r="F376" s="383">
        <f t="shared" si="128"/>
        <v>23.901459549359807</v>
      </c>
      <c r="G376" s="110">
        <f t="shared" si="151"/>
        <v>0.97532850769956336</v>
      </c>
      <c r="H376" s="412" t="b">
        <f>Wh_hp&gt;='2024'!Maxi_hp</f>
        <v>0</v>
      </c>
      <c r="I376" s="388">
        <f>IF(H376,Wh_hp,'2024'!Maxi_hp)</f>
        <v>23.906426698641567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4.747664927430062E-2</v>
      </c>
      <c r="M376" s="832"/>
      <c r="N376" s="832"/>
      <c r="O376" s="48">
        <f>IF(t&lt;Tnet,'2024'!Resal+('2024'!Salim-'2024'!Resal)*(1-EXP(('2024'!Tnet-t)/('2024'!Tau_j))),Resal+(Salim-Resal)*(1-EXP((Tnet-t)/(Tau_j))))*Salcycl</f>
        <v>3.0476589563346469E-2</v>
      </c>
      <c r="P376" s="169">
        <f>(INDEX(Models!$BJ376:$BT376,,T376)*(1-R376)+INDEX(Models!$BJ376:$BT376,,T376+1)*R376-ERP_i)*Q376*Ramure*Pc/MaxiM</f>
        <v>1.194592795450251E-2</v>
      </c>
      <c r="Q376" s="304">
        <f t="shared" si="130"/>
        <v>0.6</v>
      </c>
      <c r="R376" s="177">
        <f t="shared" si="131"/>
        <v>0.99911199505142578</v>
      </c>
      <c r="S376" s="799">
        <f t="shared" si="132"/>
        <v>1</v>
      </c>
      <c r="T376" s="176">
        <f t="shared" si="133"/>
        <v>7</v>
      </c>
      <c r="U376" s="250">
        <f t="shared" si="134"/>
        <v>1.9991119950514258</v>
      </c>
      <c r="V376" s="382">
        <f t="shared" si="135"/>
        <v>22.360841710131727</v>
      </c>
      <c r="W376" s="400">
        <f t="shared" si="136"/>
        <v>21.818305835656254</v>
      </c>
      <c r="X376" s="157">
        <f t="shared" si="137"/>
        <v>46019</v>
      </c>
      <c r="Y376" s="383">
        <f t="shared" si="138"/>
        <v>20.872186793829979</v>
      </c>
      <c r="Z376" s="383">
        <f t="shared" si="139"/>
        <v>21.912519811643541</v>
      </c>
      <c r="AA376" s="384">
        <f t="shared" si="140"/>
        <v>23.625831048547585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7.2518559596208274E-2</v>
      </c>
      <c r="AD376" s="230">
        <f>(INDEX(Models!$BJ376:$BT376,,AH376)*(1-AF376)+INDEX(Models!$BJ376:$BT376,,AH376+1)*AF376-ERP_i)*AE376*Ramure*Pc/MaxiM</f>
        <v>1.194592795450251E-2</v>
      </c>
      <c r="AE376" s="304">
        <f t="shared" si="142"/>
        <v>0.6</v>
      </c>
      <c r="AF376" s="177">
        <f t="shared" si="143"/>
        <v>0.99911199505142578</v>
      </c>
      <c r="AG376" s="799">
        <f t="shared" si="149"/>
        <v>1</v>
      </c>
      <c r="AH376" s="176">
        <f t="shared" si="144"/>
        <v>7</v>
      </c>
      <c r="AI376" s="224">
        <f t="shared" si="145"/>
        <v>1.9991119950514258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'2024'!Wh/'2024'!Env_an*'2025'!Env_an</f>
        <v>10.362317030993172</v>
      </c>
      <c r="C377" s="829"/>
      <c r="D377" s="391">
        <f t="shared" si="127"/>
        <v>10.879014796168708</v>
      </c>
      <c r="E377" s="383">
        <f t="shared" si="150"/>
        <v>11.221920189775059</v>
      </c>
      <c r="F377" s="383">
        <f t="shared" si="128"/>
        <v>11.252808124056251</v>
      </c>
      <c r="G377" s="110">
        <f t="shared" si="151"/>
        <v>0.45712527826220661</v>
      </c>
      <c r="H377" s="412" t="b">
        <f>Wh_hp&gt;='2024'!Maxi_hp</f>
        <v>0</v>
      </c>
      <c r="I377" s="388">
        <f>IF(H377,Wh_hp,'2024'!Maxi_hp)</f>
        <v>25.022994124609578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4.7494904167011742E-2</v>
      </c>
      <c r="M377" s="832"/>
      <c r="N377" s="832"/>
      <c r="O377" s="48">
        <f>IF(t&lt;Tnet,'2024'!Resal+('2024'!Salim-'2024'!Resal)*(1-EXP(('2024'!Tnet-t)/('2024'!Tau_j))),Resal+(Salim-Resal)*(1-EXP((Tnet-t)/(Tau_j))))*Salcycl</f>
        <v>3.0556748560624351E-2</v>
      </c>
      <c r="P377" s="169">
        <f>(INDEX(Models!$BJ377:$BT377,,T377)*(1-R377)+INDEX(Models!$BJ377:$BT377,,T377+1)*R377-ERP_i)*Q377*Ramure*Pc/MaxiM</f>
        <v>1.1907452224814321E-2</v>
      </c>
      <c r="Q377" s="304">
        <f t="shared" si="130"/>
        <v>0.6</v>
      </c>
      <c r="R377" s="177">
        <f t="shared" si="131"/>
        <v>0.99911199505142578</v>
      </c>
      <c r="S377" s="799">
        <f t="shared" si="132"/>
        <v>1</v>
      </c>
      <c r="T377" s="176">
        <f t="shared" si="133"/>
        <v>7</v>
      </c>
      <c r="U377" s="250">
        <f t="shared" si="134"/>
        <v>1.9991119950514258</v>
      </c>
      <c r="V377" s="382">
        <f t="shared" si="135"/>
        <v>22.460167941482702</v>
      </c>
      <c r="W377" s="400">
        <f t="shared" si="136"/>
        <v>10.362317030993172</v>
      </c>
      <c r="X377" s="157">
        <f t="shared" si="137"/>
        <v>46020</v>
      </c>
      <c r="Y377" s="383">
        <f t="shared" si="138"/>
        <v>9.913417871241931</v>
      </c>
      <c r="Z377" s="383">
        <f t="shared" si="139"/>
        <v>10.407732110422373</v>
      </c>
      <c r="AA377" s="384">
        <f t="shared" si="140"/>
        <v>11.221920189775059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7.2553365697123784E-2</v>
      </c>
      <c r="AD377" s="230">
        <f>(INDEX(Models!$BJ377:$BT377,,AH377)*(1-AF377)+INDEX(Models!$BJ377:$BT377,,AH377+1)*AF377-ERP_i)*AE377*Ramure*Pc/MaxiM</f>
        <v>1.1907452224814321E-2</v>
      </c>
      <c r="AE377" s="304">
        <f t="shared" si="142"/>
        <v>0.6</v>
      </c>
      <c r="AF377" s="177">
        <f t="shared" si="143"/>
        <v>0.99911199505142578</v>
      </c>
      <c r="AG377" s="799">
        <f t="shared" si="149"/>
        <v>1</v>
      </c>
      <c r="AH377" s="176">
        <f t="shared" si="144"/>
        <v>7</v>
      </c>
      <c r="AI377" s="224">
        <f t="shared" si="145"/>
        <v>1.9991119950514258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'2024'!Wh/'2024'!Env_an*'2025'!Env_an</f>
        <v>14.03894871036394</v>
      </c>
      <c r="C378" s="829"/>
      <c r="D378" s="391">
        <f t="shared" si="127"/>
        <v>14.739257385801164</v>
      </c>
      <c r="E378" s="383">
        <f t="shared" si="150"/>
        <v>15.205094690529595</v>
      </c>
      <c r="F378" s="383">
        <f t="shared" si="128"/>
        <v>15.288519209280205</v>
      </c>
      <c r="G378" s="110">
        <f t="shared" si="151"/>
        <v>0.61799174197348838</v>
      </c>
      <c r="H378" s="412" t="b">
        <f>Wh_hp&gt;='2024'!Maxi_hp</f>
        <v>0</v>
      </c>
      <c r="I378" s="388">
        <f>IF(H378,Wh_hp,'2024'!Maxi_hp)</f>
        <v>25.027651179472095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4.751315870987205E-2</v>
      </c>
      <c r="M378" s="832"/>
      <c r="N378" s="832"/>
      <c r="O378" s="48">
        <f>IF(t&lt;Tnet,'2024'!Resal+('2024'!Salim-'2024'!Resal)*(1-EXP(('2024'!Tnet-t)/('2024'!Tau_j))),Resal+(Salim-Resal)*(1-EXP((Tnet-t)/(Tau_j))))*Salcycl</f>
        <v>3.0636922308584887E-2</v>
      </c>
      <c r="P378" s="169">
        <f>(INDEX(Models!$BJ378:$BT378,,T378)*(1-R378)+INDEX(Models!$BJ378:$BT378,,T378+1)*R378-ERP_i)*Q378*Ramure*Pc/MaxiM</f>
        <v>1.1862417546066265E-2</v>
      </c>
      <c r="Q378" s="304">
        <f t="shared" si="130"/>
        <v>0.6</v>
      </c>
      <c r="R378" s="177">
        <f t="shared" si="131"/>
        <v>0.99911199505142578</v>
      </c>
      <c r="S378" s="799">
        <f t="shared" si="132"/>
        <v>1</v>
      </c>
      <c r="T378" s="176">
        <f t="shared" si="133"/>
        <v>7</v>
      </c>
      <c r="U378" s="250">
        <f t="shared" si="134"/>
        <v>1.9991119950514258</v>
      </c>
      <c r="V378" s="382">
        <f t="shared" si="135"/>
        <v>22.570731122123622</v>
      </c>
      <c r="W378" s="400">
        <f t="shared" si="136"/>
        <v>14.03894871036394</v>
      </c>
      <c r="X378" s="157">
        <f t="shared" si="137"/>
        <v>46021</v>
      </c>
      <c r="Y378" s="383">
        <f t="shared" si="138"/>
        <v>13.43138029133757</v>
      </c>
      <c r="Z378" s="383">
        <f t="shared" si="139"/>
        <v>14.101381467007968</v>
      </c>
      <c r="AA378" s="384">
        <f t="shared" si="140"/>
        <v>15.205094690529595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7.2588382117019568E-2</v>
      </c>
      <c r="AD378" s="230">
        <f>(INDEX(Models!$BJ378:$BT378,,AH378)*(1-AF378)+INDEX(Models!$BJ378:$BT378,,AH378+1)*AF378-ERP_i)*AE378*Ramure*Pc/MaxiM</f>
        <v>1.1862417546066265E-2</v>
      </c>
      <c r="AE378" s="304">
        <f t="shared" si="142"/>
        <v>0.6</v>
      </c>
      <c r="AF378" s="177">
        <f t="shared" si="143"/>
        <v>0.99911199505142578</v>
      </c>
      <c r="AG378" s="799">
        <f t="shared" si="149"/>
        <v>1</v>
      </c>
      <c r="AH378" s="176">
        <f t="shared" si="144"/>
        <v>7</v>
      </c>
      <c r="AI378" s="224">
        <f t="shared" si="145"/>
        <v>1.9991119950514258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'2024'!Wh/'2024'!Env_an*'2025'!Env_an</f>
        <v>11.614582077312894</v>
      </c>
      <c r="C379" s="829"/>
      <c r="D379" s="391">
        <f t="shared" si="127"/>
        <v>12.194189115161542</v>
      </c>
      <c r="E379" s="383">
        <f t="shared" si="150"/>
        <v>12.580629581111808</v>
      </c>
      <c r="F379" s="383">
        <f t="shared" si="128"/>
        <v>12.625757765970365</v>
      </c>
      <c r="G379" s="110">
        <f t="shared" si="151"/>
        <v>0.50760370786095865</v>
      </c>
      <c r="H379" s="412" t="b">
        <f>Wh_hp&gt;='2024'!Maxi_hp</f>
        <v>0</v>
      </c>
      <c r="I379" s="388">
        <f>IF(H379,Wh_hp,'2024'!Maxi_hp)</f>
        <v>25.278911318099443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4.7531412902888204E-2</v>
      </c>
      <c r="M379" s="832"/>
      <c r="N379" s="832"/>
      <c r="O379" s="48">
        <f>IF(t&lt;Tnet,'2024'!Resal+('2024'!Salim-'2024'!Resal)*(1-EXP(('2024'!Tnet-t)/('2024'!Tau_j))),Resal+(Salim-Resal)*(1-EXP((Tnet-t)/(Tau_j))))*Salcycl</f>
        <v>3.0717100718906487E-2</v>
      </c>
      <c r="P379" s="169">
        <f>(INDEX(Models!$BJ379:$BT379,,T379)*(1-R379)+INDEX(Models!$BJ379:$BT379,,T379+1)*R379-ERP_i)*Q379*Ramure*Pc/MaxiM</f>
        <v>1.1811125822457712E-2</v>
      </c>
      <c r="Q379" s="305">
        <f t="shared" si="130"/>
        <v>0.6</v>
      </c>
      <c r="R379" s="177">
        <f t="shared" si="131"/>
        <v>0.99911199505142578</v>
      </c>
      <c r="S379" s="799">
        <f t="shared" si="132"/>
        <v>1</v>
      </c>
      <c r="T379" s="176">
        <f t="shared" si="133"/>
        <v>7</v>
      </c>
      <c r="U379" s="306">
        <f t="shared" si="134"/>
        <v>1.9991119950514258</v>
      </c>
      <c r="V379" s="382">
        <f t="shared" si="135"/>
        <v>22.692055600086405</v>
      </c>
      <c r="W379" s="400">
        <f t="shared" si="136"/>
        <v>11.614582077312894</v>
      </c>
      <c r="X379" s="157">
        <f t="shared" si="137"/>
        <v>46022</v>
      </c>
      <c r="Y379" s="383">
        <f t="shared" si="138"/>
        <v>11.112431177231342</v>
      </c>
      <c r="Z379" s="383">
        <f t="shared" si="139"/>
        <v>11.666979182063399</v>
      </c>
      <c r="AA379" s="384">
        <f t="shared" si="140"/>
        <v>12.580629581111808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7.262358319651481E-2</v>
      </c>
      <c r="AD379" s="230">
        <f>(INDEX(Models!$BJ379:$BT379,,AH379)*(1-AF379)+INDEX(Models!$BJ379:$BT379,,AH379+1)*AF379-ERP_i)*AE379*Ramure*Pc/MaxiM</f>
        <v>1.1811125822457712E-2</v>
      </c>
      <c r="AE379" s="305">
        <f t="shared" si="142"/>
        <v>0.6</v>
      </c>
      <c r="AF379" s="177">
        <f t="shared" si="143"/>
        <v>0.99911199505142578</v>
      </c>
      <c r="AG379" s="799">
        <f t="shared" si="149"/>
        <v>1</v>
      </c>
      <c r="AH379" s="176">
        <f t="shared" si="144"/>
        <v>7</v>
      </c>
      <c r="AI379" s="221">
        <f t="shared" si="145"/>
        <v>1.9991119950514258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17.036821547492405</v>
      </c>
      <c r="J380" s="151">
        <f>IF(H380,An,'2024'!An_max)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1.7521830622011019</v>
      </c>
      <c r="C381" s="374"/>
      <c r="D381" s="372">
        <f>MIN(D15:D380)</f>
        <v>1.8271494363722134</v>
      </c>
      <c r="E381" s="372">
        <f>MIN(E15:E380)</f>
        <v>1.9357955619240601</v>
      </c>
      <c r="F381" s="373">
        <f>MIN(F15:F380)</f>
        <v>1.9357955619240601</v>
      </c>
      <c r="G381" s="125">
        <f>+MIN(G15:G380)</f>
        <v>7.2350443087785432E-2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4.0863720298336736E-2</v>
      </c>
      <c r="M381" s="833"/>
      <c r="N381" s="833"/>
      <c r="O381" s="47">
        <f t="shared" si="152"/>
        <v>8.0885102312609237E-3</v>
      </c>
      <c r="P381" s="168">
        <f t="shared" si="152"/>
        <v>2.5953933218287228E-4</v>
      </c>
      <c r="Q381" s="309">
        <f t="shared" si="152"/>
        <v>0.6</v>
      </c>
      <c r="R381" s="310">
        <f t="shared" si="152"/>
        <v>0.49911326808759671</v>
      </c>
      <c r="S381" s="799">
        <f t="shared" si="152"/>
        <v>1</v>
      </c>
      <c r="T381" s="176">
        <f t="shared" si="152"/>
        <v>7</v>
      </c>
      <c r="U381" s="251">
        <f>+MIN(U15:U380)</f>
        <v>1.4991132680875967</v>
      </c>
      <c r="V381" s="372">
        <f>MIN(V15:V380)</f>
        <v>22.013001144171039</v>
      </c>
      <c r="W381" s="793"/>
      <c r="X381" s="112" t="s">
        <v>7</v>
      </c>
      <c r="Y381" s="372">
        <f>MIN(Y15:Y380)</f>
        <v>1.7245071265539946</v>
      </c>
      <c r="Z381" s="372">
        <f>MIN(Z15:Z380)</f>
        <v>1.7982893981093382</v>
      </c>
      <c r="AA381" s="372">
        <f>MIN(AA15:AA380)</f>
        <v>1.9357955619240601</v>
      </c>
      <c r="AB381" s="200" t="s">
        <v>7</v>
      </c>
      <c r="AC381" s="47">
        <f t="shared" ref="AC381:AH381" si="153">MIN(AC15:AC380)</f>
        <v>6.2552582469664261E-2</v>
      </c>
      <c r="AD381" s="168">
        <f t="shared" si="153"/>
        <v>2.5953933218287228E-4</v>
      </c>
      <c r="AE381" s="309">
        <f t="shared" si="153"/>
        <v>0.6</v>
      </c>
      <c r="AF381" s="310">
        <f t="shared" si="153"/>
        <v>0.49911326808759671</v>
      </c>
      <c r="AG381" s="799">
        <f t="shared" si="153"/>
        <v>1</v>
      </c>
      <c r="AH381" s="176">
        <f t="shared" si="153"/>
        <v>7</v>
      </c>
      <c r="AI381" s="225">
        <f>MIN(AI15:AI380)</f>
        <v>1.4991132680875967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31.108414898890086</v>
      </c>
      <c r="C382" s="374"/>
      <c r="D382" s="374">
        <f>AVERAGE(D15:D380)</f>
        <v>32.544946004872102</v>
      </c>
      <c r="E382" s="374">
        <f>AVERAGE(E15:E380)</f>
        <v>33.512371290885334</v>
      </c>
      <c r="F382" s="375">
        <f>AVERAGE(F15:F380)</f>
        <v>33.564284408667866</v>
      </c>
      <c r="G382" s="126">
        <f>AVERAGE(G15:G380)</f>
        <v>0.6874483749981567</v>
      </c>
      <c r="H382" s="94"/>
      <c r="I382" s="375">
        <f>AVERAGE(I15:I380)</f>
        <v>43.524049143147792</v>
      </c>
      <c r="J382" s="59">
        <f>AVERAGE(J15:J380)</f>
        <v>2020.6202185792349</v>
      </c>
      <c r="K382" s="200" t="s">
        <v>8</v>
      </c>
      <c r="L382" s="147">
        <f t="shared" ref="L382:V382" si="154">AVERAGE(L15:L380)</f>
        <v>4.4201432124948849E-2</v>
      </c>
      <c r="M382" s="832"/>
      <c r="N382" s="832"/>
      <c r="O382" s="48">
        <f t="shared" si="154"/>
        <v>3.2944259022500484E-2</v>
      </c>
      <c r="P382" s="169">
        <f t="shared" si="154"/>
        <v>3.819914602609623E-3</v>
      </c>
      <c r="Q382" s="311">
        <f t="shared" si="154"/>
        <v>0.59999999999999631</v>
      </c>
      <c r="R382" s="177">
        <f t="shared" si="154"/>
        <v>0.77899686508674015</v>
      </c>
      <c r="S382" s="799">
        <f t="shared" si="154"/>
        <v>1</v>
      </c>
      <c r="T382" s="176">
        <f t="shared" si="154"/>
        <v>7</v>
      </c>
      <c r="U382" s="250">
        <f t="shared" si="154"/>
        <v>1.7789968650867403</v>
      </c>
      <c r="V382" s="374">
        <f t="shared" si="154"/>
        <v>43.705098007253767</v>
      </c>
      <c r="X382" s="112" t="s">
        <v>8</v>
      </c>
      <c r="Y382" s="374">
        <f>AVERAGE(Y15:Y380)</f>
        <v>29.790969061410046</v>
      </c>
      <c r="Z382" s="374">
        <f>AVERAGE(Z15:Z380)</f>
        <v>31.166114955076246</v>
      </c>
      <c r="AA382" s="374">
        <f>AVERAGE(AA15:AA380)</f>
        <v>33.512371290885334</v>
      </c>
      <c r="AB382" s="200" t="s">
        <v>8</v>
      </c>
      <c r="AC382" s="48">
        <f t="shared" ref="AC382:AH382" si="155">AVERAGE(AC15:AC380)</f>
        <v>7.0706860475567151E-2</v>
      </c>
      <c r="AD382" s="169">
        <f t="shared" si="155"/>
        <v>3.819914602609623E-3</v>
      </c>
      <c r="AE382" s="311">
        <f t="shared" si="155"/>
        <v>0.59999999999999631</v>
      </c>
      <c r="AF382" s="177">
        <f t="shared" si="155"/>
        <v>0.77899686508674015</v>
      </c>
      <c r="AG382" s="799">
        <f t="shared" si="155"/>
        <v>1</v>
      </c>
      <c r="AH382" s="176">
        <f t="shared" si="155"/>
        <v>7</v>
      </c>
      <c r="AI382" s="224">
        <f>AVERAGE(AI15:AI380)</f>
        <v>1.7789968650867403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61.306681773857925</v>
      </c>
      <c r="C383" s="376"/>
      <c r="D383" s="376">
        <f>MAX(D15:D380)</f>
        <v>64.100192033681438</v>
      </c>
      <c r="E383" s="376">
        <f>MAX(E15:E380)</f>
        <v>64.834417320284629</v>
      </c>
      <c r="F383" s="377">
        <f>MAX(F15:F380)</f>
        <v>64.852505396426309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2025</v>
      </c>
      <c r="K383" s="200" t="s">
        <v>9</v>
      </c>
      <c r="L383" s="148">
        <f t="shared" ref="L383:T383" si="156">MAX(L15:L380)</f>
        <v>4.7531412902888204E-2</v>
      </c>
      <c r="M383" s="834"/>
      <c r="N383" s="834"/>
      <c r="O383" s="49">
        <f t="shared" si="156"/>
        <v>6.2471298272188634E-2</v>
      </c>
      <c r="P383" s="170">
        <f t="shared" si="156"/>
        <v>1.2388781413236646E-2</v>
      </c>
      <c r="Q383" s="312">
        <f t="shared" si="156"/>
        <v>0.6</v>
      </c>
      <c r="R383" s="313">
        <f t="shared" si="156"/>
        <v>0.99911199505142578</v>
      </c>
      <c r="S383" s="800">
        <f t="shared" si="156"/>
        <v>1</v>
      </c>
      <c r="T383" s="232">
        <f t="shared" si="156"/>
        <v>7</v>
      </c>
      <c r="U383" s="252">
        <f>+MAX(U15:U380)</f>
        <v>1.9991119950514258</v>
      </c>
      <c r="V383" s="376">
        <f>MAX(V15:V380)</f>
        <v>60.584571643717474</v>
      </c>
      <c r="X383" s="112" t="s">
        <v>9</v>
      </c>
      <c r="Y383" s="376">
        <f>MAX(Y15:Y380)</f>
        <v>57.966996106264311</v>
      </c>
      <c r="Z383" s="376">
        <f>MAX(Z15:Z380)</f>
        <v>60.608329704310215</v>
      </c>
      <c r="AA383" s="376">
        <f>MAX(AA15:AA380)</f>
        <v>64.834417320284629</v>
      </c>
      <c r="AB383" s="200" t="s">
        <v>9</v>
      </c>
      <c r="AC383" s="49">
        <f t="shared" ref="AC383:AH383" si="157">MAX(AC15:AC380)</f>
        <v>7.5937442562367494E-2</v>
      </c>
      <c r="AD383" s="170">
        <f t="shared" si="157"/>
        <v>1.2388781413236646E-2</v>
      </c>
      <c r="AE383" s="312">
        <f t="shared" si="157"/>
        <v>0.6</v>
      </c>
      <c r="AF383" s="313">
        <f t="shared" si="157"/>
        <v>0.99911199505142578</v>
      </c>
      <c r="AG383" s="800">
        <f t="shared" si="157"/>
        <v>1</v>
      </c>
      <c r="AH383" s="232">
        <f t="shared" si="157"/>
        <v>7</v>
      </c>
      <c r="AI383" s="226">
        <f>MAX(AI15:AI380)</f>
        <v>1.9991119950514258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'2025'!An+1</f>
        <v>2026</v>
      </c>
      <c r="K1" s="1279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-0.25919268729610234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416.43456521431824</v>
      </c>
      <c r="AK4" s="822">
        <f>AM12-AK12</f>
        <v>14.212830834618932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416.43456521431824</v>
      </c>
      <c r="AA5" s="236">
        <f>Wh_Pvg_s-Wh_Pvg</f>
        <v>14.006681016420869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1919.2680809404656</v>
      </c>
      <c r="AL5" s="514">
        <f>SUMIF(AJ15:AJ380,"VRAI",Wh_s)</f>
        <v>0</v>
      </c>
      <c r="AM5" s="514">
        <f>SUMIF(AK15:AK380,"VRAI",Wh_s)</f>
        <v>1840.1730294143704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11103.940343747685</v>
      </c>
      <c r="AK6" s="514">
        <f>SUMIF(AK15:AK380,"FAUX",Wh)</f>
        <v>9184.6722628072293</v>
      </c>
      <c r="AL6" s="514">
        <f>SUMIF(AJ15:AJ380,"FAUX",Wh_s)</f>
        <v>10671.964074135392</v>
      </c>
      <c r="AM6" s="514">
        <f>SUMIF(AK15:AK380,"FAUX",Wh_s)</f>
        <v>8831.7910447210234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2089.572174248553</v>
      </c>
      <c r="AL7" s="514">
        <f>SUMIF(AJ15:AJ380,"VRAI",Wh_pvt_s)</f>
        <v>0</v>
      </c>
      <c r="AM7" s="514">
        <f>SUMIF(AK15:AK380,"VRAI",Wh_sa_s)</f>
        <v>2089.572174248553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0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11697.959668351074</v>
      </c>
      <c r="AK8" s="514">
        <f>SUMIF(AK15:AK380,"FAUX",Wh_sa)</f>
        <v>10160.161370500384</v>
      </c>
      <c r="AL8" s="514">
        <f>SUMIF(AJ15:AJ380,"FAUX",Wh_pvt_s)</f>
        <v>11242.894122223774</v>
      </c>
      <c r="AM8" s="514">
        <f>SUMIF(AK15:AK380,"FAUX",Wh_sa_s)</f>
        <v>10143.809830937162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11697.959668351074</v>
      </c>
      <c r="E9" s="184">
        <f>SUM(E$15:E$380)</f>
        <v>12249.733544748937</v>
      </c>
      <c r="F9" s="184">
        <f>SUM(F$15:F$380)</f>
        <v>12257.294210202432</v>
      </c>
      <c r="H9" s="1280">
        <f>+SUM(Wh)</f>
        <v>11103.940343747685</v>
      </c>
      <c r="I9" s="1281"/>
      <c r="J9" s="1282"/>
      <c r="K9" s="191"/>
      <c r="L9" s="231"/>
      <c r="M9" s="231"/>
      <c r="N9" s="231"/>
      <c r="O9" s="222">
        <f>Tnet_2026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10671.964074135392</v>
      </c>
      <c r="Y9" s="1275"/>
      <c r="Z9" s="514">
        <f>SUM(Z$15:Z$380)</f>
        <v>11242.894122223774</v>
      </c>
      <c r="AA9" s="514">
        <f>SUM(AA$15:AA$380)</f>
        <v>12233.382005185718</v>
      </c>
      <c r="AB9" s="514">
        <f>F9</f>
        <v>12257.294210202432</v>
      </c>
      <c r="AC9" s="324">
        <f>IF(An_Tnet,Tnet,'2025'!Tnet_s)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2096.4196548012897</v>
      </c>
      <c r="AL9" s="514">
        <f>SUMIF(AJ15:AJ380,"VRAI",Wh_sa_s)</f>
        <v>0</v>
      </c>
      <c r="AM9" s="514">
        <f>SUMIF(AK15:AK380,"VRAI",Wh_hp)</f>
        <v>2096.4196548012897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8.0000000000000002E-3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6.1868087626725195E-2</v>
      </c>
      <c r="AD10" s="426"/>
      <c r="AE10" s="426"/>
      <c r="AF10" s="259"/>
      <c r="AG10" s="260"/>
      <c r="AH10" s="261"/>
      <c r="AI10" s="471"/>
      <c r="AJ10" s="514">
        <f>SUMIF(AJ15:AJ380,"FAUX",Wh_sa)</f>
        <v>12249.733544748937</v>
      </c>
      <c r="AK10" s="514">
        <f>SUMIF(AK15:AK380,"FAUX",Wh_hp)</f>
        <v>10160.874555401137</v>
      </c>
      <c r="AL10" s="514">
        <f>SUMIF(AJ15:AJ380,"FAUX",Wh_sa_s)</f>
        <v>12233.382005185718</v>
      </c>
      <c r="AM10" s="514">
        <f>SUMIF(AK15:AK380,"FAUX",Wh_hp)</f>
        <v>10160.874555401137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594.01932460338867</v>
      </c>
      <c r="E11" s="51">
        <f>(E$9-D$9)*Prod_an/D$9</f>
        <v>523.75494363658675</v>
      </c>
      <c r="F11" s="186">
        <f>(F$9-E$9)*Prod_an/E$9</f>
        <v>6.8534697385830032</v>
      </c>
      <c r="G11" s="185" t="s">
        <v>6</v>
      </c>
      <c r="K11" s="194"/>
      <c r="L11" s="211">
        <f>Tvie_2026</f>
        <v>43481</v>
      </c>
      <c r="M11" s="831"/>
      <c r="N11" s="831"/>
      <c r="O11" s="202">
        <f>IF(An_Tnet,Salim_2026,'2025'!Salim)</f>
        <v>0.10999999999999999</v>
      </c>
      <c r="P11" s="255">
        <f>Ttai_2026</f>
        <v>46112</v>
      </c>
      <c r="Q11" s="271">
        <f>Dens_2026</f>
        <v>0.6</v>
      </c>
      <c r="R11" s="276"/>
      <c r="S11" s="229"/>
      <c r="T11" s="229"/>
      <c r="U11" s="265">
        <f>Htf_2026</f>
        <v>-1.5008874621829826</v>
      </c>
      <c r="V11" s="426"/>
      <c r="W11" s="517"/>
      <c r="X11" s="524" t="s">
        <v>43</v>
      </c>
      <c r="Y11" s="50">
        <f>Z$9-Prod_an_s</f>
        <v>570.93004808838123</v>
      </c>
      <c r="Z11" s="51">
        <f>(AA$9-Z$9)*Prod_an_s/Z$9</f>
        <v>940.18950885090499</v>
      </c>
      <c r="AA11" s="186">
        <f>(AB$9-AA$9)*Prod_an_s/AA$9</f>
        <v>20.860150755003872</v>
      </c>
      <c r="AB11" s="525" t="s">
        <v>6</v>
      </c>
      <c r="AC11" s="324"/>
      <c r="AD11" s="426"/>
      <c r="AE11" s="271">
        <f>IF(Acti_tai,IF(GainD,Dd_s,Dd)+PousD*Croi_tai,"NA")</f>
        <v>0.6</v>
      </c>
      <c r="AF11" s="246"/>
      <c r="AG11" s="246"/>
      <c r="AH11" s="246"/>
      <c r="AI11" s="265">
        <f>IF(Acti_tai,IF(GainD,Hdd_s,Hdd)+PousH*Croi_tai,"NA")</f>
        <v>2.0241001041909961</v>
      </c>
      <c r="AJ11" s="821">
        <f>IF($AJ7=0,0,($AJ9-$AJ7)*$AJ5/$AJ7)</f>
        <v>0</v>
      </c>
      <c r="AK11" s="822">
        <f>IF($AK7=0,0,($AK9-$AK7)*$AK5/$AK7)</f>
        <v>6.2893979072315203</v>
      </c>
      <c r="AL11" s="821">
        <f>IF($AL7=0,0,($AL9-$AL7)*$AL5/$AL7)</f>
        <v>0</v>
      </c>
      <c r="AM11" s="822">
        <f>IF($AM7=0,0,($AM9-$AM7)*$AM5/$AM7)</f>
        <v>6.0302052199354179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Pspv_2026</f>
        <v>0</v>
      </c>
      <c r="M12" s="212"/>
      <c r="N12" s="212"/>
      <c r="O12" s="205">
        <f>IF(An_Tnet,Tau_2026*365,'2025'!Tau_j)</f>
        <v>973.33333333333326</v>
      </c>
      <c r="P12" s="280">
        <f>INDEX(Croivg,MIN(MAX(Ttai-$A$15,0)+1,366))</f>
        <v>4.9976218279140845E-2</v>
      </c>
      <c r="Q12" s="279">
        <f>'2025'!Df</f>
        <v>0.6</v>
      </c>
      <c r="R12" s="277"/>
      <c r="S12" s="278"/>
      <c r="T12" s="278"/>
      <c r="U12" s="266">
        <f>'2025'!Hdf</f>
        <v>1.9991119950514258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'2025'!Df_s</f>
        <v>0.6</v>
      </c>
      <c r="AF12" s="203"/>
      <c r="AG12" s="203"/>
      <c r="AH12" s="203"/>
      <c r="AI12" s="296">
        <f>'2025'!Hdf_s</f>
        <v>1.9991119950514258</v>
      </c>
      <c r="AJ12" s="821">
        <f>IF($AJ8=0,0,($AJ10-$AJ8)*$AJ6/$AJ8)</f>
        <v>523.75494363658675</v>
      </c>
      <c r="AK12" s="822">
        <f>IF($AK8=0,0,($AK10-$AK8)*$AK6/$AK8)</f>
        <v>0.64471117508193332</v>
      </c>
      <c r="AL12" s="821">
        <f>IF($AL8=0,0,($AL10-$AL8)*$AL6/$AL8)</f>
        <v>940.18950885090499</v>
      </c>
      <c r="AM12" s="822">
        <f>IF($AM8=0,0,($AM10-$AM8)*$AM6/$AM8)</f>
        <v>14.857542009700866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523.75494363658675</v>
      </c>
      <c r="AK13" s="73">
        <f>+AK11+AK12</f>
        <v>6.9341090823134532</v>
      </c>
      <c r="AL13" s="73">
        <f>+AL11+AL12</f>
        <v>940.18950885090499</v>
      </c>
      <c r="AM13" s="73">
        <f>+AM11+AM12</f>
        <v>20.887747229636282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'2025'!Wh/'2025'!Env_an*'2026'!Env_an</f>
        <v>23.220938627970579</v>
      </c>
      <c r="C15" s="829"/>
      <c r="D15" s="391">
        <f t="shared" ref="D15:D78" si="0">Wh/(1-Ppv)</f>
        <v>24.380209463142304</v>
      </c>
      <c r="E15" s="398">
        <f t="shared" ref="E15:E79" si="1">Wh_pvt/(1-Psa)</f>
        <v>25.154912200634882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Wh_hp&gt;='2025'!Maxi_hp</f>
        <v>1</v>
      </c>
      <c r="I15" s="394">
        <f>IF(H15,Wh_hp,'2025'!Maxi_hp)</f>
        <v>25.454097031999808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4.7549666746066976E-2</v>
      </c>
      <c r="M15" s="832"/>
      <c r="N15" s="832"/>
      <c r="O15" s="48">
        <f>IF(t&lt;Tnet,'2025'!Resal+('2025'!Salim-'2025'!Resal)*(1-EXP(('2025'!Tnet-t)/('2025'!Tau_j))),Resal+(Salim-Resal)*(1-EXP((Tnet-t)/(Tau_j))))*Salcycl</f>
        <v>3.079727455669783E-2</v>
      </c>
      <c r="P15" s="301">
        <f>(INDEX(Models!$BJ15:$BT15,,T15)*(1-R15)+INDEX(Models!$BJ15:$BT15,,T15+1)*R15-ERP_i)*Q15*Ramure*Pc/MaxiM</f>
        <v>1.1753896867321749E-2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0.99911319054965508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1.9991131905496551</v>
      </c>
      <c r="V15" s="381">
        <f t="shared" ref="V15:V78" si="9">MaxiM*(1-Ppv)*(1-Pvg)*(1-Psa)</f>
        <v>22.823665648843193</v>
      </c>
      <c r="W15" s="400">
        <f t="shared" ref="W15:W78" si="10">Wh*(A15&gt;Tmaj)</f>
        <v>23.220938627970579</v>
      </c>
      <c r="X15" s="156">
        <f t="shared" ref="X15:X78" si="11">t</f>
        <v>46023</v>
      </c>
      <c r="Y15" s="383">
        <f t="shared" ref="Y15:Y78" si="12">Wh_pvt_s*(1-Ppv)</f>
        <v>22.217983037097603</v>
      </c>
      <c r="Z15" s="383">
        <f>Wh_sa_s*(1-Psa_s)</f>
        <v>23.327182805629889</v>
      </c>
      <c r="AA15" s="384">
        <f t="shared" ref="AA15:AA78" si="13">Wh_hp*(1-Pvg_s*MEDIAN((-Sdif+Wh/Env_an)/Csdif,0,1))</f>
        <v>25.154912200634882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7.2658945514381998E-2</v>
      </c>
      <c r="AD15" s="230">
        <f>(INDEX(Models!$BJ15:$BT15,,AH15)*(1-AF15)+INDEX(Models!$BJ15:$BT15,,AH15+1)*AF15-ERP_i)*AE15*Ramure*Pc/MaxiM</f>
        <v>1.1753896867321749E-2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0.99911319054965508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1.9991131905496551</v>
      </c>
      <c r="AJ15" s="264" t="b">
        <f t="shared" ref="AJ15:AJ78" si="18">t&lt;Tnet</f>
        <v>0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'2025'!Wh/'2025'!Env_an*'2026'!Env_an</f>
        <v>16.014018332620914</v>
      </c>
      <c r="C16" s="829"/>
      <c r="D16" s="391">
        <f t="shared" si="0"/>
        <v>16.813816620547254</v>
      </c>
      <c r="E16" s="383">
        <f t="shared" si="1"/>
        <v>17.349525473538574</v>
      </c>
      <c r="F16" s="383">
        <f t="shared" si="2"/>
        <v>17.465370827248144</v>
      </c>
      <c r="G16" s="110">
        <f t="shared" ref="G16:G79" si="21">+Wh_hp/MaxiM</f>
        <v>0.6937694737741531</v>
      </c>
      <c r="H16" s="412" t="b">
        <f>Wh_hp&gt;='2025'!Maxi_hp</f>
        <v>0</v>
      </c>
      <c r="I16" s="388">
        <f>IF(H16,Wh_hp,'2025'!Maxi_hp)</f>
        <v>24.084283353934023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4.7567920239414918E-2</v>
      </c>
      <c r="M16" s="832"/>
      <c r="N16" s="832"/>
      <c r="O16" s="48">
        <f>IF(t&lt;Tnet,'2025'!Resal+('2025'!Salim-'2025'!Resal)*(1-EXP(('2025'!Tnet-t)/('2025'!Tau_j))),Resal+(Salim-Resal)*(1-EXP((Tnet-t)/(Tau_j))))*Salcycl</f>
        <v>3.0877435455418146E-2</v>
      </c>
      <c r="P16" s="169">
        <f>(INDEX(Models!$BJ16:$BT16,,T16)*(1-R16)+INDEX(Models!$BJ16:$BT16,,T16+1)*R16-ERP_i)*Q16*Ramure*Pc/MaxiM</f>
        <v>1.1685900152134355E-2</v>
      </c>
      <c r="Q16" s="304">
        <f t="shared" si="4"/>
        <v>0.6</v>
      </c>
      <c r="R16" s="177">
        <f t="shared" si="5"/>
        <v>0.99914240516364949</v>
      </c>
      <c r="S16" s="799">
        <f t="shared" si="6"/>
        <v>1</v>
      </c>
      <c r="T16" s="176">
        <f t="shared" si="7"/>
        <v>7</v>
      </c>
      <c r="U16" s="250">
        <f t="shared" si="8"/>
        <v>1.9991424051636495</v>
      </c>
      <c r="V16" s="382">
        <f t="shared" si="9"/>
        <v>22.965205504906123</v>
      </c>
      <c r="W16" s="400">
        <f t="shared" si="10"/>
        <v>16.014018332620914</v>
      </c>
      <c r="X16" s="157">
        <f t="shared" si="11"/>
        <v>46024</v>
      </c>
      <c r="Y16" s="383">
        <f t="shared" si="12"/>
        <v>15.323023789341239</v>
      </c>
      <c r="Z16" s="383">
        <f t="shared" ref="Z16:Z78" si="22">Wh_sa_s*(1-Psa_s)</f>
        <v>16.088311297948952</v>
      </c>
      <c r="AA16" s="384">
        <f t="shared" si="13"/>
        <v>17.349525473538574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7.2694447897910505E-2</v>
      </c>
      <c r="AD16" s="230">
        <f>(INDEX(Models!$BJ16:$BT16,,AH16)*(1-AF16)+INDEX(Models!$BJ16:$BT16,,AH16+1)*AF16-ERP_i)*AE16*Ramure*Pc/MaxiM</f>
        <v>1.1685900152134355E-2</v>
      </c>
      <c r="AE16" s="304">
        <f t="shared" si="15"/>
        <v>0.6</v>
      </c>
      <c r="AF16" s="177">
        <f t="shared" ref="AF16:AF78" si="23">(Hp_vg_s-AG16)/(INDEX(Echel_vg,AH16+1)-AG16)</f>
        <v>0.99914240516364949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1.9991424051636495</v>
      </c>
      <c r="AJ16" s="264" t="b">
        <f t="shared" si="18"/>
        <v>0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'2025'!Wh/'2025'!Env_an*'2026'!Env_an</f>
        <v>17.290499998935591</v>
      </c>
      <c r="C17" s="829"/>
      <c r="D17" s="391">
        <f t="shared" si="0"/>
        <v>18.15439834630584</v>
      </c>
      <c r="E17" s="383">
        <f t="shared" si="1"/>
        <v>18.734368996900091</v>
      </c>
      <c r="F17" s="383">
        <f t="shared" si="2"/>
        <v>18.874578421855293</v>
      </c>
      <c r="G17" s="110">
        <f t="shared" si="21"/>
        <v>0.74483266973361806</v>
      </c>
      <c r="H17" s="412" t="b">
        <f>Wh_hp&gt;='2025'!Maxi_hp</f>
        <v>0</v>
      </c>
      <c r="I17" s="388">
        <f>IF(H17,Wh_hp,'2025'!Maxi_hp)</f>
        <v>25.872417420672249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4.7586173382938912E-2</v>
      </c>
      <c r="M17" s="832"/>
      <c r="N17" s="832"/>
      <c r="O17" s="48">
        <f>IF(t&lt;Tnet,'2025'!Resal+('2025'!Salim-'2025'!Resal)*(1-EXP(('2025'!Tnet-t)/('2025'!Tau_j))),Resal+(Salim-Resal)*(1-EXP((Tnet-t)/(Tau_j))))*Salcycl</f>
        <v>3.0957575923171988E-2</v>
      </c>
      <c r="P17" s="169">
        <f>(INDEX(Models!$BJ17:$BT17,,T17)*(1-R17)+INDEX(Models!$BJ17:$BT17,,T17+1)*R17-ERP_i)*Q17*Ramure*Pc/MaxiM</f>
        <v>1.1607469410474523E-2</v>
      </c>
      <c r="Q17" s="304">
        <f t="shared" si="4"/>
        <v>0.6</v>
      </c>
      <c r="R17" s="177">
        <f t="shared" si="5"/>
        <v>0.99917284175913901</v>
      </c>
      <c r="S17" s="799">
        <f t="shared" si="6"/>
        <v>1</v>
      </c>
      <c r="T17" s="176">
        <f t="shared" si="7"/>
        <v>7</v>
      </c>
      <c r="U17" s="250">
        <f t="shared" si="8"/>
        <v>1.999172841759139</v>
      </c>
      <c r="V17" s="382">
        <f t="shared" si="9"/>
        <v>23.116201938554699</v>
      </c>
      <c r="W17" s="400">
        <f t="shared" si="10"/>
        <v>17.290499998935591</v>
      </c>
      <c r="X17" s="157">
        <f t="shared" si="11"/>
        <v>46025</v>
      </c>
      <c r="Y17" s="383">
        <f t="shared" si="12"/>
        <v>16.545158706049481</v>
      </c>
      <c r="Z17" s="383">
        <f t="shared" si="22"/>
        <v>17.37181700187751</v>
      </c>
      <c r="AA17" s="384">
        <f t="shared" si="13"/>
        <v>18.734368996900091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7.2730071413029049E-2</v>
      </c>
      <c r="AD17" s="230">
        <f>(INDEX(Models!$BJ17:$BT17,,AH17)*(1-AF17)+INDEX(Models!$BJ17:$BT17,,AH17+1)*AF17-ERP_i)*AE17*Ramure*Pc/MaxiM</f>
        <v>1.1607469410474523E-2</v>
      </c>
      <c r="AE17" s="304">
        <f t="shared" si="15"/>
        <v>0.6</v>
      </c>
      <c r="AF17" s="177">
        <f>(Hp_vg_s-AG17)/(INDEX(Echel_vg,AH17+1)-AG17)</f>
        <v>0.99917284175913901</v>
      </c>
      <c r="AG17" s="799">
        <f>INDEX(Echel_vg,AH17)</f>
        <v>1</v>
      </c>
      <c r="AH17" s="176">
        <f t="shared" si="16"/>
        <v>7</v>
      </c>
      <c r="AI17" s="224">
        <f t="shared" si="17"/>
        <v>1.999172841759139</v>
      </c>
      <c r="AJ17" s="264" t="b">
        <f t="shared" si="18"/>
        <v>0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'2025'!Wh/'2025'!Env_an*'2026'!Env_an</f>
        <v>18.37271565974871</v>
      </c>
      <c r="C18" s="829"/>
      <c r="D18" s="391">
        <f t="shared" si="0"/>
        <v>19.291055276529864</v>
      </c>
      <c r="E18" s="383">
        <f t="shared" si="1"/>
        <v>19.90898414139701</v>
      </c>
      <c r="F18" s="383">
        <f t="shared" si="2"/>
        <v>20.070600770790776</v>
      </c>
      <c r="G18" s="110">
        <f t="shared" si="21"/>
        <v>0.7865769786967497</v>
      </c>
      <c r="H18" s="412" t="b">
        <f>Wh_hp&gt;='2025'!Maxi_hp</f>
        <v>0</v>
      </c>
      <c r="I18" s="388">
        <f>IF(H18,Wh_hp,'2025'!Maxi_hp)</f>
        <v>21.824345162432092</v>
      </c>
      <c r="J18" s="85">
        <f>IF(H18,An,'2025'!An_max)</f>
        <v>2021</v>
      </c>
      <c r="K18" s="197">
        <f t="shared" si="3"/>
        <v>46026</v>
      </c>
      <c r="L18" s="147">
        <f>IF(t&lt;Tvie,1-EXP((T0-t)*PertePVj)+'2025'!Pspv,1-EXP((T0-t)*PertePVj)+Pspv)</f>
        <v>4.7604426176645509E-2</v>
      </c>
      <c r="M18" s="832"/>
      <c r="N18" s="832"/>
      <c r="O18" s="48">
        <f>IF(t&lt;Tnet,'2025'!Resal+('2025'!Salim-'2025'!Resal)*(1-EXP(('2025'!Tnet-t)/('2025'!Tau_j))),Resal+(Salim-Resal)*(1-EXP((Tnet-t)/(Tau_j))))*Salcycl</f>
        <v>3.1037689340576512E-2</v>
      </c>
      <c r="P18" s="169">
        <f>(INDEX(Models!$BJ18:$BT18,,T18)*(1-R18)+INDEX(Models!$BJ18:$BT18,,T18+1)*R18-ERP_i)*Q18*Ramure*Pc/MaxiM</f>
        <v>1.151905762151211E-2</v>
      </c>
      <c r="Q18" s="304">
        <f t="shared" si="4"/>
        <v>0.6</v>
      </c>
      <c r="R18" s="177">
        <f t="shared" si="5"/>
        <v>0.99920455129043417</v>
      </c>
      <c r="S18" s="799">
        <f t="shared" si="6"/>
        <v>1</v>
      </c>
      <c r="T18" s="176">
        <f t="shared" si="7"/>
        <v>7</v>
      </c>
      <c r="U18" s="250">
        <f t="shared" si="8"/>
        <v>1.9992045512904342</v>
      </c>
      <c r="V18" s="382">
        <f t="shared" si="9"/>
        <v>23.276179342238418</v>
      </c>
      <c r="W18" s="400">
        <f t="shared" si="10"/>
        <v>18.37271565974871</v>
      </c>
      <c r="X18" s="157">
        <f t="shared" si="11"/>
        <v>46026</v>
      </c>
      <c r="Y18" s="383">
        <f t="shared" si="12"/>
        <v>17.581499436463876</v>
      </c>
      <c r="Z18" s="383">
        <f>Wh_sa_s*(1-Psa_s)</f>
        <v>18.460290996401461</v>
      </c>
      <c r="AA18" s="384">
        <f t="shared" si="13"/>
        <v>19.90898414139701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7.2765799334947603E-2</v>
      </c>
      <c r="AD18" s="230">
        <f>(INDEX(Models!$BJ18:$BT18,,AH18)*(1-AF18)+INDEX(Models!$BJ18:$BT18,,AH18+1)*AF18-ERP_i)*AE18*Ramure*Pc/MaxiM</f>
        <v>1.151905762151211E-2</v>
      </c>
      <c r="AE18" s="304">
        <f t="shared" si="15"/>
        <v>0.6</v>
      </c>
      <c r="AF18" s="177">
        <f t="shared" si="23"/>
        <v>0.99920455129043417</v>
      </c>
      <c r="AG18" s="799">
        <f t="shared" si="24"/>
        <v>1</v>
      </c>
      <c r="AH18" s="176">
        <f t="shared" si="16"/>
        <v>7</v>
      </c>
      <c r="AI18" s="224">
        <f t="shared" si="17"/>
        <v>1.9992045512904342</v>
      </c>
      <c r="AJ18" s="264" t="b">
        <f t="shared" si="18"/>
        <v>0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'2025'!Wh/'2025'!Env_an*'2026'!Env_an</f>
        <v>14.528815862804764</v>
      </c>
      <c r="C19" s="829"/>
      <c r="D19" s="391">
        <f t="shared" si="0"/>
        <v>15.255314817619439</v>
      </c>
      <c r="E19" s="383">
        <f t="shared" si="1"/>
        <v>15.745272587814577</v>
      </c>
      <c r="F19" s="383">
        <f t="shared" si="2"/>
        <v>15.827835358265817</v>
      </c>
      <c r="G19" s="110">
        <f t="shared" si="21"/>
        <v>0.61584143538906622</v>
      </c>
      <c r="H19" s="412" t="b">
        <f>Wh_hp&gt;='2025'!Maxi_hp</f>
        <v>0</v>
      </c>
      <c r="I19" s="388">
        <f>IF(H19,Wh_hp,'2025'!Maxi_hp)</f>
        <v>15.89891096179743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4.7622678620541481E-2</v>
      </c>
      <c r="M19" s="832"/>
      <c r="N19" s="832"/>
      <c r="O19" s="48">
        <f>IF(t&lt;Tnet,'2025'!Resal+('2025'!Salim-'2025'!Resal)*(1-EXP(('2025'!Tnet-t)/('2025'!Tau_j))),Resal+(Salim-Resal)*(1-EXP((Tnet-t)/(Tau_j))))*Salcycl</f>
        <v>3.1117769950475174E-2</v>
      </c>
      <c r="P19" s="169">
        <f>(INDEX(Models!$BJ19:$BT19,,T19)*(1-R19)+INDEX(Models!$BJ19:$BT19,,T19+1)*R19-ERP_i)*Q19*Ramure*Pc/MaxiM</f>
        <v>1.1421126477112131E-2</v>
      </c>
      <c r="Q19" s="304">
        <f t="shared" si="4"/>
        <v>0.6</v>
      </c>
      <c r="R19" s="177">
        <f t="shared" si="5"/>
        <v>0.99923758682299568</v>
      </c>
      <c r="S19" s="799">
        <f t="shared" si="6"/>
        <v>1</v>
      </c>
      <c r="T19" s="176">
        <f t="shared" si="7"/>
        <v>7</v>
      </c>
      <c r="U19" s="250">
        <f t="shared" si="8"/>
        <v>1.9992375868229957</v>
      </c>
      <c r="V19" s="382">
        <f t="shared" si="9"/>
        <v>23.444662169573313</v>
      </c>
      <c r="W19" s="400">
        <f t="shared" si="10"/>
        <v>14.528815862804764</v>
      </c>
      <c r="X19" s="157">
        <f t="shared" si="11"/>
        <v>46027</v>
      </c>
      <c r="Y19" s="383">
        <f t="shared" si="12"/>
        <v>13.9037482117433</v>
      </c>
      <c r="Z19" s="383">
        <f t="shared" si="22"/>
        <v>14.598991281737575</v>
      </c>
      <c r="AA19" s="384">
        <f t="shared" si="13"/>
        <v>15.745272587814577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7.2801617100241203E-2</v>
      </c>
      <c r="AD19" s="230">
        <f>(INDEX(Models!$BJ19:$BT19,,AH19)*(1-AF19)+INDEX(Models!$BJ19:$BT19,,AH19+1)*AF19-ERP_i)*AE19*Ramure*Pc/MaxiM</f>
        <v>1.1421126477112131E-2</v>
      </c>
      <c r="AE19" s="304">
        <f t="shared" si="15"/>
        <v>0.6</v>
      </c>
      <c r="AF19" s="177">
        <f t="shared" si="23"/>
        <v>0.99923758682299568</v>
      </c>
      <c r="AG19" s="799">
        <f t="shared" si="24"/>
        <v>1</v>
      </c>
      <c r="AH19" s="176">
        <f t="shared" si="16"/>
        <v>7</v>
      </c>
      <c r="AI19" s="224">
        <f t="shared" si="17"/>
        <v>1.9992375868229957</v>
      </c>
      <c r="AJ19" s="264" t="b">
        <f t="shared" si="18"/>
        <v>0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'2025'!Wh/'2025'!Env_an*'2026'!Env_an</f>
        <v>20.848630220639983</v>
      </c>
      <c r="C20" s="829"/>
      <c r="D20" s="391">
        <f t="shared" si="0"/>
        <v>21.891564739635889</v>
      </c>
      <c r="E20" s="383">
        <f t="shared" si="1"/>
        <v>22.596526958518222</v>
      </c>
      <c r="F20" s="383">
        <f t="shared" si="2"/>
        <v>22.811341292648194</v>
      </c>
      <c r="G20" s="110">
        <f t="shared" si="21"/>
        <v>0.88093422078256234</v>
      </c>
      <c r="H20" s="412" t="b">
        <f>Wh_hp&gt;='2025'!Maxi_hp</f>
        <v>0</v>
      </c>
      <c r="I20" s="388">
        <f>IF(H20,Wh_hp,'2025'!Maxi_hp)</f>
        <v>25.97684931198668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4.7640930714633489E-2</v>
      </c>
      <c r="M20" s="832"/>
      <c r="N20" s="832"/>
      <c r="O20" s="48">
        <f>IF(t&lt;Tnet,'2025'!Resal+('2025'!Salim-'2025'!Resal)*(1-EXP(('2025'!Tnet-t)/('2025'!Tau_j))),Resal+(Salim-Resal)*(1-EXP((Tnet-t)/(Tau_j))))*Salcycl</f>
        <v>3.1197812839843662E-2</v>
      </c>
      <c r="P20" s="169">
        <f>(INDEX(Models!$BJ20:$BT20,,T20)*(1-R20)+INDEX(Models!$BJ20:$BT20,,T20+1)*R20-ERP_i)*Q20*Ramure*Pc/MaxiM</f>
        <v>1.1314142717451086E-2</v>
      </c>
      <c r="Q20" s="304">
        <f t="shared" si="4"/>
        <v>0.6</v>
      </c>
      <c r="R20" s="177">
        <f t="shared" si="5"/>
        <v>0.99927200361974644</v>
      </c>
      <c r="S20" s="799">
        <f t="shared" si="6"/>
        <v>1</v>
      </c>
      <c r="T20" s="176">
        <f t="shared" si="7"/>
        <v>7</v>
      </c>
      <c r="U20" s="250">
        <f t="shared" si="8"/>
        <v>1.9992720036197464</v>
      </c>
      <c r="V20" s="382">
        <f t="shared" si="9"/>
        <v>23.621174920155237</v>
      </c>
      <c r="W20" s="400">
        <f t="shared" si="10"/>
        <v>20.848630220639983</v>
      </c>
      <c r="X20" s="157">
        <f t="shared" si="11"/>
        <v>46028</v>
      </c>
      <c r="Y20" s="383">
        <f t="shared" si="12"/>
        <v>19.952543582079198</v>
      </c>
      <c r="Z20" s="383">
        <f t="shared" si="22"/>
        <v>20.950652149562913</v>
      </c>
      <c r="AA20" s="384">
        <f t="shared" si="13"/>
        <v>22.596526958518222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7.2837512241449257E-2</v>
      </c>
      <c r="AD20" s="230">
        <f>(INDEX(Models!$BJ20:$BT20,,AH20)*(1-AF20)+INDEX(Models!$BJ20:$BT20,,AH20+1)*AF20-ERP_i)*AE20*Ramure*Pc/MaxiM</f>
        <v>1.1314142717451086E-2</v>
      </c>
      <c r="AE20" s="304">
        <f t="shared" si="15"/>
        <v>0.6</v>
      </c>
      <c r="AF20" s="177">
        <f t="shared" si="23"/>
        <v>0.99927200361974644</v>
      </c>
      <c r="AG20" s="799">
        <f t="shared" si="24"/>
        <v>1</v>
      </c>
      <c r="AH20" s="176">
        <f t="shared" si="16"/>
        <v>7</v>
      </c>
      <c r="AI20" s="224">
        <f t="shared" si="17"/>
        <v>1.9992720036197464</v>
      </c>
      <c r="AJ20" s="264" t="b">
        <f t="shared" si="18"/>
        <v>0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'2025'!Wh/'2025'!Env_an*'2026'!Env_an</f>
        <v>10.223503420976337</v>
      </c>
      <c r="C21" s="829"/>
      <c r="D21" s="391">
        <f t="shared" si="0"/>
        <v>10.735130987426597</v>
      </c>
      <c r="E21" s="383">
        <f t="shared" si="1"/>
        <v>11.081743704873618</v>
      </c>
      <c r="F21" s="383">
        <f t="shared" si="2"/>
        <v>11.10474347613426</v>
      </c>
      <c r="G21" s="110">
        <f t="shared" si="21"/>
        <v>0.42553634193962037</v>
      </c>
      <c r="H21" s="412" t="b">
        <f>Wh_hp&gt;='2025'!Maxi_hp</f>
        <v>0</v>
      </c>
      <c r="I21" s="388">
        <f>IF(H21,Wh_hp,'2025'!Maxi_hp)</f>
        <v>15.082360291680677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4.7659182458928306E-2</v>
      </c>
      <c r="M21" s="832"/>
      <c r="N21" s="832"/>
      <c r="O21" s="48">
        <f>IF(t&lt;Tnet,'2025'!Resal+('2025'!Salim-'2025'!Resal)*(1-EXP(('2025'!Tnet-t)/('2025'!Tau_j))),Resal+(Salim-Resal)*(1-EXP((Tnet-t)/(Tau_j))))*Salcycl</f>
        <v>3.1277813914301747E-2</v>
      </c>
      <c r="P21" s="169">
        <f>(INDEX(Models!$BJ21:$BT21,,T21)*(1-R21)+INDEX(Models!$BJ21:$BT21,,T21+1)*R21-ERP_i)*Q21*Ramure*Pc/MaxiM</f>
        <v>1.1198574659261631E-2</v>
      </c>
      <c r="Q21" s="304">
        <f t="shared" si="4"/>
        <v>0.6</v>
      </c>
      <c r="R21" s="177">
        <f t="shared" si="5"/>
        <v>0.99930785923080956</v>
      </c>
      <c r="S21" s="799">
        <f t="shared" si="6"/>
        <v>1</v>
      </c>
      <c r="T21" s="176">
        <f t="shared" si="7"/>
        <v>7</v>
      </c>
      <c r="U21" s="250">
        <f t="shared" si="8"/>
        <v>1.9993078592308096</v>
      </c>
      <c r="V21" s="382">
        <f t="shared" si="9"/>
        <v>23.805242144134301</v>
      </c>
      <c r="W21" s="400">
        <f t="shared" si="10"/>
        <v>10.223503420976337</v>
      </c>
      <c r="X21" s="157">
        <f t="shared" si="11"/>
        <v>46029</v>
      </c>
      <c r="Y21" s="383">
        <f t="shared" si="12"/>
        <v>9.7845195900965152</v>
      </c>
      <c r="Z21" s="383">
        <f t="shared" si="22"/>
        <v>10.274178539737468</v>
      </c>
      <c r="AA21" s="384">
        <f t="shared" si="13"/>
        <v>11.081743704873618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7.2873474305401323E-2</v>
      </c>
      <c r="AD21" s="230">
        <f>(INDEX(Models!$BJ21:$BT21,,AH21)*(1-AF21)+INDEX(Models!$BJ21:$BT21,,AH21+1)*AF21-ERP_i)*AE21*Ramure*Pc/MaxiM</f>
        <v>1.1198574659261631E-2</v>
      </c>
      <c r="AE21" s="304">
        <f t="shared" si="15"/>
        <v>0.6</v>
      </c>
      <c r="AF21" s="177">
        <f t="shared" si="23"/>
        <v>0.99930785923080956</v>
      </c>
      <c r="AG21" s="799">
        <f t="shared" si="24"/>
        <v>1</v>
      </c>
      <c r="AH21" s="176">
        <f t="shared" si="16"/>
        <v>7</v>
      </c>
      <c r="AI21" s="224">
        <f t="shared" si="17"/>
        <v>1.9993078592308096</v>
      </c>
      <c r="AJ21" s="264" t="b">
        <f t="shared" si="18"/>
        <v>0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'2025'!Wh/'2025'!Env_an*'2026'!Env_an</f>
        <v>7.2759522511459336</v>
      </c>
      <c r="C22" s="829"/>
      <c r="D22" s="391">
        <f t="shared" si="0"/>
        <v>7.6402182514554919</v>
      </c>
      <c r="E22" s="383">
        <f t="shared" si="1"/>
        <v>7.8875543660699705</v>
      </c>
      <c r="F22" s="383">
        <f t="shared" si="2"/>
        <v>7.8879550039577193</v>
      </c>
      <c r="G22" s="110">
        <f t="shared" si="21"/>
        <v>0.29986751483260188</v>
      </c>
      <c r="H22" s="412" t="b">
        <f>Wh_hp&gt;='2025'!Maxi_hp</f>
        <v>0</v>
      </c>
      <c r="I22" s="388">
        <f>IF(H22,Wh_hp,'2025'!Maxi_hp)</f>
        <v>20.347217475948305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4.7677433853432705E-2</v>
      </c>
      <c r="M22" s="832"/>
      <c r="N22" s="832"/>
      <c r="O22" s="48">
        <f>IF(t&lt;Tnet,'2025'!Resal+('2025'!Salim-'2025'!Resal)*(1-EXP(('2025'!Tnet-t)/('2025'!Tau_j))),Resal+(Salim-Resal)*(1-EXP((Tnet-t)/(Tau_j))))*Salcycl</f>
        <v>3.1357769865707479E-2</v>
      </c>
      <c r="P22" s="169">
        <f>(INDEX(Models!$BJ22:$BT22,,T22)*(1-R22)+INDEX(Models!$BJ22:$BT22,,T22+1)*R22-ERP_i)*Q22*Ramure*Pc/MaxiM</f>
        <v>1.1074888952110526E-2</v>
      </c>
      <c r="Q22" s="304">
        <f t="shared" si="4"/>
        <v>0.6</v>
      </c>
      <c r="R22" s="177">
        <f t="shared" si="5"/>
        <v>0.99934521358680684</v>
      </c>
      <c r="S22" s="799">
        <f t="shared" si="6"/>
        <v>1</v>
      </c>
      <c r="T22" s="176">
        <f t="shared" si="7"/>
        <v>7</v>
      </c>
      <c r="U22" s="250">
        <f t="shared" si="8"/>
        <v>1.9993452135868068</v>
      </c>
      <c r="V22" s="382">
        <f t="shared" si="9"/>
        <v>23.996388442926886</v>
      </c>
      <c r="W22" s="400">
        <f t="shared" si="10"/>
        <v>7.2759522511459336</v>
      </c>
      <c r="X22" s="157">
        <f t="shared" si="11"/>
        <v>46030</v>
      </c>
      <c r="Y22" s="383">
        <f t="shared" si="12"/>
        <v>6.9638366352316803</v>
      </c>
      <c r="Z22" s="383">
        <f t="shared" si="22"/>
        <v>7.3124767623745566</v>
      </c>
      <c r="AA22" s="384">
        <f t="shared" si="13"/>
        <v>7.8875543660699705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7.2909494756604826E-2</v>
      </c>
      <c r="AD22" s="230">
        <f>(INDEX(Models!$BJ22:$BT22,,AH22)*(1-AF22)+INDEX(Models!$BJ22:$BT22,,AH22+1)*AF22-ERP_i)*AE22*Ramure*Pc/MaxiM</f>
        <v>1.1074888952110526E-2</v>
      </c>
      <c r="AE22" s="304">
        <f t="shared" si="15"/>
        <v>0.6</v>
      </c>
      <c r="AF22" s="177">
        <f t="shared" si="23"/>
        <v>0.99934521358680684</v>
      </c>
      <c r="AG22" s="799">
        <f t="shared" si="24"/>
        <v>1</v>
      </c>
      <c r="AH22" s="176">
        <f t="shared" si="16"/>
        <v>7</v>
      </c>
      <c r="AI22" s="224">
        <f t="shared" si="17"/>
        <v>1.9993452135868068</v>
      </c>
      <c r="AJ22" s="264" t="b">
        <f t="shared" si="18"/>
        <v>0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'2025'!Wh/'2025'!Env_an*'2026'!Env_an</f>
        <v>2.1722399946327364</v>
      </c>
      <c r="C23" s="829"/>
      <c r="D23" s="391">
        <f t="shared" si="0"/>
        <v>2.2810355473401587</v>
      </c>
      <c r="E23" s="383">
        <f t="shared" si="1"/>
        <v>2.3550735929352515</v>
      </c>
      <c r="F23" s="383">
        <f t="shared" si="2"/>
        <v>2.3550735929352515</v>
      </c>
      <c r="G23" s="110">
        <f t="shared" si="21"/>
        <v>8.879042947059658E-2</v>
      </c>
      <c r="H23" s="412" t="b">
        <f>Wh_hp&gt;='2025'!Maxi_hp</f>
        <v>0</v>
      </c>
      <c r="I23" s="388">
        <f>IF(H23,Wh_hp,'2025'!Maxi_hp)</f>
        <v>25.649292652260151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4.7695684898153123E-2</v>
      </c>
      <c r="M23" s="832"/>
      <c r="N23" s="832"/>
      <c r="O23" s="48">
        <f>IF(t&lt;Tnet,'2025'!Resal+('2025'!Salim-'2025'!Resal)*(1-EXP(('2025'!Tnet-t)/('2025'!Tau_j))),Resal+(Salim-Resal)*(1-EXP((Tnet-t)/(Tau_j))))*Salcycl</f>
        <v>3.1437678133367966E-2</v>
      </c>
      <c r="P23" s="169">
        <f>(INDEX(Models!$BJ23:$BT23,,T23)*(1-R23)+INDEX(Models!$BJ23:$BT23,,T23+1)*R23-ERP_i)*Q23*Ramure*Pc/MaxiM</f>
        <v>1.0942223038757403E-2</v>
      </c>
      <c r="Q23" s="304">
        <f t="shared" si="4"/>
        <v>0.6</v>
      </c>
      <c r="R23" s="177">
        <f t="shared" si="5"/>
        <v>0.99938412909584184</v>
      </c>
      <c r="S23" s="799">
        <f t="shared" si="6"/>
        <v>1</v>
      </c>
      <c r="T23" s="176">
        <f t="shared" si="7"/>
        <v>7</v>
      </c>
      <c r="U23" s="250">
        <f t="shared" si="8"/>
        <v>1.9993841290958418</v>
      </c>
      <c r="V23" s="382">
        <f t="shared" si="9"/>
        <v>24.197099540207013</v>
      </c>
      <c r="W23" s="400">
        <f t="shared" si="10"/>
        <v>2.1722399946327364</v>
      </c>
      <c r="X23" s="157">
        <f t="shared" si="11"/>
        <v>46031</v>
      </c>
      <c r="Y23" s="383">
        <f t="shared" si="12"/>
        <v>2.0791483122859598</v>
      </c>
      <c r="Z23" s="383">
        <f t="shared" si="22"/>
        <v>2.1832814146847581</v>
      </c>
      <c r="AA23" s="384">
        <f t="shared" si="13"/>
        <v>2.3550735929352515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7.2945566867139808E-2</v>
      </c>
      <c r="AD23" s="230">
        <f>(INDEX(Models!$BJ23:$BT23,,AH23)*(1-AF23)+INDEX(Models!$BJ23:$BT23,,AH23+1)*AF23-ERP_i)*AE23*Ramure*Pc/MaxiM</f>
        <v>1.0942223038757403E-2</v>
      </c>
      <c r="AE23" s="304">
        <f t="shared" si="15"/>
        <v>0.6</v>
      </c>
      <c r="AF23" s="177">
        <f t="shared" si="23"/>
        <v>0.99938412909584184</v>
      </c>
      <c r="AG23" s="799">
        <f t="shared" si="24"/>
        <v>1</v>
      </c>
      <c r="AH23" s="176">
        <f t="shared" si="16"/>
        <v>7</v>
      </c>
      <c r="AI23" s="224">
        <f t="shared" si="17"/>
        <v>1.9993841290958418</v>
      </c>
      <c r="AJ23" s="264" t="b">
        <f t="shared" si="18"/>
        <v>0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'2025'!Wh/'2025'!Env_an*'2026'!Env_an</f>
        <v>1.7814328334292973</v>
      </c>
      <c r="C24" s="829"/>
      <c r="D24" s="391">
        <f t="shared" si="0"/>
        <v>1.8706908564694764</v>
      </c>
      <c r="E24" s="383">
        <f t="shared" si="1"/>
        <v>1.9315691586229555</v>
      </c>
      <c r="F24" s="383">
        <f t="shared" si="2"/>
        <v>1.9315691586229555</v>
      </c>
      <c r="G24" s="110">
        <f t="shared" si="21"/>
        <v>7.2192481081095702E-2</v>
      </c>
      <c r="H24" s="412" t="b">
        <f>Wh_hp&gt;='2025'!Maxi_hp</f>
        <v>0</v>
      </c>
      <c r="I24" s="388">
        <f>IF(H24,Wh_hp,'2025'!Maxi_hp)</f>
        <v>9.0351524420219071</v>
      </c>
      <c r="J24" s="85">
        <f>IF(H24,An,'2025'!An_max)</f>
        <v>2020</v>
      </c>
      <c r="K24" s="197">
        <f t="shared" si="3"/>
        <v>46032</v>
      </c>
      <c r="L24" s="147">
        <f>IF(t&lt;Tvie,1-EXP((T0-t)*PertePVj)+'2025'!Pspv,1-EXP((T0-t)*PertePVj)+Pspv)</f>
        <v>4.7713935593096557E-2</v>
      </c>
      <c r="M24" s="832"/>
      <c r="N24" s="832"/>
      <c r="O24" s="48">
        <f>IF(t&lt;Tnet,'2025'!Resal+('2025'!Salim-'2025'!Resal)*(1-EXP(('2025'!Tnet-t)/('2025'!Tau_j))),Resal+(Salim-Resal)*(1-EXP((Tnet-t)/(Tau_j))))*Salcycl</f>
        <v>3.1517536859451682E-2</v>
      </c>
      <c r="P24" s="169">
        <f>(INDEX(Models!$BJ24:$BT24,,T24)*(1-R24)+INDEX(Models!$BJ24:$BT24,,T24+1)*R24-ERP_i)*Q24*Ramure*Pc/MaxiM</f>
        <v>1.0800939415249903E-2</v>
      </c>
      <c r="Q24" s="304">
        <f t="shared" si="4"/>
        <v>0.6</v>
      </c>
      <c r="R24" s="177">
        <f t="shared" si="5"/>
        <v>0.99942467074431152</v>
      </c>
      <c r="S24" s="799">
        <f t="shared" si="6"/>
        <v>1</v>
      </c>
      <c r="T24" s="176">
        <f t="shared" si="7"/>
        <v>7</v>
      </c>
      <c r="U24" s="250">
        <f t="shared" si="8"/>
        <v>1.9994246707443115</v>
      </c>
      <c r="V24" s="382">
        <f t="shared" si="9"/>
        <v>24.409629076795053</v>
      </c>
      <c r="W24" s="400">
        <f t="shared" si="10"/>
        <v>1.7814328334292973</v>
      </c>
      <c r="X24" s="157">
        <f t="shared" si="11"/>
        <v>46032</v>
      </c>
      <c r="Y24" s="383">
        <f t="shared" si="12"/>
        <v>1.7051634131989506</v>
      </c>
      <c r="Z24" s="383">
        <f t="shared" si="22"/>
        <v>1.7905999855841104</v>
      </c>
      <c r="AA24" s="384">
        <f t="shared" si="13"/>
        <v>1.9315691586229555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7.2981685594599235E-2</v>
      </c>
      <c r="AD24" s="230">
        <f>(INDEX(Models!$BJ24:$BT24,,AH24)*(1-AF24)+INDEX(Models!$BJ24:$BT24,,AH24+1)*AF24-ERP_i)*AE24*Ramure*Pc/MaxiM</f>
        <v>1.0800939415249903E-2</v>
      </c>
      <c r="AE24" s="304">
        <f t="shared" si="15"/>
        <v>0.6</v>
      </c>
      <c r="AF24" s="177">
        <f t="shared" si="23"/>
        <v>0.99942467074431152</v>
      </c>
      <c r="AG24" s="799">
        <f t="shared" si="24"/>
        <v>1</v>
      </c>
      <c r="AH24" s="176">
        <f t="shared" si="16"/>
        <v>7</v>
      </c>
      <c r="AI24" s="224">
        <f t="shared" si="17"/>
        <v>1.9994246707443115</v>
      </c>
      <c r="AJ24" s="264" t="b">
        <f t="shared" si="18"/>
        <v>0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'2025'!Wh/'2025'!Env_an*'2026'!Env_an</f>
        <v>24.97304660066823</v>
      </c>
      <c r="C25" s="829"/>
      <c r="D25" s="391">
        <f t="shared" si="0"/>
        <v>26.224814313685666</v>
      </c>
      <c r="E25" s="383">
        <f t="shared" si="1"/>
        <v>27.08048576067981</v>
      </c>
      <c r="F25" s="383">
        <f t="shared" si="2"/>
        <v>27.372177107233071</v>
      </c>
      <c r="G25" s="110">
        <f t="shared" si="21"/>
        <v>1.0138014686256269</v>
      </c>
      <c r="H25" s="412" t="b">
        <f>Wh_hp&gt;='2025'!Maxi_hp</f>
        <v>1</v>
      </c>
      <c r="I25" s="388">
        <f>IF(H25,Wh_hp,'2025'!Maxi_hp)</f>
        <v>27.372177107233071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4.7732185938269556E-2</v>
      </c>
      <c r="M25" s="832"/>
      <c r="N25" s="832"/>
      <c r="O25" s="48">
        <f>IF(t&lt;Tnet,'2025'!Resal+('2025'!Salim-'2025'!Resal)*(1-EXP(('2025'!Tnet-t)/('2025'!Tau_j))),Resal+(Salim-Resal)*(1-EXP((Tnet-t)/(Tau_j))))*Salcycl</f>
        <v>3.1597344839233189E-2</v>
      </c>
      <c r="P25" s="169">
        <f>(INDEX(Models!$BJ25:$BT25,,T25)*(1-R25)+INDEX(Models!$BJ25:$BT25,,T25+1)*R25-ERP_i)*Q25*Ramure*Pc/MaxiM</f>
        <v>1.0656490545510187E-2</v>
      </c>
      <c r="Q25" s="304">
        <f t="shared" si="4"/>
        <v>0.6</v>
      </c>
      <c r="R25" s="177">
        <f t="shared" si="5"/>
        <v>0.99946690620167744</v>
      </c>
      <c r="S25" s="799">
        <f t="shared" si="6"/>
        <v>1</v>
      </c>
      <c r="T25" s="176">
        <f t="shared" si="7"/>
        <v>7</v>
      </c>
      <c r="U25" s="250">
        <f t="shared" si="8"/>
        <v>1.9994669062016774</v>
      </c>
      <c r="V25" s="382">
        <f t="shared" si="9"/>
        <v>24.633074002667662</v>
      </c>
      <c r="W25" s="400">
        <f t="shared" si="10"/>
        <v>24.97304660066823</v>
      </c>
      <c r="X25" s="157">
        <f t="shared" si="11"/>
        <v>46033</v>
      </c>
      <c r="Y25" s="383">
        <f t="shared" si="12"/>
        <v>23.904899857780219</v>
      </c>
      <c r="Z25" s="383">
        <f t="shared" si="22"/>
        <v>25.10312698254295</v>
      </c>
      <c r="AA25" s="384">
        <f t="shared" si="13"/>
        <v>27.08048576067981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7.3017847449691392E-2</v>
      </c>
      <c r="AD25" s="230">
        <f>(INDEX(Models!$BJ25:$BT25,,AH25)*(1-AF25)+INDEX(Models!$BJ25:$BT25,,AH25+1)*AF25-ERP_i)*AE25*Ramure*Pc/MaxiM</f>
        <v>1.0656490545510187E-2</v>
      </c>
      <c r="AE25" s="304">
        <f t="shared" si="15"/>
        <v>0.6</v>
      </c>
      <c r="AF25" s="177">
        <f t="shared" si="23"/>
        <v>0.99946690620167744</v>
      </c>
      <c r="AG25" s="799">
        <f t="shared" si="24"/>
        <v>1</v>
      </c>
      <c r="AH25" s="176">
        <f t="shared" si="16"/>
        <v>7</v>
      </c>
      <c r="AI25" s="224">
        <f t="shared" si="17"/>
        <v>1.9994669062016774</v>
      </c>
      <c r="AJ25" s="264" t="b">
        <f t="shared" si="18"/>
        <v>0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'2025'!Wh/'2025'!Env_an*'2026'!Env_an</f>
        <v>21.709321358719322</v>
      </c>
      <c r="C26" s="829"/>
      <c r="D26" s="391">
        <f t="shared" si="0"/>
        <v>22.79793257769067</v>
      </c>
      <c r="E26" s="383">
        <f t="shared" si="1"/>
        <v>23.543729692053677</v>
      </c>
      <c r="F26" s="383">
        <f t="shared" si="2"/>
        <v>23.748038203750674</v>
      </c>
      <c r="G26" s="110">
        <f t="shared" si="21"/>
        <v>0.87135094429989501</v>
      </c>
      <c r="H26" s="412" t="b">
        <f>Wh_hp&gt;='2025'!Maxi_hp</f>
        <v>0</v>
      </c>
      <c r="I26" s="388">
        <f>IF(H26,Wh_hp,'2025'!Maxi_hp)</f>
        <v>27.37093962937724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4.7750435933678892E-2</v>
      </c>
      <c r="M26" s="832"/>
      <c r="N26" s="832"/>
      <c r="O26" s="48">
        <f>IF(t&lt;Tnet,'2025'!Resal+('2025'!Salim-'2025'!Resal)*(1-EXP(('2025'!Tnet-t)/('2025'!Tau_j))),Resal+(Salim-Resal)*(1-EXP((Tnet-t)/(Tau_j))))*Salcycl</f>
        <v>3.1677101466838629E-2</v>
      </c>
      <c r="P26" s="169">
        <f>(INDEX(Models!$BJ26:$BT26,,T26)*(1-R26)+INDEX(Models!$BJ26:$BT26,,T26+1)*R26-ERP_i)*Q26*Ramure*Pc/MaxiM</f>
        <v>1.050944286930105E-2</v>
      </c>
      <c r="Q26" s="304">
        <f t="shared" si="4"/>
        <v>0.6</v>
      </c>
      <c r="R26" s="177">
        <f t="shared" si="5"/>
        <v>0.99951090592934855</v>
      </c>
      <c r="S26" s="799">
        <f t="shared" si="6"/>
        <v>1</v>
      </c>
      <c r="T26" s="176">
        <f t="shared" si="7"/>
        <v>7</v>
      </c>
      <c r="U26" s="250">
        <f t="shared" si="8"/>
        <v>1.9995109059293485</v>
      </c>
      <c r="V26" s="382">
        <f t="shared" si="9"/>
        <v>24.866649404189918</v>
      </c>
      <c r="W26" s="400">
        <f t="shared" si="10"/>
        <v>21.709321358719322</v>
      </c>
      <c r="X26" s="157">
        <f t="shared" si="11"/>
        <v>46034</v>
      </c>
      <c r="Y26" s="383">
        <f t="shared" si="12"/>
        <v>20.781670590962985</v>
      </c>
      <c r="Z26" s="383">
        <f t="shared" si="22"/>
        <v>21.823764877581617</v>
      </c>
      <c r="AA26" s="384">
        <f t="shared" si="13"/>
        <v>23.543729692053677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7.3054050355180949E-2</v>
      </c>
      <c r="AD26" s="230">
        <f>(INDEX(Models!$BJ26:$BT26,,AH26)*(1-AF26)+INDEX(Models!$BJ26:$BT26,,AH26+1)*AF26-ERP_i)*AE26*Ramure*Pc/MaxiM</f>
        <v>1.050944286930105E-2</v>
      </c>
      <c r="AE26" s="304">
        <f t="shared" si="15"/>
        <v>0.6</v>
      </c>
      <c r="AF26" s="177">
        <f t="shared" si="23"/>
        <v>0.99951090592934855</v>
      </c>
      <c r="AG26" s="799">
        <f t="shared" si="24"/>
        <v>1</v>
      </c>
      <c r="AH26" s="176">
        <f t="shared" si="16"/>
        <v>7</v>
      </c>
      <c r="AI26" s="224">
        <f t="shared" si="17"/>
        <v>1.9995109059293485</v>
      </c>
      <c r="AJ26" s="264" t="b">
        <f t="shared" si="18"/>
        <v>0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'2025'!Wh/'2025'!Env_an*'2026'!Env_an</f>
        <v>5.5652923203139073</v>
      </c>
      <c r="C27" s="829"/>
      <c r="D27" s="391">
        <f t="shared" si="0"/>
        <v>5.8444752194479062</v>
      </c>
      <c r="E27" s="383">
        <f t="shared" si="1"/>
        <v>6.0361645294824022</v>
      </c>
      <c r="F27" s="383">
        <f t="shared" si="2"/>
        <v>6.0361645294824022</v>
      </c>
      <c r="G27" s="110">
        <f t="shared" si="21"/>
        <v>0.21934401525399003</v>
      </c>
      <c r="H27" s="412" t="b">
        <f>Wh_hp&gt;='2025'!Maxi_hp</f>
        <v>0</v>
      </c>
      <c r="I27" s="388">
        <f>IF(H27,Wh_hp,'2025'!Maxi_hp)</f>
        <v>16.17097757884445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4.7768685579331116E-2</v>
      </c>
      <c r="M27" s="832"/>
      <c r="N27" s="832"/>
      <c r="O27" s="48">
        <f>IF(t&lt;Tnet,'2025'!Resal+('2025'!Salim-'2025'!Resal)*(1-EXP(('2025'!Tnet-t)/('2025'!Tau_j))),Resal+(Salim-Resal)*(1-EXP((Tnet-t)/(Tau_j))))*Salcycl</f>
        <v>3.1756806677191898E-2</v>
      </c>
      <c r="P27" s="169">
        <f>(INDEX(Models!$BJ27:$BT27,,T27)*(1-R27)+INDEX(Models!$BJ27:$BT27,,T27+1)*R27-ERP_i)*Q27*Ramure*Pc/MaxiM</f>
        <v>1.0360334664306196E-2</v>
      </c>
      <c r="Q27" s="304">
        <f t="shared" si="4"/>
        <v>0.6</v>
      </c>
      <c r="R27" s="177">
        <f t="shared" si="5"/>
        <v>0.99955674329381772</v>
      </c>
      <c r="S27" s="799">
        <f t="shared" si="6"/>
        <v>1</v>
      </c>
      <c r="T27" s="176">
        <f t="shared" si="7"/>
        <v>7</v>
      </c>
      <c r="U27" s="250">
        <f t="shared" si="8"/>
        <v>1.9995567432938177</v>
      </c>
      <c r="V27" s="382">
        <f t="shared" si="9"/>
        <v>25.109570566551277</v>
      </c>
      <c r="W27" s="400">
        <f t="shared" si="10"/>
        <v>5.5652923203139073</v>
      </c>
      <c r="X27" s="157">
        <f t="shared" si="11"/>
        <v>46035</v>
      </c>
      <c r="Y27" s="383">
        <f t="shared" si="12"/>
        <v>5.3277146762247183</v>
      </c>
      <c r="Z27" s="383">
        <f t="shared" si="22"/>
        <v>5.5949794924209817</v>
      </c>
      <c r="AA27" s="384">
        <f t="shared" si="13"/>
        <v>6.0361645294824022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7.3090293497889786E-2</v>
      </c>
      <c r="AD27" s="230">
        <f>(INDEX(Models!$BJ27:$BT27,,AH27)*(1-AF27)+INDEX(Models!$BJ27:$BT27,,AH27+1)*AF27-ERP_i)*AE27*Ramure*Pc/MaxiM</f>
        <v>1.0360334664306196E-2</v>
      </c>
      <c r="AE27" s="304">
        <f t="shared" si="15"/>
        <v>0.6</v>
      </c>
      <c r="AF27" s="177">
        <f t="shared" si="23"/>
        <v>0.99955674329381772</v>
      </c>
      <c r="AG27" s="799">
        <f t="shared" si="24"/>
        <v>1</v>
      </c>
      <c r="AH27" s="176">
        <f t="shared" si="16"/>
        <v>7</v>
      </c>
      <c r="AI27" s="224">
        <f t="shared" si="17"/>
        <v>1.9995567432938177</v>
      </c>
      <c r="AJ27" s="264" t="b">
        <f t="shared" si="18"/>
        <v>0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'2025'!Wh/'2025'!Env_an*'2026'!Env_an</f>
        <v>26.411730278164889</v>
      </c>
      <c r="C28" s="829"/>
      <c r="D28" s="391">
        <f t="shared" si="0"/>
        <v>27.737206351715205</v>
      </c>
      <c r="E28" s="383">
        <f t="shared" si="1"/>
        <v>28.649298626827594</v>
      </c>
      <c r="F28" s="383">
        <f t="shared" si="2"/>
        <v>28.944815761904703</v>
      </c>
      <c r="G28" s="110">
        <f t="shared" si="21"/>
        <v>1.0414287719294832</v>
      </c>
      <c r="H28" s="412" t="b">
        <f>Wh_hp&gt;='2025'!Maxi_hp</f>
        <v>1</v>
      </c>
      <c r="I28" s="388">
        <f>IF(H28,Wh_hp,'2025'!Maxi_hp)</f>
        <v>28.944815761904703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4.7786934875233111E-2</v>
      </c>
      <c r="M28" s="832"/>
      <c r="N28" s="832"/>
      <c r="O28" s="48">
        <f>IF(t&lt;Tnet,'2025'!Resal+('2025'!Salim-'2025'!Resal)*(1-EXP(('2025'!Tnet-t)/('2025'!Tau_j))),Resal+(Salim-Resal)*(1-EXP((Tnet-t)/(Tau_j))))*Salcycl</f>
        <v>3.1836460884885162E-2</v>
      </c>
      <c r="P28" s="169">
        <f>(INDEX(Models!$BJ28:$BT28,,T28)*(1-R28)+INDEX(Models!$BJ28:$BT28,,T28+1)*R28-ERP_i)*Q28*Ramure*Pc/MaxiM</f>
        <v>1.0209674074555645E-2</v>
      </c>
      <c r="Q28" s="304">
        <f t="shared" si="4"/>
        <v>0.6</v>
      </c>
      <c r="R28" s="177">
        <f t="shared" si="5"/>
        <v>0.99960449468420731</v>
      </c>
      <c r="S28" s="799">
        <f t="shared" si="6"/>
        <v>1</v>
      </c>
      <c r="T28" s="176">
        <f t="shared" si="7"/>
        <v>7</v>
      </c>
      <c r="U28" s="250">
        <f t="shared" si="8"/>
        <v>1.9996044946842073</v>
      </c>
      <c r="V28" s="382">
        <f t="shared" si="9"/>
        <v>25.361052997634356</v>
      </c>
      <c r="W28" s="400">
        <f t="shared" si="10"/>
        <v>26.411730278164889</v>
      </c>
      <c r="X28" s="157">
        <f t="shared" si="11"/>
        <v>46036</v>
      </c>
      <c r="Y28" s="383">
        <f t="shared" si="12"/>
        <v>25.285326142331993</v>
      </c>
      <c r="Z28" s="383">
        <f t="shared" si="22"/>
        <v>26.554273479768835</v>
      </c>
      <c r="AA28" s="384">
        <f t="shared" si="13"/>
        <v>28.649298626827594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7.3126577175503651E-2</v>
      </c>
      <c r="AD28" s="230">
        <f>(INDEX(Models!$BJ28:$BT28,,AH28)*(1-AF28)+INDEX(Models!$BJ28:$BT28,,AH28+1)*AF28-ERP_i)*AE28*Ramure*Pc/MaxiM</f>
        <v>1.0209674074555645E-2</v>
      </c>
      <c r="AE28" s="304">
        <f t="shared" si="15"/>
        <v>0.6</v>
      </c>
      <c r="AF28" s="177">
        <f t="shared" si="23"/>
        <v>0.99960449468420731</v>
      </c>
      <c r="AG28" s="799">
        <f t="shared" si="24"/>
        <v>1</v>
      </c>
      <c r="AH28" s="176">
        <f t="shared" si="16"/>
        <v>7</v>
      </c>
      <c r="AI28" s="224">
        <f t="shared" si="17"/>
        <v>1.9996044946842073</v>
      </c>
      <c r="AJ28" s="264" t="b">
        <f t="shared" si="18"/>
        <v>0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'2025'!Wh/'2025'!Env_an*'2026'!Env_an</f>
        <v>26.723385939812438</v>
      </c>
      <c r="C29" s="829"/>
      <c r="D29" s="391">
        <f t="shared" si="0"/>
        <v>28.065040352834462</v>
      </c>
      <c r="E29" s="383">
        <f t="shared" si="1"/>
        <v>28.990296539251965</v>
      </c>
      <c r="F29" s="383">
        <f t="shared" si="2"/>
        <v>29.284841653101804</v>
      </c>
      <c r="G29" s="110">
        <f t="shared" si="21"/>
        <v>1.0430546469739896</v>
      </c>
      <c r="H29" s="412" t="b">
        <f>Wh_hp&gt;='2025'!Maxi_hp</f>
        <v>1</v>
      </c>
      <c r="I29" s="388">
        <f>IF(H29,Wh_hp,'2025'!Maxi_hp)</f>
        <v>29.284841653101804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4.7805183821391539E-2</v>
      </c>
      <c r="M29" s="832"/>
      <c r="N29" s="832"/>
      <c r="O29" s="48">
        <f>IF(t&lt;Tnet,'2025'!Resal+('2025'!Salim-'2025'!Resal)*(1-EXP(('2025'!Tnet-t)/('2025'!Tau_j))),Resal+(Salim-Resal)*(1-EXP((Tnet-t)/(Tau_j))))*Salcycl</f>
        <v>3.191606492071352E-2</v>
      </c>
      <c r="P29" s="169">
        <f>(INDEX(Models!$BJ29:$BT29,,T29)*(1-R29)+INDEX(Models!$BJ29:$BT29,,T29+1)*R29-ERP_i)*Q29*Ramure*Pc/MaxiM</f>
        <v>1.0057937732391362E-2</v>
      </c>
      <c r="Q29" s="304">
        <f t="shared" si="4"/>
        <v>0.6</v>
      </c>
      <c r="R29" s="177">
        <f t="shared" si="5"/>
        <v>0.99965423963437949</v>
      </c>
      <c r="S29" s="799">
        <f t="shared" si="6"/>
        <v>1</v>
      </c>
      <c r="T29" s="176">
        <f t="shared" si="7"/>
        <v>7</v>
      </c>
      <c r="U29" s="250">
        <f t="shared" si="8"/>
        <v>1.9996542396343795</v>
      </c>
      <c r="V29" s="382">
        <f t="shared" si="9"/>
        <v>25.620312432660906</v>
      </c>
      <c r="W29" s="400">
        <f t="shared" si="10"/>
        <v>26.723385939812438</v>
      </c>
      <c r="X29" s="157">
        <f t="shared" si="11"/>
        <v>46037</v>
      </c>
      <c r="Y29" s="383">
        <f t="shared" si="12"/>
        <v>25.584791316736247</v>
      </c>
      <c r="Z29" s="383">
        <f t="shared" si="22"/>
        <v>26.869282296047668</v>
      </c>
      <c r="AA29" s="384">
        <f t="shared" si="13"/>
        <v>28.990296539251965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7.3162902639940505E-2</v>
      </c>
      <c r="AD29" s="230">
        <f>(INDEX(Models!$BJ29:$BT29,,AH29)*(1-AF29)+INDEX(Models!$BJ29:$BT29,,AH29+1)*AF29-ERP_i)*AE29*Ramure*Pc/MaxiM</f>
        <v>1.0057937732391362E-2</v>
      </c>
      <c r="AE29" s="304">
        <f t="shared" si="15"/>
        <v>0.6</v>
      </c>
      <c r="AF29" s="177">
        <f t="shared" si="23"/>
        <v>0.99965423963437949</v>
      </c>
      <c r="AG29" s="799">
        <f t="shared" si="24"/>
        <v>1</v>
      </c>
      <c r="AH29" s="176">
        <f t="shared" si="16"/>
        <v>7</v>
      </c>
      <c r="AI29" s="224">
        <f t="shared" si="17"/>
        <v>1.9996542396343795</v>
      </c>
      <c r="AJ29" s="264" t="b">
        <f t="shared" si="18"/>
        <v>0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'2025'!Wh/'2025'!Env_an*'2026'!Env_an</f>
        <v>26.146711359477798</v>
      </c>
      <c r="C30" s="829"/>
      <c r="D30" s="391">
        <f t="shared" si="0"/>
        <v>27.459939941465688</v>
      </c>
      <c r="E30" s="383">
        <f t="shared" si="1"/>
        <v>28.367578192692537</v>
      </c>
      <c r="F30" s="383">
        <f t="shared" si="2"/>
        <v>28.651235386050466</v>
      </c>
      <c r="G30" s="110">
        <f t="shared" si="21"/>
        <v>1.010044152286218</v>
      </c>
      <c r="H30" s="412" t="b">
        <f>Wh_hp&gt;='2025'!Maxi_hp</f>
        <v>1</v>
      </c>
      <c r="I30" s="388">
        <f>IF(H30,Wh_hp,'2025'!Maxi_hp)</f>
        <v>28.651235386050466</v>
      </c>
      <c r="J30" s="85">
        <f>IF(H30,An,'2025'!An_max)</f>
        <v>2026</v>
      </c>
      <c r="K30" s="197">
        <f t="shared" si="3"/>
        <v>46038</v>
      </c>
      <c r="L30" s="147">
        <f>IF(t&lt;Tvie,1-EXP((T0-t)*PertePVj)+'2025'!Pspv,1-EXP((T0-t)*PertePVj)+Pspv)</f>
        <v>4.7823432417813061E-2</v>
      </c>
      <c r="M30" s="832"/>
      <c r="N30" s="832"/>
      <c r="O30" s="48">
        <f>IF(t&lt;Tnet,'2025'!Resal+('2025'!Salim-'2025'!Resal)*(1-EXP(('2025'!Tnet-t)/('2025'!Tau_j))),Resal+(Salim-Resal)*(1-EXP((Tnet-t)/(Tau_j))))*Salcycl</f>
        <v>3.1995619966622965E-2</v>
      </c>
      <c r="P30" s="169">
        <f>(INDEX(Models!$BJ30:$BT30,,T30)*(1-R30)+INDEX(Models!$BJ30:$BT30,,T30+1)*R30-ERP_i)*Q30*Ramure*Pc/MaxiM</f>
        <v>9.9003477349543928E-3</v>
      </c>
      <c r="Q30" s="304">
        <f t="shared" si="4"/>
        <v>0.6</v>
      </c>
      <c r="R30" s="177">
        <f t="shared" si="5"/>
        <v>0.99970606094977277</v>
      </c>
      <c r="S30" s="799">
        <f t="shared" si="6"/>
        <v>1</v>
      </c>
      <c r="T30" s="176">
        <f t="shared" si="7"/>
        <v>7</v>
      </c>
      <c r="U30" s="250">
        <f t="shared" si="8"/>
        <v>1.9997060609497728</v>
      </c>
      <c r="V30" s="382">
        <f t="shared" si="9"/>
        <v>25.886701388543418</v>
      </c>
      <c r="W30" s="400">
        <f t="shared" si="10"/>
        <v>26.146711359477798</v>
      </c>
      <c r="X30" s="157">
        <f t="shared" si="11"/>
        <v>46038</v>
      </c>
      <c r="Y30" s="383">
        <f t="shared" si="12"/>
        <v>25.033761855012017</v>
      </c>
      <c r="Z30" s="383">
        <f t="shared" si="22"/>
        <v>26.291092122313998</v>
      </c>
      <c r="AA30" s="384">
        <f t="shared" si="13"/>
        <v>28.367578192692537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7.3199271939027921E-2</v>
      </c>
      <c r="AD30" s="230">
        <f>(INDEX(Models!$BJ30:$BT30,,AH30)*(1-AF30)+INDEX(Models!$BJ30:$BT30,,AH30+1)*AF30-ERP_i)*AE30*Ramure*Pc/MaxiM</f>
        <v>9.9003477349543928E-3</v>
      </c>
      <c r="AE30" s="304">
        <f t="shared" si="15"/>
        <v>0.6</v>
      </c>
      <c r="AF30" s="177">
        <f t="shared" si="23"/>
        <v>0.99970606094977277</v>
      </c>
      <c r="AG30" s="799">
        <f t="shared" si="24"/>
        <v>1</v>
      </c>
      <c r="AH30" s="176">
        <f t="shared" si="16"/>
        <v>7</v>
      </c>
      <c r="AI30" s="224">
        <f t="shared" si="17"/>
        <v>1.9997060609497728</v>
      </c>
      <c r="AJ30" s="264" t="b">
        <f t="shared" si="18"/>
        <v>0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'2025'!Wh/'2025'!Env_an*'2026'!Env_an</f>
        <v>12.074599427357093</v>
      </c>
      <c r="C31" s="829"/>
      <c r="D31" s="391">
        <f t="shared" si="0"/>
        <v>12.6812938375457</v>
      </c>
      <c r="E31" s="383">
        <f t="shared" si="1"/>
        <v>13.101526985930763</v>
      </c>
      <c r="F31" s="383">
        <f t="shared" si="2"/>
        <v>13.131046956733053</v>
      </c>
      <c r="G31" s="110">
        <f t="shared" si="21"/>
        <v>0.45811249376685292</v>
      </c>
      <c r="H31" s="412" t="b">
        <f>Wh_hp&gt;='2025'!Maxi_hp</f>
        <v>0</v>
      </c>
      <c r="I31" s="388">
        <f>IF(H31,Wh_hp,'2025'!Maxi_hp)</f>
        <v>13.20492175837156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4.7841680664504338E-2</v>
      </c>
      <c r="M31" s="832"/>
      <c r="N31" s="832"/>
      <c r="O31" s="48">
        <f>IF(t&lt;Tnet,'2025'!Resal+('2025'!Salim-'2025'!Resal)*(1-EXP(('2025'!Tnet-t)/('2025'!Tau_j))),Resal+(Salim-Resal)*(1-EXP((Tnet-t)/(Tau_j))))*Salcycl</f>
        <v>3.2075127489821179E-2</v>
      </c>
      <c r="P31" s="169">
        <f>(INDEX(Models!$BJ31:$BT31,,T31)*(1-R31)+INDEX(Models!$BJ31:$BT31,,T31+1)*R31-ERP_i)*Q31*Ramure*Pc/MaxiM</f>
        <v>9.7393978729433239E-3</v>
      </c>
      <c r="Q31" s="304">
        <f t="shared" si="4"/>
        <v>0.6</v>
      </c>
      <c r="R31" s="177">
        <f t="shared" si="5"/>
        <v>0.99976004483912684</v>
      </c>
      <c r="S31" s="799">
        <f t="shared" si="6"/>
        <v>1</v>
      </c>
      <c r="T31" s="176">
        <f t="shared" si="7"/>
        <v>7</v>
      </c>
      <c r="U31" s="250">
        <f t="shared" si="8"/>
        <v>1.9997600448391268</v>
      </c>
      <c r="V31" s="382">
        <f t="shared" si="9"/>
        <v>26.159385345972709</v>
      </c>
      <c r="W31" s="400">
        <f t="shared" si="10"/>
        <v>12.074599427357093</v>
      </c>
      <c r="X31" s="157">
        <f t="shared" si="11"/>
        <v>46039</v>
      </c>
      <c r="Y31" s="383">
        <f t="shared" si="12"/>
        <v>11.561132637153111</v>
      </c>
      <c r="Z31" s="383">
        <f t="shared" si="22"/>
        <v>12.142027646433359</v>
      </c>
      <c r="AA31" s="384">
        <f t="shared" si="13"/>
        <v>13.101526985930763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7.3235687758211168E-2</v>
      </c>
      <c r="AD31" s="230">
        <f>(INDEX(Models!$BJ31:$BT31,,AH31)*(1-AF31)+INDEX(Models!$BJ31:$BT31,,AH31+1)*AF31-ERP_i)*AE31*Ramure*Pc/MaxiM</f>
        <v>9.7393978729433239E-3</v>
      </c>
      <c r="AE31" s="304">
        <f t="shared" si="15"/>
        <v>0.6</v>
      </c>
      <c r="AF31" s="177">
        <f t="shared" si="23"/>
        <v>0.99976004483912684</v>
      </c>
      <c r="AG31" s="799">
        <f t="shared" si="24"/>
        <v>1</v>
      </c>
      <c r="AH31" s="176">
        <f t="shared" si="16"/>
        <v>7</v>
      </c>
      <c r="AI31" s="224">
        <f t="shared" si="17"/>
        <v>1.9997600448391268</v>
      </c>
      <c r="AJ31" s="264" t="b">
        <f t="shared" si="18"/>
        <v>0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'2025'!Wh/'2025'!Env_an*'2026'!Env_an</f>
        <v>3.8361379119563259</v>
      </c>
      <c r="C32" s="829"/>
      <c r="D32" s="391">
        <f t="shared" si="0"/>
        <v>4.0289638331895326</v>
      </c>
      <c r="E32" s="383">
        <f t="shared" si="1"/>
        <v>4.1628175203751621</v>
      </c>
      <c r="F32" s="383">
        <f t="shared" si="2"/>
        <v>4.1628175203751621</v>
      </c>
      <c r="G32" s="110">
        <f t="shared" si="21"/>
        <v>0.1437122685593602</v>
      </c>
      <c r="H32" s="412" t="b">
        <f>Wh_hp&gt;='2025'!Maxi_hp</f>
        <v>0</v>
      </c>
      <c r="I32" s="388">
        <f>IF(H32,Wh_hp,'2025'!Maxi_hp)</f>
        <v>29.066008249734857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4.7859928561472254E-2</v>
      </c>
      <c r="M32" s="832"/>
      <c r="N32" s="832"/>
      <c r="O32" s="48">
        <f>IF(t&lt;Tnet,'2025'!Resal+('2025'!Salim-'2025'!Resal)*(1-EXP(('2025'!Tnet-t)/('2025'!Tau_j))),Resal+(Salim-Resal)*(1-EXP((Tnet-t)/(Tau_j))))*Salcycl</f>
        <v>3.2154589176795374E-2</v>
      </c>
      <c r="P32" s="169">
        <f>(INDEX(Models!$BJ32:$BT32,,T32)*(1-R32)+INDEX(Models!$BJ32:$BT32,,T32+1)*R32-ERP_i)*Q32*Ramure*Pc/MaxiM</f>
        <v>9.5755706374350547E-3</v>
      </c>
      <c r="Q32" s="304">
        <f t="shared" si="4"/>
        <v>0.6</v>
      </c>
      <c r="R32" s="177">
        <f t="shared" si="5"/>
        <v>0.99981628105126852</v>
      </c>
      <c r="S32" s="799">
        <f t="shared" si="6"/>
        <v>1</v>
      </c>
      <c r="T32" s="176">
        <f t="shared" si="7"/>
        <v>7</v>
      </c>
      <c r="U32" s="250">
        <f t="shared" si="8"/>
        <v>1.9998162810512685</v>
      </c>
      <c r="V32" s="382">
        <f t="shared" si="9"/>
        <v>26.437580733311613</v>
      </c>
      <c r="W32" s="400">
        <f t="shared" si="10"/>
        <v>3.8361379119563259</v>
      </c>
      <c r="X32" s="157">
        <f t="shared" si="11"/>
        <v>46040</v>
      </c>
      <c r="Y32" s="383">
        <f t="shared" si="12"/>
        <v>3.6731649364395489</v>
      </c>
      <c r="Z32" s="383">
        <f t="shared" si="22"/>
        <v>3.8577989170122815</v>
      </c>
      <c r="AA32" s="384">
        <f t="shared" si="13"/>
        <v>4.1628175203751621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7.3272153263972989E-2</v>
      </c>
      <c r="AD32" s="230">
        <f>(INDEX(Models!$BJ32:$BT32,,AH32)*(1-AF32)+INDEX(Models!$BJ32:$BT32,,AH32+1)*AF32-ERP_i)*AE32*Ramure*Pc/MaxiM</f>
        <v>9.5755706374350547E-3</v>
      </c>
      <c r="AE32" s="304">
        <f t="shared" si="15"/>
        <v>0.6</v>
      </c>
      <c r="AF32" s="177">
        <f t="shared" si="23"/>
        <v>0.99981628105126852</v>
      </c>
      <c r="AG32" s="799">
        <f t="shared" si="24"/>
        <v>1</v>
      </c>
      <c r="AH32" s="176">
        <f t="shared" si="16"/>
        <v>7</v>
      </c>
      <c r="AI32" s="224">
        <f t="shared" si="17"/>
        <v>1.9998162810512685</v>
      </c>
      <c r="AJ32" s="264" t="b">
        <f t="shared" si="18"/>
        <v>0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'2025'!Wh/'2025'!Env_an*'2026'!Env_an</f>
        <v>10.46774168534496</v>
      </c>
      <c r="C33" s="829"/>
      <c r="D33" s="391">
        <f t="shared" si="0"/>
        <v>10.994120103836918</v>
      </c>
      <c r="E33" s="383">
        <f t="shared" si="1"/>
        <v>11.360308361586524</v>
      </c>
      <c r="F33" s="383">
        <f t="shared" si="2"/>
        <v>11.374336152402178</v>
      </c>
      <c r="G33" s="110">
        <f t="shared" si="21"/>
        <v>0.38854249640939731</v>
      </c>
      <c r="H33" s="412" t="b">
        <f>Wh_hp&gt;='2025'!Maxi_hp</f>
        <v>0</v>
      </c>
      <c r="I33" s="388">
        <f>IF(H33,Wh_hp,'2025'!Maxi_hp)</f>
        <v>30.468754573897851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4.7878176108723247E-2</v>
      </c>
      <c r="M33" s="832"/>
      <c r="N33" s="832"/>
      <c r="O33" s="48">
        <f>IF(t&lt;Tnet,'2025'!Resal+('2025'!Salim-'2025'!Resal)*(1-EXP(('2025'!Tnet-t)/('2025'!Tau_j))),Resal+(Salim-Resal)*(1-EXP((Tnet-t)/(Tau_j))))*Salcycl</f>
        <v>3.2234006867967298E-2</v>
      </c>
      <c r="P33" s="169">
        <f>(INDEX(Models!$BJ33:$BT33,,T33)*(1-R33)+INDEX(Models!$BJ33:$BT33,,T33+1)*R33-ERP_i)*Q33*Ramure*Pc/MaxiM</f>
        <v>9.4093147924938537E-3</v>
      </c>
      <c r="Q33" s="304">
        <f t="shared" si="4"/>
        <v>0.6</v>
      </c>
      <c r="R33" s="177">
        <f t="shared" si="5"/>
        <v>0.99987486301712947</v>
      </c>
      <c r="S33" s="799">
        <f t="shared" si="6"/>
        <v>1</v>
      </c>
      <c r="T33" s="176">
        <f t="shared" si="7"/>
        <v>7</v>
      </c>
      <c r="U33" s="250">
        <f t="shared" si="8"/>
        <v>1.9998748630171295</v>
      </c>
      <c r="V33" s="382">
        <f t="shared" si="9"/>
        <v>26.720504259371147</v>
      </c>
      <c r="W33" s="400">
        <f t="shared" si="10"/>
        <v>10.46774168534496</v>
      </c>
      <c r="X33" s="157">
        <f t="shared" si="11"/>
        <v>46041</v>
      </c>
      <c r="Y33" s="383">
        <f t="shared" si="12"/>
        <v>10.02346177992543</v>
      </c>
      <c r="Z33" s="383">
        <f t="shared" si="22"/>
        <v>10.527499242649451</v>
      </c>
      <c r="AA33" s="384">
        <f t="shared" si="13"/>
        <v>11.360308361586524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7.3308671950588489E-2</v>
      </c>
      <c r="AD33" s="230">
        <f>(INDEX(Models!$BJ33:$BT33,,AH33)*(1-AF33)+INDEX(Models!$BJ33:$BT33,,AH33+1)*AF33-ERP_i)*AE33*Ramure*Pc/MaxiM</f>
        <v>9.4093147924938537E-3</v>
      </c>
      <c r="AE33" s="304">
        <f t="shared" si="15"/>
        <v>0.6</v>
      </c>
      <c r="AF33" s="177">
        <f t="shared" si="23"/>
        <v>0.99987486301712947</v>
      </c>
      <c r="AG33" s="799">
        <f t="shared" si="24"/>
        <v>1</v>
      </c>
      <c r="AH33" s="176">
        <f t="shared" si="16"/>
        <v>7</v>
      </c>
      <c r="AI33" s="224">
        <f t="shared" si="17"/>
        <v>1.9998748630171295</v>
      </c>
      <c r="AJ33" s="264" t="b">
        <f t="shared" si="18"/>
        <v>0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'2025'!Wh/'2025'!Env_an*'2026'!Env_an</f>
        <v>6.5559082696818631</v>
      </c>
      <c r="C34" s="829"/>
      <c r="D34" s="391">
        <f t="shared" si="0"/>
        <v>6.885709107876516</v>
      </c>
      <c r="E34" s="383">
        <f t="shared" si="1"/>
        <v>7.1156394883508369</v>
      </c>
      <c r="F34" s="383">
        <f t="shared" si="2"/>
        <v>7.1156394883508369</v>
      </c>
      <c r="G34" s="110">
        <f t="shared" si="21"/>
        <v>0.24050191202010623</v>
      </c>
      <c r="H34" s="412" t="b">
        <f>Wh_hp&gt;='2025'!Maxi_hp</f>
        <v>0</v>
      </c>
      <c r="I34" s="388">
        <f>IF(H34,Wh_hp,'2025'!Maxi_hp)</f>
        <v>12.26188245483894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4.7896423306264313E-2</v>
      </c>
      <c r="M34" s="832"/>
      <c r="N34" s="832"/>
      <c r="O34" s="48">
        <f>IF(t&lt;Tnet,'2025'!Resal+('2025'!Salim-'2025'!Resal)*(1-EXP(('2025'!Tnet-t)/('2025'!Tau_j))),Resal+(Salim-Resal)*(1-EXP((Tnet-t)/(Tau_j))))*Salcycl</f>
        <v>3.2313382493695024E-2</v>
      </c>
      <c r="P34" s="169">
        <f>(INDEX(Models!$BJ34:$BT34,,T34)*(1-R34)+INDEX(Models!$BJ34:$BT34,,T34+1)*R34-ERP_i)*Q34*Ramure*Pc/MaxiM</f>
        <v>9.2410967031734299E-3</v>
      </c>
      <c r="Q34" s="304">
        <f t="shared" si="4"/>
        <v>0.6</v>
      </c>
      <c r="R34" s="177">
        <f t="shared" si="5"/>
        <v>0.99993588799717226</v>
      </c>
      <c r="S34" s="799">
        <f t="shared" si="6"/>
        <v>1</v>
      </c>
      <c r="T34" s="176">
        <f t="shared" si="7"/>
        <v>7</v>
      </c>
      <c r="U34" s="250">
        <f t="shared" si="8"/>
        <v>1.9999358879971723</v>
      </c>
      <c r="V34" s="382">
        <f t="shared" si="9"/>
        <v>27.00737151246258</v>
      </c>
      <c r="W34" s="400">
        <f t="shared" si="10"/>
        <v>6.5559082696818631</v>
      </c>
      <c r="X34" s="157">
        <f t="shared" si="11"/>
        <v>46042</v>
      </c>
      <c r="Y34" s="383">
        <f t="shared" si="12"/>
        <v>6.2779245317703758</v>
      </c>
      <c r="Z34" s="383">
        <f t="shared" si="22"/>
        <v>6.5937411490155586</v>
      </c>
      <c r="AA34" s="384">
        <f t="shared" si="13"/>
        <v>7.1156394883508369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7.3345247491766435E-2</v>
      </c>
      <c r="AD34" s="230">
        <f>(INDEX(Models!$BJ34:$BT34,,AH34)*(1-AF34)+INDEX(Models!$BJ34:$BT34,,AH34+1)*AF34-ERP_i)*AE34*Ramure*Pc/MaxiM</f>
        <v>9.2410967031734299E-3</v>
      </c>
      <c r="AE34" s="304">
        <f t="shared" si="15"/>
        <v>0.6</v>
      </c>
      <c r="AF34" s="177">
        <f t="shared" si="23"/>
        <v>0.99993588799717226</v>
      </c>
      <c r="AG34" s="799">
        <f t="shared" si="24"/>
        <v>1</v>
      </c>
      <c r="AH34" s="176">
        <f t="shared" si="16"/>
        <v>7</v>
      </c>
      <c r="AI34" s="224">
        <f t="shared" si="17"/>
        <v>1.9999358879971723</v>
      </c>
      <c r="AJ34" s="264" t="b">
        <f t="shared" si="18"/>
        <v>0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'2025'!Wh/'2025'!Env_an*'2026'!Env_an</f>
        <v>20.903946137049687</v>
      </c>
      <c r="C35" s="829"/>
      <c r="D35" s="391">
        <f t="shared" si="0"/>
        <v>21.955958653866816</v>
      </c>
      <c r="E35" s="383">
        <f t="shared" si="1"/>
        <v>22.690981209612271</v>
      </c>
      <c r="F35" s="383">
        <f t="shared" si="2"/>
        <v>22.828779306669183</v>
      </c>
      <c r="G35" s="110">
        <f t="shared" si="21"/>
        <v>0.76344687160614377</v>
      </c>
      <c r="H35" s="412" t="b">
        <f>Wh_hp&gt;='2025'!Maxi_hp</f>
        <v>0</v>
      </c>
      <c r="I35" s="388">
        <f>IF(H35,Wh_hp,'2025'!Maxi_hp)</f>
        <v>22.880726638611495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4.791467015410189E-2</v>
      </c>
      <c r="M35" s="832"/>
      <c r="N35" s="832"/>
      <c r="O35" s="48">
        <f>IF(t&lt;Tnet,'2025'!Resal+('2025'!Salim-'2025'!Resal)*(1-EXP(('2025'!Tnet-t)/('2025'!Tau_j))),Resal+(Salim-Resal)*(1-EXP((Tnet-t)/(Tau_j))))*Salcycl</f>
        <v>3.2392718012303916E-2</v>
      </c>
      <c r="P35" s="169">
        <f>(INDEX(Models!$BJ35:$BT35,,T35)*(1-R35)+INDEX(Models!$BJ35:$BT35,,T35+1)*R35-ERP_i)*Q35*Ramure*Pc/MaxiM</f>
        <v>9.0713680121684848E-3</v>
      </c>
      <c r="Q35" s="304">
        <f t="shared" si="4"/>
        <v>0.6</v>
      </c>
      <c r="R35" s="177">
        <f t="shared" si="5"/>
        <v>0.99999945723440842</v>
      </c>
      <c r="S35" s="799">
        <f t="shared" si="6"/>
        <v>1</v>
      </c>
      <c r="T35" s="176">
        <f t="shared" si="7"/>
        <v>7</v>
      </c>
      <c r="U35" s="250">
        <f t="shared" si="8"/>
        <v>1.9999994572344084</v>
      </c>
      <c r="V35" s="382">
        <f t="shared" si="9"/>
        <v>27.29739778678583</v>
      </c>
      <c r="W35" s="400">
        <f t="shared" si="10"/>
        <v>20.903946137049687</v>
      </c>
      <c r="X35" s="157">
        <f t="shared" si="11"/>
        <v>46043</v>
      </c>
      <c r="Y35" s="383">
        <f t="shared" si="12"/>
        <v>20.018426437508669</v>
      </c>
      <c r="Z35" s="383">
        <f t="shared" si="22"/>
        <v>21.025874267749504</v>
      </c>
      <c r="AA35" s="384">
        <f t="shared" si="13"/>
        <v>22.690981209612271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7.3381883598643144E-2</v>
      </c>
      <c r="AD35" s="230">
        <f>(INDEX(Models!$BJ35:$BT35,,AH35)*(1-AF35)+INDEX(Models!$BJ35:$BT35,,AH35+1)*AF35-ERP_i)*AE35*Ramure*Pc/MaxiM</f>
        <v>9.0713680121684848E-3</v>
      </c>
      <c r="AE35" s="304">
        <f t="shared" si="15"/>
        <v>0.6</v>
      </c>
      <c r="AF35" s="177">
        <f t="shared" si="23"/>
        <v>0.99999945723440842</v>
      </c>
      <c r="AG35" s="799">
        <f t="shared" si="24"/>
        <v>1</v>
      </c>
      <c r="AH35" s="176">
        <f t="shared" si="16"/>
        <v>7</v>
      </c>
      <c r="AI35" s="224">
        <f t="shared" si="17"/>
        <v>1.9999994572344084</v>
      </c>
      <c r="AJ35" s="264" t="b">
        <f t="shared" si="18"/>
        <v>0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'2025'!Wh/'2025'!Env_an*'2026'!Env_an</f>
        <v>27.906034290427417</v>
      </c>
      <c r="C36" s="829"/>
      <c r="D36" s="391">
        <f t="shared" si="0"/>
        <v>29.310995809561362</v>
      </c>
      <c r="E36" s="383">
        <f t="shared" si="1"/>
        <v>30.294726637998586</v>
      </c>
      <c r="F36" s="383">
        <f t="shared" si="2"/>
        <v>30.56678801397193</v>
      </c>
      <c r="G36" s="110">
        <f t="shared" si="21"/>
        <v>1.0114620592418158</v>
      </c>
      <c r="H36" s="412" t="b">
        <f>Wh_hp&gt;='2025'!Maxi_hp</f>
        <v>1</v>
      </c>
      <c r="I36" s="388">
        <f>IF(H36,Wh_hp,'2025'!Maxi_hp)</f>
        <v>30.56678801397193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4.7932916652242863E-2</v>
      </c>
      <c r="M36" s="832"/>
      <c r="N36" s="832"/>
      <c r="O36" s="48">
        <f>IF(t&lt;Tnet,'2025'!Resal+('2025'!Salim-'2025'!Resal)*(1-EXP(('2025'!Tnet-t)/('2025'!Tau_j))),Resal+(Salim-Resal)*(1-EXP((Tnet-t)/(Tau_j))))*Salcycl</f>
        <v>3.2472015350794928E-2</v>
      </c>
      <c r="P36" s="169">
        <f>(INDEX(Models!$BJ36:$BT36,,T36)*(1-R36)+INDEX(Models!$BJ36:$BT36,,T36+1)*R36-ERP_i)*Q36*Ramure*Pc/MaxiM</f>
        <v>8.9005549372406477E-3</v>
      </c>
      <c r="Q36" s="304">
        <f t="shared" si="4"/>
        <v>0.6</v>
      </c>
      <c r="R36" s="177">
        <f t="shared" si="5"/>
        <v>6.5676113190527019E-5</v>
      </c>
      <c r="S36" s="799">
        <f t="shared" si="6"/>
        <v>2</v>
      </c>
      <c r="T36" s="176">
        <f t="shared" si="7"/>
        <v>8</v>
      </c>
      <c r="U36" s="250">
        <f t="shared" si="8"/>
        <v>2.0000656761131905</v>
      </c>
      <c r="V36" s="382">
        <f t="shared" si="9"/>
        <v>27.589798386847612</v>
      </c>
      <c r="W36" s="400">
        <f t="shared" si="10"/>
        <v>27.906034290427417</v>
      </c>
      <c r="X36" s="157">
        <f t="shared" si="11"/>
        <v>46044</v>
      </c>
      <c r="Y36" s="383">
        <f t="shared" si="12"/>
        <v>26.725028300177968</v>
      </c>
      <c r="Z36" s="383">
        <f t="shared" si="22"/>
        <v>28.070530709038536</v>
      </c>
      <c r="AA36" s="384">
        <f t="shared" si="13"/>
        <v>30.294726637998586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7.3418583885495395E-2</v>
      </c>
      <c r="AD36" s="230">
        <f>(INDEX(Models!$BJ36:$BT36,,AH36)*(1-AF36)+INDEX(Models!$BJ36:$BT36,,AH36+1)*AF36-ERP_i)*AE36*Ramure*Pc/MaxiM</f>
        <v>8.9005549372406477E-3</v>
      </c>
      <c r="AE36" s="304">
        <f t="shared" si="15"/>
        <v>0.6</v>
      </c>
      <c r="AF36" s="177">
        <f t="shared" si="23"/>
        <v>6.5676113190527019E-5</v>
      </c>
      <c r="AG36" s="799">
        <f t="shared" si="24"/>
        <v>2</v>
      </c>
      <c r="AH36" s="176">
        <f t="shared" si="16"/>
        <v>8</v>
      </c>
      <c r="AI36" s="224">
        <f t="shared" si="17"/>
        <v>2.0000656761131905</v>
      </c>
      <c r="AJ36" s="264" t="b">
        <f t="shared" si="18"/>
        <v>0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'2025'!Wh/'2025'!Env_an*'2026'!Env_an</f>
        <v>28.032139992779872</v>
      </c>
      <c r="C37" s="829"/>
      <c r="D37" s="391">
        <f t="shared" si="0"/>
        <v>29.444014736936754</v>
      </c>
      <c r="E37" s="383">
        <f t="shared" si="1"/>
        <v>30.434703170432382</v>
      </c>
      <c r="F37" s="383">
        <f t="shared" si="2"/>
        <v>30.702667936607373</v>
      </c>
      <c r="G37" s="110">
        <f t="shared" si="21"/>
        <v>1.0051787273423884</v>
      </c>
      <c r="H37" s="412" t="b">
        <f>Wh_hp&gt;='2025'!Maxi_hp</f>
        <v>1</v>
      </c>
      <c r="I37" s="388">
        <f>IF(H37,Wh_hp,'2025'!Maxi_hp)</f>
        <v>30.702667936607373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4.7951162800693781E-2</v>
      </c>
      <c r="M37" s="832"/>
      <c r="N37" s="832"/>
      <c r="O37" s="48">
        <f>IF(t&lt;Tnet,'2025'!Resal+('2025'!Salim-'2025'!Resal)*(1-EXP(('2025'!Tnet-t)/('2025'!Tau_j))),Resal+(Salim-Resal)*(1-EXP((Tnet-t)/(Tau_j))))*Salcycl</f>
        <v>3.2551276348838962E-2</v>
      </c>
      <c r="P37" s="169">
        <f>(INDEX(Models!$BJ37:$BT37,,T37)*(1-R37)+INDEX(Models!$BJ37:$BT37,,T37+1)*R37-ERP_i)*Q37*Ramure*Pc/MaxiM</f>
        <v>8.727735541688637E-3</v>
      </c>
      <c r="Q37" s="304">
        <f t="shared" si="4"/>
        <v>0.6</v>
      </c>
      <c r="R37" s="177">
        <f t="shared" si="5"/>
        <v>1.346543239675313E-4</v>
      </c>
      <c r="S37" s="799">
        <f t="shared" si="6"/>
        <v>2</v>
      </c>
      <c r="T37" s="176">
        <f t="shared" si="7"/>
        <v>8</v>
      </c>
      <c r="U37" s="250">
        <f t="shared" si="8"/>
        <v>2.0001346543239675</v>
      </c>
      <c r="V37" s="382">
        <f t="shared" si="9"/>
        <v>27.887717109667243</v>
      </c>
      <c r="W37" s="400">
        <f t="shared" si="10"/>
        <v>28.032139992779872</v>
      </c>
      <c r="X37" s="157">
        <f t="shared" si="11"/>
        <v>46045</v>
      </c>
      <c r="Y37" s="383">
        <f t="shared" si="12"/>
        <v>26.846931164928996</v>
      </c>
      <c r="Z37" s="383">
        <f t="shared" si="22"/>
        <v>28.199111343810966</v>
      </c>
      <c r="AA37" s="384">
        <f t="shared" si="13"/>
        <v>30.434703170432382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7.3455351744429478E-2</v>
      </c>
      <c r="AD37" s="230">
        <f>(INDEX(Models!$BJ37:$BT37,,AH37)*(1-AF37)+INDEX(Models!$BJ37:$BT37,,AH37+1)*AF37-ERP_i)*AE37*Ramure*Pc/MaxiM</f>
        <v>8.727735541688637E-3</v>
      </c>
      <c r="AE37" s="304">
        <f t="shared" si="15"/>
        <v>0.6</v>
      </c>
      <c r="AF37" s="177">
        <f t="shared" si="23"/>
        <v>1.346543239675313E-4</v>
      </c>
      <c r="AG37" s="799">
        <f t="shared" si="24"/>
        <v>2</v>
      </c>
      <c r="AH37" s="176">
        <f t="shared" si="16"/>
        <v>8</v>
      </c>
      <c r="AI37" s="224">
        <f t="shared" si="17"/>
        <v>2.0001346543239675</v>
      </c>
      <c r="AJ37" s="264" t="b">
        <f t="shared" si="18"/>
        <v>0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'2025'!Wh/'2025'!Env_an*'2026'!Env_an</f>
        <v>28.578288827057609</v>
      </c>
      <c r="C38" s="829"/>
      <c r="D38" s="391">
        <f t="shared" si="0"/>
        <v>30.018246351743695</v>
      </c>
      <c r="E38" s="383">
        <f t="shared" si="1"/>
        <v>31.030796852425347</v>
      </c>
      <c r="F38" s="383">
        <f t="shared" si="2"/>
        <v>31.298408115461402</v>
      </c>
      <c r="G38" s="110">
        <f t="shared" si="21"/>
        <v>1.013620723408297</v>
      </c>
      <c r="H38" s="412" t="b">
        <f>Wh_hp&gt;='2025'!Maxi_hp</f>
        <v>1</v>
      </c>
      <c r="I38" s="388">
        <f>IF(H38,Wh_hp,'2025'!Maxi_hp)</f>
        <v>31.298408115461402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4.7969408599461416E-2</v>
      </c>
      <c r="M38" s="832"/>
      <c r="N38" s="832"/>
      <c r="O38" s="48">
        <f>IF(t&lt;Tnet,'2025'!Resal+('2025'!Salim-'2025'!Resal)*(1-EXP(('2025'!Tnet-t)/('2025'!Tau_j))),Resal+(Salim-Resal)*(1-EXP((Tnet-t)/(Tau_j))))*Salcycl</f>
        <v>3.26305027066204E-2</v>
      </c>
      <c r="P38" s="169">
        <f>(INDEX(Models!$BJ38:$BT38,,T38)*(1-R38)+INDEX(Models!$BJ38:$BT38,,T38+1)*R38-ERP_i)*Q38*Ramure*Pc/MaxiM</f>
        <v>8.5503154680846571E-3</v>
      </c>
      <c r="Q38" s="304">
        <f t="shared" si="4"/>
        <v>0.6</v>
      </c>
      <c r="R38" s="177">
        <f t="shared" si="5"/>
        <v>2.0650603419714031E-4</v>
      </c>
      <c r="S38" s="799">
        <f t="shared" si="6"/>
        <v>2</v>
      </c>
      <c r="T38" s="176">
        <f t="shared" si="7"/>
        <v>8</v>
      </c>
      <c r="U38" s="250">
        <f t="shared" si="8"/>
        <v>2.0002065060341971</v>
      </c>
      <c r="V38" s="382">
        <f t="shared" si="9"/>
        <v>28.194262574825018</v>
      </c>
      <c r="W38" s="400">
        <f t="shared" si="10"/>
        <v>28.578288827057609</v>
      </c>
      <c r="X38" s="157">
        <f t="shared" si="11"/>
        <v>46046</v>
      </c>
      <c r="Y38" s="383">
        <f t="shared" si="12"/>
        <v>27.371141908246731</v>
      </c>
      <c r="Z38" s="383">
        <f t="shared" si="22"/>
        <v>28.750275627152757</v>
      </c>
      <c r="AA38" s="384">
        <f t="shared" si="13"/>
        <v>31.030796852425347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7.3492190230182483E-2</v>
      </c>
      <c r="AD38" s="230">
        <f>(INDEX(Models!$BJ38:$BT38,,AH38)*(1-AF38)+INDEX(Models!$BJ38:$BT38,,AH38+1)*AF38-ERP_i)*AE38*Ramure*Pc/MaxiM</f>
        <v>8.5503154680846571E-3</v>
      </c>
      <c r="AE38" s="304">
        <f t="shared" si="15"/>
        <v>0.6</v>
      </c>
      <c r="AF38" s="177">
        <f t="shared" si="23"/>
        <v>2.0650603419714031E-4</v>
      </c>
      <c r="AG38" s="799">
        <f t="shared" si="24"/>
        <v>2</v>
      </c>
      <c r="AH38" s="176">
        <f t="shared" si="16"/>
        <v>8</v>
      </c>
      <c r="AI38" s="224">
        <f t="shared" si="17"/>
        <v>2.0002065060341971</v>
      </c>
      <c r="AJ38" s="264" t="b">
        <f t="shared" si="18"/>
        <v>0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'2025'!Wh/'2025'!Env_an*'2026'!Env_an</f>
        <v>27.636558587696207</v>
      </c>
      <c r="C39" s="829"/>
      <c r="D39" s="391">
        <f t="shared" si="0"/>
        <v>29.029622047680533</v>
      </c>
      <c r="E39" s="383">
        <f t="shared" si="1"/>
        <v>30.01128195511313</v>
      </c>
      <c r="F39" s="383">
        <f t="shared" si="2"/>
        <v>30.253380268772666</v>
      </c>
      <c r="G39" s="110">
        <f t="shared" si="21"/>
        <v>0.96905575936732458</v>
      </c>
      <c r="H39" s="412" t="b">
        <f>Wh_hp&gt;='2025'!Maxi_hp</f>
        <v>0</v>
      </c>
      <c r="I39" s="388">
        <f>IF(H39,Wh_hp,'2025'!Maxi_hp)</f>
        <v>30.261651120262506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4.7987654048552542E-2</v>
      </c>
      <c r="M39" s="832"/>
      <c r="N39" s="832"/>
      <c r="O39" s="48">
        <f>IF(t&lt;Tnet,'2025'!Resal+('2025'!Salim-'2025'!Resal)*(1-EXP(('2025'!Tnet-t)/('2025'!Tau_j))),Resal+(Salim-Resal)*(1-EXP((Tnet-t)/(Tau_j))))*Salcycl</f>
        <v>3.2709695937042399E-2</v>
      </c>
      <c r="P39" s="169">
        <f>(INDEX(Models!$BJ39:$BT39,,T39)*(1-R39)+INDEX(Models!$BJ39:$BT39,,T39+1)*R39-ERP_i)*Q39*Ramure*Pc/MaxiM</f>
        <v>8.3680006325017441E-3</v>
      </c>
      <c r="Q39" s="304">
        <f t="shared" si="4"/>
        <v>0.6</v>
      </c>
      <c r="R39" s="177">
        <f t="shared" si="5"/>
        <v>2.8135006560559006E-4</v>
      </c>
      <c r="S39" s="799">
        <f t="shared" si="6"/>
        <v>2</v>
      </c>
      <c r="T39" s="176">
        <f t="shared" si="7"/>
        <v>8</v>
      </c>
      <c r="U39" s="250">
        <f t="shared" si="8"/>
        <v>2.0002813500656056</v>
      </c>
      <c r="V39" s="382">
        <f t="shared" si="9"/>
        <v>28.508547252213603</v>
      </c>
      <c r="W39" s="400">
        <f t="shared" si="10"/>
        <v>27.636558587696207</v>
      </c>
      <c r="X39" s="157">
        <f t="shared" si="11"/>
        <v>46047</v>
      </c>
      <c r="Y39" s="383">
        <f t="shared" si="12"/>
        <v>26.470302809859302</v>
      </c>
      <c r="Z39" s="383">
        <f t="shared" si="22"/>
        <v>27.804579344404097</v>
      </c>
      <c r="AA39" s="384">
        <f t="shared" si="13"/>
        <v>30.01128195511313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7.3529101956041898E-2</v>
      </c>
      <c r="AD39" s="230">
        <f>(INDEX(Models!$BJ39:$BT39,,AH39)*(1-AF39)+INDEX(Models!$BJ39:$BT39,,AH39+1)*AF39-ERP_i)*AE39*Ramure*Pc/MaxiM</f>
        <v>8.3680006325017441E-3</v>
      </c>
      <c r="AE39" s="304">
        <f t="shared" si="15"/>
        <v>0.6</v>
      </c>
      <c r="AF39" s="177">
        <f t="shared" si="23"/>
        <v>2.8135006560559006E-4</v>
      </c>
      <c r="AG39" s="799">
        <f t="shared" si="24"/>
        <v>2</v>
      </c>
      <c r="AH39" s="176">
        <f t="shared" si="16"/>
        <v>8</v>
      </c>
      <c r="AI39" s="224">
        <f t="shared" si="17"/>
        <v>2.0002813500656056</v>
      </c>
      <c r="AJ39" s="264" t="b">
        <f t="shared" si="18"/>
        <v>0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'2025'!Wh/'2025'!Env_an*'2026'!Env_an</f>
        <v>28.311756726691272</v>
      </c>
      <c r="C40" s="829"/>
      <c r="D40" s="391">
        <f t="shared" si="0"/>
        <v>29.739424541971953</v>
      </c>
      <c r="E40" s="383">
        <f t="shared" si="1"/>
        <v>30.747603320256427</v>
      </c>
      <c r="F40" s="383">
        <f t="shared" si="2"/>
        <v>30.994674345403418</v>
      </c>
      <c r="G40" s="110">
        <f t="shared" si="21"/>
        <v>0.98182794566537523</v>
      </c>
      <c r="H40" s="412" t="b">
        <f>Wh_hp&gt;='2025'!Maxi_hp</f>
        <v>0</v>
      </c>
      <c r="I40" s="388">
        <f>IF(H40,Wh_hp,'2025'!Maxi_hp)</f>
        <v>30.999537323642969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4.8005899147973818E-2</v>
      </c>
      <c r="M40" s="832"/>
      <c r="N40" s="832"/>
      <c r="O40" s="48">
        <f>IF(t&lt;Tnet,'2025'!Resal+('2025'!Salim-'2025'!Resal)*(1-EXP(('2025'!Tnet-t)/('2025'!Tau_j))),Resal+(Salim-Resal)*(1-EXP((Tnet-t)/(Tau_j))))*Salcycl</f>
        <v>3.2788857322752399E-2</v>
      </c>
      <c r="P40" s="169">
        <f>(INDEX(Models!$BJ40:$BT40,,T40)*(1-R40)+INDEX(Models!$BJ40:$BT40,,T40+1)*R40-ERP_i)*Q40*Ramure*Pc/MaxiM</f>
        <v>8.1813620964580058E-3</v>
      </c>
      <c r="Q40" s="304">
        <f t="shared" si="4"/>
        <v>0.6</v>
      </c>
      <c r="R40" s="177">
        <f t="shared" si="5"/>
        <v>3.5931007799794301E-4</v>
      </c>
      <c r="S40" s="799">
        <f t="shared" si="6"/>
        <v>2</v>
      </c>
      <c r="T40" s="176">
        <f t="shared" si="7"/>
        <v>8</v>
      </c>
      <c r="U40" s="250">
        <f t="shared" si="8"/>
        <v>2.0003593100779979</v>
      </c>
      <c r="V40" s="382">
        <f t="shared" si="9"/>
        <v>28.829658762324343</v>
      </c>
      <c r="W40" s="400">
        <f t="shared" si="10"/>
        <v>28.311756726691272</v>
      </c>
      <c r="X40" s="157">
        <f t="shared" si="11"/>
        <v>46048</v>
      </c>
      <c r="Y40" s="383">
        <f t="shared" si="12"/>
        <v>27.118144481811406</v>
      </c>
      <c r="Z40" s="383">
        <f t="shared" si="22"/>
        <v>28.485622397807834</v>
      </c>
      <c r="AA40" s="384">
        <f t="shared" si="13"/>
        <v>30.747603320256427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7.356608900175346E-2</v>
      </c>
      <c r="AD40" s="230">
        <f>(INDEX(Models!$BJ40:$BT40,,AH40)*(1-AF40)+INDEX(Models!$BJ40:$BT40,,AH40+1)*AF40-ERP_i)*AE40*Ramure*Pc/MaxiM</f>
        <v>8.1813620964580058E-3</v>
      </c>
      <c r="AE40" s="304">
        <f t="shared" si="15"/>
        <v>0.6</v>
      </c>
      <c r="AF40" s="177">
        <f t="shared" si="23"/>
        <v>3.5931007799794301E-4</v>
      </c>
      <c r="AG40" s="799">
        <f t="shared" si="24"/>
        <v>2</v>
      </c>
      <c r="AH40" s="176">
        <f t="shared" si="16"/>
        <v>8</v>
      </c>
      <c r="AI40" s="224">
        <f t="shared" si="17"/>
        <v>2.0003593100779979</v>
      </c>
      <c r="AJ40" s="264" t="b">
        <f t="shared" si="18"/>
        <v>0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'2025'!Wh/'2025'!Env_an*'2026'!Env_an</f>
        <v>27.056320724790723</v>
      </c>
      <c r="C41" s="829"/>
      <c r="D41" s="391">
        <f t="shared" si="0"/>
        <v>28.421225760461027</v>
      </c>
      <c r="E41" s="383">
        <f t="shared" si="1"/>
        <v>29.387121307372425</v>
      </c>
      <c r="F41" s="383">
        <f t="shared" si="2"/>
        <v>29.599306267946186</v>
      </c>
      <c r="G41" s="110">
        <f t="shared" si="21"/>
        <v>0.92719423359876485</v>
      </c>
      <c r="H41" s="412" t="b">
        <f>Wh_hp&gt;='2025'!Maxi_hp</f>
        <v>0</v>
      </c>
      <c r="I41" s="388">
        <f>IF(H41,Wh_hp,'2025'!Maxi_hp)</f>
        <v>29.617485688648788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4.8024143897731908E-2</v>
      </c>
      <c r="M41" s="832"/>
      <c r="N41" s="832"/>
      <c r="O41" s="48">
        <f>IF(t&lt;Tnet,'2025'!Resal+('2025'!Salim-'2025'!Resal)*(1-EXP(('2025'!Tnet-t)/('2025'!Tau_j))),Resal+(Salim-Resal)*(1-EXP((Tnet-t)/(Tau_j))))*Salcycl</f>
        <v>3.2867987878386726E-2</v>
      </c>
      <c r="P41" s="169">
        <f>(INDEX(Models!$BJ41:$BT41,,T41)*(1-R41)+INDEX(Models!$BJ41:$BT41,,T41+1)*R41-ERP_i)*Q41*Ramure*Pc/MaxiM</f>
        <v>7.9909268082986474E-3</v>
      </c>
      <c r="Q41" s="304">
        <f t="shared" si="4"/>
        <v>0.6</v>
      </c>
      <c r="R41" s="177">
        <f t="shared" si="5"/>
        <v>4.4051475981987664E-4</v>
      </c>
      <c r="S41" s="799">
        <f t="shared" si="6"/>
        <v>2</v>
      </c>
      <c r="T41" s="176">
        <f t="shared" si="7"/>
        <v>8</v>
      </c>
      <c r="U41" s="250">
        <f t="shared" si="8"/>
        <v>2.0004405147598199</v>
      </c>
      <c r="V41" s="382">
        <f t="shared" si="9"/>
        <v>29.156685173753427</v>
      </c>
      <c r="W41" s="400">
        <f t="shared" si="10"/>
        <v>27.056320724790723</v>
      </c>
      <c r="X41" s="157">
        <f t="shared" si="11"/>
        <v>46049</v>
      </c>
      <c r="Y41" s="383">
        <f t="shared" si="12"/>
        <v>25.916720676393595</v>
      </c>
      <c r="Z41" s="383">
        <f t="shared" si="22"/>
        <v>27.224136526430389</v>
      </c>
      <c r="AA41" s="384">
        <f t="shared" si="13"/>
        <v>29.387121307372425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7.3603152834143051E-2</v>
      </c>
      <c r="AD41" s="230">
        <f>(INDEX(Models!$BJ41:$BT41,,AH41)*(1-AF41)+INDEX(Models!$BJ41:$BT41,,AH41+1)*AF41-ERP_i)*AE41*Ramure*Pc/MaxiM</f>
        <v>7.9909268082986474E-3</v>
      </c>
      <c r="AE41" s="304">
        <f t="shared" si="15"/>
        <v>0.6</v>
      </c>
      <c r="AF41" s="177">
        <f t="shared" si="23"/>
        <v>4.4051475981987664E-4</v>
      </c>
      <c r="AG41" s="799">
        <f t="shared" si="24"/>
        <v>2</v>
      </c>
      <c r="AH41" s="176">
        <f t="shared" si="16"/>
        <v>8</v>
      </c>
      <c r="AI41" s="224">
        <f t="shared" si="17"/>
        <v>2.0004405147598199</v>
      </c>
      <c r="AJ41" s="264" t="b">
        <f t="shared" si="18"/>
        <v>0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'2025'!Wh/'2025'!Env_an*'2026'!Env_an</f>
        <v>4.2762504884696764</v>
      </c>
      <c r="C42" s="829"/>
      <c r="D42" s="391">
        <f t="shared" si="0"/>
        <v>4.4920597681061061</v>
      </c>
      <c r="E42" s="383">
        <f t="shared" si="1"/>
        <v>4.6451023660068138</v>
      </c>
      <c r="F42" s="383">
        <f t="shared" si="2"/>
        <v>4.6451023660068138</v>
      </c>
      <c r="G42" s="110">
        <f t="shared" si="21"/>
        <v>0.14388242425740871</v>
      </c>
      <c r="H42" s="412" t="b">
        <f>Wh_hp&gt;='2025'!Maxi_hp</f>
        <v>0</v>
      </c>
      <c r="I42" s="388">
        <f>IF(H42,Wh_hp,'2025'!Maxi_hp)</f>
        <v>18.471919028830147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4.8042388297833472E-2</v>
      </c>
      <c r="M42" s="832"/>
      <c r="N42" s="832"/>
      <c r="O42" s="48">
        <f>IF(t&lt;Tnet,'2025'!Resal+('2025'!Salim-'2025'!Resal)*(1-EXP(('2025'!Tnet-t)/('2025'!Tau_j))),Resal+(Salim-Resal)*(1-EXP((Tnet-t)/(Tau_j))))*Salcycl</f>
        <v>3.2947088318372592E-2</v>
      </c>
      <c r="P42" s="169">
        <f>(INDEX(Models!$BJ42:$BT42,,T42)*(1-R42)+INDEX(Models!$BJ42:$BT42,,T42+1)*R42-ERP_i)*Q42*Ramure*Pc/MaxiM</f>
        <v>7.7971774642536015E-3</v>
      </c>
      <c r="Q42" s="304">
        <f t="shared" si="4"/>
        <v>0.6</v>
      </c>
      <c r="R42" s="177">
        <f t="shared" si="5"/>
        <v>5.2509802566591546E-4</v>
      </c>
      <c r="S42" s="799">
        <f t="shared" si="6"/>
        <v>2</v>
      </c>
      <c r="T42" s="176">
        <f t="shared" si="7"/>
        <v>8</v>
      </c>
      <c r="U42" s="250">
        <f t="shared" si="8"/>
        <v>2.0005250980256659</v>
      </c>
      <c r="V42" s="382">
        <f t="shared" si="9"/>
        <v>29.488715014551222</v>
      </c>
      <c r="W42" s="400">
        <f t="shared" si="10"/>
        <v>4.2762504884696764</v>
      </c>
      <c r="X42" s="157">
        <f t="shared" si="11"/>
        <v>46050</v>
      </c>
      <c r="Y42" s="383">
        <f t="shared" si="12"/>
        <v>4.0963075509094438</v>
      </c>
      <c r="Z42" s="383">
        <f t="shared" si="22"/>
        <v>4.3030356609943592</v>
      </c>
      <c r="AA42" s="384">
        <f t="shared" si="13"/>
        <v>4.6451023660068138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7.364029424103169E-2</v>
      </c>
      <c r="AD42" s="230">
        <f>(INDEX(Models!$BJ42:$BT42,,AH42)*(1-AF42)+INDEX(Models!$BJ42:$BT42,,AH42+1)*AF42-ERP_i)*AE42*Ramure*Pc/MaxiM</f>
        <v>7.7971774642536015E-3</v>
      </c>
      <c r="AE42" s="304">
        <f t="shared" si="15"/>
        <v>0.6</v>
      </c>
      <c r="AF42" s="177">
        <f t="shared" si="23"/>
        <v>5.2509802566591546E-4</v>
      </c>
      <c r="AG42" s="799">
        <f t="shared" si="24"/>
        <v>2</v>
      </c>
      <c r="AH42" s="176">
        <f t="shared" si="16"/>
        <v>8</v>
      </c>
      <c r="AI42" s="224">
        <f t="shared" si="17"/>
        <v>2.0005250980256659</v>
      </c>
      <c r="AJ42" s="264" t="b">
        <f t="shared" si="18"/>
        <v>0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'2025'!Wh/'2025'!Env_an*'2026'!Env_an</f>
        <v>9.0265936363231738</v>
      </c>
      <c r="C43" s="829"/>
      <c r="D43" s="391">
        <f t="shared" si="0"/>
        <v>9.4823199282012745</v>
      </c>
      <c r="E43" s="383">
        <f t="shared" si="1"/>
        <v>9.8061804016278025</v>
      </c>
      <c r="F43" s="383">
        <f t="shared" si="2"/>
        <v>9.8064629488067805</v>
      </c>
      <c r="G43" s="110">
        <f t="shared" si="21"/>
        <v>0.30036189507042499</v>
      </c>
      <c r="H43" s="412" t="b">
        <f>Wh_hp&gt;='2025'!Maxi_hp</f>
        <v>0</v>
      </c>
      <c r="I43" s="388">
        <f>IF(H43,Wh_hp,'2025'!Maxi_hp)</f>
        <v>19.775703807846384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4.8060632348285282E-2</v>
      </c>
      <c r="M43" s="832"/>
      <c r="N43" s="832"/>
      <c r="O43" s="48">
        <f>IF(t&lt;Tnet,'2025'!Resal+('2025'!Salim-'2025'!Resal)*(1-EXP(('2025'!Tnet-t)/('2025'!Tau_j))),Resal+(Salim-Resal)*(1-EXP((Tnet-t)/(Tau_j))))*Salcycl</f>
        <v>3.3026159030560824E-2</v>
      </c>
      <c r="P43" s="169">
        <f>(INDEX(Models!$BJ43:$BT43,,T43)*(1-R43)+INDEX(Models!$BJ43:$BT43,,T43+1)*R43-ERP_i)*Q43*Ramure*Pc/MaxiM</f>
        <v>7.6005528717516067E-3</v>
      </c>
      <c r="Q43" s="304">
        <f t="shared" si="4"/>
        <v>0.6</v>
      </c>
      <c r="R43" s="177">
        <f t="shared" si="5"/>
        <v>6.13199220951266E-4</v>
      </c>
      <c r="S43" s="799">
        <f t="shared" si="6"/>
        <v>2</v>
      </c>
      <c r="T43" s="176">
        <f t="shared" si="7"/>
        <v>8</v>
      </c>
      <c r="U43" s="250">
        <f t="shared" si="8"/>
        <v>2.0006131992209513</v>
      </c>
      <c r="V43" s="382">
        <f t="shared" si="9"/>
        <v>29.824837268588393</v>
      </c>
      <c r="W43" s="400">
        <f t="shared" si="10"/>
        <v>9.0265936363231738</v>
      </c>
      <c r="X43" s="157">
        <f t="shared" si="11"/>
        <v>46051</v>
      </c>
      <c r="Y43" s="383">
        <f t="shared" si="12"/>
        <v>8.6471177497802199</v>
      </c>
      <c r="Z43" s="383">
        <f t="shared" si="22"/>
        <v>9.0836854148718569</v>
      </c>
      <c r="AA43" s="384">
        <f t="shared" si="13"/>
        <v>9.8061804016278025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7.3677513278871856E-2</v>
      </c>
      <c r="AD43" s="230">
        <f>(INDEX(Models!$BJ43:$BT43,,AH43)*(1-AF43)+INDEX(Models!$BJ43:$BT43,,AH43+1)*AF43-ERP_i)*AE43*Ramure*Pc/MaxiM</f>
        <v>7.6005528717516067E-3</v>
      </c>
      <c r="AE43" s="304">
        <f t="shared" si="15"/>
        <v>0.6</v>
      </c>
      <c r="AF43" s="177">
        <f t="shared" si="23"/>
        <v>6.13199220951266E-4</v>
      </c>
      <c r="AG43" s="799">
        <f t="shared" si="24"/>
        <v>2</v>
      </c>
      <c r="AH43" s="176">
        <f t="shared" si="16"/>
        <v>8</v>
      </c>
      <c r="AI43" s="224">
        <f t="shared" si="17"/>
        <v>2.0006131992209513</v>
      </c>
      <c r="AJ43" s="264" t="b">
        <f t="shared" si="18"/>
        <v>0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'2025'!Wh/'2025'!Env_an*'2026'!Env_an</f>
        <v>4.6620925550498367</v>
      </c>
      <c r="C44" s="829"/>
      <c r="D44" s="391">
        <f t="shared" si="0"/>
        <v>4.8975618228746001</v>
      </c>
      <c r="E44" s="383">
        <f t="shared" si="1"/>
        <v>5.0652478668390106</v>
      </c>
      <c r="F44" s="383">
        <f t="shared" si="2"/>
        <v>5.0652478668390106</v>
      </c>
      <c r="G44" s="110">
        <f t="shared" si="21"/>
        <v>0.15341349376441851</v>
      </c>
      <c r="H44" s="412" t="b">
        <f>Wh_hp&gt;='2025'!Maxi_hp</f>
        <v>0</v>
      </c>
      <c r="I44" s="388">
        <f>IF(H44,Wh_hp,'2025'!Maxi_hp)</f>
        <v>11.80160840972839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4.807887604909411E-2</v>
      </c>
      <c r="M44" s="832"/>
      <c r="N44" s="832"/>
      <c r="O44" s="48">
        <f>IF(t&lt;Tnet,'2025'!Resal+('2025'!Salim-'2025'!Resal)*(1-EXP(('2025'!Tnet-t)/('2025'!Tau_j))),Resal+(Salim-Resal)*(1-EXP((Tnet-t)/(Tau_j))))*Salcycl</f>
        <v>3.3105200055896955E-2</v>
      </c>
      <c r="P44" s="169">
        <f>(INDEX(Models!$BJ44:$BT44,,T44)*(1-R44)+INDEX(Models!$BJ44:$BT44,,T44+1)*R44-ERP_i)*Q44*Ramure*Pc/MaxiM</f>
        <v>7.4042905425686202E-3</v>
      </c>
      <c r="Q44" s="304">
        <f t="shared" si="4"/>
        <v>0.6</v>
      </c>
      <c r="R44" s="177">
        <f t="shared" si="5"/>
        <v>7.0496333394443056E-4</v>
      </c>
      <c r="S44" s="799">
        <f t="shared" si="6"/>
        <v>2</v>
      </c>
      <c r="T44" s="176">
        <f t="shared" si="7"/>
        <v>8</v>
      </c>
      <c r="U44" s="250">
        <f t="shared" si="8"/>
        <v>2.0007049633339444</v>
      </c>
      <c r="V44" s="382">
        <f t="shared" si="9"/>
        <v>30.164055023360557</v>
      </c>
      <c r="W44" s="400">
        <f t="shared" si="10"/>
        <v>4.6620925550498367</v>
      </c>
      <c r="X44" s="157">
        <f t="shared" si="11"/>
        <v>46052</v>
      </c>
      <c r="Y44" s="383">
        <f t="shared" si="12"/>
        <v>4.4662845347507902</v>
      </c>
      <c r="Z44" s="383">
        <f t="shared" si="22"/>
        <v>4.6918640866101144</v>
      </c>
      <c r="AA44" s="384">
        <f t="shared" si="13"/>
        <v>5.0652478668390106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7.371480923438159E-2</v>
      </c>
      <c r="AD44" s="230">
        <f>(INDEX(Models!$BJ44:$BT44,,AH44)*(1-AF44)+INDEX(Models!$BJ44:$BT44,,AH44+1)*AF44-ERP_i)*AE44*Ramure*Pc/MaxiM</f>
        <v>7.4042905425686202E-3</v>
      </c>
      <c r="AE44" s="304">
        <f t="shared" si="15"/>
        <v>0.6</v>
      </c>
      <c r="AF44" s="177">
        <f t="shared" si="23"/>
        <v>7.0496333394443056E-4</v>
      </c>
      <c r="AG44" s="799">
        <f t="shared" si="24"/>
        <v>2</v>
      </c>
      <c r="AH44" s="176">
        <f t="shared" si="16"/>
        <v>8</v>
      </c>
      <c r="AI44" s="224">
        <f t="shared" si="17"/>
        <v>2.0007049633339444</v>
      </c>
      <c r="AJ44" s="264" t="b">
        <f t="shared" si="18"/>
        <v>0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'2025'!Wh/'2025'!Env_an*'2026'!Env_an</f>
        <v>7.7315725721393171</v>
      </c>
      <c r="C45" s="829"/>
      <c r="D45" s="391">
        <f t="shared" si="0"/>
        <v>8.1222283593344571</v>
      </c>
      <c r="E45" s="383">
        <f t="shared" si="1"/>
        <v>8.4010092226146043</v>
      </c>
      <c r="F45" s="383">
        <f t="shared" si="2"/>
        <v>8.4010092226146043</v>
      </c>
      <c r="G45" s="110">
        <f t="shared" si="21"/>
        <v>0.25162180224418079</v>
      </c>
      <c r="H45" s="412" t="b">
        <f>Wh_hp&gt;='2025'!Maxi_hp</f>
        <v>0</v>
      </c>
      <c r="I45" s="388">
        <f>IF(H45,Wh_hp,'2025'!Maxi_hp)</f>
        <v>23.12427848668732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4.8097119400266508E-2</v>
      </c>
      <c r="M45" s="832"/>
      <c r="N45" s="832"/>
      <c r="O45" s="48">
        <f>IF(t&lt;Tnet,'2025'!Resal+('2025'!Salim-'2025'!Resal)*(1-EXP(('2025'!Tnet-t)/('2025'!Tau_j))),Resal+(Salim-Resal)*(1-EXP((Tnet-t)/(Tau_j))))*Salcycl</f>
        <v>3.3184211074271684E-2</v>
      </c>
      <c r="P45" s="169">
        <f>(INDEX(Models!$BJ45:$BT45,,T45)*(1-R45)+INDEX(Models!$BJ45:$BT45,,T45+1)*R45-ERP_i)*Q45*Ramure*Pc/MaxiM</f>
        <v>7.2130828795801275E-3</v>
      </c>
      <c r="Q45" s="304">
        <f t="shared" si="4"/>
        <v>0.6</v>
      </c>
      <c r="R45" s="177">
        <f t="shared" si="5"/>
        <v>8.0054121537465051E-4</v>
      </c>
      <c r="S45" s="799">
        <f t="shared" si="6"/>
        <v>2</v>
      </c>
      <c r="T45" s="176">
        <f t="shared" si="7"/>
        <v>8</v>
      </c>
      <c r="U45" s="250">
        <f t="shared" si="8"/>
        <v>2.0008005412153747</v>
      </c>
      <c r="V45" s="382">
        <f t="shared" si="9"/>
        <v>30.505321994865032</v>
      </c>
      <c r="W45" s="400">
        <f t="shared" si="10"/>
        <v>7.7315725721393171</v>
      </c>
      <c r="X45" s="157">
        <f t="shared" si="11"/>
        <v>46053</v>
      </c>
      <c r="Y45" s="383">
        <f t="shared" si="12"/>
        <v>7.4071527559886627</v>
      </c>
      <c r="Z45" s="383">
        <f t="shared" si="22"/>
        <v>7.7814164732035334</v>
      </c>
      <c r="AA45" s="384">
        <f t="shared" si="13"/>
        <v>8.4010092226146043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7.3752180600301517E-2</v>
      </c>
      <c r="AD45" s="230">
        <f>(INDEX(Models!$BJ45:$BT45,,AH45)*(1-AF45)+INDEX(Models!$BJ45:$BT45,,AH45+1)*AF45-ERP_i)*AE45*Ramure*Pc/MaxiM</f>
        <v>7.2130828795801275E-3</v>
      </c>
      <c r="AE45" s="304">
        <f t="shared" si="15"/>
        <v>0.6</v>
      </c>
      <c r="AF45" s="177">
        <f t="shared" si="23"/>
        <v>8.0054121537465051E-4</v>
      </c>
      <c r="AG45" s="799">
        <f t="shared" si="24"/>
        <v>2</v>
      </c>
      <c r="AH45" s="176">
        <f t="shared" si="16"/>
        <v>8</v>
      </c>
      <c r="AI45" s="224">
        <f t="shared" si="17"/>
        <v>2.0008005412153747</v>
      </c>
      <c r="AJ45" s="264" t="b">
        <f t="shared" si="18"/>
        <v>0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'2025'!Wh/'2025'!Env_an*'2026'!Env_an</f>
        <v>12.831411921920571</v>
      </c>
      <c r="C46" s="829"/>
      <c r="D46" s="391">
        <f t="shared" si="0"/>
        <v>13.480007361287999</v>
      </c>
      <c r="E46" s="383">
        <f t="shared" si="1"/>
        <v>13.943823428800933</v>
      </c>
      <c r="F46" s="383">
        <f t="shared" si="2"/>
        <v>13.960073942923973</v>
      </c>
      <c r="G46" s="110">
        <f t="shared" si="21"/>
        <v>0.41351811265733018</v>
      </c>
      <c r="H46" s="412" t="b">
        <f>Wh_hp&gt;='2025'!Maxi_hp</f>
        <v>0</v>
      </c>
      <c r="I46" s="388">
        <f>IF(H46,Wh_hp,'2025'!Maxi_hp)</f>
        <v>14.021130827306354</v>
      </c>
      <c r="J46" s="85">
        <f>IF(H46,An,'2025'!An_max)</f>
        <v>2022</v>
      </c>
      <c r="K46" s="197">
        <f t="shared" si="3"/>
        <v>46054</v>
      </c>
      <c r="L46" s="147">
        <f>IF(t&lt;Tvie,1-EXP((T0-t)*PertePVj)+'2025'!Pspv,1-EXP((T0-t)*PertePVj)+Pspv)</f>
        <v>4.8115362401809247E-2</v>
      </c>
      <c r="M46" s="832"/>
      <c r="N46" s="832"/>
      <c r="O46" s="48">
        <f>IF(t&lt;Tnet,'2025'!Resal+('2025'!Salim-'2025'!Resal)*(1-EXP(('2025'!Tnet-t)/('2025'!Tau_j))),Resal+(Salim-Resal)*(1-EXP((Tnet-t)/(Tau_j))))*Salcycl</f>
        <v>3.3263191396623905E-2</v>
      </c>
      <c r="P46" s="169">
        <f>(INDEX(Models!$BJ46:$BT46,,T46)*(1-R46)+INDEX(Models!$BJ46:$BT46,,T46+1)*R46-ERP_i)*Q46*Ramure*Pc/MaxiM</f>
        <v>7.0270063283177971E-3</v>
      </c>
      <c r="Q46" s="304">
        <f t="shared" si="4"/>
        <v>0.6</v>
      </c>
      <c r="R46" s="177">
        <f t="shared" si="5"/>
        <v>9.0008980581490761E-4</v>
      </c>
      <c r="S46" s="799">
        <f t="shared" si="6"/>
        <v>2</v>
      </c>
      <c r="T46" s="176">
        <f t="shared" si="7"/>
        <v>8</v>
      </c>
      <c r="U46" s="250">
        <f t="shared" si="8"/>
        <v>2.0009000898058149</v>
      </c>
      <c r="V46" s="382">
        <f t="shared" si="9"/>
        <v>30.847728589240415</v>
      </c>
      <c r="W46" s="400">
        <f t="shared" si="10"/>
        <v>12.831411921920571</v>
      </c>
      <c r="X46" s="157">
        <f t="shared" si="11"/>
        <v>46054</v>
      </c>
      <c r="Y46" s="383">
        <f t="shared" si="12"/>
        <v>12.293508162075337</v>
      </c>
      <c r="Z46" s="383">
        <f t="shared" si="22"/>
        <v>12.914913926013657</v>
      </c>
      <c r="AA46" s="384">
        <f t="shared" si="13"/>
        <v>13.943823428800933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7.3789625065250483E-2</v>
      </c>
      <c r="AD46" s="230">
        <f>(INDEX(Models!$BJ46:$BT46,,AH46)*(1-AF46)+INDEX(Models!$BJ46:$BT46,,AH46+1)*AF46-ERP_i)*AE46*Ramure*Pc/MaxiM</f>
        <v>7.0270063283177971E-3</v>
      </c>
      <c r="AE46" s="304">
        <f t="shared" si="15"/>
        <v>0.6</v>
      </c>
      <c r="AF46" s="177">
        <f t="shared" si="23"/>
        <v>9.0008980581490761E-4</v>
      </c>
      <c r="AG46" s="799">
        <f t="shared" si="24"/>
        <v>2</v>
      </c>
      <c r="AH46" s="176">
        <f t="shared" si="16"/>
        <v>8</v>
      </c>
      <c r="AI46" s="224">
        <f t="shared" si="17"/>
        <v>2.0009000898058149</v>
      </c>
      <c r="AJ46" s="264" t="b">
        <f t="shared" si="18"/>
        <v>0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'2025'!Wh/'2025'!Env_an*'2026'!Env_an</f>
        <v>5.4173192029307184</v>
      </c>
      <c r="C47" s="829"/>
      <c r="D47" s="391">
        <f t="shared" si="0"/>
        <v>5.6912600672665876</v>
      </c>
      <c r="E47" s="383">
        <f t="shared" si="1"/>
        <v>5.8875640519289121</v>
      </c>
      <c r="F47" s="383">
        <f t="shared" si="2"/>
        <v>5.8875640519289121</v>
      </c>
      <c r="G47" s="110">
        <f t="shared" si="21"/>
        <v>0.17249658770151569</v>
      </c>
      <c r="H47" s="412" t="b">
        <f>Wh_hp&gt;='2025'!Maxi_hp</f>
        <v>0</v>
      </c>
      <c r="I47" s="388">
        <f>IF(H47,Wh_hp,'2025'!Maxi_hp)</f>
        <v>29.977059055663016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4.8133605053728989E-2</v>
      </c>
      <c r="M47" s="832"/>
      <c r="N47" s="832"/>
      <c r="O47" s="48">
        <f>IF(t&lt;Tnet,'2025'!Resal+('2025'!Salim-'2025'!Resal)*(1-EXP(('2025'!Tnet-t)/('2025'!Tau_j))),Resal+(Salim-Resal)*(1-EXP((Tnet-t)/(Tau_j))))*Salcycl</f>
        <v>3.3342139963302882E-2</v>
      </c>
      <c r="P47" s="169">
        <f>(INDEX(Models!$BJ47:$BT47,,T47)*(1-R47)+INDEX(Models!$BJ47:$BT47,,T47+1)*R47-ERP_i)*Q47*Ramure*Pc/MaxiM</f>
        <v>6.8461092486387064E-3</v>
      </c>
      <c r="Q47" s="304">
        <f t="shared" si="4"/>
        <v>0.6</v>
      </c>
      <c r="R47" s="177">
        <f t="shared" si="5"/>
        <v>1.0037723710598634E-3</v>
      </c>
      <c r="S47" s="799">
        <f t="shared" si="6"/>
        <v>2</v>
      </c>
      <c r="T47" s="176">
        <f t="shared" si="7"/>
        <v>8</v>
      </c>
      <c r="U47" s="250">
        <f t="shared" si="8"/>
        <v>2.0010037723710599</v>
      </c>
      <c r="V47" s="382">
        <f t="shared" si="9"/>
        <v>31.190365650261679</v>
      </c>
      <c r="W47" s="400">
        <f t="shared" si="10"/>
        <v>5.4173192029307184</v>
      </c>
      <c r="X47" s="157">
        <f t="shared" si="11"/>
        <v>46055</v>
      </c>
      <c r="Y47" s="383">
        <f t="shared" si="12"/>
        <v>5.1904342060950102</v>
      </c>
      <c r="Z47" s="383">
        <f t="shared" si="22"/>
        <v>5.4529020392488894</v>
      </c>
      <c r="AA47" s="384">
        <f t="shared" si="13"/>
        <v>5.8875640519289121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7.3827139517508272E-2</v>
      </c>
      <c r="AD47" s="230">
        <f>(INDEX(Models!$BJ47:$BT47,,AH47)*(1-AF47)+INDEX(Models!$BJ47:$BT47,,AH47+1)*AF47-ERP_i)*AE47*Ramure*Pc/MaxiM</f>
        <v>6.8461092486387064E-3</v>
      </c>
      <c r="AE47" s="304">
        <f t="shared" si="15"/>
        <v>0.6</v>
      </c>
      <c r="AF47" s="177">
        <f t="shared" si="23"/>
        <v>1.0037723710598634E-3</v>
      </c>
      <c r="AG47" s="799">
        <f t="shared" si="24"/>
        <v>2</v>
      </c>
      <c r="AH47" s="176">
        <f t="shared" si="16"/>
        <v>8</v>
      </c>
      <c r="AI47" s="224">
        <f t="shared" si="17"/>
        <v>2.0010037723710599</v>
      </c>
      <c r="AJ47" s="264" t="b">
        <f t="shared" si="18"/>
        <v>0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'2025'!Wh/'2025'!Env_an*'2026'!Env_an</f>
        <v>10.632840084106334</v>
      </c>
      <c r="C48" s="829"/>
      <c r="D48" s="391">
        <f t="shared" si="0"/>
        <v>11.170731439223035</v>
      </c>
      <c r="E48" s="383">
        <f t="shared" si="1"/>
        <v>11.556977835113246</v>
      </c>
      <c r="F48" s="383">
        <f t="shared" si="2"/>
        <v>11.561076552445236</v>
      </c>
      <c r="G48" s="110">
        <f t="shared" si="21"/>
        <v>0.33507394801936252</v>
      </c>
      <c r="H48" s="412" t="b">
        <f>Wh_hp&gt;='2025'!Maxi_hp</f>
        <v>0</v>
      </c>
      <c r="I48" s="388">
        <f>IF(H48,Wh_hp,'2025'!Maxi_hp)</f>
        <v>27.588451395254136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4.8151847356032507E-2</v>
      </c>
      <c r="M48" s="832"/>
      <c r="N48" s="832"/>
      <c r="O48" s="48">
        <f>IF(t&lt;Tnet,'2025'!Resal+('2025'!Salim-'2025'!Resal)*(1-EXP(('2025'!Tnet-t)/('2025'!Tau_j))),Resal+(Salim-Resal)*(1-EXP((Tnet-t)/(Tau_j))))*Salcycl</f>
        <v>3.3421055348630047E-2</v>
      </c>
      <c r="P48" s="169">
        <f>(INDEX(Models!$BJ48:$BT48,,T48)*(1-R48)+INDEX(Models!$BJ48:$BT48,,T48+1)*R48-ERP_i)*Q48*Ramure*Pc/MaxiM</f>
        <v>6.6704150384510816E-3</v>
      </c>
      <c r="Q48" s="304">
        <f t="shared" si="4"/>
        <v>0.6</v>
      </c>
      <c r="R48" s="177">
        <f t="shared" si="5"/>
        <v>1.1117587456928035E-3</v>
      </c>
      <c r="S48" s="799">
        <f t="shared" si="6"/>
        <v>2</v>
      </c>
      <c r="T48" s="176">
        <f t="shared" si="7"/>
        <v>8</v>
      </c>
      <c r="U48" s="250">
        <f t="shared" si="8"/>
        <v>2.0011117587456928</v>
      </c>
      <c r="V48" s="382">
        <f t="shared" si="9"/>
        <v>31.532324447488794</v>
      </c>
      <c r="W48" s="400">
        <f t="shared" si="10"/>
        <v>10.632840084106334</v>
      </c>
      <c r="X48" s="157">
        <f t="shared" si="11"/>
        <v>46056</v>
      </c>
      <c r="Y48" s="383">
        <f t="shared" si="12"/>
        <v>10.187940035645235</v>
      </c>
      <c r="Z48" s="383">
        <f t="shared" si="22"/>
        <v>10.703324902555089</v>
      </c>
      <c r="AA48" s="384">
        <f t="shared" si="13"/>
        <v>11.556977835113246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7.3864720062413528E-2</v>
      </c>
      <c r="AD48" s="230">
        <f>(INDEX(Models!$BJ48:$BT48,,AH48)*(1-AF48)+INDEX(Models!$BJ48:$BT48,,AH48+1)*AF48-ERP_i)*AE48*Ramure*Pc/MaxiM</f>
        <v>6.6704150384510816E-3</v>
      </c>
      <c r="AE48" s="304">
        <f t="shared" si="15"/>
        <v>0.6</v>
      </c>
      <c r="AF48" s="177">
        <f t="shared" si="23"/>
        <v>1.1117587456928035E-3</v>
      </c>
      <c r="AG48" s="799">
        <f t="shared" si="24"/>
        <v>2</v>
      </c>
      <c r="AH48" s="176">
        <f t="shared" si="16"/>
        <v>8</v>
      </c>
      <c r="AI48" s="224">
        <f t="shared" si="17"/>
        <v>2.0011117587456928</v>
      </c>
      <c r="AJ48" s="264" t="b">
        <f t="shared" si="18"/>
        <v>0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'2025'!Wh/'2025'!Env_an*'2026'!Env_an</f>
        <v>10.473619279196958</v>
      </c>
      <c r="C49" s="829"/>
      <c r="D49" s="391">
        <f t="shared" si="0"/>
        <v>11.003666896315977</v>
      </c>
      <c r="E49" s="383">
        <f t="shared" si="1"/>
        <v>11.385065871775161</v>
      </c>
      <c r="F49" s="383">
        <f t="shared" si="2"/>
        <v>11.388091021780717</v>
      </c>
      <c r="G49" s="110">
        <f t="shared" si="21"/>
        <v>0.32655870078772031</v>
      </c>
      <c r="H49" s="412" t="b">
        <f>Wh_hp&gt;='2025'!Maxi_hp</f>
        <v>0</v>
      </c>
      <c r="I49" s="388">
        <f>IF(H49,Wh_hp,'2025'!Maxi_hp)</f>
        <v>19.347515119040757</v>
      </c>
      <c r="J49" s="85">
        <f>IF(H49,An,'2025'!An_max)</f>
        <v>2020</v>
      </c>
      <c r="K49" s="197">
        <f t="shared" si="3"/>
        <v>46057</v>
      </c>
      <c r="L49" s="147">
        <f>IF(t&lt;Tvie,1-EXP((T0-t)*PertePVj)+'2025'!Pspv,1-EXP((T0-t)*PertePVj)+Pspv)</f>
        <v>4.8170089308726571E-2</v>
      </c>
      <c r="M49" s="832"/>
      <c r="N49" s="832"/>
      <c r="O49" s="48">
        <f>IF(t&lt;Tnet,'2025'!Resal+('2025'!Salim-'2025'!Resal)*(1-EXP(('2025'!Tnet-t)/('2025'!Tau_j))),Resal+(Salim-Resal)*(1-EXP((Tnet-t)/(Tau_j))))*Salcycl</f>
        <v>3.3499935771536898E-2</v>
      </c>
      <c r="P49" s="169">
        <f>(INDEX(Models!$BJ49:$BT49,,T49)*(1-R49)+INDEX(Models!$BJ49:$BT49,,T49+1)*R49-ERP_i)*Q49*Ramure*Pc/MaxiM</f>
        <v>6.4999250956231554E-3</v>
      </c>
      <c r="Q49" s="304">
        <f t="shared" si="4"/>
        <v>0.6</v>
      </c>
      <c r="R49" s="177">
        <f t="shared" si="5"/>
        <v>1.2242255850587469E-3</v>
      </c>
      <c r="S49" s="799">
        <f t="shared" si="6"/>
        <v>2</v>
      </c>
      <c r="T49" s="176">
        <f t="shared" si="7"/>
        <v>8</v>
      </c>
      <c r="U49" s="250">
        <f t="shared" si="8"/>
        <v>2.0012242255850587</v>
      </c>
      <c r="V49" s="382">
        <f t="shared" si="9"/>
        <v>31.872696675397915</v>
      </c>
      <c r="W49" s="400">
        <f t="shared" si="10"/>
        <v>10.473619279196958</v>
      </c>
      <c r="X49" s="157">
        <f t="shared" si="11"/>
        <v>46057</v>
      </c>
      <c r="Y49" s="383">
        <f t="shared" si="12"/>
        <v>10.035792478673242</v>
      </c>
      <c r="Z49" s="383">
        <f t="shared" si="22"/>
        <v>10.543682611722797</v>
      </c>
      <c r="AA49" s="384">
        <f t="shared" si="13"/>
        <v>11.385065871775161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7.3902362052928217E-2</v>
      </c>
      <c r="AD49" s="230">
        <f>(INDEX(Models!$BJ49:$BT49,,AH49)*(1-AF49)+INDEX(Models!$BJ49:$BT49,,AH49+1)*AF49-ERP_i)*AE49*Ramure*Pc/MaxiM</f>
        <v>6.4999250956231554E-3</v>
      </c>
      <c r="AE49" s="304">
        <f t="shared" si="15"/>
        <v>0.6</v>
      </c>
      <c r="AF49" s="177">
        <f t="shared" si="23"/>
        <v>1.2242255850587469E-3</v>
      </c>
      <c r="AG49" s="799">
        <f t="shared" si="24"/>
        <v>2</v>
      </c>
      <c r="AH49" s="176">
        <f t="shared" si="16"/>
        <v>8</v>
      </c>
      <c r="AI49" s="224">
        <f t="shared" si="17"/>
        <v>2.0012242255850587</v>
      </c>
      <c r="AJ49" s="264" t="b">
        <f t="shared" si="18"/>
        <v>0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'2025'!Wh/'2025'!Env_an*'2026'!Env_an</f>
        <v>9.2040710383960764</v>
      </c>
      <c r="C50" s="829"/>
      <c r="D50" s="391">
        <f t="shared" si="0"/>
        <v>9.6700548410100957</v>
      </c>
      <c r="E50" s="383">
        <f t="shared" si="1"/>
        <v>10.0060456372488</v>
      </c>
      <c r="F50" s="383">
        <f t="shared" si="2"/>
        <v>10.0060456372488</v>
      </c>
      <c r="G50" s="110">
        <f t="shared" si="21"/>
        <v>0.28393677816575558</v>
      </c>
      <c r="H50" s="412" t="b">
        <f>Wh_hp&gt;='2025'!Maxi_hp</f>
        <v>0</v>
      </c>
      <c r="I50" s="388">
        <f>IF(H50,Wh_hp,'2025'!Maxi_hp)</f>
        <v>35.681802082367859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4.8188330911817623E-2</v>
      </c>
      <c r="M50" s="832"/>
      <c r="N50" s="832"/>
      <c r="O50" s="48">
        <f>IF(t&lt;Tnet,'2025'!Resal+('2025'!Salim-'2025'!Resal)*(1-EXP(('2025'!Tnet-t)/('2025'!Tau_j))),Resal+(Salim-Resal)*(1-EXP((Tnet-t)/(Tau_j))))*Salcycl</f>
        <v>3.3578779112093469E-2</v>
      </c>
      <c r="P50" s="169">
        <f>(INDEX(Models!$BJ50:$BT50,,T50)*(1-R50)+INDEX(Models!$BJ50:$BT50,,T50+1)*R50-ERP_i)*Q50*Ramure*Pc/MaxiM</f>
        <v>6.3346216074928888E-3</v>
      </c>
      <c r="Q50" s="304">
        <f t="shared" si="4"/>
        <v>0.6</v>
      </c>
      <c r="R50" s="177">
        <f t="shared" si="5"/>
        <v>1.3413566258395626E-3</v>
      </c>
      <c r="S50" s="799">
        <f t="shared" si="6"/>
        <v>2</v>
      </c>
      <c r="T50" s="176">
        <f t="shared" si="7"/>
        <v>8</v>
      </c>
      <c r="U50" s="250">
        <f t="shared" si="8"/>
        <v>2.0013413566258396</v>
      </c>
      <c r="V50" s="382">
        <f t="shared" si="9"/>
        <v>32.210574446189817</v>
      </c>
      <c r="W50" s="400">
        <f t="shared" si="10"/>
        <v>9.2040710383960764</v>
      </c>
      <c r="X50" s="157">
        <f t="shared" si="11"/>
        <v>46058</v>
      </c>
      <c r="Y50" s="383">
        <f t="shared" si="12"/>
        <v>8.8196754046020729</v>
      </c>
      <c r="Z50" s="383">
        <f t="shared" si="22"/>
        <v>9.2661980211391555</v>
      </c>
      <c r="AA50" s="384">
        <f t="shared" si="13"/>
        <v>10.0060456372488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7.3940060132792765E-2</v>
      </c>
      <c r="AD50" s="230">
        <f>(INDEX(Models!$BJ50:$BT50,,AH50)*(1-AF50)+INDEX(Models!$BJ50:$BT50,,AH50+1)*AF50-ERP_i)*AE50*Ramure*Pc/MaxiM</f>
        <v>6.3346216074928888E-3</v>
      </c>
      <c r="AE50" s="304">
        <f t="shared" si="15"/>
        <v>0.6</v>
      </c>
      <c r="AF50" s="177">
        <f t="shared" si="23"/>
        <v>1.3413566258395626E-3</v>
      </c>
      <c r="AG50" s="799">
        <f t="shared" si="24"/>
        <v>2</v>
      </c>
      <c r="AH50" s="176">
        <f t="shared" si="16"/>
        <v>8</v>
      </c>
      <c r="AI50" s="224">
        <f t="shared" si="17"/>
        <v>2.0013413566258396</v>
      </c>
      <c r="AJ50" s="264" t="b">
        <f t="shared" si="18"/>
        <v>0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'2025'!Wh/'2025'!Env_an*'2026'!Env_an</f>
        <v>21.444714636037066</v>
      </c>
      <c r="C51" s="829"/>
      <c r="D51" s="391">
        <f t="shared" si="0"/>
        <v>22.53084966642751</v>
      </c>
      <c r="E51" s="383">
        <f t="shared" si="1"/>
        <v>23.315596281935012</v>
      </c>
      <c r="F51" s="383">
        <f t="shared" si="2"/>
        <v>23.389630668667934</v>
      </c>
      <c r="G51" s="110">
        <f t="shared" si="21"/>
        <v>0.65688491031081575</v>
      </c>
      <c r="H51" s="412" t="b">
        <f>Wh_hp&gt;='2025'!Maxi_hp</f>
        <v>0</v>
      </c>
      <c r="I51" s="388">
        <f>IF(H51,Wh_hp,'2025'!Maxi_hp)</f>
        <v>37.076232391062831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4.8206572165312545E-2</v>
      </c>
      <c r="M51" s="832"/>
      <c r="N51" s="832"/>
      <c r="O51" s="48">
        <f>IF(t&lt;Tnet,'2025'!Resal+('2025'!Salim-'2025'!Resal)*(1-EXP(('2025'!Tnet-t)/('2025'!Tau_j))),Resal+(Salim-Resal)*(1-EXP((Tnet-t)/(Tau_j))))*Salcycl</f>
        <v>3.3657582933683199E-2</v>
      </c>
      <c r="P51" s="169">
        <f>(INDEX(Models!$BJ51:$BT51,,T51)*(1-R51)+INDEX(Models!$BJ51:$BT51,,T51+1)*R51-ERP_i)*Q51*Ramure*Pc/MaxiM</f>
        <v>6.1740006452264424E-3</v>
      </c>
      <c r="Q51" s="304">
        <f t="shared" si="4"/>
        <v>0.6</v>
      </c>
      <c r="R51" s="177">
        <f t="shared" si="5"/>
        <v>1.4633429554340438E-3</v>
      </c>
      <c r="S51" s="799">
        <f t="shared" si="6"/>
        <v>2</v>
      </c>
      <c r="T51" s="176">
        <f t="shared" si="7"/>
        <v>8</v>
      </c>
      <c r="U51" s="250">
        <f t="shared" si="8"/>
        <v>2.001463342955434</v>
      </c>
      <c r="V51" s="382">
        <f t="shared" si="9"/>
        <v>32.547540602404148</v>
      </c>
      <c r="W51" s="400">
        <f t="shared" si="10"/>
        <v>21.444714636037066</v>
      </c>
      <c r="X51" s="157">
        <f t="shared" si="11"/>
        <v>46059</v>
      </c>
      <c r="Y51" s="383">
        <f t="shared" si="12"/>
        <v>20.549943060671787</v>
      </c>
      <c r="Z51" s="383">
        <f t="shared" si="22"/>
        <v>21.59075956998624</v>
      </c>
      <c r="AA51" s="384">
        <f t="shared" si="13"/>
        <v>23.315596281935012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7.3977808291576116E-2</v>
      </c>
      <c r="AD51" s="230">
        <f>(INDEX(Models!$BJ51:$BT51,,AH51)*(1-AF51)+INDEX(Models!$BJ51:$BT51,,AH51+1)*AF51-ERP_i)*AE51*Ramure*Pc/MaxiM</f>
        <v>6.1740006452264424E-3</v>
      </c>
      <c r="AE51" s="304">
        <f t="shared" si="15"/>
        <v>0.6</v>
      </c>
      <c r="AF51" s="177">
        <f t="shared" si="23"/>
        <v>1.4633429554340438E-3</v>
      </c>
      <c r="AG51" s="799">
        <f t="shared" si="24"/>
        <v>2</v>
      </c>
      <c r="AH51" s="176">
        <f t="shared" si="16"/>
        <v>8</v>
      </c>
      <c r="AI51" s="224">
        <f t="shared" si="17"/>
        <v>2.001463342955434</v>
      </c>
      <c r="AJ51" s="264" t="b">
        <f t="shared" si="18"/>
        <v>0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'2025'!Wh/'2025'!Env_an*'2026'!Env_an</f>
        <v>9.0384763862673392</v>
      </c>
      <c r="C52" s="829"/>
      <c r="D52" s="391">
        <f t="shared" si="0"/>
        <v>9.4964404518823251</v>
      </c>
      <c r="E52" s="383">
        <f t="shared" si="1"/>
        <v>9.8280012892255151</v>
      </c>
      <c r="F52" s="383">
        <f t="shared" si="2"/>
        <v>9.8280012892255151</v>
      </c>
      <c r="G52" s="110">
        <f t="shared" si="21"/>
        <v>0.27319117228698303</v>
      </c>
      <c r="H52" s="412" t="b">
        <f>Wh_hp&gt;='2025'!Maxi_hp</f>
        <v>0</v>
      </c>
      <c r="I52" s="388">
        <f>IF(H52,Wh_hp,'2025'!Maxi_hp)</f>
        <v>24.451684563184926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4.8224813069217998E-2</v>
      </c>
      <c r="M52" s="832"/>
      <c r="N52" s="832"/>
      <c r="O52" s="48">
        <f>IF(t&lt;Tnet,'2025'!Resal+('2025'!Salim-'2025'!Resal)*(1-EXP(('2025'!Tnet-t)/('2025'!Tau_j))),Resal+(Salim-Resal)*(1-EXP((Tnet-t)/(Tau_j))))*Salcycl</f>
        <v>3.3736344510524451E-2</v>
      </c>
      <c r="P52" s="169">
        <f>(INDEX(Models!$BJ52:$BT52,,T52)*(1-R52)+INDEX(Models!$BJ52:$BT52,,T52+1)*R52-ERP_i)*Q52*Ramure*Pc/MaxiM</f>
        <v>6.0160842235740608E-3</v>
      </c>
      <c r="Q52" s="304">
        <f t="shared" si="4"/>
        <v>0.6</v>
      </c>
      <c r="R52" s="177">
        <f t="shared" si="5"/>
        <v>1.5903832903352288E-3</v>
      </c>
      <c r="S52" s="799">
        <f t="shared" si="6"/>
        <v>2</v>
      </c>
      <c r="T52" s="176">
        <f t="shared" si="7"/>
        <v>8</v>
      </c>
      <c r="U52" s="250">
        <f t="shared" si="8"/>
        <v>2.0015903832903352</v>
      </c>
      <c r="V52" s="382">
        <f t="shared" si="9"/>
        <v>32.885763020325982</v>
      </c>
      <c r="W52" s="400">
        <f t="shared" si="10"/>
        <v>9.0384763862673392</v>
      </c>
      <c r="X52" s="157">
        <f t="shared" si="11"/>
        <v>46060</v>
      </c>
      <c r="Y52" s="383">
        <f t="shared" si="12"/>
        <v>8.6617023071591834</v>
      </c>
      <c r="Z52" s="383">
        <f t="shared" si="22"/>
        <v>9.1005758776826635</v>
      </c>
      <c r="AA52" s="384">
        <f t="shared" si="13"/>
        <v>9.8280012892255151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7.4015599930815176E-2</v>
      </c>
      <c r="AD52" s="230">
        <f>(INDEX(Models!$BJ52:$BT52,,AH52)*(1-AF52)+INDEX(Models!$BJ52:$BT52,,AH52+1)*AF52-ERP_i)*AE52*Ramure*Pc/MaxiM</f>
        <v>6.0160842235740608E-3</v>
      </c>
      <c r="AE52" s="304">
        <f t="shared" si="15"/>
        <v>0.6</v>
      </c>
      <c r="AF52" s="177">
        <f t="shared" si="23"/>
        <v>1.5903832903352288E-3</v>
      </c>
      <c r="AG52" s="799">
        <f t="shared" si="24"/>
        <v>2</v>
      </c>
      <c r="AH52" s="176">
        <f t="shared" si="16"/>
        <v>8</v>
      </c>
      <c r="AI52" s="224">
        <f t="shared" si="17"/>
        <v>2.0015903832903352</v>
      </c>
      <c r="AJ52" s="264" t="b">
        <f t="shared" si="18"/>
        <v>0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'2025'!Wh/'2025'!Env_an*'2026'!Env_an</f>
        <v>33.522942351442829</v>
      </c>
      <c r="C53" s="829"/>
      <c r="D53" s="391">
        <f t="shared" si="0"/>
        <v>35.222167255066317</v>
      </c>
      <c r="E53" s="383">
        <f t="shared" si="1"/>
        <v>36.454891634332853</v>
      </c>
      <c r="F53" s="383">
        <f t="shared" si="2"/>
        <v>36.669864928426449</v>
      </c>
      <c r="G53" s="110">
        <f t="shared" si="21"/>
        <v>1.0089647411935274</v>
      </c>
      <c r="H53" s="412" t="b">
        <f>Wh_hp&gt;='2025'!Maxi_hp</f>
        <v>1</v>
      </c>
      <c r="I53" s="388">
        <f>IF(H53,Wh_hp,'2025'!Maxi_hp)</f>
        <v>36.669864928426449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4.8243053623540755E-2</v>
      </c>
      <c r="M53" s="832"/>
      <c r="N53" s="832"/>
      <c r="O53" s="48">
        <f>IF(t&lt;Tnet,'2025'!Resal+('2025'!Salim-'2025'!Resal)*(1-EXP(('2025'!Tnet-t)/('2025'!Tau_j))),Resal+(Salim-Resal)*(1-EXP((Tnet-t)/(Tau_j))))*Salcycl</f>
        <v>3.3815060860188248E-2</v>
      </c>
      <c r="P53" s="169">
        <f>(INDEX(Models!$BJ53:$BT53,,T53)*(1-R53)+INDEX(Models!$BJ53:$BT53,,T53+1)*R53-ERP_i)*Q53*Ramure*Pc/MaxiM</f>
        <v>5.8623966713045083E-3</v>
      </c>
      <c r="Q53" s="304">
        <f t="shared" si="4"/>
        <v>0.6</v>
      </c>
      <c r="R53" s="177">
        <f t="shared" si="5"/>
        <v>1.7226842637017015E-3</v>
      </c>
      <c r="S53" s="799">
        <f t="shared" si="6"/>
        <v>2</v>
      </c>
      <c r="T53" s="176">
        <f t="shared" si="7"/>
        <v>8</v>
      </c>
      <c r="U53" s="250">
        <f t="shared" si="8"/>
        <v>2.0017226842637017</v>
      </c>
      <c r="V53" s="382">
        <f t="shared" si="9"/>
        <v>33.225088036067326</v>
      </c>
      <c r="W53" s="400">
        <f t="shared" si="10"/>
        <v>33.522942351442829</v>
      </c>
      <c r="X53" s="157">
        <f t="shared" si="11"/>
        <v>46061</v>
      </c>
      <c r="Y53" s="383">
        <f t="shared" si="12"/>
        <v>32.126824066733278</v>
      </c>
      <c r="Z53" s="383">
        <f t="shared" si="22"/>
        <v>33.755281943616929</v>
      </c>
      <c r="AA53" s="384">
        <f t="shared" si="13"/>
        <v>36.454891634332853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7.4053427940338701E-2</v>
      </c>
      <c r="AD53" s="230">
        <f>(INDEX(Models!$BJ53:$BT53,,AH53)*(1-AF53)+INDEX(Models!$BJ53:$BT53,,AH53+1)*AF53-ERP_i)*AE53*Ramure*Pc/MaxiM</f>
        <v>5.8623966713045083E-3</v>
      </c>
      <c r="AE53" s="304">
        <f t="shared" si="15"/>
        <v>0.6</v>
      </c>
      <c r="AF53" s="177">
        <f t="shared" si="23"/>
        <v>1.7226842637017015E-3</v>
      </c>
      <c r="AG53" s="799">
        <f t="shared" si="24"/>
        <v>2</v>
      </c>
      <c r="AH53" s="176">
        <f t="shared" si="16"/>
        <v>8</v>
      </c>
      <c r="AI53" s="224">
        <f t="shared" si="17"/>
        <v>2.0017226842637017</v>
      </c>
      <c r="AJ53" s="264" t="b">
        <f t="shared" si="18"/>
        <v>0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'2025'!Wh/'2025'!Env_an*'2026'!Env_an</f>
        <v>33.81194472351774</v>
      </c>
      <c r="C54" s="829"/>
      <c r="D54" s="391">
        <f t="shared" si="0"/>
        <v>35.526499557345304</v>
      </c>
      <c r="E54" s="383">
        <f t="shared" si="1"/>
        <v>36.77286921293728</v>
      </c>
      <c r="F54" s="383">
        <f t="shared" si="2"/>
        <v>36.984153600859244</v>
      </c>
      <c r="G54" s="110">
        <f t="shared" si="21"/>
        <v>1.0073447597282732</v>
      </c>
      <c r="H54" s="412" t="b">
        <f>Wh_hp&gt;='2025'!Maxi_hp</f>
        <v>0</v>
      </c>
      <c r="I54" s="388">
        <f>IF(H54,Wh_hp,'2025'!Maxi_hp)</f>
        <v>36.984153600859251</v>
      </c>
      <c r="J54" s="85">
        <f>IF(H54,An,'2025'!An_max)</f>
        <v>2025</v>
      </c>
      <c r="K54" s="197">
        <f t="shared" si="3"/>
        <v>46062</v>
      </c>
      <c r="L54" s="147">
        <f>IF(t&lt;Tvie,1-EXP((T0-t)*PertePVj)+'2025'!Pspv,1-EXP((T0-t)*PertePVj)+Pspv)</f>
        <v>4.8261293828287366E-2</v>
      </c>
      <c r="M54" s="832"/>
      <c r="N54" s="832"/>
      <c r="O54" s="48">
        <f>IF(t&lt;Tnet,'2025'!Resal+('2025'!Salim-'2025'!Resal)*(1-EXP(('2025'!Tnet-t)/('2025'!Tau_j))),Resal+(Salim-Resal)*(1-EXP((Tnet-t)/(Tau_j))))*Salcycl</f>
        <v>3.3893728780714338E-2</v>
      </c>
      <c r="P54" s="169">
        <f>(INDEX(Models!$BJ54:$BT54,,T54)*(1-R54)+INDEX(Models!$BJ54:$BT54,,T54+1)*R54-ERP_i)*Q54*Ramure*Pc/MaxiM</f>
        <v>5.7128355620137752E-3</v>
      </c>
      <c r="Q54" s="304">
        <f t="shared" si="4"/>
        <v>0.6</v>
      </c>
      <c r="R54" s="177">
        <f t="shared" si="5"/>
        <v>1.8604607222929559E-3</v>
      </c>
      <c r="S54" s="799">
        <f t="shared" si="6"/>
        <v>2</v>
      </c>
      <c r="T54" s="176">
        <f t="shared" si="7"/>
        <v>8</v>
      </c>
      <c r="U54" s="250">
        <f t="shared" si="8"/>
        <v>2.001860460722293</v>
      </c>
      <c r="V54" s="382">
        <f t="shared" si="9"/>
        <v>33.565414816510639</v>
      </c>
      <c r="W54" s="400">
        <f t="shared" si="10"/>
        <v>33.81194472351774</v>
      </c>
      <c r="X54" s="157">
        <f t="shared" si="11"/>
        <v>46062</v>
      </c>
      <c r="Y54" s="383">
        <f t="shared" si="12"/>
        <v>32.405104107649528</v>
      </c>
      <c r="Z54" s="383">
        <f t="shared" si="22"/>
        <v>34.048320087764722</v>
      </c>
      <c r="AA54" s="384">
        <f t="shared" si="13"/>
        <v>36.77286921293728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7.4091284783783351E-2</v>
      </c>
      <c r="AD54" s="230">
        <f>(INDEX(Models!$BJ54:$BT54,,AH54)*(1-AF54)+INDEX(Models!$BJ54:$BT54,,AH54+1)*AF54-ERP_i)*AE54*Ramure*Pc/MaxiM</f>
        <v>5.7128355620137752E-3</v>
      </c>
      <c r="AE54" s="304">
        <f t="shared" si="15"/>
        <v>0.6</v>
      </c>
      <c r="AF54" s="177">
        <f t="shared" si="23"/>
        <v>1.8604607222929559E-3</v>
      </c>
      <c r="AG54" s="799">
        <f t="shared" si="24"/>
        <v>2</v>
      </c>
      <c r="AH54" s="176">
        <f t="shared" si="16"/>
        <v>8</v>
      </c>
      <c r="AI54" s="224">
        <f t="shared" si="17"/>
        <v>2.001860460722293</v>
      </c>
      <c r="AJ54" s="264" t="b">
        <f t="shared" si="18"/>
        <v>0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'2025'!Wh/'2025'!Env_an*'2026'!Env_an</f>
        <v>31.533636449943398</v>
      </c>
      <c r="C55" s="829"/>
      <c r="D55" s="391">
        <f t="shared" si="0"/>
        <v>33.13329655711695</v>
      </c>
      <c r="E55" s="383">
        <f t="shared" si="1"/>
        <v>34.298496923888621</v>
      </c>
      <c r="F55" s="383">
        <f t="shared" si="2"/>
        <v>34.471221097623321</v>
      </c>
      <c r="G55" s="110">
        <f t="shared" si="21"/>
        <v>0.9294932594749663</v>
      </c>
      <c r="H55" s="412" t="b">
        <f>Wh_hp&gt;='2025'!Maxi_hp</f>
        <v>0</v>
      </c>
      <c r="I55" s="388">
        <f>IF(H55,Wh_hp,'2025'!Maxi_hp)</f>
        <v>34.485478690767295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4.8279533683464715E-2</v>
      </c>
      <c r="M55" s="832"/>
      <c r="N55" s="832"/>
      <c r="O55" s="48">
        <f>IF(t&lt;Tnet,'2025'!Resal+('2025'!Salim-'2025'!Resal)*(1-EXP(('2025'!Tnet-t)/('2025'!Tau_j))),Resal+(Salim-Resal)*(1-EXP((Tnet-t)/(Tau_j))))*Salcycl</f>
        <v>3.397234489188708E-2</v>
      </c>
      <c r="P55" s="169">
        <f>(INDEX(Models!$BJ55:$BT55,,T55)*(1-R55)+INDEX(Models!$BJ55:$BT55,,T55+1)*R55-ERP_i)*Q55*Ramure*Pc/MaxiM</f>
        <v>5.5672999134476616E-3</v>
      </c>
      <c r="Q55" s="304">
        <f t="shared" si="4"/>
        <v>0.6</v>
      </c>
      <c r="R55" s="177">
        <f t="shared" si="5"/>
        <v>2.0039360329553446E-3</v>
      </c>
      <c r="S55" s="799">
        <f t="shared" si="6"/>
        <v>2</v>
      </c>
      <c r="T55" s="176">
        <f t="shared" si="7"/>
        <v>8</v>
      </c>
      <c r="U55" s="250">
        <f t="shared" si="8"/>
        <v>2.0020039360329553</v>
      </c>
      <c r="V55" s="382">
        <f t="shared" si="9"/>
        <v>33.906642581352209</v>
      </c>
      <c r="W55" s="400">
        <f t="shared" si="10"/>
        <v>31.533636449943398</v>
      </c>
      <c r="X55" s="157">
        <f t="shared" si="11"/>
        <v>46063</v>
      </c>
      <c r="Y55" s="383">
        <f t="shared" si="12"/>
        <v>30.222814255926945</v>
      </c>
      <c r="Z55" s="383">
        <f t="shared" si="22"/>
        <v>31.755978068748451</v>
      </c>
      <c r="AA55" s="384">
        <f t="shared" si="13"/>
        <v>34.298496923888621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7.4129162592233733E-2</v>
      </c>
      <c r="AD55" s="230">
        <f>(INDEX(Models!$BJ55:$BT55,,AH55)*(1-AF55)+INDEX(Models!$BJ55:$BT55,,AH55+1)*AF55-ERP_i)*AE55*Ramure*Pc/MaxiM</f>
        <v>5.5672999134476616E-3</v>
      </c>
      <c r="AE55" s="304">
        <f t="shared" si="15"/>
        <v>0.6</v>
      </c>
      <c r="AF55" s="177">
        <f t="shared" si="23"/>
        <v>2.0039360329553446E-3</v>
      </c>
      <c r="AG55" s="799">
        <f t="shared" si="24"/>
        <v>2</v>
      </c>
      <c r="AH55" s="176">
        <f t="shared" si="16"/>
        <v>8</v>
      </c>
      <c r="AI55" s="224">
        <f t="shared" si="17"/>
        <v>2.0020039360329553</v>
      </c>
      <c r="AJ55" s="264" t="b">
        <f t="shared" si="18"/>
        <v>0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'2025'!Wh/'2025'!Env_an*'2026'!Env_an</f>
        <v>17.469313924682638</v>
      </c>
      <c r="C56" s="829"/>
      <c r="D56" s="391">
        <f t="shared" si="0"/>
        <v>18.355861142850255</v>
      </c>
      <c r="E56" s="383">
        <f t="shared" si="1"/>
        <v>19.00292805365272</v>
      </c>
      <c r="F56" s="383">
        <f t="shared" si="2"/>
        <v>19.033920436070833</v>
      </c>
      <c r="G56" s="110">
        <f t="shared" si="21"/>
        <v>0.5081326404230615</v>
      </c>
      <c r="H56" s="412" t="b">
        <f>Wh_hp&gt;='2025'!Maxi_hp</f>
        <v>0</v>
      </c>
      <c r="I56" s="388">
        <f>IF(H56,Wh_hp,'2025'!Maxi_hp)</f>
        <v>31.561088268066062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4.8297773189079352E-2</v>
      </c>
      <c r="M56" s="832"/>
      <c r="N56" s="832"/>
      <c r="O56" s="48">
        <f>IF(t&lt;Tnet,'2025'!Resal+('2025'!Salim-'2025'!Resal)*(1-EXP(('2025'!Tnet-t)/('2025'!Tau_j))),Resal+(Salim-Resal)*(1-EXP((Tnet-t)/(Tau_j))))*Salcycl</f>
        <v>3.4050905680195212E-2</v>
      </c>
      <c r="P56" s="169">
        <f>(INDEX(Models!$BJ56:$BT56,,T56)*(1-R56)+INDEX(Models!$BJ56:$BT56,,T56+1)*R56-ERP_i)*Q56*Ramure*Pc/MaxiM</f>
        <v>5.4256904444416601E-3</v>
      </c>
      <c r="Q56" s="304">
        <f t="shared" si="4"/>
        <v>0.6</v>
      </c>
      <c r="R56" s="177">
        <f t="shared" si="5"/>
        <v>2.1533423988167044E-3</v>
      </c>
      <c r="S56" s="799">
        <f t="shared" si="6"/>
        <v>2</v>
      </c>
      <c r="T56" s="176">
        <f t="shared" si="7"/>
        <v>8</v>
      </c>
      <c r="U56" s="250">
        <f t="shared" si="8"/>
        <v>2.0021533423988167</v>
      </c>
      <c r="V56" s="382">
        <f t="shared" si="9"/>
        <v>34.248670596136058</v>
      </c>
      <c r="W56" s="400">
        <f t="shared" si="10"/>
        <v>17.469313924682638</v>
      </c>
      <c r="X56" s="157">
        <f t="shared" si="11"/>
        <v>46064</v>
      </c>
      <c r="Y56" s="383">
        <f t="shared" si="12"/>
        <v>16.743808222853897</v>
      </c>
      <c r="Z56" s="383">
        <f t="shared" si="22"/>
        <v>17.593536876509244</v>
      </c>
      <c r="AA56" s="384">
        <f t="shared" si="13"/>
        <v>19.00292805365272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7.4167053264855398E-2</v>
      </c>
      <c r="AD56" s="230">
        <f>(INDEX(Models!$BJ56:$BT56,,AH56)*(1-AF56)+INDEX(Models!$BJ56:$BT56,,AH56+1)*AF56-ERP_i)*AE56*Ramure*Pc/MaxiM</f>
        <v>5.4256904444416601E-3</v>
      </c>
      <c r="AE56" s="304">
        <f t="shared" si="15"/>
        <v>0.6</v>
      </c>
      <c r="AF56" s="177">
        <f t="shared" si="23"/>
        <v>2.1533423988167044E-3</v>
      </c>
      <c r="AG56" s="799">
        <f t="shared" si="24"/>
        <v>2</v>
      </c>
      <c r="AH56" s="176">
        <f t="shared" si="16"/>
        <v>8</v>
      </c>
      <c r="AI56" s="224">
        <f t="shared" si="17"/>
        <v>2.0021533423988167</v>
      </c>
      <c r="AJ56" s="264" t="b">
        <f t="shared" si="18"/>
        <v>0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'2025'!Wh/'2025'!Env_an*'2026'!Env_an</f>
        <v>26.771061938230517</v>
      </c>
      <c r="C57" s="829"/>
      <c r="D57" s="391">
        <f t="shared" si="0"/>
        <v>28.13020108092784</v>
      </c>
      <c r="E57" s="383">
        <f t="shared" si="1"/>
        <v>29.124192516810474</v>
      </c>
      <c r="F57" s="383">
        <f t="shared" si="2"/>
        <v>29.22883422879443</v>
      </c>
      <c r="G57" s="110">
        <f t="shared" si="21"/>
        <v>0.77259604418967021</v>
      </c>
      <c r="H57" s="412" t="b">
        <f>Wh_hp&gt;='2025'!Maxi_hp</f>
        <v>0</v>
      </c>
      <c r="I57" s="388">
        <f>IF(H57,Wh_hp,'2025'!Maxi_hp)</f>
        <v>29.265897627745993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4.8316012345137938E-2</v>
      </c>
      <c r="M57" s="832"/>
      <c r="N57" s="832"/>
      <c r="O57" s="48">
        <f>IF(t&lt;Tnet,'2025'!Resal+('2025'!Salim-'2025'!Resal)*(1-EXP(('2025'!Tnet-t)/('2025'!Tau_j))),Resal+(Salim-Resal)*(1-EXP((Tnet-t)/(Tau_j))))*Salcycl</f>
        <v>3.4129407546969762E-2</v>
      </c>
      <c r="P57" s="169">
        <f>(INDEX(Models!$BJ57:$BT57,,T57)*(1-R57)+INDEX(Models!$BJ57:$BT57,,T57+1)*R57-ERP_i)*Q57*Ramure*Pc/MaxiM</f>
        <v>5.2879098022997886E-3</v>
      </c>
      <c r="Q57" s="304">
        <f t="shared" si="4"/>
        <v>0.6</v>
      </c>
      <c r="R57" s="177">
        <f t="shared" si="5"/>
        <v>2.3089211853393188E-3</v>
      </c>
      <c r="S57" s="799">
        <f t="shared" si="6"/>
        <v>2</v>
      </c>
      <c r="T57" s="176">
        <f t="shared" si="7"/>
        <v>8</v>
      </c>
      <c r="U57" s="250">
        <f t="shared" si="8"/>
        <v>2.0023089211853393</v>
      </c>
      <c r="V57" s="382">
        <f t="shared" si="9"/>
        <v>34.59139816462163</v>
      </c>
      <c r="W57" s="400">
        <f t="shared" si="10"/>
        <v>26.771061938230517</v>
      </c>
      <c r="X57" s="157">
        <f t="shared" si="11"/>
        <v>46065</v>
      </c>
      <c r="Y57" s="383">
        <f t="shared" si="12"/>
        <v>25.660287058591802</v>
      </c>
      <c r="Z57" s="383">
        <f t="shared" si="22"/>
        <v>26.963033308802256</v>
      </c>
      <c r="AA57" s="384">
        <f t="shared" si="13"/>
        <v>29.124192516810474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7.4204948575339921E-2</v>
      </c>
      <c r="AD57" s="230">
        <f>(INDEX(Models!$BJ57:$BT57,,AH57)*(1-AF57)+INDEX(Models!$BJ57:$BT57,,AH57+1)*AF57-ERP_i)*AE57*Ramure*Pc/MaxiM</f>
        <v>5.2879098022997886E-3</v>
      </c>
      <c r="AE57" s="304">
        <f t="shared" si="15"/>
        <v>0.6</v>
      </c>
      <c r="AF57" s="177">
        <f t="shared" si="23"/>
        <v>2.3089211853393188E-3</v>
      </c>
      <c r="AG57" s="799">
        <f t="shared" si="24"/>
        <v>2</v>
      </c>
      <c r="AH57" s="176">
        <f t="shared" si="16"/>
        <v>8</v>
      </c>
      <c r="AI57" s="224">
        <f t="shared" si="17"/>
        <v>2.0023089211853393</v>
      </c>
      <c r="AJ57" s="264" t="b">
        <f t="shared" si="18"/>
        <v>0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'2025'!Wh/'2025'!Env_an*'2026'!Env_an</f>
        <v>32.755200996210419</v>
      </c>
      <c r="C58" s="829"/>
      <c r="D58" s="391">
        <f t="shared" si="0"/>
        <v>34.418808321985686</v>
      </c>
      <c r="E58" s="383">
        <f t="shared" si="1"/>
        <v>35.63790429447274</v>
      </c>
      <c r="F58" s="383">
        <f t="shared" si="2"/>
        <v>35.805947064270939</v>
      </c>
      <c r="G58" s="110">
        <f t="shared" si="21"/>
        <v>0.93717753716871677</v>
      </c>
      <c r="H58" s="412" t="b">
        <f>Wh_hp&gt;='2025'!Maxi_hp</f>
        <v>0</v>
      </c>
      <c r="I58" s="388">
        <f>IF(H58,Wh_hp,'2025'!Maxi_hp)</f>
        <v>35.818160403759038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4.8334251151647356E-2</v>
      </c>
      <c r="M58" s="832"/>
      <c r="N58" s="832"/>
      <c r="O58" s="48">
        <f>IF(t&lt;Tnet,'2025'!Resal+('2025'!Salim-'2025'!Resal)*(1-EXP(('2025'!Tnet-t)/('2025'!Tau_j))),Resal+(Salim-Resal)*(1-EXP((Tnet-t)/(Tau_j))))*Salcycl</f>
        <v>3.4207846859169173E-2</v>
      </c>
      <c r="P58" s="169">
        <f>(INDEX(Models!$BJ58:$BT58,,T58)*(1-R58)+INDEX(Models!$BJ58:$BT58,,T58+1)*R58-ERP_i)*Q58*Ramure*Pc/MaxiM</f>
        <v>5.1523753205539088E-3</v>
      </c>
      <c r="Q58" s="304">
        <f t="shared" si="4"/>
        <v>0.6</v>
      </c>
      <c r="R58" s="177">
        <f t="shared" si="5"/>
        <v>2.4709232563786543E-3</v>
      </c>
      <c r="S58" s="799">
        <f t="shared" si="6"/>
        <v>2</v>
      </c>
      <c r="T58" s="176">
        <f t="shared" si="7"/>
        <v>8</v>
      </c>
      <c r="U58" s="250">
        <f t="shared" si="8"/>
        <v>2.0024709232563787</v>
      </c>
      <c r="V58" s="382">
        <f t="shared" si="9"/>
        <v>34.934776853695332</v>
      </c>
      <c r="W58" s="400">
        <f t="shared" si="10"/>
        <v>32.755200996210419</v>
      </c>
      <c r="X58" s="157">
        <f t="shared" si="11"/>
        <v>46066</v>
      </c>
      <c r="Y58" s="383">
        <f t="shared" si="12"/>
        <v>31.397399266083369</v>
      </c>
      <c r="Z58" s="383">
        <f t="shared" si="22"/>
        <v>32.992045057919306</v>
      </c>
      <c r="AA58" s="384">
        <f t="shared" si="13"/>
        <v>35.63790429447274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7.4242840282945477E-2</v>
      </c>
      <c r="AD58" s="230">
        <f>(INDEX(Models!$BJ58:$BT58,,AH58)*(1-AF58)+INDEX(Models!$BJ58:$BT58,,AH58+1)*AF58-ERP_i)*AE58*Ramure*Pc/MaxiM</f>
        <v>5.1523753205539088E-3</v>
      </c>
      <c r="AE58" s="304">
        <f t="shared" si="15"/>
        <v>0.6</v>
      </c>
      <c r="AF58" s="177">
        <f t="shared" si="23"/>
        <v>2.4709232563786543E-3</v>
      </c>
      <c r="AG58" s="799">
        <f t="shared" si="24"/>
        <v>2</v>
      </c>
      <c r="AH58" s="176">
        <f t="shared" si="16"/>
        <v>8</v>
      </c>
      <c r="AI58" s="224">
        <f t="shared" si="17"/>
        <v>2.0024709232563787</v>
      </c>
      <c r="AJ58" s="264" t="b">
        <f t="shared" si="18"/>
        <v>0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'2025'!Wh/'2025'!Env_an*'2026'!Env_an</f>
        <v>15.378621474621001</v>
      </c>
      <c r="C59" s="829"/>
      <c r="D59" s="391">
        <f t="shared" si="0"/>
        <v>16.159997590175177</v>
      </c>
      <c r="E59" s="383">
        <f t="shared" si="1"/>
        <v>16.733734078241095</v>
      </c>
      <c r="F59" s="383">
        <f t="shared" si="2"/>
        <v>16.750049602272654</v>
      </c>
      <c r="G59" s="110">
        <f t="shared" si="21"/>
        <v>0.43415295948272292</v>
      </c>
      <c r="H59" s="412" t="b">
        <f>Wh_hp&gt;='2025'!Maxi_hp</f>
        <v>0</v>
      </c>
      <c r="I59" s="388">
        <f>IF(H59,Wh_hp,'2025'!Maxi_hp)</f>
        <v>38.116109222133424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4.8352489608614158E-2</v>
      </c>
      <c r="M59" s="832"/>
      <c r="N59" s="832"/>
      <c r="O59" s="48">
        <f>IF(t&lt;Tnet,'2025'!Resal+('2025'!Salim-'2025'!Resal)*(1-EXP(('2025'!Tnet-t)/('2025'!Tau_j))),Resal+(Salim-Resal)*(1-EXP((Tnet-t)/(Tau_j))))*Salcycl</f>
        <v>3.4286220002261669E-2</v>
      </c>
      <c r="P59" s="169">
        <f>(INDEX(Models!$BJ59:$BT59,,T59)*(1-R59)+INDEX(Models!$BJ59:$BT59,,T59+1)*R59-ERP_i)*Q59*Ramure*Pc/MaxiM</f>
        <v>5.0166007705358187E-3</v>
      </c>
      <c r="Q59" s="304">
        <f t="shared" si="4"/>
        <v>0.6</v>
      </c>
      <c r="R59" s="177">
        <f t="shared" si="5"/>
        <v>2.6396093203602256E-3</v>
      </c>
      <c r="S59" s="799">
        <f t="shared" si="6"/>
        <v>2</v>
      </c>
      <c r="T59" s="176">
        <f t="shared" si="7"/>
        <v>8</v>
      </c>
      <c r="U59" s="250">
        <f t="shared" si="8"/>
        <v>2.0026396093203602</v>
      </c>
      <c r="V59" s="382">
        <f t="shared" si="9"/>
        <v>35.278792402266674</v>
      </c>
      <c r="W59" s="400">
        <f t="shared" si="10"/>
        <v>15.378621474621001</v>
      </c>
      <c r="X59" s="157">
        <f t="shared" si="11"/>
        <v>46067</v>
      </c>
      <c r="Y59" s="383">
        <f t="shared" si="12"/>
        <v>14.741724401111032</v>
      </c>
      <c r="Z59" s="383">
        <f t="shared" si="22"/>
        <v>15.49074025848938</v>
      </c>
      <c r="AA59" s="384">
        <f t="shared" si="13"/>
        <v>16.733734078241095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7.428072024689239E-2</v>
      </c>
      <c r="AD59" s="230">
        <f>(INDEX(Models!$BJ59:$BT59,,AH59)*(1-AF59)+INDEX(Models!$BJ59:$BT59,,AH59+1)*AF59-ERP_i)*AE59*Ramure*Pc/MaxiM</f>
        <v>5.0166007705358187E-3</v>
      </c>
      <c r="AE59" s="304">
        <f t="shared" si="15"/>
        <v>0.6</v>
      </c>
      <c r="AF59" s="177">
        <f t="shared" si="23"/>
        <v>2.6396093203602256E-3</v>
      </c>
      <c r="AG59" s="799">
        <f t="shared" si="24"/>
        <v>2</v>
      </c>
      <c r="AH59" s="176">
        <f t="shared" si="16"/>
        <v>8</v>
      </c>
      <c r="AI59" s="224">
        <f t="shared" si="17"/>
        <v>2.0026396093203602</v>
      </c>
      <c r="AJ59" s="264" t="b">
        <f t="shared" si="18"/>
        <v>0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'2025'!Wh/'2025'!Env_an*'2026'!Env_an</f>
        <v>18.549311044773955</v>
      </c>
      <c r="C60" s="829"/>
      <c r="D60" s="391">
        <f t="shared" si="0"/>
        <v>19.492161060004744</v>
      </c>
      <c r="E60" s="383">
        <f t="shared" si="1"/>
        <v>20.185837754569555</v>
      </c>
      <c r="F60" s="383">
        <f t="shared" si="2"/>
        <v>20.216948224419063</v>
      </c>
      <c r="G60" s="110">
        <f t="shared" si="21"/>
        <v>0.51896385073013207</v>
      </c>
      <c r="H60" s="412" t="b">
        <f>Wh_hp&gt;='2025'!Maxi_hp</f>
        <v>0</v>
      </c>
      <c r="I60" s="388">
        <f>IF(H60,Wh_hp,'2025'!Maxi_hp)</f>
        <v>37.957548920378891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4.8370727716045225E-2</v>
      </c>
      <c r="M60" s="832"/>
      <c r="N60" s="832"/>
      <c r="O60" s="48">
        <f>IF(t&lt;Tnet,'2025'!Resal+('2025'!Salim-'2025'!Resal)*(1-EXP(('2025'!Tnet-t)/('2025'!Tau_j))),Resal+(Salim-Resal)*(1-EXP((Tnet-t)/(Tau_j))))*Salcycl</f>
        <v>3.43645234346431E-2</v>
      </c>
      <c r="P60" s="169">
        <f>(INDEX(Models!$BJ60:$BT60,,T60)*(1-R60)+INDEX(Models!$BJ60:$BT60,,T60+1)*R60-ERP_i)*Q60*Ramure*Pc/MaxiM</f>
        <v>4.8806049803694785E-3</v>
      </c>
      <c r="Q60" s="304">
        <f t="shared" si="4"/>
        <v>0.6</v>
      </c>
      <c r="R60" s="177">
        <f t="shared" si="5"/>
        <v>2.815250286690496E-3</v>
      </c>
      <c r="S60" s="799">
        <f t="shared" si="6"/>
        <v>2</v>
      </c>
      <c r="T60" s="176">
        <f t="shared" si="7"/>
        <v>8</v>
      </c>
      <c r="U60" s="250">
        <f t="shared" si="8"/>
        <v>2.0028152502866905</v>
      </c>
      <c r="V60" s="382">
        <f t="shared" si="9"/>
        <v>35.623344248789756</v>
      </c>
      <c r="W60" s="400">
        <f t="shared" si="10"/>
        <v>18.549311044773955</v>
      </c>
      <c r="X60" s="157">
        <f t="shared" si="11"/>
        <v>46068</v>
      </c>
      <c r="Y60" s="383">
        <f t="shared" si="12"/>
        <v>17.781816218012683</v>
      </c>
      <c r="Z60" s="383">
        <f t="shared" si="22"/>
        <v>18.685654945581373</v>
      </c>
      <c r="AA60" s="384">
        <f t="shared" si="13"/>
        <v>20.185837754569555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7.4318580542864984E-2</v>
      </c>
      <c r="AD60" s="230">
        <f>(INDEX(Models!$BJ60:$BT60,,AH60)*(1-AF60)+INDEX(Models!$BJ60:$BT60,,AH60+1)*AF60-ERP_i)*AE60*Ramure*Pc/MaxiM</f>
        <v>4.8806049803694785E-3</v>
      </c>
      <c r="AE60" s="304">
        <f t="shared" si="15"/>
        <v>0.6</v>
      </c>
      <c r="AF60" s="177">
        <f t="shared" si="23"/>
        <v>2.815250286690496E-3</v>
      </c>
      <c r="AG60" s="799">
        <f t="shared" si="24"/>
        <v>2</v>
      </c>
      <c r="AH60" s="176">
        <f t="shared" si="16"/>
        <v>8</v>
      </c>
      <c r="AI60" s="224">
        <f t="shared" si="17"/>
        <v>2.0028152502866905</v>
      </c>
      <c r="AJ60" s="264" t="b">
        <f t="shared" si="18"/>
        <v>0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'2025'!Wh/'2025'!Env_an*'2026'!Env_an</f>
        <v>9.1244573882559781</v>
      </c>
      <c r="C61" s="829"/>
      <c r="D61" s="391">
        <f t="shared" si="0"/>
        <v>9.5884316776553415</v>
      </c>
      <c r="E61" s="383">
        <f t="shared" si="1"/>
        <v>9.9304642110297223</v>
      </c>
      <c r="F61" s="383">
        <f t="shared" si="2"/>
        <v>9.9304642110297223</v>
      </c>
      <c r="G61" s="110">
        <f t="shared" si="21"/>
        <v>0.25247674267903286</v>
      </c>
      <c r="H61" s="412" t="b">
        <f>Wh_hp&gt;='2025'!Maxi_hp</f>
        <v>0</v>
      </c>
      <c r="I61" s="388">
        <f>IF(H61,Wh_hp,'2025'!Maxi_hp)</f>
        <v>33.411514000889703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4.8388965473946999E-2</v>
      </c>
      <c r="M61" s="832"/>
      <c r="N61" s="832"/>
      <c r="O61" s="48">
        <f>IF(t&lt;Tnet,'2025'!Resal+('2025'!Salim-'2025'!Resal)*(1-EXP(('2025'!Tnet-t)/('2025'!Tau_j))),Resal+(Salim-Resal)*(1-EXP((Tnet-t)/(Tau_j))))*Salcycl</f>
        <v>3.4442753743021033E-2</v>
      </c>
      <c r="P61" s="169">
        <f>(INDEX(Models!$BJ61:$BT61,,T61)*(1-R61)+INDEX(Models!$BJ61:$BT61,,T61+1)*R61-ERP_i)*Q61*Ramure*Pc/MaxiM</f>
        <v>4.7444051796718999E-3</v>
      </c>
      <c r="Q61" s="304">
        <f t="shared" si="4"/>
        <v>0.6</v>
      </c>
      <c r="R61" s="177">
        <f t="shared" si="5"/>
        <v>2.9981276324786421E-3</v>
      </c>
      <c r="S61" s="799">
        <f t="shared" si="6"/>
        <v>2</v>
      </c>
      <c r="T61" s="176">
        <f t="shared" si="7"/>
        <v>8</v>
      </c>
      <c r="U61" s="250">
        <f t="shared" si="8"/>
        <v>2.0029981276324786</v>
      </c>
      <c r="V61" s="382">
        <f t="shared" si="9"/>
        <v>35.968331851088926</v>
      </c>
      <c r="W61" s="400">
        <f t="shared" si="10"/>
        <v>9.1244573882559781</v>
      </c>
      <c r="X61" s="157">
        <f t="shared" si="11"/>
        <v>46069</v>
      </c>
      <c r="Y61" s="383">
        <f t="shared" si="12"/>
        <v>8.7472757247066966</v>
      </c>
      <c r="Z61" s="383">
        <f t="shared" si="22"/>
        <v>9.1920705071092943</v>
      </c>
      <c r="AA61" s="384">
        <f t="shared" si="13"/>
        <v>9.9304642110297223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7.4356413580373884E-2</v>
      </c>
      <c r="AD61" s="230">
        <f>(INDEX(Models!$BJ61:$BT61,,AH61)*(1-AF61)+INDEX(Models!$BJ61:$BT61,,AH61+1)*AF61-ERP_i)*AE61*Ramure*Pc/MaxiM</f>
        <v>4.7444051796718999E-3</v>
      </c>
      <c r="AE61" s="304">
        <f t="shared" si="15"/>
        <v>0.6</v>
      </c>
      <c r="AF61" s="177">
        <f t="shared" si="23"/>
        <v>2.9981276324786421E-3</v>
      </c>
      <c r="AG61" s="799">
        <f t="shared" si="24"/>
        <v>2</v>
      </c>
      <c r="AH61" s="176">
        <f t="shared" si="16"/>
        <v>8</v>
      </c>
      <c r="AI61" s="224">
        <f t="shared" si="17"/>
        <v>2.0029981276324786</v>
      </c>
      <c r="AJ61" s="264" t="b">
        <f t="shared" si="18"/>
        <v>0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'2025'!Wh/'2025'!Env_an*'2026'!Env_an</f>
        <v>11.368674540132979</v>
      </c>
      <c r="C62" s="829"/>
      <c r="D62" s="391">
        <f t="shared" si="0"/>
        <v>11.946995158609981</v>
      </c>
      <c r="E62" s="383">
        <f t="shared" si="1"/>
        <v>12.374162479403967</v>
      </c>
      <c r="F62" s="383">
        <f t="shared" si="2"/>
        <v>12.375227129742729</v>
      </c>
      <c r="G62" s="110">
        <f t="shared" si="21"/>
        <v>0.31165304691660789</v>
      </c>
      <c r="H62" s="412" t="b">
        <f>Wh_hp&gt;='2025'!Maxi_hp</f>
        <v>0</v>
      </c>
      <c r="I62" s="388">
        <f>IF(H62,Wh_hp,'2025'!Maxi_hp)</f>
        <v>36.826584894030596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4.840720288232625E-2</v>
      </c>
      <c r="M62" s="832"/>
      <c r="N62" s="832"/>
      <c r="O62" s="48">
        <f>IF(t&lt;Tnet,'2025'!Resal+('2025'!Salim-'2025'!Resal)*(1-EXP(('2025'!Tnet-t)/('2025'!Tau_j))),Resal+(Salim-Resal)*(1-EXP((Tnet-t)/(Tau_j))))*Salcycl</f>
        <v>3.4520907698196178E-2</v>
      </c>
      <c r="P62" s="169">
        <f>(INDEX(Models!$BJ62:$BT62,,T62)*(1-R62)+INDEX(Models!$BJ62:$BT62,,T62+1)*R62-ERP_i)*Q62*Ramure*Pc/MaxiM</f>
        <v>4.6080171907980343E-3</v>
      </c>
      <c r="Q62" s="304">
        <f t="shared" si="4"/>
        <v>0.6</v>
      </c>
      <c r="R62" s="177">
        <f t="shared" si="5"/>
        <v>3.1885337796349056E-3</v>
      </c>
      <c r="S62" s="799">
        <f t="shared" si="6"/>
        <v>2</v>
      </c>
      <c r="T62" s="176">
        <f t="shared" si="7"/>
        <v>8</v>
      </c>
      <c r="U62" s="250">
        <f t="shared" si="8"/>
        <v>2.0031885337796349</v>
      </c>
      <c r="V62" s="382">
        <f t="shared" si="9"/>
        <v>36.313654678148495</v>
      </c>
      <c r="W62" s="400">
        <f t="shared" si="10"/>
        <v>11.368674540132979</v>
      </c>
      <c r="X62" s="157">
        <f t="shared" si="11"/>
        <v>46070</v>
      </c>
      <c r="Y62" s="383">
        <f t="shared" si="12"/>
        <v>10.899159844724673</v>
      </c>
      <c r="Z62" s="383">
        <f t="shared" si="22"/>
        <v>11.45359640986951</v>
      </c>
      <c r="AA62" s="384">
        <f t="shared" si="13"/>
        <v>12.374162479403967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7.4394212219750885E-2</v>
      </c>
      <c r="AD62" s="230">
        <f>(INDEX(Models!$BJ62:$BT62,,AH62)*(1-AF62)+INDEX(Models!$BJ62:$BT62,,AH62+1)*AF62-ERP_i)*AE62*Ramure*Pc/MaxiM</f>
        <v>4.6080171907980343E-3</v>
      </c>
      <c r="AE62" s="304">
        <f t="shared" si="15"/>
        <v>0.6</v>
      </c>
      <c r="AF62" s="177">
        <f t="shared" si="23"/>
        <v>3.1885337796349056E-3</v>
      </c>
      <c r="AG62" s="799">
        <f t="shared" si="24"/>
        <v>2</v>
      </c>
      <c r="AH62" s="176">
        <f t="shared" si="16"/>
        <v>8</v>
      </c>
      <c r="AI62" s="224">
        <f t="shared" si="17"/>
        <v>2.0031885337796349</v>
      </c>
      <c r="AJ62" s="264" t="b">
        <f t="shared" si="18"/>
        <v>0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'2025'!Wh/'2025'!Env_an*'2026'!Env_an</f>
        <v>29.351162195480935</v>
      </c>
      <c r="C63" s="829"/>
      <c r="D63" s="391">
        <f t="shared" si="0"/>
        <v>30.844836996973676</v>
      </c>
      <c r="E63" s="383">
        <f t="shared" si="1"/>
        <v>31.950284318946025</v>
      </c>
      <c r="F63" s="383">
        <f t="shared" si="2"/>
        <v>32.052790509418593</v>
      </c>
      <c r="G63" s="110">
        <f t="shared" si="21"/>
        <v>0.79962618856265133</v>
      </c>
      <c r="H63" s="412" t="b">
        <f>Wh_hp&gt;='2025'!Maxi_hp</f>
        <v>0</v>
      </c>
      <c r="I63" s="388">
        <f>IF(H63,Wh_hp,'2025'!Maxi_hp)</f>
        <v>32.083253619797951</v>
      </c>
      <c r="J63" s="85">
        <f>IF(H63,An,'2025'!An_max)</f>
        <v>2022</v>
      </c>
      <c r="K63" s="197">
        <f t="shared" si="3"/>
        <v>46071</v>
      </c>
      <c r="L63" s="147">
        <f>IF(t&lt;Tvie,1-EXP((T0-t)*PertePVj)+'2025'!Pspv,1-EXP((T0-t)*PertePVj)+Pspv)</f>
        <v>4.8425439941189863E-2</v>
      </c>
      <c r="M63" s="832"/>
      <c r="N63" s="832"/>
      <c r="O63" s="48">
        <f>IF(t&lt;Tnet,'2025'!Resal+('2025'!Salim-'2025'!Resal)*(1-EXP(('2025'!Tnet-t)/('2025'!Tau_j))),Resal+(Salim-Resal)*(1-EXP((Tnet-t)/(Tau_j))))*Salcycl</f>
        <v>3.4598982310677998E-2</v>
      </c>
      <c r="P63" s="169">
        <f>(INDEX(Models!$BJ63:$BT63,,T63)*(1-R63)+INDEX(Models!$BJ63:$BT63,,T63+1)*R63-ERP_i)*Q63*Ramure*Pc/MaxiM</f>
        <v>4.4714555861913889E-3</v>
      </c>
      <c r="Q63" s="304">
        <f t="shared" si="4"/>
        <v>0.6</v>
      </c>
      <c r="R63" s="177">
        <f t="shared" si="5"/>
        <v>3.3867724823832823E-3</v>
      </c>
      <c r="S63" s="799">
        <f t="shared" si="6"/>
        <v>2</v>
      </c>
      <c r="T63" s="176">
        <f t="shared" si="7"/>
        <v>8</v>
      </c>
      <c r="U63" s="250">
        <f t="shared" si="8"/>
        <v>2.0033867724823833</v>
      </c>
      <c r="V63" s="382">
        <f t="shared" si="9"/>
        <v>36.659212205085552</v>
      </c>
      <c r="W63" s="400">
        <f t="shared" si="10"/>
        <v>29.351162195480935</v>
      </c>
      <c r="X63" s="157">
        <f t="shared" si="11"/>
        <v>46071</v>
      </c>
      <c r="Y63" s="383">
        <f t="shared" si="12"/>
        <v>28.14011677738258</v>
      </c>
      <c r="Z63" s="383">
        <f t="shared" si="22"/>
        <v>29.572161718618705</v>
      </c>
      <c r="AA63" s="384">
        <f t="shared" si="13"/>
        <v>31.950284318946029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7.443196988757729E-2</v>
      </c>
      <c r="AD63" s="230">
        <f>(INDEX(Models!$BJ63:$BT63,,AH63)*(1-AF63)+INDEX(Models!$BJ63:$BT63,,AH63+1)*AF63-ERP_i)*AE63*Ramure*Pc/MaxiM</f>
        <v>4.4714555861913889E-3</v>
      </c>
      <c r="AE63" s="304">
        <f t="shared" si="15"/>
        <v>0.6</v>
      </c>
      <c r="AF63" s="177">
        <f t="shared" si="23"/>
        <v>3.3867724823832823E-3</v>
      </c>
      <c r="AG63" s="799">
        <f t="shared" si="24"/>
        <v>2</v>
      </c>
      <c r="AH63" s="176">
        <f t="shared" si="16"/>
        <v>8</v>
      </c>
      <c r="AI63" s="224">
        <f t="shared" si="17"/>
        <v>2.0033867724823833</v>
      </c>
      <c r="AJ63" s="264" t="b">
        <f t="shared" si="18"/>
        <v>0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'2025'!Wh/'2025'!Env_an*'2026'!Env_an</f>
        <v>19.916622471956405</v>
      </c>
      <c r="C64" s="829"/>
      <c r="D64" s="391">
        <f t="shared" si="0"/>
        <v>20.93057655468083</v>
      </c>
      <c r="E64" s="383">
        <f t="shared" si="1"/>
        <v>21.682458627981003</v>
      </c>
      <c r="F64" s="383">
        <f t="shared" si="2"/>
        <v>21.714490662981554</v>
      </c>
      <c r="G64" s="110">
        <f t="shared" si="21"/>
        <v>0.53667441062044496</v>
      </c>
      <c r="H64" s="412" t="b">
        <f>Wh_hp&gt;='2025'!Maxi_hp</f>
        <v>0</v>
      </c>
      <c r="I64" s="388">
        <f>IF(H64,Wh_hp,'2025'!Maxi_hp)</f>
        <v>39.436937045771522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4.8443676650544387E-2</v>
      </c>
      <c r="M64" s="832"/>
      <c r="N64" s="832"/>
      <c r="O64" s="48">
        <f>IF(t&lt;Tnet,'2025'!Resal+('2025'!Salim-'2025'!Resal)*(1-EXP(('2025'!Tnet-t)/('2025'!Tau_j))),Resal+(Salim-Resal)*(1-EXP((Tnet-t)/(Tau_j))))*Salcycl</f>
        <v>3.4676974885582273E-2</v>
      </c>
      <c r="P64" s="169">
        <f>(INDEX(Models!$BJ64:$BT64,,T64)*(1-R64)+INDEX(Models!$BJ64:$BT64,,T64+1)*R64-ERP_i)*Q64*Ramure*Pc/MaxiM</f>
        <v>4.3347338119595572E-3</v>
      </c>
      <c r="Q64" s="304">
        <f t="shared" si="4"/>
        <v>0.6</v>
      </c>
      <c r="R64" s="177">
        <f t="shared" si="5"/>
        <v>3.5931592251920996E-3</v>
      </c>
      <c r="S64" s="799">
        <f t="shared" si="6"/>
        <v>2</v>
      </c>
      <c r="T64" s="176">
        <f t="shared" si="7"/>
        <v>8</v>
      </c>
      <c r="U64" s="250">
        <f t="shared" si="8"/>
        <v>2.0035931592251921</v>
      </c>
      <c r="V64" s="382">
        <f t="shared" si="9"/>
        <v>37.0049039067151</v>
      </c>
      <c r="W64" s="400">
        <f t="shared" si="10"/>
        <v>19.916622471956405</v>
      </c>
      <c r="X64" s="157">
        <f t="shared" si="11"/>
        <v>46072</v>
      </c>
      <c r="Y64" s="383">
        <f t="shared" si="12"/>
        <v>19.095616157994201</v>
      </c>
      <c r="Z64" s="383">
        <f t="shared" si="22"/>
        <v>20.067772857394385</v>
      </c>
      <c r="AA64" s="384">
        <f t="shared" si="13"/>
        <v>21.682458627981003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7.4469680689388348E-2</v>
      </c>
      <c r="AD64" s="230">
        <f>(INDEX(Models!$BJ64:$BT64,,AH64)*(1-AF64)+INDEX(Models!$BJ64:$BT64,,AH64+1)*AF64-ERP_i)*AE64*Ramure*Pc/MaxiM</f>
        <v>4.3347338119595572E-3</v>
      </c>
      <c r="AE64" s="304">
        <f t="shared" si="15"/>
        <v>0.6</v>
      </c>
      <c r="AF64" s="177">
        <f t="shared" si="23"/>
        <v>3.5931592251920996E-3</v>
      </c>
      <c r="AG64" s="799">
        <f t="shared" si="24"/>
        <v>2</v>
      </c>
      <c r="AH64" s="176">
        <f t="shared" si="16"/>
        <v>8</v>
      </c>
      <c r="AI64" s="224">
        <f t="shared" si="17"/>
        <v>2.0035931592251921</v>
      </c>
      <c r="AJ64" s="264" t="b">
        <f t="shared" si="18"/>
        <v>0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'2025'!Wh/'2025'!Env_an*'2026'!Env_an</f>
        <v>19.79724503916913</v>
      </c>
      <c r="C65" s="829"/>
      <c r="D65" s="391">
        <f t="shared" si="0"/>
        <v>20.805520356838258</v>
      </c>
      <c r="E65" s="383">
        <f t="shared" si="1"/>
        <v>21.554649686440598</v>
      </c>
      <c r="F65" s="383">
        <f t="shared" si="2"/>
        <v>21.58442527541705</v>
      </c>
      <c r="G65" s="110">
        <f t="shared" si="21"/>
        <v>0.52853833357078739</v>
      </c>
      <c r="H65" s="412" t="b">
        <f>Wh_hp&gt;='2025'!Maxi_hp</f>
        <v>0</v>
      </c>
      <c r="I65" s="388">
        <f>IF(H65,Wh_hp,'2025'!Maxi_hp)</f>
        <v>41.467946828147284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4.8461913010396485E-2</v>
      </c>
      <c r="M65" s="832"/>
      <c r="N65" s="832"/>
      <c r="O65" s="48">
        <f>IF(t&lt;Tnet,'2025'!Resal+('2025'!Salim-'2025'!Resal)*(1-EXP(('2025'!Tnet-t)/('2025'!Tau_j))),Resal+(Salim-Resal)*(1-EXP((Tnet-t)/(Tau_j))))*Salcycl</f>
        <v>3.4754883076276361E-2</v>
      </c>
      <c r="P65" s="169">
        <f>(INDEX(Models!$BJ65:$BT65,,T65)*(1-R65)+INDEX(Models!$BJ65:$BT65,,T65+1)*R65-ERP_i)*Q65*Ramure*Pc/MaxiM</f>
        <v>4.1978360686123223E-3</v>
      </c>
      <c r="Q65" s="304">
        <f t="shared" si="4"/>
        <v>0.6</v>
      </c>
      <c r="R65" s="177">
        <f t="shared" si="5"/>
        <v>3.8080216311024984E-3</v>
      </c>
      <c r="S65" s="799">
        <f t="shared" si="6"/>
        <v>2</v>
      </c>
      <c r="T65" s="176">
        <f t="shared" si="7"/>
        <v>8</v>
      </c>
      <c r="U65" s="250">
        <f t="shared" si="8"/>
        <v>2.0038080216311025</v>
      </c>
      <c r="V65" s="382">
        <f t="shared" si="9"/>
        <v>37.350881297479951</v>
      </c>
      <c r="W65" s="400">
        <f t="shared" si="10"/>
        <v>19.79724503916913</v>
      </c>
      <c r="X65" s="157">
        <f t="shared" si="11"/>
        <v>46073</v>
      </c>
      <c r="Y65" s="383">
        <f t="shared" si="12"/>
        <v>18.981919369763276</v>
      </c>
      <c r="Z65" s="383">
        <f t="shared" si="22"/>
        <v>19.948670084049585</v>
      </c>
      <c r="AA65" s="384">
        <f t="shared" si="13"/>
        <v>21.554649686440598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7.4507339518548932E-2</v>
      </c>
      <c r="AD65" s="230">
        <f>(INDEX(Models!$BJ65:$BT65,,AH65)*(1-AF65)+INDEX(Models!$BJ65:$BT65,,AH65+1)*AF65-ERP_i)*AE65*Ramure*Pc/MaxiM</f>
        <v>4.1978360686123223E-3</v>
      </c>
      <c r="AE65" s="304">
        <f t="shared" si="15"/>
        <v>0.6</v>
      </c>
      <c r="AF65" s="177">
        <f t="shared" si="23"/>
        <v>3.8080216311024984E-3</v>
      </c>
      <c r="AG65" s="799">
        <f t="shared" si="24"/>
        <v>2</v>
      </c>
      <c r="AH65" s="176">
        <f t="shared" si="16"/>
        <v>8</v>
      </c>
      <c r="AI65" s="224">
        <f t="shared" si="17"/>
        <v>2.0038080216311025</v>
      </c>
      <c r="AJ65" s="264" t="b">
        <f t="shared" si="18"/>
        <v>0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'2025'!Wh/'2025'!Env_an*'2026'!Env_an</f>
        <v>21.920018200100976</v>
      </c>
      <c r="C66" s="829"/>
      <c r="D66" s="391">
        <f t="shared" si="0"/>
        <v>23.03684802533779</v>
      </c>
      <c r="E66" s="383">
        <f t="shared" si="1"/>
        <v>23.868243508827575</v>
      </c>
      <c r="F66" s="383">
        <f t="shared" si="2"/>
        <v>23.9072704691858</v>
      </c>
      <c r="G66" s="110">
        <f t="shared" si="21"/>
        <v>0.58005920785704446</v>
      </c>
      <c r="H66" s="412" t="b">
        <f>Wh_hp&gt;='2025'!Maxi_hp</f>
        <v>0</v>
      </c>
      <c r="I66" s="388">
        <f>IF(H66,Wh_hp,'2025'!Maxi_hp)</f>
        <v>23.950887388071926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4.8480149020752927E-2</v>
      </c>
      <c r="M66" s="832"/>
      <c r="N66" s="832"/>
      <c r="O66" s="48">
        <f>IF(t&lt;Tnet,'2025'!Resal+('2025'!Salim-'2025'!Resal)*(1-EXP(('2025'!Tnet-t)/('2025'!Tau_j))),Resal+(Salim-Resal)*(1-EXP((Tnet-t)/(Tau_j))))*Salcycl</f>
        <v>3.4832704936259694E-2</v>
      </c>
      <c r="P66" s="169">
        <f>(INDEX(Models!$BJ66:$BT66,,T66)*(1-R66)+INDEX(Models!$BJ66:$BT66,,T66+1)*R66-ERP_i)*Q66*Ramure*Pc/MaxiM</f>
        <v>4.0597206929054381E-3</v>
      </c>
      <c r="Q66" s="304">
        <f t="shared" si="4"/>
        <v>0.6</v>
      </c>
      <c r="R66" s="177">
        <f t="shared" si="5"/>
        <v>4.0316998803890947E-3</v>
      </c>
      <c r="S66" s="799">
        <f t="shared" si="6"/>
        <v>2</v>
      </c>
      <c r="T66" s="176">
        <f t="shared" si="7"/>
        <v>8</v>
      </c>
      <c r="U66" s="250">
        <f t="shared" si="8"/>
        <v>2.0040316998803891</v>
      </c>
      <c r="V66" s="382">
        <f t="shared" si="9"/>
        <v>37.697401685590421</v>
      </c>
      <c r="W66" s="400">
        <f t="shared" si="10"/>
        <v>21.920018200100976</v>
      </c>
      <c r="X66" s="157">
        <f t="shared" si="11"/>
        <v>46074</v>
      </c>
      <c r="Y66" s="383">
        <f t="shared" si="12"/>
        <v>21.0181093111769</v>
      </c>
      <c r="Z66" s="383">
        <f t="shared" si="22"/>
        <v>22.088986676995045</v>
      </c>
      <c r="AA66" s="384">
        <f t="shared" si="13"/>
        <v>23.868243508827575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7.4544942160259059E-2</v>
      </c>
      <c r="AD66" s="230">
        <f>(INDEX(Models!$BJ66:$BT66,,AH66)*(1-AF66)+INDEX(Models!$BJ66:$BT66,,AH66+1)*AF66-ERP_i)*AE66*Ramure*Pc/MaxiM</f>
        <v>4.0597206929054381E-3</v>
      </c>
      <c r="AE66" s="304">
        <f t="shared" si="15"/>
        <v>0.6</v>
      </c>
      <c r="AF66" s="177">
        <f t="shared" si="23"/>
        <v>4.0316998803890947E-3</v>
      </c>
      <c r="AG66" s="799">
        <f t="shared" si="24"/>
        <v>2</v>
      </c>
      <c r="AH66" s="176">
        <f t="shared" si="16"/>
        <v>8</v>
      </c>
      <c r="AI66" s="224">
        <f t="shared" si="17"/>
        <v>2.0040316998803891</v>
      </c>
      <c r="AJ66" s="264" t="b">
        <f t="shared" si="18"/>
        <v>0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'2025'!Wh/'2025'!Env_an*'2026'!Env_an</f>
        <v>33.498870435674156</v>
      </c>
      <c r="C67" s="829"/>
      <c r="D67" s="391">
        <f t="shared" si="0"/>
        <v>35.206320090655005</v>
      </c>
      <c r="E67" s="383">
        <f t="shared" si="1"/>
        <v>36.479847583302849</v>
      </c>
      <c r="F67" s="383">
        <f t="shared" si="2"/>
        <v>36.598876925484177</v>
      </c>
      <c r="G67" s="110">
        <f t="shared" si="21"/>
        <v>0.87992865232423934</v>
      </c>
      <c r="H67" s="412" t="b">
        <f>Wh_hp&gt;='2025'!Maxi_hp</f>
        <v>0</v>
      </c>
      <c r="I67" s="388">
        <f>IF(H67,Wh_hp,'2025'!Maxi_hp)</f>
        <v>39.949310572645629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4.8498384681620377E-2</v>
      </c>
      <c r="M67" s="832"/>
      <c r="N67" s="832"/>
      <c r="O67" s="48">
        <f>IF(t&lt;Tnet,'2025'!Resal+('2025'!Salim-'2025'!Resal)*(1-EXP(('2025'!Tnet-t)/('2025'!Tau_j))),Resal+(Salim-Resal)*(1-EXP((Tnet-t)/(Tau_j))))*Salcycl</f>
        <v>3.491043896879506E-2</v>
      </c>
      <c r="P67" s="169">
        <f>(INDEX(Models!$BJ67:$BT67,,T67)*(1-R67)+INDEX(Models!$BJ67:$BT67,,T67+1)*R67-ERP_i)*Q67*Ramure*Pc/MaxiM</f>
        <v>3.9216348472115433E-3</v>
      </c>
      <c r="Q67" s="304">
        <f t="shared" si="4"/>
        <v>0.6</v>
      </c>
      <c r="R67" s="177">
        <f t="shared" si="5"/>
        <v>4.2645471394586743E-3</v>
      </c>
      <c r="S67" s="799">
        <f t="shared" si="6"/>
        <v>2</v>
      </c>
      <c r="T67" s="176">
        <f t="shared" si="7"/>
        <v>8</v>
      </c>
      <c r="U67" s="250">
        <f t="shared" si="8"/>
        <v>2.0042645471394587</v>
      </c>
      <c r="V67" s="382">
        <f t="shared" si="9"/>
        <v>38.044418871211334</v>
      </c>
      <c r="W67" s="400">
        <f t="shared" si="10"/>
        <v>33.498870435674156</v>
      </c>
      <c r="X67" s="157">
        <f t="shared" si="11"/>
        <v>46075</v>
      </c>
      <c r="Y67" s="383">
        <f t="shared" si="12"/>
        <v>32.121828556211078</v>
      </c>
      <c r="Z67" s="383">
        <f t="shared" si="22"/>
        <v>33.759089883901957</v>
      </c>
      <c r="AA67" s="384">
        <f t="shared" si="13"/>
        <v>36.479847583302849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7.4582485389719899E-2</v>
      </c>
      <c r="AD67" s="230">
        <f>(INDEX(Models!$BJ67:$BT67,,AH67)*(1-AF67)+INDEX(Models!$BJ67:$BT67,,AH67+1)*AF67-ERP_i)*AE67*Ramure*Pc/MaxiM</f>
        <v>3.9216348472115433E-3</v>
      </c>
      <c r="AE67" s="304">
        <f t="shared" si="15"/>
        <v>0.6</v>
      </c>
      <c r="AF67" s="177">
        <f t="shared" si="23"/>
        <v>4.2645471394586743E-3</v>
      </c>
      <c r="AG67" s="799">
        <f t="shared" si="24"/>
        <v>2</v>
      </c>
      <c r="AH67" s="176">
        <f t="shared" si="16"/>
        <v>8</v>
      </c>
      <c r="AI67" s="224">
        <f t="shared" si="17"/>
        <v>2.0042645471394587</v>
      </c>
      <c r="AJ67" s="264" t="b">
        <f t="shared" si="18"/>
        <v>0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'2025'!Wh/'2025'!Env_an*'2026'!Env_an</f>
        <v>35.202990220419366</v>
      </c>
      <c r="C68" s="829"/>
      <c r="D68" s="391">
        <f t="shared" si="0"/>
        <v>36.998008541316388</v>
      </c>
      <c r="E68" s="383">
        <f t="shared" si="1"/>
        <v>38.33943180861327</v>
      </c>
      <c r="F68" s="383">
        <f t="shared" si="2"/>
        <v>38.467706009955073</v>
      </c>
      <c r="G68" s="110">
        <f t="shared" si="21"/>
        <v>0.91652409814381097</v>
      </c>
      <c r="H68" s="412" t="b">
        <f>Wh_hp&gt;='2025'!Maxi_hp</f>
        <v>0</v>
      </c>
      <c r="I68" s="388">
        <f>IF(H68,Wh_hp,'2025'!Maxi_hp)</f>
        <v>41.571938803017574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4.8516619993005494E-2</v>
      </c>
      <c r="M68" s="832"/>
      <c r="N68" s="832"/>
      <c r="O68" s="48">
        <f>IF(t&lt;Tnet,'2025'!Resal+('2025'!Salim-'2025'!Resal)*(1-EXP(('2025'!Tnet-t)/('2025'!Tau_j))),Resal+(Salim-Resal)*(1-EXP((Tnet-t)/(Tau_j))))*Salcycl</f>
        <v>3.4988084173837863E-2</v>
      </c>
      <c r="P68" s="169">
        <f>(INDEX(Models!$BJ68:$BT68,,T68)*(1-R68)+INDEX(Models!$BJ68:$BT68,,T68+1)*R68-ERP_i)*Q68*Ramure*Pc/MaxiM</f>
        <v>3.7835558740238234E-3</v>
      </c>
      <c r="Q68" s="304">
        <f t="shared" si="4"/>
        <v>0.6</v>
      </c>
      <c r="R68" s="177">
        <f t="shared" si="5"/>
        <v>4.5069299998363732E-3</v>
      </c>
      <c r="S68" s="799">
        <f t="shared" si="6"/>
        <v>2</v>
      </c>
      <c r="T68" s="176">
        <f t="shared" si="7"/>
        <v>8</v>
      </c>
      <c r="U68" s="250">
        <f t="shared" si="8"/>
        <v>2.0045069299998364</v>
      </c>
      <c r="V68" s="382">
        <f t="shared" si="9"/>
        <v>38.39193386226011</v>
      </c>
      <c r="W68" s="400">
        <f t="shared" si="10"/>
        <v>35.202990220419366</v>
      </c>
      <c r="X68" s="157">
        <f t="shared" si="11"/>
        <v>46076</v>
      </c>
      <c r="Y68" s="383">
        <f t="shared" si="12"/>
        <v>33.757245600167998</v>
      </c>
      <c r="Z68" s="383">
        <f t="shared" si="22"/>
        <v>35.478544669818447</v>
      </c>
      <c r="AA68" s="384">
        <f t="shared" si="13"/>
        <v>38.33943180861327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7.4619967063572837E-2</v>
      </c>
      <c r="AD68" s="230">
        <f>(INDEX(Models!$BJ68:$BT68,,AH68)*(1-AF68)+INDEX(Models!$BJ68:$BT68,,AH68+1)*AF68-ERP_i)*AE68*Ramure*Pc/MaxiM</f>
        <v>3.7835558740238234E-3</v>
      </c>
      <c r="AE68" s="304">
        <f t="shared" si="15"/>
        <v>0.6</v>
      </c>
      <c r="AF68" s="177">
        <f t="shared" si="23"/>
        <v>4.5069299998363732E-3</v>
      </c>
      <c r="AG68" s="799">
        <f t="shared" si="24"/>
        <v>2</v>
      </c>
      <c r="AH68" s="176">
        <f t="shared" si="16"/>
        <v>8</v>
      </c>
      <c r="AI68" s="224">
        <f t="shared" si="17"/>
        <v>2.0045069299998364</v>
      </c>
      <c r="AJ68" s="264" t="b">
        <f t="shared" si="18"/>
        <v>0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'2025'!Wh/'2025'!Env_an*'2026'!Env_an</f>
        <v>21.914483920269877</v>
      </c>
      <c r="C69" s="829"/>
      <c r="D69" s="391">
        <f t="shared" si="0"/>
        <v>23.032355976877604</v>
      </c>
      <c r="E69" s="383">
        <f t="shared" si="1"/>
        <v>23.869350013683764</v>
      </c>
      <c r="F69" s="383">
        <f t="shared" si="2"/>
        <v>23.902422043030015</v>
      </c>
      <c r="G69" s="110">
        <f t="shared" si="21"/>
        <v>0.56440056376013237</v>
      </c>
      <c r="H69" s="412" t="b">
        <f>Wh_hp&gt;='2025'!Maxi_hp</f>
        <v>0</v>
      </c>
      <c r="I69" s="388">
        <f>IF(H69,Wh_hp,'2025'!Maxi_hp)</f>
        <v>41.52507944394246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4.8534854954915052E-2</v>
      </c>
      <c r="M69" s="832"/>
      <c r="N69" s="832"/>
      <c r="O69" s="48">
        <f>IF(t&lt;Tnet,'2025'!Resal+('2025'!Salim-'2025'!Resal)*(1-EXP(('2025'!Tnet-t)/('2025'!Tau_j))),Resal+(Salim-Resal)*(1-EXP((Tnet-t)/(Tau_j))))*Salcycl</f>
        <v>3.5065640091847108E-2</v>
      </c>
      <c r="P69" s="169">
        <f>(INDEX(Models!$BJ69:$BT69,,T69)*(1-R69)+INDEX(Models!$BJ69:$BT69,,T69+1)*R69-ERP_i)*Q69*Ramure*Pc/MaxiM</f>
        <v>3.6454833907040049E-3</v>
      </c>
      <c r="Q69" s="304">
        <f t="shared" si="4"/>
        <v>0.6</v>
      </c>
      <c r="R69" s="177">
        <f t="shared" si="5"/>
        <v>4.759228927054604E-3</v>
      </c>
      <c r="S69" s="799">
        <f t="shared" si="6"/>
        <v>2</v>
      </c>
      <c r="T69" s="176">
        <f t="shared" si="7"/>
        <v>8</v>
      </c>
      <c r="U69" s="250">
        <f t="shared" si="8"/>
        <v>2.0047592289270546</v>
      </c>
      <c r="V69" s="382">
        <f t="shared" si="9"/>
        <v>38.73994681136179</v>
      </c>
      <c r="W69" s="400">
        <f t="shared" si="10"/>
        <v>21.914483920269877</v>
      </c>
      <c r="X69" s="157">
        <f t="shared" si="11"/>
        <v>46077</v>
      </c>
      <c r="Y69" s="383">
        <f t="shared" si="12"/>
        <v>21.015321532033809</v>
      </c>
      <c r="Z69" s="383">
        <f t="shared" si="22"/>
        <v>22.087326731278214</v>
      </c>
      <c r="AA69" s="384">
        <f t="shared" si="13"/>
        <v>23.869350013683764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7.4657386203811946E-2</v>
      </c>
      <c r="AD69" s="230">
        <f>(INDEX(Models!$BJ69:$BT69,,AH69)*(1-AF69)+INDEX(Models!$BJ69:$BT69,,AH69+1)*AF69-ERP_i)*AE69*Ramure*Pc/MaxiM</f>
        <v>3.6454833907040049E-3</v>
      </c>
      <c r="AE69" s="304">
        <f t="shared" si="15"/>
        <v>0.6</v>
      </c>
      <c r="AF69" s="177">
        <f t="shared" si="23"/>
        <v>4.759228927054604E-3</v>
      </c>
      <c r="AG69" s="799">
        <f t="shared" si="24"/>
        <v>2</v>
      </c>
      <c r="AH69" s="176">
        <f t="shared" si="16"/>
        <v>8</v>
      </c>
      <c r="AI69" s="224">
        <f t="shared" si="17"/>
        <v>2.0047592289270546</v>
      </c>
      <c r="AJ69" s="264" t="b">
        <f t="shared" si="18"/>
        <v>0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'2025'!Wh/'2025'!Env_an*'2026'!Env_an</f>
        <v>31.383718649989977</v>
      </c>
      <c r="C70" s="829"/>
      <c r="D70" s="391">
        <f t="shared" si="0"/>
        <v>32.985254674608271</v>
      </c>
      <c r="E70" s="383">
        <f t="shared" si="1"/>
        <v>34.186680852451154</v>
      </c>
      <c r="F70" s="383">
        <f t="shared" si="2"/>
        <v>34.273041298982051</v>
      </c>
      <c r="G70" s="110">
        <f t="shared" si="21"/>
        <v>0.802094691937836</v>
      </c>
      <c r="H70" s="412" t="b">
        <f>Wh_hp&gt;='2025'!Maxi_hp</f>
        <v>0</v>
      </c>
      <c r="I70" s="388">
        <f>IF(H70,Wh_hp,'2025'!Maxi_hp)</f>
        <v>36.519009293012743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4.8553089567355823E-2</v>
      </c>
      <c r="M70" s="832"/>
      <c r="N70" s="832"/>
      <c r="O70" s="48">
        <f>IF(t&lt;Tnet,'2025'!Resal+('2025'!Salim-'2025'!Resal)*(1-EXP(('2025'!Tnet-t)/('2025'!Tau_j))),Resal+(Salim-Resal)*(1-EXP((Tnet-t)/(Tau_j))))*Salcycl</f>
        <v>3.5143106844101241E-2</v>
      </c>
      <c r="P70" s="169">
        <f>(INDEX(Models!$BJ70:$BT70,,T70)*(1-R70)+INDEX(Models!$BJ70:$BT70,,T70+1)*R70-ERP_i)*Q70*Ramure*Pc/MaxiM</f>
        <v>3.5074183318575887E-3</v>
      </c>
      <c r="Q70" s="304">
        <f t="shared" si="4"/>
        <v>0.6</v>
      </c>
      <c r="R70" s="177">
        <f t="shared" si="5"/>
        <v>5.0218387191907077E-3</v>
      </c>
      <c r="S70" s="799">
        <f t="shared" si="6"/>
        <v>2</v>
      </c>
      <c r="T70" s="176">
        <f t="shared" si="7"/>
        <v>8</v>
      </c>
      <c r="U70" s="250">
        <f t="shared" si="8"/>
        <v>2.0050218387191907</v>
      </c>
      <c r="V70" s="382">
        <f t="shared" si="9"/>
        <v>39.088457797736673</v>
      </c>
      <c r="W70" s="400">
        <f t="shared" si="10"/>
        <v>31.383718649989977</v>
      </c>
      <c r="X70" s="157">
        <f t="shared" si="11"/>
        <v>46078</v>
      </c>
      <c r="Y70" s="383">
        <f t="shared" si="12"/>
        <v>30.097230019008556</v>
      </c>
      <c r="Z70" s="383">
        <f t="shared" si="22"/>
        <v>31.633115509642753</v>
      </c>
      <c r="AA70" s="384">
        <f t="shared" si="13"/>
        <v>34.186680852451154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7.469474307346545E-2</v>
      </c>
      <c r="AD70" s="230">
        <f>(INDEX(Models!$BJ70:$BT70,,AH70)*(1-AF70)+INDEX(Models!$BJ70:$BT70,,AH70+1)*AF70-ERP_i)*AE70*Ramure*Pc/MaxiM</f>
        <v>3.5074183318575887E-3</v>
      </c>
      <c r="AE70" s="304">
        <f t="shared" si="15"/>
        <v>0.6</v>
      </c>
      <c r="AF70" s="177">
        <f t="shared" si="23"/>
        <v>5.0218387191907077E-3</v>
      </c>
      <c r="AG70" s="799">
        <f t="shared" si="24"/>
        <v>2</v>
      </c>
      <c r="AH70" s="176">
        <f t="shared" si="16"/>
        <v>8</v>
      </c>
      <c r="AI70" s="224">
        <f t="shared" si="17"/>
        <v>2.0050218387191907</v>
      </c>
      <c r="AJ70" s="264" t="b">
        <f t="shared" si="18"/>
        <v>0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'2025'!Wh/'2025'!Env_an*'2026'!Env_an</f>
        <v>39.777797396427978</v>
      </c>
      <c r="C71" s="829"/>
      <c r="D71" s="391">
        <f t="shared" si="0"/>
        <v>41.808491159388296</v>
      </c>
      <c r="E71" s="383">
        <f t="shared" si="1"/>
        <v>43.334762520035369</v>
      </c>
      <c r="F71" s="383">
        <f t="shared" si="2"/>
        <v>43.481266681339847</v>
      </c>
      <c r="G71" s="110">
        <f t="shared" si="21"/>
        <v>1.0086296254599769</v>
      </c>
      <c r="H71" s="412" t="b">
        <f>Wh_hp&gt;='2025'!Maxi_hp</f>
        <v>1</v>
      </c>
      <c r="I71" s="388">
        <f>IF(H71,Wh_hp,'2025'!Maxi_hp)</f>
        <v>43.481266681339847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4.8571323830334356E-2</v>
      </c>
      <c r="M71" s="832"/>
      <c r="N71" s="832"/>
      <c r="O71" s="48">
        <f>IF(t&lt;Tnet,'2025'!Resal+('2025'!Salim-'2025'!Resal)*(1-EXP(('2025'!Tnet-t)/('2025'!Tau_j))),Resal+(Salim-Resal)*(1-EXP((Tnet-t)/(Tau_j))))*Salcycl</f>
        <v>3.52204851691853E-2</v>
      </c>
      <c r="P71" s="169">
        <f>(INDEX(Models!$BJ71:$BT71,,T71)*(1-R71)+INDEX(Models!$BJ71:$BT71,,T71+1)*R71-ERP_i)*Q71*Ramure*Pc/MaxiM</f>
        <v>3.3693627735861104E-3</v>
      </c>
      <c r="Q71" s="304">
        <f t="shared" si="4"/>
        <v>0.6</v>
      </c>
      <c r="R71" s="177">
        <f t="shared" si="5"/>
        <v>5.2951689747557928E-3</v>
      </c>
      <c r="S71" s="799">
        <f t="shared" si="6"/>
        <v>2</v>
      </c>
      <c r="T71" s="176">
        <f t="shared" si="7"/>
        <v>8</v>
      </c>
      <c r="U71" s="250">
        <f t="shared" si="8"/>
        <v>2.0052951689747558</v>
      </c>
      <c r="V71" s="382">
        <f t="shared" si="9"/>
        <v>39.437466828606837</v>
      </c>
      <c r="W71" s="400">
        <f t="shared" si="10"/>
        <v>39.777797396427978</v>
      </c>
      <c r="X71" s="157">
        <f t="shared" si="11"/>
        <v>46079</v>
      </c>
      <c r="Y71" s="383">
        <f t="shared" si="12"/>
        <v>38.148738561094603</v>
      </c>
      <c r="Z71" s="383">
        <f t="shared" si="22"/>
        <v>40.096267346782852</v>
      </c>
      <c r="AA71" s="384">
        <f t="shared" si="13"/>
        <v>43.334762520035369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7.4732039243441892E-2</v>
      </c>
      <c r="AD71" s="230">
        <f>(INDEX(Models!$BJ71:$BT71,,AH71)*(1-AF71)+INDEX(Models!$BJ71:$BT71,,AH71+1)*AF71-ERP_i)*AE71*Ramure*Pc/MaxiM</f>
        <v>3.3693627735861104E-3</v>
      </c>
      <c r="AE71" s="304">
        <f t="shared" si="15"/>
        <v>0.6</v>
      </c>
      <c r="AF71" s="177">
        <f t="shared" si="23"/>
        <v>5.2951689747557928E-3</v>
      </c>
      <c r="AG71" s="799">
        <f t="shared" si="24"/>
        <v>2</v>
      </c>
      <c r="AH71" s="176">
        <f t="shared" si="16"/>
        <v>8</v>
      </c>
      <c r="AI71" s="224">
        <f t="shared" si="17"/>
        <v>2.0052951689747558</v>
      </c>
      <c r="AJ71" s="264" t="b">
        <f t="shared" si="18"/>
        <v>0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'2025'!Wh/'2025'!Env_an*'2026'!Env_an</f>
        <v>28.435445112054012</v>
      </c>
      <c r="C72" s="829"/>
      <c r="D72" s="391">
        <f t="shared" si="0"/>
        <v>29.887673972363761</v>
      </c>
      <c r="E72" s="383">
        <f t="shared" si="1"/>
        <v>30.98124296069977</v>
      </c>
      <c r="F72" s="383">
        <f t="shared" si="2"/>
        <v>31.040697460796583</v>
      </c>
      <c r="G72" s="110">
        <f t="shared" si="21"/>
        <v>0.71375002960154732</v>
      </c>
      <c r="H72" s="412" t="b">
        <f>Wh_hp&gt;='2025'!Maxi_hp</f>
        <v>0</v>
      </c>
      <c r="I72" s="388">
        <f>IF(H72,Wh_hp,'2025'!Maxi_hp)</f>
        <v>42.979805880549684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4.8589557743857315E-2</v>
      </c>
      <c r="M72" s="832"/>
      <c r="N72" s="832"/>
      <c r="O72" s="48">
        <f>IF(t&lt;Tnet,'2025'!Resal+('2025'!Salim-'2025'!Resal)*(1-EXP(('2025'!Tnet-t)/('2025'!Tau_j))),Resal+(Salim-Resal)*(1-EXP((Tnet-t)/(Tau_j))))*Salcycl</f>
        <v>3.5297776455361189E-2</v>
      </c>
      <c r="P72" s="169">
        <f>(INDEX(Models!$BJ72:$BT72,,T72)*(1-R72)+INDEX(Models!$BJ72:$BT72,,T72+1)*R72-ERP_i)*Q72*Ramure*Pc/MaxiM</f>
        <v>3.2331356959468208E-3</v>
      </c>
      <c r="Q72" s="304">
        <f t="shared" si="4"/>
        <v>0.6</v>
      </c>
      <c r="R72" s="177">
        <f t="shared" si="5"/>
        <v>5.5796445695661667E-3</v>
      </c>
      <c r="S72" s="799">
        <f t="shared" si="6"/>
        <v>2</v>
      </c>
      <c r="T72" s="176">
        <f t="shared" si="7"/>
        <v>8</v>
      </c>
      <c r="U72" s="250">
        <f t="shared" si="8"/>
        <v>2.0055796445695662</v>
      </c>
      <c r="V72" s="382">
        <f t="shared" si="9"/>
        <v>39.786901357498579</v>
      </c>
      <c r="W72" s="400">
        <f t="shared" si="10"/>
        <v>28.435445112054012</v>
      </c>
      <c r="X72" s="157">
        <f t="shared" si="11"/>
        <v>46080</v>
      </c>
      <c r="Y72" s="383">
        <f t="shared" si="12"/>
        <v>27.271987955722778</v>
      </c>
      <c r="Z72" s="383">
        <f t="shared" si="22"/>
        <v>28.664797803827867</v>
      </c>
      <c r="AA72" s="384">
        <f t="shared" si="13"/>
        <v>30.98124296069977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7.4769277650039781E-2</v>
      </c>
      <c r="AD72" s="230">
        <f>(INDEX(Models!$BJ72:$BT72,,AH72)*(1-AF72)+INDEX(Models!$BJ72:$BT72,,AH72+1)*AF72-ERP_i)*AE72*Ramure*Pc/MaxiM</f>
        <v>3.2331356959468208E-3</v>
      </c>
      <c r="AE72" s="304">
        <f t="shared" si="15"/>
        <v>0.6</v>
      </c>
      <c r="AF72" s="177">
        <f t="shared" si="23"/>
        <v>5.5796445695661667E-3</v>
      </c>
      <c r="AG72" s="799">
        <f t="shared" si="24"/>
        <v>2</v>
      </c>
      <c r="AH72" s="176">
        <f t="shared" si="16"/>
        <v>8</v>
      </c>
      <c r="AI72" s="224">
        <f t="shared" si="17"/>
        <v>2.0055796445695662</v>
      </c>
      <c r="AJ72" s="264" t="b">
        <f t="shared" si="18"/>
        <v>0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'2025'!Wh/'2025'!Env_an*'2026'!Env_an</f>
        <v>34.330692183735913</v>
      </c>
      <c r="C73" s="829"/>
      <c r="D73" s="391">
        <f t="shared" si="0"/>
        <v>36.084689227098274</v>
      </c>
      <c r="E73" s="383">
        <f t="shared" si="1"/>
        <v>37.407996457178058</v>
      </c>
      <c r="F73" s="383">
        <f t="shared" si="2"/>
        <v>37.50022373443624</v>
      </c>
      <c r="G73" s="110">
        <f t="shared" si="21"/>
        <v>0.85479467895605143</v>
      </c>
      <c r="H73" s="412" t="b">
        <f>Wh_hp&gt;='2025'!Maxi_hp</f>
        <v>0</v>
      </c>
      <c r="I73" s="388">
        <f>IF(H73,Wh_hp,'2025'!Maxi_hp)</f>
        <v>37.518611340462861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4.860779130793158E-2</v>
      </c>
      <c r="M73" s="832"/>
      <c r="N73" s="832"/>
      <c r="O73" s="48">
        <f>IF(t&lt;Tnet,'2025'!Resal+('2025'!Salim-'2025'!Resal)*(1-EXP(('2025'!Tnet-t)/('2025'!Tau_j))),Resal+(Salim-Resal)*(1-EXP((Tnet-t)/(Tau_j))))*Salcycl</f>
        <v>3.5374982768580213E-2</v>
      </c>
      <c r="P73" s="169">
        <f>(INDEX(Models!$BJ73:$BT73,,T73)*(1-R73)+INDEX(Models!$BJ73:$BT73,,T73+1)*R73-ERP_i)*Q73*Ramure*Pc/MaxiM</f>
        <v>3.0999986202981129E-3</v>
      </c>
      <c r="Q73" s="304">
        <f t="shared" si="4"/>
        <v>0.6</v>
      </c>
      <c r="R73" s="177">
        <f t="shared" si="5"/>
        <v>5.8757061421537138E-3</v>
      </c>
      <c r="S73" s="799">
        <f t="shared" si="6"/>
        <v>2</v>
      </c>
      <c r="T73" s="176">
        <f t="shared" si="7"/>
        <v>8</v>
      </c>
      <c r="U73" s="250">
        <f t="shared" si="8"/>
        <v>2.0058757061421537</v>
      </c>
      <c r="V73" s="382">
        <f t="shared" si="9"/>
        <v>40.136708737690149</v>
      </c>
      <c r="W73" s="400">
        <f t="shared" si="10"/>
        <v>34.330692183735913</v>
      </c>
      <c r="X73" s="157">
        <f t="shared" si="11"/>
        <v>46081</v>
      </c>
      <c r="Y73" s="383">
        <f t="shared" si="12"/>
        <v>32.9273385761405</v>
      </c>
      <c r="Z73" s="383">
        <f t="shared" si="22"/>
        <v>34.609636567664914</v>
      </c>
      <c r="AA73" s="384">
        <f t="shared" si="13"/>
        <v>37.407996457178058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7.4806462642726765E-2</v>
      </c>
      <c r="AD73" s="230">
        <f>(INDEX(Models!$BJ73:$BT73,,AH73)*(1-AF73)+INDEX(Models!$BJ73:$BT73,,AH73+1)*AF73-ERP_i)*AE73*Ramure*Pc/MaxiM</f>
        <v>3.0999986202981129E-3</v>
      </c>
      <c r="AE73" s="304">
        <f t="shared" si="15"/>
        <v>0.6</v>
      </c>
      <c r="AF73" s="177">
        <f t="shared" si="23"/>
        <v>5.8757061421537138E-3</v>
      </c>
      <c r="AG73" s="799">
        <f t="shared" si="24"/>
        <v>2</v>
      </c>
      <c r="AH73" s="176">
        <f t="shared" si="16"/>
        <v>8</v>
      </c>
      <c r="AI73" s="224">
        <f t="shared" si="17"/>
        <v>2.0058757061421537</v>
      </c>
      <c r="AJ73" s="264" t="b">
        <f t="shared" si="18"/>
        <v>0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'2025'!Wh/'2025'!Env_an*'2026'!Env_an</f>
        <v>39.833954964675804</v>
      </c>
      <c r="C74" s="829"/>
      <c r="D74" s="391">
        <f t="shared" si="0"/>
        <v>41.869922860445691</v>
      </c>
      <c r="E74" s="383">
        <f t="shared" si="1"/>
        <v>43.408858345886884</v>
      </c>
      <c r="F74" s="383">
        <f t="shared" si="2"/>
        <v>43.535173812459796</v>
      </c>
      <c r="G74" s="110">
        <f t="shared" si="21"/>
        <v>0.98380544443107554</v>
      </c>
      <c r="H74" s="412" t="b">
        <f>Wh_hp&gt;='2025'!Maxi_hp</f>
        <v>0</v>
      </c>
      <c r="I74" s="388">
        <f>IF(H74,Wh_hp,'2025'!Maxi_hp)</f>
        <v>43.537458266027507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4.8626024522563704E-2</v>
      </c>
      <c r="M74" s="832"/>
      <c r="N74" s="832"/>
      <c r="O74" s="48">
        <f>IF(t&lt;Tnet,'2025'!Resal+('2025'!Salim-'2025'!Resal)*(1-EXP(('2025'!Tnet-t)/('2025'!Tau_j))),Resal+(Salim-Resal)*(1-EXP((Tnet-t)/(Tau_j))))*Salcycl</f>
        <v>3.5452106875946292E-2</v>
      </c>
      <c r="P74" s="169">
        <f>(INDEX(Models!$BJ74:$BT74,,T74)*(1-R74)+INDEX(Models!$BJ74:$BT74,,T74+1)*R74-ERP_i)*Q74*Ramure*Pc/MaxiM</f>
        <v>2.9698796897265267E-3</v>
      </c>
      <c r="Q74" s="304">
        <f t="shared" si="4"/>
        <v>0.6</v>
      </c>
      <c r="R74" s="177">
        <f t="shared" si="5"/>
        <v>6.1838105872125126E-3</v>
      </c>
      <c r="S74" s="799">
        <f t="shared" si="6"/>
        <v>2</v>
      </c>
      <c r="T74" s="176">
        <f t="shared" si="7"/>
        <v>8</v>
      </c>
      <c r="U74" s="250">
        <f t="shared" si="8"/>
        <v>2.0061838105872125</v>
      </c>
      <c r="V74" s="382">
        <f t="shared" si="9"/>
        <v>40.486888685040533</v>
      </c>
      <c r="W74" s="400">
        <f t="shared" si="10"/>
        <v>39.833954964675804</v>
      </c>
      <c r="X74" s="157">
        <f t="shared" si="11"/>
        <v>46082</v>
      </c>
      <c r="Y74" s="383">
        <f t="shared" si="12"/>
        <v>38.207162790691463</v>
      </c>
      <c r="Z74" s="383">
        <f t="shared" si="22"/>
        <v>40.159983114439967</v>
      </c>
      <c r="AA74" s="384">
        <f t="shared" si="13"/>
        <v>43.408858345886884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7.4843600021900936E-2</v>
      </c>
      <c r="AD74" s="230">
        <f>(INDEX(Models!$BJ74:$BT74,,AH74)*(1-AF74)+INDEX(Models!$BJ74:$BT74,,AH74+1)*AF74-ERP_i)*AE74*Ramure*Pc/MaxiM</f>
        <v>2.9698796897265267E-3</v>
      </c>
      <c r="AE74" s="304">
        <f t="shared" si="15"/>
        <v>0.6</v>
      </c>
      <c r="AF74" s="177">
        <f t="shared" si="23"/>
        <v>6.1838105872125126E-3</v>
      </c>
      <c r="AG74" s="799">
        <f t="shared" si="24"/>
        <v>2</v>
      </c>
      <c r="AH74" s="176">
        <f t="shared" si="16"/>
        <v>8</v>
      </c>
      <c r="AI74" s="224">
        <f t="shared" si="17"/>
        <v>2.0061838105872125</v>
      </c>
      <c r="AJ74" s="264" t="b">
        <f t="shared" si="18"/>
        <v>0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'2025'!Wh/'2025'!Env_an*'2026'!Env_an</f>
        <v>11.607376894682275</v>
      </c>
      <c r="C75" s="829"/>
      <c r="D75" s="391">
        <f t="shared" si="0"/>
        <v>12.200879623442074</v>
      </c>
      <c r="E75" s="383">
        <f t="shared" si="1"/>
        <v>12.650335312973537</v>
      </c>
      <c r="F75" s="383">
        <f t="shared" si="2"/>
        <v>12.650335312973537</v>
      </c>
      <c r="G75" s="110">
        <f t="shared" si="21"/>
        <v>0.28342570559603159</v>
      </c>
      <c r="H75" s="412" t="b">
        <f>Wh_hp&gt;='2025'!Maxi_hp</f>
        <v>0</v>
      </c>
      <c r="I75" s="388">
        <f>IF(H75,Wh_hp,'2025'!Maxi_hp)</f>
        <v>30.966593074683484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4.8644257387760459E-2</v>
      </c>
      <c r="M75" s="832"/>
      <c r="N75" s="832"/>
      <c r="O75" s="48">
        <f>IF(t&lt;Tnet,'2025'!Resal+('2025'!Salim-'2025'!Resal)*(1-EXP(('2025'!Tnet-t)/('2025'!Tau_j))),Resal+(Salim-Resal)*(1-EXP((Tnet-t)/(Tau_j))))*Salcycl</f>
        <v>3.5529152264487732E-2</v>
      </c>
      <c r="P75" s="169">
        <f>(INDEX(Models!$BJ75:$BT75,,T75)*(1-R75)+INDEX(Models!$BJ75:$BT75,,T75+1)*R75-ERP_i)*Q75*Ramure*Pc/MaxiM</f>
        <v>2.8427097664515339E-3</v>
      </c>
      <c r="Q75" s="304">
        <f t="shared" si="4"/>
        <v>0.6</v>
      </c>
      <c r="R75" s="177">
        <f t="shared" si="5"/>
        <v>6.5044315564741773E-3</v>
      </c>
      <c r="S75" s="799">
        <f t="shared" si="6"/>
        <v>2</v>
      </c>
      <c r="T75" s="176">
        <f t="shared" si="7"/>
        <v>8</v>
      </c>
      <c r="U75" s="250">
        <f t="shared" si="8"/>
        <v>2.0065044315564742</v>
      </c>
      <c r="V75" s="382">
        <f t="shared" si="9"/>
        <v>40.837440861902323</v>
      </c>
      <c r="W75" s="400">
        <f t="shared" si="10"/>
        <v>11.607376894682275</v>
      </c>
      <c r="X75" s="157">
        <f t="shared" si="11"/>
        <v>46083</v>
      </c>
      <c r="Y75" s="383">
        <f t="shared" si="12"/>
        <v>11.13378226714442</v>
      </c>
      <c r="Z75" s="383">
        <f t="shared" si="22"/>
        <v>11.703069386613675</v>
      </c>
      <c r="AA75" s="384">
        <f t="shared" si="13"/>
        <v>12.650335312973537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7.488069706645592E-2</v>
      </c>
      <c r="AD75" s="230">
        <f>(INDEX(Models!$BJ75:$BT75,,AH75)*(1-AF75)+INDEX(Models!$BJ75:$BT75,,AH75+1)*AF75-ERP_i)*AE75*Ramure*Pc/MaxiM</f>
        <v>2.8427097664515339E-3</v>
      </c>
      <c r="AE75" s="304">
        <f t="shared" si="15"/>
        <v>0.6</v>
      </c>
      <c r="AF75" s="177">
        <f t="shared" si="23"/>
        <v>6.5044315564741773E-3</v>
      </c>
      <c r="AG75" s="799">
        <f t="shared" si="24"/>
        <v>2</v>
      </c>
      <c r="AH75" s="176">
        <f t="shared" si="16"/>
        <v>8</v>
      </c>
      <c r="AI75" s="224">
        <f t="shared" si="17"/>
        <v>2.0065044315564742</v>
      </c>
      <c r="AJ75" s="264" t="b">
        <f t="shared" si="18"/>
        <v>0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'2025'!Wh/'2025'!Env_an*'2026'!Env_an</f>
        <v>35.61818272871092</v>
      </c>
      <c r="C76" s="829"/>
      <c r="D76" s="391">
        <f t="shared" si="0"/>
        <v>37.440111790713495</v>
      </c>
      <c r="E76" s="383">
        <f t="shared" si="1"/>
        <v>38.822427941168492</v>
      </c>
      <c r="F76" s="383">
        <f t="shared" si="2"/>
        <v>38.907761823968038</v>
      </c>
      <c r="G76" s="110">
        <f t="shared" si="21"/>
        <v>0.86430805198780014</v>
      </c>
      <c r="H76" s="412" t="b">
        <f>Wh_hp&gt;='2025'!Maxi_hp</f>
        <v>0</v>
      </c>
      <c r="I76" s="388">
        <f>IF(H76,Wh_hp,'2025'!Maxi_hp)</f>
        <v>38.923472241989082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4.8662489903528505E-2</v>
      </c>
      <c r="M76" s="832"/>
      <c r="N76" s="832"/>
      <c r="O76" s="48">
        <f>IF(t&lt;Tnet,'2025'!Resal+('2025'!Salim-'2025'!Resal)*(1-EXP(('2025'!Tnet-t)/('2025'!Tau_j))),Resal+(Salim-Resal)*(1-EXP((Tnet-t)/(Tau_j))))*Salcycl</f>
        <v>3.5606123155145379E-2</v>
      </c>
      <c r="P76" s="169">
        <f>(INDEX(Models!$BJ76:$BT76,,T76)*(1-R76)+INDEX(Models!$BJ76:$BT76,,T76+1)*R76-ERP_i)*Q76*Ramure*Pc/MaxiM</f>
        <v>2.718422139578831E-3</v>
      </c>
      <c r="Q76" s="304">
        <f t="shared" si="4"/>
        <v>0.6</v>
      </c>
      <c r="R76" s="177">
        <f t="shared" si="5"/>
        <v>6.8380599663320218E-3</v>
      </c>
      <c r="S76" s="799">
        <f t="shared" si="6"/>
        <v>2</v>
      </c>
      <c r="T76" s="176">
        <f t="shared" si="7"/>
        <v>8</v>
      </c>
      <c r="U76" s="250">
        <f t="shared" si="8"/>
        <v>2.006838059966332</v>
      </c>
      <c r="V76" s="382">
        <f t="shared" si="9"/>
        <v>41.188364882581965</v>
      </c>
      <c r="W76" s="400">
        <f t="shared" si="10"/>
        <v>35.61818272871092</v>
      </c>
      <c r="X76" s="157">
        <f t="shared" si="11"/>
        <v>46084</v>
      </c>
      <c r="Y76" s="383">
        <f t="shared" si="12"/>
        <v>34.166276833216806</v>
      </c>
      <c r="Z76" s="383">
        <f t="shared" si="22"/>
        <v>35.913938503015757</v>
      </c>
      <c r="AA76" s="384">
        <f t="shared" si="13"/>
        <v>38.822427941168492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7.4917762551076392E-2</v>
      </c>
      <c r="AD76" s="230">
        <f>(INDEX(Models!$BJ76:$BT76,,AH76)*(1-AF76)+INDEX(Models!$BJ76:$BT76,,AH76+1)*AF76-ERP_i)*AE76*Ramure*Pc/MaxiM</f>
        <v>2.718422139578831E-3</v>
      </c>
      <c r="AE76" s="304">
        <f t="shared" si="15"/>
        <v>0.6</v>
      </c>
      <c r="AF76" s="177">
        <f t="shared" si="23"/>
        <v>6.8380599663320218E-3</v>
      </c>
      <c r="AG76" s="799">
        <f t="shared" si="24"/>
        <v>2</v>
      </c>
      <c r="AH76" s="176">
        <f t="shared" si="16"/>
        <v>8</v>
      </c>
      <c r="AI76" s="224">
        <f t="shared" si="17"/>
        <v>2.006838059966332</v>
      </c>
      <c r="AJ76" s="264" t="b">
        <f t="shared" si="18"/>
        <v>0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'2025'!Wh/'2025'!Env_an*'2026'!Env_an</f>
        <v>3.8276741782840196</v>
      </c>
      <c r="C77" s="829"/>
      <c r="D77" s="391">
        <f t="shared" si="0"/>
        <v>4.0235431648271112</v>
      </c>
      <c r="E77" s="383">
        <f t="shared" si="1"/>
        <v>4.1724280159961866</v>
      </c>
      <c r="F77" s="383">
        <f t="shared" si="2"/>
        <v>4.1724280159961866</v>
      </c>
      <c r="G77" s="110">
        <f t="shared" si="21"/>
        <v>9.1905756133691507E-2</v>
      </c>
      <c r="H77" s="412" t="b">
        <f>Wh_hp&gt;='2025'!Maxi_hp</f>
        <v>0</v>
      </c>
      <c r="I77" s="388">
        <f>IF(H77,Wh_hp,'2025'!Maxi_hp)</f>
        <v>32.038386239307918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4.8680722069874505E-2</v>
      </c>
      <c r="M77" s="832"/>
      <c r="N77" s="832"/>
      <c r="O77" s="48">
        <f>IF(t&lt;Tnet,'2025'!Resal+('2025'!Salim-'2025'!Resal)*(1-EXP(('2025'!Tnet-t)/('2025'!Tau_j))),Resal+(Salim-Resal)*(1-EXP((Tnet-t)/(Tau_j))))*Salcycl</f>
        <v>3.5683024511934801E-2</v>
      </c>
      <c r="P77" s="169">
        <f>(INDEX(Models!$BJ77:$BT77,,T77)*(1-R77)+INDEX(Models!$BJ77:$BT77,,T77+1)*R77-ERP_i)*Q77*Ramure*Pc/MaxiM</f>
        <v>2.5969522420069605E-3</v>
      </c>
      <c r="Q77" s="304">
        <f t="shared" si="4"/>
        <v>0.6</v>
      </c>
      <c r="R77" s="177">
        <f t="shared" si="5"/>
        <v>7.1852045114302321E-3</v>
      </c>
      <c r="S77" s="799">
        <f t="shared" si="6"/>
        <v>2</v>
      </c>
      <c r="T77" s="176">
        <f t="shared" si="7"/>
        <v>8</v>
      </c>
      <c r="U77" s="250">
        <f t="shared" si="8"/>
        <v>2.0071852045114302</v>
      </c>
      <c r="V77" s="382">
        <f t="shared" si="9"/>
        <v>41.53966031998641</v>
      </c>
      <c r="W77" s="400">
        <f t="shared" si="10"/>
        <v>3.8276741782840196</v>
      </c>
      <c r="X77" s="157">
        <f t="shared" si="11"/>
        <v>46085</v>
      </c>
      <c r="Y77" s="383">
        <f t="shared" si="12"/>
        <v>3.6717922528990883</v>
      </c>
      <c r="Z77" s="383">
        <f t="shared" si="22"/>
        <v>3.8596844803651522</v>
      </c>
      <c r="AA77" s="384">
        <f t="shared" si="13"/>
        <v>4.1724280159961866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7.4954806753296438E-2</v>
      </c>
      <c r="AD77" s="230">
        <f>(INDEX(Models!$BJ77:$BT77,,AH77)*(1-AF77)+INDEX(Models!$BJ77:$BT77,,AH77+1)*AF77-ERP_i)*AE77*Ramure*Pc/MaxiM</f>
        <v>2.5969522420069605E-3</v>
      </c>
      <c r="AE77" s="304">
        <f t="shared" si="15"/>
        <v>0.6</v>
      </c>
      <c r="AF77" s="177">
        <f t="shared" si="23"/>
        <v>7.1852045114302321E-3</v>
      </c>
      <c r="AG77" s="799">
        <f t="shared" si="24"/>
        <v>2</v>
      </c>
      <c r="AH77" s="176">
        <f t="shared" si="16"/>
        <v>8</v>
      </c>
      <c r="AI77" s="224">
        <f t="shared" si="17"/>
        <v>2.0071852045114302</v>
      </c>
      <c r="AJ77" s="264" t="b">
        <f t="shared" si="18"/>
        <v>0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'2025'!Wh/'2025'!Env_an*'2026'!Env_an</f>
        <v>13.180523163954552</v>
      </c>
      <c r="C78" s="829"/>
      <c r="D78" s="391">
        <f t="shared" si="0"/>
        <v>13.855259823172958</v>
      </c>
      <c r="E78" s="383">
        <f t="shared" si="1"/>
        <v>14.36909674033719</v>
      </c>
      <c r="F78" s="383">
        <f t="shared" si="2"/>
        <v>14.369841338315268</v>
      </c>
      <c r="G78" s="110">
        <f t="shared" si="21"/>
        <v>0.31387260908872838</v>
      </c>
      <c r="H78" s="412" t="b">
        <f>Wh_hp&gt;='2025'!Maxi_hp</f>
        <v>0</v>
      </c>
      <c r="I78" s="388">
        <f>IF(H78,Wh_hp,'2025'!Maxi_hp)</f>
        <v>38.035034481034316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4.869895388680523E-2</v>
      </c>
      <c r="M78" s="832"/>
      <c r="N78" s="832"/>
      <c r="O78" s="48">
        <f>IF(t&lt;Tnet,'2025'!Resal+('2025'!Salim-'2025'!Resal)*(1-EXP(('2025'!Tnet-t)/('2025'!Tau_j))),Resal+(Salim-Resal)*(1-EXP((Tnet-t)/(Tau_j))))*Salcycl</f>
        <v>3.575986204628856E-2</v>
      </c>
      <c r="P78" s="169">
        <f>(INDEX(Models!$BJ78:$BT78,,T78)*(1-R78)+INDEX(Models!$BJ78:$BT78,,T78+1)*R78-ERP_i)*Q78*Ramure*Pc/MaxiM</f>
        <v>2.47823737816452E-3</v>
      </c>
      <c r="Q78" s="304">
        <f t="shared" si="4"/>
        <v>0.6</v>
      </c>
      <c r="R78" s="177">
        <f t="shared" si="5"/>
        <v>7.5463921833258674E-3</v>
      </c>
      <c r="S78" s="799">
        <f t="shared" si="6"/>
        <v>2</v>
      </c>
      <c r="T78" s="176">
        <f t="shared" si="7"/>
        <v>8</v>
      </c>
      <c r="U78" s="250">
        <f t="shared" si="8"/>
        <v>2.0075463921833259</v>
      </c>
      <c r="V78" s="382">
        <f t="shared" si="9"/>
        <v>41.891326710907371</v>
      </c>
      <c r="W78" s="400">
        <f t="shared" si="10"/>
        <v>13.180523163954552</v>
      </c>
      <c r="X78" s="157">
        <f t="shared" si="11"/>
        <v>46086</v>
      </c>
      <c r="Y78" s="383">
        <f t="shared" si="12"/>
        <v>12.644248025686876</v>
      </c>
      <c r="Z78" s="383">
        <f t="shared" si="22"/>
        <v>13.291531715799611</v>
      </c>
      <c r="AA78" s="384">
        <f t="shared" si="13"/>
        <v>14.36909674033719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7.4991841450452498E-2</v>
      </c>
      <c r="AD78" s="230">
        <f>(INDEX(Models!$BJ78:$BT78,,AH78)*(1-AF78)+INDEX(Models!$BJ78:$BT78,,AH78+1)*AF78-ERP_i)*AE78*Ramure*Pc/MaxiM</f>
        <v>2.47823737816452E-3</v>
      </c>
      <c r="AE78" s="304">
        <f t="shared" si="15"/>
        <v>0.6</v>
      </c>
      <c r="AF78" s="177">
        <f t="shared" si="23"/>
        <v>7.5463921833258674E-3</v>
      </c>
      <c r="AG78" s="799">
        <f t="shared" si="24"/>
        <v>2</v>
      </c>
      <c r="AH78" s="176">
        <f t="shared" si="16"/>
        <v>8</v>
      </c>
      <c r="AI78" s="224">
        <f t="shared" si="17"/>
        <v>2.0075463921833259</v>
      </c>
      <c r="AJ78" s="264" t="b">
        <f t="shared" si="18"/>
        <v>0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'2025'!Wh/'2025'!Env_an*'2026'!Env_an</f>
        <v>15.891623972970377</v>
      </c>
      <c r="C79" s="829"/>
      <c r="D79" s="391">
        <f t="shared" ref="D79:D142" si="25">Wh/(1-Ppv)</f>
        <v>16.705467320871954</v>
      </c>
      <c r="E79" s="383">
        <f t="shared" si="1"/>
        <v>17.326386847222835</v>
      </c>
      <c r="F79" s="383">
        <f t="shared" ref="F79:F142" si="26">Wh_sa/(1-Pvg*MEDIAN((-Sdif+Wh/Env_an)/Csdif,0,1))</f>
        <v>17.330842232819712</v>
      </c>
      <c r="G79" s="110">
        <f t="shared" si="21"/>
        <v>0.37539039296381349</v>
      </c>
      <c r="H79" s="412" t="b">
        <f>Wh_hp&gt;='2025'!Maxi_hp</f>
        <v>0</v>
      </c>
      <c r="I79" s="388">
        <f>IF(H79,Wh_hp,'2025'!Maxi_hp)</f>
        <v>17.358899888574093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4.8717185354327341E-2</v>
      </c>
      <c r="M79" s="832"/>
      <c r="N79" s="832"/>
      <c r="O79" s="48">
        <f>IF(t&lt;Tnet,'2025'!Resal+('2025'!Salim-'2025'!Resal)*(1-EXP(('2025'!Tnet-t)/('2025'!Tau_j))),Resal+(Salim-Resal)*(1-EXP((Tnet-t)/(Tau_j))))*Salcycl</f>
        <v>3.5836642216631923E-2</v>
      </c>
      <c r="P79" s="169">
        <f>(INDEX(Models!$BJ79:$BT79,,T79)*(1-R79)+INDEX(Models!$BJ79:$BT79,,T79+1)*R79-ERP_i)*Q79*Ramure*Pc/MaxiM</f>
        <v>2.362155619857839E-3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7.9221687932240492E-3</v>
      </c>
      <c r="S79" s="799">
        <f t="shared" ref="S79:S142" si="30">INDEX(Echel_vg,T79)</f>
        <v>2</v>
      </c>
      <c r="T79" s="176">
        <f t="shared" ref="T79:T142" si="31">MIN(MATCH(Hp_vg,Echel_vg),10)</f>
        <v>8</v>
      </c>
      <c r="U79" s="250">
        <f t="shared" ref="U79:U142" si="32">IF(OR(t&lt;Ttai,Notai),Hdd+PousH*Croivg,Hdtf+PousH*(Croivg-Croi_tai))</f>
        <v>2.007922168793224</v>
      </c>
      <c r="V79" s="382">
        <f t="shared" ref="V79:V142" si="33">MaxiM*(1-Ppv)*(1-Pvg)*(1-Psa)</f>
        <v>42.24445423401643</v>
      </c>
      <c r="W79" s="400">
        <f t="shared" ref="W79:W142" si="34">Wh*(A79&gt;Tmaj)</f>
        <v>15.891623972970377</v>
      </c>
      <c r="X79" s="157">
        <f t="shared" ref="X79:X142" si="35">t</f>
        <v>46087</v>
      </c>
      <c r="Y79" s="383">
        <f t="shared" ref="Y79:Y142" si="36">Wh_pvt_s*(1-Ppv)</f>
        <v>15.245645986975678</v>
      </c>
      <c r="Z79" s="383">
        <f t="shared" ref="Z79:Z142" si="37">Wh_sa_s*(1-Psa_s)</f>
        <v>16.026407449244495</v>
      </c>
      <c r="AA79" s="384">
        <f t="shared" ref="AA79:AA142" si="38">Wh_hp*(1-Pvg_s*MEDIAN((-Sdif+Wh/Env_an)/Csdif,0,1))</f>
        <v>17.326386847222835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7.5028879906759549E-2</v>
      </c>
      <c r="AD79" s="230">
        <f>(INDEX(Models!$BJ79:$BT79,,AH79)*(1-AF79)+INDEX(Models!$BJ79:$BT79,,AH79+1)*AF79-ERP_i)*AE79*Ramure*Pc/MaxiM</f>
        <v>2.362155619857839E-3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7.9221687932240492E-3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2.007922168793224</v>
      </c>
      <c r="AJ79" s="264" t="b">
        <f t="shared" ref="AJ79:AJ142" si="44">t&lt;Tnet</f>
        <v>0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'2025'!Wh/'2025'!Env_an*'2026'!Env_an</f>
        <v>39.148493776556585</v>
      </c>
      <c r="C80" s="829"/>
      <c r="D80" s="391">
        <f t="shared" si="25"/>
        <v>41.154158847565974</v>
      </c>
      <c r="E80" s="383">
        <f t="shared" ref="E80:E143" si="47">Wh_pvt/(1-Psa)</f>
        <v>42.68720015593621</v>
      </c>
      <c r="F80" s="383">
        <f t="shared" si="26"/>
        <v>42.772353085307103</v>
      </c>
      <c r="G80" s="110">
        <f t="shared" ref="G80:G143" si="48">+Wh_hp/MaxiM</f>
        <v>0.91874573960599404</v>
      </c>
      <c r="H80" s="412" t="b">
        <f>Wh_hp&gt;='2025'!Maxi_hp</f>
        <v>0</v>
      </c>
      <c r="I80" s="388">
        <f>IF(H80,Wh_hp,'2025'!Maxi_hp)</f>
        <v>42.780921418940942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4.8735416472447612E-2</v>
      </c>
      <c r="M80" s="832"/>
      <c r="N80" s="832"/>
      <c r="O80" s="48">
        <f>IF(t&lt;Tnet,'2025'!Resal+('2025'!Salim-'2025'!Resal)*(1-EXP(('2025'!Tnet-t)/('2025'!Tau_j))),Resal+(Salim-Resal)*(1-EXP((Tnet-t)/(Tau_j))))*Salcycl</f>
        <v>3.5913372223290357E-2</v>
      </c>
      <c r="P80" s="169">
        <f>(INDEX(Models!$BJ80:$BT80,,T80)*(1-R80)+INDEX(Models!$BJ80:$BT80,,T80+1)*R80-ERP_i)*Q80*Ramure*Pc/MaxiM</f>
        <v>2.251406378438158E-3</v>
      </c>
      <c r="Q80" s="304">
        <f t="shared" si="28"/>
        <v>0.6</v>
      </c>
      <c r="R80" s="177">
        <f t="shared" si="29"/>
        <v>8.3130994976596817E-3</v>
      </c>
      <c r="S80" s="799">
        <f t="shared" si="30"/>
        <v>2</v>
      </c>
      <c r="T80" s="176">
        <f t="shared" si="31"/>
        <v>8</v>
      </c>
      <c r="U80" s="250">
        <f t="shared" si="32"/>
        <v>2.0083130994976597</v>
      </c>
      <c r="V80" s="382">
        <f t="shared" si="33"/>
        <v>42.599677991349459</v>
      </c>
      <c r="W80" s="400">
        <f t="shared" si="34"/>
        <v>39.148493776556585</v>
      </c>
      <c r="X80" s="157">
        <f t="shared" si="35"/>
        <v>46088</v>
      </c>
      <c r="Y80" s="383">
        <f t="shared" si="36"/>
        <v>37.558632566478238</v>
      </c>
      <c r="Z80" s="383">
        <f t="shared" si="37"/>
        <v>39.482845484692</v>
      </c>
      <c r="AA80" s="384">
        <f t="shared" si="38"/>
        <v>42.68720015593621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7.5065936850829101E-2</v>
      </c>
      <c r="AD80" s="230">
        <f>(INDEX(Models!$BJ80:$BT80,,AH80)*(1-AF80)+INDEX(Models!$BJ80:$BT80,,AH80+1)*AF80-ERP_i)*AE80*Ramure*Pc/MaxiM</f>
        <v>2.251406378438158E-3</v>
      </c>
      <c r="AE80" s="304">
        <f t="shared" si="40"/>
        <v>0.6</v>
      </c>
      <c r="AF80" s="177">
        <f t="shared" si="41"/>
        <v>8.3130994976596817E-3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2.0083130994976597</v>
      </c>
      <c r="AJ80" s="264" t="b">
        <f t="shared" si="44"/>
        <v>0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'2025'!Wh/'2025'!Env_an*'2026'!Env_an</f>
        <v>31.907143414794735</v>
      </c>
      <c r="C81" s="829"/>
      <c r="D81" s="391">
        <f t="shared" si="25"/>
        <v>33.542460711945836</v>
      </c>
      <c r="E81" s="383">
        <f t="shared" si="47"/>
        <v>34.794724950560699</v>
      </c>
      <c r="F81" s="383">
        <f t="shared" si="26"/>
        <v>34.84203863408338</v>
      </c>
      <c r="G81" s="110">
        <f t="shared" si="48"/>
        <v>0.74219204428623653</v>
      </c>
      <c r="H81" s="412" t="b">
        <f>Wh_hp&gt;='2025'!Maxi_hp</f>
        <v>0</v>
      </c>
      <c r="I81" s="388">
        <f>IF(H81,Wh_hp,'2025'!Maxi_hp)</f>
        <v>34.863147641201927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4.8753647241172593E-2</v>
      </c>
      <c r="M81" s="832"/>
      <c r="N81" s="832"/>
      <c r="O81" s="48">
        <f>IF(t&lt;Tnet,'2025'!Resal+('2025'!Salim-'2025'!Resal)*(1-EXP(('2025'!Tnet-t)/('2025'!Tau_j))),Resal+(Salim-Resal)*(1-EXP((Tnet-t)/(Tau_j))))*Salcycl</f>
        <v>3.5990059998870054E-2</v>
      </c>
      <c r="P81" s="169">
        <f>(INDEX(Models!$BJ81:$BT81,,T81)*(1-R81)+INDEX(Models!$BJ81:$BT81,,T81+1)*R81-ERP_i)*Q81*Ramure*Pc/MaxiM</f>
        <v>2.146814053892096E-3</v>
      </c>
      <c r="Q81" s="304">
        <f t="shared" si="28"/>
        <v>0.6</v>
      </c>
      <c r="R81" s="177">
        <f t="shared" si="29"/>
        <v>8.7197693258698195E-3</v>
      </c>
      <c r="S81" s="799">
        <f t="shared" si="30"/>
        <v>2</v>
      </c>
      <c r="T81" s="176">
        <f t="shared" si="31"/>
        <v>8</v>
      </c>
      <c r="U81" s="250">
        <f t="shared" si="32"/>
        <v>2.0087197693258698</v>
      </c>
      <c r="V81" s="382">
        <f t="shared" si="33"/>
        <v>42.956454434583186</v>
      </c>
      <c r="W81" s="400">
        <f t="shared" si="34"/>
        <v>31.907143414794735</v>
      </c>
      <c r="X81" s="157">
        <f t="shared" si="35"/>
        <v>46089</v>
      </c>
      <c r="Y81" s="383">
        <f t="shared" si="36"/>
        <v>30.612568492095658</v>
      </c>
      <c r="Z81" s="383">
        <f t="shared" si="37"/>
        <v>32.181535732896485</v>
      </c>
      <c r="AA81" s="384">
        <f t="shared" si="38"/>
        <v>34.794724950560699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7.5103028444031467E-2</v>
      </c>
      <c r="AD81" s="230">
        <f>(INDEX(Models!$BJ81:$BT81,,AH81)*(1-AF81)+INDEX(Models!$BJ81:$BT81,,AH81+1)*AF81-ERP_i)*AE81*Ramure*Pc/MaxiM</f>
        <v>2.146814053892096E-3</v>
      </c>
      <c r="AE81" s="304">
        <f t="shared" si="40"/>
        <v>0.6</v>
      </c>
      <c r="AF81" s="177">
        <f t="shared" si="41"/>
        <v>8.7197693258698195E-3</v>
      </c>
      <c r="AG81" s="799">
        <f t="shared" si="49"/>
        <v>2</v>
      </c>
      <c r="AH81" s="176">
        <f t="shared" si="42"/>
        <v>8</v>
      </c>
      <c r="AI81" s="224">
        <f t="shared" si="43"/>
        <v>2.0087197693258698</v>
      </c>
      <c r="AJ81" s="264" t="b">
        <f t="shared" si="44"/>
        <v>0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'2025'!Wh/'2025'!Env_an*'2026'!Env_an</f>
        <v>31.109657139481538</v>
      </c>
      <c r="C82" s="829"/>
      <c r="D82" s="391">
        <f t="shared" si="25"/>
        <v>32.704728139207155</v>
      </c>
      <c r="E82" s="383">
        <f t="shared" si="47"/>
        <v>33.928414570590078</v>
      </c>
      <c r="F82" s="383">
        <f t="shared" si="26"/>
        <v>33.969986589600111</v>
      </c>
      <c r="G82" s="110">
        <f t="shared" si="48"/>
        <v>0.71763808324104938</v>
      </c>
      <c r="H82" s="412" t="b">
        <f>Wh_hp&gt;='2025'!Maxi_hp</f>
        <v>0</v>
      </c>
      <c r="I82" s="388">
        <f>IF(H82,Wh_hp,'2025'!Maxi_hp)</f>
        <v>45.223150143497143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4.8771877660509055E-2</v>
      </c>
      <c r="M82" s="832"/>
      <c r="N82" s="832"/>
      <c r="O82" s="48">
        <f>IF(t&lt;Tnet,'2025'!Resal+('2025'!Salim-'2025'!Resal)*(1-EXP(('2025'!Tnet-t)/('2025'!Tau_j))),Resal+(Salim-Resal)*(1-EXP((Tnet-t)/(Tau_j))))*Salcycl</f>
        <v>3.6066714194291971E-2</v>
      </c>
      <c r="P82" s="169">
        <f>(INDEX(Models!$BJ82:$BT82,,T82)*(1-R82)+INDEX(Models!$BJ82:$BT82,,T82+1)*R82-ERP_i)*Q82*Ramure*Pc/MaxiM</f>
        <v>2.0482717855230684E-3</v>
      </c>
      <c r="Q82" s="304">
        <f t="shared" si="28"/>
        <v>0.6</v>
      </c>
      <c r="R82" s="177">
        <f t="shared" si="29"/>
        <v>9.14278370745647E-3</v>
      </c>
      <c r="S82" s="799">
        <f t="shared" si="30"/>
        <v>2</v>
      </c>
      <c r="T82" s="176">
        <f t="shared" si="31"/>
        <v>8</v>
      </c>
      <c r="U82" s="250">
        <f t="shared" si="32"/>
        <v>2.0091427837074565</v>
      </c>
      <c r="V82" s="382">
        <f t="shared" si="33"/>
        <v>43.314279147471943</v>
      </c>
      <c r="W82" s="400">
        <f t="shared" si="34"/>
        <v>31.109657139481538</v>
      </c>
      <c r="X82" s="157">
        <f t="shared" si="35"/>
        <v>46090</v>
      </c>
      <c r="Y82" s="383">
        <f t="shared" si="36"/>
        <v>29.848613557979402</v>
      </c>
      <c r="Z82" s="383">
        <f t="shared" si="37"/>
        <v>31.379027655919646</v>
      </c>
      <c r="AA82" s="384">
        <f t="shared" si="38"/>
        <v>33.928414570590078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7.514017224018181E-2</v>
      </c>
      <c r="AD82" s="230">
        <f>(INDEX(Models!$BJ82:$BT82,,AH82)*(1-AF82)+INDEX(Models!$BJ82:$BT82,,AH82+1)*AF82-ERP_i)*AE82*Ramure*Pc/MaxiM</f>
        <v>2.0482717855230684E-3</v>
      </c>
      <c r="AE82" s="304">
        <f t="shared" si="40"/>
        <v>0.6</v>
      </c>
      <c r="AF82" s="177">
        <f t="shared" si="41"/>
        <v>9.14278370745647E-3</v>
      </c>
      <c r="AG82" s="799">
        <f t="shared" si="49"/>
        <v>2</v>
      </c>
      <c r="AH82" s="176">
        <f t="shared" si="42"/>
        <v>8</v>
      </c>
      <c r="AI82" s="224">
        <f t="shared" si="43"/>
        <v>2.0091427837074565</v>
      </c>
      <c r="AJ82" s="264" t="b">
        <f t="shared" si="44"/>
        <v>0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'2025'!Wh/'2025'!Env_an*'2026'!Env_an</f>
        <v>24.766034896069524</v>
      </c>
      <c r="C83" s="829"/>
      <c r="D83" s="391">
        <f t="shared" si="25"/>
        <v>26.036351279925274</v>
      </c>
      <c r="E83" s="383">
        <f t="shared" si="47"/>
        <v>27.012679864988257</v>
      </c>
      <c r="F83" s="383">
        <f t="shared" si="26"/>
        <v>27.032851281635629</v>
      </c>
      <c r="G83" s="110">
        <f t="shared" si="48"/>
        <v>0.56639703551180931</v>
      </c>
      <c r="H83" s="412" t="b">
        <f>Wh_hp&gt;='2025'!Maxi_hp</f>
        <v>0</v>
      </c>
      <c r="I83" s="388">
        <f>IF(H83,Wh_hp,'2025'!Maxi_hp)</f>
        <v>44.941946667610743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4.8790107730463661E-2</v>
      </c>
      <c r="M83" s="832"/>
      <c r="N83" s="832"/>
      <c r="O83" s="48">
        <f>IF(t&lt;Tnet,'2025'!Resal+('2025'!Salim-'2025'!Resal)*(1-EXP(('2025'!Tnet-t)/('2025'!Tau_j))),Resal+(Salim-Resal)*(1-EXP((Tnet-t)/(Tau_j))))*Salcycl</f>
        <v>3.6143344160696325E-2</v>
      </c>
      <c r="P83" s="169">
        <f>(INDEX(Models!$BJ83:$BT83,,T83)*(1-R83)+INDEX(Models!$BJ83:$BT83,,T83+1)*R83-ERP_i)*Q83*Ramure*Pc/MaxiM</f>
        <v>1.9556703072117535E-3</v>
      </c>
      <c r="Q83" s="304">
        <f t="shared" si="28"/>
        <v>0.6</v>
      </c>
      <c r="R83" s="177">
        <f t="shared" si="29"/>
        <v>9.5827689987935116E-3</v>
      </c>
      <c r="S83" s="799">
        <f t="shared" si="30"/>
        <v>2</v>
      </c>
      <c r="T83" s="176">
        <f t="shared" si="31"/>
        <v>8</v>
      </c>
      <c r="U83" s="250">
        <f t="shared" si="32"/>
        <v>2.0095827689987935</v>
      </c>
      <c r="V83" s="382">
        <f t="shared" si="33"/>
        <v>43.672647874268812</v>
      </c>
      <c r="W83" s="400">
        <f t="shared" si="34"/>
        <v>24.766034896069524</v>
      </c>
      <c r="X83" s="157">
        <f t="shared" si="35"/>
        <v>46091</v>
      </c>
      <c r="Y83" s="383">
        <f t="shared" si="36"/>
        <v>23.76306576717306</v>
      </c>
      <c r="Z83" s="383">
        <f t="shared" si="37"/>
        <v>24.98193717316758</v>
      </c>
      <c r="AA83" s="384">
        <f t="shared" si="38"/>
        <v>27.012679864988257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7.5177387137096624E-2</v>
      </c>
      <c r="AD83" s="230">
        <f>(INDEX(Models!$BJ83:$BT83,,AH83)*(1-AF83)+INDEX(Models!$BJ83:$BT83,,AH83+1)*AF83-ERP_i)*AE83*Ramure*Pc/MaxiM</f>
        <v>1.9556703072117535E-3</v>
      </c>
      <c r="AE83" s="304">
        <f t="shared" si="40"/>
        <v>0.6</v>
      </c>
      <c r="AF83" s="177">
        <f t="shared" si="41"/>
        <v>9.5827689987935116E-3</v>
      </c>
      <c r="AG83" s="799">
        <f t="shared" si="49"/>
        <v>2</v>
      </c>
      <c r="AH83" s="176">
        <f t="shared" si="42"/>
        <v>8</v>
      </c>
      <c r="AI83" s="224">
        <f t="shared" si="43"/>
        <v>2.0095827689987935</v>
      </c>
      <c r="AJ83" s="264" t="b">
        <f t="shared" si="44"/>
        <v>0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'2025'!Wh/'2025'!Env_an*'2026'!Env_an</f>
        <v>15.360106167939389</v>
      </c>
      <c r="C84" s="829"/>
      <c r="D84" s="391">
        <f t="shared" si="25"/>
        <v>16.148276706692453</v>
      </c>
      <c r="E84" s="383">
        <f t="shared" si="47"/>
        <v>16.755147476883987</v>
      </c>
      <c r="F84" s="383">
        <f t="shared" si="26"/>
        <v>16.757332879116856</v>
      </c>
      <c r="G84" s="110">
        <f t="shared" si="48"/>
        <v>0.34824055103453661</v>
      </c>
      <c r="H84" s="412" t="b">
        <f>Wh_hp&gt;='2025'!Maxi_hp</f>
        <v>0</v>
      </c>
      <c r="I84" s="388">
        <f>IF(H84,Wh_hp,'2025'!Maxi_hp)</f>
        <v>33.644561072825525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4.8808337451043182E-2</v>
      </c>
      <c r="M84" s="832"/>
      <c r="N84" s="832"/>
      <c r="O84" s="48">
        <f>IF(t&lt;Tnet,'2025'!Resal+('2025'!Salim-'2025'!Resal)*(1-EXP(('2025'!Tnet-t)/('2025'!Tau_j))),Resal+(Salim-Resal)*(1-EXP((Tnet-t)/(Tau_j))))*Salcycl</f>
        <v>3.6219959927466905E-2</v>
      </c>
      <c r="P84" s="169">
        <f>(INDEX(Models!$BJ84:$BT84,,T84)*(1-R84)+INDEX(Models!$BJ84:$BT84,,T84+1)*R84-ERP_i)*Q84*Ramure*Pc/MaxiM</f>
        <v>1.8688987883627604E-3</v>
      </c>
      <c r="Q84" s="304">
        <f t="shared" si="28"/>
        <v>0.6</v>
      </c>
      <c r="R84" s="177">
        <f t="shared" si="29"/>
        <v>1.0040373006458214E-2</v>
      </c>
      <c r="S84" s="799">
        <f t="shared" si="30"/>
        <v>2</v>
      </c>
      <c r="T84" s="176">
        <f t="shared" si="31"/>
        <v>8</v>
      </c>
      <c r="U84" s="250">
        <f t="shared" si="32"/>
        <v>2.0100403730064582</v>
      </c>
      <c r="V84" s="382">
        <f t="shared" si="33"/>
        <v>44.031056518204821</v>
      </c>
      <c r="W84" s="400">
        <f t="shared" si="34"/>
        <v>15.360106167939389</v>
      </c>
      <c r="X84" s="157">
        <f t="shared" si="35"/>
        <v>46092</v>
      </c>
      <c r="Y84" s="383">
        <f t="shared" si="36"/>
        <v>14.73863319692375</v>
      </c>
      <c r="Z84" s="383">
        <f t="shared" si="37"/>
        <v>15.494914197868265</v>
      </c>
      <c r="AA84" s="384">
        <f t="shared" si="38"/>
        <v>16.755147476883987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7.5214693320627884E-2</v>
      </c>
      <c r="AD84" s="230">
        <f>(INDEX(Models!$BJ84:$BT84,,AH84)*(1-AF84)+INDEX(Models!$BJ84:$BT84,,AH84+1)*AF84-ERP_i)*AE84*Ramure*Pc/MaxiM</f>
        <v>1.8688987883627604E-3</v>
      </c>
      <c r="AE84" s="304">
        <f t="shared" si="40"/>
        <v>0.6</v>
      </c>
      <c r="AF84" s="177">
        <f t="shared" si="41"/>
        <v>1.0040373006458214E-2</v>
      </c>
      <c r="AG84" s="799">
        <f t="shared" si="49"/>
        <v>2</v>
      </c>
      <c r="AH84" s="176">
        <f t="shared" si="42"/>
        <v>8</v>
      </c>
      <c r="AI84" s="224">
        <f t="shared" si="43"/>
        <v>2.0100403730064582</v>
      </c>
      <c r="AJ84" s="264" t="b">
        <f t="shared" si="44"/>
        <v>0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'2025'!Wh/'2025'!Env_an*'2026'!Env_an</f>
        <v>15.987531425309772</v>
      </c>
      <c r="C85" s="829"/>
      <c r="D85" s="391">
        <f t="shared" si="25"/>
        <v>16.808219056221454</v>
      </c>
      <c r="E85" s="383">
        <f t="shared" si="47"/>
        <v>17.441277649271274</v>
      </c>
      <c r="F85" s="383">
        <f t="shared" si="26"/>
        <v>17.443958348375283</v>
      </c>
      <c r="G85" s="110">
        <f t="shared" si="48"/>
        <v>0.35958009067551905</v>
      </c>
      <c r="H85" s="412" t="b">
        <f>Wh_hp&gt;='2025'!Maxi_hp</f>
        <v>0</v>
      </c>
      <c r="I85" s="388">
        <f>IF(H85,Wh_hp,'2025'!Maxi_hp)</f>
        <v>43.401527185164618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4.8826566822254169E-2</v>
      </c>
      <c r="M85" s="832"/>
      <c r="N85" s="832"/>
      <c r="O85" s="48">
        <f>IF(t&lt;Tnet,'2025'!Resal+('2025'!Salim-'2025'!Resal)*(1-EXP(('2025'!Tnet-t)/('2025'!Tau_j))),Resal+(Salim-Resal)*(1-EXP((Tnet-t)/(Tau_j))))*Salcycl</f>
        <v>3.6296572176653004E-2</v>
      </c>
      <c r="P85" s="169">
        <f>(INDEX(Models!$BJ85:$BT85,,T85)*(1-R85)+INDEX(Models!$BJ85:$BT85,,T85+1)*R85-ERP_i)*Q85*Ramure*Pc/MaxiM</f>
        <v>1.7878456353306012E-3</v>
      </c>
      <c r="Q85" s="304">
        <f t="shared" si="28"/>
        <v>0.6</v>
      </c>
      <c r="R85" s="177">
        <f t="shared" si="29"/>
        <v>1.0516265505813305E-2</v>
      </c>
      <c r="S85" s="799">
        <f t="shared" si="30"/>
        <v>2</v>
      </c>
      <c r="T85" s="176">
        <f t="shared" si="31"/>
        <v>8</v>
      </c>
      <c r="U85" s="250">
        <f t="shared" si="32"/>
        <v>2.0105162655058133</v>
      </c>
      <c r="V85" s="382">
        <f t="shared" si="33"/>
        <v>44.389001138130631</v>
      </c>
      <c r="W85" s="400">
        <f t="shared" si="34"/>
        <v>15.987531425309772</v>
      </c>
      <c r="X85" s="157">
        <f t="shared" si="35"/>
        <v>46093</v>
      </c>
      <c r="Y85" s="383">
        <f t="shared" si="36"/>
        <v>15.341271484376341</v>
      </c>
      <c r="Z85" s="383">
        <f t="shared" si="37"/>
        <v>16.128784666665009</v>
      </c>
      <c r="AA85" s="384">
        <f t="shared" si="38"/>
        <v>17.441277649271274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7.5252112201831978E-2</v>
      </c>
      <c r="AD85" s="230">
        <f>(INDEX(Models!$BJ85:$BT85,,AH85)*(1-AF85)+INDEX(Models!$BJ85:$BT85,,AH85+1)*AF85-ERP_i)*AE85*Ramure*Pc/MaxiM</f>
        <v>1.7878456353306012E-3</v>
      </c>
      <c r="AE85" s="304">
        <f t="shared" si="40"/>
        <v>0.6</v>
      </c>
      <c r="AF85" s="177">
        <f t="shared" si="41"/>
        <v>1.0516265505813305E-2</v>
      </c>
      <c r="AG85" s="799">
        <f t="shared" si="49"/>
        <v>2</v>
      </c>
      <c r="AH85" s="176">
        <f t="shared" si="42"/>
        <v>8</v>
      </c>
      <c r="AI85" s="224">
        <f t="shared" si="43"/>
        <v>2.0105162655058133</v>
      </c>
      <c r="AJ85" s="264" t="b">
        <f t="shared" si="44"/>
        <v>0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'2025'!Wh/'2025'!Env_an*'2026'!Env_an</f>
        <v>8.9651663158591042</v>
      </c>
      <c r="C86" s="829"/>
      <c r="D86" s="391">
        <f t="shared" si="25"/>
        <v>9.4255556576754991</v>
      </c>
      <c r="E86" s="383">
        <f t="shared" si="47"/>
        <v>9.7813339993438504</v>
      </c>
      <c r="F86" s="383">
        <f t="shared" si="26"/>
        <v>9.7813339993438504</v>
      </c>
      <c r="G86" s="110">
        <f t="shared" si="48"/>
        <v>0.20001382879127377</v>
      </c>
      <c r="H86" s="412" t="b">
        <f>Wh_hp&gt;='2025'!Maxi_hp</f>
        <v>0</v>
      </c>
      <c r="I86" s="388">
        <f>IF(H86,Wh_hp,'2025'!Maxi_hp)</f>
        <v>43.4645843753053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4.8844795844103506E-2</v>
      </c>
      <c r="M86" s="832"/>
      <c r="N86" s="832"/>
      <c r="O86" s="48">
        <f>IF(t&lt;Tnet,'2025'!Resal+('2025'!Salim-'2025'!Resal)*(1-EXP(('2025'!Tnet-t)/('2025'!Tau_j))),Resal+(Salim-Resal)*(1-EXP((Tnet-t)/(Tau_j))))*Salcycl</f>
        <v>3.6373192214090452E-2</v>
      </c>
      <c r="P86" s="169">
        <f>(INDEX(Models!$BJ86:$BT86,,T86)*(1-R86)+INDEX(Models!$BJ86:$BT86,,T86+1)*R86-ERP_i)*Q86*Ramure*Pc/MaxiM</f>
        <v>1.7128039702721148E-3</v>
      </c>
      <c r="Q86" s="304">
        <f t="shared" si="28"/>
        <v>0.6</v>
      </c>
      <c r="R86" s="177">
        <f t="shared" si="29"/>
        <v>1.1011138752659466E-2</v>
      </c>
      <c r="S86" s="799">
        <f t="shared" si="30"/>
        <v>2</v>
      </c>
      <c r="T86" s="176">
        <f t="shared" si="31"/>
        <v>8</v>
      </c>
      <c r="U86" s="250">
        <f t="shared" si="32"/>
        <v>2.0110111387526595</v>
      </c>
      <c r="V86" s="382">
        <f t="shared" si="33"/>
        <v>44.745959804303368</v>
      </c>
      <c r="W86" s="400">
        <f t="shared" si="34"/>
        <v>8.9651663158591042</v>
      </c>
      <c r="X86" s="157">
        <f t="shared" si="35"/>
        <v>46094</v>
      </c>
      <c r="Y86" s="383">
        <f t="shared" si="36"/>
        <v>8.6031043015833646</v>
      </c>
      <c r="Z86" s="383">
        <f t="shared" si="37"/>
        <v>9.0449006260951883</v>
      </c>
      <c r="AA86" s="384">
        <f t="shared" si="38"/>
        <v>9.7813339993438504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7.528966634797099E-2</v>
      </c>
      <c r="AD86" s="230">
        <f>(INDEX(Models!$BJ86:$BT86,,AH86)*(1-AF86)+INDEX(Models!$BJ86:$BT86,,AH86+1)*AF86-ERP_i)*AE86*Ramure*Pc/MaxiM</f>
        <v>1.7128039702721148E-3</v>
      </c>
      <c r="AE86" s="304">
        <f t="shared" si="40"/>
        <v>0.6</v>
      </c>
      <c r="AF86" s="177">
        <f t="shared" si="41"/>
        <v>1.1011138752659466E-2</v>
      </c>
      <c r="AG86" s="799">
        <f t="shared" si="49"/>
        <v>2</v>
      </c>
      <c r="AH86" s="176">
        <f t="shared" si="42"/>
        <v>8</v>
      </c>
      <c r="AI86" s="224">
        <f t="shared" si="43"/>
        <v>2.0110111387526595</v>
      </c>
      <c r="AJ86" s="264" t="b">
        <f t="shared" si="44"/>
        <v>0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'2025'!Wh/'2025'!Env_an*'2026'!Env_an</f>
        <v>14.44540822117842</v>
      </c>
      <c r="C87" s="829"/>
      <c r="D87" s="391">
        <f t="shared" si="25"/>
        <v>15.187516197482221</v>
      </c>
      <c r="E87" s="383">
        <f t="shared" si="47"/>
        <v>15.762039902937131</v>
      </c>
      <c r="F87" s="383">
        <f t="shared" si="26"/>
        <v>15.762790021171808</v>
      </c>
      <c r="G87" s="110">
        <f t="shared" si="48"/>
        <v>0.31977592873441607</v>
      </c>
      <c r="H87" s="412" t="b">
        <f>Wh_hp&gt;='2025'!Maxi_hp</f>
        <v>0</v>
      </c>
      <c r="I87" s="388">
        <f>IF(H87,Wh_hp,'2025'!Maxi_hp)</f>
        <v>41.9627960937136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4.8863024516597853E-2</v>
      </c>
      <c r="M87" s="832"/>
      <c r="N87" s="832"/>
      <c r="O87" s="48">
        <f>IF(t&lt;Tnet,'2025'!Resal+('2025'!Salim-'2025'!Resal)*(1-EXP(('2025'!Tnet-t)/('2025'!Tau_j))),Resal+(Salim-Resal)*(1-EXP((Tnet-t)/(Tau_j))))*Salcycl</f>
        <v>3.6449831937543253E-2</v>
      </c>
      <c r="P87" s="169">
        <f>(INDEX(Models!$BJ87:$BT87,,T87)*(1-R87)+INDEX(Models!$BJ87:$BT87,,T87+1)*R87-ERP_i)*Q87*Ramure*Pc/MaxiM</f>
        <v>1.6420434297456067E-3</v>
      </c>
      <c r="Q87" s="304">
        <f t="shared" si="28"/>
        <v>0.6</v>
      </c>
      <c r="R87" s="177">
        <f t="shared" si="29"/>
        <v>1.1525707985696965E-2</v>
      </c>
      <c r="S87" s="799">
        <f t="shared" si="30"/>
        <v>2</v>
      </c>
      <c r="T87" s="176">
        <f t="shared" si="31"/>
        <v>8</v>
      </c>
      <c r="U87" s="250">
        <f t="shared" si="32"/>
        <v>2.011525707985697</v>
      </c>
      <c r="V87" s="382">
        <f t="shared" si="33"/>
        <v>45.101501608526235</v>
      </c>
      <c r="W87" s="400">
        <f t="shared" si="34"/>
        <v>14.44540822117842</v>
      </c>
      <c r="X87" s="157">
        <f t="shared" si="35"/>
        <v>46095</v>
      </c>
      <c r="Y87" s="383">
        <f t="shared" si="36"/>
        <v>13.862561512761191</v>
      </c>
      <c r="Z87" s="383">
        <f t="shared" si="37"/>
        <v>14.574726742923371</v>
      </c>
      <c r="AA87" s="384">
        <f t="shared" si="38"/>
        <v>15.762039902937131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7.5327379408074796E-2</v>
      </c>
      <c r="AD87" s="230">
        <f>(INDEX(Models!$BJ87:$BT87,,AH87)*(1-AF87)+INDEX(Models!$BJ87:$BT87,,AH87+1)*AF87-ERP_i)*AE87*Ramure*Pc/MaxiM</f>
        <v>1.6420434297456067E-3</v>
      </c>
      <c r="AE87" s="304">
        <f t="shared" si="40"/>
        <v>0.6</v>
      </c>
      <c r="AF87" s="177">
        <f t="shared" si="41"/>
        <v>1.1525707985696965E-2</v>
      </c>
      <c r="AG87" s="799">
        <f t="shared" si="49"/>
        <v>2</v>
      </c>
      <c r="AH87" s="176">
        <f t="shared" si="42"/>
        <v>8</v>
      </c>
      <c r="AI87" s="224">
        <f t="shared" si="43"/>
        <v>2.011525707985697</v>
      </c>
      <c r="AJ87" s="264" t="b">
        <f t="shared" si="44"/>
        <v>0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'2025'!Wh/'2025'!Env_an*'2026'!Env_an</f>
        <v>13.75007908936764</v>
      </c>
      <c r="C88" s="829"/>
      <c r="D88" s="391">
        <f t="shared" si="25"/>
        <v>14.456742788869512</v>
      </c>
      <c r="E88" s="383">
        <f t="shared" si="47"/>
        <v>15.004816267308698</v>
      </c>
      <c r="F88" s="383">
        <f t="shared" si="26"/>
        <v>15.004900624641429</v>
      </c>
      <c r="G88" s="110">
        <f t="shared" si="48"/>
        <v>0.30202301384350333</v>
      </c>
      <c r="H88" s="412" t="b">
        <f>Wh_hp&gt;='2025'!Maxi_hp</f>
        <v>0</v>
      </c>
      <c r="I88" s="388">
        <f>IF(H88,Wh_hp,'2025'!Maxi_hp)</f>
        <v>33.906662518762403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4.8881252839743761E-2</v>
      </c>
      <c r="M88" s="832"/>
      <c r="N88" s="832"/>
      <c r="O88" s="48">
        <f>IF(t&lt;Tnet,'2025'!Resal+('2025'!Salim-'2025'!Resal)*(1-EXP(('2025'!Tnet-t)/('2025'!Tau_j))),Resal+(Salim-Resal)*(1-EXP((Tnet-t)/(Tau_j))))*Salcycl</f>
        <v>3.6526503802201446E-2</v>
      </c>
      <c r="P88" s="169">
        <f>(INDEX(Models!$BJ88:$BT88,,T88)*(1-R88)+INDEX(Models!$BJ88:$BT88,,T88+1)*R88-ERP_i)*Q88*Ramure*Pc/MaxiM</f>
        <v>1.5754819430308722E-3</v>
      </c>
      <c r="Q88" s="304">
        <f t="shared" si="28"/>
        <v>0.6</v>
      </c>
      <c r="R88" s="177">
        <f t="shared" si="29"/>
        <v>1.2060711917328604E-2</v>
      </c>
      <c r="S88" s="799">
        <f t="shared" si="30"/>
        <v>2</v>
      </c>
      <c r="T88" s="176">
        <f t="shared" si="31"/>
        <v>8</v>
      </c>
      <c r="U88" s="250">
        <f t="shared" si="32"/>
        <v>2.0120607119173286</v>
      </c>
      <c r="V88" s="382">
        <f t="shared" si="33"/>
        <v>45.455123087242093</v>
      </c>
      <c r="W88" s="400">
        <f t="shared" si="34"/>
        <v>13.75007908936764</v>
      </c>
      <c r="X88" s="157">
        <f t="shared" si="35"/>
        <v>46096</v>
      </c>
      <c r="Y88" s="383">
        <f t="shared" si="36"/>
        <v>13.195796909290982</v>
      </c>
      <c r="Z88" s="383">
        <f t="shared" si="37"/>
        <v>13.873974147486329</v>
      </c>
      <c r="AA88" s="384">
        <f t="shared" si="38"/>
        <v>15.004816267308698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7.53652760338131E-2</v>
      </c>
      <c r="AD88" s="230">
        <f>(INDEX(Models!$BJ88:$BT88,,AH88)*(1-AF88)+INDEX(Models!$BJ88:$BT88,,AH88+1)*AF88-ERP_i)*AE88*Ramure*Pc/MaxiM</f>
        <v>1.5754819430308722E-3</v>
      </c>
      <c r="AE88" s="304">
        <f t="shared" si="40"/>
        <v>0.6</v>
      </c>
      <c r="AF88" s="177">
        <f t="shared" si="41"/>
        <v>1.2060711917328604E-2</v>
      </c>
      <c r="AG88" s="799">
        <f t="shared" si="49"/>
        <v>2</v>
      </c>
      <c r="AH88" s="176">
        <f t="shared" si="42"/>
        <v>8</v>
      </c>
      <c r="AI88" s="224">
        <f t="shared" si="43"/>
        <v>2.0120607119173286</v>
      </c>
      <c r="AJ88" s="264" t="b">
        <f t="shared" si="44"/>
        <v>0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'2025'!Wh/'2025'!Env_an*'2026'!Env_an</f>
        <v>13.7231231969739</v>
      </c>
      <c r="C89" s="829"/>
      <c r="D89" s="391">
        <f t="shared" si="25"/>
        <v>14.428678063084565</v>
      </c>
      <c r="E89" s="383">
        <f t="shared" si="47"/>
        <v>14.976880112495977</v>
      </c>
      <c r="F89" s="383">
        <f t="shared" si="26"/>
        <v>14.976880112495977</v>
      </c>
      <c r="G89" s="110">
        <f t="shared" si="48"/>
        <v>0.29913687265286248</v>
      </c>
      <c r="H89" s="412" t="b">
        <f>Wh_hp&gt;='2025'!Maxi_hp</f>
        <v>0</v>
      </c>
      <c r="I89" s="388">
        <f>IF(H89,Wh_hp,'2025'!Maxi_hp)</f>
        <v>50.695816320188271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4.8899480813548002E-2</v>
      </c>
      <c r="M89" s="832"/>
      <c r="N89" s="832"/>
      <c r="O89" s="48">
        <f>IF(t&lt;Tnet,'2025'!Resal+('2025'!Salim-'2025'!Resal)*(1-EXP(('2025'!Tnet-t)/('2025'!Tau_j))),Resal+(Salim-Resal)*(1-EXP((Tnet-t)/(Tau_j))))*Salcycl</f>
        <v>3.6603220783881382E-2</v>
      </c>
      <c r="P89" s="169">
        <f>(INDEX(Models!$BJ89:$BT89,,T89)*(1-R89)+INDEX(Models!$BJ89:$BT89,,T89+1)*R89-ERP_i)*Q89*Ramure*Pc/MaxiM</f>
        <v>1.5130379886304788E-3</v>
      </c>
      <c r="Q89" s="304">
        <f t="shared" si="28"/>
        <v>0.6</v>
      </c>
      <c r="R89" s="177">
        <f t="shared" si="29"/>
        <v>1.2616913210100389E-2</v>
      </c>
      <c r="S89" s="799">
        <f t="shared" si="30"/>
        <v>2</v>
      </c>
      <c r="T89" s="176">
        <f t="shared" si="31"/>
        <v>8</v>
      </c>
      <c r="U89" s="250">
        <f t="shared" si="32"/>
        <v>2.0126169132101004</v>
      </c>
      <c r="V89" s="382">
        <f t="shared" si="33"/>
        <v>45.806320928397604</v>
      </c>
      <c r="W89" s="400">
        <f t="shared" si="34"/>
        <v>13.7231231969739</v>
      </c>
      <c r="X89" s="157">
        <f t="shared" si="35"/>
        <v>46097</v>
      </c>
      <c r="Y89" s="383">
        <f t="shared" si="36"/>
        <v>13.170433587537003</v>
      </c>
      <c r="Z89" s="383">
        <f t="shared" si="37"/>
        <v>13.847572703253983</v>
      </c>
      <c r="AA89" s="384">
        <f t="shared" si="38"/>
        <v>14.976880112495977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7.5403381796436728E-2</v>
      </c>
      <c r="AD89" s="230">
        <f>(INDEX(Models!$BJ89:$BT89,,AH89)*(1-AF89)+INDEX(Models!$BJ89:$BT89,,AH89+1)*AF89-ERP_i)*AE89*Ramure*Pc/MaxiM</f>
        <v>1.5130379886304788E-3</v>
      </c>
      <c r="AE89" s="304">
        <f t="shared" si="40"/>
        <v>0.6</v>
      </c>
      <c r="AF89" s="177">
        <f t="shared" si="41"/>
        <v>1.2616913210100389E-2</v>
      </c>
      <c r="AG89" s="799">
        <f t="shared" si="49"/>
        <v>2</v>
      </c>
      <c r="AH89" s="176">
        <f t="shared" si="42"/>
        <v>8</v>
      </c>
      <c r="AI89" s="224">
        <f t="shared" si="43"/>
        <v>2.0126169132101004</v>
      </c>
      <c r="AJ89" s="264" t="b">
        <f t="shared" si="44"/>
        <v>0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'2025'!Wh/'2025'!Env_an*'2026'!Env_an</f>
        <v>11.525531378582643</v>
      </c>
      <c r="C90" s="829"/>
      <c r="D90" s="391">
        <f t="shared" si="25"/>
        <v>12.118332431207417</v>
      </c>
      <c r="E90" s="383">
        <f t="shared" si="47"/>
        <v>12.579757905129153</v>
      </c>
      <c r="F90" s="383">
        <f t="shared" si="26"/>
        <v>12.579757905129153</v>
      </c>
      <c r="G90" s="110">
        <f t="shared" si="48"/>
        <v>0.2493525668991822</v>
      </c>
      <c r="H90" s="412" t="b">
        <f>Wh_hp&gt;='2025'!Maxi_hp</f>
        <v>0</v>
      </c>
      <c r="I90" s="388">
        <f>IF(H90,Wh_hp,'2025'!Maxi_hp)</f>
        <v>27.308423529990701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4.8917708438017349E-2</v>
      </c>
      <c r="M90" s="832"/>
      <c r="N90" s="832"/>
      <c r="O90" s="48">
        <f>IF(t&lt;Tnet,'2025'!Resal+('2025'!Salim-'2025'!Resal)*(1-EXP(('2025'!Tnet-t)/('2025'!Tau_j))),Resal+(Salim-Resal)*(1-EXP((Tnet-t)/(Tau_j))))*Salcycl</f>
        <v>3.6679996340279152E-2</v>
      </c>
      <c r="P90" s="169">
        <f>(INDEX(Models!$BJ90:$BT90,,T90)*(1-R90)+INDEX(Models!$BJ90:$BT90,,T90+1)*R90-ERP_i)*Q90*Ramure*Pc/MaxiM</f>
        <v>1.4546310897217754E-3</v>
      </c>
      <c r="Q90" s="304">
        <f t="shared" si="28"/>
        <v>0.6</v>
      </c>
      <c r="R90" s="177">
        <f t="shared" si="29"/>
        <v>1.3195098935864902E-2</v>
      </c>
      <c r="S90" s="799">
        <f t="shared" si="30"/>
        <v>2</v>
      </c>
      <c r="T90" s="176">
        <f t="shared" si="31"/>
        <v>8</v>
      </c>
      <c r="U90" s="250">
        <f t="shared" si="32"/>
        <v>2.0131950989358649</v>
      </c>
      <c r="V90" s="382">
        <f t="shared" si="33"/>
        <v>46.154591971643896</v>
      </c>
      <c r="W90" s="400">
        <f t="shared" si="34"/>
        <v>11.525531378582643</v>
      </c>
      <c r="X90" s="157">
        <f t="shared" si="35"/>
        <v>46098</v>
      </c>
      <c r="Y90" s="383">
        <f t="shared" si="36"/>
        <v>11.061771157299685</v>
      </c>
      <c r="Z90" s="383">
        <f t="shared" si="37"/>
        <v>11.630719292578462</v>
      </c>
      <c r="AA90" s="384">
        <f t="shared" si="38"/>
        <v>12.579757905129153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7.5441723100548683E-2</v>
      </c>
      <c r="AD90" s="230">
        <f>(INDEX(Models!$BJ90:$BT90,,AH90)*(1-AF90)+INDEX(Models!$BJ90:$BT90,,AH90+1)*AF90-ERP_i)*AE90*Ramure*Pc/MaxiM</f>
        <v>1.4546310897217754E-3</v>
      </c>
      <c r="AE90" s="304">
        <f t="shared" si="40"/>
        <v>0.6</v>
      </c>
      <c r="AF90" s="177">
        <f t="shared" si="41"/>
        <v>1.3195098935864902E-2</v>
      </c>
      <c r="AG90" s="799">
        <f t="shared" si="49"/>
        <v>2</v>
      </c>
      <c r="AH90" s="176">
        <f t="shared" si="42"/>
        <v>8</v>
      </c>
      <c r="AI90" s="224">
        <f t="shared" si="43"/>
        <v>2.0131950989358649</v>
      </c>
      <c r="AJ90" s="264" t="b">
        <f t="shared" si="44"/>
        <v>0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'2025'!Wh/'2025'!Env_an*'2026'!Env_an</f>
        <v>14.900140242042102</v>
      </c>
      <c r="C91" s="829"/>
      <c r="D91" s="391">
        <f t="shared" si="25"/>
        <v>15.666810261846051</v>
      </c>
      <c r="E91" s="383">
        <f t="shared" si="47"/>
        <v>16.264647374119729</v>
      </c>
      <c r="F91" s="383">
        <f t="shared" si="26"/>
        <v>16.2653122900136</v>
      </c>
      <c r="G91" s="110">
        <f t="shared" si="48"/>
        <v>0.32000144057591051</v>
      </c>
      <c r="H91" s="412" t="b">
        <f>Wh_hp&gt;='2025'!Maxi_hp</f>
        <v>0</v>
      </c>
      <c r="I91" s="388">
        <f>IF(H91,Wh_hp,'2025'!Maxi_hp)</f>
        <v>34.112652515484889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4.8935935713158352E-2</v>
      </c>
      <c r="M91" s="832"/>
      <c r="N91" s="832"/>
      <c r="O91" s="48">
        <f>IF(t&lt;Tnet,'2025'!Resal+('2025'!Salim-'2025'!Resal)*(1-EXP(('2025'!Tnet-t)/('2025'!Tau_j))),Resal+(Salim-Resal)*(1-EXP((Tnet-t)/(Tau_j))))*Salcycl</f>
        <v>3.6756844370629045E-2</v>
      </c>
      <c r="P91" s="169">
        <f>(INDEX(Models!$BJ91:$BT91,,T91)*(1-R91)+INDEX(Models!$BJ91:$BT91,,T91+1)*R91-ERP_i)*Q91*Ramure*Pc/MaxiM</f>
        <v>1.4001822867417569E-3</v>
      </c>
      <c r="Q91" s="304">
        <f t="shared" si="28"/>
        <v>0.6</v>
      </c>
      <c r="R91" s="177">
        <f t="shared" si="29"/>
        <v>1.3796081014489925E-2</v>
      </c>
      <c r="S91" s="799">
        <f t="shared" si="30"/>
        <v>2</v>
      </c>
      <c r="T91" s="176">
        <f t="shared" si="31"/>
        <v>8</v>
      </c>
      <c r="U91" s="250">
        <f t="shared" si="32"/>
        <v>2.0137960810144899</v>
      </c>
      <c r="V91" s="382">
        <f t="shared" si="33"/>
        <v>46.499433200472026</v>
      </c>
      <c r="W91" s="400">
        <f t="shared" si="34"/>
        <v>14.900140242042102</v>
      </c>
      <c r="X91" s="157">
        <f t="shared" si="35"/>
        <v>46099</v>
      </c>
      <c r="Y91" s="383">
        <f t="shared" si="36"/>
        <v>14.301137467002171</v>
      </c>
      <c r="Z91" s="383">
        <f t="shared" si="37"/>
        <v>15.036986470228925</v>
      </c>
      <c r="AA91" s="384">
        <f t="shared" si="38"/>
        <v>16.264647374119729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7.5480327095455838E-2</v>
      </c>
      <c r="AD91" s="230">
        <f>(INDEX(Models!$BJ91:$BT91,,AH91)*(1-AF91)+INDEX(Models!$BJ91:$BT91,,AH91+1)*AF91-ERP_i)*AE91*Ramure*Pc/MaxiM</f>
        <v>1.4001822867417569E-3</v>
      </c>
      <c r="AE91" s="304">
        <f t="shared" si="40"/>
        <v>0.6</v>
      </c>
      <c r="AF91" s="177">
        <f t="shared" si="41"/>
        <v>1.3796081014489925E-2</v>
      </c>
      <c r="AG91" s="799">
        <f t="shared" si="49"/>
        <v>2</v>
      </c>
      <c r="AH91" s="176">
        <f t="shared" si="42"/>
        <v>8</v>
      </c>
      <c r="AI91" s="224">
        <f t="shared" si="43"/>
        <v>2.0137960810144899</v>
      </c>
      <c r="AJ91" s="264" t="b">
        <f t="shared" si="44"/>
        <v>0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'2025'!Wh/'2025'!Env_an*'2026'!Env_an</f>
        <v>28.468202520624342</v>
      </c>
      <c r="C92" s="829"/>
      <c r="D92" s="391">
        <f t="shared" si="25"/>
        <v>29.933575651430623</v>
      </c>
      <c r="E92" s="383">
        <f t="shared" si="47"/>
        <v>31.078307154255761</v>
      </c>
      <c r="F92" s="383">
        <f t="shared" si="26"/>
        <v>31.09675962781634</v>
      </c>
      <c r="G92" s="110">
        <f t="shared" si="48"/>
        <v>0.6073111402945941</v>
      </c>
      <c r="H92" s="412" t="b">
        <f>Wh_hp&gt;='2025'!Maxi_hp</f>
        <v>0</v>
      </c>
      <c r="I92" s="388">
        <f>IF(H92,Wh_hp,'2025'!Maxi_hp)</f>
        <v>46.811989092410982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4.8954162638977783E-2</v>
      </c>
      <c r="M92" s="832"/>
      <c r="N92" s="832"/>
      <c r="O92" s="48">
        <f>IF(t&lt;Tnet,'2025'!Resal+('2025'!Salim-'2025'!Resal)*(1-EXP(('2025'!Tnet-t)/('2025'!Tau_j))),Resal+(Salim-Resal)*(1-EXP((Tnet-t)/(Tau_j))))*Salcycl</f>
        <v>3.6833779174113734E-2</v>
      </c>
      <c r="P92" s="169">
        <f>(INDEX(Models!$BJ92:$BT92,,T92)*(1-R92)+INDEX(Models!$BJ92:$BT92,,T92+1)*R92-ERP_i)*Q92*Ramure*Pc/MaxiM</f>
        <v>1.3496145879314302E-3</v>
      </c>
      <c r="Q92" s="304">
        <f t="shared" si="28"/>
        <v>0.6</v>
      </c>
      <c r="R92" s="177">
        <f t="shared" si="29"/>
        <v>1.4420696628696827E-2</v>
      </c>
      <c r="S92" s="799">
        <f t="shared" si="30"/>
        <v>2</v>
      </c>
      <c r="T92" s="176">
        <f t="shared" si="31"/>
        <v>8</v>
      </c>
      <c r="U92" s="250">
        <f t="shared" si="32"/>
        <v>2.0144206966286968</v>
      </c>
      <c r="V92" s="382">
        <f t="shared" si="33"/>
        <v>46.840341739719022</v>
      </c>
      <c r="W92" s="400">
        <f t="shared" si="34"/>
        <v>28.468202520624342</v>
      </c>
      <c r="X92" s="157">
        <f t="shared" si="35"/>
        <v>46100</v>
      </c>
      <c r="Y92" s="383">
        <f t="shared" si="36"/>
        <v>27.32478097475245</v>
      </c>
      <c r="Z92" s="383">
        <f t="shared" si="37"/>
        <v>28.731297589791996</v>
      </c>
      <c r="AA92" s="384">
        <f t="shared" si="38"/>
        <v>31.078307154255761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7.5519221584833721E-2</v>
      </c>
      <c r="AD92" s="230">
        <f>(INDEX(Models!$BJ92:$BT92,,AH92)*(1-AF92)+INDEX(Models!$BJ92:$BT92,,AH92+1)*AF92-ERP_i)*AE92*Ramure*Pc/MaxiM</f>
        <v>1.3496145879314302E-3</v>
      </c>
      <c r="AE92" s="304">
        <f t="shared" si="40"/>
        <v>0.6</v>
      </c>
      <c r="AF92" s="177">
        <f t="shared" si="41"/>
        <v>1.4420696628696827E-2</v>
      </c>
      <c r="AG92" s="799">
        <f t="shared" si="49"/>
        <v>2</v>
      </c>
      <c r="AH92" s="176">
        <f t="shared" si="42"/>
        <v>8</v>
      </c>
      <c r="AI92" s="224">
        <f t="shared" si="43"/>
        <v>2.0144206966286968</v>
      </c>
      <c r="AJ92" s="264" t="b">
        <f t="shared" si="44"/>
        <v>0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'2025'!Wh/'2025'!Env_an*'2026'!Env_an</f>
        <v>31.611064594405811</v>
      </c>
      <c r="C93" s="829"/>
      <c r="D93" s="391">
        <f t="shared" si="25"/>
        <v>33.238850519102542</v>
      </c>
      <c r="E93" s="383">
        <f t="shared" si="47"/>
        <v>34.512744043701225</v>
      </c>
      <c r="F93" s="383">
        <f t="shared" si="26"/>
        <v>34.536526953633995</v>
      </c>
      <c r="G93" s="110">
        <f t="shared" si="48"/>
        <v>0.66960072025231976</v>
      </c>
      <c r="H93" s="412" t="b">
        <f>Wh_hp&gt;='2025'!Maxi_hp</f>
        <v>0</v>
      </c>
      <c r="I93" s="388">
        <f>IF(H93,Wh_hp,'2025'!Maxi_hp)</f>
        <v>50.974512464979433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4.8972389215482415E-2</v>
      </c>
      <c r="M93" s="832"/>
      <c r="N93" s="832"/>
      <c r="O93" s="48">
        <f>IF(t&lt;Tnet,'2025'!Resal+('2025'!Salim-'2025'!Resal)*(1-EXP(('2025'!Tnet-t)/('2025'!Tau_j))),Resal+(Salim-Resal)*(1-EXP((Tnet-t)/(Tau_j))))*Salcycl</f>
        <v>3.6910815407364829E-2</v>
      </c>
      <c r="P93" s="169">
        <f>(INDEX(Models!$BJ93:$BT93,,T93)*(1-R93)+INDEX(Models!$BJ93:$BT93,,T93+1)*R93-ERP_i)*Q93*Ramure*Pc/MaxiM</f>
        <v>1.3027707235951443E-3</v>
      </c>
      <c r="Q93" s="304">
        <f t="shared" si="28"/>
        <v>0.6</v>
      </c>
      <c r="R93" s="177">
        <f t="shared" si="29"/>
        <v>1.5069808611318347E-2</v>
      </c>
      <c r="S93" s="799">
        <f t="shared" si="30"/>
        <v>2</v>
      </c>
      <c r="T93" s="176">
        <f t="shared" si="31"/>
        <v>8</v>
      </c>
      <c r="U93" s="250">
        <f t="shared" si="32"/>
        <v>2.0150698086113183</v>
      </c>
      <c r="V93" s="382">
        <f t="shared" si="33"/>
        <v>47.179814236096291</v>
      </c>
      <c r="W93" s="400">
        <f t="shared" si="34"/>
        <v>31.611064594405811</v>
      </c>
      <c r="X93" s="157">
        <f t="shared" si="35"/>
        <v>46101</v>
      </c>
      <c r="Y93" s="383">
        <f t="shared" si="36"/>
        <v>30.342550300127034</v>
      </c>
      <c r="Z93" s="383">
        <f t="shared" si="37"/>
        <v>31.905015118432775</v>
      </c>
      <c r="AA93" s="384">
        <f t="shared" si="38"/>
        <v>34.512744043701225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7.5558434935409827E-2</v>
      </c>
      <c r="AD93" s="230">
        <f>(INDEX(Models!$BJ93:$BT93,,AH93)*(1-AF93)+INDEX(Models!$BJ93:$BT93,,AH93+1)*AF93-ERP_i)*AE93*Ramure*Pc/MaxiM</f>
        <v>1.3027707235951443E-3</v>
      </c>
      <c r="AE93" s="304">
        <f t="shared" si="40"/>
        <v>0.6</v>
      </c>
      <c r="AF93" s="177">
        <f t="shared" si="41"/>
        <v>1.5069808611318347E-2</v>
      </c>
      <c r="AG93" s="799">
        <f t="shared" si="49"/>
        <v>2</v>
      </c>
      <c r="AH93" s="176">
        <f t="shared" si="42"/>
        <v>8</v>
      </c>
      <c r="AI93" s="224">
        <f t="shared" si="43"/>
        <v>2.0150698086113183</v>
      </c>
      <c r="AJ93" s="264" t="b">
        <f t="shared" si="44"/>
        <v>0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'2025'!Wh/'2025'!Env_an*'2026'!Env_an</f>
        <v>44.7480689370325</v>
      </c>
      <c r="C94" s="829"/>
      <c r="D94" s="391">
        <f t="shared" si="25"/>
        <v>47.053235923494036</v>
      </c>
      <c r="E94" s="383">
        <f t="shared" si="47"/>
        <v>48.860486018845336</v>
      </c>
      <c r="F94" s="383">
        <f t="shared" si="26"/>
        <v>48.916984206309387</v>
      </c>
      <c r="G94" s="110">
        <f t="shared" si="48"/>
        <v>0.94156668999160098</v>
      </c>
      <c r="H94" s="412" t="b">
        <f>Wh_hp&gt;='2025'!Maxi_hp</f>
        <v>0</v>
      </c>
      <c r="I94" s="388">
        <f>IF(H94,Wh_hp,'2025'!Maxi_hp)</f>
        <v>52.150714918937091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4.8990615442678798E-2</v>
      </c>
      <c r="M94" s="832"/>
      <c r="N94" s="832"/>
      <c r="O94" s="48">
        <f>IF(t&lt;Tnet,'2025'!Resal+('2025'!Salim-'2025'!Resal)*(1-EXP(('2025'!Tnet-t)/('2025'!Tau_j))),Resal+(Salim-Resal)*(1-EXP((Tnet-t)/(Tau_j))))*Salcycl</f>
        <v>3.6987968041379035E-2</v>
      </c>
      <c r="P94" s="169">
        <f>(INDEX(Models!$BJ94:$BT94,,T94)*(1-R94)+INDEX(Models!$BJ94:$BT94,,T94+1)*R94-ERP_i)*Q94*Ramure*Pc/MaxiM</f>
        <v>1.2599812141605698E-3</v>
      </c>
      <c r="Q94" s="304">
        <f t="shared" si="28"/>
        <v>0.6</v>
      </c>
      <c r="R94" s="177">
        <f t="shared" si="29"/>
        <v>1.5744305801018488E-2</v>
      </c>
      <c r="S94" s="799">
        <f t="shared" si="30"/>
        <v>2</v>
      </c>
      <c r="T94" s="176">
        <f t="shared" si="31"/>
        <v>8</v>
      </c>
      <c r="U94" s="250">
        <f t="shared" si="32"/>
        <v>2.0157443058010185</v>
      </c>
      <c r="V94" s="382">
        <f t="shared" si="33"/>
        <v>47.520123027832163</v>
      </c>
      <c r="W94" s="400">
        <f t="shared" si="34"/>
        <v>44.7480689370325</v>
      </c>
      <c r="X94" s="157">
        <f t="shared" si="35"/>
        <v>46102</v>
      </c>
      <c r="Y94" s="383">
        <f t="shared" si="36"/>
        <v>42.953985234274448</v>
      </c>
      <c r="Z94" s="383">
        <f t="shared" si="37"/>
        <v>45.166731192951161</v>
      </c>
      <c r="AA94" s="384">
        <f t="shared" si="38"/>
        <v>48.860486018845336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7.5597995985334843E-2</v>
      </c>
      <c r="AD94" s="230">
        <f>(INDEX(Models!$BJ94:$BT94,,AH94)*(1-AF94)+INDEX(Models!$BJ94:$BT94,,AH94+1)*AF94-ERP_i)*AE94*Ramure*Pc/MaxiM</f>
        <v>1.2599812141605698E-3</v>
      </c>
      <c r="AE94" s="304">
        <f t="shared" si="40"/>
        <v>0.6</v>
      </c>
      <c r="AF94" s="177">
        <f t="shared" si="41"/>
        <v>1.5744305801018488E-2</v>
      </c>
      <c r="AG94" s="799">
        <f t="shared" si="49"/>
        <v>2</v>
      </c>
      <c r="AH94" s="176">
        <f t="shared" si="42"/>
        <v>8</v>
      </c>
      <c r="AI94" s="224">
        <f t="shared" si="43"/>
        <v>2.0157443058010185</v>
      </c>
      <c r="AJ94" s="264" t="b">
        <f t="shared" si="44"/>
        <v>0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'2025'!Wh/'2025'!Env_an*'2026'!Env_an</f>
        <v>42.484500654530308</v>
      </c>
      <c r="C95" s="829"/>
      <c r="D95" s="391">
        <f t="shared" si="25"/>
        <v>44.673917593014757</v>
      </c>
      <c r="E95" s="383">
        <f t="shared" si="47"/>
        <v>46.393504544894896</v>
      </c>
      <c r="F95" s="383">
        <f t="shared" si="26"/>
        <v>46.441019499044678</v>
      </c>
      <c r="G95" s="110">
        <f t="shared" si="48"/>
        <v>0.88749826382364971</v>
      </c>
      <c r="H95" s="412" t="b">
        <f>Wh_hp&gt;='2025'!Maxi_hp</f>
        <v>0</v>
      </c>
      <c r="I95" s="388">
        <f>IF(H95,Wh_hp,'2025'!Maxi_hp)</f>
        <v>50.892769880316351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4.9008841320573815E-2</v>
      </c>
      <c r="M95" s="832"/>
      <c r="N95" s="832"/>
      <c r="O95" s="48">
        <f>IF(t&lt;Tnet,'2025'!Resal+('2025'!Salim-'2025'!Resal)*(1-EXP(('2025'!Tnet-t)/('2025'!Tau_j))),Resal+(Salim-Resal)*(1-EXP((Tnet-t)/(Tau_j))))*Salcycl</f>
        <v>3.7065252318157917E-2</v>
      </c>
      <c r="P95" s="169">
        <f>(INDEX(Models!$BJ95:$BT95,,T95)*(1-R95)+INDEX(Models!$BJ95:$BT95,,T95+1)*R95-ERP_i)*Q95*Ramure*Pc/MaxiM</f>
        <v>1.2186853330857863E-3</v>
      </c>
      <c r="Q95" s="304">
        <f t="shared" si="28"/>
        <v>0.6</v>
      </c>
      <c r="R95" s="177">
        <f t="shared" si="29"/>
        <v>1.644510336219307E-2</v>
      </c>
      <c r="S95" s="799">
        <f t="shared" si="30"/>
        <v>2</v>
      </c>
      <c r="T95" s="176">
        <f t="shared" si="31"/>
        <v>8</v>
      </c>
      <c r="U95" s="250">
        <f t="shared" si="32"/>
        <v>2.0164451033621931</v>
      </c>
      <c r="V95" s="382">
        <f t="shared" si="33"/>
        <v>47.860582472084857</v>
      </c>
      <c r="W95" s="400">
        <f t="shared" si="34"/>
        <v>42.484500654530308</v>
      </c>
      <c r="X95" s="157">
        <f t="shared" si="35"/>
        <v>46103</v>
      </c>
      <c r="Y95" s="383">
        <f t="shared" si="36"/>
        <v>40.782681167693937</v>
      </c>
      <c r="Z95" s="383">
        <f t="shared" si="37"/>
        <v>42.884395712286057</v>
      </c>
      <c r="AA95" s="384">
        <f t="shared" si="38"/>
        <v>46.393504544894896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7.5637933952867886E-2</v>
      </c>
      <c r="AD95" s="230">
        <f>(INDEX(Models!$BJ95:$BT95,,AH95)*(1-AF95)+INDEX(Models!$BJ95:$BT95,,AH95+1)*AF95-ERP_i)*AE95*Ramure*Pc/MaxiM</f>
        <v>1.2186853330857863E-3</v>
      </c>
      <c r="AE95" s="304">
        <f t="shared" si="40"/>
        <v>0.6</v>
      </c>
      <c r="AF95" s="177">
        <f t="shared" si="41"/>
        <v>1.644510336219307E-2</v>
      </c>
      <c r="AG95" s="799">
        <f t="shared" si="49"/>
        <v>2</v>
      </c>
      <c r="AH95" s="176">
        <f t="shared" si="42"/>
        <v>8</v>
      </c>
      <c r="AI95" s="224">
        <f t="shared" si="43"/>
        <v>2.0164451033621931</v>
      </c>
      <c r="AJ95" s="264" t="b">
        <f t="shared" si="44"/>
        <v>0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'2025'!Wh/'2025'!Env_an*'2026'!Env_an</f>
        <v>48.425573549232915</v>
      </c>
      <c r="C96" s="829"/>
      <c r="D96" s="391">
        <f t="shared" si="25"/>
        <v>50.922136541558672</v>
      </c>
      <c r="E96" s="383">
        <f t="shared" si="47"/>
        <v>52.886482430883767</v>
      </c>
      <c r="F96" s="383">
        <f t="shared" si="26"/>
        <v>52.948902458584229</v>
      </c>
      <c r="G96" s="110">
        <f t="shared" si="48"/>
        <v>1.0046718730909368</v>
      </c>
      <c r="H96" s="412" t="b">
        <f>Wh_hp&gt;='2025'!Maxi_hp</f>
        <v>0</v>
      </c>
      <c r="I96" s="388">
        <f>IF(H96,Wh_hp,'2025'!Maxi_hp)</f>
        <v>53.286062169656844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4.9027066849173906E-2</v>
      </c>
      <c r="M96" s="832"/>
      <c r="N96" s="832"/>
      <c r="O96" s="48">
        <f>IF(t&lt;Tnet,'2025'!Resal+('2025'!Salim-'2025'!Resal)*(1-EXP(('2025'!Tnet-t)/('2025'!Tau_j))),Resal+(Salim-Resal)*(1-EXP((Tnet-t)/(Tau_j))))*Salcycl</f>
        <v>3.7142683707358612E-2</v>
      </c>
      <c r="P96" s="169">
        <f>(INDEX(Models!$BJ96:$BT96,,T96)*(1-R96)+INDEX(Models!$BJ96:$BT96,,T96+1)*R96-ERP_i)*Q96*Ramure*Pc/MaxiM</f>
        <v>1.1788729284669354E-3</v>
      </c>
      <c r="Q96" s="304">
        <f t="shared" si="28"/>
        <v>0.6</v>
      </c>
      <c r="R96" s="177">
        <f t="shared" si="29"/>
        <v>1.7173143064487917E-2</v>
      </c>
      <c r="S96" s="799">
        <f t="shared" si="30"/>
        <v>2</v>
      </c>
      <c r="T96" s="176">
        <f t="shared" si="31"/>
        <v>8</v>
      </c>
      <c r="U96" s="250">
        <f t="shared" si="32"/>
        <v>2.0171731430644879</v>
      </c>
      <c r="V96" s="382">
        <f t="shared" si="33"/>
        <v>48.200387456104018</v>
      </c>
      <c r="W96" s="400">
        <f t="shared" si="34"/>
        <v>48.425573549232915</v>
      </c>
      <c r="X96" s="157">
        <f t="shared" si="35"/>
        <v>46104</v>
      </c>
      <c r="Y96" s="383">
        <f t="shared" si="36"/>
        <v>46.487479253372108</v>
      </c>
      <c r="Z96" s="383">
        <f t="shared" si="37"/>
        <v>48.884124492741066</v>
      </c>
      <c r="AA96" s="384">
        <f t="shared" si="38"/>
        <v>52.886482430883767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7.5678278345951616E-2</v>
      </c>
      <c r="AD96" s="230">
        <f>(INDEX(Models!$BJ96:$BT96,,AH96)*(1-AF96)+INDEX(Models!$BJ96:$BT96,,AH96+1)*AF96-ERP_i)*AE96*Ramure*Pc/MaxiM</f>
        <v>1.1788729284669354E-3</v>
      </c>
      <c r="AE96" s="304">
        <f t="shared" si="40"/>
        <v>0.6</v>
      </c>
      <c r="AF96" s="177">
        <f t="shared" si="41"/>
        <v>1.7173143064487917E-2</v>
      </c>
      <c r="AG96" s="799">
        <f t="shared" si="49"/>
        <v>2</v>
      </c>
      <c r="AH96" s="176">
        <f t="shared" si="42"/>
        <v>8</v>
      </c>
      <c r="AI96" s="224">
        <f t="shared" si="43"/>
        <v>2.0171731430644879</v>
      </c>
      <c r="AJ96" s="264" t="b">
        <f t="shared" si="44"/>
        <v>0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'2025'!Wh/'2025'!Env_an*'2026'!Env_an</f>
        <v>47.630649460860205</v>
      </c>
      <c r="C97" s="829"/>
      <c r="D97" s="391">
        <f t="shared" si="25"/>
        <v>50.087190337867263</v>
      </c>
      <c r="E97" s="383">
        <f t="shared" si="47"/>
        <v>52.023520215719103</v>
      </c>
      <c r="F97" s="383">
        <f t="shared" si="26"/>
        <v>52.081333051609924</v>
      </c>
      <c r="G97" s="110">
        <f t="shared" si="48"/>
        <v>0.98126162036808928</v>
      </c>
      <c r="H97" s="412" t="b">
        <f>Wh_hp&gt;='2025'!Maxi_hp</f>
        <v>0</v>
      </c>
      <c r="I97" s="388">
        <f>IF(H97,Wh_hp,'2025'!Maxi_hp)</f>
        <v>52.432685420203406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4.9045292028485954E-2</v>
      </c>
      <c r="M97" s="832"/>
      <c r="N97" s="832"/>
      <c r="O97" s="48">
        <f>IF(t&lt;Tnet,'2025'!Resal+('2025'!Salim-'2025'!Resal)*(1-EXP(('2025'!Tnet-t)/('2025'!Tau_j))),Resal+(Salim-Resal)*(1-EXP((Tnet-t)/(Tau_j))))*Salcycl</f>
        <v>3.722027786321868E-2</v>
      </c>
      <c r="P97" s="169">
        <f>(INDEX(Models!$BJ97:$BT97,,T97)*(1-R97)+INDEX(Models!$BJ97:$BT97,,T97+1)*R97-ERP_i)*Q97*Ramure*Pc/MaxiM</f>
        <v>1.1405313025727149E-3</v>
      </c>
      <c r="Q97" s="304">
        <f t="shared" si="28"/>
        <v>0.6</v>
      </c>
      <c r="R97" s="177">
        <f t="shared" si="29"/>
        <v>1.7929393517047476E-2</v>
      </c>
      <c r="S97" s="799">
        <f t="shared" si="30"/>
        <v>2</v>
      </c>
      <c r="T97" s="176">
        <f t="shared" si="31"/>
        <v>8</v>
      </c>
      <c r="U97" s="250">
        <f t="shared" si="32"/>
        <v>2.0179293935170475</v>
      </c>
      <c r="V97" s="382">
        <f t="shared" si="33"/>
        <v>48.538733168351961</v>
      </c>
      <c r="W97" s="400">
        <f t="shared" si="34"/>
        <v>47.630649460860205</v>
      </c>
      <c r="X97" s="157">
        <f t="shared" si="35"/>
        <v>46105</v>
      </c>
      <c r="Y97" s="383">
        <f t="shared" si="36"/>
        <v>45.726037324984546</v>
      </c>
      <c r="Z97" s="383">
        <f t="shared" si="37"/>
        <v>48.084348225714102</v>
      </c>
      <c r="AA97" s="384">
        <f t="shared" si="38"/>
        <v>52.023520215719103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7.5719058873197173E-2</v>
      </c>
      <c r="AD97" s="230">
        <f>(INDEX(Models!$BJ97:$BT97,,AH97)*(1-AF97)+INDEX(Models!$BJ97:$BT97,,AH97+1)*AF97-ERP_i)*AE97*Ramure*Pc/MaxiM</f>
        <v>1.1405313025727149E-3</v>
      </c>
      <c r="AE97" s="304">
        <f t="shared" si="40"/>
        <v>0.6</v>
      </c>
      <c r="AF97" s="177">
        <f t="shared" si="41"/>
        <v>1.7929393517047476E-2</v>
      </c>
      <c r="AG97" s="799">
        <f t="shared" si="49"/>
        <v>2</v>
      </c>
      <c r="AH97" s="176">
        <f t="shared" si="42"/>
        <v>8</v>
      </c>
      <c r="AI97" s="224">
        <f t="shared" si="43"/>
        <v>2.0179293935170475</v>
      </c>
      <c r="AJ97" s="264" t="b">
        <f t="shared" si="44"/>
        <v>0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'2025'!Wh/'2025'!Env_an*'2026'!Env_an</f>
        <v>42.387538510219294</v>
      </c>
      <c r="C98" s="829"/>
      <c r="D98" s="391">
        <f t="shared" si="25"/>
        <v>44.574521286836294</v>
      </c>
      <c r="E98" s="383">
        <f t="shared" si="47"/>
        <v>46.301476083831894</v>
      </c>
      <c r="F98" s="383">
        <f t="shared" si="26"/>
        <v>46.342924020811438</v>
      </c>
      <c r="G98" s="110">
        <f t="shared" si="48"/>
        <v>0.86708583968820996</v>
      </c>
      <c r="H98" s="412" t="b">
        <f>Wh_hp&gt;='2025'!Maxi_hp</f>
        <v>0</v>
      </c>
      <c r="I98" s="388">
        <f>IF(H98,Wh_hp,'2025'!Maxi_hp)</f>
        <v>46.350209045253081</v>
      </c>
      <c r="J98" s="85">
        <f>IF(H98,An,'2025'!An_max)</f>
        <v>2022</v>
      </c>
      <c r="K98" s="197">
        <f t="shared" si="27"/>
        <v>46106</v>
      </c>
      <c r="L98" s="147">
        <f>IF(t&lt;Tvie,1-EXP((T0-t)*PertePVj)+'2025'!Pspv,1-EXP((T0-t)*PertePVj)+Pspv)</f>
        <v>4.906351685851662E-2</v>
      </c>
      <c r="M98" s="832"/>
      <c r="N98" s="832"/>
      <c r="O98" s="48">
        <f>IF(t&lt;Tnet,'2025'!Resal+('2025'!Salim-'2025'!Resal)*(1-EXP(('2025'!Tnet-t)/('2025'!Tau_j))),Resal+(Salim-Resal)*(1-EXP((Tnet-t)/(Tau_j))))*Salcycl</f>
        <v>3.7298050581990906E-2</v>
      </c>
      <c r="P98" s="169">
        <f>(INDEX(Models!$BJ98:$BT98,,T98)*(1-R98)+INDEX(Models!$BJ98:$BT98,,T98+1)*R98-ERP_i)*Q98*Ramure*Pc/MaxiM</f>
        <v>1.1036455770418688E-3</v>
      </c>
      <c r="Q98" s="304">
        <f t="shared" si="28"/>
        <v>0.6</v>
      </c>
      <c r="R98" s="177">
        <f t="shared" si="29"/>
        <v>1.8714850352294921E-2</v>
      </c>
      <c r="S98" s="799">
        <f t="shared" si="30"/>
        <v>2</v>
      </c>
      <c r="T98" s="176">
        <f t="shared" si="31"/>
        <v>8</v>
      </c>
      <c r="U98" s="250">
        <f t="shared" si="32"/>
        <v>2.0187148503522949</v>
      </c>
      <c r="V98" s="382">
        <f t="shared" si="33"/>
        <v>48.87481510000061</v>
      </c>
      <c r="W98" s="400">
        <f t="shared" si="34"/>
        <v>42.387538510219294</v>
      </c>
      <c r="X98" s="157">
        <f t="shared" si="35"/>
        <v>46106</v>
      </c>
      <c r="Y98" s="383">
        <f t="shared" si="36"/>
        <v>40.694054554525628</v>
      </c>
      <c r="Z98" s="383">
        <f t="shared" si="37"/>
        <v>42.793662117253142</v>
      </c>
      <c r="AA98" s="384">
        <f t="shared" si="38"/>
        <v>46.301476083831894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7.5760305356736807E-2</v>
      </c>
      <c r="AD98" s="230">
        <f>(INDEX(Models!$BJ98:$BT98,,AH98)*(1-AF98)+INDEX(Models!$BJ98:$BT98,,AH98+1)*AF98-ERP_i)*AE98*Ramure*Pc/MaxiM</f>
        <v>1.1036455770418688E-3</v>
      </c>
      <c r="AE98" s="304">
        <f t="shared" si="40"/>
        <v>0.6</v>
      </c>
      <c r="AF98" s="177">
        <f t="shared" si="41"/>
        <v>1.8714850352294921E-2</v>
      </c>
      <c r="AG98" s="799">
        <f t="shared" si="49"/>
        <v>2</v>
      </c>
      <c r="AH98" s="176">
        <f t="shared" si="42"/>
        <v>8</v>
      </c>
      <c r="AI98" s="224">
        <f t="shared" si="43"/>
        <v>2.0187148503522949</v>
      </c>
      <c r="AJ98" s="264" t="b">
        <f t="shared" si="44"/>
        <v>0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'2025'!Wh/'2025'!Env_an*'2026'!Env_an</f>
        <v>46.922273550547096</v>
      </c>
      <c r="C99" s="829"/>
      <c r="D99" s="391">
        <f t="shared" si="25"/>
        <v>49.344171408205362</v>
      </c>
      <c r="E99" s="383">
        <f t="shared" si="47"/>
        <v>51.260068644235986</v>
      </c>
      <c r="F99" s="383">
        <f t="shared" si="26"/>
        <v>51.311242423923183</v>
      </c>
      <c r="G99" s="110">
        <f t="shared" si="48"/>
        <v>0.95348535752147823</v>
      </c>
      <c r="H99" s="412" t="b">
        <f>Wh_hp&gt;='2025'!Maxi_hp</f>
        <v>0</v>
      </c>
      <c r="I99" s="388">
        <f>IF(H99,Wh_hp,'2025'!Maxi_hp)</f>
        <v>54.664172365947202</v>
      </c>
      <c r="J99" s="85">
        <f>IF(H99,An,'2025'!An_max)</f>
        <v>2018</v>
      </c>
      <c r="K99" s="197">
        <f t="shared" si="27"/>
        <v>46107</v>
      </c>
      <c r="L99" s="147">
        <f>IF(t&lt;Tvie,1-EXP((T0-t)*PertePVj)+'2025'!Pspv,1-EXP((T0-t)*PertePVj)+Pspv)</f>
        <v>4.9081741339272567E-2</v>
      </c>
      <c r="M99" s="832"/>
      <c r="N99" s="832"/>
      <c r="O99" s="48">
        <f>IF(t&lt;Tnet,'2025'!Resal+('2025'!Salim-'2025'!Resal)*(1-EXP(('2025'!Tnet-t)/('2025'!Tau_j))),Resal+(Salim-Resal)*(1-EXP((Tnet-t)/(Tau_j))))*Salcycl</f>
        <v>3.7376017760094471E-2</v>
      </c>
      <c r="P99" s="169">
        <f>(INDEX(Models!$BJ99:$BT99,,T99)*(1-R99)+INDEX(Models!$BJ99:$BT99,,T99+1)*R99-ERP_i)*Q99*Ramure*Pc/MaxiM</f>
        <v>1.0681990433880721E-3</v>
      </c>
      <c r="Q99" s="304">
        <f t="shared" si="28"/>
        <v>0.6</v>
      </c>
      <c r="R99" s="177">
        <f t="shared" si="29"/>
        <v>1.9530536353698391E-2</v>
      </c>
      <c r="S99" s="799">
        <f t="shared" si="30"/>
        <v>2</v>
      </c>
      <c r="T99" s="176">
        <f t="shared" si="31"/>
        <v>8</v>
      </c>
      <c r="U99" s="250">
        <f t="shared" si="32"/>
        <v>2.0195305363536984</v>
      </c>
      <c r="V99" s="382">
        <f t="shared" si="33"/>
        <v>49.207829046775821</v>
      </c>
      <c r="W99" s="400">
        <f t="shared" si="34"/>
        <v>46.922273550547096</v>
      </c>
      <c r="X99" s="157">
        <f t="shared" si="35"/>
        <v>46107</v>
      </c>
      <c r="Y99" s="383">
        <f t="shared" si="36"/>
        <v>45.049229953985893</v>
      </c>
      <c r="Z99" s="383">
        <f t="shared" si="37"/>
        <v>47.374450478459835</v>
      </c>
      <c r="AA99" s="384">
        <f t="shared" si="38"/>
        <v>51.260068644235986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7.5802047647337251E-2</v>
      </c>
      <c r="AD99" s="230">
        <f>(INDEX(Models!$BJ99:$BT99,,AH99)*(1-AF99)+INDEX(Models!$BJ99:$BT99,,AH99+1)*AF99-ERP_i)*AE99*Ramure*Pc/MaxiM</f>
        <v>1.0681990433880721E-3</v>
      </c>
      <c r="AE99" s="304">
        <f t="shared" si="40"/>
        <v>0.6</v>
      </c>
      <c r="AF99" s="177">
        <f t="shared" si="41"/>
        <v>1.9530536353698391E-2</v>
      </c>
      <c r="AG99" s="799">
        <f t="shared" si="49"/>
        <v>2</v>
      </c>
      <c r="AH99" s="176">
        <f t="shared" si="42"/>
        <v>8</v>
      </c>
      <c r="AI99" s="224">
        <f t="shared" si="43"/>
        <v>2.0195305363536984</v>
      </c>
      <c r="AJ99" s="264" t="b">
        <f t="shared" si="44"/>
        <v>0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'2025'!Wh/'2025'!Env_an*'2026'!Env_an</f>
        <v>45.364692169947823</v>
      </c>
      <c r="C100" s="829"/>
      <c r="D100" s="391">
        <f t="shared" si="25"/>
        <v>47.70710960422506</v>
      </c>
      <c r="E100" s="383">
        <f t="shared" si="47"/>
        <v>49.563469472217747</v>
      </c>
      <c r="F100" s="383">
        <f t="shared" si="26"/>
        <v>49.608619312327924</v>
      </c>
      <c r="G100" s="110">
        <f t="shared" si="48"/>
        <v>0.91566073617720056</v>
      </c>
      <c r="H100" s="412" t="b">
        <f>Wh_hp&gt;='2025'!Maxi_hp</f>
        <v>0</v>
      </c>
      <c r="I100" s="388">
        <f>IF(H100,Wh_hp,'2025'!Maxi_hp)</f>
        <v>53.82661692337178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4.9099965470760454E-2</v>
      </c>
      <c r="M100" s="832"/>
      <c r="N100" s="832"/>
      <c r="O100" s="48">
        <f>IF(t&lt;Tnet,'2025'!Resal+('2025'!Salim-'2025'!Resal)*(1-EXP(('2025'!Tnet-t)/('2025'!Tau_j))),Resal+(Salim-Resal)*(1-EXP((Tnet-t)/(Tau_j))))*Salcycl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1.0346064367152904E-3</v>
      </c>
      <c r="Q100" s="304">
        <f t="shared" si="28"/>
        <v>0.6</v>
      </c>
      <c r="R100" s="177">
        <f t="shared" si="29"/>
        <v>2.0377501521663177E-2</v>
      </c>
      <c r="S100" s="799">
        <f t="shared" si="30"/>
        <v>2</v>
      </c>
      <c r="T100" s="176">
        <f t="shared" si="31"/>
        <v>8</v>
      </c>
      <c r="U100" s="250">
        <f t="shared" si="32"/>
        <v>2.0203775015216632</v>
      </c>
      <c r="V100" s="382">
        <f t="shared" si="33"/>
        <v>49.536949641256427</v>
      </c>
      <c r="W100" s="400">
        <f t="shared" si="34"/>
        <v>45.364692169947823</v>
      </c>
      <c r="X100" s="157">
        <f t="shared" si="35"/>
        <v>46108</v>
      </c>
      <c r="Y100" s="383">
        <f t="shared" si="36"/>
        <v>43.555369458934031</v>
      </c>
      <c r="Z100" s="383">
        <f t="shared" si="37"/>
        <v>45.804362054205747</v>
      </c>
      <c r="AA100" s="384">
        <f t="shared" si="38"/>
        <v>49.563469472217747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7.5844315542097626E-2</v>
      </c>
      <c r="AD100" s="230">
        <f>(INDEX(Models!$BJ100:$BT100,,AH100)*(1-AF100)+INDEX(Models!$BJ100:$BT100,,AH100+1)*AF100-ERP_i)*AE100*Ramure*Pc/MaxiM</f>
        <v>1.0346064367152904E-3</v>
      </c>
      <c r="AE100" s="304">
        <f t="shared" si="40"/>
        <v>0.6</v>
      </c>
      <c r="AF100" s="177">
        <f t="shared" si="41"/>
        <v>2.0377501521663177E-2</v>
      </c>
      <c r="AG100" s="799">
        <f t="shared" si="49"/>
        <v>2</v>
      </c>
      <c r="AH100" s="176">
        <f t="shared" si="42"/>
        <v>8</v>
      </c>
      <c r="AI100" s="224">
        <f t="shared" si="43"/>
        <v>2.0203775015216632</v>
      </c>
      <c r="AJ100" s="264" t="b">
        <f t="shared" si="44"/>
        <v>0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'2025'!Wh/'2025'!Env_an*'2026'!Env_an</f>
        <v>14.608115439533712</v>
      </c>
      <c r="C101" s="829"/>
      <c r="D101" s="391">
        <f t="shared" si="25"/>
        <v>15.362703623552935</v>
      </c>
      <c r="E101" s="383">
        <f t="shared" si="47"/>
        <v>15.961791134905711</v>
      </c>
      <c r="F101" s="383">
        <f t="shared" si="26"/>
        <v>15.961791134905711</v>
      </c>
      <c r="G101" s="110">
        <f t="shared" si="48"/>
        <v>0.29268078421375182</v>
      </c>
      <c r="H101" s="412" t="b">
        <f>Wh_hp&gt;='2025'!Maxi_hp</f>
        <v>0</v>
      </c>
      <c r="I101" s="388">
        <f>IF(H101,Wh_hp,'2025'!Maxi_hp)</f>
        <v>53.283033319082513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4.9118189252987055E-2</v>
      </c>
      <c r="M101" s="832"/>
      <c r="N101" s="832"/>
      <c r="O101" s="48">
        <f>IF(t&lt;Tnet,'2025'!Resal+('2025'!Salim-'2025'!Resal)*(1-EXP(('2025'!Tnet-t)/('2025'!Tau_j))),Resal+(Salim-Resal)*(1-EXP((Tnet-t)/(Tau_j))))*Salcycl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1.0024669155212519E-3</v>
      </c>
      <c r="Q101" s="304">
        <f t="shared" si="28"/>
        <v>0.6</v>
      </c>
      <c r="R101" s="177">
        <f t="shared" si="29"/>
        <v>2.1256823071327258E-2</v>
      </c>
      <c r="S101" s="799">
        <f t="shared" si="30"/>
        <v>2</v>
      </c>
      <c r="T101" s="176">
        <f t="shared" si="31"/>
        <v>8</v>
      </c>
      <c r="U101" s="250">
        <f t="shared" si="32"/>
        <v>2.0212568230713273</v>
      </c>
      <c r="V101" s="382">
        <f t="shared" si="33"/>
        <v>49.86139191307312</v>
      </c>
      <c r="W101" s="400">
        <f t="shared" si="34"/>
        <v>14.608115439533712</v>
      </c>
      <c r="X101" s="157">
        <f t="shared" si="35"/>
        <v>46109</v>
      </c>
      <c r="Y101" s="383">
        <f t="shared" si="36"/>
        <v>14.025978799534821</v>
      </c>
      <c r="Z101" s="383">
        <f t="shared" si="37"/>
        <v>14.750496477071119</v>
      </c>
      <c r="AA101" s="384">
        <f t="shared" si="38"/>
        <v>15.961791134905711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7.5887138704985216E-2</v>
      </c>
      <c r="AD101" s="230">
        <f>(INDEX(Models!$BJ101:$BT101,,AH101)*(1-AF101)+INDEX(Models!$BJ101:$BT101,,AH101+1)*AF101-ERP_i)*AE101*Ramure*Pc/MaxiM</f>
        <v>1.0024669155212519E-3</v>
      </c>
      <c r="AE101" s="304">
        <f t="shared" si="40"/>
        <v>0.6</v>
      </c>
      <c r="AF101" s="177">
        <f t="shared" si="41"/>
        <v>2.1256823071327258E-2</v>
      </c>
      <c r="AG101" s="799">
        <f t="shared" si="49"/>
        <v>2</v>
      </c>
      <c r="AH101" s="176">
        <f t="shared" si="42"/>
        <v>8</v>
      </c>
      <c r="AI101" s="224">
        <f t="shared" si="43"/>
        <v>2.0212568230713273</v>
      </c>
      <c r="AJ101" s="264" t="b">
        <f t="shared" si="44"/>
        <v>0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'2025'!Wh/'2025'!Env_an*'2026'!Env_an</f>
        <v>28.03739102168592</v>
      </c>
      <c r="C102" s="829"/>
      <c r="D102" s="391">
        <f t="shared" si="25"/>
        <v>29.486239031283919</v>
      </c>
      <c r="E102" s="383">
        <f t="shared" si="47"/>
        <v>30.638594745049005</v>
      </c>
      <c r="F102" s="383">
        <f t="shared" si="26"/>
        <v>30.649603448678082</v>
      </c>
      <c r="G102" s="110">
        <f t="shared" si="48"/>
        <v>0.55839005235608608</v>
      </c>
      <c r="H102" s="412" t="b">
        <f>Wh_hp&gt;='2025'!Maxi_hp</f>
        <v>0</v>
      </c>
      <c r="I102" s="388">
        <f>IF(H102,Wh_hp,'2025'!Maxi_hp)</f>
        <v>55.473113479022246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4.913641268595903E-2</v>
      </c>
      <c r="M102" s="832"/>
      <c r="N102" s="832"/>
      <c r="O102" s="48">
        <f>IF(t&lt;Tnet,'2025'!Resal+('2025'!Salim-'2025'!Resal)*(1-EXP(('2025'!Tnet-t)/('2025'!Tau_j))),Resal+(Salim-Resal)*(1-EXP((Tnet-t)/(Tau_j))))*Salcycl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9.7175877347379486E-4</v>
      </c>
      <c r="Q102" s="304">
        <f t="shared" si="28"/>
        <v>0.6</v>
      </c>
      <c r="R102" s="177">
        <f t="shared" si="29"/>
        <v>2.216960535571344E-2</v>
      </c>
      <c r="S102" s="799">
        <f t="shared" si="30"/>
        <v>2</v>
      </c>
      <c r="T102" s="176">
        <f t="shared" si="31"/>
        <v>8</v>
      </c>
      <c r="U102" s="250">
        <f t="shared" si="32"/>
        <v>2.0221696053557134</v>
      </c>
      <c r="V102" s="382">
        <f t="shared" si="33"/>
        <v>50.180352609313424</v>
      </c>
      <c r="W102" s="400">
        <f t="shared" si="34"/>
        <v>28.03739102168592</v>
      </c>
      <c r="X102" s="157">
        <f t="shared" si="35"/>
        <v>46110</v>
      </c>
      <c r="Y102" s="383">
        <f t="shared" si="36"/>
        <v>26.921030072015483</v>
      </c>
      <c r="Z102" s="383">
        <f t="shared" si="37"/>
        <v>28.312189499295965</v>
      </c>
      <c r="AA102" s="384">
        <f t="shared" si="38"/>
        <v>30.638594745049005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7.5930546590390502E-2</v>
      </c>
      <c r="AD102" s="230">
        <f>(INDEX(Models!$BJ102:$BT102,,AH102)*(1-AF102)+INDEX(Models!$BJ102:$BT102,,AH102+1)*AF102-ERP_i)*AE102*Ramure*Pc/MaxiM</f>
        <v>9.7175877347379486E-4</v>
      </c>
      <c r="AE102" s="304">
        <f t="shared" si="40"/>
        <v>0.6</v>
      </c>
      <c r="AF102" s="177">
        <f t="shared" si="41"/>
        <v>2.216960535571344E-2</v>
      </c>
      <c r="AG102" s="799">
        <f t="shared" si="49"/>
        <v>2</v>
      </c>
      <c r="AH102" s="176">
        <f t="shared" si="42"/>
        <v>8</v>
      </c>
      <c r="AI102" s="224">
        <f t="shared" si="43"/>
        <v>2.0221696053557134</v>
      </c>
      <c r="AJ102" s="264" t="b">
        <f t="shared" si="44"/>
        <v>0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'2025'!Wh/'2025'!Env_an*'2026'!Env_an</f>
        <v>7.8614192655909854</v>
      </c>
      <c r="C103" s="829"/>
      <c r="D103" s="391">
        <f t="shared" si="25"/>
        <v>8.2678209952199602</v>
      </c>
      <c r="E103" s="383">
        <f t="shared" si="47"/>
        <v>8.5916412445001242</v>
      </c>
      <c r="F103" s="383">
        <f t="shared" si="26"/>
        <v>8.5916412445001242</v>
      </c>
      <c r="G103" s="110">
        <f t="shared" si="48"/>
        <v>0.15554642654038939</v>
      </c>
      <c r="H103" s="412" t="b">
        <f>Wh_hp&gt;='2025'!Maxi_hp</f>
        <v>0</v>
      </c>
      <c r="I103" s="388">
        <f>IF(H103,Wh_hp,'2025'!Maxi_hp)</f>
        <v>54.228775027955102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4.9154635769683042E-2</v>
      </c>
      <c r="M103" s="832"/>
      <c r="N103" s="832"/>
      <c r="O103" s="48">
        <f>IF(t&lt;Tnet,'2025'!Resal+('2025'!Salim-'2025'!Resal)*(1-EXP(('2025'!Tnet-t)/('2025'!Tau_j))),Resal+(Salim-Resal)*(1-EXP((Tnet-t)/(Tau_j))))*Salcycl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9.4245979216718481E-4</v>
      </c>
      <c r="Q103" s="304">
        <f t="shared" si="28"/>
        <v>0.6</v>
      </c>
      <c r="R103" s="177">
        <f t="shared" si="29"/>
        <v>2.3116979707332064E-2</v>
      </c>
      <c r="S103" s="799">
        <f t="shared" si="30"/>
        <v>2</v>
      </c>
      <c r="T103" s="176">
        <f t="shared" si="31"/>
        <v>8</v>
      </c>
      <c r="U103" s="250">
        <f t="shared" si="32"/>
        <v>2.0231169797073321</v>
      </c>
      <c r="V103" s="382">
        <f t="shared" si="33"/>
        <v>50.493028793460681</v>
      </c>
      <c r="W103" s="400">
        <f t="shared" si="34"/>
        <v>7.8614192655909854</v>
      </c>
      <c r="X103" s="157">
        <f t="shared" si="35"/>
        <v>46111</v>
      </c>
      <c r="Y103" s="383">
        <f t="shared" si="36"/>
        <v>7.5486615167620705</v>
      </c>
      <c r="Z103" s="383">
        <f t="shared" si="37"/>
        <v>7.9388950093609632</v>
      </c>
      <c r="AA103" s="384">
        <f t="shared" si="38"/>
        <v>8.5916412445001242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7.5974568369810799E-2</v>
      </c>
      <c r="AD103" s="230">
        <f>(INDEX(Models!$BJ103:$BT103,,AH103)*(1-AF103)+INDEX(Models!$BJ103:$BT103,,AH103+1)*AF103-ERP_i)*AE103*Ramure*Pc/MaxiM</f>
        <v>9.4245979216718481E-4</v>
      </c>
      <c r="AE103" s="304">
        <f t="shared" si="40"/>
        <v>0.6</v>
      </c>
      <c r="AF103" s="177">
        <f t="shared" si="41"/>
        <v>2.3116979707332064E-2</v>
      </c>
      <c r="AG103" s="799">
        <f t="shared" si="49"/>
        <v>2</v>
      </c>
      <c r="AH103" s="176">
        <f t="shared" si="42"/>
        <v>8</v>
      </c>
      <c r="AI103" s="224">
        <f t="shared" si="43"/>
        <v>2.0231169797073321</v>
      </c>
      <c r="AJ103" s="264" t="b">
        <f t="shared" si="44"/>
        <v>0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'2025'!Wh/'2025'!Env_an*'2026'!Env_an</f>
        <v>28.027340620099679</v>
      </c>
      <c r="C104" s="829"/>
      <c r="D104" s="391">
        <f t="shared" si="25"/>
        <v>29.47679909095493</v>
      </c>
      <c r="E104" s="383">
        <f t="shared" si="47"/>
        <v>30.633817830734532</v>
      </c>
      <c r="F104" s="383">
        <f t="shared" si="26"/>
        <v>30.633817830734532</v>
      </c>
      <c r="G104" s="110">
        <f t="shared" si="48"/>
        <v>0.5512297278157875</v>
      </c>
      <c r="H104" s="412" t="b">
        <f>Wh_hp&gt;='2025'!Maxi_hp</f>
        <v>0</v>
      </c>
      <c r="I104" s="388">
        <f>IF(H104,Wh_hp,'2025'!Maxi_hp)</f>
        <v>49.948595361830613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4.9172858504165862E-2</v>
      </c>
      <c r="M104" s="832"/>
      <c r="N104" s="832"/>
      <c r="O104" s="48">
        <f>IF(t&lt;Tnet,'2025'!Resal+('2025'!Salim-'2025'!Resal)*(1-EXP(('2025'!Tnet-t)/('2025'!Tau_j))),Resal+(Salim-Resal)*(1-EXP((Tnet-t)/(Tau_j))))*Salcycl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0</v>
      </c>
      <c r="Q104" s="304">
        <f t="shared" si="28"/>
        <v>0.6</v>
      </c>
      <c r="R104" s="177">
        <f t="shared" si="29"/>
        <v>0.49911253781701737</v>
      </c>
      <c r="S104" s="799">
        <f t="shared" si="30"/>
        <v>-2</v>
      </c>
      <c r="T104" s="176">
        <f t="shared" si="31"/>
        <v>4</v>
      </c>
      <c r="U104" s="250">
        <f t="shared" si="32"/>
        <v>-1.5008874621829826</v>
      </c>
      <c r="V104" s="382">
        <f t="shared" si="33"/>
        <v>50.845118116463389</v>
      </c>
      <c r="W104" s="400">
        <f t="shared" si="34"/>
        <v>28.027340620099679</v>
      </c>
      <c r="X104" s="157">
        <f t="shared" si="35"/>
        <v>46112</v>
      </c>
      <c r="Y104" s="383">
        <f t="shared" si="36"/>
        <v>26.904384117442227</v>
      </c>
      <c r="Z104" s="383">
        <f t="shared" si="37"/>
        <v>28.295767909103279</v>
      </c>
      <c r="AA104" s="384">
        <f t="shared" si="38"/>
        <v>30.62376286980448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7.6019232861701619E-2</v>
      </c>
      <c r="AD104" s="230">
        <f>(INDEX(Models!$BJ104:$BT104,,AH104)*(1-AF104)+INDEX(Models!$BJ104:$BT104,,AH104+1)*AF104-ERP_i)*AE104*Ramure*Pc/MaxiM</f>
        <v>9.1454751535481518E-4</v>
      </c>
      <c r="AE104" s="304">
        <f t="shared" si="40"/>
        <v>0.6</v>
      </c>
      <c r="AF104" s="177">
        <f t="shared" si="41"/>
        <v>2.4100104190996063E-2</v>
      </c>
      <c r="AG104" s="799">
        <f t="shared" si="49"/>
        <v>2</v>
      </c>
      <c r="AH104" s="176">
        <f t="shared" si="42"/>
        <v>8</v>
      </c>
      <c r="AI104" s="224">
        <f t="shared" si="43"/>
        <v>2.0241001041909961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'2025'!Wh/'2025'!Env_an*'2026'!Env_an</f>
        <v>32.819504667550632</v>
      </c>
      <c r="C105" s="829"/>
      <c r="D105" s="391">
        <f t="shared" si="25"/>
        <v>34.517455619001701</v>
      </c>
      <c r="E105" s="383">
        <f t="shared" si="47"/>
        <v>35.875292281109274</v>
      </c>
      <c r="F105" s="383">
        <f t="shared" si="26"/>
        <v>35.875294063203562</v>
      </c>
      <c r="G105" s="110">
        <f t="shared" si="48"/>
        <v>0.6417363174763917</v>
      </c>
      <c r="H105" s="412" t="b">
        <f>Wh_hp&gt;='2025'!Maxi_hp</f>
        <v>0</v>
      </c>
      <c r="I105" s="388">
        <f>IF(H105,Wh_hp,'2025'!Maxi_hp)</f>
        <v>50.703405728850484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4.9191080889414041E-2</v>
      </c>
      <c r="M105" s="832"/>
      <c r="N105" s="832"/>
      <c r="O105" s="48">
        <f>IF(t&lt;Tnet,'2025'!Resal+('2025'!Salim-'2025'!Resal)*(1-EXP(('2025'!Tnet-t)/('2025'!Tau_j))),Resal+(Salim-Resal)*(1-EXP((Tnet-t)/(Tau_j))))*Salcycl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1.017517929656172E-7</v>
      </c>
      <c r="Q105" s="304">
        <f t="shared" si="28"/>
        <v>0.6</v>
      </c>
      <c r="R105" s="177">
        <f t="shared" si="29"/>
        <v>0.50013259688630263</v>
      </c>
      <c r="S105" s="799">
        <f t="shared" si="30"/>
        <v>-2</v>
      </c>
      <c r="T105" s="176">
        <f t="shared" si="31"/>
        <v>4</v>
      </c>
      <c r="U105" s="250">
        <f t="shared" si="32"/>
        <v>-1.4998674031136974</v>
      </c>
      <c r="V105" s="382">
        <f t="shared" si="33"/>
        <v>51.141726071336684</v>
      </c>
      <c r="W105" s="400">
        <f t="shared" si="34"/>
        <v>32.819504667550632</v>
      </c>
      <c r="X105" s="157">
        <f t="shared" si="35"/>
        <v>46113</v>
      </c>
      <c r="Y105" s="383">
        <f t="shared" si="36"/>
        <v>31.502282648221414</v>
      </c>
      <c r="Z105" s="383">
        <f t="shared" si="37"/>
        <v>33.132085758818455</v>
      </c>
      <c r="AA105" s="384">
        <f t="shared" si="38"/>
        <v>35.859741523013774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7.6064568464465646E-2</v>
      </c>
      <c r="AD105" s="230">
        <f>(INDEX(Models!$BJ105:$BT105,,AH105)*(1-AF105)+INDEX(Models!$BJ105:$BT105,,AH105+1)*AF105-ERP_i)*AE105*Ramure*Pc/MaxiM</f>
        <v>8.8799950777548593E-4</v>
      </c>
      <c r="AE105" s="304">
        <f t="shared" si="40"/>
        <v>0.6</v>
      </c>
      <c r="AF105" s="177">
        <f t="shared" si="41"/>
        <v>2.5120163260281103E-2</v>
      </c>
      <c r="AG105" s="799">
        <f t="shared" si="49"/>
        <v>2</v>
      </c>
      <c r="AH105" s="176">
        <f t="shared" si="42"/>
        <v>8</v>
      </c>
      <c r="AI105" s="224">
        <f t="shared" si="43"/>
        <v>2.0251201632602811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'2025'!Wh/'2025'!Env_an*'2026'!Env_an</f>
        <v>20.487782816589952</v>
      </c>
      <c r="C106" s="829"/>
      <c r="D106" s="391">
        <f t="shared" si="25"/>
        <v>21.548152374258247</v>
      </c>
      <c r="E106" s="383">
        <f t="shared" si="47"/>
        <v>22.397663749223739</v>
      </c>
      <c r="F106" s="383">
        <f t="shared" si="26"/>
        <v>22.397664385223148</v>
      </c>
      <c r="G106" s="110">
        <f t="shared" si="48"/>
        <v>0.39836483325875144</v>
      </c>
      <c r="H106" s="412" t="b">
        <f>Wh_hp&gt;='2025'!Maxi_hp</f>
        <v>0</v>
      </c>
      <c r="I106" s="388">
        <f>IF(H106,Wh_hp,'2025'!Maxi_hp)</f>
        <v>45.942881049826532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4.9209302925434462E-2</v>
      </c>
      <c r="M106" s="832"/>
      <c r="N106" s="832"/>
      <c r="O106" s="48">
        <f>IF(t&lt;Tnet,'2025'!Resal+('2025'!Salim-'2025'!Resal)*(1-EXP(('2025'!Tnet-t)/('2025'!Tau_j))),Resal+(Salim-Resal)*(1-EXP((Tnet-t)/(Tau_j))))*Salcycl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2.0207465870298151E-7</v>
      </c>
      <c r="Q106" s="304">
        <f t="shared" si="28"/>
        <v>0.6</v>
      </c>
      <c r="R106" s="177">
        <f t="shared" si="29"/>
        <v>0.50119080093574198</v>
      </c>
      <c r="S106" s="799">
        <f t="shared" si="30"/>
        <v>-2</v>
      </c>
      <c r="T106" s="176">
        <f t="shared" si="31"/>
        <v>4</v>
      </c>
      <c r="U106" s="250">
        <f t="shared" si="32"/>
        <v>-1.498809199064258</v>
      </c>
      <c r="V106" s="382">
        <f t="shared" si="33"/>
        <v>51.42968843584503</v>
      </c>
      <c r="W106" s="400">
        <f t="shared" si="34"/>
        <v>20.487782816589952</v>
      </c>
      <c r="X106" s="157">
        <f t="shared" si="35"/>
        <v>46114</v>
      </c>
      <c r="Y106" s="383">
        <f t="shared" si="36"/>
        <v>19.672292900465472</v>
      </c>
      <c r="Z106" s="383">
        <f t="shared" si="37"/>
        <v>20.69045580798597</v>
      </c>
      <c r="AA106" s="384">
        <f t="shared" si="38"/>
        <v>22.394948872930026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7.6110603092484255E-2</v>
      </c>
      <c r="AD106" s="230">
        <f>(INDEX(Models!$BJ106:$BT106,,AH106)*(1-AF106)+INDEX(Models!$BJ106:$BT106,,AH106+1)*AF106-ERP_i)*AE106*Ramure*Pc/MaxiM</f>
        <v>8.6279359988461956E-4</v>
      </c>
      <c r="AE106" s="304">
        <f t="shared" si="40"/>
        <v>0.6</v>
      </c>
      <c r="AF106" s="177">
        <f t="shared" si="41"/>
        <v>2.6178367309720674E-2</v>
      </c>
      <c r="AG106" s="799">
        <f t="shared" si="49"/>
        <v>2</v>
      </c>
      <c r="AH106" s="176">
        <f t="shared" si="42"/>
        <v>8</v>
      </c>
      <c r="AI106" s="224">
        <f t="shared" si="43"/>
        <v>2.0261783673097207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'2025'!Wh/'2025'!Env_an*'2026'!Env_an</f>
        <v>22.792482914276576</v>
      </c>
      <c r="C107" s="829"/>
      <c r="D107" s="391">
        <f t="shared" si="25"/>
        <v>23.972594394869088</v>
      </c>
      <c r="E107" s="383">
        <f t="shared" si="47"/>
        <v>24.919761250357872</v>
      </c>
      <c r="F107" s="383">
        <f t="shared" si="26"/>
        <v>24.919762759951485</v>
      </c>
      <c r="G107" s="110">
        <f t="shared" si="48"/>
        <v>0.44077138530120813</v>
      </c>
      <c r="H107" s="412" t="b">
        <f>Wh_hp&gt;='2025'!Maxi_hp</f>
        <v>0</v>
      </c>
      <c r="I107" s="388">
        <f>IF(H107,Wh_hp,'2025'!Maxi_hp)</f>
        <v>55.561785950469968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4.9227524612233675E-2</v>
      </c>
      <c r="M107" s="832"/>
      <c r="N107" s="832"/>
      <c r="O107" s="48">
        <f>IF(t&lt;Tnet,'2025'!Resal+('2025'!Salim-'2025'!Resal)*(1-EXP(('2025'!Tnet-t)/('2025'!Tau_j))),Resal+(Salim-Resal)*(1-EXP((Tnet-t)/(Tau_j))))*Salcycl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3.0123086894336344E-7</v>
      </c>
      <c r="Q107" s="304">
        <f t="shared" si="28"/>
        <v>0.6</v>
      </c>
      <c r="R107" s="177">
        <f t="shared" si="29"/>
        <v>0.50228838574055557</v>
      </c>
      <c r="S107" s="799">
        <f t="shared" si="30"/>
        <v>-2</v>
      </c>
      <c r="T107" s="176">
        <f t="shared" si="31"/>
        <v>4</v>
      </c>
      <c r="U107" s="250">
        <f t="shared" si="32"/>
        <v>-1.4977116142594444</v>
      </c>
      <c r="V107" s="382">
        <f t="shared" si="33"/>
        <v>51.710429009877991</v>
      </c>
      <c r="W107" s="400">
        <f t="shared" si="34"/>
        <v>22.792482914276576</v>
      </c>
      <c r="X107" s="157">
        <f t="shared" si="35"/>
        <v>46115</v>
      </c>
      <c r="Y107" s="383">
        <f t="shared" si="36"/>
        <v>21.884933641340279</v>
      </c>
      <c r="Z107" s="383">
        <f t="shared" si="37"/>
        <v>23.018055536804063</v>
      </c>
      <c r="AA107" s="384">
        <f t="shared" si="38"/>
        <v>24.915558822152278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7.6157364115034723E-2</v>
      </c>
      <c r="AD107" s="230">
        <f>(INDEX(Models!$BJ107:$BT107,,AH107)*(1-AF107)+INDEX(Models!$BJ107:$BT107,,AH107+1)*AF107-ERP_i)*AE107*Ramure*Pc/MaxiM</f>
        <v>8.3887201515119502E-4</v>
      </c>
      <c r="AE107" s="304">
        <f t="shared" si="40"/>
        <v>0.6</v>
      </c>
      <c r="AF107" s="177">
        <f t="shared" si="41"/>
        <v>2.7275952114534263E-2</v>
      </c>
      <c r="AG107" s="799">
        <f t="shared" si="49"/>
        <v>2</v>
      </c>
      <c r="AH107" s="176">
        <f t="shared" si="42"/>
        <v>8</v>
      </c>
      <c r="AI107" s="224">
        <f t="shared" si="43"/>
        <v>2.0272759521145343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'2025'!Wh/'2025'!Env_an*'2026'!Env_an</f>
        <v>45.880539192908842</v>
      </c>
      <c r="C108" s="829"/>
      <c r="D108" s="391">
        <f t="shared" si="25"/>
        <v>48.256990697079992</v>
      </c>
      <c r="E108" s="383">
        <f t="shared" si="47"/>
        <v>50.167838239872466</v>
      </c>
      <c r="F108" s="383">
        <f t="shared" si="26"/>
        <v>50.167854916421092</v>
      </c>
      <c r="G108" s="110">
        <f t="shared" si="48"/>
        <v>0.8825583383714275</v>
      </c>
      <c r="H108" s="412" t="b">
        <f>Wh_hp&gt;='2025'!Maxi_hp</f>
        <v>0</v>
      </c>
      <c r="I108" s="388">
        <f>IF(H108,Wh_hp,'2025'!Maxi_hp)</f>
        <v>57.558924699627966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4.9245745949818454E-2</v>
      </c>
      <c r="M108" s="832"/>
      <c r="N108" s="832"/>
      <c r="O108" s="48">
        <f>IF(t&lt;Tnet,'2025'!Resal+('2025'!Salim-'2025'!Resal)*(1-EXP(('2025'!Tnet-t)/('2025'!Tau_j))),Resal+(Salim-Resal)*(1-EXP((Tnet-t)/(Tau_j))))*Salcycl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3.9942865269028013E-7</v>
      </c>
      <c r="Q108" s="304">
        <f t="shared" si="28"/>
        <v>0.6</v>
      </c>
      <c r="R108" s="177">
        <f t="shared" si="29"/>
        <v>0.50342661177540826</v>
      </c>
      <c r="S108" s="799">
        <f t="shared" si="30"/>
        <v>-2</v>
      </c>
      <c r="T108" s="176">
        <f t="shared" si="31"/>
        <v>4</v>
      </c>
      <c r="U108" s="250">
        <f t="shared" si="32"/>
        <v>-1.4965733882245917</v>
      </c>
      <c r="V108" s="382">
        <f t="shared" si="33"/>
        <v>51.985839489034845</v>
      </c>
      <c r="W108" s="400">
        <f t="shared" si="34"/>
        <v>45.880539192908842</v>
      </c>
      <c r="X108" s="157">
        <f t="shared" si="35"/>
        <v>46116</v>
      </c>
      <c r="Y108" s="383">
        <f t="shared" si="36"/>
        <v>44.032597625644826</v>
      </c>
      <c r="Z108" s="383">
        <f t="shared" si="37"/>
        <v>46.313332218149348</v>
      </c>
      <c r="AA108" s="384">
        <f t="shared" si="38"/>
        <v>50.133770064530815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7.6204878297879919E-2</v>
      </c>
      <c r="AD108" s="230">
        <f>(INDEX(Models!$BJ108:$BT108,,AH108)*(1-AF108)+INDEX(Models!$BJ108:$BT108,,AH108+1)*AF108-ERP_i)*AE108*Ramure*Pc/MaxiM</f>
        <v>8.1638393965051219E-4</v>
      </c>
      <c r="AE108" s="304">
        <f t="shared" si="40"/>
        <v>0.6</v>
      </c>
      <c r="AF108" s="177">
        <f t="shared" si="41"/>
        <v>2.8414178149386959E-2</v>
      </c>
      <c r="AG108" s="799">
        <f t="shared" si="49"/>
        <v>2</v>
      </c>
      <c r="AH108" s="176">
        <f t="shared" si="42"/>
        <v>8</v>
      </c>
      <c r="AI108" s="224">
        <f t="shared" si="43"/>
        <v>2.028414178149387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'2025'!Wh/'2025'!Env_an*'2026'!Env_an</f>
        <v>52.646803188333642</v>
      </c>
      <c r="C109" s="829"/>
      <c r="D109" s="391">
        <f t="shared" si="25"/>
        <v>55.374784753646992</v>
      </c>
      <c r="E109" s="383">
        <f t="shared" si="47"/>
        <v>57.57231273440253</v>
      </c>
      <c r="F109" s="383">
        <f t="shared" si="26"/>
        <v>57.572341328599009</v>
      </c>
      <c r="G109" s="110">
        <f t="shared" si="48"/>
        <v>1.007482097951178</v>
      </c>
      <c r="H109" s="412" t="b">
        <f>Wh_hp&gt;='2025'!Maxi_hp</f>
        <v>0</v>
      </c>
      <c r="I109" s="388">
        <f>IF(H109,Wh_hp,'2025'!Maxi_hp)</f>
        <v>59.132284614261103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4.9263966938195347E-2</v>
      </c>
      <c r="M109" s="832"/>
      <c r="N109" s="832"/>
      <c r="O109" s="48">
        <f>IF(t&lt;Tnet,'2025'!Resal+('2025'!Salim-'2025'!Resal)*(1-EXP(('2025'!Tnet-t)/('2025'!Tau_j))),Resal+(Salim-Resal)*(1-EXP((Tnet-t)/(Tau_j))))*Salcycl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4.9666551374385479E-7</v>
      </c>
      <c r="Q109" s="304">
        <f t="shared" si="28"/>
        <v>0.6</v>
      </c>
      <c r="R109" s="177">
        <f t="shared" si="29"/>
        <v>0.50460676340342703</v>
      </c>
      <c r="S109" s="799">
        <f t="shared" si="30"/>
        <v>-2</v>
      </c>
      <c r="T109" s="176">
        <f t="shared" si="31"/>
        <v>4</v>
      </c>
      <c r="U109" s="250">
        <f t="shared" si="32"/>
        <v>-1.495393236596573</v>
      </c>
      <c r="V109" s="382">
        <f t="shared" si="33"/>
        <v>52.255820024392008</v>
      </c>
      <c r="W109" s="400">
        <f t="shared" si="34"/>
        <v>52.646803188333642</v>
      </c>
      <c r="X109" s="157">
        <f t="shared" si="35"/>
        <v>46117</v>
      </c>
      <c r="Y109" s="383">
        <f t="shared" si="36"/>
        <v>50.522107868133908</v>
      </c>
      <c r="Z109" s="383">
        <f t="shared" si="37"/>
        <v>53.139994815837184</v>
      </c>
      <c r="AA109" s="384">
        <f t="shared" si="38"/>
        <v>57.526578918112733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7.6253171747266882E-2</v>
      </c>
      <c r="AD109" s="230">
        <f>(INDEX(Models!$BJ109:$BT109,,AH109)*(1-AF109)+INDEX(Models!$BJ109:$BT109,,AH109+1)*AF109-ERP_i)*AE109*Ramure*Pc/MaxiM</f>
        <v>7.9486797705667102E-4</v>
      </c>
      <c r="AE109" s="304">
        <f t="shared" si="40"/>
        <v>0.6</v>
      </c>
      <c r="AF109" s="177">
        <f t="shared" si="41"/>
        <v>2.9594329777405726E-2</v>
      </c>
      <c r="AG109" s="799">
        <f t="shared" si="49"/>
        <v>2</v>
      </c>
      <c r="AH109" s="176">
        <f t="shared" si="42"/>
        <v>8</v>
      </c>
      <c r="AI109" s="224">
        <f t="shared" si="43"/>
        <v>2.0295943297774057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'2025'!Wh/'2025'!Env_an*'2026'!Env_an</f>
        <v>11.395523832241079</v>
      </c>
      <c r="C110" s="829"/>
      <c r="D110" s="391">
        <f t="shared" si="25"/>
        <v>11.986231543514357</v>
      </c>
      <c r="E110" s="383">
        <f t="shared" si="47"/>
        <v>12.462952180608429</v>
      </c>
      <c r="F110" s="383">
        <f t="shared" si="26"/>
        <v>12.462952180608429</v>
      </c>
      <c r="G110" s="110">
        <f t="shared" si="48"/>
        <v>0.21697369221189022</v>
      </c>
      <c r="H110" s="412" t="b">
        <f>Wh_hp&gt;='2025'!Maxi_hp</f>
        <v>0</v>
      </c>
      <c r="I110" s="388">
        <f>IF(H110,Wh_hp,'2025'!Maxi_hp)</f>
        <v>59.680123270108488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4.9282187577371239E-2</v>
      </c>
      <c r="M110" s="832"/>
      <c r="N110" s="832"/>
      <c r="O110" s="48">
        <f>IF(t&lt;Tnet,'2025'!Resal+('2025'!Salim-'2025'!Resal)*(1-EXP(('2025'!Tnet-t)/('2025'!Tau_j))),Resal+(Salim-Resal)*(1-EXP((Tnet-t)/(Tau_j))))*Salcycl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5.930285383242665E-7</v>
      </c>
      <c r="Q110" s="304">
        <f t="shared" si="28"/>
        <v>0.6</v>
      </c>
      <c r="R110" s="177">
        <f t="shared" si="29"/>
        <v>0.50583014792646708</v>
      </c>
      <c r="S110" s="799">
        <f t="shared" si="30"/>
        <v>-2</v>
      </c>
      <c r="T110" s="176">
        <f t="shared" si="31"/>
        <v>4</v>
      </c>
      <c r="U110" s="250">
        <f t="shared" si="32"/>
        <v>-1.4941698520735329</v>
      </c>
      <c r="V110" s="382">
        <f t="shared" si="33"/>
        <v>52.520270813485098</v>
      </c>
      <c r="W110" s="400">
        <f t="shared" si="34"/>
        <v>11.395523832241079</v>
      </c>
      <c r="X110" s="157">
        <f t="shared" si="35"/>
        <v>46118</v>
      </c>
      <c r="Y110" s="383">
        <f t="shared" si="36"/>
        <v>10.944664065183641</v>
      </c>
      <c r="Z110" s="383">
        <f t="shared" si="37"/>
        <v>11.512000640120897</v>
      </c>
      <c r="AA110" s="384">
        <f t="shared" si="38"/>
        <v>12.462952180608429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7.6302269856026089E-2</v>
      </c>
      <c r="AD110" s="230">
        <f>(INDEX(Models!$BJ110:$BT110,,AH110)*(1-AF110)+INDEX(Models!$BJ110:$BT110,,AH110+1)*AF110-ERP_i)*AE110*Ramure*Pc/MaxiM</f>
        <v>7.743029801059861E-4</v>
      </c>
      <c r="AE110" s="304">
        <f t="shared" si="40"/>
        <v>0.6</v>
      </c>
      <c r="AF110" s="177">
        <f t="shared" si="41"/>
        <v>3.0817714300445775E-2</v>
      </c>
      <c r="AG110" s="799">
        <f t="shared" si="49"/>
        <v>2</v>
      </c>
      <c r="AH110" s="176">
        <f t="shared" si="42"/>
        <v>8</v>
      </c>
      <c r="AI110" s="224">
        <f t="shared" si="43"/>
        <v>2.0308177143004458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'2025'!Wh/'2025'!Env_an*'2026'!Env_an</f>
        <v>38.253240889383065</v>
      </c>
      <c r="C111" s="829"/>
      <c r="D111" s="391">
        <f t="shared" si="25"/>
        <v>40.236938361961293</v>
      </c>
      <c r="E111" s="383">
        <f t="shared" si="47"/>
        <v>41.840802814533831</v>
      </c>
      <c r="F111" s="383">
        <f t="shared" si="26"/>
        <v>41.840820298358913</v>
      </c>
      <c r="G111" s="110">
        <f t="shared" si="48"/>
        <v>0.72478000291834332</v>
      </c>
      <c r="H111" s="412" t="b">
        <f>Wh_hp&gt;='2025'!Maxi_hp</f>
        <v>0</v>
      </c>
      <c r="I111" s="388">
        <f>IF(H111,Wh_hp,'2025'!Maxi_hp)</f>
        <v>57.850737846912956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4.9300407867352791E-2</v>
      </c>
      <c r="M111" s="832"/>
      <c r="N111" s="832"/>
      <c r="O111" s="48">
        <f>IF(t&lt;Tnet,'2025'!Resal+('2025'!Salim-'2025'!Resal)*(1-EXP(('2025'!Tnet-t)/('2025'!Tau_j))),Resal+(Salim-Resal)*(1-EXP((Tnet-t)/(Tau_j))))*Salcycl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6.8860478844939615E-7</v>
      </c>
      <c r="Q111" s="304">
        <f t="shared" si="28"/>
        <v>0.6</v>
      </c>
      <c r="R111" s="177">
        <f t="shared" si="29"/>
        <v>0.50709809448741616</v>
      </c>
      <c r="S111" s="799">
        <f t="shared" si="30"/>
        <v>-2</v>
      </c>
      <c r="T111" s="176">
        <f t="shared" si="31"/>
        <v>4</v>
      </c>
      <c r="U111" s="250">
        <f t="shared" si="32"/>
        <v>-1.4929019055125838</v>
      </c>
      <c r="V111" s="382">
        <f t="shared" si="33"/>
        <v>52.77909210889743</v>
      </c>
      <c r="W111" s="400">
        <f t="shared" si="34"/>
        <v>38.253240889383065</v>
      </c>
      <c r="X111" s="157">
        <f t="shared" si="35"/>
        <v>46119</v>
      </c>
      <c r="Y111" s="383">
        <f t="shared" si="36"/>
        <v>36.724083534197177</v>
      </c>
      <c r="Z111" s="383">
        <f t="shared" si="37"/>
        <v>38.628483527395076</v>
      </c>
      <c r="AA111" s="384">
        <f t="shared" si="38"/>
        <v>41.821659091750327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7.635219725142682E-2</v>
      </c>
      <c r="AD111" s="230">
        <f>(INDEX(Models!$BJ111:$BT111,,AH111)*(1-AF111)+INDEX(Models!$BJ111:$BT111,,AH111+1)*AF111-ERP_i)*AE111*Ramure*Pc/MaxiM</f>
        <v>7.5466887595761092E-4</v>
      </c>
      <c r="AE111" s="304">
        <f t="shared" si="40"/>
        <v>0.6</v>
      </c>
      <c r="AF111" s="177">
        <f t="shared" si="41"/>
        <v>3.208566086139486E-2</v>
      </c>
      <c r="AG111" s="799">
        <f t="shared" si="49"/>
        <v>2</v>
      </c>
      <c r="AH111" s="176">
        <f t="shared" si="42"/>
        <v>8</v>
      </c>
      <c r="AI111" s="224">
        <f t="shared" si="43"/>
        <v>2.0320856608613949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'2025'!Wh/'2025'!Env_an*'2026'!Env_an</f>
        <v>31.07751818307775</v>
      </c>
      <c r="C112" s="829"/>
      <c r="D112" s="391">
        <f t="shared" si="25"/>
        <v>32.68973085212204</v>
      </c>
      <c r="E112" s="383">
        <f t="shared" si="47"/>
        <v>33.995655697731834</v>
      </c>
      <c r="F112" s="383">
        <f t="shared" si="26"/>
        <v>33.995666580492177</v>
      </c>
      <c r="G112" s="110">
        <f t="shared" si="48"/>
        <v>0.5860121403532923</v>
      </c>
      <c r="H112" s="412" t="b">
        <f>Wh_hp&gt;='2025'!Maxi_hp</f>
        <v>0</v>
      </c>
      <c r="I112" s="388">
        <f>IF(H112,Wh_hp,'2025'!Maxi_hp)</f>
        <v>57.096062387011123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4.9318627808146553E-2</v>
      </c>
      <c r="M112" s="832"/>
      <c r="N112" s="832"/>
      <c r="O112" s="48">
        <f>IF(t&lt;Tnet,'2025'!Resal+('2025'!Salim-'2025'!Resal)*(1-EXP(('2025'!Tnet-t)/('2025'!Tau_j))),Resal+(Salim-Resal)*(1-EXP((Tnet-t)/(Tau_j))))*Salcycl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7.8348135135689649E-7</v>
      </c>
      <c r="Q112" s="304">
        <f t="shared" si="28"/>
        <v>0.6</v>
      </c>
      <c r="R112" s="177">
        <f t="shared" si="29"/>
        <v>0.50841195281515983</v>
      </c>
      <c r="S112" s="799">
        <f t="shared" si="30"/>
        <v>-2</v>
      </c>
      <c r="T112" s="176">
        <f t="shared" si="31"/>
        <v>4</v>
      </c>
      <c r="U112" s="250">
        <f t="shared" si="32"/>
        <v>-1.4915880471848402</v>
      </c>
      <c r="V112" s="382">
        <f t="shared" si="33"/>
        <v>53.032184221095157</v>
      </c>
      <c r="W112" s="400">
        <f t="shared" si="34"/>
        <v>31.07751818307775</v>
      </c>
      <c r="X112" s="157">
        <f t="shared" si="35"/>
        <v>46120</v>
      </c>
      <c r="Y112" s="383">
        <f t="shared" si="36"/>
        <v>29.840799705554087</v>
      </c>
      <c r="Z112" s="383">
        <f t="shared" si="37"/>
        <v>31.388854960683954</v>
      </c>
      <c r="AA112" s="384">
        <f t="shared" si="38"/>
        <v>33.985444089053985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7.6402977744414458E-2</v>
      </c>
      <c r="AD112" s="230">
        <f>(INDEX(Models!$BJ112:$BT112,,AH112)*(1-AF112)+INDEX(Models!$BJ112:$BT112,,AH112+1)*AF112-ERP_i)*AE112*Ramure*Pc/MaxiM</f>
        <v>7.3594668604867188E-4</v>
      </c>
      <c r="AE112" s="304">
        <f t="shared" si="40"/>
        <v>0.6</v>
      </c>
      <c r="AF112" s="177">
        <f t="shared" si="41"/>
        <v>3.3399519189138527E-2</v>
      </c>
      <c r="AG112" s="799">
        <f t="shared" si="49"/>
        <v>2</v>
      </c>
      <c r="AH112" s="176">
        <f t="shared" si="42"/>
        <v>8</v>
      </c>
      <c r="AI112" s="224">
        <f t="shared" si="43"/>
        <v>2.0333995191891385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'2025'!Wh/'2025'!Env_an*'2026'!Env_an</f>
        <v>36.459352707769838</v>
      </c>
      <c r="C113" s="829"/>
      <c r="D113" s="391">
        <f t="shared" si="25"/>
        <v>38.351494541517383</v>
      </c>
      <c r="E113" s="383">
        <f t="shared" si="47"/>
        <v>39.887016522257689</v>
      </c>
      <c r="F113" s="383">
        <f t="shared" si="26"/>
        <v>39.887035743324105</v>
      </c>
      <c r="G113" s="110">
        <f t="shared" si="48"/>
        <v>0.68430398535888415</v>
      </c>
      <c r="H113" s="412" t="b">
        <f>Wh_hp&gt;='2025'!Maxi_hp</f>
        <v>0</v>
      </c>
      <c r="I113" s="388">
        <f>IF(H113,Wh_hp,'2025'!Maxi_hp)</f>
        <v>45.048186570983958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4.9336847399759298E-2</v>
      </c>
      <c r="M113" s="832"/>
      <c r="N113" s="832"/>
      <c r="O113" s="48">
        <f>IF(t&lt;Tnet,'2025'!Resal+('2025'!Salim-'2025'!Resal)*(1-EXP(('2025'!Tnet-t)/('2025'!Tau_j))),Resal+(Salim-Resal)*(1-EXP((Tnet-t)/(Tau_j))))*Salcycl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8.7774540107289537E-7</v>
      </c>
      <c r="Q113" s="304">
        <f t="shared" si="28"/>
        <v>0.6</v>
      </c>
      <c r="R113" s="177">
        <f t="shared" si="29"/>
        <v>0.50977309180272568</v>
      </c>
      <c r="S113" s="799">
        <f t="shared" si="30"/>
        <v>-2</v>
      </c>
      <c r="T113" s="176">
        <f t="shared" si="31"/>
        <v>4</v>
      </c>
      <c r="U113" s="250">
        <f t="shared" si="32"/>
        <v>-1.4902269081972743</v>
      </c>
      <c r="V113" s="382">
        <f t="shared" si="33"/>
        <v>53.279447519103904</v>
      </c>
      <c r="W113" s="400">
        <f t="shared" si="34"/>
        <v>36.459352707769838</v>
      </c>
      <c r="X113" s="157">
        <f t="shared" si="35"/>
        <v>46121</v>
      </c>
      <c r="Y113" s="383">
        <f t="shared" si="36"/>
        <v>35.00623483560819</v>
      </c>
      <c r="Z113" s="383">
        <f t="shared" si="37"/>
        <v>36.822963780451175</v>
      </c>
      <c r="AA113" s="384">
        <f t="shared" si="38"/>
        <v>39.871310221709848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7.6454634279834996E-2</v>
      </c>
      <c r="AD113" s="230">
        <f>(INDEX(Models!$BJ113:$BT113,,AH113)*(1-AF113)+INDEX(Models!$BJ113:$BT113,,AH113+1)*AF113-ERP_i)*AE113*Ramure*Pc/MaxiM</f>
        <v>7.1811854642681646E-4</v>
      </c>
      <c r="AE113" s="304">
        <f t="shared" si="40"/>
        <v>0.6</v>
      </c>
      <c r="AF113" s="177">
        <f t="shared" si="41"/>
        <v>3.4760658176704595E-2</v>
      </c>
      <c r="AG113" s="799">
        <f t="shared" si="49"/>
        <v>2</v>
      </c>
      <c r="AH113" s="176">
        <f t="shared" si="42"/>
        <v>8</v>
      </c>
      <c r="AI113" s="224">
        <f t="shared" si="43"/>
        <v>2.0347606581767046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'2025'!Wh/'2025'!Env_an*'2026'!Env_an</f>
        <v>53.312063802154341</v>
      </c>
      <c r="C114" s="829"/>
      <c r="D114" s="391">
        <f t="shared" si="25"/>
        <v>56.079890536889692</v>
      </c>
      <c r="E114" s="383">
        <f t="shared" si="47"/>
        <v>58.330244006901161</v>
      </c>
      <c r="F114" s="383">
        <f t="shared" si="26"/>
        <v>58.330300369076909</v>
      </c>
      <c r="G114" s="110">
        <f t="shared" si="48"/>
        <v>0.99610022672211185</v>
      </c>
      <c r="H114" s="412" t="b">
        <f>Wh_hp&gt;='2025'!Maxi_hp</f>
        <v>1</v>
      </c>
      <c r="I114" s="388">
        <f>IF(H114,Wh_hp,'2025'!Maxi_hp)</f>
        <v>58.330300369076909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4.9355066642197798E-2</v>
      </c>
      <c r="M114" s="832"/>
      <c r="N114" s="832"/>
      <c r="O114" s="48">
        <f>IF(t&lt;Tnet,'2025'!Resal+('2025'!Salim-'2025'!Resal)*(1-EXP(('2025'!Tnet-t)/('2025'!Tau_j))),Resal+(Salim-Resal)*(1-EXP((Tnet-t)/(Tau_j))))*Salcycl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9.716722468031313E-7</v>
      </c>
      <c r="Q114" s="304">
        <f t="shared" si="28"/>
        <v>0.6</v>
      </c>
      <c r="R114" s="177">
        <f t="shared" si="29"/>
        <v>0.51118289790906823</v>
      </c>
      <c r="S114" s="799">
        <f t="shared" si="30"/>
        <v>-2</v>
      </c>
      <c r="T114" s="176">
        <f t="shared" si="31"/>
        <v>4</v>
      </c>
      <c r="U114" s="250">
        <f t="shared" si="32"/>
        <v>-1.4888171020909318</v>
      </c>
      <c r="V114" s="382">
        <f t="shared" si="33"/>
        <v>53.52078243069581</v>
      </c>
      <c r="W114" s="400">
        <f t="shared" si="34"/>
        <v>53.312063802154341</v>
      </c>
      <c r="X114" s="157">
        <f t="shared" si="35"/>
        <v>46122</v>
      </c>
      <c r="Y114" s="383">
        <f t="shared" si="36"/>
        <v>51.173261897026542</v>
      </c>
      <c r="Z114" s="383">
        <f t="shared" si="37"/>
        <v>53.83004747763804</v>
      </c>
      <c r="AA114" s="384">
        <f t="shared" si="38"/>
        <v>58.289622647712484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7.6507188887239383E-2</v>
      </c>
      <c r="AD114" s="230">
        <f>(INDEX(Models!$BJ114:$BT114,,AH114)*(1-AF114)+INDEX(Models!$BJ114:$BT114,,AH114+1)*AF114-ERP_i)*AE114*Ramure*Pc/MaxiM</f>
        <v>7.0127549881676687E-4</v>
      </c>
      <c r="AE114" s="304">
        <f t="shared" si="40"/>
        <v>0.6</v>
      </c>
      <c r="AF114" s="177">
        <f t="shared" si="41"/>
        <v>3.6170464283046933E-2</v>
      </c>
      <c r="AG114" s="799">
        <f t="shared" si="49"/>
        <v>2</v>
      </c>
      <c r="AH114" s="176">
        <f t="shared" si="42"/>
        <v>8</v>
      </c>
      <c r="AI114" s="224">
        <f t="shared" si="43"/>
        <v>2.0361704642830469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'2025'!Wh/'2025'!Env_an*'2026'!Env_an</f>
        <v>44.184686569191406</v>
      </c>
      <c r="C115" s="829"/>
      <c r="D115" s="391">
        <f t="shared" si="25"/>
        <v>46.479533866329156</v>
      </c>
      <c r="E115" s="383">
        <f t="shared" si="47"/>
        <v>48.348830578936791</v>
      </c>
      <c r="F115" s="383">
        <f t="shared" si="26"/>
        <v>48.348868965802055</v>
      </c>
      <c r="G115" s="110">
        <f t="shared" si="48"/>
        <v>0.82194733699444544</v>
      </c>
      <c r="H115" s="412" t="b">
        <f>Wh_hp&gt;='2025'!Maxi_hp</f>
        <v>0</v>
      </c>
      <c r="I115" s="388">
        <f>IF(H115,Wh_hp,'2025'!Maxi_hp)</f>
        <v>59.403908056990687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4.9373285535468603E-2</v>
      </c>
      <c r="M115" s="832"/>
      <c r="N115" s="832"/>
      <c r="O115" s="48">
        <f>IF(t&lt;Tnet,'2025'!Resal+('2025'!Salim-'2025'!Resal)*(1-EXP(('2025'!Tnet-t)/('2025'!Tau_j))),Resal+(Salim-Resal)*(1-EXP((Tnet-t)/(Tau_j))))*Salcycl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1.0647986651764275E-6</v>
      </c>
      <c r="Q115" s="304">
        <f t="shared" si="28"/>
        <v>0.6</v>
      </c>
      <c r="R115" s="177">
        <f t="shared" si="29"/>
        <v>0.51264277337496544</v>
      </c>
      <c r="S115" s="799">
        <f t="shared" si="30"/>
        <v>-2</v>
      </c>
      <c r="T115" s="176">
        <f t="shared" si="31"/>
        <v>4</v>
      </c>
      <c r="U115" s="250">
        <f t="shared" si="32"/>
        <v>-1.4873572266250346</v>
      </c>
      <c r="V115" s="382">
        <f t="shared" si="33"/>
        <v>53.756089488217029</v>
      </c>
      <c r="W115" s="400">
        <f t="shared" si="34"/>
        <v>44.184686569191406</v>
      </c>
      <c r="X115" s="157">
        <f t="shared" si="35"/>
        <v>46123</v>
      </c>
      <c r="Y115" s="383">
        <f t="shared" si="36"/>
        <v>42.421188604841419</v>
      </c>
      <c r="Z115" s="383">
        <f t="shared" si="37"/>
        <v>44.62444402137006</v>
      </c>
      <c r="AA115" s="384">
        <f t="shared" si="38"/>
        <v>48.324174870600991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7.6560662631856763E-2</v>
      </c>
      <c r="AD115" s="230">
        <f>(INDEX(Models!$BJ115:$BT115,,AH115)*(1-AF115)+INDEX(Models!$BJ115:$BT115,,AH115+1)*AF115-ERP_i)*AE115*Ramure*Pc/MaxiM</f>
        <v>6.8498012078158359E-4</v>
      </c>
      <c r="AE115" s="304">
        <f t="shared" si="40"/>
        <v>0.6</v>
      </c>
      <c r="AF115" s="177">
        <f t="shared" si="41"/>
        <v>3.7630339748944142E-2</v>
      </c>
      <c r="AG115" s="799">
        <f t="shared" si="49"/>
        <v>2</v>
      </c>
      <c r="AH115" s="176">
        <f t="shared" si="42"/>
        <v>8</v>
      </c>
      <c r="AI115" s="224">
        <f t="shared" si="43"/>
        <v>2.0376303397489441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'2025'!Wh/'2025'!Env_an*'2026'!Env_an</f>
        <v>37.73657825376052</v>
      </c>
      <c r="C116" s="829"/>
      <c r="D116" s="391">
        <f t="shared" si="25"/>
        <v>39.69728696483223</v>
      </c>
      <c r="E116" s="383">
        <f t="shared" si="47"/>
        <v>41.297410008318906</v>
      </c>
      <c r="F116" s="383">
        <f t="shared" si="26"/>
        <v>41.297437246509041</v>
      </c>
      <c r="G116" s="110">
        <f t="shared" si="48"/>
        <v>0.69901586091767165</v>
      </c>
      <c r="H116" s="412" t="b">
        <f>Wh_hp&gt;='2025'!Maxi_hp</f>
        <v>0</v>
      </c>
      <c r="I116" s="388">
        <f>IF(H116,Wh_hp,'2025'!Maxi_hp)</f>
        <v>58.857771528976158</v>
      </c>
      <c r="J116" s="85">
        <f>IF(H116,An,'2025'!An_max)</f>
        <v>2018</v>
      </c>
      <c r="K116" s="197">
        <f t="shared" si="27"/>
        <v>46124</v>
      </c>
      <c r="L116" s="147">
        <f>IF(t&lt;Tvie,1-EXP((T0-t)*PertePVj)+'2025'!Pspv,1-EXP((T0-t)*PertePVj)+Pspv)</f>
        <v>4.9391504079578596E-2</v>
      </c>
      <c r="M116" s="832"/>
      <c r="N116" s="832"/>
      <c r="O116" s="48">
        <f>IF(t&lt;Tnet,'2025'!Resal+('2025'!Salim-'2025'!Resal)*(1-EXP(('2025'!Tnet-t)/('2025'!Tau_j))),Resal+(Salim-Resal)*(1-EXP((Tnet-t)/(Tau_j))))*Salcycl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1.1570780297792467E-6</v>
      </c>
      <c r="Q116" s="304">
        <f t="shared" si="28"/>
        <v>0.6</v>
      </c>
      <c r="R116" s="177">
        <f t="shared" si="29"/>
        <v>0.5141541342435938</v>
      </c>
      <c r="S116" s="799">
        <f t="shared" si="30"/>
        <v>-2</v>
      </c>
      <c r="T116" s="176">
        <f t="shared" si="31"/>
        <v>4</v>
      </c>
      <c r="U116" s="250">
        <f t="shared" si="32"/>
        <v>-1.4858458657564062</v>
      </c>
      <c r="V116" s="382">
        <f t="shared" si="33"/>
        <v>53.985269275045098</v>
      </c>
      <c r="W116" s="400">
        <f t="shared" si="34"/>
        <v>37.73657825376052</v>
      </c>
      <c r="X116" s="157">
        <f t="shared" si="35"/>
        <v>46124</v>
      </c>
      <c r="Y116" s="383">
        <f t="shared" si="36"/>
        <v>36.236135211805035</v>
      </c>
      <c r="Z116" s="383">
        <f t="shared" si="37"/>
        <v>38.118884238163261</v>
      </c>
      <c r="AA116" s="384">
        <f t="shared" si="38"/>
        <v>41.281683542214083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7.6615075565331148E-2</v>
      </c>
      <c r="AD116" s="230">
        <f>(INDEX(Models!$BJ116:$BT116,,AH116)*(1-AF116)+INDEX(Models!$BJ116:$BT116,,AH116+1)*AF116-ERP_i)*AE116*Ramure*Pc/MaxiM</f>
        <v>6.6921719237977232E-4</v>
      </c>
      <c r="AE116" s="304">
        <f t="shared" si="40"/>
        <v>0.6</v>
      </c>
      <c r="AF116" s="177">
        <f t="shared" si="41"/>
        <v>3.9141700617572273E-2</v>
      </c>
      <c r="AG116" s="799">
        <f t="shared" si="49"/>
        <v>2</v>
      </c>
      <c r="AH116" s="176">
        <f t="shared" si="42"/>
        <v>8</v>
      </c>
      <c r="AI116" s="224">
        <f t="shared" si="43"/>
        <v>2.0391417006175723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'2025'!Wh/'2025'!Env_an*'2026'!Env_an</f>
        <v>8.0641834199784324</v>
      </c>
      <c r="C117" s="829"/>
      <c r="D117" s="391">
        <f t="shared" si="25"/>
        <v>8.4833430437286683</v>
      </c>
      <c r="E117" s="383">
        <f t="shared" si="47"/>
        <v>8.8260626482120355</v>
      </c>
      <c r="F117" s="383">
        <f t="shared" si="26"/>
        <v>8.8260626482120355</v>
      </c>
      <c r="G117" s="110">
        <f t="shared" si="48"/>
        <v>0.14876291802883948</v>
      </c>
      <c r="H117" s="412" t="b">
        <f>Wh_hp&gt;='2025'!Maxi_hp</f>
        <v>0</v>
      </c>
      <c r="I117" s="388">
        <f>IF(H117,Wh_hp,'2025'!Maxi_hp)</f>
        <v>58.816606841862637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4.9409722274534218E-2</v>
      </c>
      <c r="M117" s="832"/>
      <c r="N117" s="832"/>
      <c r="O117" s="48">
        <f>IF(t&lt;Tnet,'2025'!Resal+('2025'!Salim-'2025'!Resal)*(1-EXP(('2025'!Tnet-t)/('2025'!Tau_j))),Resal+(Salim-Resal)*(1-EXP((Tnet-t)/(Tau_j))))*Salcycl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1.2484536295767736E-6</v>
      </c>
      <c r="Q117" s="304">
        <f t="shared" si="28"/>
        <v>0.6</v>
      </c>
      <c r="R117" s="177">
        <f t="shared" si="29"/>
        <v>0.51571840817651537</v>
      </c>
      <c r="S117" s="799">
        <f t="shared" si="30"/>
        <v>-2</v>
      </c>
      <c r="T117" s="176">
        <f t="shared" si="31"/>
        <v>4</v>
      </c>
      <c r="U117" s="250">
        <f t="shared" si="32"/>
        <v>-1.4842815918234846</v>
      </c>
      <c r="V117" s="382">
        <f t="shared" si="33"/>
        <v>54.208222445972964</v>
      </c>
      <c r="W117" s="400">
        <f t="shared" si="34"/>
        <v>8.0641834199784324</v>
      </c>
      <c r="X117" s="157">
        <f t="shared" si="35"/>
        <v>46125</v>
      </c>
      <c r="Y117" s="383">
        <f t="shared" si="36"/>
        <v>7.7467066467862935</v>
      </c>
      <c r="Z117" s="383">
        <f t="shared" si="37"/>
        <v>8.14936448258476</v>
      </c>
      <c r="AA117" s="384">
        <f t="shared" si="38"/>
        <v>8.8260626482120355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7.6670446675829867E-2</v>
      </c>
      <c r="AD117" s="230">
        <f>(INDEX(Models!$BJ117:$BT117,,AH117)*(1-AF117)+INDEX(Models!$BJ117:$BT117,,AH117+1)*AF117-ERP_i)*AE117*Ramure*Pc/MaxiM</f>
        <v>6.5397200632451042E-4</v>
      </c>
      <c r="AE117" s="304">
        <f t="shared" si="40"/>
        <v>0.6</v>
      </c>
      <c r="AF117" s="177">
        <f t="shared" si="41"/>
        <v>4.0705974550494073E-2</v>
      </c>
      <c r="AG117" s="799">
        <f t="shared" si="49"/>
        <v>2</v>
      </c>
      <c r="AH117" s="176">
        <f t="shared" si="42"/>
        <v>8</v>
      </c>
      <c r="AI117" s="224">
        <f t="shared" si="43"/>
        <v>2.0407059745504941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'2025'!Wh/'2025'!Env_an*'2026'!Env_an</f>
        <v>40.815781938950494</v>
      </c>
      <c r="C118" s="829"/>
      <c r="D118" s="391">
        <f t="shared" si="25"/>
        <v>42.938125010867424</v>
      </c>
      <c r="E118" s="383">
        <f t="shared" si="47"/>
        <v>44.676717337415653</v>
      </c>
      <c r="F118" s="383">
        <f t="shared" si="26"/>
        <v>44.676755785963707</v>
      </c>
      <c r="G118" s="110">
        <f t="shared" si="48"/>
        <v>0.74994717695734348</v>
      </c>
      <c r="H118" s="412" t="b">
        <f>Wh_hp&gt;='2025'!Maxi_hp</f>
        <v>0</v>
      </c>
      <c r="I118" s="388">
        <f>IF(H118,Wh_hp,'2025'!Maxi_hp)</f>
        <v>59.036177217934771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4.9427940120342351E-2</v>
      </c>
      <c r="M118" s="832"/>
      <c r="N118" s="832"/>
      <c r="O118" s="48">
        <f>IF(t&lt;Tnet,'2025'!Resal+('2025'!Salim-'2025'!Resal)*(1-EXP(('2025'!Tnet-t)/('2025'!Tau_j))),Resal+(Salim-Resal)*(1-EXP((Tnet-t)/(Tau_j))))*Salcycl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1.3388578747776305E-6</v>
      </c>
      <c r="Q118" s="304">
        <f t="shared" si="28"/>
        <v>0.6</v>
      </c>
      <c r="R118" s="177">
        <f t="shared" si="29"/>
        <v>0.51733703205607884</v>
      </c>
      <c r="S118" s="799">
        <f t="shared" si="30"/>
        <v>-2</v>
      </c>
      <c r="T118" s="176">
        <f t="shared" si="31"/>
        <v>4</v>
      </c>
      <c r="U118" s="250">
        <f t="shared" si="32"/>
        <v>-1.4826629679439212</v>
      </c>
      <c r="V118" s="382">
        <f t="shared" si="33"/>
        <v>54.424849739172132</v>
      </c>
      <c r="W118" s="400">
        <f t="shared" si="34"/>
        <v>40.815781938950494</v>
      </c>
      <c r="X118" s="157">
        <f t="shared" si="35"/>
        <v>46126</v>
      </c>
      <c r="Y118" s="383">
        <f t="shared" si="36"/>
        <v>39.19389495198579</v>
      </c>
      <c r="Z118" s="383">
        <f t="shared" si="37"/>
        <v>41.231902983712494</v>
      </c>
      <c r="AA118" s="384">
        <f t="shared" si="38"/>
        <v>44.658398736679146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7.6726793837155249E-2</v>
      </c>
      <c r="AD118" s="230">
        <f>(INDEX(Models!$BJ118:$BT118,,AH118)*(1-AF118)+INDEX(Models!$BJ118:$BT118,,AH118+1)*AF118-ERP_i)*AE118*Ramure*Pc/MaxiM</f>
        <v>6.3923038026148253E-4</v>
      </c>
      <c r="AE118" s="304">
        <f t="shared" si="40"/>
        <v>0.6</v>
      </c>
      <c r="AF118" s="177">
        <f t="shared" si="41"/>
        <v>4.2324598430057758E-2</v>
      </c>
      <c r="AG118" s="799">
        <f t="shared" si="49"/>
        <v>2</v>
      </c>
      <c r="AH118" s="176">
        <f t="shared" si="42"/>
        <v>8</v>
      </c>
      <c r="AI118" s="224">
        <f t="shared" si="43"/>
        <v>2.0423245984300578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'2025'!Wh/'2025'!Env_an*'2026'!Env_an</f>
        <v>44.537788750843902</v>
      </c>
      <c r="C119" s="829"/>
      <c r="D119" s="391">
        <f t="shared" si="25"/>
        <v>46.854567058705392</v>
      </c>
      <c r="E119" s="383">
        <f t="shared" si="47"/>
        <v>48.756051916125699</v>
      </c>
      <c r="F119" s="383">
        <f t="shared" si="26"/>
        <v>48.756103165483815</v>
      </c>
      <c r="G119" s="110">
        <f t="shared" si="48"/>
        <v>0.81518677751744872</v>
      </c>
      <c r="H119" s="412" t="b">
        <f>Wh_hp&gt;='2025'!Maxi_hp</f>
        <v>0</v>
      </c>
      <c r="I119" s="388">
        <f>IF(H119,Wh_hp,'2025'!Maxi_hp)</f>
        <v>59.816550107721071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4.9446157617009545E-2</v>
      </c>
      <c r="M119" s="832"/>
      <c r="N119" s="832"/>
      <c r="O119" s="48">
        <f>IF(t&lt;Tnet,'2025'!Resal+('2025'!Salim-'2025'!Resal)*(1-EXP(('2025'!Tnet-t)/('2025'!Tau_j))),Resal+(Salim-Resal)*(1-EXP((Tnet-t)/(Tau_j))))*Salcycl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1.4282114672234836E-6</v>
      </c>
      <c r="Q119" s="304">
        <f t="shared" si="28"/>
        <v>0.6</v>
      </c>
      <c r="R119" s="177">
        <f t="shared" si="29"/>
        <v>0.51901144936561039</v>
      </c>
      <c r="S119" s="799">
        <f t="shared" si="30"/>
        <v>-2</v>
      </c>
      <c r="T119" s="176">
        <f t="shared" si="31"/>
        <v>4</v>
      </c>
      <c r="U119" s="250">
        <f t="shared" si="32"/>
        <v>-1.4809885506343896</v>
      </c>
      <c r="V119" s="382">
        <f t="shared" si="33"/>
        <v>54.63505197227375</v>
      </c>
      <c r="W119" s="400">
        <f t="shared" si="34"/>
        <v>44.537788750843902</v>
      </c>
      <c r="X119" s="157">
        <f t="shared" si="35"/>
        <v>46127</v>
      </c>
      <c r="Y119" s="383">
        <f t="shared" si="36"/>
        <v>42.767036672064052</v>
      </c>
      <c r="Z119" s="383">
        <f t="shared" si="37"/>
        <v>44.991703536592155</v>
      </c>
      <c r="AA119" s="384">
        <f t="shared" si="38"/>
        <v>48.733676685671909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7.6784133756522516E-2</v>
      </c>
      <c r="AD119" s="230">
        <f>(INDEX(Models!$BJ119:$BT119,,AH119)*(1-AF119)+INDEX(Models!$BJ119:$BT119,,AH119+1)*AF119-ERP_i)*AE119*Ramure*Pc/MaxiM</f>
        <v>6.2497866932592204E-4</v>
      </c>
      <c r="AE119" s="304">
        <f t="shared" si="40"/>
        <v>0.6</v>
      </c>
      <c r="AF119" s="177">
        <f t="shared" si="41"/>
        <v>4.3999015739589087E-2</v>
      </c>
      <c r="AG119" s="799">
        <f t="shared" si="49"/>
        <v>2</v>
      </c>
      <c r="AH119" s="176">
        <f t="shared" si="42"/>
        <v>8</v>
      </c>
      <c r="AI119" s="224">
        <f t="shared" si="43"/>
        <v>2.0439990157395891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'2025'!Wh/'2025'!Env_an*'2026'!Env_an</f>
        <v>46.210119836921123</v>
      </c>
      <c r="C120" s="829"/>
      <c r="D120" s="391">
        <f t="shared" si="25"/>
        <v>48.61482159122064</v>
      </c>
      <c r="E120" s="383">
        <f t="shared" si="47"/>
        <v>50.592244150912549</v>
      </c>
      <c r="F120" s="383">
        <f t="shared" si="26"/>
        <v>50.592303625344663</v>
      </c>
      <c r="G120" s="110">
        <f t="shared" si="48"/>
        <v>0.84265452613593661</v>
      </c>
      <c r="H120" s="412" t="b">
        <f>Wh_hp&gt;='2025'!Maxi_hp</f>
        <v>0</v>
      </c>
      <c r="I120" s="388">
        <f>IF(H120,Wh_hp,'2025'!Maxi_hp)</f>
        <v>51.884062779817704</v>
      </c>
      <c r="J120" s="85">
        <f>IF(H120,An,'2025'!An_max)</f>
        <v>2021</v>
      </c>
      <c r="K120" s="197">
        <f t="shared" si="27"/>
        <v>46128</v>
      </c>
      <c r="L120" s="147">
        <f>IF(t&lt;Tvie,1-EXP((T0-t)*PertePVj)+'2025'!Pspv,1-EXP((T0-t)*PertePVj)+Pspv)</f>
        <v>4.9464374764542685E-2</v>
      </c>
      <c r="M120" s="832"/>
      <c r="N120" s="832"/>
      <c r="O120" s="48">
        <f>IF(t&lt;Tnet,'2025'!Resal+('2025'!Salim-'2025'!Resal)*(1-EXP(('2025'!Tnet-t)/('2025'!Tau_j))),Resal+(Salim-Resal)*(1-EXP((Tnet-t)/(Tau_j))))*Salcycl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1.5164225350928855E-6</v>
      </c>
      <c r="Q120" s="304">
        <f t="shared" si="28"/>
        <v>0.6</v>
      </c>
      <c r="R120" s="177">
        <f t="shared" si="29"/>
        <v>0.52074310733925278</v>
      </c>
      <c r="S120" s="799">
        <f t="shared" si="30"/>
        <v>-2</v>
      </c>
      <c r="T120" s="176">
        <f t="shared" si="31"/>
        <v>4</v>
      </c>
      <c r="U120" s="250">
        <f t="shared" si="32"/>
        <v>-1.4792568926607472</v>
      </c>
      <c r="V120" s="382">
        <f t="shared" si="33"/>
        <v>54.838730051846461</v>
      </c>
      <c r="W120" s="400">
        <f t="shared" si="34"/>
        <v>46.210119836921123</v>
      </c>
      <c r="X120" s="157">
        <f t="shared" si="35"/>
        <v>46128</v>
      </c>
      <c r="Y120" s="383">
        <f t="shared" si="36"/>
        <v>44.37341348035028</v>
      </c>
      <c r="Z120" s="383">
        <f t="shared" si="37"/>
        <v>46.682535932683784</v>
      </c>
      <c r="AA120" s="384">
        <f t="shared" si="38"/>
        <v>50.568332075993567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7.6842481920705807E-2</v>
      </c>
      <c r="AD120" s="230">
        <f>(INDEX(Models!$BJ120:$BT120,,AH120)*(1-AF120)+INDEX(Models!$BJ120:$BT120,,AH120+1)*AF120-ERP_i)*AE120*Ramure*Pc/MaxiM</f>
        <v>6.1120377857506265E-4</v>
      </c>
      <c r="AE120" s="304">
        <f t="shared" si="40"/>
        <v>0.6</v>
      </c>
      <c r="AF120" s="177">
        <f t="shared" si="41"/>
        <v>4.5730673713231251E-2</v>
      </c>
      <c r="AG120" s="799">
        <f t="shared" si="49"/>
        <v>2</v>
      </c>
      <c r="AH120" s="176">
        <f t="shared" si="42"/>
        <v>8</v>
      </c>
      <c r="AI120" s="224">
        <f t="shared" si="43"/>
        <v>2.0457306737132313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'2025'!Wh/'2025'!Env_an*'2026'!Env_an</f>
        <v>54.236764335054737</v>
      </c>
      <c r="C121" s="829"/>
      <c r="D121" s="391">
        <f t="shared" si="25"/>
        <v>57.060253556257287</v>
      </c>
      <c r="E121" s="383">
        <f t="shared" si="47"/>
        <v>59.386512208268712</v>
      </c>
      <c r="F121" s="383">
        <f t="shared" si="26"/>
        <v>59.386605451986881</v>
      </c>
      <c r="G121" s="110">
        <f t="shared" si="48"/>
        <v>0.98547727770645888</v>
      </c>
      <c r="H121" s="412" t="b">
        <f>Wh_hp&gt;='2025'!Maxi_hp</f>
        <v>1</v>
      </c>
      <c r="I121" s="388">
        <f>IF(H121,Wh_hp,'2025'!Maxi_hp)</f>
        <v>59.386605451986881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4.9482591562948319E-2</v>
      </c>
      <c r="M121" s="832"/>
      <c r="N121" s="832"/>
      <c r="O121" s="48">
        <f>IF(t&lt;Tnet,'2025'!Resal+('2025'!Salim-'2025'!Resal)*(1-EXP(('2025'!Tnet-t)/('2025'!Tau_j))),Resal+(Salim-Resal)*(1-EXP((Tnet-t)/(Tau_j))))*Salcycl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1.6033784319269918E-6</v>
      </c>
      <c r="Q121" s="304">
        <f t="shared" si="28"/>
        <v>0.6</v>
      </c>
      <c r="R121" s="177">
        <f t="shared" si="29"/>
        <v>0.52253345387392947</v>
      </c>
      <c r="S121" s="799">
        <f t="shared" si="30"/>
        <v>-2</v>
      </c>
      <c r="T121" s="176">
        <f t="shared" si="31"/>
        <v>4</v>
      </c>
      <c r="U121" s="250">
        <f t="shared" si="32"/>
        <v>-1.4774665461260705</v>
      </c>
      <c r="V121" s="382">
        <f t="shared" si="33"/>
        <v>55.036035591915059</v>
      </c>
      <c r="W121" s="400">
        <f t="shared" si="34"/>
        <v>54.236764335054737</v>
      </c>
      <c r="X121" s="157">
        <f t="shared" si="35"/>
        <v>46129</v>
      </c>
      <c r="Y121" s="383">
        <f t="shared" si="36"/>
        <v>52.076538403708952</v>
      </c>
      <c r="Z121" s="383">
        <f t="shared" si="37"/>
        <v>54.787569319050235</v>
      </c>
      <c r="AA121" s="384">
        <f t="shared" si="38"/>
        <v>59.351835414058414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7.6901852540301796E-2</v>
      </c>
      <c r="AD121" s="230">
        <f>(INDEX(Models!$BJ121:$BT121,,AH121)*(1-AF121)+INDEX(Models!$BJ121:$BT121,,AH121+1)*AF121-ERP_i)*AE121*Ramure*Pc/MaxiM</f>
        <v>5.9789045296331454E-4</v>
      </c>
      <c r="AE121" s="304">
        <f t="shared" si="40"/>
        <v>0.6</v>
      </c>
      <c r="AF121" s="177">
        <f t="shared" si="41"/>
        <v>4.7521020247908385E-2</v>
      </c>
      <c r="AG121" s="799">
        <f t="shared" si="49"/>
        <v>2</v>
      </c>
      <c r="AH121" s="176">
        <f t="shared" si="42"/>
        <v>8</v>
      </c>
      <c r="AI121" s="224">
        <f t="shared" si="43"/>
        <v>2.0475210202479084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'2025'!Wh/'2025'!Env_an*'2026'!Env_an</f>
        <v>40.121428627151154</v>
      </c>
      <c r="C122" s="829"/>
      <c r="D122" s="391">
        <f t="shared" si="25"/>
        <v>42.210902403026473</v>
      </c>
      <c r="E122" s="383">
        <f t="shared" si="47"/>
        <v>43.935732021112727</v>
      </c>
      <c r="F122" s="383">
        <f t="shared" si="26"/>
        <v>43.935777254192551</v>
      </c>
      <c r="G122" s="110">
        <f t="shared" si="48"/>
        <v>0.72647919146022588</v>
      </c>
      <c r="H122" s="412" t="b">
        <f>Wh_hp&gt;='2025'!Maxi_hp</f>
        <v>1</v>
      </c>
      <c r="I122" s="388">
        <f>IF(H122,Wh_hp,'2025'!Maxi_hp)</f>
        <v>43.935777254192551</v>
      </c>
      <c r="J122" s="85">
        <f>IF(H122,An,'2025'!An_max)</f>
        <v>2026</v>
      </c>
      <c r="K122" s="197">
        <f t="shared" si="27"/>
        <v>46130</v>
      </c>
      <c r="L122" s="147">
        <f>IF(t&lt;Tvie,1-EXP((T0-t)*PertePVj)+'2025'!Pspv,1-EXP((T0-t)*PertePVj)+Pspv)</f>
        <v>4.9500808012233111E-2</v>
      </c>
      <c r="M122" s="832"/>
      <c r="N122" s="832"/>
      <c r="O122" s="48">
        <f>IF(t&lt;Tnet,'2025'!Resal+('2025'!Salim-'2025'!Resal)*(1-EXP(('2025'!Tnet-t)/('2025'!Tau_j))),Resal+(Salim-Resal)*(1-EXP((Tnet-t)/(Tau_j))))*Salcycl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1.689808734372912E-6</v>
      </c>
      <c r="Q122" s="304">
        <f t="shared" si="28"/>
        <v>0.6</v>
      </c>
      <c r="R122" s="177">
        <f t="shared" si="29"/>
        <v>0.52438393419665252</v>
      </c>
      <c r="S122" s="799">
        <f t="shared" si="30"/>
        <v>-2</v>
      </c>
      <c r="T122" s="176">
        <f t="shared" si="31"/>
        <v>4</v>
      </c>
      <c r="U122" s="250">
        <f t="shared" si="32"/>
        <v>-1.4756160658033475</v>
      </c>
      <c r="V122" s="382">
        <f t="shared" si="33"/>
        <v>55.227186968759781</v>
      </c>
      <c r="W122" s="400">
        <f t="shared" si="34"/>
        <v>40.121428627151154</v>
      </c>
      <c r="X122" s="157">
        <f t="shared" si="35"/>
        <v>46130</v>
      </c>
      <c r="Y122" s="383">
        <f t="shared" si="36"/>
        <v>38.533163170769726</v>
      </c>
      <c r="Z122" s="383">
        <f t="shared" si="37"/>
        <v>40.53992206998705</v>
      </c>
      <c r="AA122" s="384">
        <f t="shared" si="38"/>
        <v>43.920113173001759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7.6962258491914681E-2</v>
      </c>
      <c r="AD122" s="230">
        <f>(INDEX(Models!$BJ122:$BT122,,AH122)*(1-AF122)+INDEX(Models!$BJ122:$BT122,,AH122+1)*AF122-ERP_i)*AE122*Ramure*Pc/MaxiM</f>
        <v>5.8517574555345345E-4</v>
      </c>
      <c r="AE122" s="304">
        <f t="shared" si="40"/>
        <v>0.6</v>
      </c>
      <c r="AF122" s="177">
        <f t="shared" si="41"/>
        <v>4.9371500570631E-2</v>
      </c>
      <c r="AG122" s="799">
        <f t="shared" si="49"/>
        <v>2</v>
      </c>
      <c r="AH122" s="176">
        <f t="shared" si="42"/>
        <v>8</v>
      </c>
      <c r="AI122" s="224">
        <f t="shared" si="43"/>
        <v>2.049371500570631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'2025'!Wh/'2025'!Env_an*'2026'!Env_an</f>
        <v>9.3784442604905802</v>
      </c>
      <c r="C123" s="829"/>
      <c r="D123" s="391">
        <f t="shared" si="25"/>
        <v>9.8670509967152409</v>
      </c>
      <c r="E123" s="383">
        <f t="shared" si="47"/>
        <v>10.271170682975159</v>
      </c>
      <c r="F123" s="383">
        <f t="shared" si="26"/>
        <v>10.271170682975159</v>
      </c>
      <c r="G123" s="110">
        <f t="shared" si="48"/>
        <v>0.16924847016146996</v>
      </c>
      <c r="H123" s="412" t="b">
        <f>Wh_hp&gt;='2025'!Maxi_hp</f>
        <v>0</v>
      </c>
      <c r="I123" s="388">
        <f>IF(H123,Wh_hp,'2025'!Maxi_hp)</f>
        <v>59.533076172726751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4.9519024112403831E-2</v>
      </c>
      <c r="M123" s="832"/>
      <c r="N123" s="832"/>
      <c r="O123" s="48">
        <f>IF(t&lt;Tnet,'2025'!Resal+('2025'!Salim-'2025'!Resal)*(1-EXP(('2025'!Tnet-t)/('2025'!Tau_j))),Resal+(Salim-Resal)*(1-EXP((Tnet-t)/(Tau_j))))*Salcycl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1.7760831403037478E-6</v>
      </c>
      <c r="Q123" s="304">
        <f t="shared" si="28"/>
        <v>0.6</v>
      </c>
      <c r="R123" s="177">
        <f t="shared" si="29"/>
        <v>0.52629598728128935</v>
      </c>
      <c r="S123" s="799">
        <f t="shared" si="30"/>
        <v>-2</v>
      </c>
      <c r="T123" s="176">
        <f t="shared" si="31"/>
        <v>4</v>
      </c>
      <c r="U123" s="250">
        <f t="shared" si="32"/>
        <v>-1.4737040127187107</v>
      </c>
      <c r="V123" s="382">
        <f t="shared" si="33"/>
        <v>55.412185378375611</v>
      </c>
      <c r="W123" s="400">
        <f t="shared" si="34"/>
        <v>9.3784442604905802</v>
      </c>
      <c r="X123" s="157">
        <f t="shared" si="35"/>
        <v>46131</v>
      </c>
      <c r="Y123" s="383">
        <f t="shared" si="36"/>
        <v>9.010604322125733</v>
      </c>
      <c r="Z123" s="383">
        <f t="shared" si="37"/>
        <v>9.4800469980067508</v>
      </c>
      <c r="AA123" s="384">
        <f t="shared" si="38"/>
        <v>10.271170682975159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7.7023711258125988E-2</v>
      </c>
      <c r="AD123" s="230">
        <f>(INDEX(Models!$BJ123:$BT123,,AH123)*(1-AF123)+INDEX(Models!$BJ123:$BT123,,AH123+1)*AF123-ERP_i)*AE123*Ramure*Pc/MaxiM</f>
        <v>5.7283499085276435E-4</v>
      </c>
      <c r="AE123" s="304">
        <f t="shared" si="40"/>
        <v>0.6</v>
      </c>
      <c r="AF123" s="177">
        <f t="shared" si="41"/>
        <v>5.1283553655268044E-2</v>
      </c>
      <c r="AG123" s="799">
        <f t="shared" si="49"/>
        <v>2</v>
      </c>
      <c r="AH123" s="176">
        <f t="shared" si="42"/>
        <v>8</v>
      </c>
      <c r="AI123" s="224">
        <f t="shared" si="43"/>
        <v>2.051283553655268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'2025'!Wh/'2025'!Env_an*'2026'!Env_an</f>
        <v>9.7845719585786224</v>
      </c>
      <c r="C124" s="829"/>
      <c r="D124" s="391">
        <f t="shared" si="25"/>
        <v>10.294534798157773</v>
      </c>
      <c r="E124" s="383">
        <f t="shared" si="47"/>
        <v>10.717139473194415</v>
      </c>
      <c r="F124" s="383">
        <f t="shared" si="26"/>
        <v>10.717139473194415</v>
      </c>
      <c r="G124" s="110">
        <f t="shared" si="48"/>
        <v>0.17600957149587304</v>
      </c>
      <c r="H124" s="412" t="b">
        <f>Wh_hp&gt;='2025'!Maxi_hp</f>
        <v>0</v>
      </c>
      <c r="I124" s="388">
        <f>IF(H124,Wh_hp,'2025'!Maxi_hp)</f>
        <v>52.580415314681325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4.9537239863467142E-2</v>
      </c>
      <c r="M124" s="832"/>
      <c r="N124" s="832"/>
      <c r="O124" s="48">
        <f>IF(t&lt;Tnet,'2025'!Resal+('2025'!Salim-'2025'!Resal)*(1-EXP(('2025'!Tnet-t)/('2025'!Tau_j))),Resal+(Salim-Resal)*(1-EXP((Tnet-t)/(Tau_j))))*Salcycl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1.8623336294004294E-6</v>
      </c>
      <c r="Q124" s="304">
        <f t="shared" si="28"/>
        <v>0.6</v>
      </c>
      <c r="R124" s="177">
        <f t="shared" si="29"/>
        <v>0.52827104200995856</v>
      </c>
      <c r="S124" s="799">
        <f t="shared" si="30"/>
        <v>-2</v>
      </c>
      <c r="T124" s="176">
        <f t="shared" si="31"/>
        <v>4</v>
      </c>
      <c r="U124" s="250">
        <f t="shared" si="32"/>
        <v>-1.4717289579900414</v>
      </c>
      <c r="V124" s="382">
        <f t="shared" si="33"/>
        <v>55.591032085835373</v>
      </c>
      <c r="W124" s="400">
        <f t="shared" si="34"/>
        <v>9.7845719585786224</v>
      </c>
      <c r="X124" s="157">
        <f t="shared" si="35"/>
        <v>46132</v>
      </c>
      <c r="Y124" s="383">
        <f t="shared" si="36"/>
        <v>9.4010230666019812</v>
      </c>
      <c r="Z124" s="383">
        <f t="shared" si="37"/>
        <v>9.8909956927208125</v>
      </c>
      <c r="AA124" s="384">
        <f t="shared" si="38"/>
        <v>10.717139473194415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7.7086220865179883E-2</v>
      </c>
      <c r="AD124" s="230">
        <f>(INDEX(Models!$BJ124:$BT124,,AH124)*(1-AF124)+INDEX(Models!$BJ124:$BT124,,AH124+1)*AF124-ERP_i)*AE124*Ramure*Pc/MaxiM</f>
        <v>5.6085584513726949E-4</v>
      </c>
      <c r="AE124" s="304">
        <f t="shared" si="40"/>
        <v>0.6</v>
      </c>
      <c r="AF124" s="177">
        <f t="shared" si="41"/>
        <v>5.3258608383937034E-2</v>
      </c>
      <c r="AG124" s="799">
        <f t="shared" si="49"/>
        <v>2</v>
      </c>
      <c r="AH124" s="176">
        <f t="shared" si="42"/>
        <v>8</v>
      </c>
      <c r="AI124" s="224">
        <f t="shared" si="43"/>
        <v>2.053258608383937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'2025'!Wh/'2025'!Env_an*'2026'!Env_an</f>
        <v>9.418348762742399</v>
      </c>
      <c r="C125" s="829"/>
      <c r="D125" s="391">
        <f t="shared" si="25"/>
        <v>9.9094142997818491</v>
      </c>
      <c r="E125" s="383">
        <f t="shared" si="47"/>
        <v>10.317155322759707</v>
      </c>
      <c r="F125" s="383">
        <f t="shared" si="26"/>
        <v>10.317155322759707</v>
      </c>
      <c r="G125" s="110">
        <f t="shared" si="48"/>
        <v>0.16889707122117301</v>
      </c>
      <c r="H125" s="412" t="b">
        <f>Wh_hp&gt;='2025'!Maxi_hp</f>
        <v>0</v>
      </c>
      <c r="I125" s="388">
        <f>IF(H125,Wh_hp,'2025'!Maxi_hp)</f>
        <v>55.246951602065522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4.9555455265429815E-2</v>
      </c>
      <c r="M125" s="832"/>
      <c r="N125" s="832"/>
      <c r="O125" s="48">
        <f>IF(t&lt;Tnet,'2025'!Resal+('2025'!Salim-'2025'!Resal)*(1-EXP(('2025'!Tnet-t)/('2025'!Tau_j))),Resal+(Salim-Resal)*(1-EXP((Tnet-t)/(Tau_j))))*Salcycl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1.9487041106485684E-6</v>
      </c>
      <c r="Q125" s="304">
        <f t="shared" si="28"/>
        <v>0.6</v>
      </c>
      <c r="R125" s="177">
        <f t="shared" si="29"/>
        <v>0.53031051307543153</v>
      </c>
      <c r="S125" s="799">
        <f t="shared" si="30"/>
        <v>-2</v>
      </c>
      <c r="T125" s="176">
        <f t="shared" si="31"/>
        <v>4</v>
      </c>
      <c r="U125" s="250">
        <f t="shared" si="32"/>
        <v>-1.4696894869245685</v>
      </c>
      <c r="V125" s="382">
        <f t="shared" si="33"/>
        <v>55.763728412045815</v>
      </c>
      <c r="W125" s="400">
        <f t="shared" si="34"/>
        <v>9.418348762742399</v>
      </c>
      <c r="X125" s="157">
        <f t="shared" si="35"/>
        <v>46133</v>
      </c>
      <c r="Y125" s="383">
        <f t="shared" si="36"/>
        <v>9.0493620457637736</v>
      </c>
      <c r="Z125" s="383">
        <f t="shared" si="37"/>
        <v>9.52118889618224</v>
      </c>
      <c r="AA125" s="384">
        <f t="shared" si="38"/>
        <v>10.317155322759707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7.7149795818384131E-2</v>
      </c>
      <c r="AD125" s="230">
        <f>(INDEX(Models!$BJ125:$BT125,,AH125)*(1-AF125)+INDEX(Models!$BJ125:$BT125,,AH125+1)*AF125-ERP_i)*AE125*Ramure*Pc/MaxiM</f>
        <v>5.4922802667675067E-4</v>
      </c>
      <c r="AE125" s="304">
        <f t="shared" si="40"/>
        <v>0.6</v>
      </c>
      <c r="AF125" s="177">
        <f t="shared" si="41"/>
        <v>5.5298079449410231E-2</v>
      </c>
      <c r="AG125" s="799">
        <f t="shared" si="49"/>
        <v>2</v>
      </c>
      <c r="AH125" s="176">
        <f t="shared" si="42"/>
        <v>8</v>
      </c>
      <c r="AI125" s="224">
        <f t="shared" si="43"/>
        <v>2.0552980794494102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'2025'!Wh/'2025'!Env_an*'2026'!Env_an</f>
        <v>27.373709302075195</v>
      </c>
      <c r="C126" s="829"/>
      <c r="D126" s="391">
        <f t="shared" si="25"/>
        <v>28.801505647726181</v>
      </c>
      <c r="E126" s="383">
        <f t="shared" si="47"/>
        <v>29.989363346629148</v>
      </c>
      <c r="F126" s="383">
        <f t="shared" si="26"/>
        <v>29.989379864214811</v>
      </c>
      <c r="G126" s="110">
        <f t="shared" si="48"/>
        <v>0.48942488308972493</v>
      </c>
      <c r="H126" s="412" t="b">
        <f>Wh_hp&gt;='2025'!Maxi_hp</f>
        <v>0</v>
      </c>
      <c r="I126" s="388">
        <f>IF(H126,Wh_hp,'2025'!Maxi_hp)</f>
        <v>61.484611749803321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4.9573670318298402E-2</v>
      </c>
      <c r="M126" s="832"/>
      <c r="N126" s="832"/>
      <c r="O126" s="48">
        <f>IF(t&lt;Tnet,'2025'!Resal+('2025'!Salim-'2025'!Resal)*(1-EXP(('2025'!Tnet-t)/('2025'!Tau_j))),Resal+(Salim-Resal)*(1-EXP((Tnet-t)/(Tau_j))))*Salcycl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2.035346847186565E-6</v>
      </c>
      <c r="Q126" s="304">
        <f t="shared" si="28"/>
        <v>0.6</v>
      </c>
      <c r="R126" s="177">
        <f t="shared" si="29"/>
        <v>0.53241579662231397</v>
      </c>
      <c r="S126" s="799">
        <f t="shared" si="30"/>
        <v>-2</v>
      </c>
      <c r="T126" s="176">
        <f t="shared" si="31"/>
        <v>4</v>
      </c>
      <c r="U126" s="250">
        <f t="shared" si="32"/>
        <v>-1.467584203377686</v>
      </c>
      <c r="V126" s="382">
        <f t="shared" si="33"/>
        <v>55.930275737462097</v>
      </c>
      <c r="W126" s="400">
        <f t="shared" si="34"/>
        <v>27.373709302075195</v>
      </c>
      <c r="X126" s="157">
        <f t="shared" si="35"/>
        <v>46134</v>
      </c>
      <c r="Y126" s="383">
        <f t="shared" si="36"/>
        <v>26.298047620082421</v>
      </c>
      <c r="Z126" s="383">
        <f t="shared" si="37"/>
        <v>27.669738094155761</v>
      </c>
      <c r="AA126" s="384">
        <f t="shared" si="38"/>
        <v>29.985014270454514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7.7214443035302741E-2</v>
      </c>
      <c r="AD126" s="230">
        <f>(INDEX(Models!$BJ126:$BT126,,AH126)*(1-AF126)+INDEX(Models!$BJ126:$BT126,,AH126+1)*AF126-ERP_i)*AE126*Ramure*Pc/MaxiM</f>
        <v>5.3794166278543375E-4</v>
      </c>
      <c r="AE126" s="304">
        <f t="shared" si="40"/>
        <v>0.6</v>
      </c>
      <c r="AF126" s="177">
        <f t="shared" si="41"/>
        <v>5.7403362996292895E-2</v>
      </c>
      <c r="AG126" s="799">
        <f t="shared" si="49"/>
        <v>2</v>
      </c>
      <c r="AH126" s="176">
        <f t="shared" si="42"/>
        <v>8</v>
      </c>
      <c r="AI126" s="224">
        <f t="shared" si="43"/>
        <v>2.0574033629962929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'2025'!Wh/'2025'!Env_an*'2026'!Env_an</f>
        <v>9.1164808688842776</v>
      </c>
      <c r="C127" s="829"/>
      <c r="D127" s="391">
        <f t="shared" si="25"/>
        <v>9.5921749038265212</v>
      </c>
      <c r="E127" s="383">
        <f t="shared" si="47"/>
        <v>9.9887113376698249</v>
      </c>
      <c r="F127" s="383">
        <f t="shared" si="26"/>
        <v>9.9887113376698249</v>
      </c>
      <c r="G127" s="110">
        <f t="shared" si="48"/>
        <v>0.16253078497089998</v>
      </c>
      <c r="H127" s="412" t="b">
        <f>Wh_hp&gt;='2025'!Maxi_hp</f>
        <v>0</v>
      </c>
      <c r="I127" s="388">
        <f>IF(H127,Wh_hp,'2025'!Maxi_hp)</f>
        <v>61.411826255045938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4.9591885022079674E-2</v>
      </c>
      <c r="M127" s="832"/>
      <c r="N127" s="832"/>
      <c r="O127" s="48">
        <f>IF(t&lt;Tnet,'2025'!Resal+('2025'!Salim-'2025'!Resal)*(1-EXP(('2025'!Tnet-t)/('2025'!Tau_j))),Resal+(Salim-Resal)*(1-EXP((Tnet-t)/(Tau_j))))*Salcycl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2.1224172835896136E-6</v>
      </c>
      <c r="Q127" s="304">
        <f t="shared" si="28"/>
        <v>0.6</v>
      </c>
      <c r="R127" s="177">
        <f t="shared" si="29"/>
        <v>0.53458826562634743</v>
      </c>
      <c r="S127" s="799">
        <f t="shared" si="30"/>
        <v>-2</v>
      </c>
      <c r="T127" s="176">
        <f t="shared" si="31"/>
        <v>4</v>
      </c>
      <c r="U127" s="250">
        <f t="shared" si="32"/>
        <v>-1.4654117343736526</v>
      </c>
      <c r="V127" s="382">
        <f t="shared" si="33"/>
        <v>56.090675508273442</v>
      </c>
      <c r="W127" s="400">
        <f t="shared" si="34"/>
        <v>9.1164808688842776</v>
      </c>
      <c r="X127" s="157">
        <f t="shared" si="35"/>
        <v>46135</v>
      </c>
      <c r="Y127" s="383">
        <f t="shared" si="36"/>
        <v>8.7597044539414437</v>
      </c>
      <c r="Z127" s="383">
        <f t="shared" si="37"/>
        <v>9.2167820496197539</v>
      </c>
      <c r="AA127" s="384">
        <f t="shared" si="38"/>
        <v>9.9887113376698249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7.7280167776892311E-2</v>
      </c>
      <c r="AD127" s="230">
        <f>(INDEX(Models!$BJ127:$BT127,,AH127)*(1-AF127)+INDEX(Models!$BJ127:$BT127,,AH127+1)*AF127-ERP_i)*AE127*Ramure*Pc/MaxiM</f>
        <v>5.2698577822658744E-4</v>
      </c>
      <c r="AE127" s="304">
        <f t="shared" si="40"/>
        <v>0.6</v>
      </c>
      <c r="AF127" s="177">
        <f t="shared" si="41"/>
        <v>5.9575832000326123E-2</v>
      </c>
      <c r="AG127" s="799">
        <f t="shared" si="49"/>
        <v>2</v>
      </c>
      <c r="AH127" s="176">
        <f t="shared" si="42"/>
        <v>8</v>
      </c>
      <c r="AI127" s="224">
        <f t="shared" si="43"/>
        <v>2.0595758320003261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'2025'!Wh/'2025'!Env_an*'2026'!Env_an</f>
        <v>31.501370373297384</v>
      </c>
      <c r="C128" s="829"/>
      <c r="D128" s="391">
        <f t="shared" si="25"/>
        <v>33.145733506469618</v>
      </c>
      <c r="E128" s="383">
        <f t="shared" si="47"/>
        <v>34.519188462716301</v>
      </c>
      <c r="F128" s="383">
        <f t="shared" si="26"/>
        <v>34.519216812982599</v>
      </c>
      <c r="G128" s="110">
        <f t="shared" si="48"/>
        <v>0.5600740733396733</v>
      </c>
      <c r="H128" s="412" t="b">
        <f>Wh_hp&gt;='2025'!Maxi_hp</f>
        <v>0</v>
      </c>
      <c r="I128" s="388">
        <f>IF(H128,Wh_hp,'2025'!Maxi_hp)</f>
        <v>58.10105142457774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4.9610099376780292E-2</v>
      </c>
      <c r="M128" s="832"/>
      <c r="N128" s="832"/>
      <c r="O128" s="48">
        <f>IF(t&lt;Tnet,'2025'!Resal+('2025'!Salim-'2025'!Resal)*(1-EXP(('2025'!Tnet-t)/('2025'!Tau_j))),Resal+(Salim-Resal)*(1-EXP((Tnet-t)/(Tau_j))))*Salcycl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2.210527336161233E-6</v>
      </c>
      <c r="Q128" s="304">
        <f t="shared" si="28"/>
        <v>0.6</v>
      </c>
      <c r="R128" s="177">
        <f t="shared" si="29"/>
        <v>0.53682926501292894</v>
      </c>
      <c r="S128" s="799">
        <f t="shared" si="30"/>
        <v>-2</v>
      </c>
      <c r="T128" s="176">
        <f t="shared" si="31"/>
        <v>4</v>
      </c>
      <c r="U128" s="250">
        <f t="shared" si="32"/>
        <v>-1.4631707349870711</v>
      </c>
      <c r="V128" s="382">
        <f t="shared" si="33"/>
        <v>56.244929215384801</v>
      </c>
      <c r="W128" s="400">
        <f t="shared" si="34"/>
        <v>31.501370373297384</v>
      </c>
      <c r="X128" s="157">
        <f t="shared" si="35"/>
        <v>46136</v>
      </c>
      <c r="Y128" s="383">
        <f t="shared" si="36"/>
        <v>30.263405463123775</v>
      </c>
      <c r="Z128" s="383">
        <f t="shared" si="37"/>
        <v>31.843147158106898</v>
      </c>
      <c r="AA128" s="384">
        <f t="shared" si="38"/>
        <v>34.512591674415269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7.7346973576814054E-2</v>
      </c>
      <c r="AD128" s="230">
        <f>(INDEX(Models!$BJ128:$BT128,,AH128)*(1-AF128)+INDEX(Models!$BJ128:$BT128,,AH128+1)*AF128-ERP_i)*AE128*Ramure*Pc/MaxiM</f>
        <v>5.1657539139066491E-4</v>
      </c>
      <c r="AE128" s="304">
        <f t="shared" si="40"/>
        <v>0.6</v>
      </c>
      <c r="AF128" s="177">
        <f t="shared" si="41"/>
        <v>6.1816831386907634E-2</v>
      </c>
      <c r="AG128" s="799">
        <f t="shared" si="49"/>
        <v>2</v>
      </c>
      <c r="AH128" s="176">
        <f t="shared" si="42"/>
        <v>8</v>
      </c>
      <c r="AI128" s="224">
        <f t="shared" si="43"/>
        <v>2.0618168313869076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'2025'!Wh/'2025'!Env_an*'2026'!Env_an</f>
        <v>47.674934551219074</v>
      </c>
      <c r="C129" s="829"/>
      <c r="D129" s="391">
        <f t="shared" si="25"/>
        <v>50.16451481303686</v>
      </c>
      <c r="E129" s="383">
        <f t="shared" si="47"/>
        <v>52.248085241131243</v>
      </c>
      <c r="F129" s="383">
        <f t="shared" si="26"/>
        <v>52.248178843472388</v>
      </c>
      <c r="G129" s="110">
        <f t="shared" si="48"/>
        <v>0.84540417806847623</v>
      </c>
      <c r="H129" s="412" t="b">
        <f>Wh_hp&gt;='2025'!Maxi_hp</f>
        <v>0</v>
      </c>
      <c r="I129" s="388">
        <f>IF(H129,Wh_hp,'2025'!Maxi_hp)</f>
        <v>57.415722541484826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4.9628313382406919E-2</v>
      </c>
      <c r="M129" s="832"/>
      <c r="N129" s="832"/>
      <c r="O129" s="48">
        <f>IF(t&lt;Tnet,'2025'!Resal+('2025'!Salim-'2025'!Resal)*(1-EXP(('2025'!Tnet-t)/('2025'!Tau_j))),Resal+(Salim-Resal)*(1-EXP((Tnet-t)/(Tau_j))))*Salcycl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2.2992955118128591E-6</v>
      </c>
      <c r="Q129" s="304">
        <f t="shared" si="28"/>
        <v>0.6</v>
      </c>
      <c r="R129" s="177">
        <f t="shared" si="29"/>
        <v>0.53914010651789468</v>
      </c>
      <c r="S129" s="799">
        <f t="shared" si="30"/>
        <v>-2</v>
      </c>
      <c r="T129" s="176">
        <f t="shared" si="31"/>
        <v>4</v>
      </c>
      <c r="U129" s="250">
        <f t="shared" si="32"/>
        <v>-1.4608598934821053</v>
      </c>
      <c r="V129" s="382">
        <f t="shared" si="33"/>
        <v>56.393038476264564</v>
      </c>
      <c r="W129" s="400">
        <f t="shared" si="34"/>
        <v>47.674934551219074</v>
      </c>
      <c r="X129" s="157">
        <f t="shared" si="35"/>
        <v>46137</v>
      </c>
      <c r="Y129" s="383">
        <f t="shared" si="36"/>
        <v>45.793058095695265</v>
      </c>
      <c r="Z129" s="383">
        <f t="shared" si="37"/>
        <v>48.18436695928348</v>
      </c>
      <c r="AA129" s="384">
        <f t="shared" si="38"/>
        <v>52.227556009169184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7.7414862169232518E-2</v>
      </c>
      <c r="AD129" s="230">
        <f>(INDEX(Models!$BJ129:$BT129,,AH129)*(1-AF129)+INDEX(Models!$BJ129:$BT129,,AH129+1)*AF129-ERP_i)*AE129*Ramure*Pc/MaxiM</f>
        <v>5.0658979011605992E-4</v>
      </c>
      <c r="AE129" s="304">
        <f t="shared" si="40"/>
        <v>0.6</v>
      </c>
      <c r="AF129" s="177">
        <f t="shared" si="41"/>
        <v>6.4127672891873377E-2</v>
      </c>
      <c r="AG129" s="799">
        <f t="shared" si="49"/>
        <v>2</v>
      </c>
      <c r="AH129" s="176">
        <f t="shared" si="42"/>
        <v>8</v>
      </c>
      <c r="AI129" s="224">
        <f t="shared" si="43"/>
        <v>2.0641276728918734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'2025'!Wh/'2025'!Env_an*'2026'!Env_an</f>
        <v>54.659676662650227</v>
      </c>
      <c r="C130" s="829"/>
      <c r="D130" s="391">
        <f t="shared" si="25"/>
        <v>57.515101715097728</v>
      </c>
      <c r="E130" s="383">
        <f t="shared" si="47"/>
        <v>59.909642514364769</v>
      </c>
      <c r="F130" s="383">
        <f t="shared" si="26"/>
        <v>59.909778849647175</v>
      </c>
      <c r="G130" s="110">
        <f t="shared" si="48"/>
        <v>0.96682879079105033</v>
      </c>
      <c r="H130" s="412" t="b">
        <f>Wh_hp&gt;='2025'!Maxi_hp</f>
        <v>1</v>
      </c>
      <c r="I130" s="388">
        <f>IF(H130,Wh_hp,'2025'!Maxi_hp)</f>
        <v>59.909778849647175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4.9646527038966326E-2</v>
      </c>
      <c r="M130" s="832"/>
      <c r="N130" s="832"/>
      <c r="O130" s="48">
        <f>IF(t&lt;Tnet,'2025'!Resal+('2025'!Salim-'2025'!Resal)*(1-EXP(('2025'!Tnet-t)/('2025'!Tau_j))),Resal+(Salim-Resal)*(1-EXP((Tnet-t)/(Tau_j))))*Salcycl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2.3888791054218317E-6</v>
      </c>
      <c r="Q130" s="304">
        <f t="shared" si="28"/>
        <v>0.6</v>
      </c>
      <c r="R130" s="177">
        <f t="shared" si="29"/>
        <v>0.54152206329575381</v>
      </c>
      <c r="S130" s="799">
        <f t="shared" si="30"/>
        <v>-2</v>
      </c>
      <c r="T130" s="176">
        <f t="shared" si="31"/>
        <v>4</v>
      </c>
      <c r="U130" s="250">
        <f t="shared" si="32"/>
        <v>-1.4584779367042462</v>
      </c>
      <c r="V130" s="382">
        <f t="shared" si="33"/>
        <v>56.535004951913237</v>
      </c>
      <c r="W130" s="400">
        <f t="shared" si="34"/>
        <v>54.659676662650227</v>
      </c>
      <c r="X130" s="157">
        <f t="shared" si="35"/>
        <v>46138</v>
      </c>
      <c r="Y130" s="383">
        <f t="shared" si="36"/>
        <v>52.499019764425519</v>
      </c>
      <c r="Z130" s="383">
        <f t="shared" si="37"/>
        <v>55.241571960434221</v>
      </c>
      <c r="AA130" s="384">
        <f t="shared" si="38"/>
        <v>59.881413422768155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7.7483833415491324E-2</v>
      </c>
      <c r="AD130" s="230">
        <f>(INDEX(Models!$BJ130:$BT130,,AH130)*(1-AF130)+INDEX(Models!$BJ130:$BT130,,AH130+1)*AF130-ERP_i)*AE130*Ramure*Pc/MaxiM</f>
        <v>4.9702156616894002E-4</v>
      </c>
      <c r="AE130" s="304">
        <f t="shared" si="40"/>
        <v>0.6</v>
      </c>
      <c r="AF130" s="177">
        <f t="shared" si="41"/>
        <v>6.6509629669732284E-2</v>
      </c>
      <c r="AG130" s="799">
        <f t="shared" si="49"/>
        <v>2</v>
      </c>
      <c r="AH130" s="176">
        <f t="shared" si="42"/>
        <v>8</v>
      </c>
      <c r="AI130" s="224">
        <f t="shared" si="43"/>
        <v>2.0665096296697323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'2025'!Wh/'2025'!Env_an*'2026'!Env_an</f>
        <v>39.677442096199798</v>
      </c>
      <c r="C131" s="829"/>
      <c r="D131" s="391">
        <f t="shared" si="25"/>
        <v>41.750994391879203</v>
      </c>
      <c r="E131" s="383">
        <f t="shared" si="47"/>
        <v>43.493362584312941</v>
      </c>
      <c r="F131" s="383">
        <f t="shared" si="26"/>
        <v>43.493424228291971</v>
      </c>
      <c r="G131" s="110">
        <f t="shared" si="48"/>
        <v>0.70013796665650019</v>
      </c>
      <c r="H131" s="412" t="b">
        <f>Wh_hp&gt;='2025'!Maxi_hp</f>
        <v>1</v>
      </c>
      <c r="I131" s="388">
        <f>IF(H131,Wh_hp,'2025'!Maxi_hp)</f>
        <v>43.493424228291971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4.9664740346465175E-2</v>
      </c>
      <c r="M131" s="832"/>
      <c r="N131" s="832"/>
      <c r="O131" s="48">
        <f>IF(t&lt;Tnet,'2025'!Resal+('2025'!Salim-'2025'!Resal)*(1-EXP(('2025'!Tnet-t)/('2025'!Tau_j))),Resal+(Salim-Resal)*(1-EXP((Tnet-t)/(Tau_j))))*Salcycl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2.4794453201705641E-6</v>
      </c>
      <c r="Q131" s="304">
        <f t="shared" si="28"/>
        <v>0.6</v>
      </c>
      <c r="R131" s="177">
        <f t="shared" si="29"/>
        <v>0.54397636428288876</v>
      </c>
      <c r="S131" s="799">
        <f t="shared" si="30"/>
        <v>-2</v>
      </c>
      <c r="T131" s="176">
        <f t="shared" si="31"/>
        <v>4</v>
      </c>
      <c r="U131" s="250">
        <f t="shared" si="32"/>
        <v>-1.4560236357171112</v>
      </c>
      <c r="V131" s="382">
        <f t="shared" si="33"/>
        <v>56.670830383749511</v>
      </c>
      <c r="W131" s="400">
        <f t="shared" si="34"/>
        <v>39.677442096199798</v>
      </c>
      <c r="X131" s="157">
        <f t="shared" si="35"/>
        <v>46139</v>
      </c>
      <c r="Y131" s="383">
        <f t="shared" si="36"/>
        <v>38.117140992650619</v>
      </c>
      <c r="Z131" s="383">
        <f t="shared" si="37"/>
        <v>40.10915159198349</v>
      </c>
      <c r="AA131" s="384">
        <f t="shared" si="38"/>
        <v>43.481294950209652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7.7553885230133873E-2</v>
      </c>
      <c r="AD131" s="230">
        <f>(INDEX(Models!$BJ131:$BT131,,AH131)*(1-AF131)+INDEX(Models!$BJ131:$BT131,,AH131+1)*AF131-ERP_i)*AE131*Ramure*Pc/MaxiM</f>
        <v>4.8786405826527039E-4</v>
      </c>
      <c r="AE131" s="304">
        <f t="shared" si="40"/>
        <v>0.6</v>
      </c>
      <c r="AF131" s="177">
        <f t="shared" si="41"/>
        <v>6.8963930656867234E-2</v>
      </c>
      <c r="AG131" s="799">
        <f t="shared" si="49"/>
        <v>2</v>
      </c>
      <c r="AH131" s="176">
        <f t="shared" si="42"/>
        <v>8</v>
      </c>
      <c r="AI131" s="224">
        <f t="shared" si="43"/>
        <v>2.0689639306568672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'2025'!Wh/'2025'!Env_an*'2026'!Env_an</f>
        <v>23.907162307526907</v>
      </c>
      <c r="C132" s="829"/>
      <c r="D132" s="391">
        <f t="shared" si="25"/>
        <v>25.15703826493343</v>
      </c>
      <c r="E132" s="383">
        <f t="shared" si="47"/>
        <v>26.209410388743144</v>
      </c>
      <c r="F132" s="383">
        <f t="shared" si="26"/>
        <v>26.209422027479032</v>
      </c>
      <c r="G132" s="110">
        <f t="shared" si="48"/>
        <v>0.42089602151116867</v>
      </c>
      <c r="H132" s="412" t="b">
        <f>Wh_hp&gt;='2025'!Maxi_hp</f>
        <v>0</v>
      </c>
      <c r="I132" s="388">
        <f>IF(H132,Wh_hp,'2025'!Maxi_hp)</f>
        <v>46.721279625112096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4.9682953304910127E-2</v>
      </c>
      <c r="M132" s="832"/>
      <c r="N132" s="832"/>
      <c r="O132" s="48">
        <f>IF(t&lt;Tnet,'2025'!Resal+('2025'!Salim-'2025'!Resal)*(1-EXP(('2025'!Tnet-t)/('2025'!Tau_j))),Resal+(Salim-Resal)*(1-EXP((Tnet-t)/(Tau_j))))*Salcycl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2.5711723190259989E-6</v>
      </c>
      <c r="Q132" s="304">
        <f t="shared" si="28"/>
        <v>0.6</v>
      </c>
      <c r="R132" s="177">
        <f t="shared" si="29"/>
        <v>0.54650418832576597</v>
      </c>
      <c r="S132" s="799">
        <f t="shared" si="30"/>
        <v>-2</v>
      </c>
      <c r="T132" s="176">
        <f t="shared" si="31"/>
        <v>4</v>
      </c>
      <c r="U132" s="250">
        <f t="shared" si="32"/>
        <v>-1.453495811674234</v>
      </c>
      <c r="V132" s="382">
        <f t="shared" si="33"/>
        <v>56.80051659460652</v>
      </c>
      <c r="W132" s="400">
        <f t="shared" si="34"/>
        <v>23.907162307526907</v>
      </c>
      <c r="X132" s="157">
        <f t="shared" si="35"/>
        <v>46140</v>
      </c>
      <c r="Y132" s="383">
        <f t="shared" si="36"/>
        <v>22.97193307921404</v>
      </c>
      <c r="Z132" s="383">
        <f t="shared" si="37"/>
        <v>24.172914880463683</v>
      </c>
      <c r="AA132" s="384">
        <f t="shared" si="38"/>
        <v>26.207253269483786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7.7625013506811336E-2</v>
      </c>
      <c r="AD132" s="230">
        <f>(INDEX(Models!$BJ132:$BT132,,AH132)*(1-AF132)+INDEX(Models!$BJ132:$BT132,,AH132+1)*AF132-ERP_i)*AE132*Ramure*Pc/MaxiM</f>
        <v>4.7911135512244599E-4</v>
      </c>
      <c r="AE132" s="304">
        <f t="shared" si="40"/>
        <v>0.6</v>
      </c>
      <c r="AF132" s="177">
        <f t="shared" si="41"/>
        <v>7.1491754699744892E-2</v>
      </c>
      <c r="AG132" s="799">
        <f t="shared" si="49"/>
        <v>2</v>
      </c>
      <c r="AH132" s="176">
        <f t="shared" si="42"/>
        <v>8</v>
      </c>
      <c r="AI132" s="224">
        <f t="shared" si="43"/>
        <v>2.0714917546997449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'2025'!Wh/'2025'!Env_an*'2026'!Env_an</f>
        <v>43.723233840860267</v>
      </c>
      <c r="C133" s="829"/>
      <c r="D133" s="391">
        <f t="shared" si="25"/>
        <v>46.00998367311221</v>
      </c>
      <c r="E133" s="383">
        <f t="shared" si="47"/>
        <v>47.93929596331013</v>
      </c>
      <c r="F133" s="383">
        <f t="shared" si="26"/>
        <v>47.939381372727588</v>
      </c>
      <c r="G133" s="110">
        <f t="shared" si="48"/>
        <v>0.76809684740199624</v>
      </c>
      <c r="H133" s="412" t="b">
        <f>Wh_hp&gt;='2025'!Maxi_hp</f>
        <v>0</v>
      </c>
      <c r="I133" s="388">
        <f>IF(H133,Wh_hp,'2025'!Maxi_hp)</f>
        <v>51.783140656081144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4.9701165914307843E-2</v>
      </c>
      <c r="M133" s="832"/>
      <c r="N133" s="832"/>
      <c r="O133" s="48">
        <f>IF(t&lt;Tnet,'2025'!Resal+('2025'!Salim-'2025'!Resal)*(1-EXP(('2025'!Tnet-t)/('2025'!Tau_j))),Resal+(Salim-Resal)*(1-EXP((Tnet-t)/(Tau_j))))*Salcycl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2.6642503352879954E-6</v>
      </c>
      <c r="Q133" s="304">
        <f t="shared" si="28"/>
        <v>0.6</v>
      </c>
      <c r="R133" s="177">
        <f t="shared" si="29"/>
        <v>0.54910665808689796</v>
      </c>
      <c r="S133" s="799">
        <f t="shared" si="30"/>
        <v>-2</v>
      </c>
      <c r="T133" s="176">
        <f t="shared" si="31"/>
        <v>4</v>
      </c>
      <c r="U133" s="250">
        <f t="shared" si="32"/>
        <v>-1.450893341913102</v>
      </c>
      <c r="V133" s="382">
        <f t="shared" si="33"/>
        <v>56.924065496317169</v>
      </c>
      <c r="W133" s="400">
        <f t="shared" si="34"/>
        <v>43.723233840860267</v>
      </c>
      <c r="X133" s="157">
        <f t="shared" si="35"/>
        <v>46141</v>
      </c>
      <c r="Y133" s="383">
        <f t="shared" si="36"/>
        <v>42.003879642460682</v>
      </c>
      <c r="Z133" s="383">
        <f t="shared" si="37"/>
        <v>44.200706278750445</v>
      </c>
      <c r="AA133" s="384">
        <f t="shared" si="38"/>
        <v>47.924290001053585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7.7697212044691211E-2</v>
      </c>
      <c r="AD133" s="230">
        <f>(INDEX(Models!$BJ133:$BT133,,AH133)*(1-AF133)+INDEX(Models!$BJ133:$BT133,,AH133+1)*AF133-ERP_i)*AE133*Ramure*Pc/MaxiM</f>
        <v>4.7075829856258524E-4</v>
      </c>
      <c r="AE133" s="304">
        <f t="shared" si="40"/>
        <v>0.6</v>
      </c>
      <c r="AF133" s="177">
        <f t="shared" si="41"/>
        <v>7.4094224460876656E-2</v>
      </c>
      <c r="AG133" s="799">
        <f t="shared" si="49"/>
        <v>2</v>
      </c>
      <c r="AH133" s="176">
        <f t="shared" si="42"/>
        <v>8</v>
      </c>
      <c r="AI133" s="224">
        <f t="shared" si="43"/>
        <v>2.0740942244608767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'2025'!Wh/'2025'!Env_an*'2026'!Env_an</f>
        <v>46.28299043113757</v>
      </c>
      <c r="C134" s="829"/>
      <c r="D134" s="391">
        <f t="shared" si="25"/>
        <v>48.704550390847132</v>
      </c>
      <c r="E134" s="383">
        <f t="shared" si="47"/>
        <v>50.751770198980999</v>
      </c>
      <c r="F134" s="383">
        <f t="shared" si="26"/>
        <v>50.75187249084177</v>
      </c>
      <c r="G134" s="110">
        <f t="shared" si="48"/>
        <v>0.81139123267680746</v>
      </c>
      <c r="H134" s="412" t="b">
        <f>Wh_hp&gt;='2025'!Maxi_hp</f>
        <v>0</v>
      </c>
      <c r="I134" s="388">
        <f>IF(H134,Wh_hp,'2025'!Maxi_hp)</f>
        <v>61.648626642094747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4.9719378174665096E-2</v>
      </c>
      <c r="M134" s="832"/>
      <c r="N134" s="832"/>
      <c r="O134" s="48">
        <f>IF(t&lt;Tnet,'2025'!Resal+('2025'!Salim-'2025'!Resal)*(1-EXP(('2025'!Tnet-t)/('2025'!Tau_j))),Resal+(Salim-Resal)*(1-EXP((Tnet-t)/(Tau_j))))*Salcycl</f>
        <v>4.0337899547294519E-2</v>
      </c>
      <c r="P134" s="169">
        <f>(INDEX(Models!$BJ134:$BT134,,T134)*(1-R134)+INDEX(Models!$BJ134:$BT134,,T134+1)*R134-ERP_i)*Q134*Ramure*Pc/MaxiM</f>
        <v>2.758882842316079E-6</v>
      </c>
      <c r="Q134" s="304">
        <f t="shared" si="28"/>
        <v>0.6</v>
      </c>
      <c r="R134" s="177">
        <f t="shared" si="29"/>
        <v>0.55178483374417731</v>
      </c>
      <c r="S134" s="799">
        <f t="shared" si="30"/>
        <v>-2</v>
      </c>
      <c r="T134" s="176">
        <f t="shared" si="31"/>
        <v>4</v>
      </c>
      <c r="U134" s="250">
        <f t="shared" si="32"/>
        <v>-1.4482151662558227</v>
      </c>
      <c r="V134" s="382">
        <f t="shared" si="33"/>
        <v>57.041479082453527</v>
      </c>
      <c r="W134" s="400">
        <f t="shared" si="34"/>
        <v>46.28299043113757</v>
      </c>
      <c r="X134" s="157">
        <f t="shared" si="35"/>
        <v>46142</v>
      </c>
      <c r="Y134" s="383">
        <f t="shared" si="36"/>
        <v>44.462728003731861</v>
      </c>
      <c r="Z134" s="383">
        <f t="shared" si="37"/>
        <v>46.789050499973548</v>
      </c>
      <c r="AA134" s="384">
        <f t="shared" si="38"/>
        <v>50.734713109430622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7.7770472476046154E-2</v>
      </c>
      <c r="AD134" s="230">
        <f>(INDEX(Models!$BJ134:$BT134,,AH134)*(1-AF134)+INDEX(Models!$BJ134:$BT134,,AH134+1)*AF134-ERP_i)*AE134*Ramure*Pc/MaxiM</f>
        <v>4.6280048678542829E-4</v>
      </c>
      <c r="AE134" s="304">
        <f t="shared" si="40"/>
        <v>0.6</v>
      </c>
      <c r="AF134" s="177">
        <f t="shared" si="41"/>
        <v>7.6772400118156003E-2</v>
      </c>
      <c r="AG134" s="799">
        <f t="shared" si="49"/>
        <v>2</v>
      </c>
      <c r="AH134" s="176">
        <f t="shared" si="42"/>
        <v>8</v>
      </c>
      <c r="AI134" s="224">
        <f t="shared" si="43"/>
        <v>2.076772400118156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'2025'!Wh/'2025'!Env_an*'2026'!Env_an</f>
        <v>46.829593059999155</v>
      </c>
      <c r="C135" s="829"/>
      <c r="D135" s="391">
        <f t="shared" si="25"/>
        <v>49.280696122912758</v>
      </c>
      <c r="E135" s="383">
        <f t="shared" si="47"/>
        <v>51.357139278078215</v>
      </c>
      <c r="F135" s="383">
        <f t="shared" si="26"/>
        <v>51.357248083958233</v>
      </c>
      <c r="G135" s="110">
        <f t="shared" si="48"/>
        <v>0.81938772141346461</v>
      </c>
      <c r="H135" s="412" t="b">
        <f>Wh_hp&gt;='2025'!Maxi_hp</f>
        <v>0</v>
      </c>
      <c r="I135" s="388">
        <f>IF(H135,Wh_hp,'2025'!Maxi_hp)</f>
        <v>57.098058064772587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4.9737590085988548E-2</v>
      </c>
      <c r="M135" s="832"/>
      <c r="N135" s="832"/>
      <c r="O135" s="48">
        <f>IF(t&lt;Tnet,'2025'!Resal+('2025'!Salim-'2025'!Resal)*(1-EXP(('2025'!Tnet-t)/('2025'!Tau_j))),Resal+(Salim-Resal)*(1-EXP((Tnet-t)/(Tau_j))))*Salcycl</f>
        <v>4.0431441165800761E-2</v>
      </c>
      <c r="P135" s="169">
        <f>(INDEX(Models!$BJ135:$BT135,,T135)*(1-R135)+INDEX(Models!$BJ135:$BT135,,T135+1)*R135-ERP_i)*Q135*Ramure*Pc/MaxiM</f>
        <v>2.8553311162054633E-6</v>
      </c>
      <c r="Q135" s="304">
        <f t="shared" si="28"/>
        <v>0.6</v>
      </c>
      <c r="R135" s="177">
        <f t="shared" si="29"/>
        <v>0.55453970650223727</v>
      </c>
      <c r="S135" s="799">
        <f t="shared" si="30"/>
        <v>-2</v>
      </c>
      <c r="T135" s="176">
        <f t="shared" si="31"/>
        <v>4</v>
      </c>
      <c r="U135" s="250">
        <f t="shared" si="32"/>
        <v>-1.4454602934977627</v>
      </c>
      <c r="V135" s="382">
        <f t="shared" si="33"/>
        <v>57.151891998946766</v>
      </c>
      <c r="W135" s="400">
        <f t="shared" si="34"/>
        <v>46.829593059999155</v>
      </c>
      <c r="X135" s="157">
        <f t="shared" si="35"/>
        <v>46143</v>
      </c>
      <c r="Y135" s="383">
        <f t="shared" si="36"/>
        <v>44.988612594665319</v>
      </c>
      <c r="Z135" s="383">
        <f t="shared" si="37"/>
        <v>47.343357082530822</v>
      </c>
      <c r="AA135" s="384">
        <f t="shared" si="38"/>
        <v>51.339900562446338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7.7844784195762018E-2</v>
      </c>
      <c r="AD135" s="230">
        <f>(INDEX(Models!$BJ135:$BT135,,AH135)*(1-AF135)+INDEX(Models!$BJ135:$BT135,,AH135+1)*AF135-ERP_i)*AE135*Ramure*Pc/MaxiM</f>
        <v>4.5524118688882776E-4</v>
      </c>
      <c r="AE135" s="304">
        <f t="shared" si="40"/>
        <v>0.6</v>
      </c>
      <c r="AF135" s="177">
        <f t="shared" si="41"/>
        <v>7.9527272876215971E-2</v>
      </c>
      <c r="AG135" s="799">
        <f t="shared" si="49"/>
        <v>2</v>
      </c>
      <c r="AH135" s="176">
        <f t="shared" si="42"/>
        <v>8</v>
      </c>
      <c r="AI135" s="224">
        <f t="shared" si="43"/>
        <v>2.079527272876216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'2025'!Wh/'2025'!Env_an*'2026'!Env_an</f>
        <v>27.76506470564858</v>
      </c>
      <c r="C136" s="829"/>
      <c r="D136" s="391">
        <f t="shared" si="25"/>
        <v>29.218873163140177</v>
      </c>
      <c r="E136" s="383">
        <f t="shared" si="47"/>
        <v>30.452996778522003</v>
      </c>
      <c r="F136" s="383">
        <f t="shared" si="26"/>
        <v>30.453020557932881</v>
      </c>
      <c r="G136" s="110">
        <f t="shared" si="48"/>
        <v>0.48493837770695525</v>
      </c>
      <c r="H136" s="412" t="b">
        <f>Wh_hp&gt;='2025'!Maxi_hp</f>
        <v>0</v>
      </c>
      <c r="I136" s="388">
        <f>IF(H136,Wh_hp,'2025'!Maxi_hp)</f>
        <v>49.564429764978506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4.9755801648284859E-2</v>
      </c>
      <c r="M136" s="832"/>
      <c r="N136" s="832"/>
      <c r="O136" s="48">
        <f>IF(t&lt;Tnet,'2025'!Resal+('2025'!Salim-'2025'!Resal)*(1-EXP(('2025'!Tnet-t)/('2025'!Tau_j))),Resal+(Salim-Resal)*(1-EXP((Tnet-t)/(Tau_j))))*Salcycl</f>
        <v>4.052552280346456E-2</v>
      </c>
      <c r="P136" s="169">
        <f>(INDEX(Models!$BJ136:$BT136,,T136)*(1-R136)+INDEX(Models!$BJ136:$BT136,,T136+1)*R136-ERP_i)*Q136*Ramure*Pc/MaxiM</f>
        <v>2.9555562901582043E-6</v>
      </c>
      <c r="Q136" s="304">
        <f t="shared" si="28"/>
        <v>0.6</v>
      </c>
      <c r="R136" s="177">
        <f t="shared" si="29"/>
        <v>0.55737219193767218</v>
      </c>
      <c r="S136" s="799">
        <f t="shared" si="30"/>
        <v>-2</v>
      </c>
      <c r="T136" s="176">
        <f t="shared" si="31"/>
        <v>4</v>
      </c>
      <c r="U136" s="250">
        <f t="shared" si="32"/>
        <v>-1.4426278080623278</v>
      </c>
      <c r="V136" s="382">
        <f t="shared" si="33"/>
        <v>57.254706167375254</v>
      </c>
      <c r="W136" s="400">
        <f t="shared" si="34"/>
        <v>27.76506470564858</v>
      </c>
      <c r="X136" s="157">
        <f t="shared" si="35"/>
        <v>46144</v>
      </c>
      <c r="Y136" s="383">
        <f t="shared" si="36"/>
        <v>26.679807839982608</v>
      </c>
      <c r="Z136" s="383">
        <f t="shared" si="37"/>
        <v>28.076791088291998</v>
      </c>
      <c r="AA136" s="384">
        <f t="shared" si="38"/>
        <v>30.449413475459888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7.792013429355743E-2</v>
      </c>
      <c r="AD136" s="230">
        <f>(INDEX(Models!$BJ136:$BT136,,AH136)*(1-AF136)+INDEX(Models!$BJ136:$BT136,,AH136+1)*AF136-ERP_i)*AE136*Ramure*Pc/MaxiM</f>
        <v>4.4832629991254974E-4</v>
      </c>
      <c r="AE136" s="304">
        <f t="shared" si="40"/>
        <v>0.6</v>
      </c>
      <c r="AF136" s="177">
        <f t="shared" si="41"/>
        <v>8.2359758311651099E-2</v>
      </c>
      <c r="AG136" s="799">
        <f t="shared" si="49"/>
        <v>2</v>
      </c>
      <c r="AH136" s="176">
        <f t="shared" si="42"/>
        <v>8</v>
      </c>
      <c r="AI136" s="224">
        <f t="shared" si="43"/>
        <v>2.0823597583116511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'2025'!Wh/'2025'!Env_an*'2026'!Env_an</f>
        <v>38.753689417322292</v>
      </c>
      <c r="C137" s="829"/>
      <c r="D137" s="391">
        <f t="shared" si="25"/>
        <v>40.783655616520441</v>
      </c>
      <c r="E137" s="383">
        <f t="shared" si="47"/>
        <v>42.510435397117469</v>
      </c>
      <c r="F137" s="383">
        <f t="shared" si="26"/>
        <v>42.510505171716446</v>
      </c>
      <c r="G137" s="110">
        <f t="shared" si="48"/>
        <v>0.67573522342459524</v>
      </c>
      <c r="H137" s="412" t="b">
        <f>Wh_hp&gt;='2025'!Maxi_hp</f>
        <v>0</v>
      </c>
      <c r="I137" s="388">
        <f>IF(H137,Wh_hp,'2025'!Maxi_hp)</f>
        <v>61.404519088032231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4.977401286156069E-2</v>
      </c>
      <c r="M137" s="832"/>
      <c r="N137" s="832"/>
      <c r="O137" s="48">
        <f>IF(t&lt;Tnet,'2025'!Resal+('2025'!Salim-'2025'!Resal)*(1-EXP(('2025'!Tnet-t)/('2025'!Tau_j))),Resal+(Salim-Resal)*(1-EXP((Tnet-t)/(Tau_j))))*Salcycl</f>
        <v>4.0620138666331199E-2</v>
      </c>
      <c r="P137" s="169">
        <f>(INDEX(Models!$BJ137:$BT137,,T137)*(1-R137)+INDEX(Models!$BJ137:$BT137,,T137+1)*R137-ERP_i)*Q137*Ramure*Pc/MaxiM</f>
        <v>3.0578495009238217E-6</v>
      </c>
      <c r="Q137" s="304">
        <f t="shared" si="28"/>
        <v>0.6</v>
      </c>
      <c r="R137" s="177">
        <f t="shared" si="29"/>
        <v>0.56028312320323614</v>
      </c>
      <c r="S137" s="799">
        <f t="shared" si="30"/>
        <v>-2</v>
      </c>
      <c r="T137" s="176">
        <f t="shared" si="31"/>
        <v>4</v>
      </c>
      <c r="U137" s="250">
        <f t="shared" si="32"/>
        <v>-1.4397168767967639</v>
      </c>
      <c r="V137" s="382">
        <f t="shared" si="33"/>
        <v>57.350324771042402</v>
      </c>
      <c r="W137" s="400">
        <f t="shared" si="34"/>
        <v>38.753689417322292</v>
      </c>
      <c r="X137" s="157">
        <f t="shared" si="35"/>
        <v>46145</v>
      </c>
      <c r="Y137" s="383">
        <f t="shared" si="36"/>
        <v>37.235116117373686</v>
      </c>
      <c r="Z137" s="383">
        <f t="shared" si="37"/>
        <v>39.185537568284659</v>
      </c>
      <c r="AA137" s="384">
        <f t="shared" si="38"/>
        <v>42.500422055450223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7.7996507489752481E-2</v>
      </c>
      <c r="AD137" s="230">
        <f>(INDEX(Models!$BJ137:$BT137,,AH137)*(1-AF137)+INDEX(Models!$BJ137:$BT137,,AH137+1)*AF137-ERP_i)*AE137*Ramure*Pc/MaxiM</f>
        <v>4.4188934788811133E-4</v>
      </c>
      <c r="AE137" s="304">
        <f t="shared" si="40"/>
        <v>0.6</v>
      </c>
      <c r="AF137" s="177">
        <f t="shared" si="41"/>
        <v>8.5270689577214842E-2</v>
      </c>
      <c r="AG137" s="799">
        <f t="shared" si="49"/>
        <v>2</v>
      </c>
      <c r="AH137" s="176">
        <f t="shared" si="42"/>
        <v>8</v>
      </c>
      <c r="AI137" s="224">
        <f t="shared" si="43"/>
        <v>2.0852706895772148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'2025'!Wh/'2025'!Env_an*'2026'!Env_an</f>
        <v>20.985561442746729</v>
      </c>
      <c r="C138" s="829"/>
      <c r="D138" s="391">
        <f t="shared" si="25"/>
        <v>22.08523437372024</v>
      </c>
      <c r="E138" s="383">
        <f t="shared" si="47"/>
        <v>23.022606272237464</v>
      </c>
      <c r="F138" s="383">
        <f t="shared" si="26"/>
        <v>23.022613069568816</v>
      </c>
      <c r="G138" s="110">
        <f t="shared" si="48"/>
        <v>0.36535187209402603</v>
      </c>
      <c r="H138" s="412" t="b">
        <f>Wh_hp&gt;='2025'!Maxi_hp</f>
        <v>0</v>
      </c>
      <c r="I138" s="388">
        <f>IF(H138,Wh_hp,'2025'!Maxi_hp)</f>
        <v>54.000058250195806</v>
      </c>
      <c r="J138" s="85">
        <f>IF(H138,An,'2025'!An_max)</f>
        <v>2021</v>
      </c>
      <c r="K138" s="197">
        <f t="shared" si="27"/>
        <v>46146</v>
      </c>
      <c r="L138" s="147">
        <f>IF(t&lt;Tvie,1-EXP((T0-t)*PertePVj)+'2025'!Pspv,1-EXP((T0-t)*PertePVj)+Pspv)</f>
        <v>4.9792223725822815E-2</v>
      </c>
      <c r="M138" s="832"/>
      <c r="N138" s="832"/>
      <c r="O138" s="48">
        <f>IF(t&lt;Tnet,'2025'!Resal+('2025'!Salim-'2025'!Resal)*(1-EXP(('2025'!Tnet-t)/('2025'!Tau_j))),Resal+(Salim-Resal)*(1-EXP((Tnet-t)/(Tau_j))))*Salcycl</f>
        <v>4.0715281642443139E-2</v>
      </c>
      <c r="P138" s="169">
        <f>(INDEX(Models!$BJ138:$BT138,,T138)*(1-R138)+INDEX(Models!$BJ138:$BT138,,T138+1)*R138-ERP_i)*Q138*Ramure*Pc/MaxiM</f>
        <v>3.162400517850552E-6</v>
      </c>
      <c r="Q138" s="304">
        <f t="shared" si="28"/>
        <v>0.6</v>
      </c>
      <c r="R138" s="177">
        <f t="shared" si="29"/>
        <v>0.56327324411952651</v>
      </c>
      <c r="S138" s="799">
        <f t="shared" si="30"/>
        <v>-2</v>
      </c>
      <c r="T138" s="176">
        <f t="shared" si="31"/>
        <v>4</v>
      </c>
      <c r="U138" s="250">
        <f t="shared" si="32"/>
        <v>-1.4367267558804735</v>
      </c>
      <c r="V138" s="382">
        <f t="shared" si="33"/>
        <v>57.439150793452328</v>
      </c>
      <c r="W138" s="400">
        <f t="shared" si="34"/>
        <v>20.985561442746729</v>
      </c>
      <c r="X138" s="157">
        <f t="shared" si="35"/>
        <v>46146</v>
      </c>
      <c r="Y138" s="383">
        <f t="shared" si="36"/>
        <v>20.167480046456546</v>
      </c>
      <c r="Z138" s="383">
        <f t="shared" si="37"/>
        <v>21.224284361820811</v>
      </c>
      <c r="AA138" s="384">
        <f t="shared" si="38"/>
        <v>23.021676077133051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7.807388607546048E-2</v>
      </c>
      <c r="AD138" s="230">
        <f>(INDEX(Models!$BJ138:$BT138,,AH138)*(1-AF138)+INDEX(Models!$BJ138:$BT138,,AH138+1)*AF138-ERP_i)*AE138*Ramure*Pc/MaxiM</f>
        <v>4.3592775011030304E-4</v>
      </c>
      <c r="AE138" s="304">
        <f t="shared" si="40"/>
        <v>0.6</v>
      </c>
      <c r="AF138" s="177">
        <f t="shared" si="41"/>
        <v>8.8260810493505204E-2</v>
      </c>
      <c r="AG138" s="799">
        <f t="shared" si="49"/>
        <v>2</v>
      </c>
      <c r="AH138" s="176">
        <f t="shared" si="42"/>
        <v>8</v>
      </c>
      <c r="AI138" s="224">
        <f t="shared" si="43"/>
        <v>2.0882608104935052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'2025'!Wh/'2025'!Env_an*'2026'!Env_an</f>
        <v>43.048425233651173</v>
      </c>
      <c r="C139" s="829"/>
      <c r="D139" s="391">
        <f t="shared" si="25"/>
        <v>45.305091515363188</v>
      </c>
      <c r="E139" s="383">
        <f t="shared" si="47"/>
        <v>47.232702664043387</v>
      </c>
      <c r="F139" s="383">
        <f t="shared" si="26"/>
        <v>47.23280158048064</v>
      </c>
      <c r="G139" s="110">
        <f t="shared" si="48"/>
        <v>0.74838641948521667</v>
      </c>
      <c r="H139" s="412" t="b">
        <f>Wh_hp&gt;='2025'!Maxi_hp</f>
        <v>0</v>
      </c>
      <c r="I139" s="388">
        <f>IF(H139,Wh_hp,'2025'!Maxi_hp)</f>
        <v>59.96671405061354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4.9810434241077894E-2</v>
      </c>
      <c r="M139" s="832"/>
      <c r="N139" s="832"/>
      <c r="O139" s="48">
        <f>IF(t&lt;Tnet,'2025'!Resal+('2025'!Salim-'2025'!Resal)*(1-EXP(('2025'!Tnet-t)/('2025'!Tau_j))),Resal+(Salim-Resal)*(1-EXP((Tnet-t)/(Tau_j))))*Salcycl</f>
        <v>4.0810943265112351E-2</v>
      </c>
      <c r="P139" s="169">
        <f>(INDEX(Models!$BJ139:$BT139,,T139)*(1-R139)+INDEX(Models!$BJ139:$BT139,,T139+1)*R139-ERP_i)*Q139*Ramure*Pc/MaxiM</f>
        <v>3.2694108322433503E-6</v>
      </c>
      <c r="Q139" s="304">
        <f t="shared" si="28"/>
        <v>0.6</v>
      </c>
      <c r="R139" s="177">
        <f t="shared" si="29"/>
        <v>0.56634320218610279</v>
      </c>
      <c r="S139" s="799">
        <f t="shared" si="30"/>
        <v>-2</v>
      </c>
      <c r="T139" s="176">
        <f t="shared" si="31"/>
        <v>4</v>
      </c>
      <c r="U139" s="250">
        <f t="shared" si="32"/>
        <v>-1.4336567978138972</v>
      </c>
      <c r="V139" s="382">
        <f t="shared" si="33"/>
        <v>57.521587141508604</v>
      </c>
      <c r="W139" s="400">
        <f t="shared" si="34"/>
        <v>43.048425233651173</v>
      </c>
      <c r="X139" s="157">
        <f t="shared" si="35"/>
        <v>46147</v>
      </c>
      <c r="Y139" s="383">
        <f t="shared" si="36"/>
        <v>41.361225990449412</v>
      </c>
      <c r="Z139" s="383">
        <f t="shared" si="37"/>
        <v>43.529446629330174</v>
      </c>
      <c r="AA139" s="384">
        <f t="shared" si="38"/>
        <v>47.219778561730884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7.8152249858103526E-2</v>
      </c>
      <c r="AD139" s="230">
        <f>(INDEX(Models!$BJ139:$BT139,,AH139)*(1-AF139)+INDEX(Models!$BJ139:$BT139,,AH139+1)*AF139-ERP_i)*AE139*Ramure*Pc/MaxiM</f>
        <v>4.3044007397838525E-4</v>
      </c>
      <c r="AE139" s="304">
        <f t="shared" si="40"/>
        <v>0.6</v>
      </c>
      <c r="AF139" s="177">
        <f t="shared" si="41"/>
        <v>9.1330768560081488E-2</v>
      </c>
      <c r="AG139" s="799">
        <f t="shared" si="49"/>
        <v>2</v>
      </c>
      <c r="AH139" s="176">
        <f t="shared" si="42"/>
        <v>8</v>
      </c>
      <c r="AI139" s="224">
        <f t="shared" si="43"/>
        <v>2.0913307685600815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'2025'!Wh/'2025'!Env_an*'2026'!Env_an</f>
        <v>37.776758319118215</v>
      </c>
      <c r="C140" s="829"/>
      <c r="D140" s="391">
        <f t="shared" si="25"/>
        <v>39.757837464543478</v>
      </c>
      <c r="E140" s="383">
        <f t="shared" si="47"/>
        <v>41.453583934985282</v>
      </c>
      <c r="F140" s="383">
        <f t="shared" si="26"/>
        <v>41.453655147303913</v>
      </c>
      <c r="G140" s="110">
        <f t="shared" si="48"/>
        <v>0.65586776512842515</v>
      </c>
      <c r="H140" s="412" t="b">
        <f>Wh_hp&gt;='2025'!Maxi_hp</f>
        <v>0</v>
      </c>
      <c r="I140" s="388">
        <f>IF(H140,Wh_hp,'2025'!Maxi_hp)</f>
        <v>63.959766591204975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4.982864440733259E-2</v>
      </c>
      <c r="M140" s="832"/>
      <c r="N140" s="832"/>
      <c r="O140" s="48">
        <f>IF(t&lt;Tnet,'2025'!Resal+('2025'!Salim-'2025'!Resal)*(1-EXP(('2025'!Tnet-t)/('2025'!Tau_j))),Resal+(Salim-Resal)*(1-EXP((Tnet-t)/(Tau_j))))*Salcycl</f>
        <v>4.0907113679274923E-2</v>
      </c>
      <c r="P140" s="169">
        <f>(INDEX(Models!$BJ140:$BT140,,T140)*(1-R140)+INDEX(Models!$BJ140:$BT140,,T140+1)*R140-ERP_i)*Q140*Ramure*Pc/MaxiM</f>
        <v>3.3790946412142014E-6</v>
      </c>
      <c r="Q140" s="304">
        <f t="shared" si="28"/>
        <v>0.6</v>
      </c>
      <c r="R140" s="177">
        <f t="shared" si="29"/>
        <v>0.56949354154744425</v>
      </c>
      <c r="S140" s="799">
        <f t="shared" si="30"/>
        <v>-2</v>
      </c>
      <c r="T140" s="176">
        <f t="shared" si="31"/>
        <v>4</v>
      </c>
      <c r="U140" s="250">
        <f t="shared" si="32"/>
        <v>-1.4305064584525558</v>
      </c>
      <c r="V140" s="382">
        <f t="shared" si="33"/>
        <v>57.598036635068581</v>
      </c>
      <c r="W140" s="400">
        <f t="shared" si="34"/>
        <v>37.776758319118215</v>
      </c>
      <c r="X140" s="157">
        <f t="shared" si="35"/>
        <v>46148</v>
      </c>
      <c r="Y140" s="383">
        <f t="shared" si="36"/>
        <v>36.298832060523203</v>
      </c>
      <c r="Z140" s="383">
        <f t="shared" si="37"/>
        <v>38.202406173233754</v>
      </c>
      <c r="AA140" s="384">
        <f t="shared" si="38"/>
        <v>41.44468955895158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7.8231576113170068E-2</v>
      </c>
      <c r="AD140" s="230">
        <f>(INDEX(Models!$BJ140:$BT140,,AH140)*(1-AF140)+INDEX(Models!$BJ140:$BT140,,AH140+1)*AF140-ERP_i)*AE140*Ramure*Pc/MaxiM</f>
        <v>4.2542599565364823E-4</v>
      </c>
      <c r="AE140" s="304">
        <f t="shared" si="40"/>
        <v>0.6</v>
      </c>
      <c r="AF140" s="177">
        <f t="shared" si="41"/>
        <v>9.4481107921422947E-2</v>
      </c>
      <c r="AG140" s="799">
        <f t="shared" si="49"/>
        <v>2</v>
      </c>
      <c r="AH140" s="176">
        <f t="shared" si="42"/>
        <v>8</v>
      </c>
      <c r="AI140" s="224">
        <f t="shared" si="43"/>
        <v>2.0944811079214229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'2025'!Wh/'2025'!Env_an*'2026'!Env_an</f>
        <v>51.681820197979818</v>
      </c>
      <c r="C141" s="829"/>
      <c r="D141" s="391">
        <f t="shared" si="25"/>
        <v>54.393147491821459</v>
      </c>
      <c r="E141" s="383">
        <f t="shared" si="47"/>
        <v>56.718834181870584</v>
      </c>
      <c r="F141" s="383">
        <f t="shared" si="26"/>
        <v>56.719002854133919</v>
      </c>
      <c r="G141" s="110">
        <f t="shared" si="48"/>
        <v>0.89618133222784213</v>
      </c>
      <c r="H141" s="412" t="b">
        <f>Wh_hp&gt;='2025'!Maxi_hp</f>
        <v>0</v>
      </c>
      <c r="I141" s="388">
        <f>IF(H141,Wh_hp,'2025'!Maxi_hp)</f>
        <v>60.392486037860046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4.9846854224593562E-2</v>
      </c>
      <c r="M141" s="832"/>
      <c r="N141" s="832"/>
      <c r="O141" s="48">
        <f>IF(t&lt;Tnet,'2025'!Resal+('2025'!Salim-'2025'!Resal)*(1-EXP(('2025'!Tnet-t)/('2025'!Tau_j))),Resal+(Salim-Resal)*(1-EXP((Tnet-t)/(Tau_j))))*Salcycl</f>
        <v>4.1003781611444003E-2</v>
      </c>
      <c r="P141" s="169">
        <f>(INDEX(Models!$BJ141:$BT141,,T141)*(1-R141)+INDEX(Models!$BJ141:$BT141,,T141+1)*R141-ERP_i)*Q141*Ramure*Pc/MaxiM</f>
        <v>3.4916798299750467E-6</v>
      </c>
      <c r="Q141" s="304">
        <f t="shared" si="28"/>
        <v>0.6</v>
      </c>
      <c r="R141" s="177">
        <f t="shared" si="29"/>
        <v>0.57272469595259645</v>
      </c>
      <c r="S141" s="799">
        <f t="shared" si="30"/>
        <v>-2</v>
      </c>
      <c r="T141" s="176">
        <f t="shared" si="31"/>
        <v>4</v>
      </c>
      <c r="U141" s="250">
        <f t="shared" si="32"/>
        <v>-1.4272753040474035</v>
      </c>
      <c r="V141" s="382">
        <f t="shared" si="33"/>
        <v>57.668902012976112</v>
      </c>
      <c r="W141" s="400">
        <f t="shared" si="34"/>
        <v>51.681820197979818</v>
      </c>
      <c r="X141" s="157">
        <f t="shared" si="35"/>
        <v>46149</v>
      </c>
      <c r="Y141" s="383">
        <f t="shared" si="36"/>
        <v>49.65357237527811</v>
      </c>
      <c r="Z141" s="383">
        <f t="shared" si="37"/>
        <v>52.258493902850297</v>
      </c>
      <c r="AA141" s="384">
        <f t="shared" si="38"/>
        <v>56.698671139430566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7.8311839543138598E-2</v>
      </c>
      <c r="AD141" s="230">
        <f>(INDEX(Models!$BJ141:$BT141,,AH141)*(1-AF141)+INDEX(Models!$BJ141:$BT141,,AH141+1)*AF141-ERP_i)*AE141*Ramure*Pc/MaxiM</f>
        <v>4.2088626035076545E-4</v>
      </c>
      <c r="AE141" s="304">
        <f t="shared" si="40"/>
        <v>0.6</v>
      </c>
      <c r="AF141" s="177">
        <f t="shared" si="41"/>
        <v>9.771226232657515E-2</v>
      </c>
      <c r="AG141" s="799">
        <f t="shared" si="49"/>
        <v>2</v>
      </c>
      <c r="AH141" s="176">
        <f t="shared" si="42"/>
        <v>8</v>
      </c>
      <c r="AI141" s="224">
        <f t="shared" si="43"/>
        <v>2.0977122623265751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'2025'!Wh/'2025'!Env_an*'2026'!Env_an</f>
        <v>47.656589700281309</v>
      </c>
      <c r="C142" s="829"/>
      <c r="D142" s="391">
        <f t="shared" si="25"/>
        <v>50.15770695213785</v>
      </c>
      <c r="E142" s="383">
        <f t="shared" si="47"/>
        <v>52.307598107640779</v>
      </c>
      <c r="F142" s="383">
        <f t="shared" si="26"/>
        <v>52.307739710477684</v>
      </c>
      <c r="G142" s="110">
        <f t="shared" si="48"/>
        <v>0.82544190857815158</v>
      </c>
      <c r="H142" s="412" t="b">
        <f>Wh_hp&gt;='2025'!Maxi_hp</f>
        <v>0</v>
      </c>
      <c r="I142" s="388">
        <f>IF(H142,Wh_hp,'2025'!Maxi_hp)</f>
        <v>59.443974291396984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4.9865063692867584E-2</v>
      </c>
      <c r="M142" s="832"/>
      <c r="N142" s="832"/>
      <c r="O142" s="48">
        <f>IF(t&lt;Tnet,'2025'!Resal+('2025'!Salim-'2025'!Resal)*(1-EXP(('2025'!Tnet-t)/('2025'!Tau_j))),Resal+(Salim-Resal)*(1-EXP((Tnet-t)/(Tau_j))))*Salcycl</f>
        <v>4.1100934343779164E-2</v>
      </c>
      <c r="P142" s="169">
        <f>(INDEX(Models!$BJ142:$BT142,,T142)*(1-R142)+INDEX(Models!$BJ142:$BT142,,T142+1)*R142-ERP_i)*Q142*Ramure*Pc/MaxiM</f>
        <v>3.606440056497199E-6</v>
      </c>
      <c r="Q142" s="304">
        <f t="shared" si="28"/>
        <v>0.6</v>
      </c>
      <c r="R142" s="177">
        <f t="shared" si="29"/>
        <v>0.57603698175072959</v>
      </c>
      <c r="S142" s="799">
        <f t="shared" si="30"/>
        <v>-2</v>
      </c>
      <c r="T142" s="176">
        <f t="shared" si="31"/>
        <v>4</v>
      </c>
      <c r="U142" s="250">
        <f t="shared" si="32"/>
        <v>-1.4239630182492704</v>
      </c>
      <c r="V142" s="382">
        <f t="shared" si="33"/>
        <v>57.734585978655289</v>
      </c>
      <c r="W142" s="400">
        <f t="shared" si="34"/>
        <v>47.656589700281309</v>
      </c>
      <c r="X142" s="157">
        <f t="shared" si="35"/>
        <v>46150</v>
      </c>
      <c r="Y142" s="383">
        <f t="shared" si="36"/>
        <v>45.788993598603376</v>
      </c>
      <c r="Z142" s="383">
        <f t="shared" si="37"/>
        <v>48.192095510739144</v>
      </c>
      <c r="AA142" s="384">
        <f t="shared" si="38"/>
        <v>52.291373818797176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7.8393012244487303E-2</v>
      </c>
      <c r="AD142" s="230">
        <f>(INDEX(Models!$BJ142:$BT142,,AH142)*(1-AF142)+INDEX(Models!$BJ142:$BT142,,AH142+1)*AF142-ERP_i)*AE142*Ramure*Pc/MaxiM</f>
        <v>4.1681797205285834E-4</v>
      </c>
      <c r="AE142" s="304">
        <f t="shared" si="40"/>
        <v>0.6</v>
      </c>
      <c r="AF142" s="177">
        <f t="shared" si="41"/>
        <v>0.10102454812470807</v>
      </c>
      <c r="AG142" s="799">
        <f t="shared" si="49"/>
        <v>2</v>
      </c>
      <c r="AH142" s="176">
        <f t="shared" si="42"/>
        <v>8</v>
      </c>
      <c r="AI142" s="224">
        <f t="shared" si="43"/>
        <v>2.1010245481247081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'2025'!Wh/'2025'!Env_an*'2026'!Env_an</f>
        <v>54.724472155154416</v>
      </c>
      <c r="C143" s="829"/>
      <c r="D143" s="391">
        <f t="shared" ref="D143:D206" si="50">Wh/(1-Ppv)</f>
        <v>57.597630469182711</v>
      </c>
      <c r="E143" s="383">
        <f t="shared" si="47"/>
        <v>60.072532150747044</v>
      </c>
      <c r="F143" s="383">
        <f t="shared" ref="F143:F206" si="51">Wh_sa/(1-Pvg*MEDIAN((-Sdif+Wh/Env_an)/Csdif,0,1))</f>
        <v>60.072738793091652</v>
      </c>
      <c r="G143" s="110">
        <f t="shared" si="48"/>
        <v>0.94686377056882964</v>
      </c>
      <c r="H143" s="412" t="b">
        <f>Wh_hp&gt;='2025'!Maxi_hp</f>
        <v>1</v>
      </c>
      <c r="I143" s="388">
        <f>IF(H143,Wh_hp,'2025'!Maxi_hp)</f>
        <v>60.072738793091652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4.9883272812161317E-2</v>
      </c>
      <c r="M143" s="832"/>
      <c r="N143" s="832"/>
      <c r="O143" s="48">
        <f>IF(t&lt;Tnet,'2025'!Resal+('2025'!Salim-'2025'!Resal)*(1-EXP(('2025'!Tnet-t)/('2025'!Tau_j))),Resal+(Salim-Resal)*(1-EXP((Tnet-t)/(Tau_j))))*Salcycl</f>
        <v>4.1198557692786728E-2</v>
      </c>
      <c r="P143" s="169">
        <f>(INDEX(Models!$BJ143:$BT143,,T143)*(1-R143)+INDEX(Models!$BJ143:$BT143,,T143+1)*R143-ERP_i)*Q143*Ramure*Pc/MaxiM</f>
        <v>3.722433267175137E-6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0.57943059096807481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-1.4205694090319252</v>
      </c>
      <c r="V143" s="382">
        <f t="shared" ref="V143:V206" si="58">MaxiM*(1-Ppv)*(1-Pvg)*(1-Psa)</f>
        <v>57.795491170855968</v>
      </c>
      <c r="W143" s="400">
        <f t="shared" ref="W143:W206" si="59">Wh*(A143&gt;Tmaj)</f>
        <v>54.724472155154416</v>
      </c>
      <c r="X143" s="157">
        <f t="shared" ref="X143:X206" si="60">t</f>
        <v>46151</v>
      </c>
      <c r="Y143" s="383">
        <f t="shared" ref="Y143:Y206" si="61">Wh_pvt_s*(1-Ppv)</f>
        <v>52.576990122340575</v>
      </c>
      <c r="Z143" s="383">
        <f t="shared" ref="Z143:Z206" si="62">Wh_sa_s*(1-Psa_s)</f>
        <v>55.337400782278905</v>
      </c>
      <c r="AA143" s="384">
        <f t="shared" ref="AA143:AA206" si="63">Wh_hp*(1-Pvg_s*MEDIAN((-Sdif+Wh/Env_an)/Csdif,0,1))</f>
        <v>60.049813739695423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7.847506368369328E-2</v>
      </c>
      <c r="AD143" s="230">
        <f>(INDEX(Models!$BJ143:$BT143,,AH143)*(1-AF143)+INDEX(Models!$BJ143:$BT143,,AH143+1)*AF143-ERP_i)*AE143*Ramure*Pc/MaxiM</f>
        <v>4.1296947909968908E-4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0.10441815734205351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2.1044181573420535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'2025'!Wh/'2025'!Env_an*'2026'!Env_an</f>
        <v>51.118760659178214</v>
      </c>
      <c r="C144" s="829"/>
      <c r="D144" s="391">
        <f t="shared" si="50"/>
        <v>53.803642115263457</v>
      </c>
      <c r="E144" s="383">
        <f t="shared" ref="E144:E169" si="72">Wh_pvt/(1-Psa)</f>
        <v>56.121261419584826</v>
      </c>
      <c r="F144" s="383">
        <f t="shared" si="51"/>
        <v>56.121441075742069</v>
      </c>
      <c r="G144" s="110">
        <f t="shared" ref="G144:G169" si="73">+Wh_hp/MaxiM</f>
        <v>0.88361180728133881</v>
      </c>
      <c r="H144" s="412" t="b">
        <f>Wh_hp&gt;='2025'!Maxi_hp</f>
        <v>1</v>
      </c>
      <c r="I144" s="388">
        <f>IF(H144,Wh_hp,'2025'!Maxi_hp)</f>
        <v>56.121441075742069</v>
      </c>
      <c r="J144" s="85">
        <f>IF(H144,An,'2025'!An_max)</f>
        <v>2026</v>
      </c>
      <c r="K144" s="197">
        <f t="shared" si="52"/>
        <v>46152</v>
      </c>
      <c r="L144" s="147">
        <f>IF(t&lt;Tvie,1-EXP((T0-t)*PertePVj)+'2025'!Pspv,1-EXP((T0-t)*PertePVj)+Pspv)</f>
        <v>4.9901481582481422E-2</v>
      </c>
      <c r="M144" s="832"/>
      <c r="N144" s="832"/>
      <c r="O144" s="48">
        <f>IF(t&lt;Tnet,'2025'!Resal+('2025'!Salim-'2025'!Resal)*(1-EXP(('2025'!Tnet-t)/('2025'!Tau_j))),Resal+(Salim-Resal)*(1-EXP((Tnet-t)/(Tau_j))))*Salcycl</f>
        <v>4.1296635993156493E-2</v>
      </c>
      <c r="P144" s="169">
        <f>(INDEX(Models!$BJ144:$BT144,,T144)*(1-R144)+INDEX(Models!$BJ144:$BT144,,T144+1)*R144-ERP_i)*Q144*Ramure*Pc/MaxiM</f>
        <v>3.8396075980517921E-6</v>
      </c>
      <c r="Q144" s="304">
        <f t="shared" si="53"/>
        <v>0.6</v>
      </c>
      <c r="R144" s="177">
        <f t="shared" si="54"/>
        <v>0.58290558451479324</v>
      </c>
      <c r="S144" s="799">
        <f t="shared" si="55"/>
        <v>-2</v>
      </c>
      <c r="T144" s="176">
        <f t="shared" si="56"/>
        <v>4</v>
      </c>
      <c r="U144" s="250">
        <f t="shared" si="57"/>
        <v>-1.4170944154852068</v>
      </c>
      <c r="V144" s="382">
        <f t="shared" si="58"/>
        <v>57.852020087792646</v>
      </c>
      <c r="W144" s="400">
        <f t="shared" si="59"/>
        <v>51.118760659178214</v>
      </c>
      <c r="X144" s="157">
        <f t="shared" si="60"/>
        <v>46152</v>
      </c>
      <c r="Y144" s="383">
        <f t="shared" si="61"/>
        <v>49.115349336815356</v>
      </c>
      <c r="Z144" s="383">
        <f t="shared" si="62"/>
        <v>51.695006764795025</v>
      </c>
      <c r="AA144" s="384">
        <f t="shared" si="63"/>
        <v>56.102288108233466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7.8557960683097963E-2</v>
      </c>
      <c r="AD144" s="230">
        <f>(INDEX(Models!$BJ144:$BT144,,AH144)*(1-AF144)+INDEX(Models!$BJ144:$BT144,,AH144+1)*AF144-ERP_i)*AE144*Ramure*Pc/MaxiM</f>
        <v>4.0933681705996233E-4</v>
      </c>
      <c r="AE144" s="304">
        <f t="shared" si="65"/>
        <v>0.6</v>
      </c>
      <c r="AF144" s="177">
        <f t="shared" si="66"/>
        <v>0.10789315088877194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2.1078931508887719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'2025'!Wh/'2025'!Env_an*'2026'!Env_an</f>
        <v>55.122661568073681</v>
      </c>
      <c r="C145" s="829"/>
      <c r="D145" s="391">
        <f t="shared" si="50"/>
        <v>58.018949543640325</v>
      </c>
      <c r="E145" s="383">
        <f t="shared" si="72"/>
        <v>60.524364830793623</v>
      </c>
      <c r="F145" s="383">
        <f t="shared" si="51"/>
        <v>60.524587940264638</v>
      </c>
      <c r="G145" s="110">
        <f t="shared" si="73"/>
        <v>0.9519566711536217</v>
      </c>
      <c r="H145" s="412" t="b">
        <f>Wh_hp&gt;='2025'!Maxi_hp</f>
        <v>1</v>
      </c>
      <c r="I145" s="388">
        <f>IF(H145,Wh_hp,'2025'!Maxi_hp)</f>
        <v>60.524587940264638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4.991969000383456E-2</v>
      </c>
      <c r="M145" s="832"/>
      <c r="N145" s="832"/>
      <c r="O145" s="48">
        <f>IF(t&lt;Tnet,'2025'!Resal+('2025'!Salim-'2025'!Resal)*(1-EXP(('2025'!Tnet-t)/('2025'!Tau_j))),Resal+(Salim-Resal)*(1-EXP((Tnet-t)/(Tau_j))))*Salcycl</f>
        <v>4.13951520872234E-2</v>
      </c>
      <c r="P145" s="169">
        <f>(INDEX(Models!$BJ145:$BT145,,T145)*(1-R145)+INDEX(Models!$BJ145:$BT145,,T145+1)*R145-ERP_i)*Q145*Ramure*Pc/MaxiM</f>
        <v>3.9579043937612776E-6</v>
      </c>
      <c r="Q145" s="304">
        <f t="shared" si="53"/>
        <v>0.6</v>
      </c>
      <c r="R145" s="177">
        <f t="shared" si="54"/>
        <v>0.58646188557315737</v>
      </c>
      <c r="S145" s="799">
        <f t="shared" si="55"/>
        <v>-2</v>
      </c>
      <c r="T145" s="176">
        <f t="shared" si="56"/>
        <v>4</v>
      </c>
      <c r="U145" s="250">
        <f t="shared" si="57"/>
        <v>-1.4135381144268426</v>
      </c>
      <c r="V145" s="382">
        <f t="shared" si="58"/>
        <v>57.90457513948693</v>
      </c>
      <c r="W145" s="400">
        <f t="shared" si="59"/>
        <v>55.122661568073681</v>
      </c>
      <c r="X145" s="157">
        <f t="shared" si="60"/>
        <v>46153</v>
      </c>
      <c r="Y145" s="383">
        <f t="shared" si="61"/>
        <v>52.961040349011512</v>
      </c>
      <c r="Z145" s="383">
        <f t="shared" si="62"/>
        <v>55.743751124813087</v>
      </c>
      <c r="AA145" s="384">
        <f t="shared" si="63"/>
        <v>60.501706180445531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7.86416674174759E-2</v>
      </c>
      <c r="AD145" s="230">
        <f>(INDEX(Models!$BJ145:$BT145,,AH145)*(1-AF145)+INDEX(Models!$BJ145:$BT145,,AH145+1)*AF145-ERP_i)*AE145*Ramure*Pc/MaxiM</f>
        <v>4.0591650955594332E-4</v>
      </c>
      <c r="AE145" s="304">
        <f t="shared" si="65"/>
        <v>0.6</v>
      </c>
      <c r="AF145" s="177">
        <f t="shared" si="66"/>
        <v>0.11144945194713607</v>
      </c>
      <c r="AG145" s="799">
        <f t="shared" si="74"/>
        <v>2</v>
      </c>
      <c r="AH145" s="176">
        <f t="shared" si="67"/>
        <v>8</v>
      </c>
      <c r="AI145" s="224">
        <f t="shared" si="68"/>
        <v>2.1114494519471361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'2025'!Wh/'2025'!Env_an*'2026'!Env_an</f>
        <v>41.097245361737009</v>
      </c>
      <c r="C146" s="829"/>
      <c r="D146" s="391">
        <f t="shared" si="50"/>
        <v>43.257430517983565</v>
      </c>
      <c r="E146" s="383">
        <f t="shared" si="72"/>
        <v>45.130061218984601</v>
      </c>
      <c r="F146" s="383">
        <f t="shared" si="51"/>
        <v>45.130168768923831</v>
      </c>
      <c r="G146" s="110">
        <f t="shared" si="73"/>
        <v>0.70913981288108074</v>
      </c>
      <c r="H146" s="412" t="b">
        <f>Wh_hp&gt;='2025'!Maxi_hp</f>
        <v>0</v>
      </c>
      <c r="I146" s="388">
        <f>IF(H146,Wh_hp,'2025'!Maxi_hp)</f>
        <v>56.127004376201441</v>
      </c>
      <c r="J146" s="85">
        <f>IF(H146,An,'2025'!An_max)</f>
        <v>2018</v>
      </c>
      <c r="K146" s="197">
        <f t="shared" si="52"/>
        <v>46154</v>
      </c>
      <c r="L146" s="147">
        <f>IF(t&lt;Tvie,1-EXP((T0-t)*PertePVj)+'2025'!Pspv,1-EXP((T0-t)*PertePVj)+Pspv)</f>
        <v>4.9937898076227505E-2</v>
      </c>
      <c r="M146" s="832"/>
      <c r="N146" s="832"/>
      <c r="O146" s="48">
        <f>IF(t&lt;Tnet,'2025'!Resal+('2025'!Salim-'2025'!Resal)*(1-EXP(('2025'!Tnet-t)/('2025'!Tau_j))),Resal+(Salim-Resal)*(1-EXP((Tnet-t)/(Tau_j))))*Salcycl</f>
        <v>4.1494087320521608E-2</v>
      </c>
      <c r="P146" s="169">
        <f>(INDEX(Models!$BJ146:$BT146,,T146)*(1-R146)+INDEX(Models!$BJ146:$BT146,,T146+1)*R146-ERP_i)*Q146*Ramure*Pc/MaxiM</f>
        <v>4.0772583825412167E-6</v>
      </c>
      <c r="Q146" s="304">
        <f t="shared" si="53"/>
        <v>0.6</v>
      </c>
      <c r="R146" s="177">
        <f t="shared" si="54"/>
        <v>0.59009927322098621</v>
      </c>
      <c r="S146" s="799">
        <f t="shared" si="55"/>
        <v>-2</v>
      </c>
      <c r="T146" s="176">
        <f t="shared" si="56"/>
        <v>4</v>
      </c>
      <c r="U146" s="250">
        <f t="shared" si="57"/>
        <v>-1.4099007267790138</v>
      </c>
      <c r="V146" s="382">
        <f t="shared" si="58"/>
        <v>57.953558649559668</v>
      </c>
      <c r="W146" s="400">
        <f t="shared" si="59"/>
        <v>41.097245361737009</v>
      </c>
      <c r="X146" s="157">
        <f t="shared" si="60"/>
        <v>46154</v>
      </c>
      <c r="Y146" s="383">
        <f t="shared" si="61"/>
        <v>39.491666751487109</v>
      </c>
      <c r="Z146" s="383">
        <f t="shared" si="62"/>
        <v>41.56745824459346</v>
      </c>
      <c r="AA146" s="384">
        <f t="shared" si="63"/>
        <v>45.119546200123281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7.8726145422094579E-2</v>
      </c>
      <c r="AD146" s="230">
        <f>(INDEX(Models!$BJ146:$BT146,,AH146)*(1-AF146)+INDEX(Models!$BJ146:$BT146,,AH146+1)*AF146-ERP_i)*AE146*Ramure*Pc/MaxiM</f>
        <v>4.027055523730748E-4</v>
      </c>
      <c r="AE146" s="304">
        <f t="shared" si="65"/>
        <v>0.6</v>
      </c>
      <c r="AF146" s="177">
        <f t="shared" si="66"/>
        <v>0.11508683959496491</v>
      </c>
      <c r="AG146" s="799">
        <f t="shared" si="74"/>
        <v>2</v>
      </c>
      <c r="AH146" s="176">
        <f t="shared" si="67"/>
        <v>8</v>
      </c>
      <c r="AI146" s="224">
        <f t="shared" si="68"/>
        <v>2.1150868395949649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'2025'!Wh/'2025'!Env_an*'2026'!Env_an</f>
        <v>43.046530148335869</v>
      </c>
      <c r="C147" s="829"/>
      <c r="D147" s="391">
        <f t="shared" si="50"/>
        <v>45.310043473905814</v>
      </c>
      <c r="E147" s="383">
        <f t="shared" si="72"/>
        <v>47.276432040871867</v>
      </c>
      <c r="F147" s="383">
        <f t="shared" si="51"/>
        <v>47.276557400340671</v>
      </c>
      <c r="G147" s="110">
        <f t="shared" si="73"/>
        <v>0.74218843213091235</v>
      </c>
      <c r="H147" s="412" t="b">
        <f>Wh_hp&gt;='2025'!Maxi_hp</f>
        <v>0</v>
      </c>
      <c r="I147" s="388">
        <f>IF(H147,Wh_hp,'2025'!Maxi_hp)</f>
        <v>64.735176440204555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4.9956105799666917E-2</v>
      </c>
      <c r="M147" s="832"/>
      <c r="N147" s="832"/>
      <c r="O147" s="48">
        <f>IF(t&lt;Tnet,'2025'!Resal+('2025'!Salim-'2025'!Resal)*(1-EXP(('2025'!Tnet-t)/('2025'!Tau_j))),Resal+(Salim-Resal)*(1-EXP((Tnet-t)/(Tau_j))))*Salcycl</f>
        <v>4.1593421543868879E-2</v>
      </c>
      <c r="P147" s="169">
        <f>(INDEX(Models!$BJ147:$BT147,,T147)*(1-R147)+INDEX(Models!$BJ147:$BT147,,T147+1)*R147-ERP_i)*Q147*Ramure*Pc/MaxiM</f>
        <v>4.1975979087555067E-6</v>
      </c>
      <c r="Q147" s="304">
        <f t="shared" si="53"/>
        <v>0.6</v>
      </c>
      <c r="R147" s="177">
        <f t="shared" si="54"/>
        <v>0.59381737634643827</v>
      </c>
      <c r="S147" s="799">
        <f t="shared" si="55"/>
        <v>-2</v>
      </c>
      <c r="T147" s="176">
        <f t="shared" si="56"/>
        <v>4</v>
      </c>
      <c r="U147" s="250">
        <f t="shared" si="57"/>
        <v>-1.4061826236535617</v>
      </c>
      <c r="V147" s="382">
        <f t="shared" si="58"/>
        <v>57.999372848733984</v>
      </c>
      <c r="W147" s="400">
        <f t="shared" si="59"/>
        <v>43.046530148335869</v>
      </c>
      <c r="X147" s="157">
        <f t="shared" si="60"/>
        <v>46155</v>
      </c>
      <c r="Y147" s="383">
        <f t="shared" si="61"/>
        <v>41.364561318895738</v>
      </c>
      <c r="Z147" s="383">
        <f t="shared" si="62"/>
        <v>43.539631770080412</v>
      </c>
      <c r="AA147" s="384">
        <f t="shared" si="63"/>
        <v>47.264620488807651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7.8811353612990978E-2</v>
      </c>
      <c r="AD147" s="230">
        <f>(INDEX(Models!$BJ147:$BT147,,AH147)*(1-AF147)+INDEX(Models!$BJ147:$BT147,,AH147+1)*AF147-ERP_i)*AE147*Ramure*Pc/MaxiM</f>
        <v>3.9970139763287061E-4</v>
      </c>
      <c r="AE147" s="304">
        <f t="shared" si="65"/>
        <v>0.6</v>
      </c>
      <c r="AF147" s="177">
        <f t="shared" si="66"/>
        <v>0.11880494272041675</v>
      </c>
      <c r="AG147" s="799">
        <f t="shared" si="74"/>
        <v>2</v>
      </c>
      <c r="AH147" s="176">
        <f t="shared" si="67"/>
        <v>8</v>
      </c>
      <c r="AI147" s="224">
        <f t="shared" si="68"/>
        <v>2.1188049427204168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'2025'!Wh/'2025'!Env_an*'2026'!Env_an</f>
        <v>49.05229899309996</v>
      </c>
      <c r="C148" s="829"/>
      <c r="D148" s="391">
        <f t="shared" si="50"/>
        <v>51.632602858339624</v>
      </c>
      <c r="E148" s="383">
        <f t="shared" si="72"/>
        <v>53.878986619985938</v>
      </c>
      <c r="F148" s="383">
        <f t="shared" si="51"/>
        <v>53.879167827241716</v>
      </c>
      <c r="G148" s="110">
        <f t="shared" si="73"/>
        <v>0.84511039036479718</v>
      </c>
      <c r="H148" s="412" t="b">
        <f>Wh_hp&gt;='2025'!Maxi_hp</f>
        <v>0</v>
      </c>
      <c r="I148" s="388">
        <f>IF(H148,Wh_hp,'2025'!Maxi_hp)</f>
        <v>63.17753058579234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4.9974313174159457E-2</v>
      </c>
      <c r="M148" s="832"/>
      <c r="N148" s="832"/>
      <c r="O148" s="48">
        <f>IF(t&lt;Tnet,'2025'!Resal+('2025'!Salim-'2025'!Resal)*(1-EXP(('2025'!Tnet-t)/('2025'!Tau_j))),Resal+(Salim-Resal)*(1-EXP((Tnet-t)/(Tau_j))))*Salcycl</f>
        <v>4.1693133122385727E-2</v>
      </c>
      <c r="P148" s="169">
        <f>(INDEX(Models!$BJ148:$BT148,,T148)*(1-R148)+INDEX(Models!$BJ148:$BT148,,T148+1)*R148-ERP_i)*Q148*Ramure*Pc/MaxiM</f>
        <v>4.3188452247761708E-6</v>
      </c>
      <c r="Q148" s="304">
        <f t="shared" si="53"/>
        <v>0.6</v>
      </c>
      <c r="R148" s="177">
        <f t="shared" si="54"/>
        <v>0.59761566791204057</v>
      </c>
      <c r="S148" s="799">
        <f t="shared" si="55"/>
        <v>-2</v>
      </c>
      <c r="T148" s="176">
        <f t="shared" si="56"/>
        <v>4</v>
      </c>
      <c r="U148" s="250">
        <f t="shared" si="57"/>
        <v>-1.4023843320879594</v>
      </c>
      <c r="V148" s="382">
        <f t="shared" si="58"/>
        <v>58.042419873617597</v>
      </c>
      <c r="W148" s="400">
        <f t="shared" si="59"/>
        <v>49.05229899309996</v>
      </c>
      <c r="X148" s="157">
        <f t="shared" si="60"/>
        <v>46156</v>
      </c>
      <c r="Y148" s="383">
        <f t="shared" si="61"/>
        <v>47.133539531264717</v>
      </c>
      <c r="Z148" s="383">
        <f t="shared" si="62"/>
        <v>49.612910666388409</v>
      </c>
      <c r="AA148" s="384">
        <f t="shared" si="63"/>
        <v>53.862514877852426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7.8897248320118768E-2</v>
      </c>
      <c r="AD148" s="230">
        <f>(INDEX(Models!$BJ148:$BT148,,AH148)*(1-AF148)+INDEX(Models!$BJ148:$BT148,,AH148+1)*AF148-ERP_i)*AE148*Ramure*Pc/MaxiM</f>
        <v>3.9690193772423443E-4</v>
      </c>
      <c r="AE148" s="304">
        <f t="shared" si="65"/>
        <v>0.6</v>
      </c>
      <c r="AF148" s="177">
        <f t="shared" si="66"/>
        <v>0.12260323428601927</v>
      </c>
      <c r="AG148" s="799">
        <f t="shared" si="74"/>
        <v>2</v>
      </c>
      <c r="AH148" s="176">
        <f t="shared" si="67"/>
        <v>8</v>
      </c>
      <c r="AI148" s="224">
        <f t="shared" si="68"/>
        <v>2.1226032342860193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'2025'!Wh/'2025'!Env_an*'2026'!Env_an</f>
        <v>51.619644963518489</v>
      </c>
      <c r="C149" s="829"/>
      <c r="D149" s="391">
        <f t="shared" si="50"/>
        <v>54.336040569249029</v>
      </c>
      <c r="E149" s="383">
        <f t="shared" si="72"/>
        <v>56.70596421337288</v>
      </c>
      <c r="F149" s="383">
        <f t="shared" si="51"/>
        <v>56.706176020718679</v>
      </c>
      <c r="G149" s="110">
        <f t="shared" si="73"/>
        <v>0.88874181672256325</v>
      </c>
      <c r="H149" s="412" t="b">
        <f>Wh_hp&gt;='2025'!Maxi_hp</f>
        <v>0</v>
      </c>
      <c r="I149" s="388">
        <f>IF(H149,Wh_hp,'2025'!Maxi_hp)</f>
        <v>63.749746861981109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4.9992520199711787E-2</v>
      </c>
      <c r="M149" s="832"/>
      <c r="N149" s="832"/>
      <c r="O149" s="48">
        <f>IF(t&lt;Tnet,'2025'!Resal+('2025'!Salim-'2025'!Resal)*(1-EXP(('2025'!Tnet-t)/('2025'!Tau_j))),Resal+(Salim-Resal)*(1-EXP((Tnet-t)/(Tau_j))))*Salcycl</f>
        <v>4.179319895181241E-2</v>
      </c>
      <c r="P149" s="169">
        <f>(INDEX(Models!$BJ149:$BT149,,T149)*(1-R149)+INDEX(Models!$BJ149:$BT149,,T149+1)*R149-ERP_i)*Q149*Ramure*Pc/MaxiM</f>
        <v>4.4410263499838001E-6</v>
      </c>
      <c r="Q149" s="304">
        <f t="shared" si="53"/>
        <v>0.6</v>
      </c>
      <c r="R149" s="177">
        <f t="shared" si="54"/>
        <v>0.60149345962708023</v>
      </c>
      <c r="S149" s="799">
        <f t="shared" si="55"/>
        <v>-2</v>
      </c>
      <c r="T149" s="176">
        <f t="shared" si="56"/>
        <v>4</v>
      </c>
      <c r="U149" s="250">
        <f t="shared" si="57"/>
        <v>-1.3985065403729198</v>
      </c>
      <c r="V149" s="382">
        <f t="shared" si="58"/>
        <v>58.08166956497346</v>
      </c>
      <c r="W149" s="400">
        <f t="shared" si="59"/>
        <v>51.619644963518489</v>
      </c>
      <c r="X149" s="157">
        <f t="shared" si="60"/>
        <v>46157</v>
      </c>
      <c r="Y149" s="383">
        <f t="shared" si="61"/>
        <v>49.599878055405107</v>
      </c>
      <c r="Z149" s="383">
        <f t="shared" si="62"/>
        <v>52.209986879084425</v>
      </c>
      <c r="AA149" s="384">
        <f t="shared" si="63"/>
        <v>56.687369814265132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7.8983783333937546E-2</v>
      </c>
      <c r="AD149" s="230">
        <f>(INDEX(Models!$BJ149:$BT149,,AH149)*(1-AF149)+INDEX(Models!$BJ149:$BT149,,AH149+1)*AF149-ERP_i)*AE149*Ramure*Pc/MaxiM</f>
        <v>3.9431521172383482E-4</v>
      </c>
      <c r="AE149" s="304">
        <f t="shared" si="65"/>
        <v>0.6</v>
      </c>
      <c r="AF149" s="177">
        <f t="shared" si="66"/>
        <v>0.12648102600105915</v>
      </c>
      <c r="AG149" s="799">
        <f t="shared" si="74"/>
        <v>2</v>
      </c>
      <c r="AH149" s="176">
        <f t="shared" si="67"/>
        <v>8</v>
      </c>
      <c r="AI149" s="224">
        <f t="shared" si="68"/>
        <v>2.1264810260010591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'2025'!Wh/'2025'!Env_an*'2026'!Env_an</f>
        <v>50.074981129626032</v>
      </c>
      <c r="C150" s="829"/>
      <c r="D150" s="391">
        <f t="shared" si="50"/>
        <v>52.711101636941621</v>
      </c>
      <c r="E150" s="383">
        <f t="shared" si="72"/>
        <v>55.015916116819682</v>
      </c>
      <c r="F150" s="383">
        <f t="shared" si="51"/>
        <v>55.016117502770236</v>
      </c>
      <c r="G150" s="110">
        <f t="shared" si="73"/>
        <v>0.8616382935170267</v>
      </c>
      <c r="H150" s="412" t="b">
        <f>Wh_hp&gt;='2025'!Maxi_hp</f>
        <v>1</v>
      </c>
      <c r="I150" s="388">
        <f>IF(H150,Wh_hp,'2025'!Maxi_hp)</f>
        <v>55.016117502770236</v>
      </c>
      <c r="J150" s="85">
        <f>IF(H150,An,'2025'!An_max)</f>
        <v>2026</v>
      </c>
      <c r="K150" s="197">
        <f t="shared" si="52"/>
        <v>46158</v>
      </c>
      <c r="L150" s="147">
        <f>IF(t&lt;Tvie,1-EXP((T0-t)*PertePVj)+'2025'!Pspv,1-EXP((T0-t)*PertePVj)+Pspv)</f>
        <v>5.0010726876330569E-2</v>
      </c>
      <c r="M150" s="832"/>
      <c r="N150" s="832"/>
      <c r="O150" s="48">
        <f>IF(t&lt;Tnet,'2025'!Resal+('2025'!Salim-'2025'!Resal)*(1-EXP(('2025'!Tnet-t)/('2025'!Tau_j))),Resal+(Salim-Resal)*(1-EXP((Tnet-t)/(Tau_j))))*Salcycl</f>
        <v>4.1893594482441475E-2</v>
      </c>
      <c r="P150" s="169">
        <f>(INDEX(Models!$BJ150:$BT150,,T150)*(1-R150)+INDEX(Models!$BJ150:$BT150,,T150+1)*R150-ERP_i)*Q150*Ramure*Pc/MaxiM</f>
        <v>4.5622592293464667E-6</v>
      </c>
      <c r="Q150" s="304">
        <f t="shared" si="53"/>
        <v>0.6</v>
      </c>
      <c r="R150" s="177">
        <f t="shared" si="54"/>
        <v>0.60544989708820629</v>
      </c>
      <c r="S150" s="799">
        <f t="shared" si="55"/>
        <v>-2</v>
      </c>
      <c r="T150" s="176">
        <f t="shared" si="56"/>
        <v>4</v>
      </c>
      <c r="U150" s="250">
        <f t="shared" si="57"/>
        <v>-1.3945501029117937</v>
      </c>
      <c r="V150" s="382">
        <f t="shared" si="58"/>
        <v>58.115959272179722</v>
      </c>
      <c r="W150" s="400">
        <f t="shared" si="59"/>
        <v>50.074981129626032</v>
      </c>
      <c r="X150" s="157">
        <f t="shared" si="60"/>
        <v>46158</v>
      </c>
      <c r="Y150" s="383">
        <f t="shared" si="61"/>
        <v>48.116965900638995</v>
      </c>
      <c r="Z150" s="383">
        <f t="shared" si="62"/>
        <v>50.650009702136011</v>
      </c>
      <c r="AA150" s="384">
        <f t="shared" si="63"/>
        <v>54.998816141492341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7.9070909965923655E-2</v>
      </c>
      <c r="AD150" s="230">
        <f>(INDEX(Models!$BJ150:$BT150,,AH150)*(1-AF150)+INDEX(Models!$BJ150:$BT150,,AH150+1)*AF150-ERP_i)*AE150*Ramure*Pc/MaxiM</f>
        <v>3.9195035678021237E-4</v>
      </c>
      <c r="AE150" s="304">
        <f t="shared" si="65"/>
        <v>0.6</v>
      </c>
      <c r="AF150" s="177">
        <f t="shared" si="66"/>
        <v>0.13043746346218521</v>
      </c>
      <c r="AG150" s="799">
        <f t="shared" si="74"/>
        <v>2</v>
      </c>
      <c r="AH150" s="176">
        <f t="shared" si="67"/>
        <v>8</v>
      </c>
      <c r="AI150" s="224">
        <f t="shared" si="68"/>
        <v>2.1304374634621852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'2025'!Wh/'2025'!Env_an*'2026'!Env_an</f>
        <v>53.406190156239667</v>
      </c>
      <c r="C151" s="829"/>
      <c r="D151" s="391">
        <f t="shared" si="50"/>
        <v>56.218754468350099</v>
      </c>
      <c r="E151" s="383">
        <f t="shared" si="72"/>
        <v>58.683110237898731</v>
      </c>
      <c r="F151" s="383">
        <f t="shared" si="51"/>
        <v>58.683352824859902</v>
      </c>
      <c r="G151" s="110">
        <f t="shared" si="73"/>
        <v>0.91849185332986738</v>
      </c>
      <c r="H151" s="412" t="b">
        <f>Wh_hp&gt;='2025'!Maxi_hp</f>
        <v>1</v>
      </c>
      <c r="I151" s="388">
        <f>IF(H151,Wh_hp,'2025'!Maxi_hp)</f>
        <v>58.683352824859902</v>
      </c>
      <c r="J151" s="85">
        <f>IF(H151,An,'2025'!An_max)</f>
        <v>2026</v>
      </c>
      <c r="K151" s="197">
        <f t="shared" si="52"/>
        <v>46159</v>
      </c>
      <c r="L151" s="147">
        <f>IF(t&lt;Tvie,1-EXP((T0-t)*PertePVj)+'2025'!Pspv,1-EXP((T0-t)*PertePVj)+Pspv)</f>
        <v>5.0028933204022574E-2</v>
      </c>
      <c r="M151" s="832"/>
      <c r="N151" s="832"/>
      <c r="O151" s="48">
        <f>IF(t&lt;Tnet,'2025'!Resal+('2025'!Salim-'2025'!Resal)*(1-EXP(('2025'!Tnet-t)/('2025'!Tau_j))),Resal+(Salim-Resal)*(1-EXP((Tnet-t)/(Tau_j))))*Salcycl</f>
        <v>4.1994293750931805E-2</v>
      </c>
      <c r="P151" s="169">
        <f>(INDEX(Models!$BJ151:$BT151,,T151)*(1-R151)+INDEX(Models!$BJ151:$BT151,,T151+1)*R151-ERP_i)*Q151*Ramure*Pc/MaxiM</f>
        <v>4.678603489508439E-6</v>
      </c>
      <c r="Q151" s="304">
        <f t="shared" si="53"/>
        <v>0.6</v>
      </c>
      <c r="R151" s="177">
        <f t="shared" si="54"/>
        <v>0.60948395544818013</v>
      </c>
      <c r="S151" s="799">
        <f t="shared" si="55"/>
        <v>-2</v>
      </c>
      <c r="T151" s="176">
        <f t="shared" si="56"/>
        <v>4</v>
      </c>
      <c r="U151" s="250">
        <f t="shared" si="57"/>
        <v>-1.3905160445518199</v>
      </c>
      <c r="V151" s="382">
        <f t="shared" si="58"/>
        <v>58.145492383178677</v>
      </c>
      <c r="W151" s="400">
        <f t="shared" si="59"/>
        <v>53.406190156239667</v>
      </c>
      <c r="X151" s="157">
        <f t="shared" si="60"/>
        <v>46159</v>
      </c>
      <c r="Y151" s="383">
        <f t="shared" si="61"/>
        <v>51.316927696276153</v>
      </c>
      <c r="Z151" s="383">
        <f t="shared" si="62"/>
        <v>54.019463844678697</v>
      </c>
      <c r="AA151" s="384">
        <f t="shared" si="63"/>
        <v>58.663155786288534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7.9158577123380994E-2</v>
      </c>
      <c r="AD151" s="230">
        <f>(INDEX(Models!$BJ151:$BT151,,AH151)*(1-AF151)+INDEX(Models!$BJ151:$BT151,,AH151+1)*AF151-ERP_i)*AE151*Ramure*Pc/MaxiM</f>
        <v>3.8952602679470389E-4</v>
      </c>
      <c r="AE151" s="304">
        <f t="shared" si="65"/>
        <v>0.6</v>
      </c>
      <c r="AF151" s="177">
        <f t="shared" si="66"/>
        <v>0.13447152182215882</v>
      </c>
      <c r="AG151" s="799">
        <f t="shared" si="74"/>
        <v>2</v>
      </c>
      <c r="AH151" s="176">
        <f t="shared" si="67"/>
        <v>8</v>
      </c>
      <c r="AI151" s="224">
        <f t="shared" si="68"/>
        <v>2.1344715218221588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'2025'!Wh/'2025'!Env_an*'2026'!Env_an</f>
        <v>51.654530866180366</v>
      </c>
      <c r="C152" s="829"/>
      <c r="D152" s="391">
        <f t="shared" si="50"/>
        <v>54.375888527504507</v>
      </c>
      <c r="E152" s="383">
        <f t="shared" si="72"/>
        <v>56.765445238580988</v>
      </c>
      <c r="F152" s="383">
        <f t="shared" si="51"/>
        <v>56.765673597441577</v>
      </c>
      <c r="G152" s="110">
        <f t="shared" si="73"/>
        <v>0.88798473532666888</v>
      </c>
      <c r="H152" s="412" t="b">
        <f>Wh_hp&gt;='2025'!Maxi_hp</f>
        <v>0</v>
      </c>
      <c r="I152" s="388">
        <f>IF(H152,Wh_hp,'2025'!Maxi_hp)</f>
        <v>65.112138934007149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5.0047139182794576E-2</v>
      </c>
      <c r="M152" s="832"/>
      <c r="N152" s="832"/>
      <c r="O152" s="48">
        <f>IF(t&lt;Tnet,'2025'!Resal+('2025'!Salim-'2025'!Resal)*(1-EXP(('2025'!Tnet-t)/('2025'!Tau_j))),Resal+(Salim-Resal)*(1-EXP((Tnet-t)/(Tau_j))))*Salcycl</f>
        <v>4.2095269420214118E-2</v>
      </c>
      <c r="P152" s="169">
        <f>(INDEX(Models!$BJ152:$BT152,,T152)*(1-R152)+INDEX(Models!$BJ152:$BT152,,T152+1)*R152-ERP_i)*Q152*Ramure*Pc/MaxiM</f>
        <v>4.7892064372754706E-6</v>
      </c>
      <c r="Q152" s="304">
        <f t="shared" si="53"/>
        <v>0.6</v>
      </c>
      <c r="R152" s="177">
        <f t="shared" si="54"/>
        <v>0.61359443567213723</v>
      </c>
      <c r="S152" s="799">
        <f t="shared" si="55"/>
        <v>-2</v>
      </c>
      <c r="T152" s="176">
        <f t="shared" si="56"/>
        <v>4</v>
      </c>
      <c r="U152" s="250">
        <f t="shared" si="57"/>
        <v>-1.3864055643278628</v>
      </c>
      <c r="V152" s="382">
        <f t="shared" si="58"/>
        <v>58.170472108837131</v>
      </c>
      <c r="W152" s="400">
        <f t="shared" si="59"/>
        <v>51.654530866180366</v>
      </c>
      <c r="X152" s="157">
        <f t="shared" si="60"/>
        <v>46160</v>
      </c>
      <c r="Y152" s="383">
        <f t="shared" si="61"/>
        <v>49.635215009968057</v>
      </c>
      <c r="Z152" s="383">
        <f t="shared" si="62"/>
        <v>52.250187411687904</v>
      </c>
      <c r="AA152" s="384">
        <f t="shared" si="63"/>
        <v>56.747219036286623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7.9246731398821935E-2</v>
      </c>
      <c r="AD152" s="230">
        <f>(INDEX(Models!$BJ152:$BT152,,AH152)*(1-AF152)+INDEX(Models!$BJ152:$BT152,,AH152+1)*AF152-ERP_i)*AE152*Ramure*Pc/MaxiM</f>
        <v>3.8703426200902539E-4</v>
      </c>
      <c r="AE152" s="304">
        <f t="shared" si="65"/>
        <v>0.6</v>
      </c>
      <c r="AF152" s="177">
        <f t="shared" si="66"/>
        <v>0.13858200204611615</v>
      </c>
      <c r="AG152" s="799">
        <f t="shared" si="74"/>
        <v>2</v>
      </c>
      <c r="AH152" s="176">
        <f t="shared" si="67"/>
        <v>8</v>
      </c>
      <c r="AI152" s="224">
        <f t="shared" si="68"/>
        <v>2.1385820020461161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'2025'!Wh/'2025'!Env_an*'2026'!Env_an</f>
        <v>54.300849269286751</v>
      </c>
      <c r="C153" s="829"/>
      <c r="D153" s="391">
        <f t="shared" si="50"/>
        <v>57.162720585846493</v>
      </c>
      <c r="E153" s="383">
        <f t="shared" si="72"/>
        <v>59.681051653906387</v>
      </c>
      <c r="F153" s="383">
        <f t="shared" si="51"/>
        <v>59.681315794167432</v>
      </c>
      <c r="G153" s="110">
        <f t="shared" si="73"/>
        <v>0.93314651814911653</v>
      </c>
      <c r="H153" s="412" t="b">
        <f>Wh_hp&gt;='2025'!Maxi_hp</f>
        <v>0</v>
      </c>
      <c r="I153" s="388">
        <f>IF(H153,Wh_hp,'2025'!Maxi_hp)</f>
        <v>63.796579298765408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5.0065344812653012E-2</v>
      </c>
      <c r="M153" s="832"/>
      <c r="N153" s="832"/>
      <c r="O153" s="48">
        <f>IF(t&lt;Tnet,'2025'!Resal+('2025'!Salim-'2025'!Resal)*(1-EXP(('2025'!Tnet-t)/('2025'!Tau_j))),Resal+(Salim-Resal)*(1-EXP((Tnet-t)/(Tau_j))))*Salcycl</f>
        <v>4.219649282763701E-2</v>
      </c>
      <c r="P153" s="169">
        <f>(INDEX(Models!$BJ153:$BT153,,T153)*(1-R153)+INDEX(Models!$BJ153:$BT153,,T153+1)*R153-ERP_i)*Q153*Ramure*Pc/MaxiM</f>
        <v>4.8931635420870463E-6</v>
      </c>
      <c r="Q153" s="304">
        <f t="shared" si="53"/>
        <v>0.6</v>
      </c>
      <c r="R153" s="177">
        <f t="shared" si="54"/>
        <v>0.6177799614394337</v>
      </c>
      <c r="S153" s="799">
        <f t="shared" si="55"/>
        <v>-2</v>
      </c>
      <c r="T153" s="176">
        <f t="shared" si="56"/>
        <v>4</v>
      </c>
      <c r="U153" s="250">
        <f t="shared" si="57"/>
        <v>-1.3822200385605663</v>
      </c>
      <c r="V153" s="382">
        <f t="shared" si="58"/>
        <v>58.191101651531525</v>
      </c>
      <c r="W153" s="400">
        <f t="shared" si="59"/>
        <v>54.300849269286751</v>
      </c>
      <c r="X153" s="157">
        <f t="shared" si="60"/>
        <v>46161</v>
      </c>
      <c r="Y153" s="383">
        <f t="shared" si="61"/>
        <v>52.177414273325901</v>
      </c>
      <c r="Z153" s="383">
        <f t="shared" si="62"/>
        <v>54.927372097015898</v>
      </c>
      <c r="AA153" s="384">
        <f t="shared" si="63"/>
        <v>59.660561680740742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7.9335317174071829E-2</v>
      </c>
      <c r="AD153" s="230">
        <f>(INDEX(Models!$BJ153:$BT153,,AH153)*(1-AF153)+INDEX(Models!$BJ153:$BT153,,AH153+1)*AF153-ERP_i)*AE153*Ramure*Pc/MaxiM</f>
        <v>3.8446721739759617E-4</v>
      </c>
      <c r="AE153" s="304">
        <f t="shared" si="65"/>
        <v>0.6</v>
      </c>
      <c r="AF153" s="177">
        <f t="shared" si="66"/>
        <v>0.14276752781341262</v>
      </c>
      <c r="AG153" s="799">
        <f t="shared" si="74"/>
        <v>2</v>
      </c>
      <c r="AH153" s="176">
        <f t="shared" si="67"/>
        <v>8</v>
      </c>
      <c r="AI153" s="224">
        <f t="shared" si="68"/>
        <v>2.1427675278134126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'2025'!Wh/'2025'!Env_an*'2026'!Env_an</f>
        <v>48.454093572287647</v>
      </c>
      <c r="C154" s="829"/>
      <c r="D154" s="391">
        <f t="shared" si="50"/>
        <v>51.008795117783585</v>
      </c>
      <c r="E154" s="383">
        <f t="shared" si="72"/>
        <v>53.261653003461994</v>
      </c>
      <c r="F154" s="383">
        <f t="shared" si="51"/>
        <v>53.261855139804879</v>
      </c>
      <c r="G154" s="110">
        <f t="shared" si="73"/>
        <v>0.83243509178497166</v>
      </c>
      <c r="H154" s="412" t="b">
        <f>Wh_hp&gt;='2025'!Maxi_hp</f>
        <v>0</v>
      </c>
      <c r="I154" s="388">
        <f>IF(H154,Wh_hp,'2025'!Maxi_hp)</f>
        <v>63.305602398396879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5.0083550093604767E-2</v>
      </c>
      <c r="M154" s="832"/>
      <c r="N154" s="832"/>
      <c r="O154" s="48">
        <f>IF(t&lt;Tnet,'2025'!Resal+('2025'!Salim-'2025'!Resal)*(1-EXP(('2025'!Tnet-t)/('2025'!Tau_j))),Resal+(Salim-Resal)*(1-EXP((Tnet-t)/(Tau_j))))*Salcycl</f>
        <v>4.2297934041438341E-2</v>
      </c>
      <c r="P154" s="169">
        <f>(INDEX(Models!$BJ154:$BT154,,T154)*(1-R154)+INDEX(Models!$BJ154:$BT154,,T154+1)*R154-ERP_i)*Q154*Ramure*Pc/MaxiM</f>
        <v>4.9895189078336163E-6</v>
      </c>
      <c r="Q154" s="304">
        <f t="shared" si="53"/>
        <v>0.6</v>
      </c>
      <c r="R154" s="177">
        <f t="shared" si="54"/>
        <v>0.62203897674709441</v>
      </c>
      <c r="S154" s="799">
        <f t="shared" si="55"/>
        <v>-2</v>
      </c>
      <c r="T154" s="176">
        <f t="shared" si="56"/>
        <v>4</v>
      </c>
      <c r="U154" s="250">
        <f t="shared" si="57"/>
        <v>-1.3779610232529056</v>
      </c>
      <c r="V154" s="382">
        <f t="shared" si="58"/>
        <v>58.207584204258566</v>
      </c>
      <c r="W154" s="400">
        <f t="shared" si="59"/>
        <v>48.454093572287647</v>
      </c>
      <c r="X154" s="157">
        <f t="shared" si="60"/>
        <v>46162</v>
      </c>
      <c r="Y154" s="383">
        <f t="shared" si="61"/>
        <v>46.562369162843815</v>
      </c>
      <c r="Z154" s="383">
        <f t="shared" si="62"/>
        <v>49.017331121523448</v>
      </c>
      <c r="AA154" s="384">
        <f t="shared" si="63"/>
        <v>53.246386889167447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7.9424276739129634E-2</v>
      </c>
      <c r="AD154" s="230">
        <f>(INDEX(Models!$BJ154:$BT154,,AH154)*(1-AF154)+INDEX(Models!$BJ154:$BT154,,AH154+1)*AF154-ERP_i)*AE154*Ramure*Pc/MaxiM</f>
        <v>3.8181718301576179E-4</v>
      </c>
      <c r="AE154" s="304">
        <f t="shared" si="65"/>
        <v>0.6</v>
      </c>
      <c r="AF154" s="177">
        <f t="shared" si="66"/>
        <v>0.14702654312107288</v>
      </c>
      <c r="AG154" s="799">
        <f t="shared" si="74"/>
        <v>2</v>
      </c>
      <c r="AH154" s="176">
        <f t="shared" si="67"/>
        <v>8</v>
      </c>
      <c r="AI154" s="224">
        <f t="shared" si="68"/>
        <v>2.1470265431210729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'2025'!Wh/'2025'!Env_an*'2026'!Env_an</f>
        <v>48.548143679810323</v>
      </c>
      <c r="C155" s="829"/>
      <c r="D155" s="391">
        <f t="shared" si="50"/>
        <v>51.108783426714922</v>
      </c>
      <c r="E155" s="383">
        <f t="shared" si="72"/>
        <v>53.371721017051023</v>
      </c>
      <c r="F155" s="383">
        <f t="shared" si="51"/>
        <v>53.37192768927283</v>
      </c>
      <c r="G155" s="110">
        <f t="shared" si="73"/>
        <v>0.83387122395697244</v>
      </c>
      <c r="H155" s="412" t="b">
        <f>Wh_hp&gt;='2025'!Maxi_hp</f>
        <v>0</v>
      </c>
      <c r="I155" s="388">
        <f>IF(H155,Wh_hp,'2025'!Maxi_hp)</f>
        <v>61.653025263591708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5.0101755025656391E-2</v>
      </c>
      <c r="M155" s="832"/>
      <c r="N155" s="832"/>
      <c r="O155" s="48">
        <f>IF(t&lt;Tnet,'2025'!Resal+('2025'!Salim-'2025'!Resal)*(1-EXP(('2025'!Tnet-t)/('2025'!Tau_j))),Resal+(Salim-Resal)*(1-EXP((Tnet-t)/(Tau_j))))*Salcycl</f>
        <v>4.2399561925558667E-2</v>
      </c>
      <c r="P155" s="169">
        <f>(INDEX(Models!$BJ155:$BT155,,T155)*(1-R155)+INDEX(Models!$BJ155:$BT155,,T155+1)*R155-ERP_i)*Q155*Ramure*Pc/MaxiM</f>
        <v>5.0772661454969898E-6</v>
      </c>
      <c r="Q155" s="304">
        <f t="shared" si="53"/>
        <v>0.6</v>
      </c>
      <c r="R155" s="177">
        <f t="shared" si="54"/>
        <v>0.62636974426803738</v>
      </c>
      <c r="S155" s="799">
        <f t="shared" si="55"/>
        <v>-2</v>
      </c>
      <c r="T155" s="176">
        <f t="shared" si="56"/>
        <v>4</v>
      </c>
      <c r="U155" s="250">
        <f t="shared" si="57"/>
        <v>-1.3736302557319626</v>
      </c>
      <c r="V155" s="382">
        <f t="shared" si="58"/>
        <v>58.220122947084604</v>
      </c>
      <c r="W155" s="400">
        <f t="shared" si="59"/>
        <v>48.548143679810323</v>
      </c>
      <c r="X155" s="157">
        <f t="shared" si="60"/>
        <v>46163</v>
      </c>
      <c r="Y155" s="383">
        <f t="shared" si="61"/>
        <v>46.65323846302627</v>
      </c>
      <c r="Z155" s="383">
        <f t="shared" si="62"/>
        <v>49.113932686849374</v>
      </c>
      <c r="AA155" s="384">
        <f t="shared" si="63"/>
        <v>53.356497219011416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7.9513550425689805E-2</v>
      </c>
      <c r="AD155" s="230">
        <f>(INDEX(Models!$BJ155:$BT155,,AH155)*(1-AF155)+INDEX(Models!$BJ155:$BT155,,AH155+1)*AF155-ERP_i)*AE155*Ramure*Pc/MaxiM</f>
        <v>3.7907660537750485E-4</v>
      </c>
      <c r="AE155" s="304">
        <f t="shared" si="65"/>
        <v>0.6</v>
      </c>
      <c r="AF155" s="177">
        <f t="shared" si="66"/>
        <v>0.15135731064201607</v>
      </c>
      <c r="AG155" s="799">
        <f t="shared" si="74"/>
        <v>2</v>
      </c>
      <c r="AH155" s="176">
        <f t="shared" si="67"/>
        <v>8</v>
      </c>
      <c r="AI155" s="224">
        <f t="shared" si="68"/>
        <v>2.1513573106420161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'2025'!Wh/'2025'!Env_an*'2026'!Env_an</f>
        <v>36.877223488109685</v>
      </c>
      <c r="C156" s="829"/>
      <c r="D156" s="391">
        <f t="shared" si="50"/>
        <v>38.823032298818163</v>
      </c>
      <c r="E156" s="383">
        <f t="shared" si="72"/>
        <v>40.546304753710388</v>
      </c>
      <c r="F156" s="383">
        <f t="shared" si="51"/>
        <v>40.546404369850777</v>
      </c>
      <c r="G156" s="110">
        <f t="shared" si="73"/>
        <v>0.63331285068941257</v>
      </c>
      <c r="H156" s="412" t="b">
        <f>Wh_hp&gt;='2025'!Maxi_hp</f>
        <v>0</v>
      </c>
      <c r="I156" s="388">
        <f>IF(H156,Wh_hp,'2025'!Maxi_hp)</f>
        <v>60.757180610940942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5.0119959608814768E-2</v>
      </c>
      <c r="M156" s="832"/>
      <c r="N156" s="832"/>
      <c r="O156" s="48">
        <f>IF(t&lt;Tnet,'2025'!Resal+('2025'!Salim-'2025'!Resal)*(1-EXP(('2025'!Tnet-t)/('2025'!Tau_j))),Resal+(Salim-Resal)*(1-EXP((Tnet-t)/(Tau_j))))*Salcycl</f>
        <v>4.2501344212743083E-2</v>
      </c>
      <c r="P156" s="169">
        <f>(INDEX(Models!$BJ156:$BT156,,T156)*(1-R156)+INDEX(Models!$BJ156:$BT156,,T156+1)*R156-ERP_i)*Q156*Ramure*Pc/MaxiM</f>
        <v>5.1596603695552763E-6</v>
      </c>
      <c r="Q156" s="304">
        <f t="shared" si="53"/>
        <v>0.6</v>
      </c>
      <c r="R156" s="177">
        <f t="shared" si="54"/>
        <v>0.63077034451359282</v>
      </c>
      <c r="S156" s="799">
        <f t="shared" si="55"/>
        <v>-2</v>
      </c>
      <c r="T156" s="176">
        <f t="shared" si="56"/>
        <v>4</v>
      </c>
      <c r="U156" s="250">
        <f t="shared" si="57"/>
        <v>-1.3692296554864072</v>
      </c>
      <c r="V156" s="382">
        <f t="shared" si="58"/>
        <v>58.228920785852296</v>
      </c>
      <c r="W156" s="400">
        <f t="shared" si="59"/>
        <v>36.877223488109685</v>
      </c>
      <c r="X156" s="157">
        <f t="shared" si="60"/>
        <v>46164</v>
      </c>
      <c r="Y156" s="383">
        <f t="shared" si="61"/>
        <v>35.442016729449044</v>
      </c>
      <c r="Z156" s="383">
        <f t="shared" si="62"/>
        <v>37.312097551658319</v>
      </c>
      <c r="AA156" s="384">
        <f t="shared" si="63"/>
        <v>40.539137636524167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7.9603076755101226E-2</v>
      </c>
      <c r="AD156" s="230">
        <f>(INDEX(Models!$BJ156:$BT156,,AH156)*(1-AF156)+INDEX(Models!$BJ156:$BT156,,AH156+1)*AF156-ERP_i)*AE156*Ramure*Pc/MaxiM</f>
        <v>3.7638354402601444E-4</v>
      </c>
      <c r="AE156" s="304">
        <f t="shared" si="65"/>
        <v>0.6</v>
      </c>
      <c r="AF156" s="177">
        <f t="shared" si="66"/>
        <v>0.15575791088757152</v>
      </c>
      <c r="AG156" s="799">
        <f t="shared" si="74"/>
        <v>2</v>
      </c>
      <c r="AH156" s="176">
        <f t="shared" si="67"/>
        <v>8</v>
      </c>
      <c r="AI156" s="224">
        <f t="shared" si="68"/>
        <v>2.1557579108875715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'2025'!Wh/'2025'!Env_an*'2026'!Env_an</f>
        <v>19.470594900141879</v>
      </c>
      <c r="C157" s="829"/>
      <c r="D157" s="391">
        <f t="shared" si="50"/>
        <v>20.49834424227295</v>
      </c>
      <c r="E157" s="383">
        <f t="shared" si="72"/>
        <v>21.410501122532359</v>
      </c>
      <c r="F157" s="383">
        <f t="shared" si="51"/>
        <v>21.41050662587719</v>
      </c>
      <c r="G157" s="110">
        <f t="shared" si="73"/>
        <v>0.33434827588950189</v>
      </c>
      <c r="H157" s="412" t="b">
        <f>Wh_hp&gt;='2025'!Maxi_hp</f>
        <v>0</v>
      </c>
      <c r="I157" s="388">
        <f>IF(H157,Wh_hp,'2025'!Maxi_hp)</f>
        <v>57.940082195716684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5.0138163843086447E-2</v>
      </c>
      <c r="M157" s="832"/>
      <c r="N157" s="832"/>
      <c r="O157" s="48">
        <f>IF(t&lt;Tnet,'2025'!Resal+('2025'!Salim-'2025'!Resal)*(1-EXP(('2025'!Tnet-t)/('2025'!Tau_j))),Resal+(Salim-Resal)*(1-EXP((Tnet-t)/(Tau_j))))*Salcycl</f>
        <v>4.2603247585805366E-2</v>
      </c>
      <c r="P157" s="169">
        <f>(INDEX(Models!$BJ157:$BT157,,T157)*(1-R157)+INDEX(Models!$BJ157:$BT157,,T157+1)*R157-ERP_i)*Q157*Ramure*Pc/MaxiM</f>
        <v>5.2380763289446099E-6</v>
      </c>
      <c r="Q157" s="304">
        <f t="shared" si="53"/>
        <v>0.6</v>
      </c>
      <c r="R157" s="177">
        <f t="shared" si="54"/>
        <v>0.6352386758453652</v>
      </c>
      <c r="S157" s="799">
        <f t="shared" si="55"/>
        <v>-2</v>
      </c>
      <c r="T157" s="176">
        <f t="shared" si="56"/>
        <v>4</v>
      </c>
      <c r="U157" s="250">
        <f t="shared" si="57"/>
        <v>-1.3647613241546348</v>
      </c>
      <c r="V157" s="382">
        <f t="shared" si="58"/>
        <v>58.234180704435438</v>
      </c>
      <c r="W157" s="400">
        <f t="shared" si="59"/>
        <v>19.470594900141879</v>
      </c>
      <c r="X157" s="157">
        <f t="shared" si="60"/>
        <v>46165</v>
      </c>
      <c r="Y157" s="383">
        <f t="shared" si="61"/>
        <v>18.715965716395637</v>
      </c>
      <c r="Z157" s="383">
        <f t="shared" si="62"/>
        <v>19.703882189981819</v>
      </c>
      <c r="AA157" s="384">
        <f t="shared" si="63"/>
        <v>21.410113961463804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7.9692792600405571E-2</v>
      </c>
      <c r="AD157" s="230">
        <f>(INDEX(Models!$BJ157:$BT157,,AH157)*(1-AF157)+INDEX(Models!$BJ157:$BT157,,AH157+1)*AF157-ERP_i)*AE157*Ramure*Pc/MaxiM</f>
        <v>3.7373746924074117E-4</v>
      </c>
      <c r="AE157" s="304">
        <f t="shared" si="65"/>
        <v>0.6</v>
      </c>
      <c r="AF157" s="177">
        <f t="shared" si="66"/>
        <v>0.1602262422193439</v>
      </c>
      <c r="AG157" s="799">
        <f t="shared" si="74"/>
        <v>2</v>
      </c>
      <c r="AH157" s="176">
        <f t="shared" si="67"/>
        <v>8</v>
      </c>
      <c r="AI157" s="224">
        <f t="shared" si="68"/>
        <v>2.1602262422193439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'2025'!Wh/'2025'!Env_an*'2026'!Env_an</f>
        <v>16.096130000873252</v>
      </c>
      <c r="C158" s="829"/>
      <c r="D158" s="391">
        <f t="shared" si="50"/>
        <v>16.946084022672082</v>
      </c>
      <c r="E158" s="383">
        <f t="shared" si="72"/>
        <v>17.702054467675989</v>
      </c>
      <c r="F158" s="383">
        <f t="shared" si="51"/>
        <v>17.702054467675989</v>
      </c>
      <c r="G158" s="110">
        <f t="shared" si="73"/>
        <v>0.27639287152887615</v>
      </c>
      <c r="H158" s="412" t="b">
        <f>Wh_hp&gt;='2025'!Maxi_hp</f>
        <v>0</v>
      </c>
      <c r="I158" s="388">
        <f>IF(H158,Wh_hp,'2025'!Maxi_hp)</f>
        <v>27.39141049073487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5.0156367728478091E-2</v>
      </c>
      <c r="M158" s="832"/>
      <c r="N158" s="832"/>
      <c r="O158" s="48">
        <f>IF(t&lt;Tnet,'2025'!Resal+('2025'!Salim-'2025'!Resal)*(1-EXP(('2025'!Tnet-t)/('2025'!Tau_j))),Resal+(Salim-Resal)*(1-EXP((Tnet-t)/(Tau_j))))*Salcycl</f>
        <v>4.2705237766854337E-2</v>
      </c>
      <c r="P158" s="169">
        <f>(INDEX(Models!$BJ158:$BT158,,T158)*(1-R158)+INDEX(Models!$BJ158:$BT158,,T158+1)*R158-ERP_i)*Q158*Ramure*Pc/MaxiM</f>
        <v>5.3121768664942923E-6</v>
      </c>
      <c r="Q158" s="304">
        <f t="shared" si="53"/>
        <v>0.6</v>
      </c>
      <c r="R158" s="177">
        <f t="shared" si="54"/>
        <v>0.63977245537619476</v>
      </c>
      <c r="S158" s="799">
        <f t="shared" si="55"/>
        <v>-2</v>
      </c>
      <c r="T158" s="176">
        <f t="shared" si="56"/>
        <v>4</v>
      </c>
      <c r="U158" s="250">
        <f t="shared" si="57"/>
        <v>-1.3602275446238052</v>
      </c>
      <c r="V158" s="382">
        <f t="shared" si="58"/>
        <v>58.236105751743985</v>
      </c>
      <c r="W158" s="400">
        <f t="shared" si="59"/>
        <v>16.096130000873252</v>
      </c>
      <c r="X158" s="157">
        <f t="shared" si="60"/>
        <v>46166</v>
      </c>
      <c r="Y158" s="383">
        <f t="shared" si="61"/>
        <v>15.472703859691288</v>
      </c>
      <c r="Z158" s="383">
        <f t="shared" si="62"/>
        <v>16.28973794632785</v>
      </c>
      <c r="AA158" s="384">
        <f t="shared" si="63"/>
        <v>17.702054467675989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7.9782633361965644E-2</v>
      </c>
      <c r="AD158" s="230">
        <f>(INDEX(Models!$BJ158:$BT158,,AH158)*(1-AF158)+INDEX(Models!$BJ158:$BT158,,AH158+1)*AF158-ERP_i)*AE158*Ramure*Pc/MaxiM</f>
        <v>3.7113446613581643E-4</v>
      </c>
      <c r="AE158" s="304">
        <f t="shared" si="65"/>
        <v>0.6</v>
      </c>
      <c r="AF158" s="177">
        <f t="shared" si="66"/>
        <v>0.16476002175017346</v>
      </c>
      <c r="AG158" s="799">
        <f t="shared" si="74"/>
        <v>2</v>
      </c>
      <c r="AH158" s="176">
        <f t="shared" si="67"/>
        <v>8</v>
      </c>
      <c r="AI158" s="224">
        <f t="shared" si="68"/>
        <v>2.1647600217501735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'2025'!Wh/'2025'!Env_an*'2026'!Env_an</f>
        <v>40.489586640823127</v>
      </c>
      <c r="C159" s="829"/>
      <c r="D159" s="391">
        <f t="shared" si="50"/>
        <v>42.628450887809947</v>
      </c>
      <c r="E159" s="383">
        <f t="shared" si="72"/>
        <v>44.534867409594135</v>
      </c>
      <c r="F159" s="383">
        <f t="shared" si="51"/>
        <v>44.535002749137938</v>
      </c>
      <c r="G159" s="110">
        <f t="shared" si="73"/>
        <v>0.69527881960260174</v>
      </c>
      <c r="H159" s="412" t="b">
        <f>Wh_hp&gt;='2025'!Maxi_hp</f>
        <v>0</v>
      </c>
      <c r="I159" s="388">
        <f>IF(H159,Wh_hp,'2025'!Maxi_hp)</f>
        <v>59.825577923222795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5.0174571264996359E-2</v>
      </c>
      <c r="M159" s="832"/>
      <c r="N159" s="832"/>
      <c r="O159" s="48">
        <f>IF(t&lt;Tnet,'2025'!Resal+('2025'!Salim-'2025'!Resal)*(1-EXP(('2025'!Tnet-t)/('2025'!Tau_j))),Resal+(Salim-Resal)*(1-EXP((Tnet-t)/(Tau_j))))*Salcycl</f>
        <v>4.2807279614208278E-2</v>
      </c>
      <c r="P159" s="169">
        <f>(INDEX(Models!$BJ159:$BT159,,T159)*(1-R159)+INDEX(Models!$BJ159:$BT159,,T159+1)*R159-ERP_i)*Q159*Ramure*Pc/MaxiM</f>
        <v>5.3816559674854199E-6</v>
      </c>
      <c r="Q159" s="304">
        <f t="shared" si="53"/>
        <v>0.6</v>
      </c>
      <c r="R159" s="177">
        <f t="shared" si="54"/>
        <v>0.64436922079391179</v>
      </c>
      <c r="S159" s="799">
        <f t="shared" si="55"/>
        <v>-2</v>
      </c>
      <c r="T159" s="176">
        <f t="shared" si="56"/>
        <v>4</v>
      </c>
      <c r="U159" s="250">
        <f t="shared" si="57"/>
        <v>-1.3556307792060882</v>
      </c>
      <c r="V159" s="382">
        <f t="shared" si="58"/>
        <v>58.234898926430127</v>
      </c>
      <c r="W159" s="400">
        <f t="shared" si="59"/>
        <v>40.489586640823127</v>
      </c>
      <c r="X159" s="157">
        <f t="shared" si="60"/>
        <v>46167</v>
      </c>
      <c r="Y159" s="383">
        <f t="shared" si="61"/>
        <v>38.913731009007165</v>
      </c>
      <c r="Z159" s="383">
        <f t="shared" si="62"/>
        <v>40.96935061091515</v>
      </c>
      <c r="AA159" s="384">
        <f t="shared" si="63"/>
        <v>44.525733756694621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7.9872533156059494E-2</v>
      </c>
      <c r="AD159" s="230">
        <f>(INDEX(Models!$BJ159:$BT159,,AH159)*(1-AF159)+INDEX(Models!$BJ159:$BT159,,AH159+1)*AF159-ERP_i)*AE159*Ramure*Pc/MaxiM</f>
        <v>3.6857319813874838E-4</v>
      </c>
      <c r="AE159" s="304">
        <f t="shared" si="65"/>
        <v>0.6</v>
      </c>
      <c r="AF159" s="177">
        <f t="shared" si="66"/>
        <v>0.16935678716789049</v>
      </c>
      <c r="AG159" s="799">
        <f t="shared" si="74"/>
        <v>2</v>
      </c>
      <c r="AH159" s="176">
        <f t="shared" si="67"/>
        <v>8</v>
      </c>
      <c r="AI159" s="224">
        <f t="shared" si="68"/>
        <v>2.1693567871678905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'2025'!Wh/'2025'!Env_an*'2026'!Env_an</f>
        <v>24.612641826137232</v>
      </c>
      <c r="C160" s="829"/>
      <c r="D160" s="391">
        <f t="shared" si="50"/>
        <v>25.913302367176176</v>
      </c>
      <c r="E160" s="383">
        <f t="shared" si="72"/>
        <v>27.075075930724768</v>
      </c>
      <c r="F160" s="383">
        <f t="shared" si="51"/>
        <v>27.075101772343285</v>
      </c>
      <c r="G160" s="110">
        <f t="shared" si="73"/>
        <v>0.42267231148345535</v>
      </c>
      <c r="H160" s="412" t="b">
        <f>Wh_hp&gt;='2025'!Maxi_hp</f>
        <v>0</v>
      </c>
      <c r="I160" s="388">
        <f>IF(H160,Wh_hp,'2025'!Maxi_hp)</f>
        <v>62.596709791929555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5.0192774452648026E-2</v>
      </c>
      <c r="M160" s="832"/>
      <c r="N160" s="832"/>
      <c r="O160" s="48">
        <f>IF(t&lt;Tnet,'2025'!Resal+('2025'!Salim-'2025'!Resal)*(1-EXP(('2025'!Tnet-t)/('2025'!Tau_j))),Resal+(Salim-Resal)*(1-EXP((Tnet-t)/(Tau_j))))*Salcycl</f>
        <v>4.2909337226648803E-2</v>
      </c>
      <c r="P160" s="169">
        <f>(INDEX(Models!$BJ160:$BT160,,T160)*(1-R160)+INDEX(Models!$BJ160:$BT160,,T160+1)*R160-ERP_i)*Q160*Ramure*Pc/MaxiM</f>
        <v>5.4462099997318009E-6</v>
      </c>
      <c r="Q160" s="304">
        <f t="shared" si="53"/>
        <v>0.6</v>
      </c>
      <c r="R160" s="177">
        <f t="shared" si="54"/>
        <v>0.64902633313474412</v>
      </c>
      <c r="S160" s="799">
        <f t="shared" si="55"/>
        <v>-2</v>
      </c>
      <c r="T160" s="176">
        <f t="shared" si="56"/>
        <v>4</v>
      </c>
      <c r="U160" s="250">
        <f t="shared" si="57"/>
        <v>-1.3509736668652559</v>
      </c>
      <c r="V160" s="382">
        <f t="shared" si="58"/>
        <v>58.230763177686939</v>
      </c>
      <c r="W160" s="400">
        <f t="shared" si="59"/>
        <v>24.612641826137232</v>
      </c>
      <c r="X160" s="157">
        <f t="shared" si="60"/>
        <v>46168</v>
      </c>
      <c r="Y160" s="383">
        <f t="shared" si="61"/>
        <v>23.658285611496581</v>
      </c>
      <c r="Z160" s="383">
        <f t="shared" si="62"/>
        <v>24.908512985740717</v>
      </c>
      <c r="AA160" s="384">
        <f t="shared" si="63"/>
        <v>27.073364896173306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7.9962425015686941E-2</v>
      </c>
      <c r="AD160" s="230">
        <f>(INDEX(Models!$BJ160:$BT160,,AH160)*(1-AF160)+INDEX(Models!$BJ160:$BT160,,AH160+1)*AF160-ERP_i)*AE160*Ramure*Pc/MaxiM</f>
        <v>3.6605262780060887E-4</v>
      </c>
      <c r="AE160" s="304">
        <f t="shared" si="65"/>
        <v>0.6</v>
      </c>
      <c r="AF160" s="177">
        <f t="shared" si="66"/>
        <v>0.17401389950872304</v>
      </c>
      <c r="AG160" s="799">
        <f t="shared" si="74"/>
        <v>2</v>
      </c>
      <c r="AH160" s="176">
        <f t="shared" si="67"/>
        <v>8</v>
      </c>
      <c r="AI160" s="224">
        <f t="shared" si="68"/>
        <v>2.174013899508723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'2025'!Wh/'2025'!Env_an*'2026'!Env_an</f>
        <v>45.314577423797289</v>
      </c>
      <c r="C161" s="829"/>
      <c r="D161" s="391">
        <f t="shared" si="50"/>
        <v>47.710150718073656</v>
      </c>
      <c r="E161" s="383">
        <f t="shared" si="72"/>
        <v>49.854459524992684</v>
      </c>
      <c r="F161" s="383">
        <f t="shared" si="51"/>
        <v>49.854647063716641</v>
      </c>
      <c r="G161" s="110">
        <f t="shared" si="73"/>
        <v>0.7782800073264724</v>
      </c>
      <c r="H161" s="412" t="b">
        <f>Wh_hp&gt;='2025'!Maxi_hp</f>
        <v>0</v>
      </c>
      <c r="I161" s="388">
        <f>IF(H161,Wh_hp,'2025'!Maxi_hp)</f>
        <v>62.270971233570506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5.0210977291439862E-2</v>
      </c>
      <c r="M161" s="832"/>
      <c r="N161" s="832"/>
      <c r="O161" s="48">
        <f>IF(t&lt;Tnet,'2025'!Resal+('2025'!Salim-'2025'!Resal)*(1-EXP(('2025'!Tnet-t)/('2025'!Tau_j))),Resal+(Salim-Resal)*(1-EXP((Tnet-t)/(Tau_j))))*Salcycl</f>
        <v>4.301137405459303E-2</v>
      </c>
      <c r="P161" s="169">
        <f>(INDEX(Models!$BJ161:$BT161,,T161)*(1-R161)+INDEX(Models!$BJ161:$BT161,,T161+1)*R161-ERP_i)*Q161*Ramure*Pc/MaxiM</f>
        <v>5.5055396027640673E-6</v>
      </c>
      <c r="Q161" s="304">
        <f t="shared" si="53"/>
        <v>0.6</v>
      </c>
      <c r="R161" s="177">
        <f t="shared" si="54"/>
        <v>0.65374098052571994</v>
      </c>
      <c r="S161" s="799">
        <f t="shared" si="55"/>
        <v>-2</v>
      </c>
      <c r="T161" s="176">
        <f t="shared" si="56"/>
        <v>4</v>
      </c>
      <c r="U161" s="250">
        <f t="shared" si="57"/>
        <v>-1.3462590194742801</v>
      </c>
      <c r="V161" s="382">
        <f t="shared" si="58"/>
        <v>58.223901392843537</v>
      </c>
      <c r="W161" s="400">
        <f t="shared" si="59"/>
        <v>45.314577423797289</v>
      </c>
      <c r="X161" s="157">
        <f t="shared" si="60"/>
        <v>46169</v>
      </c>
      <c r="Y161" s="383">
        <f t="shared" si="61"/>
        <v>43.549989991545957</v>
      </c>
      <c r="Z161" s="383">
        <f t="shared" si="62"/>
        <v>45.852277664098814</v>
      </c>
      <c r="AA161" s="384">
        <f t="shared" si="63"/>
        <v>49.842262477013008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8.0052241102705951E-2</v>
      </c>
      <c r="AD161" s="230">
        <f>(INDEX(Models!$BJ161:$BT161,,AH161)*(1-AF161)+INDEX(Models!$BJ161:$BT161,,AH161+1)*AF161-ERP_i)*AE161*Ramure*Pc/MaxiM</f>
        <v>3.6357201927957045E-4</v>
      </c>
      <c r="AE161" s="304">
        <f t="shared" si="65"/>
        <v>0.6</v>
      </c>
      <c r="AF161" s="177">
        <f t="shared" si="66"/>
        <v>0.17872854689969886</v>
      </c>
      <c r="AG161" s="799">
        <f t="shared" si="74"/>
        <v>2</v>
      </c>
      <c r="AH161" s="176">
        <f t="shared" si="67"/>
        <v>8</v>
      </c>
      <c r="AI161" s="224">
        <f t="shared" si="68"/>
        <v>2.1787285468996989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'2025'!Wh/'2025'!Env_an*'2026'!Env_an</f>
        <v>54.503693914874923</v>
      </c>
      <c r="C162" s="829"/>
      <c r="D162" s="391">
        <f t="shared" si="50"/>
        <v>57.386153327314332</v>
      </c>
      <c r="E162" s="383">
        <f t="shared" si="72"/>
        <v>59.971735950428901</v>
      </c>
      <c r="F162" s="383">
        <f t="shared" si="51"/>
        <v>59.972038995240759</v>
      </c>
      <c r="G162" s="110">
        <f t="shared" si="73"/>
        <v>0.93625558885368099</v>
      </c>
      <c r="H162" s="412" t="b">
        <f>Wh_hp&gt;='2025'!Maxi_hp</f>
        <v>0</v>
      </c>
      <c r="I162" s="388">
        <f>IF(H162,Wh_hp,'2025'!Maxi_hp)</f>
        <v>61.405954695216622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5.0229179781378308E-2</v>
      </c>
      <c r="M162" s="832"/>
      <c r="N162" s="832"/>
      <c r="O162" s="48">
        <f>IF(t&lt;Tnet,'2025'!Resal+('2025'!Salim-'2025'!Resal)*(1-EXP(('2025'!Tnet-t)/('2025'!Tau_j))),Resal+(Salim-Resal)*(1-EXP((Tnet-t)/(Tau_j))))*Salcycl</f>
        <v>4.3113353017690599E-2</v>
      </c>
      <c r="P162" s="169">
        <f>(INDEX(Models!$BJ162:$BT162,,T162)*(1-R162)+INDEX(Models!$BJ162:$BT162,,T162+1)*R162-ERP_i)*Q162*Ramure*Pc/MaxiM</f>
        <v>5.5593516394034368E-6</v>
      </c>
      <c r="Q162" s="304">
        <f t="shared" si="53"/>
        <v>0.6</v>
      </c>
      <c r="R162" s="177">
        <f t="shared" si="54"/>
        <v>0.65851018290726238</v>
      </c>
      <c r="S162" s="799">
        <f t="shared" si="55"/>
        <v>-2</v>
      </c>
      <c r="T162" s="176">
        <f t="shared" si="56"/>
        <v>4</v>
      </c>
      <c r="U162" s="250">
        <f t="shared" si="57"/>
        <v>-1.3414898170927376</v>
      </c>
      <c r="V162" s="382">
        <f t="shared" si="58"/>
        <v>58.214516389670742</v>
      </c>
      <c r="W162" s="400">
        <f t="shared" si="59"/>
        <v>54.503693914874923</v>
      </c>
      <c r="X162" s="157">
        <f t="shared" si="60"/>
        <v>46170</v>
      </c>
      <c r="Y162" s="383">
        <f t="shared" si="61"/>
        <v>52.377635575489428</v>
      </c>
      <c r="Z162" s="383">
        <f t="shared" si="62"/>
        <v>55.147657161580256</v>
      </c>
      <c r="AA162" s="384">
        <f t="shared" si="63"/>
        <v>59.952353451887646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8.0141912930294087E-2</v>
      </c>
      <c r="AD162" s="230">
        <f>(INDEX(Models!$BJ162:$BT162,,AH162)*(1-AF162)+INDEX(Models!$BJ162:$BT162,,AH162+1)*AF162-ERP_i)*AE162*Ramure*Pc/MaxiM</f>
        <v>3.6113093981707381E-4</v>
      </c>
      <c r="AE162" s="304">
        <f t="shared" si="65"/>
        <v>0.6</v>
      </c>
      <c r="AF162" s="177">
        <f t="shared" si="66"/>
        <v>0.18349774928124107</v>
      </c>
      <c r="AG162" s="799">
        <f t="shared" si="74"/>
        <v>2</v>
      </c>
      <c r="AH162" s="176">
        <f t="shared" si="67"/>
        <v>8</v>
      </c>
      <c r="AI162" s="224">
        <f t="shared" si="68"/>
        <v>2.1834977492812411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'2025'!Wh/'2025'!Env_an*'2026'!Env_an</f>
        <v>58.931714096456702</v>
      </c>
      <c r="C163" s="829"/>
      <c r="D163" s="391">
        <f t="shared" si="50"/>
        <v>62.049541085493502</v>
      </c>
      <c r="E163" s="383">
        <f t="shared" si="72"/>
        <v>64.852141736486814</v>
      </c>
      <c r="F163" s="383">
        <f t="shared" si="51"/>
        <v>64.852505396426309</v>
      </c>
      <c r="G163" s="110">
        <f t="shared" si="73"/>
        <v>1.0125472202397048</v>
      </c>
      <c r="H163" s="412" t="b">
        <f>Wh_hp&gt;='2025'!Maxi_hp</f>
        <v>1</v>
      </c>
      <c r="I163" s="388">
        <f>IF(H163,Wh_hp,'2025'!Maxi_hp)</f>
        <v>64.852505396426309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5.0247381922470247E-2</v>
      </c>
      <c r="M163" s="832"/>
      <c r="N163" s="832"/>
      <c r="O163" s="48">
        <f>IF(t&lt;Tnet,'2025'!Resal+('2025'!Salim-'2025'!Resal)*(1-EXP(('2025'!Tnet-t)/('2025'!Tau_j))),Resal+(Salim-Resal)*(1-EXP((Tnet-t)/(Tau_j))))*Salcycl</f>
        <v>4.3215236628284331E-2</v>
      </c>
      <c r="P163" s="169">
        <f>(INDEX(Models!$BJ163:$BT163,,T163)*(1-R163)+INDEX(Models!$BJ163:$BT163,,T163+1)*R163-ERP_i)*Q163*Ramure*Pc/MaxiM</f>
        <v>5.6074925289939263E-6</v>
      </c>
      <c r="Q163" s="304">
        <f t="shared" si="53"/>
        <v>0.6</v>
      </c>
      <c r="R163" s="177">
        <f t="shared" si="54"/>
        <v>0.66333079773848436</v>
      </c>
      <c r="S163" s="799">
        <f t="shared" si="55"/>
        <v>-2</v>
      </c>
      <c r="T163" s="176">
        <f t="shared" si="56"/>
        <v>4</v>
      </c>
      <c r="U163" s="250">
        <f t="shared" si="57"/>
        <v>-1.3366692022615156</v>
      </c>
      <c r="V163" s="382">
        <f t="shared" si="58"/>
        <v>58.201447713722956</v>
      </c>
      <c r="W163" s="400">
        <f t="shared" si="59"/>
        <v>58.931714096456702</v>
      </c>
      <c r="X163" s="157">
        <f t="shared" si="60"/>
        <v>46171</v>
      </c>
      <c r="Y163" s="383">
        <f t="shared" si="61"/>
        <v>56.631755547471862</v>
      </c>
      <c r="Z163" s="383">
        <f t="shared" si="62"/>
        <v>59.627901486710009</v>
      </c>
      <c r="AA163" s="384">
        <f t="shared" si="63"/>
        <v>64.829240360249656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8.0231371594612633E-2</v>
      </c>
      <c r="AD163" s="230">
        <f>(INDEX(Models!$BJ163:$BT163,,AH163)*(1-AF163)+INDEX(Models!$BJ163:$BT163,,AH163+1)*AF163-ERP_i)*AE163*Ramure*Pc/MaxiM</f>
        <v>3.5873766224514493E-4</v>
      </c>
      <c r="AE163" s="304">
        <f t="shared" si="65"/>
        <v>0.6</v>
      </c>
      <c r="AF163" s="177">
        <f t="shared" si="66"/>
        <v>0.18831836411246305</v>
      </c>
      <c r="AG163" s="799">
        <f t="shared" si="74"/>
        <v>2</v>
      </c>
      <c r="AH163" s="176">
        <f t="shared" si="67"/>
        <v>8</v>
      </c>
      <c r="AI163" s="224">
        <f t="shared" si="68"/>
        <v>2.1883183641124631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'2025'!Wh/'2025'!Env_an*'2026'!Env_an</f>
        <v>50.003117320303815</v>
      </c>
      <c r="C164" s="829"/>
      <c r="D164" s="391">
        <f t="shared" si="50"/>
        <v>52.649579148539637</v>
      </c>
      <c r="E164" s="383">
        <f t="shared" si="72"/>
        <v>55.033462954515251</v>
      </c>
      <c r="F164" s="383">
        <f t="shared" si="51"/>
        <v>55.033711481542042</v>
      </c>
      <c r="G164" s="110">
        <f t="shared" si="73"/>
        <v>0.85940027369969496</v>
      </c>
      <c r="H164" s="412" t="b">
        <f>Wh_hp&gt;='2025'!Maxi_hp</f>
        <v>0</v>
      </c>
      <c r="I164" s="388">
        <f>IF(H164,Wh_hp,'2025'!Maxi_hp)</f>
        <v>59.25879141798292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5.0265583714722339E-2</v>
      </c>
      <c r="M164" s="832"/>
      <c r="N164" s="832"/>
      <c r="O164" s="48">
        <f>IF(t&lt;Tnet,'2025'!Resal+('2025'!Salim-'2025'!Resal)*(1-EXP(('2025'!Tnet-t)/('2025'!Tau_j))),Resal+(Salim-Resal)*(1-EXP((Tnet-t)/(Tau_j))))*Salcycl</f>
        <v>4.3316987120106835E-2</v>
      </c>
      <c r="P164" s="169">
        <f>(INDEX(Models!$BJ164:$BT164,,T164)*(1-R164)+INDEX(Models!$BJ164:$BT164,,T164+1)*R164-ERP_i)*Q164*Ramure*Pc/MaxiM</f>
        <v>5.6509235225117383E-6</v>
      </c>
      <c r="Q164" s="304">
        <f t="shared" si="53"/>
        <v>0.6</v>
      </c>
      <c r="R164" s="177">
        <f t="shared" si="54"/>
        <v>0.66819952667857185</v>
      </c>
      <c r="S164" s="799">
        <f t="shared" si="55"/>
        <v>-2</v>
      </c>
      <c r="T164" s="176">
        <f t="shared" si="56"/>
        <v>4</v>
      </c>
      <c r="U164" s="250">
        <f t="shared" si="57"/>
        <v>-1.3318004733214281</v>
      </c>
      <c r="V164" s="382">
        <f t="shared" si="58"/>
        <v>58.183668420692982</v>
      </c>
      <c r="W164" s="400">
        <f t="shared" si="59"/>
        <v>50.003117320303815</v>
      </c>
      <c r="X164" s="157">
        <f t="shared" si="60"/>
        <v>46172</v>
      </c>
      <c r="Y164" s="383">
        <f t="shared" si="61"/>
        <v>48.055570111426931</v>
      </c>
      <c r="Z164" s="383">
        <f t="shared" si="62"/>
        <v>50.598956179126375</v>
      </c>
      <c r="AA164" s="384">
        <f t="shared" si="63"/>
        <v>55.018034892358251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8.0320548014441412E-2</v>
      </c>
      <c r="AD164" s="230">
        <f>(INDEX(Models!$BJ164:$BT164,,AH164)*(1-AF164)+INDEX(Models!$BJ164:$BT164,,AH164+1)*AF164-ERP_i)*AE164*Ramure*Pc/MaxiM</f>
        <v>3.5644898551643993E-4</v>
      </c>
      <c r="AE164" s="304">
        <f t="shared" si="65"/>
        <v>0.6</v>
      </c>
      <c r="AF164" s="177">
        <f t="shared" si="66"/>
        <v>0.19318709305255055</v>
      </c>
      <c r="AG164" s="799">
        <f t="shared" si="74"/>
        <v>2</v>
      </c>
      <c r="AH164" s="176">
        <f t="shared" si="67"/>
        <v>8</v>
      </c>
      <c r="AI164" s="224">
        <f t="shared" si="68"/>
        <v>2.1931870930525506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'2025'!Wh/'2025'!Env_an*'2026'!Env_an</f>
        <v>54.205371922997507</v>
      </c>
      <c r="C165" s="829"/>
      <c r="D165" s="391">
        <f t="shared" si="50"/>
        <v>57.075335848639241</v>
      </c>
      <c r="E165" s="383">
        <f t="shared" si="72"/>
        <v>59.665945683968239</v>
      </c>
      <c r="F165" s="383">
        <f t="shared" si="51"/>
        <v>59.666252360658731</v>
      </c>
      <c r="G165" s="110">
        <f t="shared" si="73"/>
        <v>0.93197847703138059</v>
      </c>
      <c r="H165" s="412" t="b">
        <f>Wh_hp&gt;='2025'!Maxi_hp</f>
        <v>0</v>
      </c>
      <c r="I165" s="388">
        <f>IF(H165,Wh_hp,'2025'!Maxi_hp)</f>
        <v>62.682352866116169</v>
      </c>
      <c r="J165" s="85">
        <f>IF(H165,An,'2025'!An_max)</f>
        <v>2018</v>
      </c>
      <c r="K165" s="197">
        <f t="shared" si="52"/>
        <v>46173</v>
      </c>
      <c r="L165" s="147">
        <f>IF(t&lt;Tvie,1-EXP((T0-t)*PertePVj)+'2025'!Pspv,1-EXP((T0-t)*PertePVj)+Pspv)</f>
        <v>5.0283785158141248E-2</v>
      </c>
      <c r="M165" s="832"/>
      <c r="N165" s="832"/>
      <c r="O165" s="48">
        <f>IF(t&lt;Tnet,'2025'!Resal+('2025'!Salim-'2025'!Resal)*(1-EXP(('2025'!Tnet-t)/('2025'!Tau_j))),Resal+(Salim-Resal)*(1-EXP((Tnet-t)/(Tau_j))))*Salcycl</f>
        <v>4.3418566581524431E-2</v>
      </c>
      <c r="P165" s="169">
        <f>(INDEX(Models!$BJ165:$BT165,,T165)*(1-R165)+INDEX(Models!$BJ165:$BT165,,T165+1)*R165-ERP_i)*Q165*Ramure*Pc/MaxiM</f>
        <v>5.6930815515090789E-6</v>
      </c>
      <c r="Q165" s="304">
        <f t="shared" si="53"/>
        <v>0.6</v>
      </c>
      <c r="R165" s="177">
        <f t="shared" si="54"/>
        <v>0.67311292322819849</v>
      </c>
      <c r="S165" s="799">
        <f t="shared" si="55"/>
        <v>-2</v>
      </c>
      <c r="T165" s="176">
        <f t="shared" si="56"/>
        <v>4</v>
      </c>
      <c r="U165" s="250">
        <f t="shared" si="57"/>
        <v>-1.3268870767718015</v>
      </c>
      <c r="V165" s="382">
        <f t="shared" si="58"/>
        <v>58.161581272116166</v>
      </c>
      <c r="W165" s="400">
        <f t="shared" si="59"/>
        <v>54.205371922997507</v>
      </c>
      <c r="X165" s="157">
        <f t="shared" si="60"/>
        <v>46173</v>
      </c>
      <c r="Y165" s="383">
        <f t="shared" si="61"/>
        <v>52.09286263459795</v>
      </c>
      <c r="Z165" s="383">
        <f t="shared" si="62"/>
        <v>54.850977397782088</v>
      </c>
      <c r="AA165" s="384">
        <f t="shared" si="63"/>
        <v>59.647168857416524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8.0409373177450921E-2</v>
      </c>
      <c r="AD165" s="230">
        <f>(INDEX(Models!$BJ165:$BT165,,AH165)*(1-AF165)+INDEX(Models!$BJ165:$BT165,,AH165+1)*AF165-ERP_i)*AE165*Ramure*Pc/MaxiM</f>
        <v>3.5426213864312892E-4</v>
      </c>
      <c r="AE165" s="304">
        <f t="shared" si="65"/>
        <v>0.6</v>
      </c>
      <c r="AF165" s="177">
        <f t="shared" si="66"/>
        <v>0.19810048960217719</v>
      </c>
      <c r="AG165" s="799">
        <f t="shared" si="74"/>
        <v>2</v>
      </c>
      <c r="AH165" s="176">
        <f t="shared" si="67"/>
        <v>8</v>
      </c>
      <c r="AI165" s="224">
        <f t="shared" si="68"/>
        <v>2.1981004896021772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'2025'!Wh/'2025'!Env_an*'2026'!Env_an</f>
        <v>55.234522162789979</v>
      </c>
      <c r="C166" s="829"/>
      <c r="D166" s="391">
        <f t="shared" si="50"/>
        <v>58.160090221573306</v>
      </c>
      <c r="E166" s="383">
        <f t="shared" si="72"/>
        <v>60.806380056458032</v>
      </c>
      <c r="F166" s="383">
        <f t="shared" si="51"/>
        <v>60.80670387937343</v>
      </c>
      <c r="G166" s="110">
        <f t="shared" si="73"/>
        <v>0.95009787513969701</v>
      </c>
      <c r="H166" s="412" t="b">
        <f>Wh_hp&gt;='2025'!Maxi_hp</f>
        <v>0</v>
      </c>
      <c r="I166" s="388">
        <f>IF(H166,Wh_hp,'2025'!Maxi_hp)</f>
        <v>63.124729427681508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5.0301986252733633E-2</v>
      </c>
      <c r="M166" s="832"/>
      <c r="N166" s="832"/>
      <c r="O166" s="48">
        <f>IF(t&lt;Tnet,'2025'!Resal+('2025'!Salim-'2025'!Resal)*(1-EXP(('2025'!Tnet-t)/('2025'!Tau_j))),Resal+(Salim-Resal)*(1-EXP((Tnet-t)/(Tau_j))))*Salcycl</f>
        <v>4.3519937092582575E-2</v>
      </c>
      <c r="P166" s="169">
        <f>(INDEX(Models!$BJ166:$BT166,,T166)*(1-R166)+INDEX(Models!$BJ166:$BT166,,T166+1)*R166-ERP_i)*Q166*Ramure*Pc/MaxiM</f>
        <v>5.7342305479876896E-6</v>
      </c>
      <c r="Q166" s="304">
        <f t="shared" si="53"/>
        <v>0.6</v>
      </c>
      <c r="R166" s="177">
        <f t="shared" si="54"/>
        <v>0.67806740130528098</v>
      </c>
      <c r="S166" s="799">
        <f t="shared" si="55"/>
        <v>-2</v>
      </c>
      <c r="T166" s="176">
        <f t="shared" si="56"/>
        <v>4</v>
      </c>
      <c r="U166" s="250">
        <f t="shared" si="57"/>
        <v>-1.321932598694719</v>
      </c>
      <c r="V166" s="382">
        <f t="shared" si="58"/>
        <v>58.135589005098772</v>
      </c>
      <c r="W166" s="400">
        <f t="shared" si="59"/>
        <v>55.234522162789979</v>
      </c>
      <c r="X166" s="157">
        <f t="shared" si="60"/>
        <v>46174</v>
      </c>
      <c r="Y166" s="383">
        <f t="shared" si="61"/>
        <v>53.082052420637865</v>
      </c>
      <c r="Z166" s="383">
        <f t="shared" si="62"/>
        <v>55.893612129596448</v>
      </c>
      <c r="AA166" s="384">
        <f t="shared" si="63"/>
        <v>60.786815753236809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8.0497778391686939E-2</v>
      </c>
      <c r="AD166" s="230">
        <f>(INDEX(Models!$BJ166:$BT166,,AH166)*(1-AF166)+INDEX(Models!$BJ166:$BT166,,AH166+1)*AF166-ERP_i)*AE166*Ramure*Pc/MaxiM</f>
        <v>3.5217736302791319E-4</v>
      </c>
      <c r="AE166" s="304">
        <f t="shared" si="65"/>
        <v>0.6</v>
      </c>
      <c r="AF166" s="177">
        <f t="shared" si="66"/>
        <v>0.20305496767925968</v>
      </c>
      <c r="AG166" s="799">
        <f t="shared" si="74"/>
        <v>2</v>
      </c>
      <c r="AH166" s="176">
        <f t="shared" si="67"/>
        <v>8</v>
      </c>
      <c r="AI166" s="224">
        <f t="shared" si="68"/>
        <v>2.2030549676792597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'2025'!Wh/'2025'!Env_an*'2026'!Env_an</f>
        <v>44.051958417072953</v>
      </c>
      <c r="C167" s="829"/>
      <c r="D167" s="391">
        <f t="shared" si="50"/>
        <v>46.386116472082641</v>
      </c>
      <c r="E167" s="383">
        <f t="shared" si="72"/>
        <v>48.501817191875254</v>
      </c>
      <c r="F167" s="383">
        <f t="shared" si="51"/>
        <v>48.502000498041276</v>
      </c>
      <c r="G167" s="110">
        <f t="shared" si="73"/>
        <v>0.75812823372885918</v>
      </c>
      <c r="H167" s="412" t="b">
        <f>Wh_hp&gt;='2025'!Maxi_hp</f>
        <v>0</v>
      </c>
      <c r="I167" s="388">
        <f>IF(H167,Wh_hp,'2025'!Maxi_hp)</f>
        <v>62.353294055215706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5.0320186998506156E-2</v>
      </c>
      <c r="M167" s="832"/>
      <c r="N167" s="832"/>
      <c r="O167" s="48">
        <f>IF(t&lt;Tnet,'2025'!Resal+('2025'!Salim-'2025'!Resal)*(1-EXP(('2025'!Tnet-t)/('2025'!Tau_j))),Resal+(Salim-Resal)*(1-EXP((Tnet-t)/(Tau_j))))*Salcycl</f>
        <v>4.3621060865055995E-2</v>
      </c>
      <c r="P167" s="169">
        <f>(INDEX(Models!$BJ167:$BT167,,T167)*(1-R167)+INDEX(Models!$BJ167:$BT167,,T167+1)*R167-ERP_i)*Q167*Ramure*Pc/MaxiM</f>
        <v>5.7746673362193562E-6</v>
      </c>
      <c r="Q167" s="304">
        <f t="shared" si="53"/>
        <v>0.6</v>
      </c>
      <c r="R167" s="177">
        <f t="shared" si="54"/>
        <v>0.68305924471969348</v>
      </c>
      <c r="S167" s="799">
        <f t="shared" si="55"/>
        <v>-2</v>
      </c>
      <c r="T167" s="176">
        <f t="shared" si="56"/>
        <v>4</v>
      </c>
      <c r="U167" s="250">
        <f t="shared" si="57"/>
        <v>-1.3169407552803065</v>
      </c>
      <c r="V167" s="382">
        <f t="shared" si="58"/>
        <v>58.106094139976115</v>
      </c>
      <c r="W167" s="400">
        <f t="shared" si="59"/>
        <v>44.051958417072953</v>
      </c>
      <c r="X167" s="157">
        <f t="shared" si="60"/>
        <v>46175</v>
      </c>
      <c r="Y167" s="383">
        <f t="shared" si="61"/>
        <v>42.339776973036891</v>
      </c>
      <c r="Z167" s="383">
        <f t="shared" si="62"/>
        <v>44.583212566370818</v>
      </c>
      <c r="AA167" s="384">
        <f t="shared" si="63"/>
        <v>48.490884196752695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8.0585695540762323E-2</v>
      </c>
      <c r="AD167" s="230">
        <f>(INDEX(Models!$BJ167:$BT167,,AH167)*(1-AF167)+INDEX(Models!$BJ167:$BT167,,AH167+1)*AF167-ERP_i)*AE167*Ramure*Pc/MaxiM</f>
        <v>3.5019521353003743E-4</v>
      </c>
      <c r="AE167" s="304">
        <f t="shared" si="65"/>
        <v>0.6</v>
      </c>
      <c r="AF167" s="177">
        <f t="shared" si="66"/>
        <v>0.20804681109367218</v>
      </c>
      <c r="AG167" s="799">
        <f t="shared" si="74"/>
        <v>2</v>
      </c>
      <c r="AH167" s="176">
        <f t="shared" si="67"/>
        <v>8</v>
      </c>
      <c r="AI167" s="224">
        <f t="shared" si="68"/>
        <v>2.2080468110936722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'2025'!Wh/'2025'!Env_an*'2026'!Env_an</f>
        <v>53.881741598132834</v>
      </c>
      <c r="C168" s="829"/>
      <c r="D168" s="391">
        <f t="shared" si="50"/>
        <v>56.737832595293803</v>
      </c>
      <c r="E168" s="383">
        <f t="shared" si="72"/>
        <v>59.331937663443789</v>
      </c>
      <c r="F168" s="383">
        <f t="shared" si="51"/>
        <v>59.332247089379663</v>
      </c>
      <c r="G168" s="110">
        <f t="shared" si="73"/>
        <v>0.92781923332654592</v>
      </c>
      <c r="H168" s="412" t="b">
        <f>Wh_hp&gt;='2025'!Maxi_hp</f>
        <v>1</v>
      </c>
      <c r="I168" s="388">
        <f>IF(H168,Wh_hp,'2025'!Maxi_hp)</f>
        <v>59.332247089379663</v>
      </c>
      <c r="J168" s="85">
        <f>IF(H168,An,'2025'!An_max)</f>
        <v>2026</v>
      </c>
      <c r="K168" s="197">
        <f t="shared" si="52"/>
        <v>46176</v>
      </c>
      <c r="L168" s="147">
        <f>IF(t&lt;Tvie,1-EXP((T0-t)*PertePVj)+'2025'!Pspv,1-EXP((T0-t)*PertePVj)+Pspv)</f>
        <v>5.0338387395465478E-2</v>
      </c>
      <c r="M168" s="832"/>
      <c r="N168" s="832"/>
      <c r="O168" s="48">
        <f>IF(t&lt;Tnet,'2025'!Resal+('2025'!Salim-'2025'!Resal)*(1-EXP(('2025'!Tnet-t)/('2025'!Tau_j))),Resal+(Salim-Resal)*(1-EXP((Tnet-t)/(Tau_j))))*Salcycl</f>
        <v>4.3721900384660672E-2</v>
      </c>
      <c r="P168" s="169">
        <f>(INDEX(Models!$BJ168:$BT168,,T168)*(1-R168)+INDEX(Models!$BJ168:$BT168,,T168+1)*R168-ERP_i)*Q168*Ramure*Pc/MaxiM</f>
        <v>5.8147219913979016E-6</v>
      </c>
      <c r="Q168" s="304">
        <f t="shared" si="53"/>
        <v>0.6</v>
      </c>
      <c r="R168" s="177">
        <f t="shared" si="54"/>
        <v>0.68808461750196548</v>
      </c>
      <c r="S168" s="799">
        <f t="shared" si="55"/>
        <v>-2</v>
      </c>
      <c r="T168" s="176">
        <f t="shared" si="56"/>
        <v>4</v>
      </c>
      <c r="U168" s="250">
        <f t="shared" si="57"/>
        <v>-1.3119153824980345</v>
      </c>
      <c r="V168" s="382">
        <f t="shared" si="58"/>
        <v>58.07349897050814</v>
      </c>
      <c r="W168" s="400">
        <f t="shared" si="59"/>
        <v>53.881741598132834</v>
      </c>
      <c r="X168" s="157">
        <f t="shared" si="60"/>
        <v>46176</v>
      </c>
      <c r="Y168" s="383">
        <f t="shared" si="61"/>
        <v>51.783806745232795</v>
      </c>
      <c r="Z168" s="383">
        <f t="shared" si="62"/>
        <v>54.528693229171317</v>
      </c>
      <c r="AA168" s="384">
        <f t="shared" si="63"/>
        <v>59.313711693760361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8.0673057341181562E-2</v>
      </c>
      <c r="AD168" s="230">
        <f>(INDEX(Models!$BJ168:$BT168,,AH168)*(1-AF168)+INDEX(Models!$BJ168:$BT168,,AH168+1)*AF168-ERP_i)*AE168*Ramure*Pc/MaxiM</f>
        <v>3.4831654373528568E-4</v>
      </c>
      <c r="AE168" s="304">
        <f t="shared" si="65"/>
        <v>0.6</v>
      </c>
      <c r="AF168" s="177">
        <f t="shared" si="66"/>
        <v>0.21307218387594418</v>
      </c>
      <c r="AG168" s="799">
        <f t="shared" si="74"/>
        <v>2</v>
      </c>
      <c r="AH168" s="176">
        <f t="shared" si="67"/>
        <v>8</v>
      </c>
      <c r="AI168" s="224">
        <f t="shared" si="68"/>
        <v>2.2130721838759442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'2025'!Wh/'2025'!Env_an*'2026'!Env_an</f>
        <v>25.686876813168588</v>
      </c>
      <c r="C169" s="829"/>
      <c r="D169" s="391">
        <f t="shared" si="50"/>
        <v>27.048970669970846</v>
      </c>
      <c r="E169" s="383">
        <f t="shared" si="72"/>
        <v>28.288647626606064</v>
      </c>
      <c r="F169" s="383">
        <f t="shared" si="51"/>
        <v>28.288681363059204</v>
      </c>
      <c r="G169" s="110">
        <f t="shared" si="73"/>
        <v>0.44258358458059027</v>
      </c>
      <c r="H169" s="412" t="b">
        <f>Wh_hp&gt;='2025'!Maxi_hp</f>
        <v>0</v>
      </c>
      <c r="I169" s="388">
        <f>IF(H169,Wh_hp,'2025'!Maxi_hp)</f>
        <v>57.206955445857666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5.0356587443618483E-2</v>
      </c>
      <c r="M169" s="832"/>
      <c r="N169" s="832"/>
      <c r="O169" s="48">
        <f>IF(t&lt;Tnet,'2025'!Resal+('2025'!Salim-'2025'!Resal)*(1-EXP(('2025'!Tnet-t)/('2025'!Tau_j))),Resal+(Salim-Resal)*(1-EXP((Tnet-t)/(Tau_j))))*Salcycl</f>
        <v>4.3822418554546869E-2</v>
      </c>
      <c r="P169" s="169">
        <f>(INDEX(Models!$BJ169:$BT169,,T169)*(1-R169)+INDEX(Models!$BJ169:$BT169,,T169+1)*R169-ERP_i)*Q169*Ramure*Pc/MaxiM</f>
        <v>5.8547579341559891E-6</v>
      </c>
      <c r="Q169" s="304">
        <f t="shared" si="53"/>
        <v>0.6</v>
      </c>
      <c r="R169" s="177">
        <f t="shared" si="54"/>
        <v>0.69313957503162515</v>
      </c>
      <c r="S169" s="799">
        <f t="shared" si="55"/>
        <v>-2</v>
      </c>
      <c r="T169" s="176">
        <f t="shared" si="56"/>
        <v>4</v>
      </c>
      <c r="U169" s="250">
        <f t="shared" si="57"/>
        <v>-1.3068604249683748</v>
      </c>
      <c r="V169" s="382">
        <f t="shared" si="58"/>
        <v>58.038205552789648</v>
      </c>
      <c r="W169" s="400">
        <f t="shared" si="59"/>
        <v>25.686876813168588</v>
      </c>
      <c r="X169" s="157">
        <f t="shared" si="60"/>
        <v>46177</v>
      </c>
      <c r="Y169" s="383">
        <f t="shared" si="61"/>
        <v>24.692872632461022</v>
      </c>
      <c r="Z169" s="383">
        <f t="shared" si="62"/>
        <v>26.0022575905511</v>
      </c>
      <c r="AA169" s="384">
        <f t="shared" si="63"/>
        <v>28.286684506038597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8.0759797600168326E-2</v>
      </c>
      <c r="AD169" s="230">
        <f>(INDEX(Models!$BJ169:$BT169,,AH169)*(1-AF169)+INDEX(Models!$BJ169:$BT169,,AH169+1)*AF169-ERP_i)*AE169*Ramure*Pc/MaxiM</f>
        <v>3.465424903064212E-4</v>
      </c>
      <c r="AE169" s="304">
        <f t="shared" si="65"/>
        <v>0.6</v>
      </c>
      <c r="AF169" s="177">
        <f t="shared" si="66"/>
        <v>0.21812714140560363</v>
      </c>
      <c r="AG169" s="799">
        <f t="shared" si="74"/>
        <v>2</v>
      </c>
      <c r="AH169" s="176">
        <f t="shared" si="67"/>
        <v>8</v>
      </c>
      <c r="AI169" s="224">
        <f t="shared" si="68"/>
        <v>2.2181271414056036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'2025'!Wh/'2025'!Env_an*'2026'!Env_an</f>
        <v>35.395330070379373</v>
      </c>
      <c r="C170" s="829"/>
      <c r="D170" s="391">
        <f t="shared" si="50"/>
        <v>37.272946833298057</v>
      </c>
      <c r="E170" s="383">
        <f t="shared" ref="E170:E232" si="75">Wh_pvt/(1-Psa)</f>
        <v>38.985280907525649</v>
      </c>
      <c r="F170" s="383">
        <f t="shared" si="51"/>
        <v>38.985382862272253</v>
      </c>
      <c r="G170" s="110">
        <f t="shared" ref="G170:G232" si="76">+Wh_hp/MaxiM</f>
        <v>0.61025583170753472</v>
      </c>
      <c r="H170" s="412" t="b">
        <f>Wh_hp&gt;='2025'!Maxi_hp</f>
        <v>0</v>
      </c>
      <c r="I170" s="388">
        <f>IF(H170,Wh_hp,'2025'!Maxi_hp)</f>
        <v>45.501902889660293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5.0374787142971611E-2</v>
      </c>
      <c r="M170" s="832"/>
      <c r="N170" s="832"/>
      <c r="O170" s="48">
        <f>IF(t&lt;Tnet,'2025'!Resal+('2025'!Salim-'2025'!Resal)*(1-EXP(('2025'!Tnet-t)/('2025'!Tau_j))),Resal+(Salim-Resal)*(1-EXP((Tnet-t)/(Tau_j))))*Salcycl</f>
        <v>4.3922578839159919E-2</v>
      </c>
      <c r="P170" s="169">
        <f>(INDEX(Models!$BJ170:$BT170,,T170)*(1-R170)+INDEX(Models!$BJ170:$BT170,,T170+1)*R170-ERP_i)*Q170*Ramure*Pc/MaxiM</f>
        <v>5.9003928248023593E-6</v>
      </c>
      <c r="Q170" s="304">
        <f t="shared" si="53"/>
        <v>0.6</v>
      </c>
      <c r="R170" s="177">
        <f t="shared" si="54"/>
        <v>0.69822007590189705</v>
      </c>
      <c r="S170" s="799">
        <f t="shared" si="55"/>
        <v>-2</v>
      </c>
      <c r="T170" s="176">
        <f t="shared" si="56"/>
        <v>4</v>
      </c>
      <c r="U170" s="250">
        <f t="shared" si="57"/>
        <v>-1.3017799240981029</v>
      </c>
      <c r="V170" s="382">
        <f t="shared" si="58"/>
        <v>58.000615398807753</v>
      </c>
      <c r="W170" s="400">
        <f t="shared" si="59"/>
        <v>35.395330070379373</v>
      </c>
      <c r="X170" s="157">
        <f t="shared" si="60"/>
        <v>46178</v>
      </c>
      <c r="Y170" s="383">
        <f t="shared" si="61"/>
        <v>34.023263310192107</v>
      </c>
      <c r="Z170" s="383">
        <f t="shared" si="62"/>
        <v>35.828096020987289</v>
      </c>
      <c r="AA170" s="384">
        <f t="shared" si="63"/>
        <v>38.979420457795449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8.0845851472322997E-2</v>
      </c>
      <c r="AD170" s="230">
        <f>(INDEX(Models!$BJ170:$BT170,,AH170)*(1-AF170)+INDEX(Models!$BJ170:$BT170,,AH170+1)*AF170-ERP_i)*AE170*Ramure*Pc/MaxiM</f>
        <v>3.4506023274863775E-4</v>
      </c>
      <c r="AE170" s="304">
        <f t="shared" si="65"/>
        <v>0.6</v>
      </c>
      <c r="AF170" s="177">
        <f t="shared" si="66"/>
        <v>0.22320764227587597</v>
      </c>
      <c r="AG170" s="799">
        <f t="shared" si="74"/>
        <v>2</v>
      </c>
      <c r="AH170" s="176">
        <f t="shared" si="67"/>
        <v>8</v>
      </c>
      <c r="AI170" s="224">
        <f t="shared" si="68"/>
        <v>2.223207642275876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'2025'!Wh/'2025'!Env_an*'2026'!Env_an</f>
        <v>46.169672729128671</v>
      </c>
      <c r="C171" s="829"/>
      <c r="D171" s="391">
        <f t="shared" si="50"/>
        <v>48.619768043461463</v>
      </c>
      <c r="E171" s="383">
        <f t="shared" si="75"/>
        <v>50.858686717094869</v>
      </c>
      <c r="F171" s="383">
        <f t="shared" si="51"/>
        <v>50.858901201124226</v>
      </c>
      <c r="G171" s="110">
        <f t="shared" si="76"/>
        <v>0.7965612916461472</v>
      </c>
      <c r="H171" s="412" t="b">
        <f>Wh_hp&gt;='2025'!Maxi_hp</f>
        <v>0</v>
      </c>
      <c r="I171" s="388">
        <f>IF(H171,Wh_hp,'2025'!Maxi_hp)</f>
        <v>58.87079114151684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5.0392986493531633E-2</v>
      </c>
      <c r="M171" s="832"/>
      <c r="N171" s="832"/>
      <c r="O171" s="48">
        <f>IF(t&lt;Tnet,'2025'!Resal+('2025'!Salim-'2025'!Resal)*(1-EXP(('2025'!Tnet-t)/('2025'!Tau_j))),Resal+(Salim-Resal)*(1-EXP((Tnet-t)/(Tau_j))))*Salcycl</f>
        <v>4.4022345407531936E-2</v>
      </c>
      <c r="P171" s="169">
        <f>(INDEX(Models!$BJ171:$BT171,,T171)*(1-R171)+INDEX(Models!$BJ171:$BT171,,T171+1)*R171-ERP_i)*Q171*Ramure*Pc/MaxiM</f>
        <v>5.9450013971092881E-6</v>
      </c>
      <c r="Q171" s="304">
        <f t="shared" si="53"/>
        <v>0.6</v>
      </c>
      <c r="R171" s="177">
        <f t="shared" si="54"/>
        <v>0.70332199444903698</v>
      </c>
      <c r="S171" s="799">
        <f t="shared" si="55"/>
        <v>-2</v>
      </c>
      <c r="T171" s="176">
        <f t="shared" si="56"/>
        <v>4</v>
      </c>
      <c r="U171" s="250">
        <f t="shared" si="57"/>
        <v>-1.296678005550963</v>
      </c>
      <c r="V171" s="382">
        <f t="shared" si="58"/>
        <v>57.961130477547243</v>
      </c>
      <c r="W171" s="400">
        <f t="shared" si="59"/>
        <v>46.169672729128671</v>
      </c>
      <c r="X171" s="157">
        <f t="shared" si="60"/>
        <v>46179</v>
      </c>
      <c r="Y171" s="383">
        <f t="shared" si="61"/>
        <v>44.376498288614471</v>
      </c>
      <c r="Z171" s="383">
        <f t="shared" si="62"/>
        <v>46.731434854037325</v>
      </c>
      <c r="AA171" s="384">
        <f t="shared" si="63"/>
        <v>50.846500939014767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8.0931155713409808E-2</v>
      </c>
      <c r="AD171" s="230">
        <f>(INDEX(Models!$BJ171:$BT171,,AH171)*(1-AF171)+INDEX(Models!$BJ171:$BT171,,AH171+1)*AF171-ERP_i)*AE171*Ramure*Pc/MaxiM</f>
        <v>3.437065957120636E-4</v>
      </c>
      <c r="AE171" s="304">
        <f t="shared" si="65"/>
        <v>0.6</v>
      </c>
      <c r="AF171" s="177">
        <f t="shared" si="66"/>
        <v>0.2283095608230159</v>
      </c>
      <c r="AG171" s="799">
        <f t="shared" si="74"/>
        <v>2</v>
      </c>
      <c r="AH171" s="176">
        <f t="shared" si="67"/>
        <v>8</v>
      </c>
      <c r="AI171" s="224">
        <f t="shared" si="68"/>
        <v>2.2283095608230159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'2025'!Wh/'2025'!Env_an*'2026'!Env_an</f>
        <v>28.006832980904022</v>
      </c>
      <c r="C172" s="829"/>
      <c r="D172" s="391">
        <f t="shared" si="50"/>
        <v>29.493642461987488</v>
      </c>
      <c r="E172" s="383">
        <f t="shared" si="75"/>
        <v>30.855017784103776</v>
      </c>
      <c r="F172" s="383">
        <f t="shared" si="51"/>
        <v>30.85506623553426</v>
      </c>
      <c r="G172" s="110">
        <f t="shared" si="76"/>
        <v>0.48353998072758198</v>
      </c>
      <c r="H172" s="412" t="b">
        <f>Wh_hp&gt;='2025'!Maxi_hp</f>
        <v>0</v>
      </c>
      <c r="I172" s="388">
        <f>IF(H172,Wh_hp,'2025'!Maxi_hp)</f>
        <v>52.613805955532094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5.0411185495305322E-2</v>
      </c>
      <c r="M172" s="832"/>
      <c r="N172" s="832"/>
      <c r="O172" s="48">
        <f>IF(t&lt;Tnet,'2025'!Resal+('2025'!Salim-'2025'!Resal)*(1-EXP(('2025'!Tnet-t)/('2025'!Tau_j))),Resal+(Salim-Resal)*(1-EXP((Tnet-t)/(Tau_j))))*Salcycl</f>
        <v>4.4121683275050887E-2</v>
      </c>
      <c r="P172" s="169">
        <f>(INDEX(Models!$BJ172:$BT172,,T172)*(1-R172)+INDEX(Models!$BJ172:$BT172,,T172+1)*R172-ERP_i)*Q172*Ramure*Pc/MaxiM</f>
        <v>5.9888360416382553E-6</v>
      </c>
      <c r="Q172" s="304">
        <f t="shared" si="53"/>
        <v>0.6</v>
      </c>
      <c r="R172" s="177">
        <f t="shared" si="54"/>
        <v>0.70844113386686303</v>
      </c>
      <c r="S172" s="799">
        <f t="shared" si="55"/>
        <v>-2</v>
      </c>
      <c r="T172" s="176">
        <f t="shared" si="56"/>
        <v>4</v>
      </c>
      <c r="U172" s="250">
        <f t="shared" si="57"/>
        <v>-1.291558866133137</v>
      </c>
      <c r="V172" s="382">
        <f t="shared" si="58"/>
        <v>57.920152102237601</v>
      </c>
      <c r="W172" s="400">
        <f t="shared" si="59"/>
        <v>28.006832980904022</v>
      </c>
      <c r="X172" s="157">
        <f t="shared" si="60"/>
        <v>46180</v>
      </c>
      <c r="Y172" s="383">
        <f t="shared" si="61"/>
        <v>26.923479619731591</v>
      </c>
      <c r="Z172" s="383">
        <f t="shared" si="62"/>
        <v>28.352776705541622</v>
      </c>
      <c r="AA172" s="384">
        <f t="shared" si="63"/>
        <v>30.852295441718965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8.1015648929559134E-2</v>
      </c>
      <c r="AD172" s="230">
        <f>(INDEX(Models!$BJ172:$BT172,,AH172)*(1-AF172)+INDEX(Models!$BJ172:$BT172,,AH172+1)*AF172-ERP_i)*AE172*Ramure*Pc/MaxiM</f>
        <v>3.4248379664136933E-4</v>
      </c>
      <c r="AE172" s="304">
        <f t="shared" si="65"/>
        <v>0.6</v>
      </c>
      <c r="AF172" s="177">
        <f t="shared" si="66"/>
        <v>0.23342870024084172</v>
      </c>
      <c r="AG172" s="799">
        <f t="shared" si="74"/>
        <v>2</v>
      </c>
      <c r="AH172" s="176">
        <f t="shared" si="67"/>
        <v>8</v>
      </c>
      <c r="AI172" s="224">
        <f t="shared" si="68"/>
        <v>2.2334287002408417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'2025'!Wh/'2025'!Env_an*'2026'!Env_an</f>
        <v>20.879809642240083</v>
      </c>
      <c r="C173" s="829"/>
      <c r="D173" s="391">
        <f t="shared" si="50"/>
        <v>21.988685510779316</v>
      </c>
      <c r="E173" s="383">
        <f t="shared" si="75"/>
        <v>23.006024773825526</v>
      </c>
      <c r="F173" s="383">
        <f t="shared" si="51"/>
        <v>23.006036818637309</v>
      </c>
      <c r="G173" s="110">
        <f t="shared" si="76"/>
        <v>0.36075305448525991</v>
      </c>
      <c r="H173" s="412" t="b">
        <f>Wh_hp&gt;='2025'!Maxi_hp</f>
        <v>0</v>
      </c>
      <c r="I173" s="388">
        <f>IF(H173,Wh_hp,'2025'!Maxi_hp)</f>
        <v>63.747853574878313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5.0429384148299339E-2</v>
      </c>
      <c r="M173" s="832"/>
      <c r="N173" s="832"/>
      <c r="O173" s="48">
        <f>IF(t&lt;Tnet,'2025'!Resal+('2025'!Salim-'2025'!Resal)*(1-EXP(('2025'!Tnet-t)/('2025'!Tau_j))),Resal+(Salim-Resal)*(1-EXP((Tnet-t)/(Tau_j))))*Salcycl</f>
        <v>4.4220558442745903E-2</v>
      </c>
      <c r="P173" s="169">
        <f>(INDEX(Models!$BJ173:$BT173,,T173)*(1-R173)+INDEX(Models!$BJ173:$BT173,,T173+1)*R173-ERP_i)*Q173*Ramure*Pc/MaxiM</f>
        <v>6.0321748801863684E-6</v>
      </c>
      <c r="Q173" s="304">
        <f t="shared" si="53"/>
        <v>0.6</v>
      </c>
      <c r="R173" s="177">
        <f t="shared" si="54"/>
        <v>0.71357323982012955</v>
      </c>
      <c r="S173" s="799">
        <f t="shared" si="55"/>
        <v>-2</v>
      </c>
      <c r="T173" s="176">
        <f t="shared" si="56"/>
        <v>4</v>
      </c>
      <c r="U173" s="250">
        <f t="shared" si="57"/>
        <v>-1.2864267601798705</v>
      </c>
      <c r="V173" s="382">
        <f t="shared" si="58"/>
        <v>57.878081317798511</v>
      </c>
      <c r="W173" s="400">
        <f t="shared" si="59"/>
        <v>20.879809642240083</v>
      </c>
      <c r="X173" s="157">
        <f t="shared" si="60"/>
        <v>46181</v>
      </c>
      <c r="Y173" s="383">
        <f t="shared" si="61"/>
        <v>20.073578681831133</v>
      </c>
      <c r="Z173" s="383">
        <f t="shared" si="62"/>
        <v>21.139637586433199</v>
      </c>
      <c r="AA173" s="384">
        <f t="shared" si="63"/>
        <v>23.005355135920844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8.1099271820172361E-2</v>
      </c>
      <c r="AD173" s="230">
        <f>(INDEX(Models!$BJ173:$BT173,,AH173)*(1-AF173)+INDEX(Models!$BJ173:$BT173,,AH173+1)*AF173-ERP_i)*AE173*Ramure*Pc/MaxiM</f>
        <v>3.4139423951336917E-4</v>
      </c>
      <c r="AE173" s="304">
        <f t="shared" si="65"/>
        <v>0.6</v>
      </c>
      <c r="AF173" s="177">
        <f t="shared" si="66"/>
        <v>0.23856080619410847</v>
      </c>
      <c r="AG173" s="799">
        <f t="shared" si="74"/>
        <v>2</v>
      </c>
      <c r="AH173" s="176">
        <f t="shared" si="67"/>
        <v>8</v>
      </c>
      <c r="AI173" s="224">
        <f t="shared" si="68"/>
        <v>2.2385608061941085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'2025'!Wh/'2025'!Env_an*'2026'!Env_an</f>
        <v>45.490712557414035</v>
      </c>
      <c r="C174" s="829"/>
      <c r="D174" s="391">
        <f t="shared" si="50"/>
        <v>47.907531713634334</v>
      </c>
      <c r="E174" s="383">
        <f t="shared" si="75"/>
        <v>50.129204836430056</v>
      </c>
      <c r="F174" s="383">
        <f t="shared" si="51"/>
        <v>50.129416524616133</v>
      </c>
      <c r="G174" s="110">
        <f t="shared" si="76"/>
        <v>0.78655446453500455</v>
      </c>
      <c r="H174" s="412" t="b">
        <f>Wh_hp&gt;='2025'!Maxi_hp</f>
        <v>0</v>
      </c>
      <c r="I174" s="388">
        <f>IF(H174,Wh_hp,'2025'!Maxi_hp)</f>
        <v>60.451525350346095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5.0447582452520234E-2</v>
      </c>
      <c r="M174" s="832"/>
      <c r="N174" s="832"/>
      <c r="O174" s="48">
        <f>IF(t&lt;Tnet,'2025'!Resal+('2025'!Salim-'2025'!Resal)*(1-EXP(('2025'!Tnet-t)/('2025'!Tau_j))),Resal+(Salim-Resal)*(1-EXP((Tnet-t)/(Tau_j))))*Salcycl</f>
        <v>4.4318938033127891E-2</v>
      </c>
      <c r="P174" s="169">
        <f>(INDEX(Models!$BJ174:$BT174,,T174)*(1-R174)+INDEX(Models!$BJ174:$BT174,,T174+1)*R174-ERP_i)*Q174*Ramure*Pc/MaxiM</f>
        <v>6.075321276405012E-6</v>
      </c>
      <c r="Q174" s="304">
        <f t="shared" si="53"/>
        <v>0.6</v>
      </c>
      <c r="R174" s="177">
        <f t="shared" si="54"/>
        <v>0.7187140144644355</v>
      </c>
      <c r="S174" s="799">
        <f t="shared" si="55"/>
        <v>-2</v>
      </c>
      <c r="T174" s="176">
        <f t="shared" si="56"/>
        <v>4</v>
      </c>
      <c r="U174" s="250">
        <f t="shared" si="57"/>
        <v>-1.2812859855355645</v>
      </c>
      <c r="V174" s="382">
        <f t="shared" si="58"/>
        <v>57.83531889678919</v>
      </c>
      <c r="W174" s="400">
        <f t="shared" si="59"/>
        <v>45.490712557414035</v>
      </c>
      <c r="X174" s="157">
        <f t="shared" si="60"/>
        <v>46182</v>
      </c>
      <c r="Y174" s="383">
        <f t="shared" si="61"/>
        <v>43.725856264635247</v>
      </c>
      <c r="Z174" s="383">
        <f t="shared" si="62"/>
        <v>46.048912578803325</v>
      </c>
      <c r="AA174" s="384">
        <f t="shared" si="63"/>
        <v>50.117554233389242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8.118196741283347E-2</v>
      </c>
      <c r="AD174" s="230">
        <f>(INDEX(Models!$BJ174:$BT174,,AH174)*(1-AF174)+INDEX(Models!$BJ174:$BT174,,AH174+1)*AF174-ERP_i)*AE174*Ramure*Pc/MaxiM</f>
        <v>3.4044049226969106E-4</v>
      </c>
      <c r="AE174" s="304">
        <f t="shared" si="65"/>
        <v>0.6</v>
      </c>
      <c r="AF174" s="177">
        <f t="shared" si="66"/>
        <v>0.24370158083841398</v>
      </c>
      <c r="AG174" s="799">
        <f t="shared" si="74"/>
        <v>2</v>
      </c>
      <c r="AH174" s="176">
        <f t="shared" si="67"/>
        <v>8</v>
      </c>
      <c r="AI174" s="224">
        <f t="shared" si="68"/>
        <v>2.243701580838414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'2025'!Wh/'2025'!Env_an*'2026'!Env_an</f>
        <v>56.750654479434367</v>
      </c>
      <c r="C175" s="829"/>
      <c r="D175" s="391">
        <f t="shared" si="50"/>
        <v>59.766834421004575</v>
      </c>
      <c r="E175" s="383">
        <f t="shared" si="75"/>
        <v>62.544877119989984</v>
      </c>
      <c r="F175" s="383">
        <f t="shared" si="51"/>
        <v>62.545249956191086</v>
      </c>
      <c r="G175" s="110">
        <f t="shared" si="76"/>
        <v>0.98197648445089314</v>
      </c>
      <c r="H175" s="412" t="b">
        <f>Wh_hp&gt;='2025'!Maxi_hp</f>
        <v>1</v>
      </c>
      <c r="I175" s="388">
        <f>IF(H175,Wh_hp,'2025'!Maxi_hp)</f>
        <v>62.545249956191086</v>
      </c>
      <c r="J175" s="85">
        <f>IF(H175,An,'2025'!An_max)</f>
        <v>2026</v>
      </c>
      <c r="K175" s="197">
        <f t="shared" si="52"/>
        <v>46183</v>
      </c>
      <c r="L175" s="147">
        <f>IF(t&lt;Tvie,1-EXP((T0-t)*PertePVj)+'2025'!Pspv,1-EXP((T0-t)*PertePVj)+Pspv)</f>
        <v>5.0465780407974781E-2</v>
      </c>
      <c r="M175" s="832"/>
      <c r="N175" s="832"/>
      <c r="O175" s="48">
        <f>IF(t&lt;Tnet,'2025'!Resal+('2025'!Salim-'2025'!Resal)*(1-EXP(('2025'!Tnet-t)/('2025'!Tau_j))),Resal+(Salim-Resal)*(1-EXP((Tnet-t)/(Tau_j))))*Salcycl</f>
        <v>4.4416790421633344E-2</v>
      </c>
      <c r="P175" s="169">
        <f>(INDEX(Models!$BJ175:$BT175,,T175)*(1-R175)+INDEX(Models!$BJ175:$BT175,,T175+1)*R175-ERP_i)*Q175*Ramure*Pc/MaxiM</f>
        <v>6.1186031144510876E-6</v>
      </c>
      <c r="Q175" s="304">
        <f t="shared" si="53"/>
        <v>0.6</v>
      </c>
      <c r="R175" s="177">
        <f t="shared" si="54"/>
        <v>0.72385913077544695</v>
      </c>
      <c r="S175" s="799">
        <f t="shared" si="55"/>
        <v>-2</v>
      </c>
      <c r="T175" s="176">
        <f t="shared" si="56"/>
        <v>4</v>
      </c>
      <c r="U175" s="250">
        <f t="shared" si="57"/>
        <v>-1.2761408692245531</v>
      </c>
      <c r="V175" s="382">
        <f t="shared" si="58"/>
        <v>57.792265331724288</v>
      </c>
      <c r="W175" s="400">
        <f t="shared" si="59"/>
        <v>56.750654479434367</v>
      </c>
      <c r="X175" s="157">
        <f t="shared" si="60"/>
        <v>46183</v>
      </c>
      <c r="Y175" s="383">
        <f t="shared" si="61"/>
        <v>54.544644368685688</v>
      </c>
      <c r="Z175" s="383">
        <f t="shared" si="62"/>
        <v>57.443579434263278</v>
      </c>
      <c r="AA175" s="384">
        <f t="shared" si="63"/>
        <v>62.524554939582842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8.1263681288563885E-2</v>
      </c>
      <c r="AD175" s="230">
        <f>(INDEX(Models!$BJ175:$BT175,,AH175)*(1-AF175)+INDEX(Models!$BJ175:$BT175,,AH175+1)*AF175-ERP_i)*AE175*Ramure*Pc/MaxiM</f>
        <v>3.3962526358625501E-4</v>
      </c>
      <c r="AE175" s="304">
        <f t="shared" si="65"/>
        <v>0.6</v>
      </c>
      <c r="AF175" s="177">
        <f t="shared" si="66"/>
        <v>0.24884669714942564</v>
      </c>
      <c r="AG175" s="799">
        <f t="shared" si="74"/>
        <v>2</v>
      </c>
      <c r="AH175" s="176">
        <f t="shared" si="67"/>
        <v>8</v>
      </c>
      <c r="AI175" s="224">
        <f t="shared" si="68"/>
        <v>2.2488466971494256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'2025'!Wh/'2025'!Env_an*'2026'!Env_an</f>
        <v>54.842048802844843</v>
      </c>
      <c r="C176" s="829"/>
      <c r="D176" s="391">
        <f t="shared" si="50"/>
        <v>57.757897216074717</v>
      </c>
      <c r="E176" s="383">
        <f t="shared" si="75"/>
        <v>60.448716544400064</v>
      </c>
      <c r="F176" s="383">
        <f t="shared" si="51"/>
        <v>60.44906226365989</v>
      </c>
      <c r="G176" s="110">
        <f t="shared" si="76"/>
        <v>0.94965661429130932</v>
      </c>
      <c r="H176" s="412" t="b">
        <f>Wh_hp&gt;='2025'!Maxi_hp</f>
        <v>1</v>
      </c>
      <c r="I176" s="388">
        <f>IF(H176,Wh_hp,'2025'!Maxi_hp)</f>
        <v>60.44906226365989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5.048397801466975E-2</v>
      </c>
      <c r="M176" s="832"/>
      <c r="N176" s="832"/>
      <c r="O176" s="48">
        <f>IF(t&lt;Tnet,'2025'!Resal+('2025'!Salim-'2025'!Resal)*(1-EXP(('2025'!Tnet-t)/('2025'!Tau_j))),Resal+(Salim-Resal)*(1-EXP((Tnet-t)/(Tau_j))))*Salcycl</f>
        <v>4.4514085362737432E-2</v>
      </c>
      <c r="P176" s="169">
        <f>(INDEX(Models!$BJ176:$BT176,,T176)*(1-R176)+INDEX(Models!$BJ176:$BT176,,T176+1)*R176-ERP_i)*Q176*Ramure*Pc/MaxiM</f>
        <v>6.1623718448176278E-6</v>
      </c>
      <c r="Q176" s="304">
        <f t="shared" si="53"/>
        <v>0.6</v>
      </c>
      <c r="R176" s="177">
        <f t="shared" si="54"/>
        <v>0.72900424708645839</v>
      </c>
      <c r="S176" s="799">
        <f t="shared" si="55"/>
        <v>-2</v>
      </c>
      <c r="T176" s="176">
        <f t="shared" si="56"/>
        <v>4</v>
      </c>
      <c r="U176" s="250">
        <f t="shared" si="57"/>
        <v>-1.2709957529135416</v>
      </c>
      <c r="V176" s="382">
        <f t="shared" si="58"/>
        <v>57.749320830306196</v>
      </c>
      <c r="W176" s="400">
        <f t="shared" si="59"/>
        <v>54.842048802844843</v>
      </c>
      <c r="X176" s="157">
        <f t="shared" si="60"/>
        <v>46184</v>
      </c>
      <c r="Y176" s="383">
        <f t="shared" si="61"/>
        <v>52.711815063369777</v>
      </c>
      <c r="Z176" s="383">
        <f t="shared" si="62"/>
        <v>55.51440296200095</v>
      </c>
      <c r="AA176" s="384">
        <f t="shared" si="63"/>
        <v>60.43004653029891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8.1344361795804829E-2</v>
      </c>
      <c r="AD176" s="230">
        <f>(INDEX(Models!$BJ176:$BT176,,AH176)*(1-AF176)+INDEX(Models!$BJ176:$BT176,,AH176+1)*AF176-ERP_i)*AE176*Ramure*Pc/MaxiM</f>
        <v>3.3895137901966368E-4</v>
      </c>
      <c r="AE176" s="304">
        <f t="shared" si="65"/>
        <v>0.6</v>
      </c>
      <c r="AF176" s="177">
        <f t="shared" si="66"/>
        <v>0.25399181346043731</v>
      </c>
      <c r="AG176" s="799">
        <f t="shared" si="74"/>
        <v>2</v>
      </c>
      <c r="AH176" s="176">
        <f t="shared" si="67"/>
        <v>8</v>
      </c>
      <c r="AI176" s="224">
        <f t="shared" si="68"/>
        <v>2.2539918134604373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'2025'!Wh/'2025'!Env_an*'2026'!Env_an</f>
        <v>42.571040995601308</v>
      </c>
      <c r="C177" s="829"/>
      <c r="D177" s="391">
        <f t="shared" si="50"/>
        <v>44.835322300842492</v>
      </c>
      <c r="E177" s="383">
        <f t="shared" si="75"/>
        <v>46.928855825901586</v>
      </c>
      <c r="F177" s="383">
        <f t="shared" si="51"/>
        <v>46.929037977785541</v>
      </c>
      <c r="G177" s="110">
        <f t="shared" si="76"/>
        <v>0.73772265369201573</v>
      </c>
      <c r="H177" s="412" t="b">
        <f>Wh_hp&gt;='2025'!Maxi_hp</f>
        <v>0</v>
      </c>
      <c r="I177" s="388">
        <f>IF(H177,Wh_hp,'2025'!Maxi_hp)</f>
        <v>56.41651381708197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5.0502175272611693E-2</v>
      </c>
      <c r="M177" s="832"/>
      <c r="N177" s="832"/>
      <c r="O177" s="48">
        <f>IF(t&lt;Tnet,'2025'!Resal+('2025'!Salim-'2025'!Resal)*(1-EXP(('2025'!Tnet-t)/('2025'!Tau_j))),Resal+(Salim-Resal)*(1-EXP((Tnet-t)/(Tau_j))))*Salcycl</f>
        <v>4.4610794109827948E-2</v>
      </c>
      <c r="P177" s="169">
        <f>(INDEX(Models!$BJ177:$BT177,,T177)*(1-R177)+INDEX(Models!$BJ177:$BT177,,T177+1)*R177-ERP_i)*Q177*Ramure*Pc/MaxiM</f>
        <v>6.2071084043030335E-6</v>
      </c>
      <c r="Q177" s="304">
        <f t="shared" si="53"/>
        <v>0.6</v>
      </c>
      <c r="R177" s="177">
        <f t="shared" si="54"/>
        <v>0.73414502173076435</v>
      </c>
      <c r="S177" s="799">
        <f t="shared" si="55"/>
        <v>-2</v>
      </c>
      <c r="T177" s="176">
        <f t="shared" si="56"/>
        <v>4</v>
      </c>
      <c r="U177" s="250">
        <f t="shared" si="57"/>
        <v>-1.2658549782692357</v>
      </c>
      <c r="V177" s="382">
        <f t="shared" si="58"/>
        <v>57.705889572067925</v>
      </c>
      <c r="W177" s="400">
        <f t="shared" si="59"/>
        <v>42.571040995601308</v>
      </c>
      <c r="X177" s="157">
        <f t="shared" si="60"/>
        <v>46185</v>
      </c>
      <c r="Y177" s="383">
        <f t="shared" si="61"/>
        <v>40.92218562552759</v>
      </c>
      <c r="Z177" s="383">
        <f t="shared" si="62"/>
        <v>43.098767116477404</v>
      </c>
      <c r="AA177" s="384">
        <f t="shared" si="63"/>
        <v>46.919106586190722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8.1423960251573113E-2</v>
      </c>
      <c r="AD177" s="230">
        <f>(INDEX(Models!$BJ177:$BT177,,AH177)*(1-AF177)+INDEX(Models!$BJ177:$BT177,,AH177+1)*AF177-ERP_i)*AE177*Ramure*Pc/MaxiM</f>
        <v>3.3842759622153073E-4</v>
      </c>
      <c r="AE177" s="304">
        <f t="shared" si="65"/>
        <v>0.6</v>
      </c>
      <c r="AF177" s="177">
        <f t="shared" si="66"/>
        <v>0.25913258810474327</v>
      </c>
      <c r="AG177" s="799">
        <f t="shared" si="74"/>
        <v>2</v>
      </c>
      <c r="AH177" s="176">
        <f t="shared" si="67"/>
        <v>8</v>
      </c>
      <c r="AI177" s="224">
        <f t="shared" si="68"/>
        <v>2.2591325881047433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'2025'!Wh/'2025'!Env_an*'2026'!Env_an</f>
        <v>53.536703913542837</v>
      </c>
      <c r="C178" s="829"/>
      <c r="D178" s="391">
        <f t="shared" si="50"/>
        <v>56.38531080078539</v>
      </c>
      <c r="E178" s="383">
        <f t="shared" si="75"/>
        <v>59.024094471825578</v>
      </c>
      <c r="F178" s="383">
        <f t="shared" si="51"/>
        <v>59.024426174307244</v>
      </c>
      <c r="G178" s="110">
        <f t="shared" si="76"/>
        <v>0.92847101972191859</v>
      </c>
      <c r="H178" s="412" t="b">
        <f>Wh_hp&gt;='2025'!Maxi_hp</f>
        <v>0</v>
      </c>
      <c r="I178" s="388">
        <f>IF(H178,Wh_hp,'2025'!Maxi_hp)</f>
        <v>64.279104061315721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5.0520372181807272E-2</v>
      </c>
      <c r="M178" s="832"/>
      <c r="N178" s="832"/>
      <c r="O178" s="48">
        <f>IF(t&lt;Tnet,'2025'!Resal+('2025'!Salim-'2025'!Resal)*(1-EXP(('2025'!Tnet-t)/('2025'!Tau_j))),Resal+(Salim-Resal)*(1-EXP((Tnet-t)/(Tau_j))))*Salcycl</f>
        <v>4.4706889527966837E-2</v>
      </c>
      <c r="P178" s="169">
        <f>(INDEX(Models!$BJ178:$BT178,,T178)*(1-R178)+INDEX(Models!$BJ178:$BT178,,T178+1)*R178-ERP_i)*Q178*Ramure*Pc/MaxiM</f>
        <v>6.259351213837091E-6</v>
      </c>
      <c r="Q178" s="304">
        <f t="shared" si="53"/>
        <v>0.6</v>
      </c>
      <c r="R178" s="177">
        <f t="shared" si="54"/>
        <v>0.73927712768403087</v>
      </c>
      <c r="S178" s="799">
        <f t="shared" si="55"/>
        <v>-2</v>
      </c>
      <c r="T178" s="176">
        <f t="shared" si="56"/>
        <v>4</v>
      </c>
      <c r="U178" s="250">
        <f t="shared" si="57"/>
        <v>-1.2607228723159691</v>
      </c>
      <c r="V178" s="382">
        <f t="shared" si="58"/>
        <v>57.661110076661537</v>
      </c>
      <c r="W178" s="400">
        <f t="shared" si="59"/>
        <v>53.536703913542837</v>
      </c>
      <c r="X178" s="157">
        <f t="shared" si="60"/>
        <v>46186</v>
      </c>
      <c r="Y178" s="383">
        <f t="shared" si="61"/>
        <v>51.459260373697788</v>
      </c>
      <c r="Z178" s="383">
        <f t="shared" si="62"/>
        <v>54.197329638283989</v>
      </c>
      <c r="AA178" s="384">
        <f t="shared" si="63"/>
        <v>59.006503092721196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8.1502431128314873E-2</v>
      </c>
      <c r="AD178" s="230">
        <f>(INDEX(Models!$BJ178:$BT178,,AH178)*(1-AF178)+INDEX(Models!$BJ178:$BT178,,AH178+1)*AF178-ERP_i)*AE178*Ramure*Pc/MaxiM</f>
        <v>3.3821532452278815E-4</v>
      </c>
      <c r="AE178" s="304">
        <f t="shared" si="65"/>
        <v>0.6</v>
      </c>
      <c r="AF178" s="177">
        <f t="shared" si="66"/>
        <v>0.26426469405800956</v>
      </c>
      <c r="AG178" s="799">
        <f t="shared" si="74"/>
        <v>2</v>
      </c>
      <c r="AH178" s="176">
        <f t="shared" si="67"/>
        <v>8</v>
      </c>
      <c r="AI178" s="224">
        <f t="shared" si="68"/>
        <v>2.2642646940580096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'2025'!Wh/'2025'!Env_an*'2026'!Env_an</f>
        <v>47.592274073880034</v>
      </c>
      <c r="C179" s="829"/>
      <c r="D179" s="391">
        <f t="shared" si="50"/>
        <v>50.125547502056293</v>
      </c>
      <c r="E179" s="383">
        <f t="shared" si="75"/>
        <v>52.476623348662301</v>
      </c>
      <c r="F179" s="383">
        <f t="shared" si="51"/>
        <v>52.476872513022187</v>
      </c>
      <c r="G179" s="110">
        <f t="shared" si="76"/>
        <v>0.82603857105317824</v>
      </c>
      <c r="H179" s="412" t="b">
        <f>Wh_hp&gt;='2025'!Maxi_hp</f>
        <v>0</v>
      </c>
      <c r="I179" s="388">
        <f>IF(H179,Wh_hp,'2025'!Maxi_hp)</f>
        <v>56.161235442538548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5.0538568742263368E-2</v>
      </c>
      <c r="M179" s="832"/>
      <c r="N179" s="832"/>
      <c r="O179" s="48">
        <f>IF(t&lt;Tnet,'2025'!Resal+('2025'!Salim-'2025'!Resal)*(1-EXP(('2025'!Tnet-t)/('2025'!Tau_j))),Resal+(Salim-Resal)*(1-EXP((Tnet-t)/(Tau_j))))*Salcycl</f>
        <v>4.4802346198708737E-2</v>
      </c>
      <c r="P179" s="169">
        <f>(INDEX(Models!$BJ179:$BT179,,T179)*(1-R179)+INDEX(Models!$BJ179:$BT179,,T179+1)*R179-ERP_i)*Q179*Ramure*Pc/MaxiM</f>
        <v>6.3182580168146757E-6</v>
      </c>
      <c r="Q179" s="304">
        <f t="shared" si="53"/>
        <v>0.6</v>
      </c>
      <c r="R179" s="177">
        <f t="shared" si="54"/>
        <v>0.74439626710185691</v>
      </c>
      <c r="S179" s="799">
        <f t="shared" si="55"/>
        <v>-2</v>
      </c>
      <c r="T179" s="176">
        <f t="shared" si="56"/>
        <v>4</v>
      </c>
      <c r="U179" s="250">
        <f t="shared" si="57"/>
        <v>-1.2556037328981431</v>
      </c>
      <c r="V179" s="382">
        <f t="shared" si="58"/>
        <v>57.614984351732609</v>
      </c>
      <c r="W179" s="400">
        <f t="shared" si="59"/>
        <v>47.592274073880034</v>
      </c>
      <c r="X179" s="157">
        <f t="shared" si="60"/>
        <v>46187</v>
      </c>
      <c r="Y179" s="383">
        <f t="shared" si="61"/>
        <v>45.74844308556824</v>
      </c>
      <c r="Z179" s="383">
        <f t="shared" si="62"/>
        <v>48.183571843424957</v>
      </c>
      <c r="AA179" s="384">
        <f t="shared" si="63"/>
        <v>52.463532800903963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8.1579732225071547E-2</v>
      </c>
      <c r="AD179" s="230">
        <f>(INDEX(Models!$BJ179:$BT179,,AH179)*(1-AF179)+INDEX(Models!$BJ179:$BT179,,AH179+1)*AF179-ERP_i)*AE179*Ramure*Pc/MaxiM</f>
        <v>3.3826564550567498E-4</v>
      </c>
      <c r="AE179" s="304">
        <f t="shared" si="65"/>
        <v>0.6</v>
      </c>
      <c r="AF179" s="177">
        <f t="shared" si="66"/>
        <v>0.26938383347583539</v>
      </c>
      <c r="AG179" s="799">
        <f t="shared" si="74"/>
        <v>2</v>
      </c>
      <c r="AH179" s="176">
        <f t="shared" si="67"/>
        <v>8</v>
      </c>
      <c r="AI179" s="224">
        <f t="shared" si="68"/>
        <v>2.2693838334758354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'2025'!Wh/'2025'!Env_an*'2026'!Env_an</f>
        <v>53.652014997354634</v>
      </c>
      <c r="C180" s="829"/>
      <c r="D180" s="391">
        <f t="shared" si="50"/>
        <v>56.508923353121219</v>
      </c>
      <c r="E180" s="383">
        <f t="shared" si="75"/>
        <v>59.165275019344129</v>
      </c>
      <c r="F180" s="383">
        <f t="shared" si="51"/>
        <v>59.165616067593504</v>
      </c>
      <c r="G180" s="110">
        <f t="shared" si="76"/>
        <v>0.93198364509584675</v>
      </c>
      <c r="H180" s="412" t="b">
        <f>Wh_hp&gt;='2025'!Maxi_hp</f>
        <v>1</v>
      </c>
      <c r="I180" s="388">
        <f>IF(H180,Wh_hp,'2025'!Maxi_hp)</f>
        <v>59.165616067593504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5.0556764953986422E-2</v>
      </c>
      <c r="M180" s="832"/>
      <c r="N180" s="832"/>
      <c r="O180" s="48">
        <f>IF(t&lt;Tnet,'2025'!Resal+('2025'!Salim-'2025'!Resal)*(1-EXP(('2025'!Tnet-t)/('2025'!Tau_j))),Resal+(Salim-Resal)*(1-EXP((Tnet-t)/(Tau_j))))*Salcycl</f>
        <v>4.4897140516196657E-2</v>
      </c>
      <c r="P180" s="169">
        <f>(INDEX(Models!$BJ180:$BT180,,T180)*(1-R180)+INDEX(Models!$BJ180:$BT180,,T180+1)*R180-ERP_i)*Q180*Ramure*Pc/MaxiM</f>
        <v>6.38466679130438E-6</v>
      </c>
      <c r="Q180" s="304">
        <f t="shared" si="53"/>
        <v>0.6</v>
      </c>
      <c r="R180" s="177">
        <f t="shared" si="54"/>
        <v>0.74949818564899684</v>
      </c>
      <c r="S180" s="799">
        <f t="shared" si="55"/>
        <v>-2</v>
      </c>
      <c r="T180" s="176">
        <f t="shared" si="56"/>
        <v>4</v>
      </c>
      <c r="U180" s="250">
        <f t="shared" si="57"/>
        <v>-1.2505018143510032</v>
      </c>
      <c r="V180" s="382">
        <f t="shared" si="58"/>
        <v>57.567514189174183</v>
      </c>
      <c r="W180" s="400">
        <f t="shared" si="59"/>
        <v>53.652014997354634</v>
      </c>
      <c r="X180" s="157">
        <f t="shared" si="60"/>
        <v>46188</v>
      </c>
      <c r="Y180" s="383">
        <f t="shared" si="61"/>
        <v>51.57165784171417</v>
      </c>
      <c r="Z180" s="383">
        <f t="shared" si="62"/>
        <v>54.317789561389432</v>
      </c>
      <c r="AA180" s="384">
        <f t="shared" si="63"/>
        <v>59.147529901675611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8.1655824821677866E-2</v>
      </c>
      <c r="AD180" s="230">
        <f>(INDEX(Models!$BJ180:$BT180,,AH180)*(1-AF180)+INDEX(Models!$BJ180:$BT180,,AH180+1)*AF180-ERP_i)*AE180*Ramure*Pc/MaxiM</f>
        <v>3.3858594239438526E-4</v>
      </c>
      <c r="AE180" s="304">
        <f t="shared" si="65"/>
        <v>0.6</v>
      </c>
      <c r="AF180" s="177">
        <f t="shared" si="66"/>
        <v>0.27448575202297576</v>
      </c>
      <c r="AG180" s="799">
        <f t="shared" si="74"/>
        <v>2</v>
      </c>
      <c r="AH180" s="176">
        <f t="shared" si="67"/>
        <v>8</v>
      </c>
      <c r="AI180" s="224">
        <f t="shared" si="68"/>
        <v>2.2744857520229758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'2025'!Wh/'2025'!Env_an*'2026'!Env_an</f>
        <v>51.530886081416547</v>
      </c>
      <c r="C181" s="829"/>
      <c r="D181" s="391">
        <f t="shared" si="50"/>
        <v>54.275886936539024</v>
      </c>
      <c r="E181" s="383">
        <f t="shared" si="75"/>
        <v>56.832868788392851</v>
      </c>
      <c r="F181" s="383">
        <f t="shared" si="51"/>
        <v>56.833181302930768</v>
      </c>
      <c r="G181" s="110">
        <f t="shared" si="76"/>
        <v>0.89589708134928403</v>
      </c>
      <c r="H181" s="412" t="b">
        <f>Wh_hp&gt;='2025'!Maxi_hp</f>
        <v>0</v>
      </c>
      <c r="I181" s="388">
        <f>IF(H181,Wh_hp,'2025'!Maxi_hp)</f>
        <v>63.760579589282713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5.0574960816983316E-2</v>
      </c>
      <c r="M181" s="832"/>
      <c r="N181" s="832"/>
      <c r="O181" s="48">
        <f>IF(t&lt;Tnet,'2025'!Resal+('2025'!Salim-'2025'!Resal)*(1-EXP(('2025'!Tnet-t)/('2025'!Tau_j))),Resal+(Salim-Resal)*(1-EXP((Tnet-t)/(Tau_j))))*Salcycl</f>
        <v>4.4991250773813558E-2</v>
      </c>
      <c r="P181" s="169">
        <f>(INDEX(Models!$BJ181:$BT181,,T181)*(1-R181)+INDEX(Models!$BJ181:$BT181,,T181+1)*R181-ERP_i)*Q181*Ramure*Pc/MaxiM</f>
        <v>6.4594332215290429E-6</v>
      </c>
      <c r="Q181" s="304">
        <f t="shared" si="53"/>
        <v>0.6</v>
      </c>
      <c r="R181" s="177">
        <f t="shared" si="54"/>
        <v>0.75457868651926874</v>
      </c>
      <c r="S181" s="799">
        <f t="shared" si="55"/>
        <v>-2</v>
      </c>
      <c r="T181" s="176">
        <f t="shared" si="56"/>
        <v>4</v>
      </c>
      <c r="U181" s="250">
        <f t="shared" si="57"/>
        <v>-1.2454213134807313</v>
      </c>
      <c r="V181" s="382">
        <f t="shared" si="58"/>
        <v>57.518701256925965</v>
      </c>
      <c r="W181" s="400">
        <f t="shared" si="59"/>
        <v>51.530886081416547</v>
      </c>
      <c r="X181" s="157">
        <f t="shared" si="60"/>
        <v>46189</v>
      </c>
      <c r="Y181" s="383">
        <f t="shared" si="61"/>
        <v>49.53444583104649</v>
      </c>
      <c r="Z181" s="383">
        <f t="shared" si="62"/>
        <v>52.173098229714945</v>
      </c>
      <c r="AA181" s="384">
        <f t="shared" si="63"/>
        <v>56.816771225998785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8.1730673814828403E-2</v>
      </c>
      <c r="AD181" s="230">
        <f>(INDEX(Models!$BJ181:$BT181,,AH181)*(1-AF181)+INDEX(Models!$BJ181:$BT181,,AH181+1)*AF181-ERP_i)*AE181*Ramure*Pc/MaxiM</f>
        <v>3.3918356825139511E-4</v>
      </c>
      <c r="AE181" s="304">
        <f t="shared" si="65"/>
        <v>0.6</v>
      </c>
      <c r="AF181" s="177">
        <f t="shared" si="66"/>
        <v>0.27956625289324766</v>
      </c>
      <c r="AG181" s="799">
        <f t="shared" si="74"/>
        <v>2</v>
      </c>
      <c r="AH181" s="176">
        <f t="shared" si="67"/>
        <v>8</v>
      </c>
      <c r="AI181" s="224">
        <f t="shared" si="68"/>
        <v>2.2795662528932477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'2025'!Wh/'2025'!Env_an*'2026'!Env_an</f>
        <v>51.66951524063056</v>
      </c>
      <c r="C182" s="829"/>
      <c r="D182" s="391">
        <f t="shared" si="50"/>
        <v>54.422943741343765</v>
      </c>
      <c r="E182" s="383">
        <f t="shared" si="75"/>
        <v>56.992427814686152</v>
      </c>
      <c r="F182" s="383">
        <f t="shared" si="51"/>
        <v>56.992746983486022</v>
      </c>
      <c r="G182" s="110">
        <f t="shared" si="76"/>
        <v>0.89909122671424824</v>
      </c>
      <c r="H182" s="412" t="b">
        <f>Wh_hp&gt;='2025'!Maxi_hp</f>
        <v>0</v>
      </c>
      <c r="I182" s="388">
        <f>IF(H182,Wh_hp,'2025'!Maxi_hp)</f>
        <v>62.238525909161851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5.0593156331260603E-2</v>
      </c>
      <c r="M182" s="832"/>
      <c r="N182" s="832"/>
      <c r="O182" s="48">
        <f>IF(t&lt;Tnet,'2025'!Resal+('2025'!Salim-'2025'!Resal)*(1-EXP(('2025'!Tnet-t)/('2025'!Tau_j))),Resal+(Salim-Resal)*(1-EXP((Tnet-t)/(Tau_j))))*Salcycl</f>
        <v>4.5084657240733753E-2</v>
      </c>
      <c r="P182" s="169">
        <f>(INDEX(Models!$BJ182:$BT182,,T182)*(1-R182)+INDEX(Models!$BJ182:$BT182,,T182+1)*R182-ERP_i)*Q182*Ramure*Pc/MaxiM</f>
        <v>6.543427670064226E-6</v>
      </c>
      <c r="Q182" s="304">
        <f t="shared" si="53"/>
        <v>0.6</v>
      </c>
      <c r="R182" s="177">
        <f t="shared" si="54"/>
        <v>0.75963364404892841</v>
      </c>
      <c r="S182" s="799">
        <f t="shared" si="55"/>
        <v>-2</v>
      </c>
      <c r="T182" s="176">
        <f t="shared" si="56"/>
        <v>4</v>
      </c>
      <c r="U182" s="250">
        <f t="shared" si="57"/>
        <v>-1.2403663559510716</v>
      </c>
      <c r="V182" s="382">
        <f t="shared" si="58"/>
        <v>57.468547092014056</v>
      </c>
      <c r="W182" s="400">
        <f t="shared" si="59"/>
        <v>51.66951524063056</v>
      </c>
      <c r="X182" s="157">
        <f t="shared" si="60"/>
        <v>46190</v>
      </c>
      <c r="Y182" s="383">
        <f t="shared" si="61"/>
        <v>49.668473193278992</v>
      </c>
      <c r="Z182" s="383">
        <f t="shared" si="62"/>
        <v>52.315267711098343</v>
      </c>
      <c r="AA182" s="384">
        <f t="shared" si="63"/>
        <v>56.976159590962688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8.1804247834977528E-2</v>
      </c>
      <c r="AD182" s="230">
        <f>(INDEX(Models!$BJ182:$BT182,,AH182)*(1-AF182)+INDEX(Models!$BJ182:$BT182,,AH182+1)*AF182-ERP_i)*AE182*Ramure*Pc/MaxiM</f>
        <v>3.4006583117153792E-4</v>
      </c>
      <c r="AE182" s="304">
        <f t="shared" si="65"/>
        <v>0.6</v>
      </c>
      <c r="AF182" s="177">
        <f t="shared" si="66"/>
        <v>0.28462121042290711</v>
      </c>
      <c r="AG182" s="799">
        <f t="shared" si="74"/>
        <v>2</v>
      </c>
      <c r="AH182" s="176">
        <f t="shared" si="67"/>
        <v>8</v>
      </c>
      <c r="AI182" s="224">
        <f t="shared" si="68"/>
        <v>2.2846212104229071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'2025'!Wh/'2025'!Env_an*'2026'!Env_an</f>
        <v>54.0274935720267</v>
      </c>
      <c r="C183" s="829"/>
      <c r="D183" s="391">
        <f t="shared" si="50"/>
        <v>56.907667536585272</v>
      </c>
      <c r="E183" s="383">
        <f t="shared" si="75"/>
        <v>59.600248353303762</v>
      </c>
      <c r="F183" s="383">
        <f t="shared" si="51"/>
        <v>59.600610591533282</v>
      </c>
      <c r="G183" s="110">
        <f t="shared" si="76"/>
        <v>0.94096545210513383</v>
      </c>
      <c r="H183" s="412" t="b">
        <f>Wh_hp&gt;='2025'!Maxi_hp</f>
        <v>1</v>
      </c>
      <c r="I183" s="388">
        <f>IF(H183,Wh_hp,'2025'!Maxi_hp)</f>
        <v>59.600610591533282</v>
      </c>
      <c r="J183" s="85">
        <f>IF(H183,An,'2025'!An_max)</f>
        <v>2026</v>
      </c>
      <c r="K183" s="197">
        <f t="shared" si="52"/>
        <v>46191</v>
      </c>
      <c r="L183" s="147">
        <f>IF(t&lt;Tvie,1-EXP((T0-t)*PertePVj)+'2025'!Pspv,1-EXP((T0-t)*PertePVj)+Pspv)</f>
        <v>5.0611351496824941E-2</v>
      </c>
      <c r="M183" s="832"/>
      <c r="N183" s="832"/>
      <c r="O183" s="48">
        <f>IF(t&lt;Tnet,'2025'!Resal+('2025'!Salim-'2025'!Resal)*(1-EXP(('2025'!Tnet-t)/('2025'!Tau_j))),Resal+(Salim-Resal)*(1-EXP((Tnet-t)/(Tau_j))))*Salcycl</f>
        <v>4.5177342227790129E-2</v>
      </c>
      <c r="P183" s="169">
        <f>(INDEX(Models!$BJ183:$BT183,,T183)*(1-R183)+INDEX(Models!$BJ183:$BT183,,T183+1)*R183-ERP_i)*Q183*Ramure*Pc/MaxiM</f>
        <v>6.6375321072939713E-6</v>
      </c>
      <c r="Q183" s="304">
        <f t="shared" si="53"/>
        <v>0.6</v>
      </c>
      <c r="R183" s="177">
        <f t="shared" si="54"/>
        <v>0.76465901683120041</v>
      </c>
      <c r="S183" s="799">
        <f t="shared" si="55"/>
        <v>-2</v>
      </c>
      <c r="T183" s="176">
        <f t="shared" si="56"/>
        <v>4</v>
      </c>
      <c r="U183" s="250">
        <f t="shared" si="57"/>
        <v>-1.2353409831687996</v>
      </c>
      <c r="V183" s="382">
        <f t="shared" si="58"/>
        <v>57.417053099992955</v>
      </c>
      <c r="W183" s="400">
        <f t="shared" si="59"/>
        <v>54.0274935720267</v>
      </c>
      <c r="X183" s="157">
        <f t="shared" si="60"/>
        <v>46191</v>
      </c>
      <c r="Y183" s="383">
        <f t="shared" si="61"/>
        <v>51.93499767729309</v>
      </c>
      <c r="Z183" s="383">
        <f t="shared" si="62"/>
        <v>54.703621914138992</v>
      </c>
      <c r="AA183" s="384">
        <f t="shared" si="63"/>
        <v>59.581987681007988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8.1876519343177231E-2</v>
      </c>
      <c r="AD183" s="230">
        <f>(INDEX(Models!$BJ183:$BT183,,AH183)*(1-AF183)+INDEX(Models!$BJ183:$BT183,,AH183+1)*AF183-ERP_i)*AE183*Ramure*Pc/MaxiM</f>
        <v>3.4123998095267479E-4</v>
      </c>
      <c r="AE183" s="304">
        <f t="shared" si="65"/>
        <v>0.6</v>
      </c>
      <c r="AF183" s="177">
        <f t="shared" si="66"/>
        <v>0.28964658320517911</v>
      </c>
      <c r="AG183" s="799">
        <f t="shared" si="74"/>
        <v>2</v>
      </c>
      <c r="AH183" s="176">
        <f t="shared" si="67"/>
        <v>8</v>
      </c>
      <c r="AI183" s="224">
        <f t="shared" si="68"/>
        <v>2.2896465832051791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'2025'!Wh/'2025'!Env_an*'2026'!Env_an</f>
        <v>55.341262269680001</v>
      </c>
      <c r="C184" s="829"/>
      <c r="D184" s="391">
        <f t="shared" si="50"/>
        <v>58.292589636421745</v>
      </c>
      <c r="E184" s="383">
        <f t="shared" si="75"/>
        <v>61.056577561122985</v>
      </c>
      <c r="F184" s="383">
        <f t="shared" si="51"/>
        <v>61.056968911946178</v>
      </c>
      <c r="G184" s="110">
        <f t="shared" si="76"/>
        <v>0.96473452108428748</v>
      </c>
      <c r="H184" s="412" t="b">
        <f>Wh_hp&gt;='2025'!Maxi_hp</f>
        <v>1</v>
      </c>
      <c r="I184" s="388">
        <f>IF(H184,Wh_hp,'2025'!Maxi_hp)</f>
        <v>61.056968911946178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5.0629546313683216E-2</v>
      </c>
      <c r="M184" s="832"/>
      <c r="N184" s="832"/>
      <c r="O184" s="48">
        <f>IF(t&lt;Tnet,'2025'!Resal+('2025'!Salim-'2025'!Resal)*(1-EXP(('2025'!Tnet-t)/('2025'!Tau_j))),Resal+(Salim-Resal)*(1-EXP((Tnet-t)/(Tau_j))))*Salcycl</f>
        <v>4.5269290142151315E-2</v>
      </c>
      <c r="P184" s="169">
        <f>(INDEX(Models!$BJ184:$BT184,,T184)*(1-R184)+INDEX(Models!$BJ184:$BT184,,T184+1)*R184-ERP_i)*Q184*Ramure*Pc/MaxiM</f>
        <v>6.7496399032946685E-6</v>
      </c>
      <c r="Q184" s="304">
        <f t="shared" si="53"/>
        <v>0.6</v>
      </c>
      <c r="R184" s="177">
        <f t="shared" si="54"/>
        <v>0.76965086024561291</v>
      </c>
      <c r="S184" s="799">
        <f t="shared" si="55"/>
        <v>-2</v>
      </c>
      <c r="T184" s="176">
        <f t="shared" si="56"/>
        <v>4</v>
      </c>
      <c r="U184" s="250">
        <f t="shared" si="57"/>
        <v>-1.2303491397543871</v>
      </c>
      <c r="V184" s="382">
        <f t="shared" si="58"/>
        <v>57.364220147518736</v>
      </c>
      <c r="W184" s="400">
        <f t="shared" si="59"/>
        <v>55.341262269680001</v>
      </c>
      <c r="X184" s="157">
        <f t="shared" si="60"/>
        <v>46192</v>
      </c>
      <c r="Y184" s="383">
        <f t="shared" si="61"/>
        <v>53.198214703457545</v>
      </c>
      <c r="Z184" s="383">
        <f t="shared" si="62"/>
        <v>56.035254201238146</v>
      </c>
      <c r="AA184" s="384">
        <f t="shared" si="63"/>
        <v>61.0370888887755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8.19474647071049E-2</v>
      </c>
      <c r="AD184" s="230">
        <f>(INDEX(Models!$BJ184:$BT184,,AH184)*(1-AF184)+INDEX(Models!$BJ184:$BT184,,AH184+1)*AF184-ERP_i)*AE184*Ramure*Pc/MaxiM</f>
        <v>3.4287138219111287E-4</v>
      </c>
      <c r="AE184" s="304">
        <f t="shared" si="65"/>
        <v>0.6</v>
      </c>
      <c r="AF184" s="177">
        <f t="shared" si="66"/>
        <v>0.29463842661959161</v>
      </c>
      <c r="AG184" s="799">
        <f t="shared" si="74"/>
        <v>2</v>
      </c>
      <c r="AH184" s="176">
        <f t="shared" si="67"/>
        <v>8</v>
      </c>
      <c r="AI184" s="224">
        <f t="shared" si="68"/>
        <v>2.2946384266195916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'2025'!Wh/'2025'!Env_an*'2026'!Env_an</f>
        <v>31.219567905343805</v>
      </c>
      <c r="C185" s="829"/>
      <c r="D185" s="391">
        <f t="shared" si="50"/>
        <v>32.885125202161284</v>
      </c>
      <c r="E185" s="383">
        <f t="shared" si="75"/>
        <v>34.447689177550139</v>
      </c>
      <c r="F185" s="383">
        <f t="shared" si="51"/>
        <v>34.447771960625587</v>
      </c>
      <c r="G185" s="110">
        <f t="shared" si="76"/>
        <v>0.54474613901983449</v>
      </c>
      <c r="H185" s="412" t="b">
        <f>Wh_hp&gt;='2025'!Maxi_hp</f>
        <v>0</v>
      </c>
      <c r="I185" s="388">
        <f>IF(H185,Wh_hp,'2025'!Maxi_hp)</f>
        <v>56.990075158502776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5.0647740781841866E-2</v>
      </c>
      <c r="M185" s="832"/>
      <c r="N185" s="832"/>
      <c r="O185" s="48">
        <f>IF(t&lt;Tnet,'2025'!Resal+('2025'!Salim-'2025'!Resal)*(1-EXP(('2025'!Tnet-t)/('2025'!Tau_j))),Resal+(Salim-Resal)*(1-EXP((Tnet-t)/(Tau_j))))*Salcycl</f>
        <v>4.5360487530385338E-2</v>
      </c>
      <c r="P185" s="169">
        <f>(INDEX(Models!$BJ185:$BT185,,T185)*(1-R185)+INDEX(Models!$BJ185:$BT185,,T185+1)*R185-ERP_i)*Q185*Ramure*Pc/MaxiM</f>
        <v>6.873189040938342E-6</v>
      </c>
      <c r="Q185" s="304">
        <f t="shared" si="53"/>
        <v>0.6</v>
      </c>
      <c r="R185" s="177">
        <f t="shared" si="54"/>
        <v>0.7746053383226954</v>
      </c>
      <c r="S185" s="799">
        <f t="shared" si="55"/>
        <v>-2</v>
      </c>
      <c r="T185" s="176">
        <f t="shared" si="56"/>
        <v>4</v>
      </c>
      <c r="U185" s="250">
        <f t="shared" si="57"/>
        <v>-1.2253946616773046</v>
      </c>
      <c r="V185" s="382">
        <f t="shared" si="58"/>
        <v>57.310049793863399</v>
      </c>
      <c r="W185" s="400">
        <f t="shared" si="59"/>
        <v>31.219567905343805</v>
      </c>
      <c r="X185" s="157">
        <f t="shared" si="60"/>
        <v>46193</v>
      </c>
      <c r="Y185" s="383">
        <f t="shared" si="61"/>
        <v>30.017241552644368</v>
      </c>
      <c r="Z185" s="383">
        <f t="shared" si="62"/>
        <v>31.618654994685699</v>
      </c>
      <c r="AA185" s="384">
        <f t="shared" si="63"/>
        <v>34.443619552741396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8.2017064255688985E-2</v>
      </c>
      <c r="AD185" s="230">
        <f>(INDEX(Models!$BJ185:$BT185,,AH185)*(1-AF185)+INDEX(Models!$BJ185:$BT185,,AH185+1)*AF185-ERP_i)*AE185*Ramure*Pc/MaxiM</f>
        <v>3.4475989455824533E-4</v>
      </c>
      <c r="AE185" s="304">
        <f t="shared" si="65"/>
        <v>0.6</v>
      </c>
      <c r="AF185" s="177">
        <f t="shared" si="66"/>
        <v>0.2995929046966741</v>
      </c>
      <c r="AG185" s="799">
        <f t="shared" si="74"/>
        <v>2</v>
      </c>
      <c r="AH185" s="176">
        <f t="shared" si="67"/>
        <v>8</v>
      </c>
      <c r="AI185" s="224">
        <f t="shared" si="68"/>
        <v>2.2995929046966741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'2025'!Wh/'2025'!Env_an*'2026'!Env_an</f>
        <v>22.467491012209695</v>
      </c>
      <c r="C186" s="829"/>
      <c r="D186" s="391">
        <f t="shared" si="50"/>
        <v>23.666580435912188</v>
      </c>
      <c r="E186" s="383">
        <f t="shared" si="75"/>
        <v>24.793466369491796</v>
      </c>
      <c r="F186" s="383">
        <f t="shared" si="51"/>
        <v>24.793489311706047</v>
      </c>
      <c r="G186" s="110">
        <f t="shared" si="76"/>
        <v>0.39241173077610558</v>
      </c>
      <c r="H186" s="412" t="b">
        <f>Wh_hp&gt;='2025'!Maxi_hp</f>
        <v>0</v>
      </c>
      <c r="I186" s="388">
        <f>IF(H186,Wh_hp,'2025'!Maxi_hp)</f>
        <v>52.195932812822107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5.0665934901307774E-2</v>
      </c>
      <c r="M186" s="832"/>
      <c r="N186" s="832"/>
      <c r="O186" s="48">
        <f>IF(t&lt;Tnet,'2025'!Resal+('2025'!Salim-'2025'!Resal)*(1-EXP(('2025'!Tnet-t)/('2025'!Tau_j))),Resal+(Salim-Resal)*(1-EXP((Tnet-t)/(Tau_j))))*Salcycl</f>
        <v>4.5450923109575075E-2</v>
      </c>
      <c r="P186" s="169">
        <f>(INDEX(Models!$BJ186:$BT186,,T186)*(1-R186)+INDEX(Models!$BJ186:$BT186,,T186+1)*R186-ERP_i)*Q186*Ramure*Pc/MaxiM</f>
        <v>7.0090215654737222E-6</v>
      </c>
      <c r="Q186" s="304">
        <f t="shared" si="53"/>
        <v>0.6</v>
      </c>
      <c r="R186" s="177">
        <f t="shared" si="54"/>
        <v>0.77951873487232204</v>
      </c>
      <c r="S186" s="799">
        <f t="shared" si="55"/>
        <v>-2</v>
      </c>
      <c r="T186" s="176">
        <f t="shared" si="56"/>
        <v>4</v>
      </c>
      <c r="U186" s="250">
        <f t="shared" si="57"/>
        <v>-1.220481265127678</v>
      </c>
      <c r="V186" s="382">
        <f t="shared" si="58"/>
        <v>57.254543034204723</v>
      </c>
      <c r="W186" s="400">
        <f t="shared" si="59"/>
        <v>22.467491012209695</v>
      </c>
      <c r="X186" s="157">
        <f t="shared" si="60"/>
        <v>46194</v>
      </c>
      <c r="Y186" s="383">
        <f t="shared" si="61"/>
        <v>21.604247777343293</v>
      </c>
      <c r="Z186" s="383">
        <f t="shared" si="62"/>
        <v>22.757265931563644</v>
      </c>
      <c r="AA186" s="384">
        <f t="shared" si="63"/>
        <v>24.792353787210498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8.2085302311904002E-2</v>
      </c>
      <c r="AD186" s="230">
        <f>(INDEX(Models!$BJ186:$BT186,,AH186)*(1-AF186)+INDEX(Models!$BJ186:$BT186,,AH186+1)*AF186-ERP_i)*AE186*Ramure*Pc/MaxiM</f>
        <v>3.469114005700791E-4</v>
      </c>
      <c r="AE186" s="304">
        <f t="shared" si="65"/>
        <v>0.6</v>
      </c>
      <c r="AF186" s="177">
        <f t="shared" si="66"/>
        <v>0.30450630124630074</v>
      </c>
      <c r="AG186" s="799">
        <f t="shared" si="74"/>
        <v>2</v>
      </c>
      <c r="AH186" s="176">
        <f t="shared" si="67"/>
        <v>8</v>
      </c>
      <c r="AI186" s="224">
        <f t="shared" si="68"/>
        <v>2.3045063012463007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'2025'!Wh/'2025'!Env_an*'2026'!Env_an</f>
        <v>43.516659543344417</v>
      </c>
      <c r="C187" s="829"/>
      <c r="D187" s="391">
        <f t="shared" si="50"/>
        <v>45.840021069565474</v>
      </c>
      <c r="E187" s="383">
        <f t="shared" si="75"/>
        <v>48.027208368394412</v>
      </c>
      <c r="F187" s="383">
        <f t="shared" si="51"/>
        <v>48.027434679015734</v>
      </c>
      <c r="G187" s="110">
        <f t="shared" si="76"/>
        <v>0.76080948284468286</v>
      </c>
      <c r="H187" s="412" t="b">
        <f>Wh_hp&gt;='2025'!Maxi_hp</f>
        <v>0</v>
      </c>
      <c r="I187" s="388">
        <f>IF(H187,Wh_hp,'2025'!Maxi_hp)</f>
        <v>63.676809848065162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5.0684128672087381E-2</v>
      </c>
      <c r="M187" s="832"/>
      <c r="N187" s="832"/>
      <c r="O187" s="48">
        <f>IF(t&lt;Tnet,'2025'!Resal+('2025'!Salim-'2025'!Resal)*(1-EXP(('2025'!Tnet-t)/('2025'!Tau_j))),Resal+(Salim-Resal)*(1-EXP((Tnet-t)/(Tau_j))))*Salcycl</f>
        <v>4.5540587786240726E-2</v>
      </c>
      <c r="P187" s="169">
        <f>(INDEX(Models!$BJ187:$BT187,,T187)*(1-R187)+INDEX(Models!$BJ187:$BT187,,T187+1)*R187-ERP_i)*Q187*Ramure*Pc/MaxiM</f>
        <v>7.1579790916028244E-6</v>
      </c>
      <c r="Q187" s="304">
        <f t="shared" si="53"/>
        <v>0.6</v>
      </c>
      <c r="R187" s="177">
        <f t="shared" si="54"/>
        <v>0.78438746381240954</v>
      </c>
      <c r="S187" s="799">
        <f t="shared" si="55"/>
        <v>-2</v>
      </c>
      <c r="T187" s="176">
        <f t="shared" si="56"/>
        <v>4</v>
      </c>
      <c r="U187" s="250">
        <f t="shared" si="57"/>
        <v>-1.2156125361875905</v>
      </c>
      <c r="V187" s="382">
        <f t="shared" si="58"/>
        <v>57.197700722841816</v>
      </c>
      <c r="W187" s="400">
        <f t="shared" si="59"/>
        <v>43.516659543344417</v>
      </c>
      <c r="X187" s="157">
        <f t="shared" si="60"/>
        <v>46195</v>
      </c>
      <c r="Y187" s="383">
        <f t="shared" si="61"/>
        <v>41.838001796824273</v>
      </c>
      <c r="Z187" s="383">
        <f t="shared" si="62"/>
        <v>44.071739513109428</v>
      </c>
      <c r="AA187" s="384">
        <f t="shared" si="63"/>
        <v>48.01639001405087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8.2152167203472182E-2</v>
      </c>
      <c r="AD187" s="230">
        <f>(INDEX(Models!$BJ187:$BT187,,AH187)*(1-AF187)+INDEX(Models!$BJ187:$BT187,,AH187+1)*AF187-ERP_i)*AE187*Ramure*Pc/MaxiM</f>
        <v>3.4933173012593083E-4</v>
      </c>
      <c r="AE187" s="304">
        <f t="shared" si="65"/>
        <v>0.6</v>
      </c>
      <c r="AF187" s="177">
        <f t="shared" si="66"/>
        <v>0.30937503018638823</v>
      </c>
      <c r="AG187" s="799">
        <f t="shared" si="74"/>
        <v>2</v>
      </c>
      <c r="AH187" s="176">
        <f t="shared" si="67"/>
        <v>8</v>
      </c>
      <c r="AI187" s="224">
        <f t="shared" si="68"/>
        <v>2.3093750301863882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'2025'!Wh/'2025'!Env_an*'2026'!Env_an</f>
        <v>41.047430092198113</v>
      </c>
      <c r="C188" s="829"/>
      <c r="D188" s="391">
        <f t="shared" si="50"/>
        <v>43.239787737341089</v>
      </c>
      <c r="E188" s="383">
        <f t="shared" si="75"/>
        <v>45.307128195381949</v>
      </c>
      <c r="F188" s="383">
        <f t="shared" si="51"/>
        <v>45.307326436156799</v>
      </c>
      <c r="G188" s="110">
        <f t="shared" si="76"/>
        <v>0.71836981866126082</v>
      </c>
      <c r="H188" s="412" t="b">
        <f>Wh_hp&gt;='2025'!Maxi_hp</f>
        <v>0</v>
      </c>
      <c r="I188" s="388">
        <f>IF(H188,Wh_hp,'2025'!Maxi_hp)</f>
        <v>54.409239843799597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5.070232209418768E-2</v>
      </c>
      <c r="M188" s="832"/>
      <c r="N188" s="832"/>
      <c r="O188" s="48">
        <f>IF(t&lt;Tnet,'2025'!Resal+('2025'!Salim-'2025'!Resal)*(1-EXP(('2025'!Tnet-t)/('2025'!Tau_j))),Resal+(Salim-Resal)*(1-EXP((Tnet-t)/(Tau_j))))*Salcycl</f>
        <v>4.5629474662920201E-2</v>
      </c>
      <c r="P188" s="169">
        <f>(INDEX(Models!$BJ188:$BT188,,T188)*(1-R188)+INDEX(Models!$BJ188:$BT188,,T188+1)*R188-ERP_i)*Q188*Ramure*Pc/MaxiM</f>
        <v>7.3208253785894077E-6</v>
      </c>
      <c r="Q188" s="304">
        <f t="shared" si="53"/>
        <v>0.6</v>
      </c>
      <c r="R188" s="177">
        <f t="shared" si="54"/>
        <v>0.78920807864363152</v>
      </c>
      <c r="S188" s="799">
        <f t="shared" si="55"/>
        <v>-2</v>
      </c>
      <c r="T188" s="176">
        <f t="shared" si="56"/>
        <v>4</v>
      </c>
      <c r="U188" s="250">
        <f t="shared" si="57"/>
        <v>-1.2107919213563685</v>
      </c>
      <c r="V188" s="382">
        <f t="shared" si="58"/>
        <v>57.139523579692039</v>
      </c>
      <c r="W188" s="400">
        <f t="shared" si="59"/>
        <v>41.047430092198113</v>
      </c>
      <c r="X188" s="157">
        <f t="shared" si="60"/>
        <v>46196</v>
      </c>
      <c r="Y188" s="383">
        <f t="shared" si="61"/>
        <v>39.465641980513098</v>
      </c>
      <c r="Z188" s="383">
        <f t="shared" si="62"/>
        <v>41.573515767547057</v>
      </c>
      <c r="AA188" s="384">
        <f t="shared" si="63"/>
        <v>45.297793996835829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8.2217651251381529E-2</v>
      </c>
      <c r="AD188" s="230">
        <f>(INDEX(Models!$BJ188:$BT188,,AH188)*(1-AF188)+INDEX(Models!$BJ188:$BT188,,AH188+1)*AF188-ERP_i)*AE188*Ramure*Pc/MaxiM</f>
        <v>3.5202305758234192E-4</v>
      </c>
      <c r="AE188" s="304">
        <f t="shared" si="65"/>
        <v>0.6</v>
      </c>
      <c r="AF188" s="177">
        <f t="shared" si="66"/>
        <v>0.31419564501761021</v>
      </c>
      <c r="AG188" s="799">
        <f t="shared" si="74"/>
        <v>2</v>
      </c>
      <c r="AH188" s="176">
        <f t="shared" si="67"/>
        <v>8</v>
      </c>
      <c r="AI188" s="224">
        <f t="shared" si="68"/>
        <v>2.3141956450176102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'2025'!Wh/'2025'!Env_an*'2026'!Env_an</f>
        <v>38.717418375548135</v>
      </c>
      <c r="C189" s="829"/>
      <c r="D189" s="391">
        <f t="shared" si="50"/>
        <v>40.786110933793651</v>
      </c>
      <c r="E189" s="383">
        <f t="shared" si="75"/>
        <v>42.7400841067955</v>
      </c>
      <c r="F189" s="383">
        <f t="shared" si="51"/>
        <v>42.740257303492285</v>
      </c>
      <c r="G189" s="110">
        <f t="shared" si="76"/>
        <v>0.67829847037766478</v>
      </c>
      <c r="H189" s="412" t="b">
        <f>Wh_hp&gt;='2025'!Maxi_hp</f>
        <v>0</v>
      </c>
      <c r="I189" s="388">
        <f>IF(H189,Wh_hp,'2025'!Maxi_hp)</f>
        <v>62.441537989908561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5.072051516761511E-2</v>
      </c>
      <c r="M189" s="832"/>
      <c r="N189" s="832"/>
      <c r="O189" s="48">
        <f>IF(t&lt;Tnet,'2025'!Resal+('2025'!Salim-'2025'!Resal)*(1-EXP(('2025'!Tnet-t)/('2025'!Tau_j))),Resal+(Salim-Resal)*(1-EXP((Tnet-t)/(Tau_j))))*Salcycl</f>
        <v>4.5717579032353198E-2</v>
      </c>
      <c r="P189" s="169">
        <f>(INDEX(Models!$BJ189:$BT189,,T189)*(1-R189)+INDEX(Models!$BJ189:$BT189,,T189+1)*R189-ERP_i)*Q189*Ramure*Pc/MaxiM</f>
        <v>7.4983074538266157E-6</v>
      </c>
      <c r="Q189" s="304">
        <f t="shared" si="53"/>
        <v>0.6</v>
      </c>
      <c r="R189" s="177">
        <f t="shared" si="54"/>
        <v>0.79397728102517395</v>
      </c>
      <c r="S189" s="799">
        <f t="shared" si="55"/>
        <v>-2</v>
      </c>
      <c r="T189" s="176">
        <f t="shared" si="56"/>
        <v>4</v>
      </c>
      <c r="U189" s="250">
        <f t="shared" si="57"/>
        <v>-1.206022718974826</v>
      </c>
      <c r="V189" s="382">
        <f t="shared" si="58"/>
        <v>57.080012185870075</v>
      </c>
      <c r="W189" s="400">
        <f t="shared" si="59"/>
        <v>38.717418375548135</v>
      </c>
      <c r="X189" s="157">
        <f t="shared" si="60"/>
        <v>46197</v>
      </c>
      <c r="Y189" s="383">
        <f t="shared" si="61"/>
        <v>37.226934068597586</v>
      </c>
      <c r="Z189" s="383">
        <f t="shared" si="62"/>
        <v>39.215989245960351</v>
      </c>
      <c r="AA189" s="384">
        <f t="shared" si="63"/>
        <v>42.732057772005746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8.228175073630116E-2</v>
      </c>
      <c r="AD189" s="230">
        <f>(INDEX(Models!$BJ189:$BT189,,AH189)*(1-AF189)+INDEX(Models!$BJ189:$BT189,,AH189+1)*AF189-ERP_i)*AE189*Ramure*Pc/MaxiM</f>
        <v>3.5498718626319619E-4</v>
      </c>
      <c r="AE189" s="304">
        <f t="shared" si="65"/>
        <v>0.6</v>
      </c>
      <c r="AF189" s="177">
        <f t="shared" si="66"/>
        <v>0.31896484739915243</v>
      </c>
      <c r="AG189" s="799">
        <f t="shared" si="74"/>
        <v>2</v>
      </c>
      <c r="AH189" s="176">
        <f t="shared" si="67"/>
        <v>8</v>
      </c>
      <c r="AI189" s="224">
        <f t="shared" si="68"/>
        <v>2.3189648473991524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'2025'!Wh/'2025'!Env_an*'2026'!Env_an</f>
        <v>33.599639795654937</v>
      </c>
      <c r="C190" s="829"/>
      <c r="D190" s="391">
        <f t="shared" si="50"/>
        <v>35.395565030418979</v>
      </c>
      <c r="E190" s="383">
        <f t="shared" si="75"/>
        <v>37.094683225221132</v>
      </c>
      <c r="F190" s="383">
        <f t="shared" si="51"/>
        <v>37.094801125039616</v>
      </c>
      <c r="G190" s="110">
        <f t="shared" si="76"/>
        <v>0.58926655618644819</v>
      </c>
      <c r="H190" s="412" t="b">
        <f>Wh_hp&gt;='2025'!Maxi_hp</f>
        <v>0</v>
      </c>
      <c r="I190" s="388">
        <f>IF(H190,Wh_hp,'2025'!Maxi_hp)</f>
        <v>58.359170518097258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5.0738707892376445E-2</v>
      </c>
      <c r="M190" s="832"/>
      <c r="N190" s="832"/>
      <c r="O190" s="48">
        <f>IF(t&lt;Tnet,'2025'!Resal+('2025'!Salim-'2025'!Resal)*(1-EXP(('2025'!Tnet-t)/('2025'!Tau_j))),Resal+(Salim-Resal)*(1-EXP((Tnet-t)/(Tau_j))))*Salcycl</f>
        <v>4.5804898359312694E-2</v>
      </c>
      <c r="P190" s="169">
        <f>(INDEX(Models!$BJ190:$BT190,,T190)*(1-R190)+INDEX(Models!$BJ190:$BT190,,T190+1)*R190-ERP_i)*Q190*Ramure*Pc/MaxiM</f>
        <v>7.6912319984846218E-6</v>
      </c>
      <c r="Q190" s="304">
        <f t="shared" si="53"/>
        <v>0.6</v>
      </c>
      <c r="R190" s="177">
        <f t="shared" si="54"/>
        <v>0.79869192841614978</v>
      </c>
      <c r="S190" s="799">
        <f t="shared" si="55"/>
        <v>-2</v>
      </c>
      <c r="T190" s="176">
        <f t="shared" si="56"/>
        <v>4</v>
      </c>
      <c r="U190" s="250">
        <f t="shared" si="57"/>
        <v>-1.2013080715838502</v>
      </c>
      <c r="V190" s="382">
        <f t="shared" si="58"/>
        <v>57.019166981082371</v>
      </c>
      <c r="W190" s="400">
        <f t="shared" si="59"/>
        <v>33.599639795654937</v>
      </c>
      <c r="X190" s="157">
        <f t="shared" si="60"/>
        <v>46198</v>
      </c>
      <c r="Y190" s="383">
        <f t="shared" si="61"/>
        <v>32.308307785093604</v>
      </c>
      <c r="Z190" s="383">
        <f t="shared" si="62"/>
        <v>34.035210382760042</v>
      </c>
      <c r="AA190" s="384">
        <f t="shared" si="63"/>
        <v>37.089309785541516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8.2344465843148529E-2</v>
      </c>
      <c r="AD190" s="230">
        <f>(INDEX(Models!$BJ190:$BT190,,AH190)*(1-AF190)+INDEX(Models!$BJ190:$BT190,,AH190+1)*AF190-ERP_i)*AE190*Ramure*Pc/MaxiM</f>
        <v>3.5822927131438963E-4</v>
      </c>
      <c r="AE190" s="304">
        <f t="shared" si="65"/>
        <v>0.6</v>
      </c>
      <c r="AF190" s="177">
        <f t="shared" si="66"/>
        <v>0.32367949479012825</v>
      </c>
      <c r="AG190" s="799">
        <f t="shared" si="74"/>
        <v>2</v>
      </c>
      <c r="AH190" s="176">
        <f t="shared" si="67"/>
        <v>8</v>
      </c>
      <c r="AI190" s="224">
        <f t="shared" si="68"/>
        <v>2.3236794947901283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'2025'!Wh/'2025'!Env_an*'2026'!Env_an</f>
        <v>11.929183700264167</v>
      </c>
      <c r="C191" s="829"/>
      <c r="D191" s="391">
        <f t="shared" si="50"/>
        <v>12.567048107737785</v>
      </c>
      <c r="E191" s="383">
        <f t="shared" si="75"/>
        <v>13.171507449489361</v>
      </c>
      <c r="F191" s="383">
        <f t="shared" si="51"/>
        <v>13.171507449489361</v>
      </c>
      <c r="G191" s="110">
        <f t="shared" si="76"/>
        <v>0.20944031306453129</v>
      </c>
      <c r="H191" s="412" t="b">
        <f>Wh_hp&gt;='2025'!Maxi_hp</f>
        <v>0</v>
      </c>
      <c r="I191" s="388">
        <f>IF(H191,Wh_hp,'2025'!Maxi_hp)</f>
        <v>60.460509614669505</v>
      </c>
      <c r="J191" s="85">
        <f>IF(H191,An,'2025'!An_max)</f>
        <v>2021</v>
      </c>
      <c r="K191" s="197">
        <f t="shared" si="52"/>
        <v>46199</v>
      </c>
      <c r="L191" s="147">
        <f>IF(t&lt;Tvie,1-EXP((T0-t)*PertePVj)+'2025'!Pspv,1-EXP((T0-t)*PertePVj)+Pspv)</f>
        <v>5.0756900268478455E-2</v>
      </c>
      <c r="M191" s="832"/>
      <c r="N191" s="832"/>
      <c r="O191" s="48">
        <f>IF(t&lt;Tnet,'2025'!Resal+('2025'!Salim-'2025'!Resal)*(1-EXP(('2025'!Tnet-t)/('2025'!Tau_j))),Resal+(Salim-Resal)*(1-EXP((Tnet-t)/(Tau_j))))*Salcycl</f>
        <v>4.5891432250225052E-2</v>
      </c>
      <c r="P191" s="169">
        <f>(INDEX(Models!$BJ191:$BT191,,T191)*(1-R191)+INDEX(Models!$BJ191:$BT191,,T191+1)*R191-ERP_i)*Q191*Ramure*Pc/MaxiM</f>
        <v>7.9003932320820375E-6</v>
      </c>
      <c r="Q191" s="304">
        <f t="shared" si="53"/>
        <v>0.6</v>
      </c>
      <c r="R191" s="177">
        <f t="shared" si="54"/>
        <v>0.8033490407569821</v>
      </c>
      <c r="S191" s="799">
        <f t="shared" si="55"/>
        <v>-2</v>
      </c>
      <c r="T191" s="176">
        <f t="shared" si="56"/>
        <v>4</v>
      </c>
      <c r="U191" s="250">
        <f t="shared" si="57"/>
        <v>-1.1966509592430179</v>
      </c>
      <c r="V191" s="382">
        <f t="shared" si="58"/>
        <v>56.956988272580034</v>
      </c>
      <c r="W191" s="400">
        <f t="shared" si="59"/>
        <v>11.929183700264167</v>
      </c>
      <c r="X191" s="157">
        <f t="shared" si="60"/>
        <v>46199</v>
      </c>
      <c r="Y191" s="383">
        <f t="shared" si="61"/>
        <v>11.47264592010062</v>
      </c>
      <c r="Z191" s="383">
        <f t="shared" si="62"/>
        <v>12.086098833212985</v>
      </c>
      <c r="AA191" s="384">
        <f t="shared" si="63"/>
        <v>13.171507449489361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8.2405800584234287E-2</v>
      </c>
      <c r="AD191" s="230">
        <f>(INDEX(Models!$BJ191:$BT191,,AH191)*(1-AF191)+INDEX(Models!$BJ191:$BT191,,AH191+1)*AF191-ERP_i)*AE191*Ramure*Pc/MaxiM</f>
        <v>3.6175436441541201E-4</v>
      </c>
      <c r="AE191" s="304">
        <f t="shared" si="65"/>
        <v>0.6</v>
      </c>
      <c r="AF191" s="177">
        <f t="shared" si="66"/>
        <v>0.3283366071309608</v>
      </c>
      <c r="AG191" s="799">
        <f t="shared" si="74"/>
        <v>2</v>
      </c>
      <c r="AH191" s="176">
        <f t="shared" si="67"/>
        <v>8</v>
      </c>
      <c r="AI191" s="224">
        <f t="shared" si="68"/>
        <v>2.3283366071309608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'2025'!Wh/'2025'!Env_an*'2026'!Env_an</f>
        <v>14.495099383442744</v>
      </c>
      <c r="C192" s="829"/>
      <c r="D192" s="391">
        <f t="shared" si="50"/>
        <v>15.270458313723154</v>
      </c>
      <c r="E192" s="383">
        <f t="shared" si="75"/>
        <v>16.006386883189659</v>
      </c>
      <c r="F192" s="383">
        <f t="shared" si="51"/>
        <v>16.006386883189659</v>
      </c>
      <c r="G192" s="110">
        <f t="shared" si="76"/>
        <v>0.25477405402827064</v>
      </c>
      <c r="H192" s="412" t="b">
        <f>Wh_hp&gt;='2025'!Maxi_hp</f>
        <v>0</v>
      </c>
      <c r="I192" s="388">
        <f>IF(H192,Wh_hp,'2025'!Maxi_hp)</f>
        <v>59.284461981263078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5.0775092295927693E-2</v>
      </c>
      <c r="M192" s="832"/>
      <c r="N192" s="832"/>
      <c r="O192" s="48">
        <f>IF(t&lt;Tnet,'2025'!Resal+('2025'!Salim-'2025'!Resal)*(1-EXP(('2025'!Tnet-t)/('2025'!Tau_j))),Resal+(Salim-Resal)*(1-EXP((Tnet-t)/(Tau_j))))*Salcycl</f>
        <v>4.5977182410816018E-2</v>
      </c>
      <c r="P192" s="169">
        <f>(INDEX(Models!$BJ192:$BT192,,T192)*(1-R192)+INDEX(Models!$BJ192:$BT192,,T192+1)*R192-ERP_i)*Q192*Ramure*Pc/MaxiM</f>
        <v>8.1357738248833241E-6</v>
      </c>
      <c r="Q192" s="304">
        <f t="shared" si="53"/>
        <v>0.6</v>
      </c>
      <c r="R192" s="177">
        <f t="shared" si="54"/>
        <v>0.80794580617469913</v>
      </c>
      <c r="S192" s="799">
        <f t="shared" si="55"/>
        <v>-2</v>
      </c>
      <c r="T192" s="176">
        <f t="shared" si="56"/>
        <v>4</v>
      </c>
      <c r="U192" s="250">
        <f t="shared" si="57"/>
        <v>-1.1920541938253009</v>
      </c>
      <c r="V192" s="382">
        <f t="shared" si="58"/>
        <v>56.893475710773039</v>
      </c>
      <c r="W192" s="400">
        <f t="shared" si="59"/>
        <v>14.495099383442744</v>
      </c>
      <c r="X192" s="157">
        <f t="shared" si="60"/>
        <v>46200</v>
      </c>
      <c r="Y192" s="383">
        <f t="shared" si="61"/>
        <v>13.940704260051591</v>
      </c>
      <c r="Z192" s="383">
        <f t="shared" si="62"/>
        <v>14.686407980770882</v>
      </c>
      <c r="AA192" s="384">
        <f t="shared" si="63"/>
        <v>16.006386883189659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8.2465762701578418E-2</v>
      </c>
      <c r="AD192" s="230">
        <f>(INDEX(Models!$BJ192:$BT192,,AH192)*(1-AF192)+INDEX(Models!$BJ192:$BT192,,AH192+1)*AF192-ERP_i)*AE192*Ramure*Pc/MaxiM</f>
        <v>3.6578749863400221E-4</v>
      </c>
      <c r="AE192" s="304">
        <f t="shared" si="65"/>
        <v>0.6</v>
      </c>
      <c r="AF192" s="177">
        <f t="shared" si="66"/>
        <v>0.33293337254867783</v>
      </c>
      <c r="AG192" s="799">
        <f t="shared" si="74"/>
        <v>2</v>
      </c>
      <c r="AH192" s="176">
        <f t="shared" si="67"/>
        <v>8</v>
      </c>
      <c r="AI192" s="224">
        <f t="shared" si="68"/>
        <v>2.3329333725486778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'2025'!Wh/'2025'!Env_an*'2026'!Env_an</f>
        <v>57.504150083079985</v>
      </c>
      <c r="C193" s="829"/>
      <c r="D193" s="391">
        <f t="shared" si="50"/>
        <v>60.581271826514495</v>
      </c>
      <c r="E193" s="383">
        <f t="shared" si="75"/>
        <v>63.506518785401724</v>
      </c>
      <c r="F193" s="383">
        <f t="shared" si="51"/>
        <v>63.507051622398627</v>
      </c>
      <c r="G193" s="110">
        <f t="shared" si="76"/>
        <v>1.0118869712014775</v>
      </c>
      <c r="H193" s="412" t="b">
        <f>Wh_hp&gt;='2025'!Maxi_hp</f>
        <v>1</v>
      </c>
      <c r="I193" s="388">
        <f>IF(H193,Wh_hp,'2025'!Maxi_hp)</f>
        <v>63.507051622398627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5.0793283974730818E-2</v>
      </c>
      <c r="M193" s="832"/>
      <c r="N193" s="832"/>
      <c r="O193" s="48">
        <f>IF(t&lt;Tnet,'2025'!Resal+('2025'!Salim-'2025'!Resal)*(1-EXP(('2025'!Tnet-t)/('2025'!Tau_j))),Resal+(Salim-Resal)*(1-EXP((Tnet-t)/(Tau_j))))*Salcycl</f>
        <v>4.6062152592115498E-2</v>
      </c>
      <c r="P193" s="169">
        <f>(INDEX(Models!$BJ193:$BT193,,T193)*(1-R193)+INDEX(Models!$BJ193:$BT193,,T193+1)*R193-ERP_i)*Q193*Ramure*Pc/MaxiM</f>
        <v>8.3902020845165513E-6</v>
      </c>
      <c r="Q193" s="304">
        <f t="shared" si="53"/>
        <v>0.6</v>
      </c>
      <c r="R193" s="177">
        <f t="shared" si="54"/>
        <v>0.8124795857055287</v>
      </c>
      <c r="S193" s="799">
        <f t="shared" si="55"/>
        <v>-2</v>
      </c>
      <c r="T193" s="176">
        <f t="shared" si="56"/>
        <v>4</v>
      </c>
      <c r="U193" s="250">
        <f t="shared" si="57"/>
        <v>-1.1875204142944713</v>
      </c>
      <c r="V193" s="382">
        <f t="shared" si="58"/>
        <v>56.828629797260518</v>
      </c>
      <c r="W193" s="400">
        <f t="shared" si="59"/>
        <v>57.504150083079985</v>
      </c>
      <c r="X193" s="157">
        <f t="shared" si="60"/>
        <v>46201</v>
      </c>
      <c r="Y193" s="383">
        <f t="shared" si="61"/>
        <v>55.286169507355616</v>
      </c>
      <c r="Z193" s="383">
        <f t="shared" si="62"/>
        <v>58.244604230006125</v>
      </c>
      <c r="AA193" s="384">
        <f t="shared" si="63"/>
        <v>63.48354323098873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8.2524363549154947E-2</v>
      </c>
      <c r="AD193" s="230">
        <f>(INDEX(Models!$BJ193:$BT193,,AH193)*(1-AF193)+INDEX(Models!$BJ193:$BT193,,AH193+1)*AF193-ERP_i)*AE193*Ramure*Pc/MaxiM</f>
        <v>3.7016978129718645E-4</v>
      </c>
      <c r="AE193" s="304">
        <f t="shared" si="65"/>
        <v>0.6</v>
      </c>
      <c r="AF193" s="177">
        <f t="shared" si="66"/>
        <v>0.33746715207950739</v>
      </c>
      <c r="AG193" s="799">
        <f t="shared" si="74"/>
        <v>2</v>
      </c>
      <c r="AH193" s="176">
        <f t="shared" si="67"/>
        <v>8</v>
      </c>
      <c r="AI193" s="224">
        <f t="shared" si="68"/>
        <v>2.3374671520795074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'2025'!Wh/'2025'!Env_an*'2026'!Env_an</f>
        <v>55.855564956748509</v>
      </c>
      <c r="C194" s="829"/>
      <c r="D194" s="391">
        <f t="shared" si="50"/>
        <v>58.845596531721888</v>
      </c>
      <c r="E194" s="383">
        <f t="shared" si="75"/>
        <v>61.69247917722037</v>
      </c>
      <c r="F194" s="383">
        <f t="shared" si="51"/>
        <v>61.693001513826836</v>
      </c>
      <c r="G194" s="110">
        <f t="shared" si="76"/>
        <v>0.98402294937321266</v>
      </c>
      <c r="H194" s="412" t="b">
        <f>Wh_hp&gt;='2025'!Maxi_hp</f>
        <v>1</v>
      </c>
      <c r="I194" s="388">
        <f>IF(H194,Wh_hp,'2025'!Maxi_hp)</f>
        <v>61.693001513826836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5.0811475304894604E-2</v>
      </c>
      <c r="M194" s="832"/>
      <c r="N194" s="832"/>
      <c r="O194" s="48">
        <f>IF(t&lt;Tnet,'2025'!Resal+('2025'!Salim-'2025'!Resal)*(1-EXP(('2025'!Tnet-t)/('2025'!Tau_j))),Resal+(Salim-Resal)*(1-EXP((Tnet-t)/(Tau_j))))*Salcycl</f>
        <v>4.6146348525245823E-2</v>
      </c>
      <c r="P194" s="169">
        <f>(INDEX(Models!$BJ194:$BT194,,T194)*(1-R194)+INDEX(Models!$BJ194:$BT194,,T194+1)*R194-ERP_i)*Q194*Ramure*Pc/MaxiM</f>
        <v>8.6644660948459943E-6</v>
      </c>
      <c r="Q194" s="304">
        <f t="shared" si="53"/>
        <v>0.6</v>
      </c>
      <c r="R194" s="177">
        <f t="shared" si="54"/>
        <v>0.81694791703730107</v>
      </c>
      <c r="S194" s="799">
        <f t="shared" si="55"/>
        <v>-2</v>
      </c>
      <c r="T194" s="176">
        <f t="shared" si="56"/>
        <v>4</v>
      </c>
      <c r="U194" s="250">
        <f t="shared" si="57"/>
        <v>-1.1830520829626989</v>
      </c>
      <c r="V194" s="382">
        <f t="shared" si="58"/>
        <v>56.762450455370015</v>
      </c>
      <c r="W194" s="400">
        <f t="shared" si="59"/>
        <v>55.855564956748509</v>
      </c>
      <c r="X194" s="157">
        <f t="shared" si="60"/>
        <v>46202</v>
      </c>
      <c r="Y194" s="383">
        <f t="shared" si="61"/>
        <v>53.702769622742402</v>
      </c>
      <c r="Z194" s="383">
        <f t="shared" si="62"/>
        <v>56.577558857438348</v>
      </c>
      <c r="AA194" s="384">
        <f t="shared" si="63"/>
        <v>61.67040029368367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8.258161795597975E-2</v>
      </c>
      <c r="AD194" s="230">
        <f>(INDEX(Models!$BJ194:$BT194,,AH194)*(1-AF194)+INDEX(Models!$BJ194:$BT194,,AH194+1)*AF194-ERP_i)*AE194*Ramure*Pc/MaxiM</f>
        <v>3.7490672338414847E-4</v>
      </c>
      <c r="AE194" s="304">
        <f t="shared" si="65"/>
        <v>0.6</v>
      </c>
      <c r="AF194" s="177">
        <f t="shared" si="66"/>
        <v>0.34193548341127977</v>
      </c>
      <c r="AG194" s="799">
        <f t="shared" si="74"/>
        <v>2</v>
      </c>
      <c r="AH194" s="176">
        <f t="shared" si="67"/>
        <v>8</v>
      </c>
      <c r="AI194" s="224">
        <f t="shared" si="68"/>
        <v>2.3419354834112798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'2025'!Wh/'2025'!Env_an*'2026'!Env_an</f>
        <v>13.774973521452081</v>
      </c>
      <c r="C195" s="829"/>
      <c r="D195" s="391">
        <f t="shared" si="50"/>
        <v>14.512646499978869</v>
      </c>
      <c r="E195" s="383">
        <f t="shared" si="75"/>
        <v>15.216082619140625</v>
      </c>
      <c r="F195" s="383">
        <f t="shared" si="51"/>
        <v>15.216082619140625</v>
      </c>
      <c r="G195" s="110">
        <f t="shared" si="76"/>
        <v>0.24296437594707332</v>
      </c>
      <c r="H195" s="412" t="b">
        <f>Wh_hp&gt;='2025'!Maxi_hp</f>
        <v>0</v>
      </c>
      <c r="I195" s="388">
        <f>IF(H195,Wh_hp,'2025'!Maxi_hp)</f>
        <v>52.702185547178217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5.0829666286425601E-2</v>
      </c>
      <c r="M195" s="832"/>
      <c r="N195" s="832"/>
      <c r="O195" s="48">
        <f>IF(t&lt;Tnet,'2025'!Resal+('2025'!Salim-'2025'!Resal)*(1-EXP(('2025'!Tnet-t)/('2025'!Tau_j))),Resal+(Salim-Resal)*(1-EXP((Tnet-t)/(Tau_j))))*Salcycl</f>
        <v>4.6229777845507282E-2</v>
      </c>
      <c r="P195" s="169">
        <f>(INDEX(Models!$BJ195:$BT195,,T195)*(1-R195)+INDEX(Models!$BJ195:$BT195,,T195+1)*R195-ERP_i)*Q195*Ramure*Pc/MaxiM</f>
        <v>8.9593324343632794E-6</v>
      </c>
      <c r="Q195" s="304">
        <f t="shared" si="53"/>
        <v>0.6</v>
      </c>
      <c r="R195" s="177">
        <f t="shared" si="54"/>
        <v>0.82134851728285652</v>
      </c>
      <c r="S195" s="799">
        <f t="shared" si="55"/>
        <v>-2</v>
      </c>
      <c r="T195" s="176">
        <f t="shared" si="56"/>
        <v>4</v>
      </c>
      <c r="U195" s="250">
        <f t="shared" si="57"/>
        <v>-1.1786514827171435</v>
      </c>
      <c r="V195" s="382">
        <f t="shared" si="58"/>
        <v>56.694937491106522</v>
      </c>
      <c r="W195" s="400">
        <f t="shared" si="59"/>
        <v>13.774973521452081</v>
      </c>
      <c r="X195" s="157">
        <f t="shared" si="60"/>
        <v>46203</v>
      </c>
      <c r="Y195" s="383">
        <f t="shared" si="61"/>
        <v>13.249148743026993</v>
      </c>
      <c r="Z195" s="383">
        <f t="shared" si="62"/>
        <v>13.958662921111809</v>
      </c>
      <c r="AA195" s="384">
        <f t="shared" si="63"/>
        <v>15.216082619140625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8.2637544071105434E-2</v>
      </c>
      <c r="AD195" s="230">
        <f>(INDEX(Models!$BJ195:$BT195,,AH195)*(1-AF195)+INDEX(Models!$BJ195:$BT195,,AH195+1)*AF195-ERP_i)*AE195*Ramure*Pc/MaxiM</f>
        <v>3.8000369144358518E-4</v>
      </c>
      <c r="AE195" s="304">
        <f t="shared" si="65"/>
        <v>0.6</v>
      </c>
      <c r="AF195" s="177">
        <f t="shared" si="66"/>
        <v>0.34633608365683521</v>
      </c>
      <c r="AG195" s="799">
        <f t="shared" si="74"/>
        <v>2</v>
      </c>
      <c r="AH195" s="176">
        <f t="shared" si="67"/>
        <v>8</v>
      </c>
      <c r="AI195" s="224">
        <f t="shared" si="68"/>
        <v>2.3463360836568352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'2025'!Wh/'2025'!Env_an*'2026'!Env_an</f>
        <v>49.685700184583297</v>
      </c>
      <c r="C196" s="829"/>
      <c r="D196" s="391">
        <f t="shared" si="50"/>
        <v>52.347456144721008</v>
      </c>
      <c r="E196" s="383">
        <f t="shared" si="75"/>
        <v>54.889524504194334</v>
      </c>
      <c r="F196" s="383">
        <f t="shared" si="51"/>
        <v>54.889944492414337</v>
      </c>
      <c r="G196" s="110">
        <f t="shared" si="76"/>
        <v>0.87743333440709737</v>
      </c>
      <c r="H196" s="412" t="b">
        <f>Wh_hp&gt;='2025'!Maxi_hp</f>
        <v>0</v>
      </c>
      <c r="I196" s="388">
        <f>IF(H196,Wh_hp,'2025'!Maxi_hp)</f>
        <v>60.959454139649438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5.0847856919330692E-2</v>
      </c>
      <c r="M196" s="832"/>
      <c r="N196" s="832"/>
      <c r="O196" s="48">
        <f>IF(t&lt;Tnet,'2025'!Resal+('2025'!Salim-'2025'!Resal)*(1-EXP(('2025'!Tnet-t)/('2025'!Tau_j))),Resal+(Salim-Resal)*(1-EXP((Tnet-t)/(Tau_j))))*Salcycl</f>
        <v>4.6312450006359147E-2</v>
      </c>
      <c r="P196" s="169">
        <f>(INDEX(Models!$BJ196:$BT196,,T196)*(1-R196)+INDEX(Models!$BJ196:$BT196,,T196+1)*R196-ERP_i)*Q196*Ramure*Pc/MaxiM</f>
        <v>9.2755449514500613E-6</v>
      </c>
      <c r="Q196" s="304">
        <f t="shared" si="53"/>
        <v>0.6</v>
      </c>
      <c r="R196" s="177">
        <f t="shared" si="54"/>
        <v>0.82567928480379948</v>
      </c>
      <c r="S196" s="799">
        <f t="shared" si="55"/>
        <v>-2</v>
      </c>
      <c r="T196" s="176">
        <f t="shared" si="56"/>
        <v>4</v>
      </c>
      <c r="U196" s="250">
        <f t="shared" si="57"/>
        <v>-1.1743207151962005</v>
      </c>
      <c r="V196" s="382">
        <f t="shared" si="58"/>
        <v>56.626090600656816</v>
      </c>
      <c r="W196" s="400">
        <f t="shared" si="59"/>
        <v>49.685700184583297</v>
      </c>
      <c r="X196" s="157">
        <f t="shared" si="60"/>
        <v>46204</v>
      </c>
      <c r="Y196" s="383">
        <f t="shared" si="61"/>
        <v>47.77554082332076</v>
      </c>
      <c r="Z196" s="383">
        <f t="shared" si="62"/>
        <v>50.33496597105642</v>
      </c>
      <c r="AA196" s="384">
        <f t="shared" si="63"/>
        <v>54.872490947198742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8.2692163191726953E-2</v>
      </c>
      <c r="AD196" s="230">
        <f>(INDEX(Models!$BJ196:$BT196,,AH196)*(1-AF196)+INDEX(Models!$BJ196:$BT196,,AH196+1)*AF196-ERP_i)*AE196*Ramure*Pc/MaxiM</f>
        <v>3.8546591428033323E-4</v>
      </c>
      <c r="AE196" s="304">
        <f t="shared" si="65"/>
        <v>0.6</v>
      </c>
      <c r="AF196" s="177">
        <f t="shared" si="66"/>
        <v>0.3506668511777784</v>
      </c>
      <c r="AG196" s="799">
        <f t="shared" si="74"/>
        <v>2</v>
      </c>
      <c r="AH196" s="176">
        <f t="shared" si="67"/>
        <v>8</v>
      </c>
      <c r="AI196" s="224">
        <f t="shared" si="68"/>
        <v>2.3506668511777784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'2025'!Wh/'2025'!Env_an*'2026'!Env_an</f>
        <v>54.886144457633819</v>
      </c>
      <c r="C197" s="829"/>
      <c r="D197" s="391">
        <f t="shared" si="50"/>
        <v>57.827606204504278</v>
      </c>
      <c r="E197" s="383">
        <f t="shared" si="75"/>
        <v>60.641007939001632</v>
      </c>
      <c r="F197" s="383">
        <f t="shared" si="51"/>
        <v>60.641566347052844</v>
      </c>
      <c r="G197" s="110">
        <f t="shared" si="76"/>
        <v>0.9704754606339373</v>
      </c>
      <c r="H197" s="412" t="b">
        <f>Wh_hp&gt;='2025'!Maxi_hp</f>
        <v>1</v>
      </c>
      <c r="I197" s="388">
        <f>IF(H197,Wh_hp,'2025'!Maxi_hp)</f>
        <v>60.641566347052844</v>
      </c>
      <c r="J197" s="85">
        <f>IF(H197,An,'2025'!An_max)</f>
        <v>2026</v>
      </c>
      <c r="K197" s="197">
        <f t="shared" si="52"/>
        <v>46205</v>
      </c>
      <c r="L197" s="147">
        <f>IF(t&lt;Tvie,1-EXP((T0-t)*PertePVj)+'2025'!Pspv,1-EXP((T0-t)*PertePVj)+Pspv)</f>
        <v>5.0866047203616427E-2</v>
      </c>
      <c r="M197" s="832"/>
      <c r="N197" s="832"/>
      <c r="O197" s="48">
        <f>IF(t&lt;Tnet,'2025'!Resal+('2025'!Salim-'2025'!Resal)*(1-EXP(('2025'!Tnet-t)/('2025'!Tau_j))),Resal+(Salim-Resal)*(1-EXP((Tnet-t)/(Tau_j))))*Salcycl</f>
        <v>4.6394376183973407E-2</v>
      </c>
      <c r="P197" s="169">
        <f>(INDEX(Models!$BJ197:$BT197,,T197)*(1-R197)+INDEX(Models!$BJ197:$BT197,,T197+1)*R197-ERP_i)*Q197*Ramure*Pc/MaxiM</f>
        <v>9.6138238120754695E-6</v>
      </c>
      <c r="Q197" s="304">
        <f t="shared" si="53"/>
        <v>0.6</v>
      </c>
      <c r="R197" s="177">
        <f t="shared" si="54"/>
        <v>0.82993830011146019</v>
      </c>
      <c r="S197" s="799">
        <f t="shared" si="55"/>
        <v>-2</v>
      </c>
      <c r="T197" s="176">
        <f t="shared" si="56"/>
        <v>4</v>
      </c>
      <c r="U197" s="250">
        <f t="shared" si="57"/>
        <v>-1.1700616998885398</v>
      </c>
      <c r="V197" s="382">
        <f t="shared" si="58"/>
        <v>56.555909374600233</v>
      </c>
      <c r="W197" s="400">
        <f t="shared" si="59"/>
        <v>54.886144457633819</v>
      </c>
      <c r="X197" s="157">
        <f t="shared" si="60"/>
        <v>46205</v>
      </c>
      <c r="Y197" s="383">
        <f t="shared" si="61"/>
        <v>52.774602319757392</v>
      </c>
      <c r="Z197" s="383">
        <f t="shared" si="62"/>
        <v>55.602902165990741</v>
      </c>
      <c r="AA197" s="384">
        <f t="shared" si="63"/>
        <v>60.61883821804318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8.2745499575731671E-2</v>
      </c>
      <c r="AD197" s="230">
        <f>(INDEX(Models!$BJ197:$BT197,,AH197)*(1-AF197)+INDEX(Models!$BJ197:$BT197,,AH197+1)*AF197-ERP_i)*AE197*Ramure*Pc/MaxiM</f>
        <v>3.9129849113400553E-4</v>
      </c>
      <c r="AE197" s="304">
        <f t="shared" si="65"/>
        <v>0.6</v>
      </c>
      <c r="AF197" s="177">
        <f t="shared" si="66"/>
        <v>0.35492586648543867</v>
      </c>
      <c r="AG197" s="799">
        <f t="shared" si="74"/>
        <v>2</v>
      </c>
      <c r="AH197" s="176">
        <f t="shared" si="67"/>
        <v>8</v>
      </c>
      <c r="AI197" s="224">
        <f t="shared" si="68"/>
        <v>2.3549258664854387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'2025'!Wh/'2025'!Env_an*'2026'!Env_an</f>
        <v>45.214000270938293</v>
      </c>
      <c r="C198" s="829"/>
      <c r="D198" s="391">
        <f t="shared" si="50"/>
        <v>47.638024822872708</v>
      </c>
      <c r="E198" s="383">
        <f t="shared" si="75"/>
        <v>49.959941541887311</v>
      </c>
      <c r="F198" s="383">
        <f t="shared" si="51"/>
        <v>49.96029793398943</v>
      </c>
      <c r="G198" s="110">
        <f t="shared" si="76"/>
        <v>0.80046662722697426</v>
      </c>
      <c r="H198" s="412" t="b">
        <f>Wh_hp&gt;='2025'!Maxi_hp</f>
        <v>1</v>
      </c>
      <c r="I198" s="388">
        <f>IF(H198,Wh_hp,'2025'!Maxi_hp)</f>
        <v>49.96029793398943</v>
      </c>
      <c r="J198" s="85">
        <f>IF(H198,An,'2025'!An_max)</f>
        <v>2026</v>
      </c>
      <c r="K198" s="197">
        <f t="shared" si="52"/>
        <v>46206</v>
      </c>
      <c r="L198" s="147">
        <f>IF(t&lt;Tvie,1-EXP((T0-t)*PertePVj)+'2025'!Pspv,1-EXP((T0-t)*PertePVj)+Pspv)</f>
        <v>5.0884237139289579E-2</v>
      </c>
      <c r="M198" s="832"/>
      <c r="N198" s="832"/>
      <c r="O198" s="48">
        <f>IF(t&lt;Tnet,'2025'!Resal+('2025'!Salim-'2025'!Resal)*(1-EXP(('2025'!Tnet-t)/('2025'!Tau_j))),Resal+(Salim-Resal)*(1-EXP((Tnet-t)/(Tau_j))))*Salcycl</f>
        <v>4.6475569173111846E-2</v>
      </c>
      <c r="P198" s="169">
        <f>(INDEX(Models!$BJ198:$BT198,,T198)*(1-R198)+INDEX(Models!$BJ198:$BT198,,T198+1)*R198-ERP_i)*Q198*Ramure*Pc/MaxiM</f>
        <v>9.9775518535081534E-6</v>
      </c>
      <c r="Q198" s="304">
        <f t="shared" si="53"/>
        <v>0.6</v>
      </c>
      <c r="R198" s="177">
        <f t="shared" si="54"/>
        <v>0.83412382587875666</v>
      </c>
      <c r="S198" s="799">
        <f t="shared" si="55"/>
        <v>-2</v>
      </c>
      <c r="T198" s="176">
        <f t="shared" si="56"/>
        <v>4</v>
      </c>
      <c r="U198" s="250">
        <f t="shared" si="57"/>
        <v>-1.1658761741212433</v>
      </c>
      <c r="V198" s="382">
        <f t="shared" si="58"/>
        <v>56.484393154501753</v>
      </c>
      <c r="W198" s="400">
        <f t="shared" si="59"/>
        <v>45.214000270938293</v>
      </c>
      <c r="X198" s="157">
        <f t="shared" si="60"/>
        <v>46206</v>
      </c>
      <c r="Y198" s="383">
        <f t="shared" si="61"/>
        <v>43.479639340340718</v>
      </c>
      <c r="Z198" s="383">
        <f t="shared" si="62"/>
        <v>45.81068089027373</v>
      </c>
      <c r="AA198" s="384">
        <f t="shared" si="63"/>
        <v>49.946096852064578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8.2797580240144567E-2</v>
      </c>
      <c r="AD198" s="230">
        <f>(INDEX(Models!$BJ198:$BT198,,AH198)*(1-AF198)+INDEX(Models!$BJ198:$BT198,,AH198+1)*AF198-ERP_i)*AE198*Ramure*Pc/MaxiM</f>
        <v>3.9757343228834094E-4</v>
      </c>
      <c r="AE198" s="304">
        <f t="shared" si="65"/>
        <v>0.6</v>
      </c>
      <c r="AF198" s="177">
        <f t="shared" si="66"/>
        <v>0.35911139225273514</v>
      </c>
      <c r="AG198" s="799">
        <f t="shared" si="74"/>
        <v>2</v>
      </c>
      <c r="AH198" s="176">
        <f t="shared" si="67"/>
        <v>8</v>
      </c>
      <c r="AI198" s="224">
        <f t="shared" si="68"/>
        <v>2.3591113922527351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'2025'!Wh/'2025'!Env_an*'2026'!Env_an</f>
        <v>43.744030859752705</v>
      </c>
      <c r="C199" s="829"/>
      <c r="D199" s="391">
        <f t="shared" si="50"/>
        <v>46.090130342310388</v>
      </c>
      <c r="E199" s="383">
        <f t="shared" si="75"/>
        <v>48.340681187631688</v>
      </c>
      <c r="F199" s="383">
        <f t="shared" si="51"/>
        <v>48.341021283973696</v>
      </c>
      <c r="G199" s="110">
        <f t="shared" si="76"/>
        <v>0.77544211803953944</v>
      </c>
      <c r="H199" s="412" t="b">
        <f>Wh_hp&gt;='2025'!Maxi_hp</f>
        <v>0</v>
      </c>
      <c r="I199" s="388">
        <f>IF(H199,Wh_hp,'2025'!Maxi_hp)</f>
        <v>58.082093863284776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5.0902426726356698E-2</v>
      </c>
      <c r="M199" s="832"/>
      <c r="N199" s="832"/>
      <c r="O199" s="48">
        <f>IF(t&lt;Tnet,'2025'!Resal+('2025'!Salim-'2025'!Resal)*(1-EXP(('2025'!Tnet-t)/('2025'!Tau_j))),Resal+(Salim-Resal)*(1-EXP((Tnet-t)/(Tau_j))))*Salcycl</f>
        <v>4.6556043275143642E-2</v>
      </c>
      <c r="P199" s="169">
        <f>(INDEX(Models!$BJ199:$BT199,,T199)*(1-R199)+INDEX(Models!$BJ199:$BT199,,T199+1)*R199-ERP_i)*Q199*Ramure*Pc/MaxiM</f>
        <v>1.0358197173600738E-5</v>
      </c>
      <c r="Q199" s="304">
        <f t="shared" si="53"/>
        <v>0.6</v>
      </c>
      <c r="R199" s="177">
        <f t="shared" si="54"/>
        <v>0.83823430610271377</v>
      </c>
      <c r="S199" s="799">
        <f t="shared" si="55"/>
        <v>-2</v>
      </c>
      <c r="T199" s="176">
        <f t="shared" si="56"/>
        <v>4</v>
      </c>
      <c r="U199" s="250">
        <f t="shared" si="57"/>
        <v>-1.1617656938972862</v>
      </c>
      <c r="V199" s="382">
        <f t="shared" si="58"/>
        <v>56.411541863239449</v>
      </c>
      <c r="W199" s="400">
        <f t="shared" si="59"/>
        <v>43.744030859752705</v>
      </c>
      <c r="X199" s="157">
        <f t="shared" si="60"/>
        <v>46207</v>
      </c>
      <c r="Y199" s="383">
        <f t="shared" si="61"/>
        <v>42.067681065039345</v>
      </c>
      <c r="Z199" s="383">
        <f t="shared" si="62"/>
        <v>44.323873803552985</v>
      </c>
      <c r="AA199" s="384">
        <f t="shared" si="63"/>
        <v>48.327752448775733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8.2848434747024524E-2</v>
      </c>
      <c r="AD199" s="230">
        <f>(INDEX(Models!$BJ199:$BT199,,AH199)*(1-AF199)+INDEX(Models!$BJ199:$BT199,,AH199+1)*AF199-ERP_i)*AE199*Ramure*Pc/MaxiM</f>
        <v>4.0412434439152643E-4</v>
      </c>
      <c r="AE199" s="304">
        <f t="shared" si="65"/>
        <v>0.6</v>
      </c>
      <c r="AF199" s="177">
        <f t="shared" si="66"/>
        <v>0.36322187247669246</v>
      </c>
      <c r="AG199" s="799">
        <f t="shared" si="74"/>
        <v>2</v>
      </c>
      <c r="AH199" s="176">
        <f t="shared" si="67"/>
        <v>8</v>
      </c>
      <c r="AI199" s="224">
        <f t="shared" si="68"/>
        <v>2.3632218724766925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'2025'!Wh/'2025'!Env_an*'2026'!Env_an</f>
        <v>54.836267009248111</v>
      </c>
      <c r="C200" s="829"/>
      <c r="D200" s="391">
        <f t="shared" si="50"/>
        <v>57.778377585341936</v>
      </c>
      <c r="E200" s="383">
        <f t="shared" si="75"/>
        <v>60.604728439206319</v>
      </c>
      <c r="F200" s="383">
        <f t="shared" si="51"/>
        <v>60.605355504215908</v>
      </c>
      <c r="G200" s="110">
        <f t="shared" si="76"/>
        <v>0.97335497411323113</v>
      </c>
      <c r="H200" s="412" t="b">
        <f>Wh_hp&gt;='2025'!Maxi_hp</f>
        <v>0</v>
      </c>
      <c r="I200" s="388">
        <f>IF(H200,Wh_hp,'2025'!Maxi_hp)</f>
        <v>61.390169549077257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5.0920615964824556E-2</v>
      </c>
      <c r="M200" s="832"/>
      <c r="N200" s="832"/>
      <c r="O200" s="48">
        <f>IF(t&lt;Tnet,'2025'!Resal+('2025'!Salim-'2025'!Resal)*(1-EXP(('2025'!Tnet-t)/('2025'!Tau_j))),Resal+(Salim-Resal)*(1-EXP((Tnet-t)/(Tau_j))))*Salcycl</f>
        <v>4.6635814179079305E-2</v>
      </c>
      <c r="P200" s="169">
        <f>(INDEX(Models!$BJ200:$BT200,,T200)*(1-R200)+INDEX(Models!$BJ200:$BT200,,T200+1)*R200-ERP_i)*Q200*Ramure*Pc/MaxiM</f>
        <v>1.075611098956481E-5</v>
      </c>
      <c r="Q200" s="304">
        <f t="shared" si="53"/>
        <v>0.6</v>
      </c>
      <c r="R200" s="177">
        <f t="shared" si="54"/>
        <v>0.8422683644626876</v>
      </c>
      <c r="S200" s="799">
        <f t="shared" si="55"/>
        <v>-2</v>
      </c>
      <c r="T200" s="176">
        <f t="shared" si="56"/>
        <v>4</v>
      </c>
      <c r="U200" s="250">
        <f t="shared" si="57"/>
        <v>-1.1577316355373124</v>
      </c>
      <c r="V200" s="382">
        <f t="shared" si="58"/>
        <v>56.337354836062424</v>
      </c>
      <c r="W200" s="400">
        <f t="shared" si="59"/>
        <v>54.836267009248111</v>
      </c>
      <c r="X200" s="157">
        <f t="shared" si="60"/>
        <v>46208</v>
      </c>
      <c r="Y200" s="383">
        <f t="shared" si="61"/>
        <v>52.730200475568239</v>
      </c>
      <c r="Z200" s="383">
        <f t="shared" si="62"/>
        <v>55.559315018915122</v>
      </c>
      <c r="AA200" s="384">
        <f t="shared" si="63"/>
        <v>60.581397459435017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8.289809497845696E-2</v>
      </c>
      <c r="AD200" s="230">
        <f>(INDEX(Models!$BJ200:$BT200,,AH200)*(1-AF200)+INDEX(Models!$BJ200:$BT200,,AH200+1)*AF200-ERP_i)*AE200*Ramure*Pc/MaxiM</f>
        <v>4.1095482098034436E-4</v>
      </c>
      <c r="AE200" s="304">
        <f t="shared" si="65"/>
        <v>0.6</v>
      </c>
      <c r="AF200" s="177">
        <f t="shared" si="66"/>
        <v>0.36725593083666608</v>
      </c>
      <c r="AG200" s="799">
        <f t="shared" si="74"/>
        <v>2</v>
      </c>
      <c r="AH200" s="176">
        <f t="shared" si="67"/>
        <v>8</v>
      </c>
      <c r="AI200" s="224">
        <f t="shared" si="68"/>
        <v>2.3672559308366661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'2025'!Wh/'2025'!Env_an*'2026'!Env_an</f>
        <v>46.611908585255584</v>
      </c>
      <c r="C201" s="829"/>
      <c r="D201" s="391">
        <f t="shared" si="50"/>
        <v>49.113701859993704</v>
      </c>
      <c r="E201" s="383">
        <f t="shared" si="75"/>
        <v>51.520475668876117</v>
      </c>
      <c r="F201" s="383">
        <f t="shared" si="51"/>
        <v>51.520910211280686</v>
      </c>
      <c r="G201" s="110">
        <f t="shared" si="76"/>
        <v>0.8284796261721098</v>
      </c>
      <c r="H201" s="412" t="b">
        <f>Wh_hp&gt;='2025'!Maxi_hp</f>
        <v>0</v>
      </c>
      <c r="I201" s="388">
        <f>IF(H201,Wh_hp,'2025'!Maxi_hp)</f>
        <v>60.936475957669771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5.0938804854699704E-2</v>
      </c>
      <c r="M201" s="832"/>
      <c r="N201" s="832"/>
      <c r="O201" s="48">
        <f>IF(t&lt;Tnet,'2025'!Resal+('2025'!Salim-'2025'!Resal)*(1-EXP(('2025'!Tnet-t)/('2025'!Tau_j))),Resal+(Salim-Resal)*(1-EXP((Tnet-t)/(Tau_j))))*Salcycl</f>
        <v>4.6714898836548668E-2</v>
      </c>
      <c r="P201" s="169">
        <f>(INDEX(Models!$BJ201:$BT201,,T201)*(1-R201)+INDEX(Models!$BJ201:$BT201,,T201+1)*R201-ERP_i)*Q201*Ramure*Pc/MaxiM</f>
        <v>1.1171630509172193E-5</v>
      </c>
      <c r="Q201" s="304">
        <f t="shared" si="53"/>
        <v>0.6</v>
      </c>
      <c r="R201" s="177">
        <f t="shared" si="54"/>
        <v>0.84622480192381366</v>
      </c>
      <c r="S201" s="799">
        <f t="shared" si="55"/>
        <v>-2</v>
      </c>
      <c r="T201" s="176">
        <f t="shared" si="56"/>
        <v>4</v>
      </c>
      <c r="U201" s="250">
        <f t="shared" si="57"/>
        <v>-1.1537751980761863</v>
      </c>
      <c r="V201" s="382">
        <f t="shared" si="58"/>
        <v>56.261831334313634</v>
      </c>
      <c r="W201" s="400">
        <f t="shared" si="59"/>
        <v>46.611908585255584</v>
      </c>
      <c r="X201" s="157">
        <f t="shared" si="60"/>
        <v>46209</v>
      </c>
      <c r="Y201" s="383">
        <f t="shared" si="61"/>
        <v>44.826545614308053</v>
      </c>
      <c r="Z201" s="383">
        <f t="shared" si="62"/>
        <v>47.232513397036691</v>
      </c>
      <c r="AA201" s="384">
        <f t="shared" si="63"/>
        <v>51.504648621863019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8.2946594902365153E-2</v>
      </c>
      <c r="AD201" s="230">
        <f>(INDEX(Models!$BJ201:$BT201,,AH201)*(1-AF201)+INDEX(Models!$BJ201:$BT201,,AH201+1)*AF201-ERP_i)*AE201*Ramure*Pc/MaxiM</f>
        <v>4.1806844753295184E-4</v>
      </c>
      <c r="AE201" s="304">
        <f t="shared" si="65"/>
        <v>0.6</v>
      </c>
      <c r="AF201" s="177">
        <f t="shared" si="66"/>
        <v>0.37121236829779214</v>
      </c>
      <c r="AG201" s="799">
        <f t="shared" si="74"/>
        <v>2</v>
      </c>
      <c r="AH201" s="176">
        <f t="shared" si="67"/>
        <v>8</v>
      </c>
      <c r="AI201" s="224">
        <f t="shared" si="68"/>
        <v>2.3712123682977921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'2025'!Wh/'2025'!Env_an*'2026'!Env_an</f>
        <v>54.29343176666233</v>
      </c>
      <c r="C202" s="829"/>
      <c r="D202" s="391">
        <f t="shared" si="50"/>
        <v>57.208610557009578</v>
      </c>
      <c r="E202" s="383">
        <f t="shared" si="75"/>
        <v>60.01700520692085</v>
      </c>
      <c r="F202" s="383">
        <f t="shared" si="51"/>
        <v>60.017668218312338</v>
      </c>
      <c r="G202" s="110">
        <f t="shared" si="76"/>
        <v>0.96633318359727349</v>
      </c>
      <c r="H202" s="412" t="b">
        <f>Wh_hp&gt;='2025'!Maxi_hp</f>
        <v>1</v>
      </c>
      <c r="I202" s="388">
        <f>IF(H202,Wh_hp,'2025'!Maxi_hp)</f>
        <v>60.017668218312338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5.0956993395989025E-2</v>
      </c>
      <c r="M202" s="832"/>
      <c r="N202" s="832"/>
      <c r="O202" s="48">
        <f>IF(t&lt;Tnet,'2025'!Resal+('2025'!Salim-'2025'!Resal)*(1-EXP(('2025'!Tnet-t)/('2025'!Tau_j))),Resal+(Salim-Resal)*(1-EXP((Tnet-t)/(Tau_j))))*Salcycl</f>
        <v>4.6793315331692446E-2</v>
      </c>
      <c r="P202" s="169">
        <f>(INDEX(Models!$BJ202:$BT202,,T202)*(1-R202)+INDEX(Models!$BJ202:$BT202,,T202+1)*R202-ERP_i)*Q202*Ramure*Pc/MaxiM</f>
        <v>1.16050794638203E-5</v>
      </c>
      <c r="Q202" s="304">
        <f t="shared" si="53"/>
        <v>0.6</v>
      </c>
      <c r="R202" s="177">
        <f t="shared" si="54"/>
        <v>0.85010259363885332</v>
      </c>
      <c r="S202" s="799">
        <f t="shared" si="55"/>
        <v>-2</v>
      </c>
      <c r="T202" s="176">
        <f t="shared" si="56"/>
        <v>4</v>
      </c>
      <c r="U202" s="250">
        <f t="shared" si="57"/>
        <v>-1.1498974063611467</v>
      </c>
      <c r="V202" s="382">
        <f t="shared" si="58"/>
        <v>56.184970550982904</v>
      </c>
      <c r="W202" s="400">
        <f t="shared" si="59"/>
        <v>54.29343176666233</v>
      </c>
      <c r="X202" s="157">
        <f t="shared" si="60"/>
        <v>46210</v>
      </c>
      <c r="Y202" s="383">
        <f t="shared" si="61"/>
        <v>52.210911531544333</v>
      </c>
      <c r="Z202" s="383">
        <f t="shared" si="62"/>
        <v>55.014273503128379</v>
      </c>
      <c r="AA202" s="384">
        <f t="shared" si="63"/>
        <v>59.993360701217455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8.299397033092086E-2</v>
      </c>
      <c r="AD202" s="230">
        <f>(INDEX(Models!$BJ202:$BT202,,AH202)*(1-AF202)+INDEX(Models!$BJ202:$BT202,,AH202+1)*AF202-ERP_i)*AE202*Ramure*Pc/MaxiM</f>
        <v>4.2546880954779178E-4</v>
      </c>
      <c r="AE202" s="304">
        <f t="shared" si="65"/>
        <v>0.6</v>
      </c>
      <c r="AF202" s="177">
        <f t="shared" si="66"/>
        <v>0.37509016001283202</v>
      </c>
      <c r="AG202" s="799">
        <f t="shared" si="74"/>
        <v>2</v>
      </c>
      <c r="AH202" s="176">
        <f t="shared" si="67"/>
        <v>8</v>
      </c>
      <c r="AI202" s="224">
        <f t="shared" si="68"/>
        <v>2.375090160012832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'2025'!Wh/'2025'!Env_an*'2026'!Env_an</f>
        <v>56.632964985873691</v>
      </c>
      <c r="C203" s="829"/>
      <c r="D203" s="391">
        <f t="shared" si="50"/>
        <v>59.674904056438855</v>
      </c>
      <c r="E203" s="383">
        <f t="shared" si="75"/>
        <v>62.609478084481253</v>
      </c>
      <c r="F203" s="383">
        <f t="shared" si="51"/>
        <v>62.610232961581055</v>
      </c>
      <c r="G203" s="110">
        <f t="shared" si="76"/>
        <v>1.0093784288127614</v>
      </c>
      <c r="H203" s="412" t="b">
        <f>Wh_hp&gt;='2025'!Maxi_hp</f>
        <v>0</v>
      </c>
      <c r="I203" s="388">
        <f>IF(H203,Wh_hp,'2025'!Maxi_hp)</f>
        <v>63.179240618782657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5.097518158869907E-2</v>
      </c>
      <c r="M203" s="832"/>
      <c r="N203" s="832"/>
      <c r="O203" s="48">
        <f>IF(t&lt;Tnet,'2025'!Resal+('2025'!Salim-'2025'!Resal)*(1-EXP(('2025'!Tnet-t)/('2025'!Tau_j))),Resal+(Salim-Resal)*(1-EXP((Tnet-t)/(Tau_j))))*Salcycl</f>
        <v>4.6871082746971153E-2</v>
      </c>
      <c r="P203" s="169">
        <f>(INDEX(Models!$BJ203:$BT203,,T203)*(1-R203)+INDEX(Models!$BJ203:$BT203,,T203+1)*R203-ERP_i)*Q203*Ramure*Pc/MaxiM</f>
        <v>1.2056768743624507E-5</v>
      </c>
      <c r="Q203" s="304">
        <f t="shared" si="53"/>
        <v>0.6</v>
      </c>
      <c r="R203" s="177">
        <f t="shared" si="54"/>
        <v>0.85390088520445562</v>
      </c>
      <c r="S203" s="799">
        <f t="shared" si="55"/>
        <v>-2</v>
      </c>
      <c r="T203" s="176">
        <f t="shared" si="56"/>
        <v>4</v>
      </c>
      <c r="U203" s="250">
        <f t="shared" si="57"/>
        <v>-1.1460991147955444</v>
      </c>
      <c r="V203" s="382">
        <f t="shared" si="58"/>
        <v>56.106771622300087</v>
      </c>
      <c r="W203" s="400">
        <f t="shared" si="59"/>
        <v>56.632964985873691</v>
      </c>
      <c r="X203" s="157">
        <f t="shared" si="60"/>
        <v>46211</v>
      </c>
      <c r="Y203" s="383">
        <f t="shared" si="61"/>
        <v>54.4609231691053</v>
      </c>
      <c r="Z203" s="383">
        <f t="shared" si="62"/>
        <v>57.386194873464632</v>
      </c>
      <c r="AA203" s="384">
        <f t="shared" si="63"/>
        <v>62.583112744339886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8.3040258673379441E-2</v>
      </c>
      <c r="AD203" s="230">
        <f>(INDEX(Models!$BJ203:$BT203,,AH203)*(1-AF203)+INDEX(Models!$BJ203:$BT203,,AH203+1)*AF203-ERP_i)*AE203*Ramure*Pc/MaxiM</f>
        <v>4.3315950058533947E-4</v>
      </c>
      <c r="AE203" s="304">
        <f t="shared" si="65"/>
        <v>0.6</v>
      </c>
      <c r="AF203" s="177">
        <f t="shared" si="66"/>
        <v>0.37888845157843454</v>
      </c>
      <c r="AG203" s="799">
        <f t="shared" si="74"/>
        <v>2</v>
      </c>
      <c r="AH203" s="176">
        <f t="shared" si="67"/>
        <v>8</v>
      </c>
      <c r="AI203" s="224">
        <f t="shared" si="68"/>
        <v>2.3788884515784345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'2025'!Wh/'2025'!Env_an*'2026'!Env_an</f>
        <v>55.971567254887532</v>
      </c>
      <c r="C204" s="829"/>
      <c r="D204" s="391">
        <f t="shared" si="50"/>
        <v>58.979110842920811</v>
      </c>
      <c r="E204" s="383">
        <f t="shared" si="75"/>
        <v>61.884476944588776</v>
      </c>
      <c r="F204" s="383">
        <f t="shared" si="51"/>
        <v>61.885251080603396</v>
      </c>
      <c r="G204" s="110">
        <f t="shared" si="76"/>
        <v>0.99900642293983155</v>
      </c>
      <c r="H204" s="412" t="b">
        <f>Wh_hp&gt;='2025'!Maxi_hp</f>
        <v>1</v>
      </c>
      <c r="I204" s="388">
        <f>IF(H204,Wh_hp,'2025'!Maxi_hp)</f>
        <v>61.885251080603396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5.099336943283661E-2</v>
      </c>
      <c r="M204" s="832"/>
      <c r="N204" s="832"/>
      <c r="O204" s="48">
        <f>IF(t&lt;Tnet,'2025'!Resal+('2025'!Salim-'2025'!Resal)*(1-EXP(('2025'!Tnet-t)/('2025'!Tau_j))),Resal+(Salim-Resal)*(1-EXP((Tnet-t)/(Tau_j))))*Salcycl</f>
        <v>4.6948221025919376E-2</v>
      </c>
      <c r="P204" s="169">
        <f>(INDEX(Models!$BJ204:$BT204,,T204)*(1-R204)+INDEX(Models!$BJ204:$BT204,,T204+1)*R204-ERP_i)*Q204*Ramure*Pc/MaxiM</f>
        <v>1.2526997122032266E-5</v>
      </c>
      <c r="Q204" s="304">
        <f t="shared" si="53"/>
        <v>0.6</v>
      </c>
      <c r="R204" s="177">
        <f t="shared" si="54"/>
        <v>0.85761898832990768</v>
      </c>
      <c r="S204" s="799">
        <f t="shared" si="55"/>
        <v>-2</v>
      </c>
      <c r="T204" s="176">
        <f t="shared" si="56"/>
        <v>4</v>
      </c>
      <c r="U204" s="250">
        <f t="shared" si="57"/>
        <v>-1.1423810116700923</v>
      </c>
      <c r="V204" s="382">
        <f t="shared" si="58"/>
        <v>56.027233633758669</v>
      </c>
      <c r="W204" s="400">
        <f t="shared" si="59"/>
        <v>55.971567254887532</v>
      </c>
      <c r="X204" s="157">
        <f t="shared" si="60"/>
        <v>46212</v>
      </c>
      <c r="Y204" s="383">
        <f t="shared" si="61"/>
        <v>53.826220815845495</v>
      </c>
      <c r="Z204" s="383">
        <f t="shared" si="62"/>
        <v>56.718487608118025</v>
      </c>
      <c r="AA204" s="384">
        <f t="shared" si="63"/>
        <v>61.857989514602053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8.3085498685190953E-2</v>
      </c>
      <c r="AD204" s="230">
        <f>(INDEX(Models!$BJ204:$BT204,,AH204)*(1-AF204)+INDEX(Models!$BJ204:$BT204,,AH204+1)*AF204-ERP_i)*AE204*Ramure*Pc/MaxiM</f>
        <v>4.4114413022012226E-4</v>
      </c>
      <c r="AE204" s="304">
        <f t="shared" si="65"/>
        <v>0.6</v>
      </c>
      <c r="AF204" s="177">
        <f t="shared" si="66"/>
        <v>0.38260655470388638</v>
      </c>
      <c r="AG204" s="799">
        <f t="shared" si="74"/>
        <v>2</v>
      </c>
      <c r="AH204" s="176">
        <f t="shared" si="67"/>
        <v>8</v>
      </c>
      <c r="AI204" s="224">
        <f t="shared" si="68"/>
        <v>2.3826065547038864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'2025'!Wh/'2025'!Env_an*'2026'!Env_an</f>
        <v>55.44003757184344</v>
      </c>
      <c r="C205" s="829"/>
      <c r="D205" s="391">
        <f t="shared" si="50"/>
        <v>58.420139862189068</v>
      </c>
      <c r="E205" s="383">
        <f t="shared" si="75"/>
        <v>61.302893137370397</v>
      </c>
      <c r="F205" s="383">
        <f t="shared" si="51"/>
        <v>61.303680738337384</v>
      </c>
      <c r="G205" s="110">
        <f t="shared" si="76"/>
        <v>0.9909421505713204</v>
      </c>
      <c r="H205" s="412" t="b">
        <f>Wh_hp&gt;='2025'!Maxi_hp</f>
        <v>1</v>
      </c>
      <c r="I205" s="388">
        <f>IF(H205,Wh_hp,'2025'!Maxi_hp)</f>
        <v>61.303680738337384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5.1011556928408197E-2</v>
      </c>
      <c r="M205" s="832"/>
      <c r="N205" s="832"/>
      <c r="O205" s="48">
        <f>IF(t&lt;Tnet,'2025'!Resal+('2025'!Salim-'2025'!Resal)*(1-EXP(('2025'!Tnet-t)/('2025'!Tau_j))),Resal+(Salim-Resal)*(1-EXP((Tnet-t)/(Tau_j))))*Salcycl</f>
        <v>4.7024750833888351E-2</v>
      </c>
      <c r="P205" s="169">
        <f>(INDEX(Models!$BJ205:$BT205,,T205)*(1-R205)+INDEX(Models!$BJ205:$BT205,,T205+1)*R205-ERP_i)*Q205*Ramure*Pc/MaxiM</f>
        <v>1.3015951976922112E-5</v>
      </c>
      <c r="Q205" s="304">
        <f t="shared" si="53"/>
        <v>0.6</v>
      </c>
      <c r="R205" s="177">
        <f t="shared" si="54"/>
        <v>0.86125637597773652</v>
      </c>
      <c r="S205" s="799">
        <f t="shared" si="55"/>
        <v>-2</v>
      </c>
      <c r="T205" s="176">
        <f t="shared" si="56"/>
        <v>4</v>
      </c>
      <c r="U205" s="250">
        <f t="shared" si="57"/>
        <v>-1.1387436240222635</v>
      </c>
      <c r="V205" s="382">
        <f t="shared" si="58"/>
        <v>55.946785796244754</v>
      </c>
      <c r="W205" s="400">
        <f t="shared" si="59"/>
        <v>55.44003757184344</v>
      </c>
      <c r="X205" s="157">
        <f t="shared" si="60"/>
        <v>46213</v>
      </c>
      <c r="Y205" s="383">
        <f t="shared" si="61"/>
        <v>53.316626919034022</v>
      </c>
      <c r="Z205" s="383">
        <f t="shared" si="62"/>
        <v>56.182588216210561</v>
      </c>
      <c r="AA205" s="384">
        <f t="shared" si="63"/>
        <v>61.276485962839949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8.3129730215249192E-2</v>
      </c>
      <c r="AD205" s="230">
        <f>(INDEX(Models!$BJ205:$BT205,,AH205)*(1-AF205)+INDEX(Models!$BJ205:$BT205,,AH205+1)*AF205-ERP_i)*AE205*Ramure*Pc/MaxiM</f>
        <v>4.494228762213303E-4</v>
      </c>
      <c r="AE205" s="304">
        <f t="shared" si="65"/>
        <v>0.6</v>
      </c>
      <c r="AF205" s="177">
        <f t="shared" si="66"/>
        <v>0.38624394235171522</v>
      </c>
      <c r="AG205" s="799">
        <f t="shared" si="74"/>
        <v>2</v>
      </c>
      <c r="AH205" s="176">
        <f t="shared" si="67"/>
        <v>8</v>
      </c>
      <c r="AI205" s="224">
        <f t="shared" si="68"/>
        <v>2.3862439423517152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'2025'!Wh/'2025'!Env_an*'2026'!Env_an</f>
        <v>53.984353174469675</v>
      </c>
      <c r="C206" s="829"/>
      <c r="D206" s="391">
        <f t="shared" si="50"/>
        <v>56.887297402038016</v>
      </c>
      <c r="E206" s="383">
        <f t="shared" si="75"/>
        <v>59.699169690950178</v>
      </c>
      <c r="F206" s="383">
        <f t="shared" si="51"/>
        <v>59.699939126944265</v>
      </c>
      <c r="G206" s="110">
        <f t="shared" si="76"/>
        <v>0.96632271558809568</v>
      </c>
      <c r="H206" s="412" t="b">
        <f>Wh_hp&gt;='2025'!Maxi_hp</f>
        <v>0</v>
      </c>
      <c r="I206" s="388">
        <f>IF(H206,Wh_hp,'2025'!Maxi_hp)</f>
        <v>60.983970970198122</v>
      </c>
      <c r="J206" s="85">
        <f>IF(H206,An,'2025'!An_max)</f>
        <v>2018</v>
      </c>
      <c r="K206" s="197">
        <f t="shared" si="52"/>
        <v>46214</v>
      </c>
      <c r="L206" s="147">
        <f>IF(t&lt;Tvie,1-EXP((T0-t)*PertePVj)+'2025'!Pspv,1-EXP((T0-t)*PertePVj)+Pspv)</f>
        <v>5.1029744075420602E-2</v>
      </c>
      <c r="M206" s="832"/>
      <c r="N206" s="832"/>
      <c r="O206" s="48">
        <f>IF(t&lt;Tnet,'2025'!Resal+('2025'!Salim-'2025'!Resal)*(1-EXP(('2025'!Tnet-t)/('2025'!Tau_j))),Resal+(Salim-Resal)*(1-EXP((Tnet-t)/(Tau_j))))*Salcycl</f>
        <v>4.71006934178251E-2</v>
      </c>
      <c r="P206" s="169">
        <f>(INDEX(Models!$BJ206:$BT206,,T206)*(1-R206)+INDEX(Models!$BJ206:$BT206,,T206+1)*R206-ERP_i)*Q206*Ramure*Pc/MaxiM</f>
        <v>1.3539780413476708E-5</v>
      </c>
      <c r="Q206" s="304">
        <f t="shared" si="53"/>
        <v>0.6</v>
      </c>
      <c r="R206" s="177">
        <f t="shared" si="54"/>
        <v>0.86481267703610065</v>
      </c>
      <c r="S206" s="799">
        <f t="shared" si="55"/>
        <v>-2</v>
      </c>
      <c r="T206" s="176">
        <f t="shared" si="56"/>
        <v>4</v>
      </c>
      <c r="U206" s="250">
        <f t="shared" si="57"/>
        <v>-1.1351873229638993</v>
      </c>
      <c r="V206" s="382">
        <f t="shared" si="58"/>
        <v>55.865723881051025</v>
      </c>
      <c r="W206" s="400">
        <f t="shared" si="59"/>
        <v>53.984353174469675</v>
      </c>
      <c r="X206" s="157">
        <f t="shared" si="60"/>
        <v>46214</v>
      </c>
      <c r="Y206" s="383">
        <f t="shared" si="61"/>
        <v>51.918772971143056</v>
      </c>
      <c r="Z206" s="383">
        <f t="shared" si="62"/>
        <v>54.710643086024568</v>
      </c>
      <c r="AA206" s="384">
        <f t="shared" si="63"/>
        <v>59.673900010781118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8.3172993953132796E-2</v>
      </c>
      <c r="AD206" s="230">
        <f>(INDEX(Models!$BJ206:$BT206,,AH206)*(1-AF206)+INDEX(Models!$BJ206:$BT206,,AH206+1)*AF206-ERP_i)*AE206*Ramure*Pc/MaxiM</f>
        <v>4.5821084238282308E-4</v>
      </c>
      <c r="AE206" s="304">
        <f t="shared" si="65"/>
        <v>0.6</v>
      </c>
      <c r="AF206" s="177">
        <f t="shared" si="66"/>
        <v>0.38980024341007935</v>
      </c>
      <c r="AG206" s="799">
        <f t="shared" si="74"/>
        <v>2</v>
      </c>
      <c r="AH206" s="176">
        <f t="shared" si="67"/>
        <v>8</v>
      </c>
      <c r="AI206" s="224">
        <f t="shared" si="68"/>
        <v>2.3898002434100794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'2025'!Wh/'2025'!Env_an*'2026'!Env_an</f>
        <v>53.751145329563961</v>
      </c>
      <c r="C207" s="829"/>
      <c r="D207" s="391">
        <f t="shared" ref="D207:D270" si="77">Wh/(1-Ppv)</f>
        <v>56.642634626491571</v>
      </c>
      <c r="E207" s="383">
        <f t="shared" si="75"/>
        <v>59.447115957931253</v>
      </c>
      <c r="F207" s="383">
        <f t="shared" ref="F207:F270" si="78">Wh_sa/(1-Pvg*MEDIAN((-Sdif+Wh/Env_an)/Csdif,0,1))</f>
        <v>59.447909854660089</v>
      </c>
      <c r="G207" s="110">
        <f t="shared" si="76"/>
        <v>0.96356036893093422</v>
      </c>
      <c r="H207" s="412" t="b">
        <f>Wh_hp&gt;='2025'!Maxi_hp</f>
        <v>0</v>
      </c>
      <c r="I207" s="388">
        <f>IF(H207,Wh_hp,'2025'!Maxi_hp)</f>
        <v>61.397076269848142</v>
      </c>
      <c r="J207" s="85">
        <f>IF(H207,An,'2025'!An_max)</f>
        <v>2018</v>
      </c>
      <c r="K207" s="197">
        <f t="shared" ref="K207:K270" si="79">t</f>
        <v>46215</v>
      </c>
      <c r="L207" s="147">
        <f>IF(t&lt;Tvie,1-EXP((T0-t)*PertePVj)+'2025'!Pspv,1-EXP((T0-t)*PertePVj)+Pspv)</f>
        <v>5.1047930873880487E-2</v>
      </c>
      <c r="M207" s="832"/>
      <c r="N207" s="832"/>
      <c r="O207" s="48">
        <f>IF(t&lt;Tnet,'2025'!Resal+('2025'!Salim-'2025'!Resal)*(1-EXP(('2025'!Tnet-t)/('2025'!Tau_j))),Resal+(Salim-Resal)*(1-EXP((Tnet-t)/(Tau_j))))*Salcycl</f>
        <v>4.7176070466131884E-2</v>
      </c>
      <c r="P207" s="169">
        <f>(INDEX(Models!$BJ207:$BT207,,T207)*(1-R207)+INDEX(Models!$BJ207:$BT207,,T207+1)*R207-ERP_i)*Q207*Ramure*Pc/MaxiM</f>
        <v>1.4087844857994756E-5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0.86828767058281908</v>
      </c>
      <c r="S207" s="799">
        <f t="shared" ref="S207:S270" si="82">INDEX(Echel_vg,T207)</f>
        <v>-2</v>
      </c>
      <c r="T207" s="176">
        <f t="shared" ref="T207:T270" si="83">MIN(MATCH(Hp_vg,Echel_vg),10)</f>
        <v>4</v>
      </c>
      <c r="U207" s="250">
        <f t="shared" ref="U207:U270" si="84">IF(OR(t&lt;Ttai,Notai),Hdd+PousH*Croivg,Hdtf+PousH*(Croivg-Croi_tai))</f>
        <v>-1.1317123294171809</v>
      </c>
      <c r="V207" s="382">
        <f t="shared" ref="V207:V270" si="85">MaxiM*(1-Ppv)*(1-Pvg)*(1-Psa)</f>
        <v>55.783848779710105</v>
      </c>
      <c r="W207" s="400">
        <f t="shared" ref="W207:W270" si="86">Wh*(A207&gt;Tmaj)</f>
        <v>53.751145329563961</v>
      </c>
      <c r="X207" s="157">
        <f t="shared" ref="X207:X270" si="87">t</f>
        <v>46215</v>
      </c>
      <c r="Y207" s="383">
        <f t="shared" ref="Y207:Y270" si="88">Wh_pvt_s*(1-Ppv)</f>
        <v>51.695863396233939</v>
      </c>
      <c r="Z207" s="383">
        <f t="shared" ref="Z207:Z270" si="89">Wh_sa_s*(1-Psa_s)</f>
        <v>54.47679084976351</v>
      </c>
      <c r="AA207" s="384">
        <f t="shared" ref="AA207:AA270" si="90">Wh_hp*(1-Pvg_s*MEDIAN((-Sdif+Wh/Env_an)/Csdif,0,1))</f>
        <v>59.421577064298177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8.3215331178169025E-2</v>
      </c>
      <c r="AD207" s="230">
        <f>(INDEX(Models!$BJ207:$BT207,,AH207)*(1-AF207)+INDEX(Models!$BJ207:$BT207,,AH207+1)*AF207-ERP_i)*AE207*Ramure*Pc/MaxiM</f>
        <v>4.6728025424765303E-4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0.39327523695679778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2.3932752369567978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'2025'!Wh/'2025'!Env_an*'2026'!Env_an</f>
        <v>53.478420412924258</v>
      </c>
      <c r="C208" s="829"/>
      <c r="D208" s="391">
        <f t="shared" si="77"/>
        <v>56.356318800740013</v>
      </c>
      <c r="E208" s="383">
        <f t="shared" si="75"/>
        <v>59.151269768241193</v>
      </c>
      <c r="F208" s="383">
        <f t="shared" si="78"/>
        <v>59.152087540114273</v>
      </c>
      <c r="G208" s="110">
        <f t="shared" si="76"/>
        <v>0.96009790364120828</v>
      </c>
      <c r="H208" s="412" t="b">
        <f>Wh_hp&gt;='2025'!Maxi_hp</f>
        <v>1</v>
      </c>
      <c r="I208" s="388">
        <f>IF(H208,Wh_hp,'2025'!Maxi_hp)</f>
        <v>59.152087540114273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5.1066117323794513E-2</v>
      </c>
      <c r="M208" s="832"/>
      <c r="N208" s="832"/>
      <c r="O208" s="48">
        <f>IF(t&lt;Tnet,'2025'!Resal+('2025'!Salim-'2025'!Resal)*(1-EXP(('2025'!Tnet-t)/('2025'!Tau_j))),Resal+(Salim-Resal)*(1-EXP((Tnet-t)/(Tau_j))))*Salcycl</f>
        <v>4.7250903969635688E-2</v>
      </c>
      <c r="P208" s="169">
        <f>(INDEX(Models!$BJ208:$BT208,,T208)*(1-R208)+INDEX(Models!$BJ208:$BT208,,T208+1)*R208-ERP_i)*Q208*Ramure*Pc/MaxiM</f>
        <v>1.466058336319704E-5</v>
      </c>
      <c r="Q208" s="304">
        <f t="shared" si="80"/>
        <v>0.6</v>
      </c>
      <c r="R208" s="177">
        <f t="shared" si="81"/>
        <v>0.87168127980016452</v>
      </c>
      <c r="S208" s="799">
        <f t="shared" si="82"/>
        <v>-2</v>
      </c>
      <c r="T208" s="176">
        <f t="shared" si="83"/>
        <v>4</v>
      </c>
      <c r="U208" s="250">
        <f t="shared" si="84"/>
        <v>-1.1283187201998355</v>
      </c>
      <c r="V208" s="382">
        <f t="shared" si="85"/>
        <v>55.700960827663863</v>
      </c>
      <c r="W208" s="400">
        <f t="shared" si="86"/>
        <v>53.478420412924258</v>
      </c>
      <c r="X208" s="157">
        <f t="shared" si="87"/>
        <v>46216</v>
      </c>
      <c r="Y208" s="383">
        <f t="shared" si="88"/>
        <v>51.434969892315138</v>
      </c>
      <c r="Z208" s="383">
        <f t="shared" si="89"/>
        <v>54.202901626040621</v>
      </c>
      <c r="AA208" s="384">
        <f t="shared" si="90"/>
        <v>59.125500632222717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8.3256783512110077E-2</v>
      </c>
      <c r="AD208" s="230">
        <f>(INDEX(Models!$BJ208:$BT208,,AH208)*(1-AF208)+INDEX(Models!$BJ208:$BT208,,AH208+1)*AF208-ERP_i)*AE208*Ramure*Pc/MaxiM</f>
        <v>4.76636079500052E-4</v>
      </c>
      <c r="AE208" s="304">
        <f t="shared" si="92"/>
        <v>0.6</v>
      </c>
      <c r="AF208" s="177">
        <f t="shared" si="93"/>
        <v>0.39666884617414322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2.3966688461741432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'2025'!Wh/'2025'!Env_an*'2026'!Env_an</f>
        <v>52.919590554329716</v>
      </c>
      <c r="C209" s="829"/>
      <c r="D209" s="391">
        <f t="shared" si="77"/>
        <v>55.768484750906985</v>
      </c>
      <c r="E209" s="383">
        <f t="shared" si="75"/>
        <v>58.538848400823937</v>
      </c>
      <c r="F209" s="383">
        <f t="shared" si="78"/>
        <v>58.539679740015458</v>
      </c>
      <c r="G209" s="110">
        <f t="shared" si="76"/>
        <v>0.95150165252083596</v>
      </c>
      <c r="H209" s="412" t="b">
        <f>Wh_hp&gt;='2025'!Maxi_hp</f>
        <v>0</v>
      </c>
      <c r="I209" s="388">
        <f>IF(H209,Wh_hp,'2025'!Maxi_hp)</f>
        <v>61.162094530225126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5.1084303425169453E-2</v>
      </c>
      <c r="M209" s="832"/>
      <c r="N209" s="832"/>
      <c r="O209" s="48">
        <f>IF(t&lt;Tnet,'2025'!Resal+('2025'!Salim-'2025'!Resal)*(1-EXP(('2025'!Tnet-t)/('2025'!Tau_j))),Resal+(Salim-Resal)*(1-EXP((Tnet-t)/(Tau_j))))*Salcycl</f>
        <v>4.7325216084673785E-2</v>
      </c>
      <c r="P209" s="169">
        <f>(INDEX(Models!$BJ209:$BT209,,T209)*(1-R209)+INDEX(Models!$BJ209:$BT209,,T209+1)*R209-ERP_i)*Q209*Ramure*Pc/MaxiM</f>
        <v>1.5258426866959005E-5</v>
      </c>
      <c r="Q209" s="304">
        <f t="shared" si="80"/>
        <v>0.6</v>
      </c>
      <c r="R209" s="177">
        <f t="shared" si="81"/>
        <v>0.87499356559829744</v>
      </c>
      <c r="S209" s="799">
        <f t="shared" si="82"/>
        <v>-2</v>
      </c>
      <c r="T209" s="176">
        <f t="shared" si="83"/>
        <v>4</v>
      </c>
      <c r="U209" s="250">
        <f t="shared" si="84"/>
        <v>-1.1250064344017026</v>
      </c>
      <c r="V209" s="382">
        <f t="shared" si="85"/>
        <v>55.616860433490281</v>
      </c>
      <c r="W209" s="400">
        <f t="shared" si="86"/>
        <v>52.919590554329716</v>
      </c>
      <c r="X209" s="157">
        <f t="shared" si="87"/>
        <v>46217</v>
      </c>
      <c r="Y209" s="383">
        <f t="shared" si="88"/>
        <v>50.899068720898654</v>
      </c>
      <c r="Z209" s="383">
        <f t="shared" si="89"/>
        <v>53.639189344872221</v>
      </c>
      <c r="AA209" s="384">
        <f t="shared" si="90"/>
        <v>58.51318510102319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8.3297392677154747E-2</v>
      </c>
      <c r="AD209" s="230">
        <f>(INDEX(Models!$BJ209:$BT209,,AH209)*(1-AF209)+INDEX(Models!$BJ209:$BT209,,AH209+1)*AF209-ERP_i)*AE209*Ramure*Pc/MaxiM</f>
        <v>4.8628347557205467E-4</v>
      </c>
      <c r="AE209" s="304">
        <f t="shared" si="92"/>
        <v>0.6</v>
      </c>
      <c r="AF209" s="177">
        <f t="shared" si="93"/>
        <v>0.39998113197227614</v>
      </c>
      <c r="AG209" s="799">
        <f t="shared" si="99"/>
        <v>2</v>
      </c>
      <c r="AH209" s="176">
        <f t="shared" si="94"/>
        <v>8</v>
      </c>
      <c r="AI209" s="224">
        <f t="shared" si="95"/>
        <v>2.3999811319722761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'2025'!Wh/'2025'!Env_an*'2026'!Env_an</f>
        <v>51.173924871204918</v>
      </c>
      <c r="C210" s="829"/>
      <c r="D210" s="391">
        <f t="shared" si="77"/>
        <v>53.92987576379582</v>
      </c>
      <c r="E210" s="383">
        <f t="shared" si="75"/>
        <v>56.61329077498327</v>
      </c>
      <c r="F210" s="383">
        <f t="shared" si="78"/>
        <v>56.61408911862214</v>
      </c>
      <c r="G210" s="110">
        <f t="shared" si="76"/>
        <v>0.92153055038754506</v>
      </c>
      <c r="H210" s="412" t="b">
        <f>Wh_hp&gt;='2025'!Maxi_hp</f>
        <v>0</v>
      </c>
      <c r="I210" s="388">
        <f>IF(H210,Wh_hp,'2025'!Maxi_hp)</f>
        <v>62.506291921724774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5.1102489178011856E-2</v>
      </c>
      <c r="M210" s="832"/>
      <c r="N210" s="832"/>
      <c r="O210" s="48">
        <f>IF(t&lt;Tnet,'2025'!Resal+('2025'!Salim-'2025'!Resal)*(1-EXP(('2025'!Tnet-t)/('2025'!Tau_j))),Resal+(Salim-Resal)*(1-EXP((Tnet-t)/(Tau_j))))*Salcycl</f>
        <v>4.7399028999268372E-2</v>
      </c>
      <c r="P210" s="169">
        <f>(INDEX(Models!$BJ210:$BT210,,T210)*(1-R210)+INDEX(Models!$BJ210:$BT210,,T210+1)*R210-ERP_i)*Q210*Ramure*Pc/MaxiM</f>
        <v>1.5881801295193388E-5</v>
      </c>
      <c r="Q210" s="304">
        <f t="shared" si="80"/>
        <v>0.6</v>
      </c>
      <c r="R210" s="177">
        <f t="shared" si="81"/>
        <v>0.87822472000344964</v>
      </c>
      <c r="S210" s="799">
        <f t="shared" si="82"/>
        <v>-2</v>
      </c>
      <c r="T210" s="176">
        <f t="shared" si="83"/>
        <v>4</v>
      </c>
      <c r="U210" s="250">
        <f t="shared" si="84"/>
        <v>-1.1217752799965504</v>
      </c>
      <c r="V210" s="382">
        <f t="shared" si="85"/>
        <v>55.531348085475685</v>
      </c>
      <c r="W210" s="400">
        <f t="shared" si="86"/>
        <v>51.173924871204918</v>
      </c>
      <c r="X210" s="157">
        <f t="shared" si="87"/>
        <v>46218</v>
      </c>
      <c r="Y210" s="383">
        <f t="shared" si="88"/>
        <v>49.222316131932153</v>
      </c>
      <c r="Z210" s="383">
        <f t="shared" si="89"/>
        <v>51.873163930310056</v>
      </c>
      <c r="AA210" s="384">
        <f t="shared" si="90"/>
        <v>56.589144825205551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8.3337200260975297E-2</v>
      </c>
      <c r="AD210" s="230">
        <f>(INDEX(Models!$BJ210:$BT210,,AH210)*(1-AF210)+INDEX(Models!$BJ210:$BT210,,AH210+1)*AF210-ERP_i)*AE210*Ramure*Pc/MaxiM</f>
        <v>4.9622780492328267E-4</v>
      </c>
      <c r="AE210" s="304">
        <f t="shared" si="92"/>
        <v>0.6</v>
      </c>
      <c r="AF210" s="177">
        <f t="shared" si="93"/>
        <v>0.40321228637742834</v>
      </c>
      <c r="AG210" s="799">
        <f t="shared" si="99"/>
        <v>2</v>
      </c>
      <c r="AH210" s="176">
        <f t="shared" si="94"/>
        <v>8</v>
      </c>
      <c r="AI210" s="224">
        <f t="shared" si="95"/>
        <v>2.4032122863774283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'2025'!Wh/'2025'!Env_an*'2026'!Env_an</f>
        <v>52.663112280802743</v>
      </c>
      <c r="C211" s="829"/>
      <c r="D211" s="391">
        <f t="shared" si="77"/>
        <v>55.50032640622856</v>
      </c>
      <c r="E211" s="383">
        <f t="shared" si="75"/>
        <v>58.266368717763058</v>
      </c>
      <c r="F211" s="383">
        <f t="shared" si="78"/>
        <v>58.267262918849106</v>
      </c>
      <c r="G211" s="110">
        <f t="shared" si="76"/>
        <v>0.94983833763168746</v>
      </c>
      <c r="H211" s="412" t="b">
        <f>Wh_hp&gt;='2025'!Maxi_hp</f>
        <v>0</v>
      </c>
      <c r="I211" s="388">
        <f>IF(H211,Wh_hp,'2025'!Maxi_hp)</f>
        <v>60.8270261955942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5.1120674582328385E-2</v>
      </c>
      <c r="M211" s="832"/>
      <c r="N211" s="832"/>
      <c r="O211" s="48">
        <f>IF(t&lt;Tnet,'2025'!Resal+('2025'!Salim-'2025'!Resal)*(1-EXP(('2025'!Tnet-t)/('2025'!Tau_j))),Resal+(Salim-Resal)*(1-EXP((Tnet-t)/(Tau_j))))*Salcycl</f>
        <v>4.747236480332169E-2</v>
      </c>
      <c r="P211" s="169">
        <f>(INDEX(Models!$BJ211:$BT211,,T211)*(1-R211)+INDEX(Models!$BJ211:$BT211,,T211+1)*R211-ERP_i)*Q211*Ramure*Pc/MaxiM</f>
        <v>1.6531129728379401E-5</v>
      </c>
      <c r="Q211" s="304">
        <f t="shared" si="80"/>
        <v>0.6</v>
      </c>
      <c r="R211" s="177">
        <f t="shared" si="81"/>
        <v>0.8813750593647911</v>
      </c>
      <c r="S211" s="799">
        <f t="shared" si="82"/>
        <v>-2</v>
      </c>
      <c r="T211" s="176">
        <f t="shared" si="83"/>
        <v>4</v>
      </c>
      <c r="U211" s="250">
        <f t="shared" si="84"/>
        <v>-1.1186249406352089</v>
      </c>
      <c r="V211" s="382">
        <f t="shared" si="85"/>
        <v>55.444224358387117</v>
      </c>
      <c r="W211" s="400">
        <f t="shared" si="86"/>
        <v>52.663112280802743</v>
      </c>
      <c r="X211" s="157">
        <f t="shared" si="87"/>
        <v>46219</v>
      </c>
      <c r="Y211" s="383">
        <f t="shared" si="88"/>
        <v>50.655016773675428</v>
      </c>
      <c r="Z211" s="383">
        <f t="shared" si="89"/>
        <v>53.38404517495249</v>
      </c>
      <c r="AA211" s="384">
        <f t="shared" si="90"/>
        <v>58.239866716075404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8.3376247490322797E-2</v>
      </c>
      <c r="AD211" s="230">
        <f>(INDEX(Models!$BJ211:$BT211,,AH211)*(1-AF211)+INDEX(Models!$BJ211:$BT211,,AH211+1)*AF211-ERP_i)*AE211*Ramure*Pc/MaxiM</f>
        <v>5.064746500369838E-4</v>
      </c>
      <c r="AE211" s="304">
        <f t="shared" si="92"/>
        <v>0.6</v>
      </c>
      <c r="AF211" s="177">
        <f t="shared" si="93"/>
        <v>0.4063626257387698</v>
      </c>
      <c r="AG211" s="799">
        <f t="shared" si="99"/>
        <v>2</v>
      </c>
      <c r="AH211" s="176">
        <f t="shared" si="94"/>
        <v>8</v>
      </c>
      <c r="AI211" s="224">
        <f t="shared" si="95"/>
        <v>2.4063626257387698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'2025'!Wh/'2025'!Env_an*'2026'!Env_an</f>
        <v>52.200283989840436</v>
      </c>
      <c r="C212" s="829"/>
      <c r="D212" s="391">
        <f t="shared" si="77"/>
        <v>55.013617661623741</v>
      </c>
      <c r="E212" s="383">
        <f t="shared" si="75"/>
        <v>57.759822599270564</v>
      </c>
      <c r="F212" s="383">
        <f t="shared" si="78"/>
        <v>57.760735028722536</v>
      </c>
      <c r="G212" s="110">
        <f t="shared" si="76"/>
        <v>0.94300310691173295</v>
      </c>
      <c r="H212" s="412" t="b">
        <f>Wh_hp&gt;='2025'!Maxi_hp</f>
        <v>0</v>
      </c>
      <c r="I212" s="388">
        <f>IF(H212,Wh_hp,'2025'!Maxi_hp)</f>
        <v>61.26677577265081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5.1138859638125922E-2</v>
      </c>
      <c r="M212" s="832"/>
      <c r="N212" s="832"/>
      <c r="O212" s="48">
        <f>IF(t&lt;Tnet,'2025'!Resal+('2025'!Salim-'2025'!Resal)*(1-EXP(('2025'!Tnet-t)/('2025'!Tau_j))),Resal+(Salim-Resal)*(1-EXP((Tnet-t)/(Tau_j))))*Salcycl</f>
        <v>4.7545245363712428E-2</v>
      </c>
      <c r="P212" s="169">
        <f>(INDEX(Models!$BJ212:$BT212,,T212)*(1-R212)+INDEX(Models!$BJ212:$BT212,,T212+1)*R212-ERP_i)*Q212*Ramure*Pc/MaxiM</f>
        <v>1.7196919602174116E-5</v>
      </c>
      <c r="Q212" s="304">
        <f t="shared" si="80"/>
        <v>0.6</v>
      </c>
      <c r="R212" s="177">
        <f t="shared" si="81"/>
        <v>0.88444501743136739</v>
      </c>
      <c r="S212" s="799">
        <f t="shared" si="82"/>
        <v>-2</v>
      </c>
      <c r="T212" s="176">
        <f t="shared" si="83"/>
        <v>4</v>
      </c>
      <c r="U212" s="250">
        <f t="shared" si="84"/>
        <v>-1.1155549825686326</v>
      </c>
      <c r="V212" s="382">
        <f t="shared" si="85"/>
        <v>55.355290470020378</v>
      </c>
      <c r="W212" s="400">
        <f t="shared" si="86"/>
        <v>52.200283989840436</v>
      </c>
      <c r="X212" s="157">
        <f t="shared" si="87"/>
        <v>46220</v>
      </c>
      <c r="Y212" s="383">
        <f t="shared" si="88"/>
        <v>50.211362088999351</v>
      </c>
      <c r="Z212" s="383">
        <f t="shared" si="89"/>
        <v>52.917502839087582</v>
      </c>
      <c r="AA212" s="384">
        <f t="shared" si="90"/>
        <v>57.733301661364756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8.3414575014681983E-2</v>
      </c>
      <c r="AD212" s="230">
        <f>(INDEX(Models!$BJ212:$BT212,,AH212)*(1-AF212)+INDEX(Models!$BJ212:$BT212,,AH212+1)*AF212-ERP_i)*AE212*Ramure*Pc/MaxiM</f>
        <v>5.1704755019332685E-4</v>
      </c>
      <c r="AE212" s="304">
        <f t="shared" si="92"/>
        <v>0.6</v>
      </c>
      <c r="AF212" s="177">
        <f t="shared" si="93"/>
        <v>0.40943258380534608</v>
      </c>
      <c r="AG212" s="799">
        <f t="shared" si="99"/>
        <v>2</v>
      </c>
      <c r="AH212" s="176">
        <f t="shared" si="94"/>
        <v>8</v>
      </c>
      <c r="AI212" s="224">
        <f t="shared" si="95"/>
        <v>2.4094325838053461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'2025'!Wh/'2025'!Env_an*'2026'!Env_an</f>
        <v>53.141787130701097</v>
      </c>
      <c r="C213" s="829"/>
      <c r="D213" s="391">
        <f t="shared" si="77"/>
        <v>56.006936462988826</v>
      </c>
      <c r="E213" s="383">
        <f t="shared" si="75"/>
        <v>58.807199592635769</v>
      </c>
      <c r="F213" s="383">
        <f t="shared" si="78"/>
        <v>58.808193172739628</v>
      </c>
      <c r="G213" s="110">
        <f t="shared" si="76"/>
        <v>0.96159165048098061</v>
      </c>
      <c r="H213" s="412" t="b">
        <f>Wh_hp&gt;='2025'!Maxi_hp</f>
        <v>1</v>
      </c>
      <c r="I213" s="388">
        <f>IF(H213,Wh_hp,'2025'!Maxi_hp)</f>
        <v>58.808193172739628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5.1157044345410907E-2</v>
      </c>
      <c r="M213" s="832"/>
      <c r="N213" s="832"/>
      <c r="O213" s="48">
        <f>IF(t&lt;Tnet,'2025'!Resal+('2025'!Salim-'2025'!Resal)*(1-EXP(('2025'!Tnet-t)/('2025'!Tau_j))),Resal+(Salim-Resal)*(1-EXP((Tnet-t)/(Tau_j))))*Salcycl</f>
        <v>4.7617692205115844E-2</v>
      </c>
      <c r="P213" s="169">
        <f>(INDEX(Models!$BJ213:$BT213,,T213)*(1-R213)+INDEX(Models!$BJ213:$BT213,,T213+1)*R213-ERP_i)*Q213*Ramure*Pc/MaxiM</f>
        <v>1.7876086819537199E-5</v>
      </c>
      <c r="Q213" s="304">
        <f t="shared" si="80"/>
        <v>0.6</v>
      </c>
      <c r="R213" s="177">
        <f t="shared" si="81"/>
        <v>0.88743513834765775</v>
      </c>
      <c r="S213" s="799">
        <f t="shared" si="82"/>
        <v>-2</v>
      </c>
      <c r="T213" s="176">
        <f t="shared" si="83"/>
        <v>4</v>
      </c>
      <c r="U213" s="250">
        <f t="shared" si="84"/>
        <v>-1.1125648616523423</v>
      </c>
      <c r="V213" s="382">
        <f t="shared" si="85"/>
        <v>55.264347377290356</v>
      </c>
      <c r="W213" s="400">
        <f t="shared" si="86"/>
        <v>53.141787130701097</v>
      </c>
      <c r="X213" s="157">
        <f t="shared" si="87"/>
        <v>46221</v>
      </c>
      <c r="Y213" s="383">
        <f t="shared" si="88"/>
        <v>51.117611291730526</v>
      </c>
      <c r="Z213" s="383">
        <f t="shared" si="89"/>
        <v>53.873626807362911</v>
      </c>
      <c r="AA213" s="384">
        <f t="shared" si="90"/>
        <v>58.778852714196887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8.3452222701332443E-2</v>
      </c>
      <c r="AD213" s="230">
        <f>(INDEX(Models!$BJ213:$BT213,,AH213)*(1-AF213)+INDEX(Models!$BJ213:$BT213,,AH213+1)*AF213-ERP_i)*AE213*Ramure*Pc/MaxiM</f>
        <v>5.278815288213487E-4</v>
      </c>
      <c r="AE213" s="304">
        <f t="shared" si="92"/>
        <v>0.6</v>
      </c>
      <c r="AF213" s="177">
        <f t="shared" si="93"/>
        <v>0.41242270472163645</v>
      </c>
      <c r="AG213" s="799">
        <f t="shared" si="99"/>
        <v>2</v>
      </c>
      <c r="AH213" s="176">
        <f t="shared" si="94"/>
        <v>8</v>
      </c>
      <c r="AI213" s="224">
        <f t="shared" si="95"/>
        <v>2.4124227047216364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'2025'!Wh/'2025'!Env_an*'2026'!Env_an</f>
        <v>43.914834638824559</v>
      </c>
      <c r="C214" s="829"/>
      <c r="D214" s="391">
        <f t="shared" si="77"/>
        <v>46.283398122974887</v>
      </c>
      <c r="E214" s="383">
        <f t="shared" si="75"/>
        <v>48.601174854367216</v>
      </c>
      <c r="F214" s="383">
        <f t="shared" si="78"/>
        <v>48.601814286876078</v>
      </c>
      <c r="G214" s="110">
        <f t="shared" si="76"/>
        <v>0.79596963942393784</v>
      </c>
      <c r="H214" s="412" t="b">
        <f>Wh_hp&gt;='2025'!Maxi_hp</f>
        <v>0</v>
      </c>
      <c r="I214" s="388">
        <f>IF(H214,Wh_hp,'2025'!Maxi_hp)</f>
        <v>60.996282625351171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5.1175228704190223E-2</v>
      </c>
      <c r="M214" s="832"/>
      <c r="N214" s="832"/>
      <c r="O214" s="48">
        <f>IF(t&lt;Tnet,'2025'!Resal+('2025'!Salim-'2025'!Resal)*(1-EXP(('2025'!Tnet-t)/('2025'!Tau_j))),Resal+(Salim-Resal)*(1-EXP((Tnet-t)/(Tau_j))))*Salcycl</f>
        <v>4.7689726397304531E-2</v>
      </c>
      <c r="P214" s="169">
        <f>(INDEX(Models!$BJ214:$BT214,,T214)*(1-R214)+INDEX(Models!$BJ214:$BT214,,T214+1)*R214-ERP_i)*Q214*Ramure*Pc/MaxiM</f>
        <v>1.8568695997580189E-5</v>
      </c>
      <c r="Q214" s="304">
        <f t="shared" si="80"/>
        <v>0.6</v>
      </c>
      <c r="R214" s="177">
        <f t="shared" si="81"/>
        <v>0.89034606961322149</v>
      </c>
      <c r="S214" s="799">
        <f t="shared" si="82"/>
        <v>-2</v>
      </c>
      <c r="T214" s="176">
        <f t="shared" si="83"/>
        <v>4</v>
      </c>
      <c r="U214" s="250">
        <f t="shared" si="84"/>
        <v>-1.1096539303867785</v>
      </c>
      <c r="V214" s="382">
        <f t="shared" si="85"/>
        <v>55.171195969562817</v>
      </c>
      <c r="W214" s="400">
        <f t="shared" si="86"/>
        <v>43.914834638824559</v>
      </c>
      <c r="X214" s="157">
        <f t="shared" si="87"/>
        <v>46222</v>
      </c>
      <c r="Y214" s="383">
        <f t="shared" si="88"/>
        <v>42.248392153793674</v>
      </c>
      <c r="Z214" s="383">
        <f t="shared" si="89"/>
        <v>44.527075422045584</v>
      </c>
      <c r="AA214" s="384">
        <f t="shared" si="90"/>
        <v>48.583253849801466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8.348922944304725E-2</v>
      </c>
      <c r="AD214" s="230">
        <f>(INDEX(Models!$BJ214:$BT214,,AH214)*(1-AF214)+INDEX(Models!$BJ214:$BT214,,AH214+1)*AF214-ERP_i)*AE214*Ramure*Pc/MaxiM</f>
        <v>5.3898278370561931E-4</v>
      </c>
      <c r="AE214" s="304">
        <f t="shared" si="92"/>
        <v>0.6</v>
      </c>
      <c r="AF214" s="177">
        <f t="shared" si="93"/>
        <v>0.41533363598720019</v>
      </c>
      <c r="AG214" s="799">
        <f t="shared" si="99"/>
        <v>2</v>
      </c>
      <c r="AH214" s="176">
        <f t="shared" si="94"/>
        <v>8</v>
      </c>
      <c r="AI214" s="224">
        <f t="shared" si="95"/>
        <v>2.4153336359872002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'2025'!Wh/'2025'!Env_an*'2026'!Env_an</f>
        <v>43.486636906227673</v>
      </c>
      <c r="C215" s="829"/>
      <c r="D215" s="391">
        <f t="shared" si="77"/>
        <v>45.832983759777584</v>
      </c>
      <c r="E215" s="383">
        <f t="shared" si="75"/>
        <v>48.131825617234902</v>
      </c>
      <c r="F215" s="383">
        <f t="shared" si="78"/>
        <v>48.132474482708112</v>
      </c>
      <c r="G215" s="110">
        <f t="shared" si="76"/>
        <v>0.78957570200193461</v>
      </c>
      <c r="H215" s="412" t="b">
        <f>Wh_hp&gt;='2025'!Maxi_hp</f>
        <v>0</v>
      </c>
      <c r="I215" s="388">
        <f>IF(H215,Wh_hp,'2025'!Maxi_hp)</f>
        <v>59.776097909915435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5.119341271447031E-2</v>
      </c>
      <c r="M215" s="832"/>
      <c r="N215" s="832"/>
      <c r="O215" s="48">
        <f>IF(t&lt;Tnet,'2025'!Resal+('2025'!Salim-'2025'!Resal)*(1-EXP(('2025'!Tnet-t)/('2025'!Tau_j))),Resal+(Salim-Resal)*(1-EXP((Tnet-t)/(Tau_j))))*Salcycl</f>
        <v>4.7761368449613914E-2</v>
      </c>
      <c r="P215" s="169">
        <f>(INDEX(Models!$BJ215:$BT215,,T215)*(1-R215)+INDEX(Models!$BJ215:$BT215,,T215+1)*R215-ERP_i)*Q215*Ramure*Pc/MaxiM</f>
        <v>1.9274832055193078E-5</v>
      </c>
      <c r="Q215" s="304">
        <f t="shared" si="80"/>
        <v>0.6</v>
      </c>
      <c r="R215" s="177">
        <f t="shared" si="81"/>
        <v>0.89317855504865662</v>
      </c>
      <c r="S215" s="799">
        <f t="shared" si="82"/>
        <v>-2</v>
      </c>
      <c r="T215" s="176">
        <f t="shared" si="83"/>
        <v>4</v>
      </c>
      <c r="U215" s="250">
        <f t="shared" si="84"/>
        <v>-1.1068214449513434</v>
      </c>
      <c r="V215" s="382">
        <f t="shared" si="85"/>
        <v>55.075637245040888</v>
      </c>
      <c r="W215" s="400">
        <f t="shared" si="86"/>
        <v>43.486636906227673</v>
      </c>
      <c r="X215" s="157">
        <f t="shared" si="87"/>
        <v>46223</v>
      </c>
      <c r="Y215" s="383">
        <f t="shared" si="88"/>
        <v>41.8378156628645</v>
      </c>
      <c r="Z215" s="383">
        <f t="shared" si="89"/>
        <v>44.095199404717043</v>
      </c>
      <c r="AA215" s="384">
        <f t="shared" si="90"/>
        <v>48.113947308830546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8.3525632979523298E-2</v>
      </c>
      <c r="AD215" s="230">
        <f>(INDEX(Models!$BJ215:$BT215,,AH215)*(1-AF215)+INDEX(Models!$BJ215:$BT215,,AH215+1)*AF215-ERP_i)*AE215*Ramure*Pc/MaxiM</f>
        <v>5.5035778553966339E-4</v>
      </c>
      <c r="AE215" s="304">
        <f t="shared" si="92"/>
        <v>0.6</v>
      </c>
      <c r="AF215" s="177">
        <f t="shared" si="93"/>
        <v>0.41816612142263532</v>
      </c>
      <c r="AG215" s="799">
        <f t="shared" si="99"/>
        <v>2</v>
      </c>
      <c r="AH215" s="176">
        <f t="shared" si="94"/>
        <v>8</v>
      </c>
      <c r="AI215" s="224">
        <f t="shared" si="95"/>
        <v>2.4181661214226353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'2025'!Wh/'2025'!Env_an*'2026'!Env_an</f>
        <v>51.426691404100673</v>
      </c>
      <c r="C216" s="829"/>
      <c r="D216" s="391">
        <f t="shared" si="77"/>
        <v>54.202487306637437</v>
      </c>
      <c r="E216" s="383">
        <f t="shared" si="75"/>
        <v>56.925378333617687</v>
      </c>
      <c r="F216" s="383">
        <f t="shared" si="78"/>
        <v>56.926411535570587</v>
      </c>
      <c r="G216" s="110">
        <f t="shared" si="76"/>
        <v>0.93541216728310284</v>
      </c>
      <c r="H216" s="412" t="b">
        <f>Wh_hp&gt;='2025'!Maxi_hp</f>
        <v>1</v>
      </c>
      <c r="I216" s="388">
        <f>IF(H216,Wh_hp,'2025'!Maxi_hp)</f>
        <v>56.926411535570587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5.1211596376258051E-2</v>
      </c>
      <c r="M216" s="832"/>
      <c r="N216" s="832"/>
      <c r="O216" s="48">
        <f>IF(t&lt;Tnet,'2025'!Resal+('2025'!Salim-'2025'!Resal)*(1-EXP(('2025'!Tnet-t)/('2025'!Tau_j))),Resal+(Salim-Resal)*(1-EXP((Tnet-t)/(Tau_j))))*Salcycl</f>
        <v>4.7832638213178631E-2</v>
      </c>
      <c r="P216" s="169">
        <f>(INDEX(Models!$BJ216:$BT216,,T216)*(1-R216)+INDEX(Models!$BJ216:$BT216,,T216+1)*R216-ERP_i)*Q216*Ramure*Pc/MaxiM</f>
        <v>1.9994601094285239E-5</v>
      </c>
      <c r="Q216" s="304">
        <f t="shared" si="80"/>
        <v>0.6</v>
      </c>
      <c r="R216" s="177">
        <f t="shared" si="81"/>
        <v>0.89593342780671659</v>
      </c>
      <c r="S216" s="799">
        <f t="shared" si="82"/>
        <v>-2</v>
      </c>
      <c r="T216" s="176">
        <f t="shared" si="83"/>
        <v>4</v>
      </c>
      <c r="U216" s="250">
        <f t="shared" si="84"/>
        <v>-1.1040665721932834</v>
      </c>
      <c r="V216" s="382">
        <f t="shared" si="85"/>
        <v>54.977472314475776</v>
      </c>
      <c r="W216" s="400">
        <f t="shared" si="86"/>
        <v>51.426691404100673</v>
      </c>
      <c r="X216" s="157">
        <f t="shared" si="87"/>
        <v>46224</v>
      </c>
      <c r="Y216" s="383">
        <f t="shared" si="88"/>
        <v>49.472618862278722</v>
      </c>
      <c r="Z216" s="383">
        <f t="shared" si="89"/>
        <v>52.142942170589521</v>
      </c>
      <c r="AA216" s="384">
        <f t="shared" si="90"/>
        <v>56.897370034655694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8.356146973349203E-2</v>
      </c>
      <c r="AD216" s="230">
        <f>(INDEX(Models!$BJ216:$BT216,,AH216)*(1-AF216)+INDEX(Models!$BJ216:$BT216,,AH216+1)*AF216-ERP_i)*AE216*Ramure*Pc/MaxiM</f>
        <v>5.6201328727620271E-4</v>
      </c>
      <c r="AE216" s="304">
        <f t="shared" si="92"/>
        <v>0.6</v>
      </c>
      <c r="AF216" s="177">
        <f t="shared" si="93"/>
        <v>0.42092099418069528</v>
      </c>
      <c r="AG216" s="799">
        <f t="shared" si="99"/>
        <v>2</v>
      </c>
      <c r="AH216" s="176">
        <f t="shared" si="94"/>
        <v>8</v>
      </c>
      <c r="AI216" s="224">
        <f t="shared" si="95"/>
        <v>2.4209209941806953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'2025'!Wh/'2025'!Env_an*'2026'!Env_an</f>
        <v>41.524141833538252</v>
      </c>
      <c r="C217" s="829"/>
      <c r="D217" s="391">
        <f t="shared" si="77"/>
        <v>43.766278646426585</v>
      </c>
      <c r="E217" s="383">
        <f t="shared" si="75"/>
        <v>45.968324812766674</v>
      </c>
      <c r="F217" s="383">
        <f t="shared" si="78"/>
        <v>45.96894645704986</v>
      </c>
      <c r="G217" s="110">
        <f t="shared" si="76"/>
        <v>0.75667801016301495</v>
      </c>
      <c r="H217" s="412" t="b">
        <f>Wh_hp&gt;='2025'!Maxi_hp</f>
        <v>0</v>
      </c>
      <c r="I217" s="388">
        <f>IF(H217,Wh_hp,'2025'!Maxi_hp)</f>
        <v>55.348148280408218</v>
      </c>
      <c r="J217" s="85">
        <f>IF(H217,An,'2025'!An_max)</f>
        <v>2020</v>
      </c>
      <c r="K217" s="197">
        <f t="shared" si="79"/>
        <v>46225</v>
      </c>
      <c r="L217" s="147">
        <f>IF(t&lt;Tvie,1-EXP((T0-t)*PertePVj)+'2025'!Pspv,1-EXP((T0-t)*PertePVj)+Pspv)</f>
        <v>5.1229779689560107E-2</v>
      </c>
      <c r="M217" s="832"/>
      <c r="N217" s="832"/>
      <c r="O217" s="48">
        <f>IF(t&lt;Tnet,'2025'!Resal+('2025'!Salim-'2025'!Resal)*(1-EXP(('2025'!Tnet-t)/('2025'!Tau_j))),Resal+(Salim-Resal)*(1-EXP((Tnet-t)/(Tau_j))))*Salcycl</f>
        <v>4.7903554791461959E-2</v>
      </c>
      <c r="P217" s="169">
        <f>(INDEX(Models!$BJ217:$BT217,,T217)*(1-R217)+INDEX(Models!$BJ217:$BT217,,T217+1)*R217-ERP_i)*Q217*Ramure*Pc/MaxiM</f>
        <v>2.072813119957501E-5</v>
      </c>
      <c r="Q217" s="304">
        <f t="shared" si="80"/>
        <v>0.6</v>
      </c>
      <c r="R217" s="177">
        <f t="shared" si="81"/>
        <v>0.89861160346399593</v>
      </c>
      <c r="S217" s="799">
        <f t="shared" si="82"/>
        <v>-2</v>
      </c>
      <c r="T217" s="176">
        <f t="shared" si="83"/>
        <v>4</v>
      </c>
      <c r="U217" s="250">
        <f t="shared" si="84"/>
        <v>-1.1013883965360041</v>
      </c>
      <c r="V217" s="382">
        <f t="shared" si="85"/>
        <v>54.876502409889746</v>
      </c>
      <c r="W217" s="400">
        <f t="shared" si="86"/>
        <v>41.524141833538252</v>
      </c>
      <c r="X217" s="157">
        <f t="shared" si="87"/>
        <v>46225</v>
      </c>
      <c r="Y217" s="383">
        <f t="shared" si="88"/>
        <v>39.953014359573089</v>
      </c>
      <c r="Z217" s="383">
        <f t="shared" si="89"/>
        <v>42.110316601737736</v>
      </c>
      <c r="AA217" s="384">
        <f t="shared" si="90"/>
        <v>45.951733295373479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8.3596774662306583E-2</v>
      </c>
      <c r="AD217" s="230">
        <f>(INDEX(Models!$BJ217:$BT217,,AH217)*(1-AF217)+INDEX(Models!$BJ217:$BT217,,AH217+1)*AF217-ERP_i)*AE217*Ramure*Pc/MaxiM</f>
        <v>5.7395633361125389E-4</v>
      </c>
      <c r="AE217" s="304">
        <f t="shared" si="92"/>
        <v>0.6</v>
      </c>
      <c r="AF217" s="177">
        <f t="shared" si="93"/>
        <v>0.42359916983797463</v>
      </c>
      <c r="AG217" s="799">
        <f t="shared" si="99"/>
        <v>2</v>
      </c>
      <c r="AH217" s="176">
        <f t="shared" si="94"/>
        <v>8</v>
      </c>
      <c r="AI217" s="224">
        <f t="shared" si="95"/>
        <v>2.4235991698379746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'2025'!Wh/'2025'!Env_an*'2026'!Env_an</f>
        <v>47.716448353415167</v>
      </c>
      <c r="C218" s="829"/>
      <c r="D218" s="391">
        <f t="shared" si="77"/>
        <v>50.293908708659501</v>
      </c>
      <c r="E218" s="383">
        <f t="shared" si="75"/>
        <v>52.828300821178942</v>
      </c>
      <c r="F218" s="383">
        <f t="shared" si="78"/>
        <v>52.82922656332191</v>
      </c>
      <c r="G218" s="110">
        <f t="shared" si="76"/>
        <v>0.8711713833993131</v>
      </c>
      <c r="H218" s="412" t="b">
        <f>Wh_hp&gt;='2025'!Maxi_hp</f>
        <v>0</v>
      </c>
      <c r="I218" s="388">
        <f>IF(H218,Wh_hp,'2025'!Maxi_hp)</f>
        <v>56.109961045476417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5.1247962654383139E-2</v>
      </c>
      <c r="M218" s="832"/>
      <c r="N218" s="832"/>
      <c r="O218" s="48">
        <f>IF(t&lt;Tnet,'2025'!Resal+('2025'!Salim-'2025'!Resal)*(1-EXP(('2025'!Tnet-t)/('2025'!Tau_j))),Resal+(Salim-Resal)*(1-EXP((Tnet-t)/(Tau_j))))*Salcycl</f>
        <v>4.7974136459512991E-2</v>
      </c>
      <c r="P218" s="169">
        <f>(INDEX(Models!$BJ218:$BT218,,T218)*(1-R218)+INDEX(Models!$BJ218:$BT218,,T218+1)*R218-ERP_i)*Q218*Ramure*Pc/MaxiM</f>
        <v>2.1475573171280651E-5</v>
      </c>
      <c r="Q218" s="304">
        <f t="shared" si="80"/>
        <v>0.6</v>
      </c>
      <c r="R218" s="177">
        <f t="shared" si="81"/>
        <v>0.90121407322512792</v>
      </c>
      <c r="S218" s="799">
        <f t="shared" si="82"/>
        <v>-2</v>
      </c>
      <c r="T218" s="176">
        <f t="shared" si="83"/>
        <v>4</v>
      </c>
      <c r="U218" s="250">
        <f t="shared" si="84"/>
        <v>-1.0987859267748721</v>
      </c>
      <c r="V218" s="382">
        <f t="shared" si="85"/>
        <v>54.772528885491418</v>
      </c>
      <c r="W218" s="400">
        <f t="shared" si="86"/>
        <v>47.716448353415167</v>
      </c>
      <c r="X218" s="157">
        <f t="shared" si="87"/>
        <v>46226</v>
      </c>
      <c r="Y218" s="383">
        <f t="shared" si="88"/>
        <v>45.90809894288715</v>
      </c>
      <c r="Z218" s="383">
        <f t="shared" si="89"/>
        <v>48.387879167381946</v>
      </c>
      <c r="AA218" s="384">
        <f t="shared" si="90"/>
        <v>52.803957634005215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8.3631581125641938E-2</v>
      </c>
      <c r="AD218" s="230">
        <f>(INDEX(Models!$BJ218:$BT218,,AH218)*(1-AF218)+INDEX(Models!$BJ218:$BT218,,AH218+1)*AF218-ERP_i)*AE218*Ramure*Pc/MaxiM</f>
        <v>5.8619427085982963E-4</v>
      </c>
      <c r="AE218" s="304">
        <f t="shared" si="92"/>
        <v>0.6</v>
      </c>
      <c r="AF218" s="177">
        <f t="shared" si="93"/>
        <v>0.42620163959910684</v>
      </c>
      <c r="AG218" s="799">
        <f t="shared" si="99"/>
        <v>2</v>
      </c>
      <c r="AH218" s="176">
        <f t="shared" si="94"/>
        <v>8</v>
      </c>
      <c r="AI218" s="224">
        <f t="shared" si="95"/>
        <v>2.4262016395991068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'2025'!Wh/'2025'!Env_an*'2026'!Env_an</f>
        <v>51.656341509921745</v>
      </c>
      <c r="C219" s="829"/>
      <c r="D219" s="391">
        <f t="shared" si="77"/>
        <v>54.447663327733324</v>
      </c>
      <c r="E219" s="383">
        <f t="shared" si="75"/>
        <v>57.195591224643231</v>
      </c>
      <c r="F219" s="383">
        <f t="shared" si="78"/>
        <v>57.196763072187998</v>
      </c>
      <c r="G219" s="110">
        <f t="shared" si="76"/>
        <v>0.94494555930778301</v>
      </c>
      <c r="H219" s="412" t="b">
        <f>Wh_hp&gt;='2025'!Maxi_hp</f>
        <v>1</v>
      </c>
      <c r="I219" s="388">
        <f>IF(H219,Wh_hp,'2025'!Maxi_hp)</f>
        <v>57.196763072187998</v>
      </c>
      <c r="J219" s="85">
        <f>IF(H219,An,'2025'!An_max)</f>
        <v>2026</v>
      </c>
      <c r="K219" s="197">
        <f t="shared" si="79"/>
        <v>46227</v>
      </c>
      <c r="L219" s="147">
        <f>IF(t&lt;Tvie,1-EXP((T0-t)*PertePVj)+'2025'!Pspv,1-EXP((T0-t)*PertePVj)+Pspv)</f>
        <v>5.1266145270733698E-2</v>
      </c>
      <c r="M219" s="832"/>
      <c r="N219" s="832"/>
      <c r="O219" s="48">
        <f>IF(t&lt;Tnet,'2025'!Resal+('2025'!Salim-'2025'!Resal)*(1-EXP(('2025'!Tnet-t)/('2025'!Tau_j))),Resal+(Salim-Resal)*(1-EXP((Tnet-t)/(Tau_j))))*Salcycl</f>
        <v>4.8044400592294825E-2</v>
      </c>
      <c r="P219" s="169">
        <f>(INDEX(Models!$BJ219:$BT219,,T219)*(1-R219)+INDEX(Models!$BJ219:$BT219,,T219+1)*R219-ERP_i)*Q219*Ramure*Pc/MaxiM</f>
        <v>2.2236863657867799E-5</v>
      </c>
      <c r="Q219" s="304">
        <f t="shared" si="80"/>
        <v>0.6</v>
      </c>
      <c r="R219" s="177">
        <f t="shared" si="81"/>
        <v>0.90374189726800513</v>
      </c>
      <c r="S219" s="799">
        <f t="shared" si="82"/>
        <v>-2</v>
      </c>
      <c r="T219" s="176">
        <f t="shared" si="83"/>
        <v>4</v>
      </c>
      <c r="U219" s="250">
        <f t="shared" si="84"/>
        <v>-1.0962581027319949</v>
      </c>
      <c r="V219" s="382">
        <f t="shared" si="85"/>
        <v>54.665848904830639</v>
      </c>
      <c r="W219" s="400">
        <f t="shared" si="86"/>
        <v>51.656341509921745</v>
      </c>
      <c r="X219" s="157">
        <f t="shared" si="87"/>
        <v>46227</v>
      </c>
      <c r="Y219" s="383">
        <f t="shared" si="88"/>
        <v>49.696985699125428</v>
      </c>
      <c r="Z219" s="383">
        <f t="shared" si="89"/>
        <v>52.382431017292113</v>
      </c>
      <c r="AA219" s="384">
        <f t="shared" si="90"/>
        <v>57.165211034491755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8.3665920769781785E-2</v>
      </c>
      <c r="AD219" s="230">
        <f>(INDEX(Models!$BJ219:$BT219,,AH219)*(1-AF219)+INDEX(Models!$BJ219:$BT219,,AH219+1)*AF219-ERP_i)*AE219*Ramure*Pc/MaxiM</f>
        <v>5.9872836147767676E-4</v>
      </c>
      <c r="AE219" s="304">
        <f t="shared" si="92"/>
        <v>0.6</v>
      </c>
      <c r="AF219" s="177">
        <f t="shared" si="93"/>
        <v>0.42872946364198405</v>
      </c>
      <c r="AG219" s="799">
        <f t="shared" si="99"/>
        <v>2</v>
      </c>
      <c r="AH219" s="176">
        <f t="shared" si="94"/>
        <v>8</v>
      </c>
      <c r="AI219" s="224">
        <f t="shared" si="95"/>
        <v>2.4287294636419841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'2025'!Wh/'2025'!Env_an*'2026'!Env_an</f>
        <v>26.324451151309855</v>
      </c>
      <c r="C220" s="829"/>
      <c r="D220" s="391">
        <f t="shared" si="77"/>
        <v>27.747461031198917</v>
      </c>
      <c r="E220" s="383">
        <f t="shared" si="75"/>
        <v>29.149994463838041</v>
      </c>
      <c r="F220" s="383">
        <f t="shared" si="78"/>
        <v>29.150169304002834</v>
      </c>
      <c r="G220" s="110">
        <f t="shared" si="76"/>
        <v>0.48250555380503241</v>
      </c>
      <c r="H220" s="412" t="b">
        <f>Wh_hp&gt;='2025'!Maxi_hp</f>
        <v>0</v>
      </c>
      <c r="I220" s="388">
        <f>IF(H220,Wh_hp,'2025'!Maxi_hp)</f>
        <v>59.315557328001788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5.1284327538618668E-2</v>
      </c>
      <c r="M220" s="832"/>
      <c r="N220" s="832"/>
      <c r="O220" s="48">
        <f>IF(t&lt;Tnet,'2025'!Resal+('2025'!Salim-'2025'!Resal)*(1-EXP(('2025'!Tnet-t)/('2025'!Tau_j))),Resal+(Salim-Resal)*(1-EXP((Tnet-t)/(Tau_j))))*Salcycl</f>
        <v>4.811436360233394E-2</v>
      </c>
      <c r="P220" s="169">
        <f>(INDEX(Models!$BJ220:$BT220,,T220)*(1-R220)+INDEX(Models!$BJ220:$BT220,,T220+1)*R220-ERP_i)*Q220*Ramure*Pc/MaxiM</f>
        <v>2.3003957400753901E-5</v>
      </c>
      <c r="Q220" s="304">
        <f t="shared" si="80"/>
        <v>0.6</v>
      </c>
      <c r="R220" s="177">
        <f t="shared" si="81"/>
        <v>0.90619619825514031</v>
      </c>
      <c r="S220" s="799">
        <f t="shared" si="82"/>
        <v>-2</v>
      </c>
      <c r="T220" s="176">
        <f t="shared" si="83"/>
        <v>4</v>
      </c>
      <c r="U220" s="250">
        <f t="shared" si="84"/>
        <v>-1.0938038017448597</v>
      </c>
      <c r="V220" s="382">
        <f t="shared" si="85"/>
        <v>54.556892177169082</v>
      </c>
      <c r="W220" s="400">
        <f t="shared" si="86"/>
        <v>26.324451151309855</v>
      </c>
      <c r="X220" s="157">
        <f t="shared" si="87"/>
        <v>46228</v>
      </c>
      <c r="Y220" s="383">
        <f t="shared" si="88"/>
        <v>25.336444576816248</v>
      </c>
      <c r="Z220" s="383">
        <f t="shared" si="89"/>
        <v>26.706046197257905</v>
      </c>
      <c r="AA220" s="384">
        <f t="shared" si="90"/>
        <v>29.145521173194656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8.3699823428800238E-2</v>
      </c>
      <c r="AD220" s="230">
        <f>(INDEX(Models!$BJ220:$BT220,,AH220)*(1-AF220)+INDEX(Models!$BJ220:$BT220,,AH220+1)*AF220-ERP_i)*AE220*Ramure*Pc/MaxiM</f>
        <v>6.1156086893385806E-4</v>
      </c>
      <c r="AE220" s="304">
        <f t="shared" si="92"/>
        <v>0.6</v>
      </c>
      <c r="AF220" s="177">
        <f t="shared" si="93"/>
        <v>0.431183764629119</v>
      </c>
      <c r="AG220" s="799">
        <f t="shared" si="99"/>
        <v>2</v>
      </c>
      <c r="AH220" s="176">
        <f t="shared" si="94"/>
        <v>8</v>
      </c>
      <c r="AI220" s="224">
        <f t="shared" si="95"/>
        <v>2.431183764629119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'2025'!Wh/'2025'!Env_an*'2026'!Env_an</f>
        <v>55.824682867297668</v>
      </c>
      <c r="C221" s="829"/>
      <c r="D221" s="391">
        <f t="shared" si="77"/>
        <v>58.84350219521199</v>
      </c>
      <c r="E221" s="383">
        <f t="shared" si="75"/>
        <v>61.822352978866689</v>
      </c>
      <c r="F221" s="383">
        <f t="shared" si="78"/>
        <v>61.823821811123061</v>
      </c>
      <c r="G221" s="110">
        <f t="shared" si="76"/>
        <v>1.0253284376351126</v>
      </c>
      <c r="H221" s="412" t="b">
        <f>Wh_hp&gt;='2025'!Maxi_hp</f>
        <v>1</v>
      </c>
      <c r="I221" s="388">
        <f>IF(H221,Wh_hp,'2025'!Maxi_hp)</f>
        <v>61.823821811123061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5.1302509458044487E-2</v>
      </c>
      <c r="M221" s="832"/>
      <c r="N221" s="832"/>
      <c r="O221" s="48">
        <f>IF(t&lt;Tnet,'2025'!Resal+('2025'!Salim-'2025'!Resal)*(1-EXP(('2025'!Tnet-t)/('2025'!Tau_j))),Resal+(Salim-Resal)*(1-EXP((Tnet-t)/(Tau_j))))*Salcycl</f>
        <v>4.8184040886845386E-2</v>
      </c>
      <c r="P221" s="169">
        <f>(INDEX(Models!$BJ221:$BT221,,T221)*(1-R221)+INDEX(Models!$BJ221:$BT221,,T221+1)*R221-ERP_i)*Q221*Ramure*Pc/MaxiM</f>
        <v>2.3758354196544987E-5</v>
      </c>
      <c r="Q221" s="304">
        <f t="shared" si="80"/>
        <v>0.6</v>
      </c>
      <c r="R221" s="177">
        <f t="shared" si="81"/>
        <v>0.90857815503299921</v>
      </c>
      <c r="S221" s="799">
        <f t="shared" si="82"/>
        <v>-2</v>
      </c>
      <c r="T221" s="176">
        <f t="shared" si="83"/>
        <v>4</v>
      </c>
      <c r="U221" s="250">
        <f t="shared" si="84"/>
        <v>-1.0914218449670008</v>
      </c>
      <c r="V221" s="382">
        <f t="shared" si="85"/>
        <v>54.445659379208792</v>
      </c>
      <c r="W221" s="400">
        <f t="shared" si="86"/>
        <v>55.824682867297668</v>
      </c>
      <c r="X221" s="157">
        <f t="shared" si="87"/>
        <v>46229</v>
      </c>
      <c r="Y221" s="383">
        <f t="shared" si="88"/>
        <v>53.707409586585555</v>
      </c>
      <c r="Z221" s="383">
        <f t="shared" si="89"/>
        <v>56.611733584226634</v>
      </c>
      <c r="AA221" s="384">
        <f t="shared" si="90"/>
        <v>61.785214542030609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8.3733317042779115E-2</v>
      </c>
      <c r="AD221" s="230">
        <f>(INDEX(Models!$BJ221:$BT221,,AH221)*(1-AF221)+INDEX(Models!$BJ221:$BT221,,AH221+1)*AF221-ERP_i)*AE221*Ramure*Pc/MaxiM</f>
        <v>6.2447237911618229E-4</v>
      </c>
      <c r="AE221" s="304">
        <f t="shared" si="92"/>
        <v>0.6</v>
      </c>
      <c r="AF221" s="177">
        <f t="shared" si="93"/>
        <v>0.43356572140697791</v>
      </c>
      <c r="AG221" s="799">
        <f t="shared" si="99"/>
        <v>2</v>
      </c>
      <c r="AH221" s="176">
        <f t="shared" si="94"/>
        <v>8</v>
      </c>
      <c r="AI221" s="224">
        <f t="shared" si="95"/>
        <v>2.4335657214069779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'2025'!Wh/'2025'!Env_an*'2026'!Env_an</f>
        <v>55.863714444073068</v>
      </c>
      <c r="C222" s="829"/>
      <c r="D222" s="391">
        <f t="shared" si="77"/>
        <v>58.885773006546955</v>
      </c>
      <c r="E222" s="383">
        <f t="shared" si="75"/>
        <v>61.87127529655168</v>
      </c>
      <c r="F222" s="383">
        <f t="shared" si="78"/>
        <v>61.872791150508768</v>
      </c>
      <c r="G222" s="110">
        <f t="shared" si="76"/>
        <v>1.0281889115450085</v>
      </c>
      <c r="H222" s="412" t="b">
        <f>Wh_hp&gt;='2025'!Maxi_hp</f>
        <v>1</v>
      </c>
      <c r="I222" s="388">
        <f>IF(H222,Wh_hp,'2025'!Maxi_hp)</f>
        <v>61.872791150508768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5.132069102901804E-2</v>
      </c>
      <c r="M222" s="832"/>
      <c r="N222" s="832"/>
      <c r="O222" s="48">
        <f>IF(t&lt;Tnet,'2025'!Resal+('2025'!Salim-'2025'!Resal)*(1-EXP(('2025'!Tnet-t)/('2025'!Tau_j))),Resal+(Salim-Resal)*(1-EXP((Tnet-t)/(Tau_j))))*Salcycl</f>
        <v>4.8253446784393618E-2</v>
      </c>
      <c r="P222" s="169">
        <f>(INDEX(Models!$BJ222:$BT222,,T222)*(1-R222)+INDEX(Models!$BJ222:$BT222,,T222+1)*R222-ERP_i)*Q222*Ramure*Pc/MaxiM</f>
        <v>2.4499524409617978E-5</v>
      </c>
      <c r="Q222" s="304">
        <f t="shared" si="80"/>
        <v>0.6</v>
      </c>
      <c r="R222" s="177">
        <f t="shared" si="81"/>
        <v>0.91088899653796496</v>
      </c>
      <c r="S222" s="799">
        <f t="shared" si="82"/>
        <v>-2</v>
      </c>
      <c r="T222" s="176">
        <f t="shared" si="83"/>
        <v>4</v>
      </c>
      <c r="U222" s="250">
        <f t="shared" si="84"/>
        <v>-1.089111003462035</v>
      </c>
      <c r="V222" s="382">
        <f t="shared" si="85"/>
        <v>54.332150266169897</v>
      </c>
      <c r="W222" s="400">
        <f t="shared" si="86"/>
        <v>55.863714444073068</v>
      </c>
      <c r="X222" s="157">
        <f t="shared" si="87"/>
        <v>46230</v>
      </c>
      <c r="Y222" s="383">
        <f t="shared" si="88"/>
        <v>53.746278903316494</v>
      </c>
      <c r="Z222" s="383">
        <f t="shared" si="89"/>
        <v>56.653790585581831</v>
      </c>
      <c r="AA222" s="384">
        <f t="shared" si="90"/>
        <v>61.833349368274305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8.3766427593036458E-2</v>
      </c>
      <c r="AD222" s="230">
        <f>(INDEX(Models!$BJ222:$BT222,,AH222)*(1-AF222)+INDEX(Models!$BJ222:$BT222,,AH222+1)*AF222-ERP_i)*AE222*Ramure*Pc/MaxiM</f>
        <v>6.3746570182229715E-4</v>
      </c>
      <c r="AE222" s="304">
        <f t="shared" si="92"/>
        <v>0.6</v>
      </c>
      <c r="AF222" s="177">
        <f t="shared" si="93"/>
        <v>0.43587656291194365</v>
      </c>
      <c r="AG222" s="799">
        <f t="shared" si="99"/>
        <v>2</v>
      </c>
      <c r="AH222" s="176">
        <f t="shared" si="94"/>
        <v>8</v>
      </c>
      <c r="AI222" s="224">
        <f t="shared" si="95"/>
        <v>2.4358765629119437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'2025'!Wh/'2025'!Env_an*'2026'!Env_an</f>
        <v>43.556281485264577</v>
      </c>
      <c r="C223" s="829"/>
      <c r="D223" s="391">
        <f t="shared" si="77"/>
        <v>45.913424943046593</v>
      </c>
      <c r="E223" s="383">
        <f t="shared" si="75"/>
        <v>48.244735747303835</v>
      </c>
      <c r="F223" s="383">
        <f t="shared" si="78"/>
        <v>48.245610972382721</v>
      </c>
      <c r="G223" s="110">
        <f t="shared" si="76"/>
        <v>0.80337317192633462</v>
      </c>
      <c r="H223" s="412" t="b">
        <f>Wh_hp&gt;='2025'!Maxi_hp</f>
        <v>0</v>
      </c>
      <c r="I223" s="388">
        <f>IF(H223,Wh_hp,'2025'!Maxi_hp)</f>
        <v>56.218409152668862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5.1338872251545986E-2</v>
      </c>
      <c r="M223" s="832"/>
      <c r="N223" s="832"/>
      <c r="O223" s="48">
        <f>IF(t&lt;Tnet,'2025'!Resal+('2025'!Salim-'2025'!Resal)*(1-EXP(('2025'!Tnet-t)/('2025'!Tau_j))),Resal+(Salim-Resal)*(1-EXP((Tnet-t)/(Tau_j))))*Salcycl</f>
        <v>4.8322594541053733E-2</v>
      </c>
      <c r="P223" s="169">
        <f>(INDEX(Models!$BJ223:$BT223,,T223)*(1-R223)+INDEX(Models!$BJ223:$BT223,,T223+1)*R223-ERP_i)*Q223*Ramure*Pc/MaxiM</f>
        <v>2.5226965078475697E-5</v>
      </c>
      <c r="Q223" s="304">
        <f t="shared" si="80"/>
        <v>0.6</v>
      </c>
      <c r="R223" s="177">
        <f t="shared" si="81"/>
        <v>0.91312999592454647</v>
      </c>
      <c r="S223" s="799">
        <f t="shared" si="82"/>
        <v>-2</v>
      </c>
      <c r="T223" s="176">
        <f t="shared" si="83"/>
        <v>4</v>
      </c>
      <c r="U223" s="250">
        <f t="shared" si="84"/>
        <v>-1.0868700040754535</v>
      </c>
      <c r="V223" s="382">
        <f t="shared" si="85"/>
        <v>54.216364654356518</v>
      </c>
      <c r="W223" s="400">
        <f t="shared" si="86"/>
        <v>43.556281485264577</v>
      </c>
      <c r="X223" s="157">
        <f t="shared" si="87"/>
        <v>46231</v>
      </c>
      <c r="Y223" s="383">
        <f t="shared" si="88"/>
        <v>41.913736217504969</v>
      </c>
      <c r="Z223" s="383">
        <f t="shared" si="89"/>
        <v>44.181989744834119</v>
      </c>
      <c r="AA223" s="384">
        <f t="shared" si="90"/>
        <v>48.223040991410301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8.3799179054178427E-2</v>
      </c>
      <c r="AD223" s="230">
        <f>(INDEX(Models!$BJ223:$BT223,,AH223)*(1-AF223)+INDEX(Models!$BJ223:$BT223,,AH223+1)*AF223-ERP_i)*AE223*Ramure*Pc/MaxiM</f>
        <v>6.5054365505732789E-4</v>
      </c>
      <c r="AE223" s="304">
        <f t="shared" si="92"/>
        <v>0.6</v>
      </c>
      <c r="AF223" s="177">
        <f t="shared" si="93"/>
        <v>0.43811756229852516</v>
      </c>
      <c r="AG223" s="799">
        <f t="shared" si="99"/>
        <v>2</v>
      </c>
      <c r="AH223" s="176">
        <f t="shared" si="94"/>
        <v>8</v>
      </c>
      <c r="AI223" s="224">
        <f t="shared" si="95"/>
        <v>2.4381175622985252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'2025'!Wh/'2025'!Env_an*'2026'!Env_an</f>
        <v>31.109843085426046</v>
      </c>
      <c r="C224" s="829"/>
      <c r="D224" s="391">
        <f t="shared" si="77"/>
        <v>32.794048791411214</v>
      </c>
      <c r="E224" s="383">
        <f t="shared" si="75"/>
        <v>34.461702121637778</v>
      </c>
      <c r="F224" s="383">
        <f t="shared" si="78"/>
        <v>34.462053395613218</v>
      </c>
      <c r="G224" s="110">
        <f t="shared" si="76"/>
        <v>0.5750522991421142</v>
      </c>
      <c r="H224" s="412" t="b">
        <f>Wh_hp&gt;='2025'!Maxi_hp</f>
        <v>0</v>
      </c>
      <c r="I224" s="388">
        <f>IF(H224,Wh_hp,'2025'!Maxi_hp)</f>
        <v>59.204840320642759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5.1357053125634877E-2</v>
      </c>
      <c r="M224" s="832"/>
      <c r="N224" s="832"/>
      <c r="O224" s="48">
        <f>IF(t&lt;Tnet,'2025'!Resal+('2025'!Salim-'2025'!Resal)*(1-EXP(('2025'!Tnet-t)/('2025'!Tau_j))),Resal+(Salim-Resal)*(1-EXP((Tnet-t)/(Tau_j))))*Salcycl</f>
        <v>4.8391496285944677E-2</v>
      </c>
      <c r="P224" s="169">
        <f>(INDEX(Models!$BJ224:$BT224,,T224)*(1-R224)+INDEX(Models!$BJ224:$BT224,,T224+1)*R224-ERP_i)*Q224*Ramure*Pc/MaxiM</f>
        <v>2.5940198018441456E-5</v>
      </c>
      <c r="Q224" s="304">
        <f t="shared" si="80"/>
        <v>0.6</v>
      </c>
      <c r="R224" s="177">
        <f t="shared" si="81"/>
        <v>0.91530246492857992</v>
      </c>
      <c r="S224" s="799">
        <f t="shared" si="82"/>
        <v>-2</v>
      </c>
      <c r="T224" s="176">
        <f t="shared" si="83"/>
        <v>4</v>
      </c>
      <c r="U224" s="250">
        <f t="shared" si="84"/>
        <v>-1.0846975350714201</v>
      </c>
      <c r="V224" s="382">
        <f t="shared" si="85"/>
        <v>54.098302425758696</v>
      </c>
      <c r="W224" s="400">
        <f t="shared" si="86"/>
        <v>31.109843085426046</v>
      </c>
      <c r="X224" s="157">
        <f t="shared" si="87"/>
        <v>46232</v>
      </c>
      <c r="Y224" s="383">
        <f t="shared" si="88"/>
        <v>29.943734629068267</v>
      </c>
      <c r="Z224" s="383">
        <f t="shared" si="89"/>
        <v>31.564810266843114</v>
      </c>
      <c r="AA224" s="384">
        <f t="shared" si="90"/>
        <v>34.453065657105505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8.3831593362627882E-2</v>
      </c>
      <c r="AD224" s="230">
        <f>(INDEX(Models!$BJ224:$BT224,,AH224)*(1-AF224)+INDEX(Models!$BJ224:$BT224,,AH224+1)*AF224-ERP_i)*AE224*Ramure*Pc/MaxiM</f>
        <v>6.6370905027979157E-4</v>
      </c>
      <c r="AE224" s="304">
        <f t="shared" si="92"/>
        <v>0.6</v>
      </c>
      <c r="AF224" s="177">
        <f t="shared" si="93"/>
        <v>0.44029003130255839</v>
      </c>
      <c r="AG224" s="799">
        <f t="shared" si="99"/>
        <v>2</v>
      </c>
      <c r="AH224" s="176">
        <f t="shared" si="94"/>
        <v>8</v>
      </c>
      <c r="AI224" s="224">
        <f t="shared" si="95"/>
        <v>2.4402900313025584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'2025'!Wh/'2025'!Env_an*'2026'!Env_an</f>
        <v>48.116330057308708</v>
      </c>
      <c r="C225" s="829"/>
      <c r="D225" s="391">
        <f t="shared" si="77"/>
        <v>50.722194659233097</v>
      </c>
      <c r="E225" s="383">
        <f t="shared" si="75"/>
        <v>53.305382168756729</v>
      </c>
      <c r="F225" s="383">
        <f t="shared" si="78"/>
        <v>53.306581898235017</v>
      </c>
      <c r="G225" s="110">
        <f t="shared" si="76"/>
        <v>0.8914032332126357</v>
      </c>
      <c r="H225" s="412" t="b">
        <f>Wh_hp&gt;='2025'!Maxi_hp</f>
        <v>1</v>
      </c>
      <c r="I225" s="388">
        <f>IF(H225,Wh_hp,'2025'!Maxi_hp)</f>
        <v>53.306581898235017</v>
      </c>
      <c r="J225" s="85">
        <f>IF(H225,An,'2025'!An_max)</f>
        <v>2026</v>
      </c>
      <c r="K225" s="197">
        <f t="shared" si="79"/>
        <v>46233</v>
      </c>
      <c r="L225" s="147">
        <f>IF(t&lt;Tvie,1-EXP((T0-t)*PertePVj)+'2025'!Pspv,1-EXP((T0-t)*PertePVj)+Pspv)</f>
        <v>5.1375233651291485E-2</v>
      </c>
      <c r="M225" s="832"/>
      <c r="N225" s="832"/>
      <c r="O225" s="48">
        <f>IF(t&lt;Tnet,'2025'!Resal+('2025'!Salim-'2025'!Resal)*(1-EXP(('2025'!Tnet-t)/('2025'!Tau_j))),Resal+(Salim-Resal)*(1-EXP((Tnet-t)/(Tau_j))))*Salcycl</f>
        <v>4.8460163015915568E-2</v>
      </c>
      <c r="P225" s="169">
        <f>(INDEX(Models!$BJ225:$BT225,,T225)*(1-R225)+INDEX(Models!$BJ225:$BT225,,T225+1)*R225-ERP_i)*Q225*Ramure*Pc/MaxiM</f>
        <v>2.6638767933522664E-5</v>
      </c>
      <c r="Q225" s="304">
        <f t="shared" si="80"/>
        <v>0.6</v>
      </c>
      <c r="R225" s="177">
        <f t="shared" si="81"/>
        <v>0.91740774847546236</v>
      </c>
      <c r="S225" s="799">
        <f t="shared" si="82"/>
        <v>-2</v>
      </c>
      <c r="T225" s="176">
        <f t="shared" si="83"/>
        <v>4</v>
      </c>
      <c r="U225" s="250">
        <f t="shared" si="84"/>
        <v>-1.0825922515245376</v>
      </c>
      <c r="V225" s="382">
        <f t="shared" si="85"/>
        <v>53.977963526358117</v>
      </c>
      <c r="W225" s="400">
        <f t="shared" si="86"/>
        <v>48.116330057308708</v>
      </c>
      <c r="X225" s="157">
        <f t="shared" si="87"/>
        <v>46233</v>
      </c>
      <c r="Y225" s="383">
        <f t="shared" si="88"/>
        <v>46.300632838937808</v>
      </c>
      <c r="Z225" s="383">
        <f t="shared" si="89"/>
        <v>48.808163650576653</v>
      </c>
      <c r="AA225" s="384">
        <f t="shared" si="90"/>
        <v>53.276093458130987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8.3863690401129343E-2</v>
      </c>
      <c r="AD225" s="230">
        <f>(INDEX(Models!$BJ225:$BT225,,AH225)*(1-AF225)+INDEX(Models!$BJ225:$BT225,,AH225+1)*AF225-ERP_i)*AE225*Ramure*Pc/MaxiM</f>
        <v>6.7696467852713146E-4</v>
      </c>
      <c r="AE225" s="304">
        <f t="shared" si="92"/>
        <v>0.6</v>
      </c>
      <c r="AF225" s="177">
        <f t="shared" si="93"/>
        <v>0.44239531484944106</v>
      </c>
      <c r="AG225" s="799">
        <f t="shared" si="99"/>
        <v>2</v>
      </c>
      <c r="AH225" s="176">
        <f t="shared" si="94"/>
        <v>8</v>
      </c>
      <c r="AI225" s="224">
        <f t="shared" si="95"/>
        <v>2.4423953148494411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'2025'!Wh/'2025'!Env_an*'2026'!Env_an</f>
        <v>53.425946245276933</v>
      </c>
      <c r="C226" s="829"/>
      <c r="D226" s="391">
        <f t="shared" si="77"/>
        <v>56.320446246215752</v>
      </c>
      <c r="E226" s="383">
        <f t="shared" si="75"/>
        <v>59.192999934477378</v>
      </c>
      <c r="F226" s="383">
        <f t="shared" si="78"/>
        <v>59.194600004868803</v>
      </c>
      <c r="G226" s="110">
        <f t="shared" si="76"/>
        <v>0.99202646875870437</v>
      </c>
      <c r="H226" s="412" t="b">
        <f>Wh_hp&gt;='2025'!Maxi_hp</f>
        <v>1</v>
      </c>
      <c r="I226" s="388">
        <f>IF(H226,Wh_hp,'2025'!Maxi_hp)</f>
        <v>59.194600004868803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5.1393413828522472E-2</v>
      </c>
      <c r="M226" s="832"/>
      <c r="N226" s="832"/>
      <c r="O226" s="48">
        <f>IF(t&lt;Tnet,'2025'!Resal+('2025'!Salim-'2025'!Resal)*(1-EXP(('2025'!Tnet-t)/('2025'!Tau_j))),Resal+(Salim-Resal)*(1-EXP((Tnet-t)/(Tau_j))))*Salcycl</f>
        <v>4.8528604589078907E-2</v>
      </c>
      <c r="P226" s="169">
        <f>(INDEX(Models!$BJ226:$BT226,,T226)*(1-R226)+INDEX(Models!$BJ226:$BT226,,T226+1)*R226-ERP_i)*Q226*Ramure*Pc/MaxiM</f>
        <v>2.7342117101758571E-5</v>
      </c>
      <c r="Q226" s="304">
        <f t="shared" si="80"/>
        <v>0.6</v>
      </c>
      <c r="R226" s="177">
        <f t="shared" si="81"/>
        <v>0.91944721954093533</v>
      </c>
      <c r="S226" s="799">
        <f t="shared" si="82"/>
        <v>-2</v>
      </c>
      <c r="T226" s="176">
        <f t="shared" si="83"/>
        <v>4</v>
      </c>
      <c r="U226" s="250">
        <f t="shared" si="84"/>
        <v>-1.0805527804590647</v>
      </c>
      <c r="V226" s="382">
        <f t="shared" si="85"/>
        <v>53.855346897091195</v>
      </c>
      <c r="W226" s="400">
        <f t="shared" si="86"/>
        <v>53.425946245276933</v>
      </c>
      <c r="X226" s="157">
        <f t="shared" si="87"/>
        <v>46234</v>
      </c>
      <c r="Y226" s="383">
        <f t="shared" si="88"/>
        <v>51.406325572403865</v>
      </c>
      <c r="Z226" s="383">
        <f t="shared" si="89"/>
        <v>54.191406977129354</v>
      </c>
      <c r="AA226" s="384">
        <f t="shared" si="90"/>
        <v>59.154175388501628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8.3895487998585691E-2</v>
      </c>
      <c r="AD226" s="230">
        <f>(INDEX(Models!$BJ226:$BT226,,AH226)*(1-AF226)+INDEX(Models!$BJ226:$BT226,,AH226+1)*AF226-ERP_i)*AE226*Ramure*Pc/MaxiM</f>
        <v>6.9077873100372724E-4</v>
      </c>
      <c r="AE226" s="304">
        <f t="shared" si="92"/>
        <v>0.6</v>
      </c>
      <c r="AF226" s="177">
        <f t="shared" si="93"/>
        <v>0.44443478591491425</v>
      </c>
      <c r="AG226" s="799">
        <f t="shared" si="99"/>
        <v>2</v>
      </c>
      <c r="AH226" s="176">
        <f t="shared" si="94"/>
        <v>8</v>
      </c>
      <c r="AI226" s="224">
        <f t="shared" si="95"/>
        <v>2.4444347859149143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'2025'!Wh/'2025'!Env_an*'2026'!Env_an</f>
        <v>53.06478515192336</v>
      </c>
      <c r="C227" s="829"/>
      <c r="D227" s="391">
        <f t="shared" si="77"/>
        <v>55.940790333415038</v>
      </c>
      <c r="E227" s="383">
        <f t="shared" si="75"/>
        <v>58.798196265576351</v>
      </c>
      <c r="F227" s="383">
        <f t="shared" si="78"/>
        <v>58.799817068025227</v>
      </c>
      <c r="G227" s="110">
        <f t="shared" si="76"/>
        <v>0.98761050434539266</v>
      </c>
      <c r="H227" s="412" t="b">
        <f>Wh_hp&gt;='2025'!Maxi_hp</f>
        <v>1</v>
      </c>
      <c r="I227" s="388">
        <f>IF(H227,Wh_hp,'2025'!Maxi_hp)</f>
        <v>58.799817068025227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5.1411593657334498E-2</v>
      </c>
      <c r="M227" s="832"/>
      <c r="N227" s="832"/>
      <c r="O227" s="48">
        <f>IF(t&lt;Tnet,'2025'!Resal+('2025'!Salim-'2025'!Resal)*(1-EXP(('2025'!Tnet-t)/('2025'!Tau_j))),Resal+(Salim-Resal)*(1-EXP((Tnet-t)/(Tau_j))))*Salcycl</f>
        <v>4.8596829726802189E-2</v>
      </c>
      <c r="P227" s="169">
        <f>(INDEX(Models!$BJ227:$BT227,,T227)*(1-R227)+INDEX(Models!$BJ227:$BT227,,T227+1)*R227-ERP_i)*Q227*Ramure*Pc/MaxiM</f>
        <v>2.8061400155599968E-5</v>
      </c>
      <c r="Q227" s="304">
        <f t="shared" si="80"/>
        <v>0.6</v>
      </c>
      <c r="R227" s="177">
        <f t="shared" si="81"/>
        <v>0.92142227426960455</v>
      </c>
      <c r="S227" s="799">
        <f t="shared" si="82"/>
        <v>-2</v>
      </c>
      <c r="T227" s="176">
        <f t="shared" si="83"/>
        <v>4</v>
      </c>
      <c r="U227" s="250">
        <f t="shared" si="84"/>
        <v>-1.0785777257303955</v>
      </c>
      <c r="V227" s="382">
        <f t="shared" si="85"/>
        <v>53.730451998288643</v>
      </c>
      <c r="W227" s="400">
        <f t="shared" si="86"/>
        <v>53.06478515192336</v>
      </c>
      <c r="X227" s="157">
        <f t="shared" si="87"/>
        <v>46235</v>
      </c>
      <c r="Y227" s="383">
        <f t="shared" si="88"/>
        <v>51.060251318327161</v>
      </c>
      <c r="Z227" s="383">
        <f t="shared" si="89"/>
        <v>53.827614776774212</v>
      </c>
      <c r="AA227" s="384">
        <f t="shared" si="90"/>
        <v>58.759088949273647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8.3927001944443858E-2</v>
      </c>
      <c r="AD227" s="230">
        <f>(INDEX(Models!$BJ227:$BT227,,AH227)*(1-AF227)+INDEX(Models!$BJ227:$BT227,,AH227+1)*AF227-ERP_i)*AE227*Ramure*Pc/MaxiM</f>
        <v>7.0513716132852009E-4</v>
      </c>
      <c r="AE227" s="304">
        <f t="shared" si="92"/>
        <v>0.6</v>
      </c>
      <c r="AF227" s="177">
        <f t="shared" si="93"/>
        <v>0.44640984064358324</v>
      </c>
      <c r="AG227" s="799">
        <f t="shared" si="99"/>
        <v>2</v>
      </c>
      <c r="AH227" s="176">
        <f t="shared" si="94"/>
        <v>8</v>
      </c>
      <c r="AI227" s="224">
        <f t="shared" si="95"/>
        <v>2.4464098406435832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'2025'!Wh/'2025'!Env_an*'2026'!Env_an</f>
        <v>53.054828545242167</v>
      </c>
      <c r="C228" s="829"/>
      <c r="D228" s="391">
        <f t="shared" si="77"/>
        <v>55.931366010442829</v>
      </c>
      <c r="E228" s="383">
        <f t="shared" si="75"/>
        <v>58.792493661845384</v>
      </c>
      <c r="F228" s="383">
        <f t="shared" si="78"/>
        <v>58.794161999837499</v>
      </c>
      <c r="G228" s="110">
        <f t="shared" si="76"/>
        <v>0.98976792564320959</v>
      </c>
      <c r="H228" s="412" t="b">
        <f>Wh_hp&gt;='2025'!Maxi_hp</f>
        <v>1</v>
      </c>
      <c r="I228" s="388">
        <f>IF(H228,Wh_hp,'2025'!Maxi_hp)</f>
        <v>58.794161999837499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5.1429773137734336E-2</v>
      </c>
      <c r="M228" s="832"/>
      <c r="N228" s="832"/>
      <c r="O228" s="48">
        <f>IF(t&lt;Tnet,'2025'!Resal+('2025'!Salim-'2025'!Resal)*(1-EXP(('2025'!Tnet-t)/('2025'!Tau_j))),Resal+(Salim-Resal)*(1-EXP((Tnet-t)/(Tau_j))))*Salcycl</f>
        <v>4.8664846023691415E-2</v>
      </c>
      <c r="P228" s="169">
        <f>(INDEX(Models!$BJ228:$BT228,,T228)*(1-R228)+INDEX(Models!$BJ228:$BT228,,T228+1)*R228-ERP_i)*Q228*Ramure*Pc/MaxiM</f>
        <v>2.8796825661184374E-5</v>
      </c>
      <c r="Q228" s="304">
        <f t="shared" si="80"/>
        <v>0.6</v>
      </c>
      <c r="R228" s="177">
        <f t="shared" si="81"/>
        <v>0.92333432735424137</v>
      </c>
      <c r="S228" s="799">
        <f t="shared" si="82"/>
        <v>-2</v>
      </c>
      <c r="T228" s="176">
        <f t="shared" si="83"/>
        <v>4</v>
      </c>
      <c r="U228" s="250">
        <f t="shared" si="84"/>
        <v>-1.0766656726457586</v>
      </c>
      <c r="V228" s="382">
        <f t="shared" si="85"/>
        <v>53.603278949104002</v>
      </c>
      <c r="W228" s="400">
        <f t="shared" si="86"/>
        <v>53.054828545242167</v>
      </c>
      <c r="X228" s="157">
        <f t="shared" si="87"/>
        <v>46236</v>
      </c>
      <c r="Y228" s="383">
        <f t="shared" si="88"/>
        <v>51.05175929655023</v>
      </c>
      <c r="Z228" s="383">
        <f t="shared" si="89"/>
        <v>53.819693946564328</v>
      </c>
      <c r="AA228" s="384">
        <f t="shared" si="90"/>
        <v>58.752446285921977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8.3958246016721444E-2</v>
      </c>
      <c r="AD228" s="230">
        <f>(INDEX(Models!$BJ228:$BT228,,AH228)*(1-AF228)+INDEX(Models!$BJ228:$BT228,,AH228+1)*AF228-ERP_i)*AE228*Ramure*Pc/MaxiM</f>
        <v>7.2004602582805856E-4</v>
      </c>
      <c r="AE228" s="304">
        <f t="shared" si="92"/>
        <v>0.6</v>
      </c>
      <c r="AF228" s="177">
        <f t="shared" si="93"/>
        <v>0.44832189372822029</v>
      </c>
      <c r="AG228" s="799">
        <f t="shared" si="99"/>
        <v>2</v>
      </c>
      <c r="AH228" s="176">
        <f t="shared" si="94"/>
        <v>8</v>
      </c>
      <c r="AI228" s="224">
        <f t="shared" si="95"/>
        <v>2.4483218937282203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'2025'!Wh/'2025'!Env_an*'2026'!Env_an</f>
        <v>50.10233726786641</v>
      </c>
      <c r="C229" s="829"/>
      <c r="D229" s="391">
        <f t="shared" si="77"/>
        <v>52.819808241153481</v>
      </c>
      <c r="E229" s="383">
        <f t="shared" si="75"/>
        <v>55.52572449214091</v>
      </c>
      <c r="F229" s="383">
        <f t="shared" si="78"/>
        <v>55.527217460400486</v>
      </c>
      <c r="G229" s="110">
        <f t="shared" si="76"/>
        <v>0.93694814562186202</v>
      </c>
      <c r="H229" s="412" t="b">
        <f>Wh_hp&gt;='2025'!Maxi_hp</f>
        <v>0</v>
      </c>
      <c r="I229" s="388">
        <f>IF(H229,Wh_hp,'2025'!Maxi_hp)</f>
        <v>56.932913500318811</v>
      </c>
      <c r="J229" s="85">
        <f>IF(H229,An,'2025'!An_max)</f>
        <v>2018</v>
      </c>
      <c r="K229" s="197">
        <f t="shared" si="79"/>
        <v>46237</v>
      </c>
      <c r="L229" s="147">
        <f>IF(t&lt;Tvie,1-EXP((T0-t)*PertePVj)+'2025'!Pspv,1-EXP((T0-t)*PertePVj)+Pspv)</f>
        <v>5.1447952269728425E-2</v>
      </c>
      <c r="M229" s="832"/>
      <c r="N229" s="832"/>
      <c r="O229" s="48">
        <f>IF(t&lt;Tnet,'2025'!Resal+('2025'!Salim-'2025'!Resal)*(1-EXP(('2025'!Tnet-t)/('2025'!Tau_j))),Resal+(Salim-Resal)*(1-EXP((Tnet-t)/(Tau_j))))*Salcycl</f>
        <v>4.873265996502972E-2</v>
      </c>
      <c r="P229" s="169">
        <f>(INDEX(Models!$BJ229:$BT229,,T229)*(1-R229)+INDEX(Models!$BJ229:$BT229,,T229+1)*R229-ERP_i)*Q229*Ramure*Pc/MaxiM</f>
        <v>2.9548601149664721E-5</v>
      </c>
      <c r="Q229" s="304">
        <f t="shared" si="80"/>
        <v>0.6</v>
      </c>
      <c r="R229" s="177">
        <f t="shared" si="81"/>
        <v>0.92518480767696443</v>
      </c>
      <c r="S229" s="799">
        <f t="shared" si="82"/>
        <v>-2</v>
      </c>
      <c r="T229" s="176">
        <f t="shared" si="83"/>
        <v>4</v>
      </c>
      <c r="U229" s="250">
        <f t="shared" si="84"/>
        <v>-1.0748151923230356</v>
      </c>
      <c r="V229" s="382">
        <f t="shared" si="85"/>
        <v>53.473827930760145</v>
      </c>
      <c r="W229" s="400">
        <f t="shared" si="86"/>
        <v>50.10233726786641</v>
      </c>
      <c r="X229" s="157">
        <f t="shared" si="87"/>
        <v>46237</v>
      </c>
      <c r="Y229" s="383">
        <f t="shared" si="88"/>
        <v>48.214414933827399</v>
      </c>
      <c r="Z229" s="383">
        <f t="shared" si="89"/>
        <v>50.82948800669034</v>
      </c>
      <c r="AA229" s="384">
        <f t="shared" si="90"/>
        <v>55.490055121215875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8.398923202265178E-2</v>
      </c>
      <c r="AD229" s="230">
        <f>(INDEX(Models!$BJ229:$BT229,,AH229)*(1-AF229)+INDEX(Models!$BJ229:$BT229,,AH229+1)*AF229-ERP_i)*AE229*Ramure*Pc/MaxiM</f>
        <v>7.3551137562092184E-4</v>
      </c>
      <c r="AE229" s="304">
        <f t="shared" si="92"/>
        <v>0.6</v>
      </c>
      <c r="AF229" s="177">
        <f t="shared" si="93"/>
        <v>0.4501723740509429</v>
      </c>
      <c r="AG229" s="799">
        <f t="shared" si="99"/>
        <v>2</v>
      </c>
      <c r="AH229" s="176">
        <f t="shared" si="94"/>
        <v>8</v>
      </c>
      <c r="AI229" s="224">
        <f t="shared" si="95"/>
        <v>2.4501723740509429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'2025'!Wh/'2025'!Env_an*'2026'!Env_an</f>
        <v>49.360670137806295</v>
      </c>
      <c r="C230" s="829"/>
      <c r="D230" s="391">
        <f t="shared" si="77"/>
        <v>52.038911581112139</v>
      </c>
      <c r="E230" s="383">
        <f t="shared" si="75"/>
        <v>54.708711872107202</v>
      </c>
      <c r="F230" s="383">
        <f t="shared" si="78"/>
        <v>54.710193659523242</v>
      </c>
      <c r="G230" s="110">
        <f t="shared" si="76"/>
        <v>0.92535748164658838</v>
      </c>
      <c r="H230" s="412" t="b">
        <f>Wh_hp&gt;='2025'!Maxi_hp</f>
        <v>1</v>
      </c>
      <c r="I230" s="388">
        <f>IF(H230,Wh_hp,'2025'!Maxi_hp)</f>
        <v>54.710193659523242</v>
      </c>
      <c r="J230" s="85">
        <f>IF(H230,An,'2025'!An_max)</f>
        <v>2026</v>
      </c>
      <c r="K230" s="197">
        <f t="shared" si="79"/>
        <v>46238</v>
      </c>
      <c r="L230" s="147">
        <f>IF(t&lt;Tvie,1-EXP((T0-t)*PertePVj)+'2025'!Pspv,1-EXP((T0-t)*PertePVj)+Pspv)</f>
        <v>5.146613105332376E-2</v>
      </c>
      <c r="M230" s="832"/>
      <c r="N230" s="832"/>
      <c r="O230" s="48">
        <f>IF(t&lt;Tnet,'2025'!Resal+('2025'!Salim-'2025'!Resal)*(1-EXP(('2025'!Tnet-t)/('2025'!Tau_j))),Resal+(Salim-Resal)*(1-EXP((Tnet-t)/(Tau_j))))*Salcycl</f>
        <v>4.8800276951068977E-2</v>
      </c>
      <c r="P230" s="169">
        <f>(INDEX(Models!$BJ230:$BT230,,T230)*(1-R230)+INDEX(Models!$BJ230:$BT230,,T230+1)*R230-ERP_i)*Q230*Ramure*Pc/MaxiM</f>
        <v>3.0316932912834555E-5</v>
      </c>
      <c r="Q230" s="304">
        <f t="shared" si="80"/>
        <v>0.6</v>
      </c>
      <c r="R230" s="177">
        <f t="shared" si="81"/>
        <v>0.92697515421164112</v>
      </c>
      <c r="S230" s="799">
        <f t="shared" si="82"/>
        <v>-2</v>
      </c>
      <c r="T230" s="176">
        <f t="shared" si="83"/>
        <v>4</v>
      </c>
      <c r="U230" s="250">
        <f t="shared" si="84"/>
        <v>-1.0730248457883589</v>
      </c>
      <c r="V230" s="382">
        <f t="shared" si="85"/>
        <v>53.342099186177741</v>
      </c>
      <c r="W230" s="400">
        <f t="shared" si="86"/>
        <v>49.360670137806295</v>
      </c>
      <c r="X230" s="157">
        <f t="shared" si="87"/>
        <v>46238</v>
      </c>
      <c r="Y230" s="383">
        <f t="shared" si="88"/>
        <v>47.502384989394457</v>
      </c>
      <c r="Z230" s="383">
        <f t="shared" si="89"/>
        <v>50.079798460064161</v>
      </c>
      <c r="AA230" s="384">
        <f t="shared" si="90"/>
        <v>54.673461005375962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8.4019969850822412E-2</v>
      </c>
      <c r="AD230" s="230">
        <f>(INDEX(Models!$BJ230:$BT230,,AH230)*(1-AF230)+INDEX(Models!$BJ230:$BT230,,AH230+1)*AF230-ERP_i)*AE230*Ramure*Pc/MaxiM</f>
        <v>7.5153925552231768E-4</v>
      </c>
      <c r="AE230" s="304">
        <f t="shared" si="92"/>
        <v>0.6</v>
      </c>
      <c r="AF230" s="177">
        <f t="shared" si="93"/>
        <v>0.45196272058562004</v>
      </c>
      <c r="AG230" s="799">
        <f t="shared" si="99"/>
        <v>2</v>
      </c>
      <c r="AH230" s="176">
        <f t="shared" si="94"/>
        <v>8</v>
      </c>
      <c r="AI230" s="224">
        <f t="shared" si="95"/>
        <v>2.45196272058562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'2025'!Wh/'2025'!Env_an*'2026'!Env_an</f>
        <v>44.826898781016894</v>
      </c>
      <c r="C231" s="829"/>
      <c r="D231" s="391">
        <f t="shared" si="77"/>
        <v>47.260049811980068</v>
      </c>
      <c r="E231" s="383">
        <f t="shared" si="75"/>
        <v>49.68819782268141</v>
      </c>
      <c r="F231" s="383">
        <f t="shared" si="78"/>
        <v>49.689395501192273</v>
      </c>
      <c r="G231" s="110">
        <f t="shared" si="76"/>
        <v>0.84247682070038665</v>
      </c>
      <c r="H231" s="412" t="b">
        <f>Wh_hp&gt;='2025'!Maxi_hp</f>
        <v>0</v>
      </c>
      <c r="I231" s="388">
        <f>IF(H231,Wh_hp,'2025'!Maxi_hp)</f>
        <v>57.498472641811972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5.148430948852678E-2</v>
      </c>
      <c r="M231" s="832"/>
      <c r="N231" s="832"/>
      <c r="O231" s="48">
        <f>IF(t&lt;Tnet,'2025'!Resal+('2025'!Salim-'2025'!Resal)*(1-EXP(('2025'!Tnet-t)/('2025'!Tau_j))),Resal+(Salim-Resal)*(1-EXP((Tnet-t)/(Tau_j))))*Salcycl</f>
        <v>4.8867701327516271E-2</v>
      </c>
      <c r="P231" s="169">
        <f>(INDEX(Models!$BJ231:$BT231,,T231)*(1-R231)+INDEX(Models!$BJ231:$BT231,,T231+1)*R231-ERP_i)*Q231*Ramure*Pc/MaxiM</f>
        <v>3.1102025807852256E-5</v>
      </c>
      <c r="Q231" s="304">
        <f t="shared" si="80"/>
        <v>0.6</v>
      </c>
      <c r="R231" s="177">
        <f t="shared" si="81"/>
        <v>0.9287068121852835</v>
      </c>
      <c r="S231" s="799">
        <f t="shared" si="82"/>
        <v>-2</v>
      </c>
      <c r="T231" s="176">
        <f t="shared" si="83"/>
        <v>4</v>
      </c>
      <c r="U231" s="250">
        <f t="shared" si="84"/>
        <v>-1.0712931878147165</v>
      </c>
      <c r="V231" s="382">
        <f t="shared" si="85"/>
        <v>53.208093019234894</v>
      </c>
      <c r="W231" s="400">
        <f t="shared" si="86"/>
        <v>44.826898781016894</v>
      </c>
      <c r="X231" s="157">
        <f t="shared" si="87"/>
        <v>46239</v>
      </c>
      <c r="Y231" s="383">
        <f t="shared" si="88"/>
        <v>43.144075931915069</v>
      </c>
      <c r="Z231" s="383">
        <f t="shared" si="89"/>
        <v>45.485885329582956</v>
      </c>
      <c r="AA231" s="384">
        <f t="shared" si="90"/>
        <v>49.659816089541224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8.40504675335947E-2</v>
      </c>
      <c r="AD231" s="230">
        <f>(INDEX(Models!$BJ231:$BT231,,AH231)*(1-AF231)+INDEX(Models!$BJ231:$BT231,,AH231+1)*AF231-ERP_i)*AE231*Ramure*Pc/MaxiM</f>
        <v>7.6813570270291211E-4</v>
      </c>
      <c r="AE231" s="304">
        <f t="shared" si="92"/>
        <v>0.6</v>
      </c>
      <c r="AF231" s="177">
        <f t="shared" si="93"/>
        <v>0.4536943785592622</v>
      </c>
      <c r="AG231" s="799">
        <f t="shared" si="99"/>
        <v>2</v>
      </c>
      <c r="AH231" s="176">
        <f t="shared" si="94"/>
        <v>8</v>
      </c>
      <c r="AI231" s="224">
        <f t="shared" si="95"/>
        <v>2.4536943785592622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'2025'!Wh/'2025'!Env_an*'2026'!Env_an</f>
        <v>49.22385899949915</v>
      </c>
      <c r="C232" s="829"/>
      <c r="D232" s="391">
        <f t="shared" si="77"/>
        <v>51.896666416833916</v>
      </c>
      <c r="E232" s="383">
        <f t="shared" si="75"/>
        <v>54.566893900577867</v>
      </c>
      <c r="F232" s="383">
        <f t="shared" si="78"/>
        <v>54.568454532270493</v>
      </c>
      <c r="G232" s="110">
        <f t="shared" si="76"/>
        <v>0.9274923264717414</v>
      </c>
      <c r="H232" s="412" t="b">
        <f>Wh_hp&gt;='2025'!Maxi_hp</f>
        <v>0</v>
      </c>
      <c r="I232" s="388">
        <f>IF(H232,Wh_hp,'2025'!Maxi_hp)</f>
        <v>58.413322100606401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5.1502487575344147E-2</v>
      </c>
      <c r="M232" s="832"/>
      <c r="N232" s="832"/>
      <c r="O232" s="48">
        <f>IF(t&lt;Tnet,'2025'!Resal+('2025'!Salim-'2025'!Resal)*(1-EXP(('2025'!Tnet-t)/('2025'!Tau_j))),Resal+(Salim-Resal)*(1-EXP((Tnet-t)/(Tau_j))))*Salcycl</f>
        <v>4.8934936421508084E-2</v>
      </c>
      <c r="P232" s="169">
        <f>(INDEX(Models!$BJ232:$BT232,,T232)*(1-R232)+INDEX(Models!$BJ232:$BT232,,T232+1)*R232-ERP_i)*Q232*Ramure*Pc/MaxiM</f>
        <v>3.1904083076674627E-5</v>
      </c>
      <c r="Q232" s="304">
        <f t="shared" si="80"/>
        <v>0.6</v>
      </c>
      <c r="R232" s="177">
        <f t="shared" si="81"/>
        <v>0.93038122949481505</v>
      </c>
      <c r="S232" s="799">
        <f t="shared" si="82"/>
        <v>-2</v>
      </c>
      <c r="T232" s="176">
        <f t="shared" si="83"/>
        <v>4</v>
      </c>
      <c r="U232" s="250">
        <f t="shared" si="84"/>
        <v>-1.0696187705051849</v>
      </c>
      <c r="V232" s="382">
        <f t="shared" si="85"/>
        <v>53.071809789336484</v>
      </c>
      <c r="W232" s="400">
        <f t="shared" si="86"/>
        <v>49.22385899949915</v>
      </c>
      <c r="X232" s="157">
        <f t="shared" si="87"/>
        <v>46240</v>
      </c>
      <c r="Y232" s="383">
        <f t="shared" si="88"/>
        <v>47.372816885157242</v>
      </c>
      <c r="Z232" s="383">
        <f t="shared" si="89"/>
        <v>49.945114525453555</v>
      </c>
      <c r="AA232" s="384">
        <f t="shared" si="90"/>
        <v>54.530040182856354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8.4080731318519134E-2</v>
      </c>
      <c r="AD232" s="230">
        <f>(INDEX(Models!$BJ232:$BT232,,AH232)*(1-AF232)+INDEX(Models!$BJ232:$BT232,,AH232+1)*AF232-ERP_i)*AE232*Ramure*Pc/MaxiM</f>
        <v>7.8530674523314586E-4</v>
      </c>
      <c r="AE232" s="304">
        <f t="shared" si="92"/>
        <v>0.6</v>
      </c>
      <c r="AF232" s="177">
        <f t="shared" si="93"/>
        <v>0.45536879586879397</v>
      </c>
      <c r="AG232" s="799">
        <f t="shared" si="99"/>
        <v>2</v>
      </c>
      <c r="AH232" s="176">
        <f t="shared" si="94"/>
        <v>8</v>
      </c>
      <c r="AI232" s="224">
        <f t="shared" si="95"/>
        <v>2.455368795868794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'2025'!Wh/'2025'!Env_an*'2026'!Env_an</f>
        <v>51.79978688938138</v>
      </c>
      <c r="C233" s="829"/>
      <c r="D233" s="391">
        <f t="shared" si="77"/>
        <v>54.613511328128361</v>
      </c>
      <c r="E233" s="383">
        <f t="shared" ref="E233:E296" si="100">Wh_pvt/(1-Psa)</f>
        <v>57.427576548771555</v>
      </c>
      <c r="F233" s="383">
        <f t="shared" si="78"/>
        <v>57.429398305158223</v>
      </c>
      <c r="G233" s="110">
        <f t="shared" ref="G233:G296" si="101">+Wh_hp/MaxiM</f>
        <v>0.97857802522831061</v>
      </c>
      <c r="H233" s="412" t="b">
        <f>Wh_hp&gt;='2025'!Maxi_hp</f>
        <v>1</v>
      </c>
      <c r="I233" s="388">
        <f>IF(H233,Wh_hp,'2025'!Maxi_hp)</f>
        <v>57.429398305158223</v>
      </c>
      <c r="J233" s="85">
        <f>IF(H233,An,'2025'!An_max)</f>
        <v>2026</v>
      </c>
      <c r="K233" s="197">
        <f t="shared" si="79"/>
        <v>46241</v>
      </c>
      <c r="L233" s="147">
        <f>IF(t&lt;Tvie,1-EXP((T0-t)*PertePVj)+'2025'!Pspv,1-EXP((T0-t)*PertePVj)+Pspv)</f>
        <v>5.1520665313782743E-2</v>
      </c>
      <c r="M233" s="832"/>
      <c r="N233" s="832"/>
      <c r="O233" s="48">
        <f>IF(t&lt;Tnet,'2025'!Resal+('2025'!Salim-'2025'!Resal)*(1-EXP(('2025'!Tnet-t)/('2025'!Tau_j))),Resal+(Salim-Resal)*(1-EXP((Tnet-t)/(Tau_j))))*Salcycl</f>
        <v>4.900198458232502E-2</v>
      </c>
      <c r="P233" s="169">
        <f>(INDEX(Models!$BJ233:$BT233,,T233)*(1-R233)+INDEX(Models!$BJ233:$BT233,,T233+1)*R233-ERP_i)*Q233*Ramure*Pc/MaxiM</f>
        <v>3.2723040954599973E-5</v>
      </c>
      <c r="Q233" s="304">
        <f t="shared" si="80"/>
        <v>0.6</v>
      </c>
      <c r="R233" s="177">
        <f t="shared" si="81"/>
        <v>0.93199985337437852</v>
      </c>
      <c r="S233" s="799">
        <f t="shared" si="82"/>
        <v>-2</v>
      </c>
      <c r="T233" s="176">
        <f t="shared" si="83"/>
        <v>4</v>
      </c>
      <c r="U233" s="250">
        <f t="shared" si="84"/>
        <v>-1.0680001466256215</v>
      </c>
      <c r="V233" s="382">
        <f t="shared" si="85"/>
        <v>52.933678951984703</v>
      </c>
      <c r="W233" s="400">
        <f t="shared" si="86"/>
        <v>51.79978688938138</v>
      </c>
      <c r="X233" s="157">
        <f t="shared" si="87"/>
        <v>46241</v>
      </c>
      <c r="Y233" s="383">
        <f t="shared" si="88"/>
        <v>49.850196346334158</v>
      </c>
      <c r="Z233" s="383">
        <f t="shared" si="89"/>
        <v>52.558020531702944</v>
      </c>
      <c r="AA233" s="384">
        <f t="shared" si="90"/>
        <v>57.384690818636408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8.4110765747402824E-2</v>
      </c>
      <c r="AD233" s="230">
        <f>(INDEX(Models!$BJ233:$BT233,,AH233)*(1-AF233)+INDEX(Models!$BJ233:$BT233,,AH233+1)*AF233-ERP_i)*AE233*Ramure*Pc/MaxiM</f>
        <v>8.0305189164513982E-4</v>
      </c>
      <c r="AE233" s="304">
        <f t="shared" si="92"/>
        <v>0.6</v>
      </c>
      <c r="AF233" s="177">
        <f t="shared" si="93"/>
        <v>0.45698741974835722</v>
      </c>
      <c r="AG233" s="799">
        <f t="shared" si="99"/>
        <v>2</v>
      </c>
      <c r="AH233" s="176">
        <f t="shared" si="94"/>
        <v>8</v>
      </c>
      <c r="AI233" s="224">
        <f t="shared" si="95"/>
        <v>2.4569874197483572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'2025'!Wh/'2025'!Env_an*'2026'!Env_an</f>
        <v>52.237182150360255</v>
      </c>
      <c r="C234" s="829"/>
      <c r="D234" s="391">
        <f t="shared" si="77"/>
        <v>55.075721075680839</v>
      </c>
      <c r="E234" s="383">
        <f t="shared" si="100"/>
        <v>57.917674602437025</v>
      </c>
      <c r="F234" s="383">
        <f t="shared" si="78"/>
        <v>57.919589541729216</v>
      </c>
      <c r="G234" s="110">
        <f t="shared" si="101"/>
        <v>0.98945255735513959</v>
      </c>
      <c r="H234" s="412" t="b">
        <f>Wh_hp&gt;='2025'!Maxi_hp</f>
        <v>1</v>
      </c>
      <c r="I234" s="388">
        <f>IF(H234,Wh_hp,'2025'!Maxi_hp)</f>
        <v>57.919589541729216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5.1538842703849119E-2</v>
      </c>
      <c r="M234" s="832"/>
      <c r="N234" s="832"/>
      <c r="O234" s="48">
        <f>IF(t&lt;Tnet,'2025'!Resal+('2025'!Salim-'2025'!Resal)*(1-EXP(('2025'!Tnet-t)/('2025'!Tau_j))),Resal+(Salim-Resal)*(1-EXP((Tnet-t)/(Tau_j))))*Salcycl</f>
        <v>4.9068847226069419E-2</v>
      </c>
      <c r="P234" s="169">
        <f>(INDEX(Models!$BJ234:$BT234,,T234)*(1-R234)+INDEX(Models!$BJ234:$BT234,,T234+1)*R234-ERP_i)*Q234*Ramure*Pc/MaxiM</f>
        <v>3.3567799529471579E-5</v>
      </c>
      <c r="Q234" s="304">
        <f t="shared" si="80"/>
        <v>0.6</v>
      </c>
      <c r="R234" s="177">
        <f t="shared" si="81"/>
        <v>0.9335641273073001</v>
      </c>
      <c r="S234" s="799">
        <f t="shared" si="82"/>
        <v>-2</v>
      </c>
      <c r="T234" s="176">
        <f t="shared" si="83"/>
        <v>4</v>
      </c>
      <c r="U234" s="250">
        <f t="shared" si="84"/>
        <v>-1.0664358726926999</v>
      </c>
      <c r="V234" s="382">
        <f t="shared" si="85"/>
        <v>52.793997389042346</v>
      </c>
      <c r="W234" s="400">
        <f t="shared" si="86"/>
        <v>52.237182150360255</v>
      </c>
      <c r="X234" s="157">
        <f t="shared" si="87"/>
        <v>46242</v>
      </c>
      <c r="Y234" s="383">
        <f t="shared" si="88"/>
        <v>50.271535724472287</v>
      </c>
      <c r="Z234" s="383">
        <f t="shared" si="89"/>
        <v>53.003262535057431</v>
      </c>
      <c r="AA234" s="384">
        <f t="shared" si="90"/>
        <v>57.87270515039247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8.4140573741644395E-2</v>
      </c>
      <c r="AD234" s="230">
        <f>(INDEX(Models!$BJ234:$BT234,,AH234)*(1-AF234)+INDEX(Models!$BJ234:$BT234,,AH234+1)*AF234-ERP_i)*AE234*Ramure*Pc/MaxiM</f>
        <v>8.2185678463613714E-4</v>
      </c>
      <c r="AE234" s="304">
        <f t="shared" si="92"/>
        <v>0.6</v>
      </c>
      <c r="AF234" s="177">
        <f t="shared" si="93"/>
        <v>0.45855169368127902</v>
      </c>
      <c r="AG234" s="799">
        <f t="shared" si="99"/>
        <v>2</v>
      </c>
      <c r="AH234" s="176">
        <f t="shared" si="94"/>
        <v>8</v>
      </c>
      <c r="AI234" s="224">
        <f t="shared" si="95"/>
        <v>2.458551693681279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'2025'!Wh/'2025'!Env_an*'2026'!Env_an</f>
        <v>50.277833701051009</v>
      </c>
      <c r="C235" s="829"/>
      <c r="D235" s="391">
        <f t="shared" si="77"/>
        <v>53.010918682283226</v>
      </c>
      <c r="E235" s="383">
        <f t="shared" si="100"/>
        <v>55.75023577969791</v>
      </c>
      <c r="F235" s="383">
        <f t="shared" si="78"/>
        <v>55.752032557311885</v>
      </c>
      <c r="G235" s="110">
        <f t="shared" si="101"/>
        <v>0.95489593382987381</v>
      </c>
      <c r="H235" s="412" t="b">
        <f>Wh_hp&gt;='2025'!Maxi_hp</f>
        <v>0</v>
      </c>
      <c r="I235" s="388">
        <f>IF(H235,Wh_hp,'2025'!Maxi_hp)</f>
        <v>56.144783633335642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5.1557019745549937E-2</v>
      </c>
      <c r="M235" s="832"/>
      <c r="N235" s="832"/>
      <c r="O235" s="48">
        <f>IF(t&lt;Tnet,'2025'!Resal+('2025'!Salim-'2025'!Resal)*(1-EXP(('2025'!Tnet-t)/('2025'!Tau_j))),Resal+(Salim-Resal)*(1-EXP((Tnet-t)/(Tau_j))))*Salcycl</f>
        <v>4.9135524883506136E-2</v>
      </c>
      <c r="P235" s="169">
        <f>(INDEX(Models!$BJ235:$BT235,,T235)*(1-R235)+INDEX(Models!$BJ235:$BT235,,T235+1)*R235-ERP_i)*Q235*Ramure*Pc/MaxiM</f>
        <v>3.4447520201210549E-5</v>
      </c>
      <c r="Q235" s="304">
        <f t="shared" si="80"/>
        <v>0.6</v>
      </c>
      <c r="R235" s="177">
        <f t="shared" si="81"/>
        <v>0.93507548817592845</v>
      </c>
      <c r="S235" s="799">
        <f t="shared" si="82"/>
        <v>-2</v>
      </c>
      <c r="T235" s="176">
        <f t="shared" si="83"/>
        <v>4</v>
      </c>
      <c r="U235" s="250">
        <f t="shared" si="84"/>
        <v>-1.0649245118240716</v>
      </c>
      <c r="V235" s="382">
        <f t="shared" si="85"/>
        <v>52.652566970448923</v>
      </c>
      <c r="W235" s="400">
        <f t="shared" si="86"/>
        <v>50.277833701051009</v>
      </c>
      <c r="X235" s="157">
        <f t="shared" si="87"/>
        <v>46243</v>
      </c>
      <c r="Y235" s="383">
        <f t="shared" si="88"/>
        <v>48.388770026061081</v>
      </c>
      <c r="Z235" s="383">
        <f t="shared" si="89"/>
        <v>51.019166184433409</v>
      </c>
      <c r="AA235" s="384">
        <f t="shared" si="90"/>
        <v>55.70812805157631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8.4170156692425793E-2</v>
      </c>
      <c r="AD235" s="230">
        <f>(INDEX(Models!$BJ235:$BT235,,AH235)*(1-AF235)+INDEX(Models!$BJ235:$BT235,,AH235+1)*AF235-ERP_i)*AE235*Ramure*Pc/MaxiM</f>
        <v>8.4172984819492309E-4</v>
      </c>
      <c r="AE235" s="304">
        <f t="shared" si="92"/>
        <v>0.6</v>
      </c>
      <c r="AF235" s="177">
        <f t="shared" si="93"/>
        <v>0.46006305454990715</v>
      </c>
      <c r="AG235" s="799">
        <f t="shared" si="99"/>
        <v>2</v>
      </c>
      <c r="AH235" s="176">
        <f t="shared" si="94"/>
        <v>8</v>
      </c>
      <c r="AI235" s="224">
        <f t="shared" si="95"/>
        <v>2.4600630545499071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'2025'!Wh/'2025'!Env_an*'2026'!Env_an</f>
        <v>47.512225893215131</v>
      </c>
      <c r="C236" s="829"/>
      <c r="D236" s="391">
        <f t="shared" si="77"/>
        <v>50.095933504499349</v>
      </c>
      <c r="E236" s="383">
        <f t="shared" si="100"/>
        <v>52.688304364739999</v>
      </c>
      <c r="F236" s="383">
        <f t="shared" si="78"/>
        <v>52.689914320562309</v>
      </c>
      <c r="G236" s="110">
        <f t="shared" si="101"/>
        <v>0.90483203694806791</v>
      </c>
      <c r="H236" s="412" t="b">
        <f>Wh_hp&gt;='2025'!Maxi_hp</f>
        <v>0</v>
      </c>
      <c r="I236" s="388">
        <f>IF(H236,Wh_hp,'2025'!Maxi_hp)</f>
        <v>53.37794367209424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5.1575196438891857E-2</v>
      </c>
      <c r="M236" s="832"/>
      <c r="N236" s="832"/>
      <c r="O236" s="48">
        <f>IF(t&lt;Tnet,'2025'!Resal+('2025'!Salim-'2025'!Resal)*(1-EXP(('2025'!Tnet-t)/('2025'!Tau_j))),Resal+(Salim-Resal)*(1-EXP((Tnet-t)/(Tau_j))))*Salcycl</f>
        <v>4.9202017250255498E-2</v>
      </c>
      <c r="P236" s="169">
        <f>(INDEX(Models!$BJ236:$BT236,,T236)*(1-R236)+INDEX(Models!$BJ236:$BT236,,T236+1)*R236-ERP_i)*Q236*Ramure*Pc/MaxiM</f>
        <v>3.5362796036865431E-5</v>
      </c>
      <c r="Q236" s="304">
        <f t="shared" si="80"/>
        <v>0.6</v>
      </c>
      <c r="R236" s="177">
        <f t="shared" si="81"/>
        <v>0.93653536364182566</v>
      </c>
      <c r="S236" s="799">
        <f t="shared" si="82"/>
        <v>-2</v>
      </c>
      <c r="T236" s="176">
        <f t="shared" si="83"/>
        <v>4</v>
      </c>
      <c r="U236" s="250">
        <f t="shared" si="84"/>
        <v>-1.0634646363581743</v>
      </c>
      <c r="V236" s="382">
        <f t="shared" si="85"/>
        <v>52.50919013805791</v>
      </c>
      <c r="W236" s="400">
        <f t="shared" si="86"/>
        <v>47.512225893215131</v>
      </c>
      <c r="X236" s="157">
        <f t="shared" si="87"/>
        <v>46244</v>
      </c>
      <c r="Y236" s="383">
        <f t="shared" si="88"/>
        <v>45.730654772214585</v>
      </c>
      <c r="Z236" s="383">
        <f t="shared" si="89"/>
        <v>48.217480817147468</v>
      </c>
      <c r="AA236" s="384">
        <f t="shared" si="90"/>
        <v>52.650639067616673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8.4199514554342214E-2</v>
      </c>
      <c r="AD236" s="230">
        <f>(INDEX(Models!$BJ236:$BT236,,AH236)*(1-AF236)+INDEX(Models!$BJ236:$BT236,,AH236+1)*AF236-ERP_i)*AE236*Ramure*Pc/MaxiM</f>
        <v>8.626837705542177E-4</v>
      </c>
      <c r="AE236" s="304">
        <f t="shared" si="92"/>
        <v>0.6</v>
      </c>
      <c r="AF236" s="177">
        <f t="shared" si="93"/>
        <v>0.46152293001580436</v>
      </c>
      <c r="AG236" s="799">
        <f t="shared" si="99"/>
        <v>2</v>
      </c>
      <c r="AH236" s="176">
        <f t="shared" si="94"/>
        <v>8</v>
      </c>
      <c r="AI236" s="224">
        <f t="shared" si="95"/>
        <v>2.4615229300158044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'2025'!Wh/'2025'!Env_an*'2026'!Env_an</f>
        <v>45.944468958611949</v>
      </c>
      <c r="C237" s="829"/>
      <c r="D237" s="391">
        <f t="shared" si="77"/>
        <v>48.443850601797138</v>
      </c>
      <c r="E237" s="383">
        <f t="shared" si="100"/>
        <v>50.954282670809746</v>
      </c>
      <c r="F237" s="383">
        <f t="shared" si="78"/>
        <v>50.955809033100721</v>
      </c>
      <c r="G237" s="110">
        <f t="shared" si="101"/>
        <v>0.87740559913165039</v>
      </c>
      <c r="H237" s="412" t="b">
        <f>Wh_hp&gt;='2025'!Maxi_hp</f>
        <v>0</v>
      </c>
      <c r="I237" s="388">
        <f>IF(H237,Wh_hp,'2025'!Maxi_hp)</f>
        <v>51.914944304147305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5.1593372783881652E-2</v>
      </c>
      <c r="M237" s="832"/>
      <c r="N237" s="832"/>
      <c r="O237" s="48">
        <f>IF(t&lt;Tnet,'2025'!Resal+('2025'!Salim-'2025'!Resal)*(1-EXP(('2025'!Tnet-t)/('2025'!Tau_j))),Resal+(Salim-Resal)*(1-EXP((Tnet-t)/(Tau_j))))*Salcycl</f>
        <v>4.9268323238524606E-2</v>
      </c>
      <c r="P237" s="169">
        <f>(INDEX(Models!$BJ237:$BT237,,T237)*(1-R237)+INDEX(Models!$BJ237:$BT237,,T237+1)*R237-ERP_i)*Q237*Ramure*Pc/MaxiM</f>
        <v>3.6314224894043816E-5</v>
      </c>
      <c r="Q237" s="304">
        <f t="shared" si="80"/>
        <v>0.6</v>
      </c>
      <c r="R237" s="177">
        <f t="shared" si="81"/>
        <v>0.937945169748168</v>
      </c>
      <c r="S237" s="799">
        <f t="shared" si="82"/>
        <v>-2</v>
      </c>
      <c r="T237" s="176">
        <f t="shared" si="83"/>
        <v>4</v>
      </c>
      <c r="U237" s="250">
        <f t="shared" si="84"/>
        <v>-1.062054830251832</v>
      </c>
      <c r="V237" s="382">
        <f t="shared" si="85"/>
        <v>52.363669444342975</v>
      </c>
      <c r="W237" s="400">
        <f t="shared" si="86"/>
        <v>45.944468958611949</v>
      </c>
      <c r="X237" s="157">
        <f t="shared" si="87"/>
        <v>46245</v>
      </c>
      <c r="Y237" s="383">
        <f t="shared" si="88"/>
        <v>44.224025903039689</v>
      </c>
      <c r="Z237" s="383">
        <f t="shared" si="89"/>
        <v>46.629815349194232</v>
      </c>
      <c r="AA237" s="384">
        <f t="shared" si="90"/>
        <v>50.918621927316842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8.4228645941058972E-2</v>
      </c>
      <c r="AD237" s="230">
        <f>(INDEX(Models!$BJ237:$BT237,,AH237)*(1-AF237)+INDEX(Models!$BJ237:$BT237,,AH237+1)*AF237-ERP_i)*AE237*Ramure*Pc/MaxiM</f>
        <v>8.8473158081725013E-4</v>
      </c>
      <c r="AE237" s="304">
        <f t="shared" si="92"/>
        <v>0.6</v>
      </c>
      <c r="AF237" s="177">
        <f t="shared" si="93"/>
        <v>0.46293273612214669</v>
      </c>
      <c r="AG237" s="799">
        <f t="shared" si="99"/>
        <v>2</v>
      </c>
      <c r="AH237" s="176">
        <f t="shared" si="94"/>
        <v>8</v>
      </c>
      <c r="AI237" s="224">
        <f t="shared" si="95"/>
        <v>2.4629327361221467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'2025'!Wh/'2025'!Env_an*'2026'!Env_an</f>
        <v>46.859328946681572</v>
      </c>
      <c r="C238" s="829"/>
      <c r="D238" s="391">
        <f t="shared" si="77"/>
        <v>49.409425944008554</v>
      </c>
      <c r="E238" s="383">
        <f t="shared" si="100"/>
        <v>51.973510008629113</v>
      </c>
      <c r="F238" s="383">
        <f t="shared" si="78"/>
        <v>51.975164680858448</v>
      </c>
      <c r="G238" s="110">
        <f t="shared" si="101"/>
        <v>0.89741162637937022</v>
      </c>
      <c r="H238" s="412" t="b">
        <f>Wh_hp&gt;='2025'!Maxi_hp</f>
        <v>1</v>
      </c>
      <c r="I238" s="388">
        <f>IF(H238,Wh_hp,'2025'!Maxi_hp)</f>
        <v>51.975164680858448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5.1611548780525984E-2</v>
      </c>
      <c r="M238" s="832"/>
      <c r="N238" s="832"/>
      <c r="O238" s="48">
        <f>IF(t&lt;Tnet,'2025'!Resal+('2025'!Salim-'2025'!Resal)*(1-EXP(('2025'!Tnet-t)/('2025'!Tau_j))),Resal+(Salim-Resal)*(1-EXP((Tnet-t)/(Tau_j))))*Salcycl</f>
        <v>4.933444102957156E-2</v>
      </c>
      <c r="P238" s="169">
        <f>(INDEX(Models!$BJ238:$BT238,,T238)*(1-R238)+INDEX(Models!$BJ238:$BT238,,T238+1)*R238-ERP_i)*Q238*Ramure*Pc/MaxiM</f>
        <v>3.7302411389690315E-5</v>
      </c>
      <c r="Q238" s="304">
        <f t="shared" si="80"/>
        <v>0.6</v>
      </c>
      <c r="R238" s="177">
        <f t="shared" si="81"/>
        <v>0.93930630873573406</v>
      </c>
      <c r="S238" s="799">
        <f t="shared" si="82"/>
        <v>-2</v>
      </c>
      <c r="T238" s="176">
        <f t="shared" si="83"/>
        <v>4</v>
      </c>
      <c r="U238" s="250">
        <f t="shared" si="84"/>
        <v>-1.0606936912642659</v>
      </c>
      <c r="V238" s="382">
        <f t="shared" si="85"/>
        <v>52.21580755198643</v>
      </c>
      <c r="W238" s="400">
        <f t="shared" si="86"/>
        <v>46.859328946681572</v>
      </c>
      <c r="X238" s="157">
        <f t="shared" si="87"/>
        <v>46246</v>
      </c>
      <c r="Y238" s="383">
        <f t="shared" si="88"/>
        <v>45.104392748957522</v>
      </c>
      <c r="Z238" s="383">
        <f t="shared" si="89"/>
        <v>47.558985657154068</v>
      </c>
      <c r="AA238" s="384">
        <f t="shared" si="90"/>
        <v>51.934892354060352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8.4257548221608428E-2</v>
      </c>
      <c r="AD238" s="230">
        <f>(INDEX(Models!$BJ238:$BT238,,AH238)*(1-AF238)+INDEX(Models!$BJ238:$BT238,,AH238+1)*AF238-ERP_i)*AE238*Ramure*Pc/MaxiM</f>
        <v>9.0788669514749068E-4</v>
      </c>
      <c r="AE238" s="304">
        <f t="shared" si="92"/>
        <v>0.6</v>
      </c>
      <c r="AF238" s="177">
        <f t="shared" si="93"/>
        <v>0.46429387510971276</v>
      </c>
      <c r="AG238" s="799">
        <f t="shared" si="99"/>
        <v>2</v>
      </c>
      <c r="AH238" s="176">
        <f t="shared" si="94"/>
        <v>8</v>
      </c>
      <c r="AI238" s="224">
        <f t="shared" si="95"/>
        <v>2.4642938751097128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'2025'!Wh/'2025'!Env_an*'2026'!Env_an</f>
        <v>35.266278794727803</v>
      </c>
      <c r="C239" s="829"/>
      <c r="D239" s="391">
        <f t="shared" si="77"/>
        <v>37.18619162066021</v>
      </c>
      <c r="E239" s="383">
        <f t="shared" si="100"/>
        <v>39.118668231920381</v>
      </c>
      <c r="F239" s="383">
        <f t="shared" si="78"/>
        <v>39.119476490243017</v>
      </c>
      <c r="G239" s="110">
        <f t="shared" si="101"/>
        <v>0.67733371582007362</v>
      </c>
      <c r="H239" s="412" t="b">
        <f>Wh_hp&gt;='2025'!Maxi_hp</f>
        <v>0</v>
      </c>
      <c r="I239" s="388">
        <f>IF(H239,Wh_hp,'2025'!Maxi_hp)</f>
        <v>49.870847104426645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5.1629724428831403E-2</v>
      </c>
      <c r="M239" s="832"/>
      <c r="N239" s="832"/>
      <c r="O239" s="48">
        <f>IF(t&lt;Tnet,'2025'!Resal+('2025'!Salim-'2025'!Resal)*(1-EXP(('2025'!Tnet-t)/('2025'!Tau_j))),Resal+(Salim-Resal)*(1-EXP((Tnet-t)/(Tau_j))))*Salcycl</f>
        <v>4.9400368126113446E-2</v>
      </c>
      <c r="P239" s="169">
        <f>(INDEX(Models!$BJ239:$BT239,,T239)*(1-R239)+INDEX(Models!$BJ239:$BT239,,T239+1)*R239-ERP_i)*Q239*Ramure*Pc/MaxiM</f>
        <v>3.8327968919842668E-5</v>
      </c>
      <c r="Q239" s="304">
        <f t="shared" si="80"/>
        <v>0.6</v>
      </c>
      <c r="R239" s="177">
        <f t="shared" si="81"/>
        <v>0.94062016706347773</v>
      </c>
      <c r="S239" s="799">
        <f t="shared" si="82"/>
        <v>-2</v>
      </c>
      <c r="T239" s="176">
        <f t="shared" si="83"/>
        <v>4</v>
      </c>
      <c r="U239" s="250">
        <f t="shared" si="84"/>
        <v>-1.0593798329365223</v>
      </c>
      <c r="V239" s="382">
        <f t="shared" si="85"/>
        <v>52.065407227896735</v>
      </c>
      <c r="W239" s="400">
        <f t="shared" si="86"/>
        <v>35.266278794727803</v>
      </c>
      <c r="X239" s="157">
        <f t="shared" si="87"/>
        <v>46247</v>
      </c>
      <c r="Y239" s="383">
        <f t="shared" si="88"/>
        <v>33.955680012494653</v>
      </c>
      <c r="Z239" s="383">
        <f t="shared" si="89"/>
        <v>35.804243223507186</v>
      </c>
      <c r="AA239" s="384">
        <f t="shared" si="90"/>
        <v>39.09981908352681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8.4286217615980902E-2</v>
      </c>
      <c r="AD239" s="230">
        <f>(INDEX(Models!$BJ239:$BT239,,AH239)*(1-AF239)+INDEX(Models!$BJ239:$BT239,,AH239+1)*AF239-ERP_i)*AE239*Ramure*Pc/MaxiM</f>
        <v>9.3216296394340735E-4</v>
      </c>
      <c r="AE239" s="304">
        <f t="shared" si="92"/>
        <v>0.6</v>
      </c>
      <c r="AF239" s="177">
        <f t="shared" si="93"/>
        <v>0.46560773343745643</v>
      </c>
      <c r="AG239" s="799">
        <f t="shared" si="99"/>
        <v>2</v>
      </c>
      <c r="AH239" s="176">
        <f t="shared" si="94"/>
        <v>8</v>
      </c>
      <c r="AI239" s="224">
        <f t="shared" si="95"/>
        <v>2.4656077334374564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'2025'!Wh/'2025'!Env_an*'2026'!Env_an</f>
        <v>33.475805797679278</v>
      </c>
      <c r="C240" s="829"/>
      <c r="D240" s="391">
        <f t="shared" si="77"/>
        <v>35.298920926211245</v>
      </c>
      <c r="E240" s="383">
        <f t="shared" si="100"/>
        <v>37.135888555207686</v>
      </c>
      <c r="F240" s="383">
        <f t="shared" si="78"/>
        <v>37.136609727146734</v>
      </c>
      <c r="G240" s="110">
        <f t="shared" si="101"/>
        <v>0.64484054229658039</v>
      </c>
      <c r="H240" s="412" t="b">
        <f>Wh_hp&gt;='2025'!Maxi_hp</f>
        <v>0</v>
      </c>
      <c r="I240" s="388">
        <f>IF(H240,Wh_hp,'2025'!Maxi_hp)</f>
        <v>56.99494858795164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5.164789972880468E-2</v>
      </c>
      <c r="M240" s="832"/>
      <c r="N240" s="832"/>
      <c r="O240" s="48">
        <f>IF(t&lt;Tnet,'2025'!Resal+('2025'!Salim-'2025'!Resal)*(1-EXP(('2025'!Tnet-t)/('2025'!Tau_j))),Resal+(Salim-Resal)*(1-EXP((Tnet-t)/(Tau_j))))*Salcycl</f>
        <v>4.946610140391642E-2</v>
      </c>
      <c r="P240" s="169">
        <f>(INDEX(Models!$BJ240:$BT240,,T240)*(1-R240)+INDEX(Models!$BJ240:$BT240,,T240+1)*R240-ERP_i)*Q240*Ramure*Pc/MaxiM</f>
        <v>3.9418495553480264E-5</v>
      </c>
      <c r="Q240" s="304">
        <f t="shared" si="80"/>
        <v>0.6</v>
      </c>
      <c r="R240" s="177">
        <f t="shared" si="81"/>
        <v>0.94188811362442681</v>
      </c>
      <c r="S240" s="799">
        <f t="shared" si="82"/>
        <v>-2</v>
      </c>
      <c r="T240" s="176">
        <f t="shared" si="83"/>
        <v>4</v>
      </c>
      <c r="U240" s="250">
        <f t="shared" si="84"/>
        <v>-1.0581118863755732</v>
      </c>
      <c r="V240" s="382">
        <f t="shared" si="85"/>
        <v>51.912269940029404</v>
      </c>
      <c r="W240" s="400">
        <f t="shared" si="86"/>
        <v>33.475805797679278</v>
      </c>
      <c r="X240" s="157">
        <f t="shared" si="87"/>
        <v>46248</v>
      </c>
      <c r="Y240" s="383">
        <f t="shared" si="88"/>
        <v>32.233920679002019</v>
      </c>
      <c r="Z240" s="383">
        <f t="shared" si="89"/>
        <v>33.989401900184809</v>
      </c>
      <c r="AA240" s="384">
        <f t="shared" si="90"/>
        <v>37.119084490958286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8.4314649288718999E-2</v>
      </c>
      <c r="AD240" s="230">
        <f>(INDEX(Models!$BJ240:$BT240,,AH240)*(1-AF240)+INDEX(Models!$BJ240:$BT240,,AH240+1)*AF240-ERP_i)*AE240*Ramure*Pc/MaxiM</f>
        <v>9.5791087723304756E-4</v>
      </c>
      <c r="AE240" s="304">
        <f t="shared" si="92"/>
        <v>0.6</v>
      </c>
      <c r="AF240" s="177">
        <f t="shared" si="93"/>
        <v>0.46687567999840551</v>
      </c>
      <c r="AG240" s="799">
        <f t="shared" si="99"/>
        <v>2</v>
      </c>
      <c r="AH240" s="176">
        <f t="shared" si="94"/>
        <v>8</v>
      </c>
      <c r="AI240" s="224">
        <f t="shared" si="95"/>
        <v>2.4668756799984055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'2025'!Wh/'2025'!Env_an*'2026'!Env_an</f>
        <v>37.922633205723173</v>
      </c>
      <c r="C241" s="829"/>
      <c r="D241" s="391">
        <f t="shared" si="77"/>
        <v>39.988691950406483</v>
      </c>
      <c r="E241" s="383">
        <f t="shared" si="100"/>
        <v>42.072617578766867</v>
      </c>
      <c r="F241" s="383">
        <f t="shared" si="78"/>
        <v>42.073672312471778</v>
      </c>
      <c r="G241" s="110">
        <f t="shared" si="101"/>
        <v>0.73270537916132272</v>
      </c>
      <c r="H241" s="412" t="b">
        <f>Wh_hp&gt;='2025'!Maxi_hp</f>
        <v>0</v>
      </c>
      <c r="I241" s="388">
        <f>IF(H241,Wh_hp,'2025'!Maxi_hp)</f>
        <v>50.673625731633024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5.1666074680452478E-2</v>
      </c>
      <c r="M241" s="832"/>
      <c r="N241" s="832"/>
      <c r="O241" s="48">
        <f>IF(t&lt;Tnet,'2025'!Resal+('2025'!Salim-'2025'!Resal)*(1-EXP(('2025'!Tnet-t)/('2025'!Tau_j))),Resal+(Salim-Resal)*(1-EXP((Tnet-t)/(Tau_j))))*Salcycl</f>
        <v>4.9531637161841141E-2</v>
      </c>
      <c r="P241" s="169">
        <f>(INDEX(Models!$BJ241:$BT241,,T241)*(1-R241)+INDEX(Models!$BJ241:$BT241,,T241+1)*R241-ERP_i)*Q241*Ramure*Pc/MaxiM</f>
        <v>4.0553352488815157E-5</v>
      </c>
      <c r="Q241" s="304">
        <f t="shared" si="80"/>
        <v>0.6</v>
      </c>
      <c r="R241" s="177">
        <f t="shared" si="81"/>
        <v>0.94311149814746686</v>
      </c>
      <c r="S241" s="799">
        <f t="shared" si="82"/>
        <v>-2</v>
      </c>
      <c r="T241" s="176">
        <f t="shared" si="83"/>
        <v>4</v>
      </c>
      <c r="U241" s="250">
        <f t="shared" si="84"/>
        <v>-1.0568885018525331</v>
      </c>
      <c r="V241" s="382">
        <f t="shared" si="85"/>
        <v>51.756199766004528</v>
      </c>
      <c r="W241" s="400">
        <f t="shared" si="86"/>
        <v>37.922633205723173</v>
      </c>
      <c r="X241" s="157">
        <f t="shared" si="87"/>
        <v>46249</v>
      </c>
      <c r="Y241" s="383">
        <f t="shared" si="88"/>
        <v>36.512382707542962</v>
      </c>
      <c r="Z241" s="383">
        <f t="shared" si="89"/>
        <v>38.501609752324178</v>
      </c>
      <c r="AA241" s="384">
        <f t="shared" si="90"/>
        <v>42.048062666436806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8.4342837439296367E-2</v>
      </c>
      <c r="AD241" s="230">
        <f>(INDEX(Models!$BJ241:$BT241,,AH241)*(1-AF241)+INDEX(Models!$BJ241:$BT241,,AH241+1)*AF241-ERP_i)*AE241*Ramure*Pc/MaxiM</f>
        <v>9.846627617333477E-4</v>
      </c>
      <c r="AE241" s="304">
        <f t="shared" si="92"/>
        <v>0.6</v>
      </c>
      <c r="AF241" s="177">
        <f t="shared" si="93"/>
        <v>0.46809906452144556</v>
      </c>
      <c r="AG241" s="799">
        <f t="shared" si="99"/>
        <v>2</v>
      </c>
      <c r="AH241" s="176">
        <f t="shared" si="94"/>
        <v>8</v>
      </c>
      <c r="AI241" s="224">
        <f t="shared" si="95"/>
        <v>2.4680990645214456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'2025'!Wh/'2025'!Env_an*'2026'!Env_an</f>
        <v>35.076232713290374</v>
      </c>
      <c r="C242" s="829"/>
      <c r="D242" s="391">
        <f t="shared" si="77"/>
        <v>36.987925895777785</v>
      </c>
      <c r="E242" s="383">
        <f t="shared" si="100"/>
        <v>38.918148168465819</v>
      </c>
      <c r="F242" s="383">
        <f t="shared" si="78"/>
        <v>38.919029449657927</v>
      </c>
      <c r="G242" s="110">
        <f t="shared" si="101"/>
        <v>0.67979850141774389</v>
      </c>
      <c r="H242" s="412" t="b">
        <f>Wh_hp&gt;='2025'!Maxi_hp</f>
        <v>0</v>
      </c>
      <c r="I242" s="388">
        <f>IF(H242,Wh_hp,'2025'!Maxi_hp)</f>
        <v>55.891220971481495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5.1684249283781458E-2</v>
      </c>
      <c r="M242" s="832"/>
      <c r="N242" s="832"/>
      <c r="O242" s="48">
        <f>IF(t&lt;Tnet,'2025'!Resal+('2025'!Salim-'2025'!Resal)*(1-EXP(('2025'!Tnet-t)/('2025'!Tau_j))),Resal+(Salim-Resal)*(1-EXP((Tnet-t)/(Tau_j))))*Salcycl</f>
        <v>4.9596971169662073E-2</v>
      </c>
      <c r="P242" s="169">
        <f>(INDEX(Models!$BJ242:$BT242,,T242)*(1-R242)+INDEX(Models!$BJ242:$BT242,,T242+1)*R242-ERP_i)*Q242*Ramure*Pc/MaxiM</f>
        <v>4.1733273762932559E-5</v>
      </c>
      <c r="Q242" s="304">
        <f t="shared" si="80"/>
        <v>0.6</v>
      </c>
      <c r="R242" s="177">
        <f t="shared" si="81"/>
        <v>0.94429164977548563</v>
      </c>
      <c r="S242" s="799">
        <f t="shared" si="82"/>
        <v>-2</v>
      </c>
      <c r="T242" s="176">
        <f t="shared" si="83"/>
        <v>4</v>
      </c>
      <c r="U242" s="250">
        <f t="shared" si="84"/>
        <v>-1.0557083502245144</v>
      </c>
      <c r="V242" s="382">
        <f t="shared" si="85"/>
        <v>51.596999763880852</v>
      </c>
      <c r="W242" s="400">
        <f t="shared" si="86"/>
        <v>35.076232713290374</v>
      </c>
      <c r="X242" s="157">
        <f t="shared" si="87"/>
        <v>46250</v>
      </c>
      <c r="Y242" s="383">
        <f t="shared" si="88"/>
        <v>33.775047850334232</v>
      </c>
      <c r="Z242" s="383">
        <f t="shared" si="89"/>
        <v>35.615825029612253</v>
      </c>
      <c r="AA242" s="384">
        <f t="shared" si="90"/>
        <v>38.897649913599288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8.4370775388146413E-2</v>
      </c>
      <c r="AD242" s="230">
        <f>(INDEX(Models!$BJ242:$BT242,,AH242)*(1-AF242)+INDEX(Models!$BJ242:$BT242,,AH242+1)*AF242-ERP_i)*AE242*Ramure*Pc/MaxiM</f>
        <v>1.0124328525871658E-3</v>
      </c>
      <c r="AE242" s="304">
        <f t="shared" si="92"/>
        <v>0.6</v>
      </c>
      <c r="AF242" s="177">
        <f t="shared" si="93"/>
        <v>0.46927921614946433</v>
      </c>
      <c r="AG242" s="799">
        <f t="shared" si="99"/>
        <v>2</v>
      </c>
      <c r="AH242" s="176">
        <f t="shared" si="94"/>
        <v>8</v>
      </c>
      <c r="AI242" s="224">
        <f t="shared" si="95"/>
        <v>2.4692792161494643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'2025'!Wh/'2025'!Env_an*'2026'!Env_an</f>
        <v>28.142446698923322</v>
      </c>
      <c r="C243" s="829"/>
      <c r="D243" s="391">
        <f t="shared" si="77"/>
        <v>29.676809682403249</v>
      </c>
      <c r="E243" s="383">
        <f t="shared" si="100"/>
        <v>31.22763981339083</v>
      </c>
      <c r="F243" s="383">
        <f t="shared" si="78"/>
        <v>31.22811347168857</v>
      </c>
      <c r="G243" s="110">
        <f t="shared" si="101"/>
        <v>0.54713624705969965</v>
      </c>
      <c r="H243" s="412" t="b">
        <f>Wh_hp&gt;='2025'!Maxi_hp</f>
        <v>0</v>
      </c>
      <c r="I243" s="388">
        <f>IF(H243,Wh_hp,'2025'!Maxi_hp)</f>
        <v>54.973908818601828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5.1702423538798392E-2</v>
      </c>
      <c r="M243" s="832"/>
      <c r="N243" s="832"/>
      <c r="O243" s="48">
        <f>IF(t&lt;Tnet,'2025'!Resal+('2025'!Salim-'2025'!Resal)*(1-EXP(('2025'!Tnet-t)/('2025'!Tau_j))),Resal+(Salim-Resal)*(1-EXP((Tnet-t)/(Tau_j))))*Salcycl</f>
        <v>4.9662098713030602E-2</v>
      </c>
      <c r="P243" s="169">
        <f>(INDEX(Models!$BJ243:$BT243,,T243)*(1-R243)+INDEX(Models!$BJ243:$BT243,,T243+1)*R243-ERP_i)*Q243*Ramure*Pc/MaxiM</f>
        <v>4.2959010798886992E-5</v>
      </c>
      <c r="Q243" s="304">
        <f t="shared" si="80"/>
        <v>0.6</v>
      </c>
      <c r="R243" s="177">
        <f t="shared" si="81"/>
        <v>0.94542987581033833</v>
      </c>
      <c r="S243" s="799">
        <f t="shared" si="82"/>
        <v>-2</v>
      </c>
      <c r="T243" s="176">
        <f t="shared" si="83"/>
        <v>4</v>
      </c>
      <c r="U243" s="250">
        <f t="shared" si="84"/>
        <v>-1.0545701241896617</v>
      </c>
      <c r="V243" s="382">
        <f t="shared" si="85"/>
        <v>51.434473081406516</v>
      </c>
      <c r="W243" s="400">
        <f t="shared" si="86"/>
        <v>28.142446698923322</v>
      </c>
      <c r="X243" s="157">
        <f t="shared" si="87"/>
        <v>46251</v>
      </c>
      <c r="Y243" s="383">
        <f t="shared" si="88"/>
        <v>27.104238842469822</v>
      </c>
      <c r="Z243" s="383">
        <f t="shared" si="89"/>
        <v>28.581997376409785</v>
      </c>
      <c r="AA243" s="384">
        <f t="shared" si="90"/>
        <v>31.216632991732912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8.4398455657304805E-2</v>
      </c>
      <c r="AD243" s="230">
        <f>(INDEX(Models!$BJ243:$BT243,,AH243)*(1-AF243)+INDEX(Models!$BJ243:$BT243,,AH243+1)*AF243-ERP_i)*AE243*Ramure*Pc/MaxiM</f>
        <v>1.041235981182018E-3</v>
      </c>
      <c r="AE243" s="304">
        <f t="shared" si="92"/>
        <v>0.6</v>
      </c>
      <c r="AF243" s="177">
        <f t="shared" si="93"/>
        <v>0.47041744218431703</v>
      </c>
      <c r="AG243" s="799">
        <f t="shared" si="99"/>
        <v>2</v>
      </c>
      <c r="AH243" s="176">
        <f t="shared" si="94"/>
        <v>8</v>
      </c>
      <c r="AI243" s="224">
        <f t="shared" si="95"/>
        <v>2.470417442184317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'2025'!Wh/'2025'!Env_an*'2026'!Env_an</f>
        <v>35.706628978520122</v>
      </c>
      <c r="C244" s="829"/>
      <c r="D244" s="391">
        <f t="shared" si="77"/>
        <v>37.654122700897055</v>
      </c>
      <c r="E244" s="383">
        <f t="shared" si="100"/>
        <v>39.624532403638348</v>
      </c>
      <c r="F244" s="383">
        <f t="shared" si="78"/>
        <v>39.625525088004785</v>
      </c>
      <c r="G244" s="110">
        <f t="shared" si="101"/>
        <v>0.69645099386433518</v>
      </c>
      <c r="H244" s="412" t="b">
        <f>Wh_hp&gt;='2025'!Maxi_hp</f>
        <v>0</v>
      </c>
      <c r="I244" s="388">
        <f>IF(H244,Wh_hp,'2025'!Maxi_hp)</f>
        <v>54.287330596628593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5.1720597445509831E-2</v>
      </c>
      <c r="M244" s="832"/>
      <c r="N244" s="832"/>
      <c r="O244" s="48">
        <f>IF(t&lt;Tnet,'2025'!Resal+('2025'!Salim-'2025'!Resal)*(1-EXP(('2025'!Tnet-t)/('2025'!Tau_j))),Resal+(Salim-Resal)*(1-EXP((Tnet-t)/(Tau_j))))*Salcycl</f>
        <v>4.9727014635013465E-2</v>
      </c>
      <c r="P244" s="169">
        <f>(INDEX(Models!$BJ244:$BT244,,T244)*(1-R244)+INDEX(Models!$BJ244:$BT244,,T244+1)*R244-ERP_i)*Q244*Ramure*Pc/MaxiM</f>
        <v>4.423133504851716E-5</v>
      </c>
      <c r="Q244" s="304">
        <f t="shared" si="80"/>
        <v>0.6</v>
      </c>
      <c r="R244" s="177">
        <f t="shared" si="81"/>
        <v>0.94652746061515192</v>
      </c>
      <c r="S244" s="799">
        <f t="shared" si="82"/>
        <v>-2</v>
      </c>
      <c r="T244" s="176">
        <f t="shared" si="83"/>
        <v>4</v>
      </c>
      <c r="U244" s="250">
        <f t="shared" si="84"/>
        <v>-1.0534725393848481</v>
      </c>
      <c r="V244" s="382">
        <f t="shared" si="85"/>
        <v>51.268422952445327</v>
      </c>
      <c r="W244" s="400">
        <f t="shared" si="86"/>
        <v>35.706628978520122</v>
      </c>
      <c r="X244" s="157">
        <f t="shared" si="87"/>
        <v>46252</v>
      </c>
      <c r="Y244" s="383">
        <f t="shared" si="88"/>
        <v>34.382806266976161</v>
      </c>
      <c r="Z244" s="383">
        <f t="shared" si="89"/>
        <v>36.258096690021112</v>
      </c>
      <c r="AA244" s="384">
        <f t="shared" si="90"/>
        <v>39.601486656020825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8.4425870044739726E-2</v>
      </c>
      <c r="AD244" s="230">
        <f>(INDEX(Models!$BJ244:$BT244,,AH244)*(1-AF244)+INDEX(Models!$BJ244:$BT244,,AH244+1)*AF244-ERP_i)*AE244*Ramure*Pc/MaxiM</f>
        <v>1.0710876236968102E-3</v>
      </c>
      <c r="AE244" s="304">
        <f t="shared" si="92"/>
        <v>0.6</v>
      </c>
      <c r="AF244" s="177">
        <f t="shared" si="93"/>
        <v>0.47151502698913061</v>
      </c>
      <c r="AG244" s="799">
        <f t="shared" si="99"/>
        <v>2</v>
      </c>
      <c r="AH244" s="176">
        <f t="shared" si="94"/>
        <v>8</v>
      </c>
      <c r="AI244" s="224">
        <f t="shared" si="95"/>
        <v>2.4715150269891306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'2025'!Wh/'2025'!Env_an*'2026'!Env_an</f>
        <v>40.674095830625753</v>
      </c>
      <c r="C245" s="829"/>
      <c r="D245" s="391">
        <f t="shared" si="77"/>
        <v>42.893344773451659</v>
      </c>
      <c r="E245" s="383">
        <f t="shared" si="100"/>
        <v>45.14099211420686</v>
      </c>
      <c r="F245" s="383">
        <f t="shared" si="78"/>
        <v>45.142449114568812</v>
      </c>
      <c r="G245" s="110">
        <f t="shared" si="101"/>
        <v>0.79598098383977212</v>
      </c>
      <c r="H245" s="412" t="b">
        <f>Wh_hp&gt;='2025'!Maxi_hp</f>
        <v>0</v>
      </c>
      <c r="I245" s="388">
        <f>IF(H245,Wh_hp,'2025'!Maxi_hp)</f>
        <v>46.197672752985881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5.1738771003922435E-2</v>
      </c>
      <c r="M245" s="832"/>
      <c r="N245" s="832"/>
      <c r="O245" s="48">
        <f>IF(t&lt;Tnet,'2025'!Resal+('2025'!Salim-'2025'!Resal)*(1-EXP(('2025'!Tnet-t)/('2025'!Tau_j))),Resal+(Salim-Resal)*(1-EXP((Tnet-t)/(Tau_j))))*Salcycl</f>
        <v>4.9791713373703625E-2</v>
      </c>
      <c r="P245" s="169">
        <f>(INDEX(Models!$BJ245:$BT245,,T245)*(1-R245)+INDEX(Models!$BJ245:$BT245,,T245+1)*R245-ERP_i)*Q245*Ramure*Pc/MaxiM</f>
        <v>4.5551040699317009E-5</v>
      </c>
      <c r="Q245" s="304">
        <f t="shared" si="80"/>
        <v>0.6</v>
      </c>
      <c r="R245" s="177">
        <f t="shared" si="81"/>
        <v>0.94758566466459127</v>
      </c>
      <c r="S245" s="799">
        <f t="shared" si="82"/>
        <v>-2</v>
      </c>
      <c r="T245" s="176">
        <f t="shared" si="83"/>
        <v>4</v>
      </c>
      <c r="U245" s="250">
        <f t="shared" si="84"/>
        <v>-1.0524143353354087</v>
      </c>
      <c r="V245" s="382">
        <f t="shared" si="85"/>
        <v>51.098652697834567</v>
      </c>
      <c r="W245" s="400">
        <f t="shared" si="86"/>
        <v>40.674095830625753</v>
      </c>
      <c r="X245" s="157">
        <f t="shared" si="87"/>
        <v>46253</v>
      </c>
      <c r="Y245" s="383">
        <f t="shared" si="88"/>
        <v>39.161066052516979</v>
      </c>
      <c r="Z245" s="383">
        <f t="shared" si="89"/>
        <v>41.297761476525544</v>
      </c>
      <c r="AA245" s="384">
        <f t="shared" si="90"/>
        <v>45.107200300678031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8.4453009691564121E-2</v>
      </c>
      <c r="AD245" s="230">
        <f>(INDEX(Models!$BJ245:$BT245,,AH245)*(1-AF245)+INDEX(Models!$BJ245:$BT245,,AH245+1)*AF245-ERP_i)*AE245*Ramure*Pc/MaxiM</f>
        <v>1.1020039514519611E-3</v>
      </c>
      <c r="AE245" s="304">
        <f t="shared" si="92"/>
        <v>0.6</v>
      </c>
      <c r="AF245" s="177">
        <f t="shared" si="93"/>
        <v>0.47257323103857019</v>
      </c>
      <c r="AG245" s="799">
        <f t="shared" si="99"/>
        <v>2</v>
      </c>
      <c r="AH245" s="176">
        <f t="shared" si="94"/>
        <v>8</v>
      </c>
      <c r="AI245" s="224">
        <f t="shared" si="95"/>
        <v>2.4725732310385702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'2025'!Wh/'2025'!Env_an*'2026'!Env_an</f>
        <v>48.84676688254266</v>
      </c>
      <c r="C246" s="829"/>
      <c r="D246" s="391">
        <f t="shared" si="77"/>
        <v>51.51291811154443</v>
      </c>
      <c r="E246" s="383">
        <f t="shared" si="100"/>
        <v>54.2159171221493</v>
      </c>
      <c r="F246" s="383">
        <f t="shared" si="78"/>
        <v>54.218312684414222</v>
      </c>
      <c r="G246" s="110">
        <f t="shared" si="101"/>
        <v>0.95918833874899601</v>
      </c>
      <c r="H246" s="412" t="b">
        <f>Wh_hp&gt;='2025'!Maxi_hp</f>
        <v>1</v>
      </c>
      <c r="I246" s="388">
        <f>IF(H246,Wh_hp,'2025'!Maxi_hp)</f>
        <v>54.218312684414222</v>
      </c>
      <c r="J246" s="85">
        <f>IF(H246,An,'2025'!An_max)</f>
        <v>2026</v>
      </c>
      <c r="K246" s="197">
        <f t="shared" si="79"/>
        <v>46254</v>
      </c>
      <c r="L246" s="147">
        <f>IF(t&lt;Tvie,1-EXP((T0-t)*PertePVj)+'2025'!Pspv,1-EXP((T0-t)*PertePVj)+Pspv)</f>
        <v>5.1756944214042977E-2</v>
      </c>
      <c r="M246" s="832"/>
      <c r="N246" s="832"/>
      <c r="O246" s="48">
        <f>IF(t&lt;Tnet,'2025'!Resal+('2025'!Salim-'2025'!Resal)*(1-EXP(('2025'!Tnet-t)/('2025'!Tau_j))),Resal+(Salim-Resal)*(1-EXP((Tnet-t)/(Tau_j))))*Salcycl</f>
        <v>4.9856188995474761E-2</v>
      </c>
      <c r="P246" s="169">
        <f>(INDEX(Models!$BJ246:$BT246,,T246)*(1-R246)+INDEX(Models!$BJ246:$BT246,,T246+1)*R246-ERP_i)*Q246*Ramure*Pc/MaxiM</f>
        <v>4.6918947461780507E-5</v>
      </c>
      <c r="Q246" s="304">
        <f t="shared" si="80"/>
        <v>0.6</v>
      </c>
      <c r="R246" s="177">
        <f t="shared" si="81"/>
        <v>0.94860572373387653</v>
      </c>
      <c r="S246" s="799">
        <f t="shared" si="82"/>
        <v>-2</v>
      </c>
      <c r="T246" s="176">
        <f t="shared" si="83"/>
        <v>4</v>
      </c>
      <c r="U246" s="250">
        <f t="shared" si="84"/>
        <v>-1.0513942762661235</v>
      </c>
      <c r="V246" s="382">
        <f t="shared" si="85"/>
        <v>50.924965715586701</v>
      </c>
      <c r="W246" s="400">
        <f t="shared" si="86"/>
        <v>48.84676688254266</v>
      </c>
      <c r="X246" s="157">
        <f t="shared" si="87"/>
        <v>46254</v>
      </c>
      <c r="Y246" s="383">
        <f t="shared" si="88"/>
        <v>47.018583566972225</v>
      </c>
      <c r="Z246" s="383">
        <f t="shared" si="89"/>
        <v>49.584949006560969</v>
      </c>
      <c r="AA246" s="384">
        <f t="shared" si="90"/>
        <v>54.16041342905276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8.4479865141454349E-2</v>
      </c>
      <c r="AD246" s="230">
        <f>(INDEX(Models!$BJ246:$BT246,,AH246)*(1-AF246)+INDEX(Models!$BJ246:$BT246,,AH246+1)*AF246-ERP_i)*AE246*Ramure*Pc/MaxiM</f>
        <v>1.1340018834647381E-3</v>
      </c>
      <c r="AE246" s="304">
        <f t="shared" si="92"/>
        <v>0.6</v>
      </c>
      <c r="AF246" s="177">
        <f t="shared" si="93"/>
        <v>0.47359329010785522</v>
      </c>
      <c r="AG246" s="799">
        <f t="shared" si="99"/>
        <v>2</v>
      </c>
      <c r="AH246" s="176">
        <f t="shared" si="94"/>
        <v>8</v>
      </c>
      <c r="AI246" s="224">
        <f t="shared" si="95"/>
        <v>2.4735932901078552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'2025'!Wh/'2025'!Env_an*'2026'!Env_an</f>
        <v>32.99667849620031</v>
      </c>
      <c r="C247" s="829"/>
      <c r="D247" s="391">
        <f t="shared" si="77"/>
        <v>34.798368077460317</v>
      </c>
      <c r="E247" s="383">
        <f t="shared" si="100"/>
        <v>36.626793552440475</v>
      </c>
      <c r="F247" s="383">
        <f t="shared" si="78"/>
        <v>36.627679293044864</v>
      </c>
      <c r="G247" s="110">
        <f t="shared" si="101"/>
        <v>0.65019513316913491</v>
      </c>
      <c r="H247" s="412" t="b">
        <f>Wh_hp&gt;='2025'!Maxi_hp</f>
        <v>0</v>
      </c>
      <c r="I247" s="388">
        <f>IF(H247,Wh_hp,'2025'!Maxi_hp)</f>
        <v>54.553633144965026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5.1775117075878119E-2</v>
      </c>
      <c r="M247" s="832"/>
      <c r="N247" s="832"/>
      <c r="O247" s="48">
        <f>IF(t&lt;Tnet,'2025'!Resal+('2025'!Salim-'2025'!Resal)*(1-EXP(('2025'!Tnet-t)/('2025'!Tau_j))),Resal+(Salim-Resal)*(1-EXP((Tnet-t)/(Tau_j))))*Salcycl</f>
        <v>4.992043522352866E-2</v>
      </c>
      <c r="P247" s="169">
        <f>(INDEX(Models!$BJ247:$BT247,,T247)*(1-R247)+INDEX(Models!$BJ247:$BT247,,T247+1)*R247-ERP_i)*Q247*Ramure*Pc/MaxiM</f>
        <v>4.8335432499662437E-5</v>
      </c>
      <c r="Q247" s="304">
        <f t="shared" si="80"/>
        <v>0.6</v>
      </c>
      <c r="R247" s="177">
        <f t="shared" si="81"/>
        <v>0.94958884821754075</v>
      </c>
      <c r="S247" s="799">
        <f t="shared" si="82"/>
        <v>-2</v>
      </c>
      <c r="T247" s="176">
        <f t="shared" si="83"/>
        <v>4</v>
      </c>
      <c r="U247" s="250">
        <f t="shared" si="84"/>
        <v>-1.0504111517824593</v>
      </c>
      <c r="V247" s="382">
        <f t="shared" si="85"/>
        <v>50.747659924983324</v>
      </c>
      <c r="W247" s="400">
        <f t="shared" si="86"/>
        <v>32.99667849620031</v>
      </c>
      <c r="X247" s="157">
        <f t="shared" si="87"/>
        <v>46255</v>
      </c>
      <c r="Y247" s="383">
        <f t="shared" si="88"/>
        <v>31.777695123082776</v>
      </c>
      <c r="Z247" s="383">
        <f t="shared" si="89"/>
        <v>33.51282559163306</v>
      </c>
      <c r="AA247" s="384">
        <f t="shared" si="90"/>
        <v>36.606292559267168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8.450642639173718E-2</v>
      </c>
      <c r="AD247" s="230">
        <f>(INDEX(Models!$BJ247:$BT247,,AH247)*(1-AF247)+INDEX(Models!$BJ247:$BT247,,AH247+1)*AF247-ERP_i)*AE247*Ramure*Pc/MaxiM</f>
        <v>1.1670877701403515E-3</v>
      </c>
      <c r="AE247" s="304">
        <f t="shared" si="92"/>
        <v>0.6</v>
      </c>
      <c r="AF247" s="177">
        <f t="shared" si="93"/>
        <v>0.47457641459151922</v>
      </c>
      <c r="AG247" s="799">
        <f t="shared" si="99"/>
        <v>2</v>
      </c>
      <c r="AH247" s="176">
        <f t="shared" si="94"/>
        <v>8</v>
      </c>
      <c r="AI247" s="224">
        <f t="shared" si="95"/>
        <v>2.4745764145915192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'2025'!Wh/'2025'!Env_an*'2026'!Env_an</f>
        <v>26.29830279807026</v>
      </c>
      <c r="C248" s="829"/>
      <c r="D248" s="391">
        <f t="shared" si="77"/>
        <v>27.734778196922186</v>
      </c>
      <c r="E248" s="383">
        <f t="shared" si="100"/>
        <v>29.194025365610223</v>
      </c>
      <c r="F248" s="383">
        <f t="shared" si="78"/>
        <v>29.194482565235013</v>
      </c>
      <c r="G248" s="110">
        <f t="shared" si="101"/>
        <v>0.52004902708637868</v>
      </c>
      <c r="H248" s="412" t="b">
        <f>Wh_hp&gt;='2025'!Maxi_hp</f>
        <v>0</v>
      </c>
      <c r="I248" s="388">
        <f>IF(H248,Wh_hp,'2025'!Maxi_hp)</f>
        <v>56.59830554422004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5.1793289589434521E-2</v>
      </c>
      <c r="M248" s="832"/>
      <c r="N248" s="832"/>
      <c r="O248" s="48">
        <f>IF(t&lt;Tnet,'2025'!Resal+('2025'!Salim-'2025'!Resal)*(1-EXP(('2025'!Tnet-t)/('2025'!Tau_j))),Resal+(Salim-Resal)*(1-EXP((Tnet-t)/(Tau_j))))*Salcycl</f>
        <v>4.9984445461467332E-2</v>
      </c>
      <c r="P248" s="169">
        <f>(INDEX(Models!$BJ248:$BT248,,T248)*(1-R248)+INDEX(Models!$BJ248:$BT248,,T248+1)*R248-ERP_i)*Q248*Ramure*Pc/MaxiM</f>
        <v>4.9813678753040724E-5</v>
      </c>
      <c r="Q248" s="304">
        <f t="shared" si="80"/>
        <v>0.6</v>
      </c>
      <c r="R248" s="177">
        <f t="shared" si="81"/>
        <v>0.95053622256915915</v>
      </c>
      <c r="S248" s="799">
        <f t="shared" si="82"/>
        <v>-2</v>
      </c>
      <c r="T248" s="176">
        <f t="shared" si="83"/>
        <v>4</v>
      </c>
      <c r="U248" s="250">
        <f t="shared" si="84"/>
        <v>-1.0494637774308408</v>
      </c>
      <c r="V248" s="382">
        <f t="shared" si="85"/>
        <v>50.567164331002637</v>
      </c>
      <c r="W248" s="400">
        <f t="shared" si="86"/>
        <v>26.29830279807026</v>
      </c>
      <c r="X248" s="157">
        <f t="shared" si="87"/>
        <v>46256</v>
      </c>
      <c r="Y248" s="383">
        <f t="shared" si="88"/>
        <v>25.332763402544686</v>
      </c>
      <c r="Z248" s="383">
        <f t="shared" si="89"/>
        <v>26.716498759617313</v>
      </c>
      <c r="AA248" s="384">
        <f t="shared" si="90"/>
        <v>29.183454462681041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8.4532682935750503E-2</v>
      </c>
      <c r="AD248" s="230">
        <f>(INDEX(Models!$BJ248:$BT248,,AH248)*(1-AF248)+INDEX(Models!$BJ248:$BT248,,AH248+1)*AF248-ERP_i)*AE248*Ramure*Pc/MaxiM</f>
        <v>1.2015546997293715E-3</v>
      </c>
      <c r="AE248" s="304">
        <f t="shared" si="92"/>
        <v>0.6</v>
      </c>
      <c r="AF248" s="177">
        <f t="shared" si="93"/>
        <v>0.47552378894313785</v>
      </c>
      <c r="AG248" s="799">
        <f t="shared" si="99"/>
        <v>2</v>
      </c>
      <c r="AH248" s="176">
        <f t="shared" si="94"/>
        <v>8</v>
      </c>
      <c r="AI248" s="224">
        <f t="shared" si="95"/>
        <v>2.4755237889431378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'2025'!Wh/'2025'!Env_an*'2026'!Env_an</f>
        <v>47.694380200220856</v>
      </c>
      <c r="C249" s="829"/>
      <c r="D249" s="391">
        <f t="shared" si="77"/>
        <v>50.300523868896512</v>
      </c>
      <c r="E249" s="383">
        <f t="shared" si="100"/>
        <v>52.950607122681618</v>
      </c>
      <c r="F249" s="383">
        <f t="shared" si="78"/>
        <v>52.953118687321336</v>
      </c>
      <c r="G249" s="110">
        <f t="shared" si="101"/>
        <v>0.94662363542009687</v>
      </c>
      <c r="H249" s="412" t="b">
        <f>Wh_hp&gt;='2025'!Maxi_hp</f>
        <v>0</v>
      </c>
      <c r="I249" s="388">
        <f>IF(H249,Wh_hp,'2025'!Maxi_hp)</f>
        <v>53.920594526150673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5.1811461754718846E-2</v>
      </c>
      <c r="M249" s="832"/>
      <c r="N249" s="832"/>
      <c r="O249" s="48">
        <f>IF(t&lt;Tnet,'2025'!Resal+('2025'!Salim-'2025'!Resal)*(1-EXP(('2025'!Tnet-t)/('2025'!Tau_j))),Resal+(Salim-Resal)*(1-EXP((Tnet-t)/(Tau_j))))*Salcycl</f>
        <v>5.0048212811707911E-2</v>
      </c>
      <c r="P249" s="169">
        <f>(INDEX(Models!$BJ249:$BT249,,T249)*(1-R249)+INDEX(Models!$BJ249:$BT249,,T249+1)*R249-ERP_i)*Q249*Ramure*Pc/MaxiM</f>
        <v>5.1344838584536516E-5</v>
      </c>
      <c r="Q249" s="304">
        <f t="shared" si="80"/>
        <v>0.6</v>
      </c>
      <c r="R249" s="177">
        <f t="shared" si="81"/>
        <v>0.95144900485354533</v>
      </c>
      <c r="S249" s="799">
        <f t="shared" si="82"/>
        <v>-2</v>
      </c>
      <c r="T249" s="176">
        <f t="shared" si="83"/>
        <v>4</v>
      </c>
      <c r="U249" s="250">
        <f t="shared" si="84"/>
        <v>-1.0485509951464547</v>
      </c>
      <c r="V249" s="382">
        <f t="shared" si="85"/>
        <v>50.383480497817629</v>
      </c>
      <c r="W249" s="400">
        <f t="shared" si="86"/>
        <v>47.694380200220856</v>
      </c>
      <c r="X249" s="157">
        <f t="shared" si="87"/>
        <v>46257</v>
      </c>
      <c r="Y249" s="383">
        <f t="shared" si="88"/>
        <v>45.911372258991364</v>
      </c>
      <c r="Z249" s="383">
        <f t="shared" si="89"/>
        <v>48.420087785447187</v>
      </c>
      <c r="AA249" s="384">
        <f t="shared" si="90"/>
        <v>52.892614474385894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8.4558623796231511E-2</v>
      </c>
      <c r="AD249" s="230">
        <f>(INDEX(Models!$BJ249:$BT249,,AH249)*(1-AF249)+INDEX(Models!$BJ249:$BT249,,AH249+1)*AF249-ERP_i)*AE249*Ramure*Pc/MaxiM</f>
        <v>1.2369098520215217E-3</v>
      </c>
      <c r="AE249" s="304">
        <f t="shared" si="92"/>
        <v>0.6</v>
      </c>
      <c r="AF249" s="177">
        <f t="shared" si="93"/>
        <v>0.47643657122752403</v>
      </c>
      <c r="AG249" s="799">
        <f t="shared" si="99"/>
        <v>2</v>
      </c>
      <c r="AH249" s="176">
        <f t="shared" si="94"/>
        <v>8</v>
      </c>
      <c r="AI249" s="224">
        <f t="shared" si="95"/>
        <v>2.476436571227524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'2025'!Wh/'2025'!Env_an*'2026'!Env_an</f>
        <v>45.470470831268933</v>
      </c>
      <c r="C250" s="829"/>
      <c r="D250" s="391">
        <f t="shared" si="77"/>
        <v>47.956013435175407</v>
      </c>
      <c r="E250" s="383">
        <f t="shared" si="100"/>
        <v>50.485951826366737</v>
      </c>
      <c r="F250" s="383">
        <f t="shared" si="78"/>
        <v>50.488264712855816</v>
      </c>
      <c r="G250" s="110">
        <f t="shared" si="101"/>
        <v>0.90584100291919678</v>
      </c>
      <c r="H250" s="412" t="b">
        <f>Wh_hp&gt;='2025'!Maxi_hp</f>
        <v>0</v>
      </c>
      <c r="I250" s="388">
        <f>IF(H250,Wh_hp,'2025'!Maxi_hp)</f>
        <v>53.710943273979339</v>
      </c>
      <c r="J250" s="85">
        <f>IF(H250,An,'2025'!An_max)</f>
        <v>2018</v>
      </c>
      <c r="K250" s="197">
        <f t="shared" si="79"/>
        <v>46258</v>
      </c>
      <c r="L250" s="147">
        <f>IF(t&lt;Tvie,1-EXP((T0-t)*PertePVj)+'2025'!Pspv,1-EXP((T0-t)*PertePVj)+Pspv)</f>
        <v>5.1829633571737754E-2</v>
      </c>
      <c r="M250" s="832"/>
      <c r="N250" s="832"/>
      <c r="O250" s="48">
        <f>IF(t&lt;Tnet,'2025'!Resal+('2025'!Salim-'2025'!Resal)*(1-EXP(('2025'!Tnet-t)/('2025'!Tau_j))),Resal+(Salim-Resal)*(1-EXP((Tnet-t)/(Tau_j))))*Salcycl</f>
        <v>5.0111730088647159E-2</v>
      </c>
      <c r="P250" s="169">
        <f>(INDEX(Models!$BJ250:$BT250,,T250)*(1-R250)+INDEX(Models!$BJ250:$BT250,,T250+1)*R250-ERP_i)*Q250*Ramure*Pc/MaxiM</f>
        <v>5.2929602095312695E-5</v>
      </c>
      <c r="Q250" s="304">
        <f t="shared" si="80"/>
        <v>0.6</v>
      </c>
      <c r="R250" s="177">
        <f t="shared" si="81"/>
        <v>0.95232832640320964</v>
      </c>
      <c r="S250" s="799">
        <f t="shared" si="82"/>
        <v>-2</v>
      </c>
      <c r="T250" s="176">
        <f t="shared" si="83"/>
        <v>4</v>
      </c>
      <c r="U250" s="250">
        <f t="shared" si="84"/>
        <v>-1.0476716735967904</v>
      </c>
      <c r="V250" s="382">
        <f t="shared" si="85"/>
        <v>50.196609510313216</v>
      </c>
      <c r="W250" s="400">
        <f t="shared" si="86"/>
        <v>45.470470831268933</v>
      </c>
      <c r="X250" s="157">
        <f t="shared" si="87"/>
        <v>46258</v>
      </c>
      <c r="Y250" s="383">
        <f t="shared" si="88"/>
        <v>43.774015481962898</v>
      </c>
      <c r="Z250" s="383">
        <f t="shared" si="89"/>
        <v>46.166825110616664</v>
      </c>
      <c r="AA250" s="384">
        <f t="shared" si="90"/>
        <v>50.432630728400838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8.458423754963694E-2</v>
      </c>
      <c r="AD250" s="230">
        <f>(INDEX(Models!$BJ250:$BT250,,AH250)*(1-AF250)+INDEX(Models!$BJ250:$BT250,,AH250+1)*AF250-ERP_i)*AE250*Ramure*Pc/MaxiM</f>
        <v>1.2731643658621715E-3</v>
      </c>
      <c r="AE250" s="304">
        <f t="shared" si="92"/>
        <v>0.6</v>
      </c>
      <c r="AF250" s="177">
        <f t="shared" si="93"/>
        <v>0.47731589277718856</v>
      </c>
      <c r="AG250" s="799">
        <f t="shared" si="99"/>
        <v>2</v>
      </c>
      <c r="AH250" s="176">
        <f t="shared" si="94"/>
        <v>8</v>
      </c>
      <c r="AI250" s="224">
        <f t="shared" si="95"/>
        <v>2.4773158927771886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'2025'!Wh/'2025'!Env_an*'2026'!Env_an</f>
        <v>31.880570046610824</v>
      </c>
      <c r="C251" s="829"/>
      <c r="D251" s="391">
        <f t="shared" si="77"/>
        <v>33.623895210169842</v>
      </c>
      <c r="E251" s="383">
        <f t="shared" si="100"/>
        <v>35.400094596404095</v>
      </c>
      <c r="F251" s="383">
        <f t="shared" si="78"/>
        <v>35.401026070753154</v>
      </c>
      <c r="G251" s="110">
        <f t="shared" si="101"/>
        <v>0.63750983859429744</v>
      </c>
      <c r="H251" s="412" t="b">
        <f>Wh_hp&gt;='2025'!Maxi_hp</f>
        <v>0</v>
      </c>
      <c r="I251" s="388">
        <f>IF(H251,Wh_hp,'2025'!Maxi_hp)</f>
        <v>50.59926404911738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5.1847805040497907E-2</v>
      </c>
      <c r="M251" s="832"/>
      <c r="N251" s="832"/>
      <c r="O251" s="48">
        <f>IF(t&lt;Tnet,'2025'!Resal+('2025'!Salim-'2025'!Resal)*(1-EXP(('2025'!Tnet-t)/('2025'!Tau_j))),Resal+(Salim-Resal)*(1-EXP((Tnet-t)/(Tau_j))))*Salcycl</f>
        <v>5.0174989826571779E-2</v>
      </c>
      <c r="P251" s="169">
        <f>(INDEX(Models!$BJ251:$BT251,,T251)*(1-R251)+INDEX(Models!$BJ251:$BT251,,T251+1)*R251-ERP_i)*Q251*Ramure*Pc/MaxiM</f>
        <v>5.4568683016115681E-5</v>
      </c>
      <c r="Q251" s="304">
        <f t="shared" si="80"/>
        <v>0.6</v>
      </c>
      <c r="R251" s="177">
        <f t="shared" si="81"/>
        <v>0.9531752915711742</v>
      </c>
      <c r="S251" s="799">
        <f t="shared" si="82"/>
        <v>-2</v>
      </c>
      <c r="T251" s="176">
        <f t="shared" si="83"/>
        <v>4</v>
      </c>
      <c r="U251" s="250">
        <f t="shared" si="84"/>
        <v>-1.0468247084288258</v>
      </c>
      <c r="V251" s="382">
        <f t="shared" si="85"/>
        <v>50.006552457820675</v>
      </c>
      <c r="W251" s="400">
        <f t="shared" si="86"/>
        <v>31.880570046610824</v>
      </c>
      <c r="X251" s="157">
        <f t="shared" si="87"/>
        <v>46259</v>
      </c>
      <c r="Y251" s="383">
        <f t="shared" si="88"/>
        <v>30.706181865689263</v>
      </c>
      <c r="Z251" s="383">
        <f t="shared" si="89"/>
        <v>32.385287962130171</v>
      </c>
      <c r="AA251" s="384">
        <f t="shared" si="90"/>
        <v>35.378659051797221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8.4609512341451712E-2</v>
      </c>
      <c r="AD251" s="230">
        <f>(INDEX(Models!$BJ251:$BT251,,AH251)*(1-AF251)+INDEX(Models!$BJ251:$BT251,,AH251+1)*AF251-ERP_i)*AE251*Ramure*Pc/MaxiM</f>
        <v>1.3103299824132881E-3</v>
      </c>
      <c r="AE251" s="304">
        <f t="shared" si="92"/>
        <v>0.6</v>
      </c>
      <c r="AF251" s="177">
        <f t="shared" si="93"/>
        <v>0.4781628579451529</v>
      </c>
      <c r="AG251" s="799">
        <f t="shared" si="99"/>
        <v>2</v>
      </c>
      <c r="AH251" s="176">
        <f t="shared" si="94"/>
        <v>8</v>
      </c>
      <c r="AI251" s="224">
        <f t="shared" si="95"/>
        <v>2.4781628579451529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'2025'!Wh/'2025'!Env_an*'2026'!Env_an</f>
        <v>42.338571112583153</v>
      </c>
      <c r="C252" s="829"/>
      <c r="D252" s="391">
        <f t="shared" si="77"/>
        <v>44.654626928326351</v>
      </c>
      <c r="E252" s="383">
        <f t="shared" si="100"/>
        <v>47.016648580736586</v>
      </c>
      <c r="F252" s="383">
        <f t="shared" si="78"/>
        <v>47.018726904124847</v>
      </c>
      <c r="G252" s="110">
        <f t="shared" si="101"/>
        <v>0.84993468782017512</v>
      </c>
      <c r="H252" s="412" t="b">
        <f>Wh_hp&gt;='2025'!Maxi_hp</f>
        <v>0</v>
      </c>
      <c r="I252" s="388">
        <f>IF(H252,Wh_hp,'2025'!Maxi_hp)</f>
        <v>53.844483293966427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5.1865976161006078E-2</v>
      </c>
      <c r="M252" s="832"/>
      <c r="N252" s="832"/>
      <c r="O252" s="48">
        <f>IF(t&lt;Tnet,'2025'!Resal+('2025'!Salim-'2025'!Resal)*(1-EXP(('2025'!Tnet-t)/('2025'!Tau_j))),Resal+(Salim-Resal)*(1-EXP((Tnet-t)/(Tau_j))))*Salcycl</f>
        <v>5.0237984282401303E-2</v>
      </c>
      <c r="P252" s="169">
        <f>(INDEX(Models!$BJ252:$BT252,,T252)*(1-R252)+INDEX(Models!$BJ252:$BT252,,T252+1)*R252-ERP_i)*Q252*Ramure*Pc/MaxiM</f>
        <v>5.6262767297792331E-5</v>
      </c>
      <c r="Q252" s="304">
        <f t="shared" si="80"/>
        <v>0.6</v>
      </c>
      <c r="R252" s="177">
        <f t="shared" si="81"/>
        <v>0.95399097757257789</v>
      </c>
      <c r="S252" s="799">
        <f t="shared" si="82"/>
        <v>-2</v>
      </c>
      <c r="T252" s="176">
        <f t="shared" si="83"/>
        <v>4</v>
      </c>
      <c r="U252" s="250">
        <f t="shared" si="84"/>
        <v>-1.0460090224274221</v>
      </c>
      <c r="V252" s="382">
        <f t="shared" si="85"/>
        <v>49.813310437301602</v>
      </c>
      <c r="W252" s="400">
        <f t="shared" si="86"/>
        <v>42.338571112583153</v>
      </c>
      <c r="X252" s="157">
        <f t="shared" si="87"/>
        <v>46260</v>
      </c>
      <c r="Y252" s="383">
        <f t="shared" si="88"/>
        <v>40.763817390947175</v>
      </c>
      <c r="Z252" s="383">
        <f t="shared" si="89"/>
        <v>42.993729120588362</v>
      </c>
      <c r="AA252" s="384">
        <f t="shared" si="90"/>
        <v>46.968916907549612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8.463443589269333E-2</v>
      </c>
      <c r="AD252" s="230">
        <f>(INDEX(Models!$BJ252:$BT252,,AH252)*(1-AF252)+INDEX(Models!$BJ252:$BT252,,AH252+1)*AF252-ERP_i)*AE252*Ramure*Pc/MaxiM</f>
        <v>1.3484177978453861E-3</v>
      </c>
      <c r="AE252" s="304">
        <f t="shared" si="92"/>
        <v>0.6</v>
      </c>
      <c r="AF252" s="177">
        <f t="shared" si="93"/>
        <v>0.47897854394655681</v>
      </c>
      <c r="AG252" s="799">
        <f t="shared" si="99"/>
        <v>2</v>
      </c>
      <c r="AH252" s="176">
        <f t="shared" si="94"/>
        <v>8</v>
      </c>
      <c r="AI252" s="224">
        <f t="shared" si="95"/>
        <v>2.4789785439465568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'2025'!Wh/'2025'!Env_an*'2026'!Env_an</f>
        <v>48.149989837074486</v>
      </c>
      <c r="C253" s="829"/>
      <c r="D253" s="391">
        <f t="shared" si="77"/>
        <v>50.784922202630383</v>
      </c>
      <c r="E253" s="383">
        <f t="shared" si="100"/>
        <v>53.474739312940571</v>
      </c>
      <c r="F253" s="383">
        <f t="shared" si="78"/>
        <v>53.47771066244259</v>
      </c>
      <c r="G253" s="110">
        <f t="shared" si="101"/>
        <v>0.97043319615757573</v>
      </c>
      <c r="H253" s="412" t="b">
        <f>Wh_hp&gt;='2025'!Maxi_hp</f>
        <v>1</v>
      </c>
      <c r="I253" s="388">
        <f>IF(H253,Wh_hp,'2025'!Maxi_hp)</f>
        <v>53.47771066244259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5.1884146933268815E-2</v>
      </c>
      <c r="M253" s="832"/>
      <c r="N253" s="832"/>
      <c r="O253" s="48">
        <f>IF(t&lt;Tnet,'2025'!Resal+('2025'!Salim-'2025'!Resal)*(1-EXP(('2025'!Tnet-t)/('2025'!Tau_j))),Resal+(Salim-Resal)*(1-EXP((Tnet-t)/(Tau_j))))*Salcycl</f>
        <v>5.0300705433439445E-2</v>
      </c>
      <c r="P253" s="169">
        <f>(INDEX(Models!$BJ253:$BT253,,T253)*(1-R253)+INDEX(Models!$BJ253:$BT253,,T253+1)*R253-ERP_i)*Q253*Ramure*Pc/MaxiM</f>
        <v>5.8012545324538618E-5</v>
      </c>
      <c r="Q253" s="304">
        <f t="shared" si="80"/>
        <v>0.6</v>
      </c>
      <c r="R253" s="177">
        <f t="shared" si="81"/>
        <v>0.95477643440782511</v>
      </c>
      <c r="S253" s="799">
        <f t="shared" si="82"/>
        <v>-2</v>
      </c>
      <c r="T253" s="176">
        <f t="shared" si="83"/>
        <v>4</v>
      </c>
      <c r="U253" s="250">
        <f t="shared" si="84"/>
        <v>-1.0452235655921749</v>
      </c>
      <c r="V253" s="382">
        <f t="shared" si="85"/>
        <v>49.616884548355955</v>
      </c>
      <c r="W253" s="400">
        <f t="shared" si="86"/>
        <v>48.149989837074486</v>
      </c>
      <c r="X253" s="157">
        <f t="shared" si="87"/>
        <v>46261</v>
      </c>
      <c r="Y253" s="383">
        <f t="shared" si="88"/>
        <v>46.348922404104556</v>
      </c>
      <c r="Z253" s="383">
        <f t="shared" si="89"/>
        <v>48.885294190774786</v>
      </c>
      <c r="AA253" s="384">
        <f t="shared" si="90"/>
        <v>53.406647304486903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8.4658995497967945E-2</v>
      </c>
      <c r="AD253" s="230">
        <f>(INDEX(Models!$BJ253:$BT253,,AH253)*(1-AF253)+INDEX(Models!$BJ253:$BT253,,AH253+1)*AF253-ERP_i)*AE253*Ramure*Pc/MaxiM</f>
        <v>1.3874390311595431E-3</v>
      </c>
      <c r="AE253" s="304">
        <f t="shared" si="92"/>
        <v>0.6</v>
      </c>
      <c r="AF253" s="177">
        <f t="shared" si="93"/>
        <v>0.47976400078180381</v>
      </c>
      <c r="AG253" s="799">
        <f t="shared" si="99"/>
        <v>2</v>
      </c>
      <c r="AH253" s="176">
        <f t="shared" si="94"/>
        <v>8</v>
      </c>
      <c r="AI253" s="224">
        <f t="shared" si="95"/>
        <v>2.4797640007818038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'2025'!Wh/'2025'!Env_an*'2026'!Env_an</f>
        <v>47.103743034577121</v>
      </c>
      <c r="C254" s="829"/>
      <c r="D254" s="391">
        <f t="shared" si="77"/>
        <v>49.682373342882933</v>
      </c>
      <c r="E254" s="383">
        <f t="shared" si="100"/>
        <v>52.317233771781346</v>
      </c>
      <c r="F254" s="383">
        <f t="shared" si="78"/>
        <v>52.320153710241442</v>
      </c>
      <c r="G254" s="110">
        <f t="shared" si="101"/>
        <v>0.9531799011846791</v>
      </c>
      <c r="H254" s="412" t="b">
        <f>Wh_hp&gt;='2025'!Maxi_hp</f>
        <v>0</v>
      </c>
      <c r="I254" s="388">
        <f>IF(H254,Wh_hp,'2025'!Maxi_hp)</f>
        <v>54.734917062438733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5.1902317357292782E-2</v>
      </c>
      <c r="M254" s="832"/>
      <c r="N254" s="832"/>
      <c r="O254" s="48">
        <f>IF(t&lt;Tnet,'2025'!Resal+('2025'!Salim-'2025'!Resal)*(1-EXP(('2025'!Tnet-t)/('2025'!Tau_j))),Resal+(Salim-Resal)*(1-EXP((Tnet-t)/(Tau_j))))*Salcycl</f>
        <v>5.0363144970397684E-2</v>
      </c>
      <c r="P254" s="169">
        <f>(INDEX(Models!$BJ254:$BT254,,T254)*(1-R254)+INDEX(Models!$BJ254:$BT254,,T254+1)*R254-ERP_i)*Q254*Ramure*Pc/MaxiM</f>
        <v>5.980911543166814E-5</v>
      </c>
      <c r="Q254" s="304">
        <f t="shared" si="80"/>
        <v>0.6</v>
      </c>
      <c r="R254" s="177">
        <f t="shared" si="81"/>
        <v>0.95553268486038512</v>
      </c>
      <c r="S254" s="799">
        <f t="shared" si="82"/>
        <v>-2</v>
      </c>
      <c r="T254" s="176">
        <f t="shared" si="83"/>
        <v>4</v>
      </c>
      <c r="U254" s="250">
        <f t="shared" si="84"/>
        <v>-1.0444673151396149</v>
      </c>
      <c r="V254" s="382">
        <f t="shared" si="85"/>
        <v>49.417276369141348</v>
      </c>
      <c r="W254" s="400">
        <f t="shared" si="86"/>
        <v>47.103743034577121</v>
      </c>
      <c r="X254" s="157">
        <f t="shared" si="87"/>
        <v>46262</v>
      </c>
      <c r="Y254" s="383">
        <f t="shared" si="88"/>
        <v>45.343441095904772</v>
      </c>
      <c r="Z254" s="383">
        <f t="shared" si="89"/>
        <v>47.825706070196723</v>
      </c>
      <c r="AA254" s="384">
        <f t="shared" si="90"/>
        <v>52.250439324943024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8.4683178015577842E-2</v>
      </c>
      <c r="AD254" s="230">
        <f>(INDEX(Models!$BJ254:$BT254,,AH254)*(1-AF254)+INDEX(Models!$BJ254:$BT254,,AH254+1)*AF254-ERP_i)*AE254*Ramure*Pc/MaxiM</f>
        <v>1.4279601349644481E-3</v>
      </c>
      <c r="AE254" s="304">
        <f t="shared" si="92"/>
        <v>0.6</v>
      </c>
      <c r="AF254" s="177">
        <f t="shared" si="93"/>
        <v>0.48052025123436382</v>
      </c>
      <c r="AG254" s="799">
        <f t="shared" si="99"/>
        <v>2</v>
      </c>
      <c r="AH254" s="176">
        <f t="shared" si="94"/>
        <v>8</v>
      </c>
      <c r="AI254" s="224">
        <f t="shared" si="95"/>
        <v>2.4805202512343638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'2025'!Wh/'2025'!Env_an*'2026'!Env_an</f>
        <v>32.232481700672054</v>
      </c>
      <c r="C255" s="829"/>
      <c r="D255" s="391">
        <f t="shared" si="77"/>
        <v>33.997656603086966</v>
      </c>
      <c r="E255" s="383">
        <f t="shared" si="100"/>
        <v>35.803035188816452</v>
      </c>
      <c r="F255" s="383">
        <f t="shared" si="78"/>
        <v>35.804153953518231</v>
      </c>
      <c r="G255" s="110">
        <f t="shared" si="101"/>
        <v>0.65491897931469134</v>
      </c>
      <c r="H255" s="412" t="b">
        <f>Wh_hp&gt;='2025'!Maxi_hp</f>
        <v>0</v>
      </c>
      <c r="I255" s="388">
        <f>IF(H255,Wh_hp,'2025'!Maxi_hp)</f>
        <v>54.247939934538053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5.1920487433084861E-2</v>
      </c>
      <c r="M255" s="832"/>
      <c r="N255" s="832"/>
      <c r="O255" s="48">
        <f>IF(t&lt;Tnet,'2025'!Resal+('2025'!Salim-'2025'!Resal)*(1-EXP(('2025'!Tnet-t)/('2025'!Tau_j))),Resal+(Salim-Resal)*(1-EXP((Tnet-t)/(Tau_j))))*Salcycl</f>
        <v>5.0425294286039167E-2</v>
      </c>
      <c r="P255" s="169">
        <f>(INDEX(Models!$BJ255:$BT255,,T255)*(1-R255)+INDEX(Models!$BJ255:$BT255,,T255+1)*R255-ERP_i)*Q255*Ramure*Pc/MaxiM</f>
        <v>6.1623989516873689E-5</v>
      </c>
      <c r="Q255" s="304">
        <f t="shared" si="80"/>
        <v>0.6</v>
      </c>
      <c r="R255" s="177">
        <f t="shared" si="81"/>
        <v>0.95626072456267952</v>
      </c>
      <c r="S255" s="799">
        <f t="shared" si="82"/>
        <v>-2</v>
      </c>
      <c r="T255" s="176">
        <f t="shared" si="83"/>
        <v>4</v>
      </c>
      <c r="U255" s="250">
        <f t="shared" si="84"/>
        <v>-1.0437392754373205</v>
      </c>
      <c r="V255" s="382">
        <f t="shared" si="85"/>
        <v>49.21448844117441</v>
      </c>
      <c r="W255" s="400">
        <f t="shared" si="86"/>
        <v>32.232481700672054</v>
      </c>
      <c r="X255" s="157">
        <f t="shared" si="87"/>
        <v>46263</v>
      </c>
      <c r="Y255" s="383">
        <f t="shared" si="88"/>
        <v>31.046638121654233</v>
      </c>
      <c r="Z255" s="383">
        <f t="shared" si="89"/>
        <v>32.746871660158327</v>
      </c>
      <c r="AA255" s="384">
        <f t="shared" si="90"/>
        <v>35.777472985676631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8.4706969850318697E-2</v>
      </c>
      <c r="AD255" s="230">
        <f>(INDEX(Models!$BJ255:$BT255,,AH255)*(1-AF255)+INDEX(Models!$BJ255:$BT255,,AH255+1)*AF255-ERP_i)*AE255*Ramure*Pc/MaxiM</f>
        <v>1.4696456546700676E-3</v>
      </c>
      <c r="AE255" s="304">
        <f t="shared" si="92"/>
        <v>0.6</v>
      </c>
      <c r="AF255" s="177">
        <f t="shared" si="93"/>
        <v>0.48124829093665822</v>
      </c>
      <c r="AG255" s="799">
        <f t="shared" si="99"/>
        <v>2</v>
      </c>
      <c r="AH255" s="176">
        <f t="shared" si="94"/>
        <v>8</v>
      </c>
      <c r="AI255" s="224">
        <f t="shared" si="95"/>
        <v>2.4812482909366582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'2025'!Wh/'2025'!Env_an*'2026'!Env_an</f>
        <v>46.79497910600594</v>
      </c>
      <c r="C256" s="829"/>
      <c r="D256" s="391">
        <f t="shared" si="77"/>
        <v>49.358598427671019</v>
      </c>
      <c r="E256" s="383">
        <f t="shared" si="100"/>
        <v>51.983075468307909</v>
      </c>
      <c r="F256" s="383">
        <f t="shared" si="78"/>
        <v>51.986161513934093</v>
      </c>
      <c r="G256" s="110">
        <f t="shared" si="101"/>
        <v>0.95482960308116149</v>
      </c>
      <c r="H256" s="412" t="b">
        <f>Wh_hp&gt;='2025'!Maxi_hp</f>
        <v>0</v>
      </c>
      <c r="I256" s="388">
        <f>IF(H256,Wh_hp,'2025'!Maxi_hp)</f>
        <v>52.905760781813107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5.1938657160651491E-2</v>
      </c>
      <c r="M256" s="832"/>
      <c r="N256" s="832"/>
      <c r="O256" s="48">
        <f>IF(t&lt;Tnet,'2025'!Resal+('2025'!Salim-'2025'!Resal)*(1-EXP(('2025'!Tnet-t)/('2025'!Tau_j))),Resal+(Salim-Resal)*(1-EXP((Tnet-t)/(Tau_j))))*Salcycl</f>
        <v>5.0487144459871972E-2</v>
      </c>
      <c r="P256" s="169">
        <f>(INDEX(Models!$BJ256:$BT256,,T256)*(1-R256)+INDEX(Models!$BJ256:$BT256,,T256+1)*R256-ERP_i)*Q256*Ramure*Pc/MaxiM</f>
        <v>6.3457321007648888E-5</v>
      </c>
      <c r="Q256" s="304">
        <f t="shared" si="80"/>
        <v>0.6</v>
      </c>
      <c r="R256" s="177">
        <f t="shared" si="81"/>
        <v>0.95696152212385432</v>
      </c>
      <c r="S256" s="799">
        <f t="shared" si="82"/>
        <v>-2</v>
      </c>
      <c r="T256" s="176">
        <f t="shared" si="83"/>
        <v>4</v>
      </c>
      <c r="U256" s="250">
        <f t="shared" si="84"/>
        <v>-1.0430384778761457</v>
      </c>
      <c r="V256" s="382">
        <f t="shared" si="85"/>
        <v>49.008521878635747</v>
      </c>
      <c r="W256" s="400">
        <f t="shared" si="86"/>
        <v>46.79497910600594</v>
      </c>
      <c r="X256" s="157">
        <f t="shared" si="87"/>
        <v>46264</v>
      </c>
      <c r="Y256" s="383">
        <f t="shared" si="88"/>
        <v>45.046216811732407</v>
      </c>
      <c r="Z256" s="383">
        <f t="shared" si="89"/>
        <v>47.514031820792852</v>
      </c>
      <c r="AA256" s="384">
        <f t="shared" si="90"/>
        <v>51.912605405995293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8.4730356929734393E-2</v>
      </c>
      <c r="AD256" s="230">
        <f>(INDEX(Models!$BJ256:$BT256,,AH256)*(1-AF256)+INDEX(Models!$BJ256:$BT256,,AH256+1)*AF256-ERP_i)*AE256*Ramure*Pc/MaxiM</f>
        <v>1.5125095733980985E-3</v>
      </c>
      <c r="AE256" s="304">
        <f t="shared" si="92"/>
        <v>0.6</v>
      </c>
      <c r="AF256" s="177">
        <f t="shared" si="93"/>
        <v>0.48194908849783324</v>
      </c>
      <c r="AG256" s="799">
        <f t="shared" si="99"/>
        <v>2</v>
      </c>
      <c r="AH256" s="176">
        <f t="shared" si="94"/>
        <v>8</v>
      </c>
      <c r="AI256" s="224">
        <f t="shared" si="95"/>
        <v>2.4819490884978332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'2025'!Wh/'2025'!Env_an*'2026'!Env_an</f>
        <v>24.171521432796816</v>
      </c>
      <c r="C257" s="829"/>
      <c r="D257" s="391">
        <f t="shared" si="77"/>
        <v>25.496224338159479</v>
      </c>
      <c r="E257" s="383">
        <f t="shared" si="100"/>
        <v>26.853640590767725</v>
      </c>
      <c r="F257" s="383">
        <f t="shared" si="78"/>
        <v>26.854129968604365</v>
      </c>
      <c r="G257" s="110">
        <f t="shared" si="101"/>
        <v>0.49530105438438615</v>
      </c>
      <c r="H257" s="412" t="b">
        <f>Wh_hp&gt;='2025'!Maxi_hp</f>
        <v>0</v>
      </c>
      <c r="I257" s="388">
        <f>IF(H257,Wh_hp,'2025'!Maxi_hp)</f>
        <v>52.429420207764473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5.1956826539999446E-2</v>
      </c>
      <c r="M257" s="832"/>
      <c r="N257" s="832"/>
      <c r="O257" s="48">
        <f>IF(t&lt;Tnet,'2025'!Resal+('2025'!Salim-'2025'!Resal)*(1-EXP(('2025'!Tnet-t)/('2025'!Tau_j))),Resal+(Salim-Resal)*(1-EXP((Tnet-t)/(Tau_j))))*Salcycl</f>
        <v>5.0548686239396748E-2</v>
      </c>
      <c r="P257" s="169">
        <f>(INDEX(Models!$BJ257:$BT257,,T257)*(1-R257)+INDEX(Models!$BJ257:$BT257,,T257+1)*R257-ERP_i)*Q257*Ramure*Pc/MaxiM</f>
        <v>6.5309265784888707E-5</v>
      </c>
      <c r="Q257" s="304">
        <f t="shared" si="80"/>
        <v>0.6</v>
      </c>
      <c r="R257" s="177">
        <f t="shared" si="81"/>
        <v>0.95763601931355447</v>
      </c>
      <c r="S257" s="799">
        <f t="shared" si="82"/>
        <v>-2</v>
      </c>
      <c r="T257" s="176">
        <f t="shared" si="83"/>
        <v>4</v>
      </c>
      <c r="U257" s="250">
        <f t="shared" si="84"/>
        <v>-1.0423639806864455</v>
      </c>
      <c r="V257" s="382">
        <f t="shared" si="85"/>
        <v>48.799377802536135</v>
      </c>
      <c r="W257" s="400">
        <f t="shared" si="86"/>
        <v>24.171521432796816</v>
      </c>
      <c r="X257" s="157">
        <f t="shared" si="87"/>
        <v>46265</v>
      </c>
      <c r="Y257" s="383">
        <f t="shared" si="88"/>
        <v>23.291029800310568</v>
      </c>
      <c r="Z257" s="383">
        <f t="shared" si="89"/>
        <v>24.567477992913634</v>
      </c>
      <c r="AA257" s="384">
        <f t="shared" si="90"/>
        <v>26.842466250076562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8.4753324674719119E-2</v>
      </c>
      <c r="AD257" s="230">
        <f>(INDEX(Models!$BJ257:$BT257,,AH257)*(1-AF257)+INDEX(Models!$BJ257:$BT257,,AH257+1)*AF257-ERP_i)*AE257*Ramure*Pc/MaxiM</f>
        <v>1.5565659830411368E-3</v>
      </c>
      <c r="AE257" s="304">
        <f t="shared" si="92"/>
        <v>0.6</v>
      </c>
      <c r="AF257" s="177">
        <f t="shared" si="93"/>
        <v>0.48262358568753339</v>
      </c>
      <c r="AG257" s="799">
        <f t="shared" si="99"/>
        <v>2</v>
      </c>
      <c r="AH257" s="176">
        <f t="shared" si="94"/>
        <v>8</v>
      </c>
      <c r="AI257" s="224">
        <f t="shared" si="95"/>
        <v>2.4826235856875334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'2025'!Wh/'2025'!Env_an*'2026'!Env_an</f>
        <v>39.567865428269279</v>
      </c>
      <c r="C258" s="829"/>
      <c r="D258" s="391">
        <f t="shared" si="77"/>
        <v>41.737153812843623</v>
      </c>
      <c r="E258" s="383">
        <f t="shared" si="100"/>
        <v>43.962070231485356</v>
      </c>
      <c r="F258" s="383">
        <f t="shared" si="78"/>
        <v>43.964240519902589</v>
      </c>
      <c r="G258" s="110">
        <f t="shared" si="101"/>
        <v>0.81435597577268992</v>
      </c>
      <c r="H258" s="412" t="b">
        <f>Wh_hp&gt;='2025'!Maxi_hp</f>
        <v>0</v>
      </c>
      <c r="I258" s="388">
        <f>IF(H258,Wh_hp,'2025'!Maxi_hp)</f>
        <v>47.872949450269061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5.1974995571135385E-2</v>
      </c>
      <c r="M258" s="832"/>
      <c r="N258" s="832"/>
      <c r="O258" s="48">
        <f>IF(t&lt;Tnet,'2025'!Resal+('2025'!Salim-'2025'!Resal)*(1-EXP(('2025'!Tnet-t)/('2025'!Tau_j))),Resal+(Salim-Resal)*(1-EXP((Tnet-t)/(Tau_j))))*Salcycl</f>
        <v>5.0609910018483702E-2</v>
      </c>
      <c r="P258" s="169">
        <f>(INDEX(Models!$BJ258:$BT258,,T258)*(1-R258)+INDEX(Models!$BJ258:$BT258,,T258+1)*R258-ERP_i)*Q258*Ramure*Pc/MaxiM</f>
        <v>6.7179981103989475E-5</v>
      </c>
      <c r="Q258" s="304">
        <f t="shared" si="80"/>
        <v>0.6</v>
      </c>
      <c r="R258" s="177">
        <f t="shared" si="81"/>
        <v>0.95828513129617598</v>
      </c>
      <c r="S258" s="799">
        <f t="shared" si="82"/>
        <v>-2</v>
      </c>
      <c r="T258" s="176">
        <f t="shared" si="83"/>
        <v>4</v>
      </c>
      <c r="U258" s="250">
        <f t="shared" si="84"/>
        <v>-1.041714868703824</v>
      </c>
      <c r="V258" s="382">
        <f t="shared" si="85"/>
        <v>48.587057336280807</v>
      </c>
      <c r="W258" s="400">
        <f t="shared" si="86"/>
        <v>39.567865428269279</v>
      </c>
      <c r="X258" s="157">
        <f t="shared" si="87"/>
        <v>46266</v>
      </c>
      <c r="Y258" s="383">
        <f t="shared" si="88"/>
        <v>38.100909984170777</v>
      </c>
      <c r="Z258" s="383">
        <f t="shared" si="89"/>
        <v>40.189773271987249</v>
      </c>
      <c r="AA258" s="384">
        <f t="shared" si="90"/>
        <v>43.912492498991355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8.4775857965466536E-2</v>
      </c>
      <c r="AD258" s="230">
        <f>(INDEX(Models!$BJ258:$BT258,,AH258)*(1-AF258)+INDEX(Models!$BJ258:$BT258,,AH258+1)*AF258-ERP_i)*AE258*Ramure*Pc/MaxiM</f>
        <v>1.6018290653827139E-3</v>
      </c>
      <c r="AE258" s="304">
        <f t="shared" si="92"/>
        <v>0.6</v>
      </c>
      <c r="AF258" s="177">
        <f t="shared" si="93"/>
        <v>0.4832726976701549</v>
      </c>
      <c r="AG258" s="799">
        <f t="shared" si="99"/>
        <v>2</v>
      </c>
      <c r="AH258" s="176">
        <f t="shared" si="94"/>
        <v>8</v>
      </c>
      <c r="AI258" s="224">
        <f t="shared" si="95"/>
        <v>2.4832726976701549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'2025'!Wh/'2025'!Env_an*'2026'!Env_an</f>
        <v>38.082033903051233</v>
      </c>
      <c r="C259" s="829"/>
      <c r="D259" s="391">
        <f t="shared" si="77"/>
        <v>40.170632180185279</v>
      </c>
      <c r="E259" s="383">
        <f t="shared" si="100"/>
        <v>42.314754909237834</v>
      </c>
      <c r="F259" s="383">
        <f t="shared" si="78"/>
        <v>42.316789521502869</v>
      </c>
      <c r="G259" s="110">
        <f t="shared" si="101"/>
        <v>0.78726494016865767</v>
      </c>
      <c r="H259" s="412" t="b">
        <f>Wh_hp&gt;='2025'!Maxi_hp</f>
        <v>0</v>
      </c>
      <c r="I259" s="388">
        <f>IF(H259,Wh_hp,'2025'!Maxi_hp)</f>
        <v>52.448101483562709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5.1993164254066082E-2</v>
      </c>
      <c r="M259" s="832"/>
      <c r="N259" s="832"/>
      <c r="O259" s="48">
        <f>IF(t&lt;Tnet,'2025'!Resal+('2025'!Salim-'2025'!Resal)*(1-EXP(('2025'!Tnet-t)/('2025'!Tau_j))),Resal+(Salim-Resal)*(1-EXP((Tnet-t)/(Tau_j))))*Salcycl</f>
        <v>5.0670805813516927E-2</v>
      </c>
      <c r="P259" s="169">
        <f>(INDEX(Models!$BJ259:$BT259,,T259)*(1-R259)+INDEX(Models!$BJ259:$BT259,,T259+1)*R259-ERP_i)*Q259*Ramure*Pc/MaxiM</f>
        <v>6.9069624409164306E-5</v>
      </c>
      <c r="Q259" s="304">
        <f t="shared" si="80"/>
        <v>0.6</v>
      </c>
      <c r="R259" s="177">
        <f t="shared" si="81"/>
        <v>0.95890974691038267</v>
      </c>
      <c r="S259" s="799">
        <f t="shared" si="82"/>
        <v>-2</v>
      </c>
      <c r="T259" s="176">
        <f t="shared" si="83"/>
        <v>4</v>
      </c>
      <c r="U259" s="250">
        <f t="shared" si="84"/>
        <v>-1.0410902530896173</v>
      </c>
      <c r="V259" s="382">
        <f t="shared" si="85"/>
        <v>48.371561608970502</v>
      </c>
      <c r="W259" s="400">
        <f t="shared" si="86"/>
        <v>38.082033903051233</v>
      </c>
      <c r="X259" s="157">
        <f t="shared" si="87"/>
        <v>46267</v>
      </c>
      <c r="Y259" s="383">
        <f t="shared" si="88"/>
        <v>36.672672950457091</v>
      </c>
      <c r="Z259" s="383">
        <f t="shared" si="89"/>
        <v>38.683975228513411</v>
      </c>
      <c r="AA259" s="384">
        <f t="shared" si="90"/>
        <v>42.268234487116175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8.479794110386342E-2</v>
      </c>
      <c r="AD259" s="230">
        <f>(INDEX(Models!$BJ259:$BT259,,AH259)*(1-AF259)+INDEX(Models!$BJ259:$BT259,,AH259+1)*AF259-ERP_i)*AE259*Ramure*Pc/MaxiM</f>
        <v>1.6483130697148257E-3</v>
      </c>
      <c r="AE259" s="304">
        <f t="shared" si="92"/>
        <v>0.6</v>
      </c>
      <c r="AF259" s="177">
        <f t="shared" si="93"/>
        <v>0.48389731328436136</v>
      </c>
      <c r="AG259" s="799">
        <f t="shared" si="99"/>
        <v>2</v>
      </c>
      <c r="AH259" s="176">
        <f t="shared" si="94"/>
        <v>8</v>
      </c>
      <c r="AI259" s="224">
        <f t="shared" si="95"/>
        <v>2.4838973132843614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'2025'!Wh/'2025'!Env_an*'2026'!Env_an</f>
        <v>37.181401063836397</v>
      </c>
      <c r="C260" s="829"/>
      <c r="D260" s="391">
        <f t="shared" si="77"/>
        <v>39.221356058372052</v>
      </c>
      <c r="E260" s="383">
        <f t="shared" si="100"/>
        <v>41.317446441881792</v>
      </c>
      <c r="F260" s="383">
        <f t="shared" si="78"/>
        <v>41.319424617816672</v>
      </c>
      <c r="G260" s="110">
        <f t="shared" si="101"/>
        <v>0.77213518568217165</v>
      </c>
      <c r="H260" s="412" t="b">
        <f>Wh_hp&gt;='2025'!Maxi_hp</f>
        <v>0</v>
      </c>
      <c r="I260" s="388">
        <f>IF(H260,Wh_hp,'2025'!Maxi_hp)</f>
        <v>55.043508007448153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5.2011332588797976E-2</v>
      </c>
      <c r="M260" s="832"/>
      <c r="N260" s="832"/>
      <c r="O260" s="48">
        <f>IF(t&lt;Tnet,'2025'!Resal+('2025'!Salim-'2025'!Resal)*(1-EXP(('2025'!Tnet-t)/('2025'!Tau_j))),Resal+(Salim-Resal)*(1-EXP((Tnet-t)/(Tau_j))))*Salcycl</f>
        <v>5.0731363238000551E-2</v>
      </c>
      <c r="P260" s="169">
        <f>(INDEX(Models!$BJ260:$BT260,,T260)*(1-R260)+INDEX(Models!$BJ260:$BT260,,T260+1)*R260-ERP_i)*Q260*Ramure*Pc/MaxiM</f>
        <v>7.097835205764005E-5</v>
      </c>
      <c r="Q260" s="304">
        <f t="shared" si="80"/>
        <v>0.6</v>
      </c>
      <c r="R260" s="177">
        <f t="shared" si="81"/>
        <v>0.95951072898900813</v>
      </c>
      <c r="S260" s="799">
        <f t="shared" si="82"/>
        <v>-2</v>
      </c>
      <c r="T260" s="176">
        <f t="shared" si="83"/>
        <v>4</v>
      </c>
      <c r="U260" s="250">
        <f t="shared" si="84"/>
        <v>-1.0404892710109919</v>
      </c>
      <c r="V260" s="382">
        <f t="shared" si="85"/>
        <v>48.152891753655659</v>
      </c>
      <c r="W260" s="400">
        <f t="shared" si="86"/>
        <v>37.181401063836397</v>
      </c>
      <c r="X260" s="157">
        <f t="shared" si="87"/>
        <v>46268</v>
      </c>
      <c r="Y260" s="383">
        <f t="shared" si="88"/>
        <v>35.806925471962536</v>
      </c>
      <c r="Z260" s="383">
        <f t="shared" si="89"/>
        <v>37.771469958333192</v>
      </c>
      <c r="AA260" s="384">
        <f t="shared" si="90"/>
        <v>41.27215597663033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8.4819557773510745E-2</v>
      </c>
      <c r="AD260" s="230">
        <f>(INDEX(Models!$BJ260:$BT260,,AH260)*(1-AF260)+INDEX(Models!$BJ260:$BT260,,AH260+1)*AF260-ERP_i)*AE260*Ramure*Pc/MaxiM</f>
        <v>1.6960322872474828E-3</v>
      </c>
      <c r="AE260" s="304">
        <f t="shared" si="92"/>
        <v>0.6</v>
      </c>
      <c r="AF260" s="177">
        <f t="shared" si="93"/>
        <v>0.48449829536298683</v>
      </c>
      <c r="AG260" s="799">
        <f t="shared" si="99"/>
        <v>2</v>
      </c>
      <c r="AH260" s="176">
        <f t="shared" si="94"/>
        <v>8</v>
      </c>
      <c r="AI260" s="224">
        <f t="shared" si="95"/>
        <v>2.4844982953629868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'2025'!Wh/'2025'!Env_an*'2026'!Env_an</f>
        <v>44.938777421097278</v>
      </c>
      <c r="C261" s="829"/>
      <c r="D261" s="391">
        <f t="shared" si="77"/>
        <v>47.405248843050828</v>
      </c>
      <c r="E261" s="383">
        <f t="shared" si="100"/>
        <v>49.941875165166202</v>
      </c>
      <c r="F261" s="383">
        <f t="shared" si="78"/>
        <v>49.9451917384011</v>
      </c>
      <c r="G261" s="110">
        <f t="shared" si="101"/>
        <v>0.93756523644624379</v>
      </c>
      <c r="H261" s="412" t="b">
        <f>Wh_hp&gt;='2025'!Maxi_hp</f>
        <v>0</v>
      </c>
      <c r="I261" s="388">
        <f>IF(H261,Wh_hp,'2025'!Maxi_hp)</f>
        <v>53.392231312994895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5.202950057533795E-2</v>
      </c>
      <c r="M261" s="832"/>
      <c r="N261" s="832"/>
      <c r="O261" s="48">
        <f>IF(t&lt;Tnet,'2025'!Resal+('2025'!Salim-'2025'!Resal)*(1-EXP(('2025'!Tnet-t)/('2025'!Tau_j))),Resal+(Salim-Resal)*(1-EXP((Tnet-t)/(Tau_j))))*Salcycl</f>
        <v>5.0791571476367751E-2</v>
      </c>
      <c r="P261" s="169">
        <f>(INDEX(Models!$BJ261:$BT261,,T261)*(1-R261)+INDEX(Models!$BJ261:$BT261,,T261+1)*R261-ERP_i)*Q261*Ramure*Pc/MaxiM</f>
        <v>7.290631794039009E-5</v>
      </c>
      <c r="Q261" s="304">
        <f t="shared" si="80"/>
        <v>0.6</v>
      </c>
      <c r="R261" s="177">
        <f t="shared" si="81"/>
        <v>0.9600889147147722</v>
      </c>
      <c r="S261" s="799">
        <f t="shared" si="82"/>
        <v>-2</v>
      </c>
      <c r="T261" s="176">
        <f t="shared" si="83"/>
        <v>4</v>
      </c>
      <c r="U261" s="250">
        <f t="shared" si="84"/>
        <v>-1.0399110852852278</v>
      </c>
      <c r="V261" s="382">
        <f t="shared" si="85"/>
        <v>47.931048912667706</v>
      </c>
      <c r="W261" s="400">
        <f t="shared" si="86"/>
        <v>44.938777421097278</v>
      </c>
      <c r="X261" s="157">
        <f t="shared" si="87"/>
        <v>46269</v>
      </c>
      <c r="Y261" s="383">
        <f t="shared" si="88"/>
        <v>43.260785705579956</v>
      </c>
      <c r="Z261" s="383">
        <f t="shared" si="89"/>
        <v>45.635160304920454</v>
      </c>
      <c r="AA261" s="384">
        <f t="shared" si="90"/>
        <v>49.865810090177312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8.4840690998625151E-2</v>
      </c>
      <c r="AD261" s="230">
        <f>(INDEX(Models!$BJ261:$BT261,,AH261)*(1-AF261)+INDEX(Models!$BJ261:$BT261,,AH261+1)*AF261-ERP_i)*AE261*Ramure*Pc/MaxiM</f>
        <v>1.7450010218783335E-3</v>
      </c>
      <c r="AE261" s="304">
        <f t="shared" si="92"/>
        <v>0.6</v>
      </c>
      <c r="AF261" s="177">
        <f t="shared" si="93"/>
        <v>0.4850764810887509</v>
      </c>
      <c r="AG261" s="799">
        <f t="shared" si="99"/>
        <v>2</v>
      </c>
      <c r="AH261" s="176">
        <f t="shared" si="94"/>
        <v>8</v>
      </c>
      <c r="AI261" s="224">
        <f t="shared" si="95"/>
        <v>2.4850764810887509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'2025'!Wh/'2025'!Env_an*'2026'!Env_an</f>
        <v>39.281256683190193</v>
      </c>
      <c r="C262" s="829"/>
      <c r="D262" s="391">
        <f t="shared" si="77"/>
        <v>41.438008395600619</v>
      </c>
      <c r="E262" s="383">
        <f t="shared" si="100"/>
        <v>43.658083925275861</v>
      </c>
      <c r="F262" s="383">
        <f t="shared" si="78"/>
        <v>43.660528908301522</v>
      </c>
      <c r="G262" s="110">
        <f t="shared" si="101"/>
        <v>0.82338674073903395</v>
      </c>
      <c r="H262" s="412" t="b">
        <f>Wh_hp&gt;='2025'!Maxi_hp</f>
        <v>0</v>
      </c>
      <c r="I262" s="388">
        <f>IF(H262,Wh_hp,'2025'!Maxi_hp)</f>
        <v>53.427461866974461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5.2047668213692555E-2</v>
      </c>
      <c r="M262" s="832"/>
      <c r="N262" s="832"/>
      <c r="O262" s="48">
        <f>IF(t&lt;Tnet,'2025'!Resal+('2025'!Salim-'2025'!Resal)*(1-EXP(('2025'!Tnet-t)/('2025'!Tau_j))),Resal+(Salim-Resal)*(1-EXP((Tnet-t)/(Tau_j))))*Salcycl</f>
        <v>5.0851419257773055E-2</v>
      </c>
      <c r="P262" s="169">
        <f>(INDEX(Models!$BJ262:$BT262,,T262)*(1-R262)+INDEX(Models!$BJ262:$BT262,,T262+1)*R262-ERP_i)*Q262*Ramure*Pc/MaxiM</f>
        <v>7.4894386853627343E-5</v>
      </c>
      <c r="Q262" s="304">
        <f t="shared" si="80"/>
        <v>0.6</v>
      </c>
      <c r="R262" s="177">
        <f t="shared" si="81"/>
        <v>0.96064511600754421</v>
      </c>
      <c r="S262" s="799">
        <f t="shared" si="82"/>
        <v>-2</v>
      </c>
      <c r="T262" s="176">
        <f t="shared" si="83"/>
        <v>4</v>
      </c>
      <c r="U262" s="250">
        <f t="shared" si="84"/>
        <v>-1.0393548839924558</v>
      </c>
      <c r="V262" s="382">
        <f t="shared" si="85"/>
        <v>47.706032289488384</v>
      </c>
      <c r="W262" s="400">
        <f t="shared" si="86"/>
        <v>39.281256683190193</v>
      </c>
      <c r="X262" s="157">
        <f t="shared" si="87"/>
        <v>46270</v>
      </c>
      <c r="Y262" s="383">
        <f t="shared" si="88"/>
        <v>37.824979935788612</v>
      </c>
      <c r="Z262" s="383">
        <f t="shared" si="89"/>
        <v>39.901774242710893</v>
      </c>
      <c r="AA262" s="384">
        <f t="shared" si="90"/>
        <v>43.60188816192661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8.4861323103128369E-2</v>
      </c>
      <c r="AD262" s="230">
        <f>(INDEX(Models!$BJ262:$BT262,,AH262)*(1-AF262)+INDEX(Models!$BJ262:$BT262,,AH262+1)*AF262-ERP_i)*AE262*Ramure*Pc/MaxiM</f>
        <v>1.7962753517281268E-3</v>
      </c>
      <c r="AE262" s="304">
        <f t="shared" si="92"/>
        <v>0.6</v>
      </c>
      <c r="AF262" s="177">
        <f t="shared" si="93"/>
        <v>0.48563268238152268</v>
      </c>
      <c r="AG262" s="799">
        <f t="shared" si="99"/>
        <v>2</v>
      </c>
      <c r="AH262" s="176">
        <f t="shared" si="94"/>
        <v>8</v>
      </c>
      <c r="AI262" s="224">
        <f t="shared" si="95"/>
        <v>2.4856326823815227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'2025'!Wh/'2025'!Env_an*'2026'!Env_an</f>
        <v>44.453778778647568</v>
      </c>
      <c r="C263" s="829"/>
      <c r="D263" s="391">
        <f t="shared" si="77"/>
        <v>46.895428441780766</v>
      </c>
      <c r="E263" s="383">
        <f t="shared" si="100"/>
        <v>49.410985951012833</v>
      </c>
      <c r="F263" s="383">
        <f t="shared" si="78"/>
        <v>49.414441473703391</v>
      </c>
      <c r="G263" s="110">
        <f t="shared" si="101"/>
        <v>0.93629921071678579</v>
      </c>
      <c r="H263" s="412" t="b">
        <f>Wh_hp&gt;='2025'!Maxi_hp</f>
        <v>0</v>
      </c>
      <c r="I263" s="388">
        <f>IF(H263,Wh_hp,'2025'!Maxi_hp)</f>
        <v>54.427802265876565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5.2065835503868563E-2</v>
      </c>
      <c r="M263" s="832"/>
      <c r="N263" s="832"/>
      <c r="O263" s="48">
        <f>IF(t&lt;Tnet,'2025'!Resal+('2025'!Salim-'2025'!Resal)*(1-EXP(('2025'!Tnet-t)/('2025'!Tau_j))),Resal+(Salim-Resal)*(1-EXP((Tnet-t)/(Tau_j))))*Salcycl</f>
        <v>5.0910894830676928E-2</v>
      </c>
      <c r="P263" s="169">
        <f>(INDEX(Models!$BJ263:$BT263,,T263)*(1-R263)+INDEX(Models!$BJ263:$BT263,,T263+1)*R263-ERP_i)*Q263*Ramure*Pc/MaxiM</f>
        <v>7.6929345928472128E-5</v>
      </c>
      <c r="Q263" s="304">
        <f t="shared" si="80"/>
        <v>0.6</v>
      </c>
      <c r="R263" s="177">
        <f t="shared" si="81"/>
        <v>0.96118011993917585</v>
      </c>
      <c r="S263" s="799">
        <f t="shared" si="82"/>
        <v>-2</v>
      </c>
      <c r="T263" s="176">
        <f t="shared" si="83"/>
        <v>4</v>
      </c>
      <c r="U263" s="250">
        <f t="shared" si="84"/>
        <v>-1.0388198800608242</v>
      </c>
      <c r="V263" s="382">
        <f t="shared" si="85"/>
        <v>47.477843700422156</v>
      </c>
      <c r="W263" s="400">
        <f t="shared" si="86"/>
        <v>44.453778778647568</v>
      </c>
      <c r="X263" s="157">
        <f t="shared" si="87"/>
        <v>46271</v>
      </c>
      <c r="Y263" s="383">
        <f t="shared" si="88"/>
        <v>42.793582787758005</v>
      </c>
      <c r="Z263" s="383">
        <f t="shared" si="89"/>
        <v>45.144045220170611</v>
      </c>
      <c r="AA263" s="384">
        <f t="shared" si="90"/>
        <v>49.331362055019973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8.4881435671271141E-2</v>
      </c>
      <c r="AD263" s="230">
        <f>(INDEX(Models!$BJ263:$BT263,,AH263)*(1-AF263)+INDEX(Models!$BJ263:$BT263,,AH263+1)*AF263-ERP_i)*AE263*Ramure*Pc/MaxiM</f>
        <v>1.8495741199720361E-3</v>
      </c>
      <c r="AE263" s="304">
        <f t="shared" si="92"/>
        <v>0.6</v>
      </c>
      <c r="AF263" s="177">
        <f t="shared" si="93"/>
        <v>0.48616768631315477</v>
      </c>
      <c r="AG263" s="799">
        <f t="shared" si="99"/>
        <v>2</v>
      </c>
      <c r="AH263" s="176">
        <f t="shared" si="94"/>
        <v>8</v>
      </c>
      <c r="AI263" s="224">
        <f t="shared" si="95"/>
        <v>2.4861676863131548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'2025'!Wh/'2025'!Env_an*'2026'!Env_an</f>
        <v>35.389207353707903</v>
      </c>
      <c r="C264" s="829"/>
      <c r="D264" s="391">
        <f t="shared" si="77"/>
        <v>37.333695649215088</v>
      </c>
      <c r="E264" s="383">
        <f t="shared" si="100"/>
        <v>39.338793395439886</v>
      </c>
      <c r="F264" s="383">
        <f t="shared" si="78"/>
        <v>39.340787350474251</v>
      </c>
      <c r="G264" s="110">
        <f t="shared" si="101"/>
        <v>0.74901244681256152</v>
      </c>
      <c r="H264" s="412" t="b">
        <f>Wh_hp&gt;='2025'!Maxi_hp</f>
        <v>0</v>
      </c>
      <c r="I264" s="388">
        <f>IF(H264,Wh_hp,'2025'!Maxi_hp)</f>
        <v>49.351657913110358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5.2084002445872635E-2</v>
      </c>
      <c r="M264" s="832"/>
      <c r="N264" s="832"/>
      <c r="O264" s="48">
        <f>IF(t&lt;Tnet,'2025'!Resal+('2025'!Salim-'2025'!Resal)*(1-EXP(('2025'!Tnet-t)/('2025'!Tau_j))),Resal+(Salim-Resal)*(1-EXP((Tnet-t)/(Tau_j))))*Salcycl</f>
        <v>5.0969985939050846E-2</v>
      </c>
      <c r="P264" s="169">
        <f>(INDEX(Models!$BJ264:$BT264,,T264)*(1-R264)+INDEX(Models!$BJ264:$BT264,,T264+1)*R264-ERP_i)*Q264*Ramure*Pc/MaxiM</f>
        <v>7.9011707905632313E-5</v>
      </c>
      <c r="Q264" s="304">
        <f t="shared" si="80"/>
        <v>0.6</v>
      </c>
      <c r="R264" s="177">
        <f t="shared" si="81"/>
        <v>0.96169468917221357</v>
      </c>
      <c r="S264" s="799">
        <f t="shared" si="82"/>
        <v>-2</v>
      </c>
      <c r="T264" s="176">
        <f t="shared" si="83"/>
        <v>4</v>
      </c>
      <c r="U264" s="250">
        <f t="shared" si="84"/>
        <v>-1.0383053108277864</v>
      </c>
      <c r="V264" s="382">
        <f t="shared" si="85"/>
        <v>47.2464843064623</v>
      </c>
      <c r="W264" s="400">
        <f t="shared" si="86"/>
        <v>35.389207353707903</v>
      </c>
      <c r="X264" s="157">
        <f t="shared" si="87"/>
        <v>46272</v>
      </c>
      <c r="Y264" s="383">
        <f t="shared" si="88"/>
        <v>34.083953234217041</v>
      </c>
      <c r="Z264" s="383">
        <f t="shared" si="89"/>
        <v>35.956723298438476</v>
      </c>
      <c r="AA264" s="384">
        <f t="shared" si="90"/>
        <v>39.292714419049496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8.4901009511160058E-2</v>
      </c>
      <c r="AD264" s="230">
        <f>(INDEX(Models!$BJ264:$BT264,,AH264)*(1-AF264)+INDEX(Models!$BJ264:$BT264,,AH264+1)*AF264-ERP_i)*AE264*Ramure*Pc/MaxiM</f>
        <v>1.9049197953002034E-3</v>
      </c>
      <c r="AE264" s="304">
        <f t="shared" si="92"/>
        <v>0.6</v>
      </c>
      <c r="AF264" s="177">
        <f t="shared" si="93"/>
        <v>0.48668225554619227</v>
      </c>
      <c r="AG264" s="799">
        <f t="shared" si="99"/>
        <v>2</v>
      </c>
      <c r="AH264" s="176">
        <f t="shared" si="94"/>
        <v>8</v>
      </c>
      <c r="AI264" s="224">
        <f t="shared" si="95"/>
        <v>2.4866822555461923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'2025'!Wh/'2025'!Env_an*'2026'!Env_an</f>
        <v>34.395092119617004</v>
      </c>
      <c r="C265" s="829"/>
      <c r="D265" s="391">
        <f t="shared" si="77"/>
        <v>36.285653364954221</v>
      </c>
      <c r="E265" s="383">
        <f t="shared" si="100"/>
        <v>38.236828229273158</v>
      </c>
      <c r="F265" s="383">
        <f t="shared" si="78"/>
        <v>38.23874141485463</v>
      </c>
      <c r="G265" s="110">
        <f t="shared" si="101"/>
        <v>0.73160160757902015</v>
      </c>
      <c r="H265" s="412" t="b">
        <f>Wh_hp&gt;='2025'!Maxi_hp</f>
        <v>0</v>
      </c>
      <c r="I265" s="388">
        <f>IF(H265,Wh_hp,'2025'!Maxi_hp)</f>
        <v>48.219770599083176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5.2102169039711321E-2</v>
      </c>
      <c r="M265" s="832"/>
      <c r="N265" s="832"/>
      <c r="O265" s="48">
        <f>IF(t&lt;Tnet,'2025'!Resal+('2025'!Salim-'2025'!Resal)*(1-EXP(('2025'!Tnet-t)/('2025'!Tau_j))),Resal+(Salim-Resal)*(1-EXP((Tnet-t)/(Tau_j))))*Salcycl</f>
        <v>5.1028679801039811E-2</v>
      </c>
      <c r="P265" s="169">
        <f>(INDEX(Models!$BJ265:$BT265,,T265)*(1-R265)+INDEX(Models!$BJ265:$BT265,,T265+1)*R265-ERP_i)*Q265*Ramure*Pc/MaxiM</f>
        <v>8.114197853541413E-5</v>
      </c>
      <c r="Q265" s="304">
        <f t="shared" si="80"/>
        <v>0.6</v>
      </c>
      <c r="R265" s="177">
        <f t="shared" si="81"/>
        <v>0.96218956241905929</v>
      </c>
      <c r="S265" s="799">
        <f t="shared" si="82"/>
        <v>-2</v>
      </c>
      <c r="T265" s="176">
        <f t="shared" si="83"/>
        <v>4</v>
      </c>
      <c r="U265" s="250">
        <f t="shared" si="84"/>
        <v>-1.0378104375809407</v>
      </c>
      <c r="V265" s="382">
        <f t="shared" si="85"/>
        <v>47.011955279441565</v>
      </c>
      <c r="W265" s="400">
        <f t="shared" si="86"/>
        <v>34.395092119617004</v>
      </c>
      <c r="X265" s="157">
        <f t="shared" si="87"/>
        <v>46273</v>
      </c>
      <c r="Y265" s="383">
        <f t="shared" si="88"/>
        <v>33.128239831662633</v>
      </c>
      <c r="Z265" s="383">
        <f t="shared" si="89"/>
        <v>34.94916725160278</v>
      </c>
      <c r="AA265" s="384">
        <f t="shared" si="90"/>
        <v>38.192472999081211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8.4920024622559959E-2</v>
      </c>
      <c r="AD265" s="230">
        <f>(INDEX(Models!$BJ265:$BT265,,AH265)*(1-AF265)+INDEX(Models!$BJ265:$BT265,,AH265+1)*AF265-ERP_i)*AE265*Ramure*Pc/MaxiM</f>
        <v>1.9623348805835267E-3</v>
      </c>
      <c r="AE265" s="304">
        <f t="shared" si="92"/>
        <v>0.6</v>
      </c>
      <c r="AF265" s="177">
        <f t="shared" si="93"/>
        <v>0.48717712879303798</v>
      </c>
      <c r="AG265" s="799">
        <f t="shared" si="99"/>
        <v>2</v>
      </c>
      <c r="AH265" s="176">
        <f t="shared" si="94"/>
        <v>8</v>
      </c>
      <c r="AI265" s="224">
        <f t="shared" si="95"/>
        <v>2.487177128793038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'2025'!Wh/'2025'!Env_an*'2026'!Env_an</f>
        <v>23.036842223852762</v>
      </c>
      <c r="C266" s="829"/>
      <c r="D266" s="391">
        <f t="shared" si="77"/>
        <v>24.303551475375084</v>
      </c>
      <c r="E266" s="383">
        <f t="shared" si="100"/>
        <v>25.611990277359496</v>
      </c>
      <c r="F266" s="383">
        <f t="shared" si="78"/>
        <v>25.612577176862466</v>
      </c>
      <c r="G266" s="110">
        <f t="shared" si="101"/>
        <v>0.49248137136810105</v>
      </c>
      <c r="H266" s="412" t="b">
        <f>Wh_hp&gt;='2025'!Maxi_hp</f>
        <v>0</v>
      </c>
      <c r="I266" s="388">
        <f>IF(H266,Wh_hp,'2025'!Maxi_hp)</f>
        <v>50.375328728188094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5.2120335285391506E-2</v>
      </c>
      <c r="M266" s="832"/>
      <c r="N266" s="832"/>
      <c r="O266" s="48">
        <f>IF(t&lt;Tnet,'2025'!Resal+('2025'!Salim-'2025'!Resal)*(1-EXP(('2025'!Tnet-t)/('2025'!Tau_j))),Resal+(Salim-Resal)*(1-EXP((Tnet-t)/(Tau_j))))*Salcycl</f>
        <v>5.1086963090917863E-2</v>
      </c>
      <c r="P266" s="169">
        <f>(INDEX(Models!$BJ266:$BT266,,T266)*(1-R266)+INDEX(Models!$BJ266:$BT266,,T266+1)*R266-ERP_i)*Q266*Ramure*Pc/MaxiM</f>
        <v>8.3320654893189979E-5</v>
      </c>
      <c r="Q266" s="304">
        <f t="shared" si="80"/>
        <v>0.6</v>
      </c>
      <c r="R266" s="177">
        <f t="shared" si="81"/>
        <v>0.96266545491841438</v>
      </c>
      <c r="S266" s="799">
        <f t="shared" si="82"/>
        <v>-2</v>
      </c>
      <c r="T266" s="176">
        <f t="shared" si="83"/>
        <v>4</v>
      </c>
      <c r="U266" s="250">
        <f t="shared" si="84"/>
        <v>-1.0373345450815856</v>
      </c>
      <c r="V266" s="382">
        <f t="shared" si="85"/>
        <v>46.774257797825527</v>
      </c>
      <c r="W266" s="400">
        <f t="shared" si="86"/>
        <v>23.036842223852762</v>
      </c>
      <c r="X266" s="157">
        <f t="shared" si="87"/>
        <v>46274</v>
      </c>
      <c r="Y266" s="383">
        <f t="shared" si="88"/>
        <v>22.20318292191968</v>
      </c>
      <c r="Z266" s="383">
        <f t="shared" si="89"/>
        <v>23.424052386021707</v>
      </c>
      <c r="AA266" s="384">
        <f t="shared" si="90"/>
        <v>25.598335594327263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8.4938460170331881E-2</v>
      </c>
      <c r="AD266" s="230">
        <f>(INDEX(Models!$BJ266:$BT266,,AH266)*(1-AF266)+INDEX(Models!$BJ266:$BT266,,AH266+1)*AF266-ERP_i)*AE266*Ramure*Pc/MaxiM</f>
        <v>2.0218418614202675E-3</v>
      </c>
      <c r="AE266" s="304">
        <f t="shared" si="92"/>
        <v>0.6</v>
      </c>
      <c r="AF266" s="177">
        <f t="shared" si="93"/>
        <v>0.48765302129239307</v>
      </c>
      <c r="AG266" s="799">
        <f t="shared" si="99"/>
        <v>2</v>
      </c>
      <c r="AH266" s="176">
        <f t="shared" si="94"/>
        <v>8</v>
      </c>
      <c r="AI266" s="224">
        <f t="shared" si="95"/>
        <v>2.4876530212923931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'2025'!Wh/'2025'!Env_an*'2026'!Env_an</f>
        <v>45.570181830200319</v>
      </c>
      <c r="C267" s="829"/>
      <c r="D267" s="391">
        <f t="shared" si="77"/>
        <v>48.076836000904514</v>
      </c>
      <c r="E267" s="383">
        <f t="shared" si="100"/>
        <v>50.668254873677299</v>
      </c>
      <c r="F267" s="383">
        <f t="shared" si="78"/>
        <v>50.672461626408193</v>
      </c>
      <c r="G267" s="110">
        <f t="shared" si="101"/>
        <v>0.97929816754271237</v>
      </c>
      <c r="H267" s="412" t="b">
        <f>Wh_hp&gt;='2025'!Maxi_hp</f>
        <v>1</v>
      </c>
      <c r="I267" s="388">
        <f>IF(H267,Wh_hp,'2025'!Maxi_hp)</f>
        <v>50.672461626408193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5.2138501182919628E-2</v>
      </c>
      <c r="M267" s="832"/>
      <c r="N267" s="832"/>
      <c r="O267" s="48">
        <f>IF(t&lt;Tnet,'2025'!Resal+('2025'!Salim-'2025'!Resal)*(1-EXP(('2025'!Tnet-t)/('2025'!Tau_j))),Resal+(Salim-Resal)*(1-EXP((Tnet-t)/(Tau_j))))*Salcycl</f>
        <v>5.1144821925158804E-2</v>
      </c>
      <c r="P267" s="169">
        <f>(INDEX(Models!$BJ267:$BT267,,T267)*(1-R267)+INDEX(Models!$BJ267:$BT267,,T267+1)*R267-ERP_i)*Q267*Ramure*Pc/MaxiM</f>
        <v>8.5548223594321486E-5</v>
      </c>
      <c r="Q267" s="304">
        <f t="shared" si="80"/>
        <v>0.6</v>
      </c>
      <c r="R267" s="177">
        <f t="shared" si="81"/>
        <v>0.9631230589260793</v>
      </c>
      <c r="S267" s="799">
        <f t="shared" si="82"/>
        <v>-2</v>
      </c>
      <c r="T267" s="176">
        <f t="shared" si="83"/>
        <v>4</v>
      </c>
      <c r="U267" s="250">
        <f t="shared" si="84"/>
        <v>-1.0368769410739207</v>
      </c>
      <c r="V267" s="382">
        <f t="shared" si="85"/>
        <v>46.53339304809294</v>
      </c>
      <c r="W267" s="400">
        <f t="shared" si="86"/>
        <v>45.570181830200319</v>
      </c>
      <c r="X267" s="157">
        <f t="shared" si="87"/>
        <v>46275</v>
      </c>
      <c r="Y267" s="383">
        <f t="shared" si="88"/>
        <v>43.861123757097765</v>
      </c>
      <c r="Z267" s="383">
        <f t="shared" si="89"/>
        <v>46.273768701266917</v>
      </c>
      <c r="AA267" s="384">
        <f t="shared" si="90"/>
        <v>50.570009302674407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8.495629446483581E-2</v>
      </c>
      <c r="AD267" s="230">
        <f>(INDEX(Models!$BJ267:$BT267,,AH267)*(1-AF267)+INDEX(Models!$BJ267:$BT267,,AH267+1)*AF267-ERP_i)*AE267*Ramure*Pc/MaxiM</f>
        <v>2.0834631506065969E-3</v>
      </c>
      <c r="AE267" s="304">
        <f t="shared" si="92"/>
        <v>0.6</v>
      </c>
      <c r="AF267" s="177">
        <f t="shared" si="93"/>
        <v>0.48811062530005822</v>
      </c>
      <c r="AG267" s="799">
        <f t="shared" si="99"/>
        <v>2</v>
      </c>
      <c r="AH267" s="176">
        <f t="shared" si="94"/>
        <v>8</v>
      </c>
      <c r="AI267" s="224">
        <f t="shared" si="95"/>
        <v>2.4881106253000582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'2025'!Wh/'2025'!Env_an*'2026'!Env_an</f>
        <v>45.011059093585011</v>
      </c>
      <c r="C268" s="829"/>
      <c r="D268" s="391">
        <f t="shared" si="77"/>
        <v>47.487867998616416</v>
      </c>
      <c r="E268" s="383">
        <f t="shared" si="100"/>
        <v>50.050569355666759</v>
      </c>
      <c r="F268" s="383">
        <f t="shared" si="78"/>
        <v>50.054793872228252</v>
      </c>
      <c r="G268" s="110">
        <f t="shared" si="101"/>
        <v>0.97238118328550638</v>
      </c>
      <c r="H268" s="412" t="b">
        <f>Wh_hp&gt;='2025'!Maxi_hp</f>
        <v>1</v>
      </c>
      <c r="I268" s="388">
        <f>IF(H268,Wh_hp,'2025'!Maxi_hp)</f>
        <v>50.054793872228252</v>
      </c>
      <c r="J268" s="85">
        <f>IF(H268,An,'2025'!An_max)</f>
        <v>2026</v>
      </c>
      <c r="K268" s="197">
        <f t="shared" si="79"/>
        <v>46276</v>
      </c>
      <c r="L268" s="147">
        <f>IF(t&lt;Tvie,1-EXP((T0-t)*PertePVj)+'2025'!Pspv,1-EXP((T0-t)*PertePVj)+Pspv)</f>
        <v>5.2156666732302459E-2</v>
      </c>
      <c r="M268" s="832"/>
      <c r="N268" s="832"/>
      <c r="O268" s="48">
        <f>IF(t&lt;Tnet,'2025'!Resal+('2025'!Salim-'2025'!Resal)*(1-EXP(('2025'!Tnet-t)/('2025'!Tau_j))),Resal+(Salim-Resal)*(1-EXP((Tnet-t)/(Tau_j))))*Salcycl</f>
        <v>5.1202241853422516E-2</v>
      </c>
      <c r="P268" s="169">
        <f>(INDEX(Models!$BJ268:$BT268,,T268)*(1-R268)+INDEX(Models!$BJ268:$BT268,,T268+1)*R268-ERP_i)*Q268*Ramure*Pc/MaxiM</f>
        <v>8.7864137736716656E-5</v>
      </c>
      <c r="Q268" s="304">
        <f t="shared" si="80"/>
        <v>0.6</v>
      </c>
      <c r="R268" s="177">
        <f t="shared" si="81"/>
        <v>0.96356304421741612</v>
      </c>
      <c r="S268" s="799">
        <f t="shared" si="82"/>
        <v>-2</v>
      </c>
      <c r="T268" s="176">
        <f t="shared" si="83"/>
        <v>4</v>
      </c>
      <c r="U268" s="250">
        <f t="shared" si="84"/>
        <v>-1.0364369557825839</v>
      </c>
      <c r="V268" s="382">
        <f t="shared" si="85"/>
        <v>46.289360420024799</v>
      </c>
      <c r="W268" s="400">
        <f t="shared" si="86"/>
        <v>45.011059093585011</v>
      </c>
      <c r="X268" s="157">
        <f t="shared" si="87"/>
        <v>46276</v>
      </c>
      <c r="Y268" s="383">
        <f t="shared" si="88"/>
        <v>43.323025173994878</v>
      </c>
      <c r="Z268" s="383">
        <f t="shared" si="89"/>
        <v>45.706947185710952</v>
      </c>
      <c r="AA268" s="384">
        <f t="shared" si="90"/>
        <v>49.951501331382048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8.4973504950579995E-2</v>
      </c>
      <c r="AD268" s="230">
        <f>(INDEX(Models!$BJ268:$BT268,,AH268)*(1-AF268)+INDEX(Models!$BJ268:$BT268,,AH268+1)*AF268-ERP_i)*AE268*Ramure*Pc/MaxiM</f>
        <v>2.148342870475336E-3</v>
      </c>
      <c r="AE268" s="304">
        <f t="shared" si="92"/>
        <v>0.6</v>
      </c>
      <c r="AF268" s="177">
        <f t="shared" si="93"/>
        <v>0.48855061059139482</v>
      </c>
      <c r="AG268" s="799">
        <f t="shared" si="99"/>
        <v>2</v>
      </c>
      <c r="AH268" s="176">
        <f t="shared" si="94"/>
        <v>8</v>
      </c>
      <c r="AI268" s="224">
        <f t="shared" si="95"/>
        <v>2.4885506105913948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'2025'!Wh/'2025'!Env_an*'2026'!Env_an</f>
        <v>32.672376222622184</v>
      </c>
      <c r="C269" s="829"/>
      <c r="D269" s="391">
        <f t="shared" si="77"/>
        <v>34.470889066253918</v>
      </c>
      <c r="E269" s="383">
        <f t="shared" si="100"/>
        <v>36.333305526293486</v>
      </c>
      <c r="F269" s="383">
        <f t="shared" si="78"/>
        <v>36.335225076845099</v>
      </c>
      <c r="G269" s="110">
        <f t="shared" si="101"/>
        <v>0.70959208030491605</v>
      </c>
      <c r="H269" s="412" t="b">
        <f>Wh_hp&gt;='2025'!Maxi_hp</f>
        <v>0</v>
      </c>
      <c r="I269" s="388">
        <f>IF(H269,Wh_hp,'2025'!Maxi_hp)</f>
        <v>50.716513586551613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5.2174831933546773E-2</v>
      </c>
      <c r="M269" s="832"/>
      <c r="N269" s="832"/>
      <c r="O269" s="48">
        <f>IF(t&lt;Tnet,'2025'!Resal+('2025'!Salim-'2025'!Resal)*(1-EXP(('2025'!Tnet-t)/('2025'!Tau_j))),Resal+(Salim-Resal)*(1-EXP((Tnet-t)/(Tau_j))))*Salcycl</f>
        <v>5.1259207855222123E-2</v>
      </c>
      <c r="P269" s="169">
        <f>(INDEX(Models!$BJ269:$BT269,,T269)*(1-R269)+INDEX(Models!$BJ269:$BT269,,T269+1)*R269-ERP_i)*Q269*Ramure*Pc/MaxiM</f>
        <v>9.0279679625845911E-5</v>
      </c>
      <c r="Q269" s="304">
        <f t="shared" si="80"/>
        <v>0.6</v>
      </c>
      <c r="R269" s="177">
        <f t="shared" si="81"/>
        <v>0.96398605859900299</v>
      </c>
      <c r="S269" s="799">
        <f t="shared" si="82"/>
        <v>-2</v>
      </c>
      <c r="T269" s="176">
        <f t="shared" si="83"/>
        <v>4</v>
      </c>
      <c r="U269" s="250">
        <f t="shared" si="84"/>
        <v>-1.036013941400997</v>
      </c>
      <c r="V269" s="382">
        <f t="shared" si="85"/>
        <v>46.042160643192901</v>
      </c>
      <c r="W269" s="400">
        <f t="shared" si="86"/>
        <v>32.672376222622184</v>
      </c>
      <c r="X269" s="157">
        <f t="shared" si="87"/>
        <v>46277</v>
      </c>
      <c r="Y269" s="383">
        <f t="shared" si="88"/>
        <v>31.471568417000181</v>
      </c>
      <c r="Z269" s="383">
        <f t="shared" si="89"/>
        <v>33.203980520164528</v>
      </c>
      <c r="AA269" s="384">
        <f t="shared" si="90"/>
        <v>36.288109414291455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8.4990068204332941E-2</v>
      </c>
      <c r="AD269" s="230">
        <f>(INDEX(Models!$BJ269:$BT269,,AH269)*(1-AF269)+INDEX(Models!$BJ269:$BT269,,AH269+1)*AF269-ERP_i)*AE269*Ramure*Pc/MaxiM</f>
        <v>2.2159285761568955E-3</v>
      </c>
      <c r="AE269" s="304">
        <f t="shared" si="92"/>
        <v>0.6</v>
      </c>
      <c r="AF269" s="177">
        <f t="shared" si="93"/>
        <v>0.48897362497298191</v>
      </c>
      <c r="AG269" s="799">
        <f t="shared" si="99"/>
        <v>2</v>
      </c>
      <c r="AH269" s="176">
        <f t="shared" si="94"/>
        <v>8</v>
      </c>
      <c r="AI269" s="224">
        <f t="shared" si="95"/>
        <v>2.4889736249729819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'2025'!Wh/'2025'!Env_an*'2026'!Env_an</f>
        <v>13.86941790338566</v>
      </c>
      <c r="C270" s="829"/>
      <c r="D270" s="391">
        <f t="shared" si="77"/>
        <v>14.633166727365705</v>
      </c>
      <c r="E270" s="383">
        <f t="shared" si="100"/>
        <v>15.424695859681743</v>
      </c>
      <c r="F270" s="383">
        <f t="shared" si="78"/>
        <v>15.424701748623079</v>
      </c>
      <c r="G270" s="110">
        <f t="shared" si="101"/>
        <v>0.3028519889503648</v>
      </c>
      <c r="H270" s="412" t="b">
        <f>Wh_hp&gt;='2025'!Maxi_hp</f>
        <v>0</v>
      </c>
      <c r="I270" s="388">
        <f>IF(H270,Wh_hp,'2025'!Maxi_hp)</f>
        <v>48.946025733501244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5.2192996786659118E-2</v>
      </c>
      <c r="M270" s="832"/>
      <c r="N270" s="832"/>
      <c r="O270" s="48">
        <f>IF(t&lt;Tnet,'2025'!Resal+('2025'!Salim-'2025'!Resal)*(1-EXP(('2025'!Tnet-t)/('2025'!Tau_j))),Resal+(Salim-Resal)*(1-EXP((Tnet-t)/(Tau_j))))*Salcycl</f>
        <v>5.1315704342994338E-2</v>
      </c>
      <c r="P270" s="169">
        <f>(INDEX(Models!$BJ270:$BT270,,T270)*(1-R270)+INDEX(Models!$BJ270:$BT270,,T270+1)*R270-ERP_i)*Q270*Ramure*Pc/MaxiM</f>
        <v>9.2795970145945276E-5</v>
      </c>
      <c r="Q270" s="304">
        <f t="shared" si="80"/>
        <v>0.6</v>
      </c>
      <c r="R270" s="177">
        <f t="shared" si="81"/>
        <v>0.96439272842721313</v>
      </c>
      <c r="S270" s="799">
        <f t="shared" si="82"/>
        <v>-2</v>
      </c>
      <c r="T270" s="176">
        <f t="shared" si="83"/>
        <v>4</v>
      </c>
      <c r="U270" s="250">
        <f t="shared" si="84"/>
        <v>-1.0356072715727869</v>
      </c>
      <c r="V270" s="382">
        <f t="shared" si="85"/>
        <v>45.791794929352797</v>
      </c>
      <c r="W270" s="400">
        <f t="shared" si="86"/>
        <v>13.86941790338566</v>
      </c>
      <c r="X270" s="157">
        <f t="shared" si="87"/>
        <v>46278</v>
      </c>
      <c r="Y270" s="383">
        <f t="shared" si="88"/>
        <v>13.376757952901418</v>
      </c>
      <c r="Z270" s="383">
        <f t="shared" si="89"/>
        <v>14.113377414969847</v>
      </c>
      <c r="AA270" s="384">
        <f t="shared" si="90"/>
        <v>15.424556660613328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8.5005959943833226E-2</v>
      </c>
      <c r="AD270" s="230">
        <f>(INDEX(Models!$BJ270:$BT270,,AH270)*(1-AF270)+INDEX(Models!$BJ270:$BT270,,AH270+1)*AF270-ERP_i)*AE270*Ramure*Pc/MaxiM</f>
        <v>2.2862483847036581E-3</v>
      </c>
      <c r="AE270" s="304">
        <f t="shared" si="92"/>
        <v>0.6</v>
      </c>
      <c r="AF270" s="177">
        <f t="shared" si="93"/>
        <v>0.48938029480119205</v>
      </c>
      <c r="AG270" s="799">
        <f t="shared" si="99"/>
        <v>2</v>
      </c>
      <c r="AH270" s="176">
        <f t="shared" si="94"/>
        <v>8</v>
      </c>
      <c r="AI270" s="224">
        <f t="shared" si="95"/>
        <v>2.4893802948011921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'2025'!Wh/'2025'!Env_an*'2026'!Env_an</f>
        <v>34.780634711061865</v>
      </c>
      <c r="C271" s="829"/>
      <c r="D271" s="391">
        <f t="shared" ref="D271:D334" si="102">Wh/(1-Ppv)</f>
        <v>36.696607187800289</v>
      </c>
      <c r="E271" s="383">
        <f t="shared" si="100"/>
        <v>38.68386361098564</v>
      </c>
      <c r="F271" s="383">
        <f t="shared" ref="F271:F334" si="103">Wh_sa/(1-Pvg*MEDIAN((-Sdif+Wh/Env_an)/Csdif,0,1))</f>
        <v>38.686309135115373</v>
      </c>
      <c r="G271" s="110">
        <f t="shared" si="101"/>
        <v>0.76374264791981905</v>
      </c>
      <c r="H271" s="412" t="b">
        <f>Wh_hp&gt;='2025'!Maxi_hp</f>
        <v>0</v>
      </c>
      <c r="I271" s="388">
        <f>IF(H271,Wh_hp,'2025'!Maxi_hp)</f>
        <v>48.424336454195235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5.2211161291646158E-2</v>
      </c>
      <c r="M271" s="832"/>
      <c r="N271" s="832"/>
      <c r="O271" s="48">
        <f>IF(t&lt;Tnet,'2025'!Resal+('2025'!Salim-'2025'!Resal)*(1-EXP(('2025'!Tnet-t)/('2025'!Tau_j))),Resal+(Salim-Resal)*(1-EXP((Tnet-t)/(Tau_j))))*Salcycl</f>
        <v>5.1371715172240387E-2</v>
      </c>
      <c r="P271" s="169">
        <f>(INDEX(Models!$BJ271:$BT271,,T271)*(1-R271)+INDEX(Models!$BJ271:$BT271,,T271+1)*R271-ERP_i)*Q271*Ramure*Pc/MaxiM</f>
        <v>9.5414114606088215E-5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0.96478365913164876</v>
      </c>
      <c r="S271" s="799">
        <f t="shared" ref="S271:S334" si="107">INDEX(Echel_vg,T271)</f>
        <v>-2</v>
      </c>
      <c r="T271" s="176">
        <f t="shared" ref="T271:T334" si="108">MIN(MATCH(Hp_vg,Echel_vg),10)</f>
        <v>4</v>
      </c>
      <c r="U271" s="250">
        <f t="shared" ref="U271:U334" si="109">IF(OR(t&lt;Ttai,Notai),Hdd+PousH*Croivg,Hdtf+PousH*(Croivg-Croi_tai))</f>
        <v>-1.0352163408683512</v>
      </c>
      <c r="V271" s="382">
        <f t="shared" ref="V271:V334" si="110">MaxiM*(1-Ppv)*(1-Pvg)*(1-Psa)</f>
        <v>45.538264494674955</v>
      </c>
      <c r="W271" s="400">
        <f t="shared" ref="W271:W334" si="111">Wh*(A271&gt;Tmaj)</f>
        <v>34.780634711061865</v>
      </c>
      <c r="X271" s="157">
        <f t="shared" ref="X271:X334" si="112">t</f>
        <v>46279</v>
      </c>
      <c r="Y271" s="383">
        <f t="shared" ref="Y271:Y334" si="113">Wh_pvt_s*(1-Ppv)</f>
        <v>33.496586940336002</v>
      </c>
      <c r="Z271" s="383">
        <f t="shared" ref="Z271:Z334" si="114">Wh_sa_s*(1-Psa_s)</f>
        <v>35.341824647339308</v>
      </c>
      <c r="AA271" s="384">
        <f t="shared" ref="AA271:AA334" si="115">Wh_hp*(1-Pvg_s*MEDIAN((-Sdif+Wh/Env_an)/Csdif,0,1))</f>
        <v>38.625838009619287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8.5021155048134664E-2</v>
      </c>
      <c r="AD271" s="230">
        <f>(INDEX(Models!$BJ271:$BT271,,AH271)*(1-AF271)+INDEX(Models!$BJ271:$BT271,,AH271+1)*AF271-ERP_i)*AE271*Ramure*Pc/MaxiM</f>
        <v>2.3593301854190718E-3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0.48977122550562724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2.4897712255056272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'2025'!Wh/'2025'!Env_an*'2026'!Env_an</f>
        <v>39.835362173491063</v>
      </c>
      <c r="C272" s="829"/>
      <c r="D272" s="391">
        <f t="shared" si="102"/>
        <v>42.030591622116184</v>
      </c>
      <c r="E272" s="383">
        <f t="shared" si="100"/>
        <v>44.309295681306658</v>
      </c>
      <c r="F272" s="383">
        <f t="shared" si="103"/>
        <v>44.312897148688272</v>
      </c>
      <c r="G272" s="110">
        <f t="shared" si="101"/>
        <v>0.87971088323466151</v>
      </c>
      <c r="H272" s="412" t="b">
        <f>Wh_hp&gt;='2025'!Maxi_hp</f>
        <v>0</v>
      </c>
      <c r="I272" s="388">
        <f>IF(H272,Wh_hp,'2025'!Maxi_hp)</f>
        <v>49.537413864977964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5.2229325448514663E-2</v>
      </c>
      <c r="M272" s="832"/>
      <c r="N272" s="832"/>
      <c r="O272" s="48">
        <f>IF(t&lt;Tnet,'2025'!Resal+('2025'!Salim-'2025'!Resal)*(1-EXP(('2025'!Tnet-t)/('2025'!Tau_j))),Resal+(Salim-Resal)*(1-EXP((Tnet-t)/(Tau_j))))*Salcycl</f>
        <v>5.1427223659341929E-2</v>
      </c>
      <c r="P272" s="169">
        <f>(INDEX(Models!$BJ272:$BT272,,T272)*(1-R272)+INDEX(Models!$BJ272:$BT272,,T272+1)*R272-ERP_i)*Q272*Ramure*Pc/MaxiM</f>
        <v>9.81352004140767E-5</v>
      </c>
      <c r="Q272" s="304">
        <f t="shared" si="105"/>
        <v>0.6</v>
      </c>
      <c r="R272" s="177">
        <f t="shared" si="106"/>
        <v>0.96515943574154672</v>
      </c>
      <c r="S272" s="799">
        <f t="shared" si="107"/>
        <v>-2</v>
      </c>
      <c r="T272" s="176">
        <f t="shared" si="108"/>
        <v>4</v>
      </c>
      <c r="U272" s="250">
        <f t="shared" si="109"/>
        <v>-1.0348405642584533</v>
      </c>
      <c r="V272" s="382">
        <f t="shared" si="110"/>
        <v>45.281570557932689</v>
      </c>
      <c r="W272" s="400">
        <f t="shared" si="111"/>
        <v>39.835362173491063</v>
      </c>
      <c r="X272" s="157">
        <f t="shared" si="112"/>
        <v>46280</v>
      </c>
      <c r="Y272" s="383">
        <f t="shared" si="113"/>
        <v>38.349599474675038</v>
      </c>
      <c r="Z272" s="383">
        <f t="shared" si="114"/>
        <v>40.462952172289214</v>
      </c>
      <c r="AA272" s="384">
        <f t="shared" si="115"/>
        <v>44.223527595651781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8.5035627590511836E-2</v>
      </c>
      <c r="AD272" s="230">
        <f>(INDEX(Models!$BJ272:$BT272,,AH272)*(1-AF272)+INDEX(Models!$BJ272:$BT272,,AH272+1)*AF272-ERP_i)*AE272*Ramure*Pc/MaxiM</f>
        <v>2.4352015633754259E-3</v>
      </c>
      <c r="AE272" s="304">
        <f t="shared" si="117"/>
        <v>0.6</v>
      </c>
      <c r="AF272" s="177">
        <f t="shared" si="118"/>
        <v>0.49014700211552542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2.4901470021155254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'2025'!Wh/'2025'!Env_an*'2026'!Env_an</f>
        <v>31.829355024477707</v>
      </c>
      <c r="C273" s="829"/>
      <c r="D273" s="391">
        <f t="shared" si="102"/>
        <v>33.584036616831405</v>
      </c>
      <c r="E273" s="383">
        <f t="shared" si="100"/>
        <v>35.406860117149435</v>
      </c>
      <c r="F273" s="383">
        <f t="shared" si="103"/>
        <v>35.408938551235181</v>
      </c>
      <c r="G273" s="110">
        <f t="shared" si="101"/>
        <v>0.70694797461304393</v>
      </c>
      <c r="H273" s="412" t="b">
        <f>Wh_hp&gt;='2025'!Maxi_hp</f>
        <v>0</v>
      </c>
      <c r="I273" s="388">
        <f>IF(H273,Wh_hp,'2025'!Maxi_hp)</f>
        <v>43.865326468567289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5.2247489257271185E-2</v>
      </c>
      <c r="M273" s="832"/>
      <c r="N273" s="832"/>
      <c r="O273" s="48">
        <f>IF(t&lt;Tnet,'2025'!Resal+('2025'!Salim-'2025'!Resal)*(1-EXP(('2025'!Tnet-t)/('2025'!Tau_j))),Resal+(Salim-Resal)*(1-EXP((Tnet-t)/(Tau_j))))*Salcycl</f>
        <v>5.1482212607582796E-2</v>
      </c>
      <c r="P273" s="169">
        <f>(INDEX(Models!$BJ273:$BT273,,T273)*(1-R273)+INDEX(Models!$BJ273:$BT273,,T273+1)*R273-ERP_i)*Q273*Ramure*Pc/MaxiM</f>
        <v>1.0096029470193741E-4</v>
      </c>
      <c r="Q273" s="304">
        <f t="shared" si="105"/>
        <v>0.6</v>
      </c>
      <c r="R273" s="177">
        <f t="shared" si="106"/>
        <v>0.96552062341344236</v>
      </c>
      <c r="S273" s="799">
        <f t="shared" si="107"/>
        <v>-2</v>
      </c>
      <c r="T273" s="176">
        <f t="shared" si="108"/>
        <v>4</v>
      </c>
      <c r="U273" s="250">
        <f t="shared" si="109"/>
        <v>-1.0344793765865576</v>
      </c>
      <c r="V273" s="382">
        <f t="shared" si="110"/>
        <v>45.021714336959775</v>
      </c>
      <c r="W273" s="400">
        <f t="shared" si="111"/>
        <v>31.829355024477707</v>
      </c>
      <c r="X273" s="157">
        <f t="shared" si="112"/>
        <v>46281</v>
      </c>
      <c r="Y273" s="383">
        <f t="shared" si="113"/>
        <v>30.659869798768515</v>
      </c>
      <c r="Z273" s="383">
        <f t="shared" si="114"/>
        <v>32.350080270155317</v>
      </c>
      <c r="AA273" s="384">
        <f t="shared" si="115"/>
        <v>35.35718598750293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8.5049350884724872E-2</v>
      </c>
      <c r="AD273" s="230">
        <f>(INDEX(Models!$BJ273:$BT273,,AH273)*(1-AF273)+INDEX(Models!$BJ273:$BT273,,AH273+1)*AF273-ERP_i)*AE273*Ramure*Pc/MaxiM</f>
        <v>2.5138897219828451E-3</v>
      </c>
      <c r="AE273" s="304">
        <f t="shared" si="117"/>
        <v>0.6</v>
      </c>
      <c r="AF273" s="177">
        <f t="shared" si="118"/>
        <v>0.49050818978742106</v>
      </c>
      <c r="AG273" s="799">
        <f t="shared" si="124"/>
        <v>2</v>
      </c>
      <c r="AH273" s="176">
        <f t="shared" si="119"/>
        <v>8</v>
      </c>
      <c r="AI273" s="224">
        <f t="shared" si="120"/>
        <v>2.4905081897874211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'2025'!Wh/'2025'!Env_an*'2026'!Env_an</f>
        <v>44.480051745137487</v>
      </c>
      <c r="C274" s="829"/>
      <c r="D274" s="391">
        <f t="shared" si="102"/>
        <v>46.933037588748199</v>
      </c>
      <c r="E274" s="383">
        <f t="shared" si="100"/>
        <v>49.483238649578055</v>
      </c>
      <c r="F274" s="383">
        <f t="shared" si="103"/>
        <v>49.488334289395652</v>
      </c>
      <c r="G274" s="110">
        <f t="shared" si="101"/>
        <v>0.99377358088606671</v>
      </c>
      <c r="H274" s="412" t="b">
        <f>Wh_hp&gt;='2025'!Maxi_hp</f>
        <v>1</v>
      </c>
      <c r="I274" s="388">
        <f>IF(H274,Wh_hp,'2025'!Maxi_hp)</f>
        <v>49.488334289395652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5.2265652717922384E-2</v>
      </c>
      <c r="M274" s="832"/>
      <c r="N274" s="832"/>
      <c r="O274" s="48">
        <f>IF(t&lt;Tnet,'2025'!Resal+('2025'!Salim-'2025'!Resal)*(1-EXP(('2025'!Tnet-t)/('2025'!Tau_j))),Resal+(Salim-Resal)*(1-EXP((Tnet-t)/(Tau_j))))*Salcycl</f>
        <v>5.1536664341827583E-2</v>
      </c>
      <c r="P274" s="169">
        <f>(INDEX(Models!$BJ274:$BT274,,T274)*(1-R274)+INDEX(Models!$BJ274:$BT274,,T274+1)*R274-ERP_i)*Q274*Ramure*Pc/MaxiM</f>
        <v>1.0389044193049262E-4</v>
      </c>
      <c r="Q274" s="304">
        <f t="shared" si="105"/>
        <v>0.6</v>
      </c>
      <c r="R274" s="177">
        <f t="shared" si="106"/>
        <v>0.96586776795854079</v>
      </c>
      <c r="S274" s="799">
        <f t="shared" si="107"/>
        <v>-2</v>
      </c>
      <c r="T274" s="176">
        <f t="shared" si="108"/>
        <v>4</v>
      </c>
      <c r="U274" s="250">
        <f t="shared" si="109"/>
        <v>-1.0341322320414592</v>
      </c>
      <c r="V274" s="382">
        <f t="shared" si="110"/>
        <v>44.758697050069195</v>
      </c>
      <c r="W274" s="400">
        <f t="shared" si="111"/>
        <v>44.480051745137487</v>
      </c>
      <c r="X274" s="157">
        <f t="shared" si="112"/>
        <v>46282</v>
      </c>
      <c r="Y274" s="383">
        <f t="shared" si="113"/>
        <v>42.801835052924794</v>
      </c>
      <c r="Z274" s="383">
        <f t="shared" si="114"/>
        <v>45.162270604280977</v>
      </c>
      <c r="AA274" s="384">
        <f t="shared" si="115"/>
        <v>49.361033525140158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8.50622975453037E-2</v>
      </c>
      <c r="AD274" s="230">
        <f>(INDEX(Models!$BJ274:$BT274,,AH274)*(1-AF274)+INDEX(Models!$BJ274:$BT274,,AH274+1)*AF274-ERP_i)*AE274*Ramure*Pc/MaxiM</f>
        <v>2.5954214053606271E-3</v>
      </c>
      <c r="AE274" s="304">
        <f t="shared" si="117"/>
        <v>0.6</v>
      </c>
      <c r="AF274" s="177">
        <f t="shared" si="118"/>
        <v>0.49085533433251927</v>
      </c>
      <c r="AG274" s="799">
        <f t="shared" si="124"/>
        <v>2</v>
      </c>
      <c r="AH274" s="176">
        <f t="shared" si="119"/>
        <v>8</v>
      </c>
      <c r="AI274" s="224">
        <f t="shared" si="120"/>
        <v>2.4908553343325193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'2025'!Wh/'2025'!Env_an*'2026'!Env_an</f>
        <v>44.475053649068556</v>
      </c>
      <c r="C275" s="829"/>
      <c r="D275" s="391">
        <f t="shared" si="102"/>
        <v>46.92866323480763</v>
      </c>
      <c r="E275" s="383">
        <f t="shared" si="100"/>
        <v>49.481438388074757</v>
      </c>
      <c r="F275" s="383">
        <f t="shared" si="103"/>
        <v>49.48672693279498</v>
      </c>
      <c r="G275" s="110">
        <f t="shared" si="101"/>
        <v>0.99961217726010343</v>
      </c>
      <c r="H275" s="412" t="b">
        <f>Wh_hp&gt;='2025'!Maxi_hp</f>
        <v>1</v>
      </c>
      <c r="I275" s="388">
        <f>IF(H275,Wh_hp,'2025'!Maxi_hp)</f>
        <v>49.48672693279498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5.2283815830475144E-2</v>
      </c>
      <c r="M275" s="832"/>
      <c r="N275" s="832"/>
      <c r="O275" s="48">
        <f>IF(t&lt;Tnet,'2025'!Resal+('2025'!Salim-'2025'!Resal)*(1-EXP(('2025'!Tnet-t)/('2025'!Tau_j))),Resal+(Salim-Resal)*(1-EXP((Tnet-t)/(Tau_j))))*Salcycl</f>
        <v>5.1590560752218406E-2</v>
      </c>
      <c r="P275" s="169">
        <f>(INDEX(Models!$BJ275:$BT275,,T275)*(1-R275)+INDEX(Models!$BJ275:$BT275,,T275+1)*R275-ERP_i)*Q275*Ramure*Pc/MaxiM</f>
        <v>1.069271752270493E-4</v>
      </c>
      <c r="Q275" s="304">
        <f t="shared" si="105"/>
        <v>0.6</v>
      </c>
      <c r="R275" s="177">
        <f t="shared" si="106"/>
        <v>0.96620139636839864</v>
      </c>
      <c r="S275" s="799">
        <f t="shared" si="107"/>
        <v>-2</v>
      </c>
      <c r="T275" s="176">
        <f t="shared" si="108"/>
        <v>4</v>
      </c>
      <c r="U275" s="250">
        <f t="shared" si="109"/>
        <v>-1.0337986036316014</v>
      </c>
      <c r="V275" s="382">
        <f t="shared" si="110"/>
        <v>44.49230614250942</v>
      </c>
      <c r="W275" s="400">
        <f t="shared" si="111"/>
        <v>44.475053649068556</v>
      </c>
      <c r="X275" s="157">
        <f t="shared" si="112"/>
        <v>46283</v>
      </c>
      <c r="Y275" s="383">
        <f t="shared" si="113"/>
        <v>42.794507690764419</v>
      </c>
      <c r="Z275" s="383">
        <f t="shared" si="114"/>
        <v>45.155404545786944</v>
      </c>
      <c r="AA275" s="384">
        <f t="shared" si="115"/>
        <v>49.354184097980202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8.5074439562361048E-2</v>
      </c>
      <c r="AD275" s="230">
        <f>(INDEX(Models!$BJ275:$BT275,,AH275)*(1-AF275)+INDEX(Models!$BJ275:$BT275,,AH275+1)*AF275-ERP_i)*AE275*Ramure*Pc/MaxiM</f>
        <v>2.6798356964128963E-3</v>
      </c>
      <c r="AE275" s="304">
        <f t="shared" si="117"/>
        <v>0.6</v>
      </c>
      <c r="AF275" s="177">
        <f t="shared" si="118"/>
        <v>0.49118896274237711</v>
      </c>
      <c r="AG275" s="799">
        <f t="shared" si="124"/>
        <v>2</v>
      </c>
      <c r="AH275" s="176">
        <f t="shared" si="119"/>
        <v>8</v>
      </c>
      <c r="AI275" s="224">
        <f t="shared" si="120"/>
        <v>2.4911889627423771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'2025'!Wh/'2025'!Env_an*'2026'!Env_an</f>
        <v>43.873589975645601</v>
      </c>
      <c r="C276" s="829"/>
      <c r="D276" s="391">
        <f t="shared" si="102"/>
        <v>46.294905111860729</v>
      </c>
      <c r="E276" s="383">
        <f t="shared" si="100"/>
        <v>48.815950357609694</v>
      </c>
      <c r="F276" s="383">
        <f t="shared" si="103"/>
        <v>48.821263638330237</v>
      </c>
      <c r="G276" s="110">
        <f t="shared" si="101"/>
        <v>0.99211125163912783</v>
      </c>
      <c r="H276" s="412" t="b">
        <f>Wh_hp&gt;='2025'!Maxi_hp</f>
        <v>1</v>
      </c>
      <c r="I276" s="388">
        <f>IF(H276,Wh_hp,'2025'!Maxi_hp)</f>
        <v>48.821263638330237</v>
      </c>
      <c r="J276" s="85">
        <f>IF(H276,An,'2025'!An_max)</f>
        <v>2026</v>
      </c>
      <c r="K276" s="197">
        <f t="shared" si="104"/>
        <v>46284</v>
      </c>
      <c r="L276" s="147">
        <f>IF(t&lt;Tvie,1-EXP((T0-t)*PertePVj)+'2025'!Pspv,1-EXP((T0-t)*PertePVj)+Pspv)</f>
        <v>5.2301978594935905E-2</v>
      </c>
      <c r="M276" s="832"/>
      <c r="N276" s="832"/>
      <c r="O276" s="48">
        <f>IF(t&lt;Tnet,'2025'!Resal+('2025'!Salim-'2025'!Resal)*(1-EXP(('2025'!Tnet-t)/('2025'!Tau_j))),Resal+(Salim-Resal)*(1-EXP((Tnet-t)/(Tau_j))))*Salcycl</f>
        <v>5.1643883347156312E-2</v>
      </c>
      <c r="P276" s="169">
        <f>(INDEX(Models!$BJ276:$BT276,,T276)*(1-R276)+INDEX(Models!$BJ276:$BT276,,T276+1)*R276-ERP_i)*Q276*Ramure*Pc/MaxiM</f>
        <v>1.1007155555573348E-4</v>
      </c>
      <c r="Q276" s="304">
        <f t="shared" si="105"/>
        <v>0.6</v>
      </c>
      <c r="R276" s="177">
        <f t="shared" si="106"/>
        <v>0.96652201733766008</v>
      </c>
      <c r="S276" s="799">
        <f t="shared" si="107"/>
        <v>-2</v>
      </c>
      <c r="T276" s="176">
        <f t="shared" si="108"/>
        <v>4</v>
      </c>
      <c r="U276" s="250">
        <f t="shared" si="109"/>
        <v>-1.0334779826623399</v>
      </c>
      <c r="V276" s="382">
        <f t="shared" si="110"/>
        <v>44.222394899757653</v>
      </c>
      <c r="W276" s="400">
        <f t="shared" si="111"/>
        <v>43.873589975645601</v>
      </c>
      <c r="X276" s="157">
        <f t="shared" si="112"/>
        <v>46284</v>
      </c>
      <c r="Y276" s="383">
        <f t="shared" si="113"/>
        <v>42.215207832250634</v>
      </c>
      <c r="Z276" s="383">
        <f t="shared" si="114"/>
        <v>44.544999439443856</v>
      </c>
      <c r="AA276" s="384">
        <f t="shared" si="115"/>
        <v>48.687622212813174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8.5085748391284091E-2</v>
      </c>
      <c r="AD276" s="230">
        <f>(INDEX(Models!$BJ276:$BT276,,AH276)*(1-AF276)+INDEX(Models!$BJ276:$BT276,,AH276+1)*AF276-ERP_i)*AE276*Ramure*Pc/MaxiM</f>
        <v>2.7685568233709198E-3</v>
      </c>
      <c r="AE276" s="304">
        <f t="shared" si="117"/>
        <v>0.6</v>
      </c>
      <c r="AF276" s="177">
        <f t="shared" si="118"/>
        <v>0.49150958371163878</v>
      </c>
      <c r="AG276" s="799">
        <f t="shared" si="124"/>
        <v>2</v>
      </c>
      <c r="AH276" s="176">
        <f t="shared" si="119"/>
        <v>8</v>
      </c>
      <c r="AI276" s="224">
        <f t="shared" si="120"/>
        <v>2.4915095837116388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'2025'!Wh/'2025'!Env_an*'2026'!Env_an</f>
        <v>45.546064145832929</v>
      </c>
      <c r="C277" s="829"/>
      <c r="D277" s="391">
        <f t="shared" si="102"/>
        <v>48.060601598557945</v>
      </c>
      <c r="E277" s="383">
        <f t="shared" si="100"/>
        <v>50.680617904994897</v>
      </c>
      <c r="F277" s="383">
        <f t="shared" si="103"/>
        <v>50.686359696372001</v>
      </c>
      <c r="G277" s="110">
        <f t="shared" si="101"/>
        <v>1.0363374963227203</v>
      </c>
      <c r="H277" s="412" t="b">
        <f>Wh_hp&gt;='2025'!Maxi_hp</f>
        <v>1</v>
      </c>
      <c r="I277" s="388">
        <f>IF(H277,Wh_hp,'2025'!Maxi_hp)</f>
        <v>50.686359696372001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5.2320141011311549E-2</v>
      </c>
      <c r="M277" s="832"/>
      <c r="N277" s="832"/>
      <c r="O277" s="48">
        <f>IF(t&lt;Tnet,'2025'!Resal+('2025'!Salim-'2025'!Resal)*(1-EXP(('2025'!Tnet-t)/('2025'!Tau_j))),Resal+(Salim-Resal)*(1-EXP((Tnet-t)/(Tau_j))))*Salcycl</f>
        <v>5.1696613315733386E-2</v>
      </c>
      <c r="P277" s="169">
        <f>(INDEX(Models!$BJ277:$BT277,,T277)*(1-R277)+INDEX(Models!$BJ277:$BT277,,T277+1)*R277-ERP_i)*Q277*Ramure*Pc/MaxiM</f>
        <v>1.1328080003178537E-4</v>
      </c>
      <c r="Q277" s="304">
        <f t="shared" si="105"/>
        <v>0.6</v>
      </c>
      <c r="R277" s="177">
        <f t="shared" si="106"/>
        <v>0.96683012178271888</v>
      </c>
      <c r="S277" s="799">
        <f t="shared" si="107"/>
        <v>-2</v>
      </c>
      <c r="T277" s="176">
        <f t="shared" si="108"/>
        <v>4</v>
      </c>
      <c r="U277" s="250">
        <f t="shared" si="109"/>
        <v>-1.0331698782172811</v>
      </c>
      <c r="V277" s="382">
        <f t="shared" si="110"/>
        <v>43.949065152468123</v>
      </c>
      <c r="W277" s="400">
        <f t="shared" si="111"/>
        <v>45.546064145832929</v>
      </c>
      <c r="X277" s="157">
        <f t="shared" si="112"/>
        <v>46285</v>
      </c>
      <c r="Y277" s="383">
        <f t="shared" si="113"/>
        <v>43.821183006975119</v>
      </c>
      <c r="Z277" s="383">
        <f t="shared" si="114"/>
        <v>46.240492072648522</v>
      </c>
      <c r="AA277" s="384">
        <f t="shared" si="115"/>
        <v>50.541370385440651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8.5096195057486487E-2</v>
      </c>
      <c r="AD277" s="230">
        <f>(INDEX(Models!$BJ277:$BT277,,AH277)*(1-AF277)+INDEX(Models!$BJ277:$BT277,,AH277+1)*AF277-ERP_i)*AE277*Ramure*Pc/MaxiM</f>
        <v>2.8605193152532972E-3</v>
      </c>
      <c r="AE277" s="304">
        <f t="shared" si="117"/>
        <v>0.6</v>
      </c>
      <c r="AF277" s="177">
        <f t="shared" si="118"/>
        <v>0.49181768815669757</v>
      </c>
      <c r="AG277" s="799">
        <f t="shared" si="124"/>
        <v>2</v>
      </c>
      <c r="AH277" s="176">
        <f t="shared" si="119"/>
        <v>8</v>
      </c>
      <c r="AI277" s="224">
        <f t="shared" si="120"/>
        <v>2.4918176881566976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'2025'!Wh/'2025'!Env_an*'2026'!Env_an</f>
        <v>44.375925384094558</v>
      </c>
      <c r="C278" s="829"/>
      <c r="D278" s="391">
        <f t="shared" si="102"/>
        <v>46.826758460643333</v>
      </c>
      <c r="E278" s="383">
        <f t="shared" si="100"/>
        <v>49.38222602078752</v>
      </c>
      <c r="F278" s="383">
        <f t="shared" si="103"/>
        <v>49.387982440515252</v>
      </c>
      <c r="G278" s="110">
        <f t="shared" si="101"/>
        <v>1.0161087633722286</v>
      </c>
      <c r="H278" s="412" t="b">
        <f>Wh_hp&gt;='2025'!Maxi_hp</f>
        <v>1</v>
      </c>
      <c r="I278" s="388">
        <f>IF(H278,Wh_hp,'2025'!Maxi_hp)</f>
        <v>49.387982440515252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5.2338303079608517E-2</v>
      </c>
      <c r="M278" s="832"/>
      <c r="N278" s="832"/>
      <c r="O278" s="48">
        <f>IF(t&lt;Tnet,'2025'!Resal+('2025'!Salim-'2025'!Resal)*(1-EXP(('2025'!Tnet-t)/('2025'!Tau_j))),Resal+(Salim-Resal)*(1-EXP((Tnet-t)/(Tau_j))))*Salcycl</f>
        <v>5.1748731599674261E-2</v>
      </c>
      <c r="P278" s="169">
        <f>(INDEX(Models!$BJ278:$BT278,,T278)*(1-R278)+INDEX(Models!$BJ278:$BT278,,T278+1)*R278-ERP_i)*Q278*Ramure*Pc/MaxiM</f>
        <v>1.1655506953879955E-4</v>
      </c>
      <c r="Q278" s="304">
        <f t="shared" si="105"/>
        <v>0.6</v>
      </c>
      <c r="R278" s="177">
        <f t="shared" si="106"/>
        <v>0.96712618335530665</v>
      </c>
      <c r="S278" s="799">
        <f t="shared" si="107"/>
        <v>-2</v>
      </c>
      <c r="T278" s="176">
        <f t="shared" si="108"/>
        <v>4</v>
      </c>
      <c r="U278" s="250">
        <f t="shared" si="109"/>
        <v>-1.0328738166446934</v>
      </c>
      <c r="V278" s="382">
        <f t="shared" si="110"/>
        <v>43.672416756668042</v>
      </c>
      <c r="W278" s="400">
        <f t="shared" si="111"/>
        <v>44.375925384094558</v>
      </c>
      <c r="X278" s="157">
        <f t="shared" si="112"/>
        <v>46286</v>
      </c>
      <c r="Y278" s="383">
        <f t="shared" si="113"/>
        <v>42.693321619310538</v>
      </c>
      <c r="Z278" s="383">
        <f t="shared" si="114"/>
        <v>45.051226358573615</v>
      </c>
      <c r="AA278" s="384">
        <f t="shared" si="115"/>
        <v>49.242004059130963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8.5105750276226758E-2</v>
      </c>
      <c r="AD278" s="230">
        <f>(INDEX(Models!$BJ278:$BT278,,AH278)*(1-AF278)+INDEX(Models!$BJ278:$BT278,,AH278+1)*AF278-ERP_i)*AE278*Ramure*Pc/MaxiM</f>
        <v>2.9557470091050174E-3</v>
      </c>
      <c r="AE278" s="304">
        <f t="shared" si="117"/>
        <v>0.6</v>
      </c>
      <c r="AF278" s="177">
        <f t="shared" si="118"/>
        <v>0.49211374972928512</v>
      </c>
      <c r="AG278" s="799">
        <f t="shared" si="124"/>
        <v>2</v>
      </c>
      <c r="AH278" s="176">
        <f t="shared" si="119"/>
        <v>8</v>
      </c>
      <c r="AI278" s="224">
        <f t="shared" si="120"/>
        <v>2.4921137497292851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'2025'!Wh/'2025'!Env_an*'2026'!Env_an</f>
        <v>42.943487425674384</v>
      </c>
      <c r="C279" s="829"/>
      <c r="D279" s="391">
        <f t="shared" si="102"/>
        <v>45.316077016874942</v>
      </c>
      <c r="E279" s="383">
        <f t="shared" si="100"/>
        <v>47.791697407771956</v>
      </c>
      <c r="F279" s="383">
        <f t="shared" si="103"/>
        <v>47.797343322751502</v>
      </c>
      <c r="G279" s="110">
        <f t="shared" si="101"/>
        <v>0.98964941627252612</v>
      </c>
      <c r="H279" s="412" t="b">
        <f>Wh_hp&gt;='2025'!Maxi_hp</f>
        <v>1</v>
      </c>
      <c r="I279" s="388">
        <f>IF(H279,Wh_hp,'2025'!Maxi_hp)</f>
        <v>47.797343322751502</v>
      </c>
      <c r="J279" s="85">
        <f>IF(H279,An,'2025'!An_max)</f>
        <v>2026</v>
      </c>
      <c r="K279" s="197">
        <f t="shared" si="104"/>
        <v>46287</v>
      </c>
      <c r="L279" s="147">
        <f>IF(t&lt;Tvie,1-EXP((T0-t)*PertePVj)+'2025'!Pspv,1-EXP((T0-t)*PertePVj)+Pspv)</f>
        <v>5.235646479983358E-2</v>
      </c>
      <c r="M279" s="832"/>
      <c r="N279" s="832"/>
      <c r="O279" s="48">
        <f>IF(t&lt;Tnet,'2025'!Resal+('2025'!Salim-'2025'!Resal)*(1-EXP(('2025'!Tnet-t)/('2025'!Tau_j))),Resal+(Salim-Resal)*(1-EXP((Tnet-t)/(Tau_j))))*Salcycl</f>
        <v>5.1800218974738223E-2</v>
      </c>
      <c r="P279" s="169">
        <f>(INDEX(Models!$BJ279:$BT279,,T279)*(1-R279)+INDEX(Models!$BJ279:$BT279,,T279+1)*R279-ERP_i)*Q279*Ramure*Pc/MaxiM</f>
        <v>1.1989446605429666E-4</v>
      </c>
      <c r="Q279" s="304">
        <f t="shared" si="105"/>
        <v>0.6</v>
      </c>
      <c r="R279" s="177">
        <f t="shared" si="106"/>
        <v>0.9674106589501168</v>
      </c>
      <c r="S279" s="799">
        <f t="shared" si="107"/>
        <v>-2</v>
      </c>
      <c r="T279" s="176">
        <f t="shared" si="108"/>
        <v>4</v>
      </c>
      <c r="U279" s="250">
        <f t="shared" si="109"/>
        <v>-1.0325893410498832</v>
      </c>
      <c r="V279" s="382">
        <f t="shared" si="110"/>
        <v>43.392549515190659</v>
      </c>
      <c r="W279" s="400">
        <f t="shared" si="111"/>
        <v>42.943487425674384</v>
      </c>
      <c r="X279" s="157">
        <f t="shared" si="112"/>
        <v>46287</v>
      </c>
      <c r="Y279" s="383">
        <f t="shared" si="113"/>
        <v>41.314904451132087</v>
      </c>
      <c r="Z279" s="383">
        <f t="shared" si="114"/>
        <v>43.597516277473815</v>
      </c>
      <c r="AA279" s="384">
        <f t="shared" si="115"/>
        <v>47.653515962001691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8.511438458732154E-2</v>
      </c>
      <c r="AD279" s="230">
        <f>(INDEX(Models!$BJ279:$BT279,,AH279)*(1-AF279)+INDEX(Models!$BJ279:$BT279,,AH279+1)*AF279-ERP_i)*AE279*Ramure*Pc/MaxiM</f>
        <v>3.0542621848856097E-3</v>
      </c>
      <c r="AE279" s="304">
        <f t="shared" si="117"/>
        <v>0.6</v>
      </c>
      <c r="AF279" s="177">
        <f t="shared" si="118"/>
        <v>0.4923982253240955</v>
      </c>
      <c r="AG279" s="799">
        <f t="shared" si="124"/>
        <v>2</v>
      </c>
      <c r="AH279" s="176">
        <f t="shared" si="119"/>
        <v>8</v>
      </c>
      <c r="AI279" s="224">
        <f t="shared" si="120"/>
        <v>2.4923982253240955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'2025'!Wh/'2025'!Env_an*'2026'!Env_an</f>
        <v>27.257652689528644</v>
      </c>
      <c r="C280" s="829"/>
      <c r="D280" s="391">
        <f t="shared" si="102"/>
        <v>28.764165082894767</v>
      </c>
      <c r="E280" s="383">
        <f t="shared" si="100"/>
        <v>30.337179901120088</v>
      </c>
      <c r="F280" s="383">
        <f t="shared" si="103"/>
        <v>30.338955639604933</v>
      </c>
      <c r="G280" s="110">
        <f t="shared" si="101"/>
        <v>0.632246887448073</v>
      </c>
      <c r="H280" s="412" t="b">
        <f>Wh_hp&gt;='2025'!Maxi_hp</f>
        <v>0</v>
      </c>
      <c r="I280" s="388">
        <f>IF(H280,Wh_hp,'2025'!Maxi_hp)</f>
        <v>41.863369362780062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5.237462617199351E-2</v>
      </c>
      <c r="M280" s="832"/>
      <c r="N280" s="832"/>
      <c r="O280" s="48">
        <f>IF(t&lt;Tnet,'2025'!Resal+('2025'!Salim-'2025'!Resal)*(1-EXP(('2025'!Tnet-t)/('2025'!Tau_j))),Resal+(Salim-Resal)*(1-EXP((Tnet-t)/(Tau_j))))*Salcycl</f>
        <v>5.1851056141419487E-2</v>
      </c>
      <c r="P280" s="169">
        <f>(INDEX(Models!$BJ280:$BT280,,T280)*(1-R280)+INDEX(Models!$BJ280:$BT280,,T280+1)*R280-ERP_i)*Q280*Ramure*Pc/MaxiM</f>
        <v>1.2329968515681621E-4</v>
      </c>
      <c r="Q280" s="304">
        <f t="shared" si="105"/>
        <v>0.6</v>
      </c>
      <c r="R280" s="177">
        <f t="shared" si="106"/>
        <v>0.96768398920568188</v>
      </c>
      <c r="S280" s="799">
        <f t="shared" si="107"/>
        <v>-2</v>
      </c>
      <c r="T280" s="176">
        <f t="shared" si="108"/>
        <v>4</v>
      </c>
      <c r="U280" s="250">
        <f t="shared" si="109"/>
        <v>-1.0323160107943181</v>
      </c>
      <c r="V280" s="382">
        <f t="shared" si="110"/>
        <v>43.109563142478031</v>
      </c>
      <c r="W280" s="400">
        <f t="shared" si="111"/>
        <v>27.257652689528644</v>
      </c>
      <c r="X280" s="157">
        <f t="shared" si="112"/>
        <v>46288</v>
      </c>
      <c r="Y280" s="383">
        <f t="shared" si="113"/>
        <v>26.263301253172241</v>
      </c>
      <c r="Z280" s="383">
        <f t="shared" si="114"/>
        <v>27.714856501868024</v>
      </c>
      <c r="AA280" s="384">
        <f t="shared" si="115"/>
        <v>30.293502059407007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8.5122068504398629E-2</v>
      </c>
      <c r="AD280" s="230">
        <f>(INDEX(Models!$BJ280:$BT280,,AH280)*(1-AF280)+INDEX(Models!$BJ280:$BT280,,AH280+1)*AF280-ERP_i)*AE280*Ramure*Pc/MaxiM</f>
        <v>3.1561021938111083E-3</v>
      </c>
      <c r="AE280" s="304">
        <f t="shared" si="117"/>
        <v>0.6</v>
      </c>
      <c r="AF280" s="177">
        <f t="shared" si="118"/>
        <v>0.49267155557966058</v>
      </c>
      <c r="AG280" s="799">
        <f t="shared" si="124"/>
        <v>2</v>
      </c>
      <c r="AH280" s="176">
        <f t="shared" si="119"/>
        <v>8</v>
      </c>
      <c r="AI280" s="224">
        <f t="shared" si="120"/>
        <v>2.4926715555796606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'2025'!Wh/'2025'!Env_an*'2026'!Env_an</f>
        <v>16.512427035655321</v>
      </c>
      <c r="C281" s="829"/>
      <c r="D281" s="391">
        <f t="shared" si="102"/>
        <v>17.425391884466745</v>
      </c>
      <c r="E281" s="383">
        <f t="shared" si="100"/>
        <v>18.379300050108192</v>
      </c>
      <c r="F281" s="383">
        <f t="shared" si="103"/>
        <v>18.379584949664761</v>
      </c>
      <c r="G281" s="110">
        <f t="shared" si="101"/>
        <v>0.38554923284195197</v>
      </c>
      <c r="H281" s="412" t="b">
        <f>Wh_hp&gt;='2025'!Maxi_hp</f>
        <v>0</v>
      </c>
      <c r="I281" s="388">
        <f>IF(H281,Wh_hp,'2025'!Maxi_hp)</f>
        <v>40.4343470381435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5.2392787196094859E-2</v>
      </c>
      <c r="M281" s="832"/>
      <c r="N281" s="832"/>
      <c r="O281" s="48">
        <f>IF(t&lt;Tnet,'2025'!Resal+('2025'!Salim-'2025'!Resal)*(1-EXP(('2025'!Tnet-t)/('2025'!Tau_j))),Resal+(Salim-Resal)*(1-EXP((Tnet-t)/(Tau_j))))*Salcycl</f>
        <v>5.1901223824670772E-2</v>
      </c>
      <c r="P281" s="169">
        <f>(INDEX(Models!$BJ281:$BT281,,T281)*(1-R281)+INDEX(Models!$BJ281:$BT281,,T281+1)*R281-ERP_i)*Q281*Ramure*Pc/MaxiM</f>
        <v>1.2677109351531577E-4</v>
      </c>
      <c r="Q281" s="304">
        <f t="shared" si="105"/>
        <v>0.6</v>
      </c>
      <c r="R281" s="177">
        <f t="shared" si="106"/>
        <v>0.96794659899781799</v>
      </c>
      <c r="S281" s="799">
        <f t="shared" si="107"/>
        <v>-2</v>
      </c>
      <c r="T281" s="176">
        <f t="shared" si="108"/>
        <v>4</v>
      </c>
      <c r="U281" s="250">
        <f t="shared" si="109"/>
        <v>-1.032053401002182</v>
      </c>
      <c r="V281" s="382">
        <f t="shared" si="110"/>
        <v>42.823557302979452</v>
      </c>
      <c r="W281" s="400">
        <f t="shared" si="111"/>
        <v>16.512427035655321</v>
      </c>
      <c r="X281" s="157">
        <f t="shared" si="112"/>
        <v>46289</v>
      </c>
      <c r="Y281" s="383">
        <f t="shared" si="113"/>
        <v>15.92761712109578</v>
      </c>
      <c r="Z281" s="383">
        <f t="shared" si="114"/>
        <v>16.808248086216068</v>
      </c>
      <c r="AA281" s="384">
        <f t="shared" si="115"/>
        <v>18.372255662056151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8.5128772678152789E-2</v>
      </c>
      <c r="AD281" s="230">
        <f>(INDEX(Models!$BJ281:$BT281,,AH281)*(1-AF281)+INDEX(Models!$BJ281:$BT281,,AH281+1)*AF281-ERP_i)*AE281*Ramure*Pc/MaxiM</f>
        <v>3.2612960722798023E-3</v>
      </c>
      <c r="AE281" s="304">
        <f t="shared" si="117"/>
        <v>0.6</v>
      </c>
      <c r="AF281" s="177">
        <f t="shared" si="118"/>
        <v>0.49293416537179668</v>
      </c>
      <c r="AG281" s="799">
        <f t="shared" si="124"/>
        <v>2</v>
      </c>
      <c r="AH281" s="176">
        <f t="shared" si="119"/>
        <v>8</v>
      </c>
      <c r="AI281" s="224">
        <f t="shared" si="120"/>
        <v>2.4929341653717967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'2025'!Wh/'2025'!Env_an*'2026'!Env_an</f>
        <v>34.775751408807118</v>
      </c>
      <c r="C282" s="829"/>
      <c r="D282" s="391">
        <f t="shared" si="102"/>
        <v>36.699190783933744</v>
      </c>
      <c r="E282" s="383">
        <f t="shared" si="100"/>
        <v>38.710213588583102</v>
      </c>
      <c r="F282" s="383">
        <f t="shared" si="103"/>
        <v>38.713944409579916</v>
      </c>
      <c r="G282" s="110">
        <f t="shared" si="101"/>
        <v>0.81755900308126506</v>
      </c>
      <c r="H282" s="412" t="b">
        <f>Wh_hp&gt;='2025'!Maxi_hp</f>
        <v>1</v>
      </c>
      <c r="I282" s="388">
        <f>IF(H282,Wh_hp,'2025'!Maxi_hp)</f>
        <v>38.713944409579916</v>
      </c>
      <c r="J282" s="85">
        <f>IF(H282,An,'2025'!An_max)</f>
        <v>2026</v>
      </c>
      <c r="K282" s="197">
        <f t="shared" si="104"/>
        <v>46290</v>
      </c>
      <c r="L282" s="147">
        <f>IF(t&lt;Tvie,1-EXP((T0-t)*PertePVj)+'2025'!Pspv,1-EXP((T0-t)*PertePVj)+Pspv)</f>
        <v>5.2410947872144287E-2</v>
      </c>
      <c r="M282" s="832"/>
      <c r="N282" s="832"/>
      <c r="O282" s="48">
        <f>IF(t&lt;Tnet,'2025'!Resal+('2025'!Salim-'2025'!Resal)*(1-EXP(('2025'!Tnet-t)/('2025'!Tau_j))),Resal+(Salim-Resal)*(1-EXP((Tnet-t)/(Tau_j))))*Salcycl</f>
        <v>5.1950702882261474E-2</v>
      </c>
      <c r="P282" s="169">
        <f>(INDEX(Models!$BJ282:$BT282,,T282)*(1-R282)+INDEX(Models!$BJ282:$BT282,,T282+1)*R282-ERP_i)*Q282*Ramure*Pc/MaxiM</f>
        <v>1.3033224022757623E-4</v>
      </c>
      <c r="Q282" s="304">
        <f t="shared" si="105"/>
        <v>0.6</v>
      </c>
      <c r="R282" s="177">
        <f t="shared" si="106"/>
        <v>0.96819889792503622</v>
      </c>
      <c r="S282" s="799">
        <f t="shared" si="107"/>
        <v>-2</v>
      </c>
      <c r="T282" s="176">
        <f t="shared" si="108"/>
        <v>4</v>
      </c>
      <c r="U282" s="250">
        <f t="shared" si="109"/>
        <v>-1.0318011020749638</v>
      </c>
      <c r="V282" s="382">
        <f t="shared" si="110"/>
        <v>42.534630606377917</v>
      </c>
      <c r="W282" s="400">
        <f t="shared" si="111"/>
        <v>34.775751408807118</v>
      </c>
      <c r="X282" s="157">
        <f t="shared" si="112"/>
        <v>46290</v>
      </c>
      <c r="Y282" s="383">
        <f t="shared" si="113"/>
        <v>33.477991123926209</v>
      </c>
      <c r="Z282" s="383">
        <f t="shared" si="114"/>
        <v>35.329651655166138</v>
      </c>
      <c r="AA282" s="384">
        <f t="shared" si="115"/>
        <v>38.617316340190612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8.5134468072885494E-2</v>
      </c>
      <c r="AD282" s="230">
        <f>(INDEX(Models!$BJ282:$BT282,,AH282)*(1-AF282)+INDEX(Models!$BJ282:$BT282,,AH282+1)*AF282-ERP_i)*AE282*Ramure*Pc/MaxiM</f>
        <v>3.3755982297543853E-3</v>
      </c>
      <c r="AE282" s="304">
        <f t="shared" si="117"/>
        <v>0.6</v>
      </c>
      <c r="AF282" s="177">
        <f t="shared" si="118"/>
        <v>0.49318646429901492</v>
      </c>
      <c r="AG282" s="799">
        <f t="shared" si="124"/>
        <v>2</v>
      </c>
      <c r="AH282" s="176">
        <f t="shared" si="119"/>
        <v>8</v>
      </c>
      <c r="AI282" s="224">
        <f t="shared" si="120"/>
        <v>2.4931864642990149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'2025'!Wh/'2025'!Env_an*'2026'!Env_an</f>
        <v>31.842658035938893</v>
      </c>
      <c r="C283" s="829"/>
      <c r="D283" s="391">
        <f t="shared" si="102"/>
        <v>33.604512666546519</v>
      </c>
      <c r="E283" s="383">
        <f t="shared" si="100"/>
        <v>35.447778518932573</v>
      </c>
      <c r="F283" s="383">
        <f t="shared" si="103"/>
        <v>35.450856795396845</v>
      </c>
      <c r="G283" s="110">
        <f t="shared" si="101"/>
        <v>0.75376381845749085</v>
      </c>
      <c r="H283" s="412" t="b">
        <f>Wh_hp&gt;='2025'!Maxi_hp</f>
        <v>0</v>
      </c>
      <c r="I283" s="388">
        <f>IF(H283,Wh_hp,'2025'!Maxi_hp)</f>
        <v>39.693686966189702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5.2429108200148455E-2</v>
      </c>
      <c r="M283" s="832"/>
      <c r="N283" s="832"/>
      <c r="O283" s="48">
        <f>IF(t&lt;Tnet,'2025'!Resal+('2025'!Salim-'2025'!Resal)*(1-EXP(('2025'!Tnet-t)/('2025'!Tau_j))),Resal+(Salim-Resal)*(1-EXP((Tnet-t)/(Tau_j))))*Salcycl</f>
        <v>5.199947442126937E-2</v>
      </c>
      <c r="P283" s="169">
        <f>(INDEX(Models!$BJ283:$BT283,,T283)*(1-R283)+INDEX(Models!$BJ283:$BT283,,T283+1)*R283-ERP_i)*Q283*Ramure*Pc/MaxiM</f>
        <v>1.3394147377767483E-4</v>
      </c>
      <c r="Q283" s="304">
        <f t="shared" si="105"/>
        <v>0.6</v>
      </c>
      <c r="R283" s="177">
        <f t="shared" si="106"/>
        <v>0.96844128078541436</v>
      </c>
      <c r="S283" s="799">
        <f t="shared" si="107"/>
        <v>-2</v>
      </c>
      <c r="T283" s="176">
        <f t="shared" si="108"/>
        <v>4</v>
      </c>
      <c r="U283" s="250">
        <f t="shared" si="109"/>
        <v>-1.0315587192145856</v>
      </c>
      <c r="V283" s="382">
        <f t="shared" si="110"/>
        <v>42.242884365098483</v>
      </c>
      <c r="W283" s="400">
        <f t="shared" si="111"/>
        <v>31.842658035938893</v>
      </c>
      <c r="X283" s="157">
        <f t="shared" si="112"/>
        <v>46291</v>
      </c>
      <c r="Y283" s="383">
        <f t="shared" si="113"/>
        <v>30.662500088056088</v>
      </c>
      <c r="Z283" s="383">
        <f t="shared" si="114"/>
        <v>32.35905656601016</v>
      </c>
      <c r="AA283" s="384">
        <f t="shared" si="115"/>
        <v>35.370467238396557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8.5139126155431344E-2</v>
      </c>
      <c r="AD283" s="230">
        <f>(INDEX(Models!$BJ283:$BT283,,AH283)*(1-AF283)+INDEX(Models!$BJ283:$BT283,,AH283+1)*AF283-ERP_i)*AE283*Ramure*Pc/MaxiM</f>
        <v>3.497897562460777E-3</v>
      </c>
      <c r="AE283" s="304">
        <f t="shared" si="117"/>
        <v>0.6</v>
      </c>
      <c r="AF283" s="177">
        <f t="shared" si="118"/>
        <v>0.49342884715939306</v>
      </c>
      <c r="AG283" s="799">
        <f t="shared" si="124"/>
        <v>2</v>
      </c>
      <c r="AH283" s="176">
        <f t="shared" si="119"/>
        <v>8</v>
      </c>
      <c r="AI283" s="224">
        <f t="shared" si="120"/>
        <v>2.4934288471593931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'2025'!Wh/'2025'!Env_an*'2026'!Env_an</f>
        <v>16.886085214189972</v>
      </c>
      <c r="C284" s="829"/>
      <c r="D284" s="391">
        <f t="shared" si="102"/>
        <v>17.820734031084761</v>
      </c>
      <c r="E284" s="383">
        <f t="shared" si="100"/>
        <v>18.799184986171678</v>
      </c>
      <c r="F284" s="383">
        <f t="shared" si="103"/>
        <v>18.799563928242037</v>
      </c>
      <c r="G284" s="110">
        <f t="shared" si="101"/>
        <v>0.40249675289693582</v>
      </c>
      <c r="H284" s="412" t="b">
        <f>Wh_hp&gt;='2025'!Maxi_hp</f>
        <v>0</v>
      </c>
      <c r="I284" s="388">
        <f>IF(H284,Wh_hp,'2025'!Maxi_hp)</f>
        <v>37.960845399345402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5.2447268180114137E-2</v>
      </c>
      <c r="M284" s="832"/>
      <c r="N284" s="832"/>
      <c r="O284" s="48">
        <f>IF(t&lt;Tnet,'2025'!Resal+('2025'!Salim-'2025'!Resal)*(1-EXP(('2025'!Tnet-t)/('2025'!Tau_j))),Resal+(Salim-Resal)*(1-EXP((Tnet-t)/(Tau_j))))*Salcycl</f>
        <v>5.2047519922094838E-2</v>
      </c>
      <c r="P284" s="169">
        <f>(INDEX(Models!$BJ284:$BT284,,T284)*(1-R284)+INDEX(Models!$BJ284:$BT284,,T284+1)*R284-ERP_i)*Q284*Ramure*Pc/MaxiM</f>
        <v>1.3759818662876662E-4</v>
      </c>
      <c r="Q284" s="304">
        <f t="shared" si="105"/>
        <v>0.6</v>
      </c>
      <c r="R284" s="177">
        <f t="shared" si="106"/>
        <v>0.9686741280444835</v>
      </c>
      <c r="S284" s="799">
        <f t="shared" si="107"/>
        <v>-2</v>
      </c>
      <c r="T284" s="176">
        <f t="shared" si="108"/>
        <v>4</v>
      </c>
      <c r="U284" s="250">
        <f t="shared" si="109"/>
        <v>-1.0313258719555165</v>
      </c>
      <c r="V284" s="382">
        <f t="shared" si="110"/>
        <v>41.948418043484949</v>
      </c>
      <c r="W284" s="400">
        <f t="shared" si="111"/>
        <v>16.886085214189972</v>
      </c>
      <c r="X284" s="157">
        <f t="shared" si="112"/>
        <v>46292</v>
      </c>
      <c r="Y284" s="383">
        <f t="shared" si="113"/>
        <v>16.288219744108641</v>
      </c>
      <c r="Z284" s="383">
        <f t="shared" si="114"/>
        <v>17.189776565600955</v>
      </c>
      <c r="AA284" s="384">
        <f t="shared" si="115"/>
        <v>18.789571799225257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8.5142719095400776E-2</v>
      </c>
      <c r="AD284" s="230">
        <f>(INDEX(Models!$BJ284:$BT284,,AH284)*(1-AF284)+INDEX(Models!$BJ284:$BT284,,AH284+1)*AF284-ERP_i)*AE284*Ramure*Pc/MaxiM</f>
        <v>3.6282559811073255E-3</v>
      </c>
      <c r="AE284" s="304">
        <f t="shared" si="117"/>
        <v>0.6</v>
      </c>
      <c r="AF284" s="177">
        <f t="shared" si="118"/>
        <v>0.49366169441846219</v>
      </c>
      <c r="AG284" s="799">
        <f t="shared" si="124"/>
        <v>2</v>
      </c>
      <c r="AH284" s="176">
        <f t="shared" si="119"/>
        <v>8</v>
      </c>
      <c r="AI284" s="224">
        <f t="shared" si="120"/>
        <v>2.4936616944184622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'2025'!Wh/'2025'!Env_an*'2026'!Env_an</f>
        <v>19.14039351712983</v>
      </c>
      <c r="C285" s="829"/>
      <c r="D285" s="391">
        <f t="shared" si="102"/>
        <v>20.200205964973655</v>
      </c>
      <c r="E285" s="383">
        <f t="shared" si="100"/>
        <v>21.310365657199487</v>
      </c>
      <c r="F285" s="383">
        <f t="shared" si="103"/>
        <v>21.311051966516562</v>
      </c>
      <c r="G285" s="110">
        <f t="shared" si="101"/>
        <v>0.45948844408832346</v>
      </c>
      <c r="H285" s="412" t="b">
        <f>Wh_hp&gt;='2025'!Maxi_hp</f>
        <v>0</v>
      </c>
      <c r="I285" s="388">
        <f>IF(H285,Wh_hp,'2025'!Maxi_hp)</f>
        <v>38.326040675068562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5.2465427812047993E-2</v>
      </c>
      <c r="M285" s="832"/>
      <c r="N285" s="832"/>
      <c r="O285" s="48">
        <f>IF(t&lt;Tnet,'2025'!Resal+('2025'!Salim-'2025'!Resal)*(1-EXP(('2025'!Tnet-t)/('2025'!Tau_j))),Resal+(Salim-Resal)*(1-EXP((Tnet-t)/(Tau_j))))*Salcycl</f>
        <v>5.209482136927928E-2</v>
      </c>
      <c r="P285" s="169">
        <f>(INDEX(Models!$BJ285:$BT285,,T285)*(1-R285)+INDEX(Models!$BJ285:$BT285,,T285+1)*R285-ERP_i)*Q285*Ramure*Pc/MaxiM</f>
        <v>1.4130167958203611E-4</v>
      </c>
      <c r="Q285" s="304">
        <f t="shared" si="105"/>
        <v>0.6</v>
      </c>
      <c r="R285" s="177">
        <f t="shared" si="106"/>
        <v>0.96889780629377009</v>
      </c>
      <c r="S285" s="799">
        <f t="shared" si="107"/>
        <v>-2</v>
      </c>
      <c r="T285" s="176">
        <f t="shared" si="108"/>
        <v>4</v>
      </c>
      <c r="U285" s="250">
        <f t="shared" si="109"/>
        <v>-1.0311021937062299</v>
      </c>
      <c r="V285" s="382">
        <f t="shared" si="110"/>
        <v>41.651331020299104</v>
      </c>
      <c r="W285" s="400">
        <f t="shared" si="111"/>
        <v>19.14039351712983</v>
      </c>
      <c r="X285" s="157">
        <f t="shared" si="112"/>
        <v>46293</v>
      </c>
      <c r="Y285" s="383">
        <f t="shared" si="113"/>
        <v>18.457765295507304</v>
      </c>
      <c r="Z285" s="383">
        <f t="shared" si="114"/>
        <v>19.479780302777218</v>
      </c>
      <c r="AA285" s="384">
        <f t="shared" si="115"/>
        <v>21.292756761084618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8.5145219975501646E-2</v>
      </c>
      <c r="AD285" s="230">
        <f>(INDEX(Models!$BJ285:$BT285,,AH285)*(1-AF285)+INDEX(Models!$BJ285:$BT285,,AH285+1)*AF285-ERP_i)*AE285*Ramure*Pc/MaxiM</f>
        <v>3.7667319844112332E-3</v>
      </c>
      <c r="AE285" s="304">
        <f t="shared" si="117"/>
        <v>0.6</v>
      </c>
      <c r="AF285" s="177">
        <f t="shared" si="118"/>
        <v>0.49388537266774879</v>
      </c>
      <c r="AG285" s="799">
        <f t="shared" si="124"/>
        <v>2</v>
      </c>
      <c r="AH285" s="176">
        <f t="shared" si="119"/>
        <v>8</v>
      </c>
      <c r="AI285" s="224">
        <f t="shared" si="120"/>
        <v>2.4938853726677488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'2025'!Wh/'2025'!Env_an*'2026'!Env_an</f>
        <v>22.999214431339169</v>
      </c>
      <c r="C286" s="829"/>
      <c r="D286" s="391">
        <f t="shared" si="102"/>
        <v>24.273156768703213</v>
      </c>
      <c r="E286" s="383">
        <f t="shared" si="100"/>
        <v>25.608414356233116</v>
      </c>
      <c r="F286" s="383">
        <f t="shared" si="103"/>
        <v>25.609773867728254</v>
      </c>
      <c r="G286" s="110">
        <f t="shared" si="101"/>
        <v>0.55613400711780403</v>
      </c>
      <c r="H286" s="412" t="b">
        <f>Wh_hp&gt;='2025'!Maxi_hp</f>
        <v>0</v>
      </c>
      <c r="I286" s="388">
        <f>IF(H286,Wh_hp,'2025'!Maxi_hp)</f>
        <v>44.025423023353014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5.2483587095956574E-2</v>
      </c>
      <c r="M286" s="832"/>
      <c r="N286" s="832"/>
      <c r="O286" s="48">
        <f>IF(t&lt;Tnet,'2025'!Resal+('2025'!Salim-'2025'!Resal)*(1-EXP(('2025'!Tnet-t)/('2025'!Tau_j))),Resal+(Salim-Resal)*(1-EXP((Tnet-t)/(Tau_j))))*Salcycl</f>
        <v>5.2141361388308577E-2</v>
      </c>
      <c r="P286" s="169">
        <f>(INDEX(Models!$BJ286:$BT286,,T286)*(1-R286)+INDEX(Models!$BJ286:$BT286,,T286+1)*R286-ERP_i)*Q286*Ramure*Pc/MaxiM</f>
        <v>1.4505116193281928E-4</v>
      </c>
      <c r="Q286" s="304">
        <f t="shared" si="105"/>
        <v>0.6</v>
      </c>
      <c r="R286" s="177">
        <f t="shared" si="106"/>
        <v>0.96911266869968049</v>
      </c>
      <c r="S286" s="799">
        <f t="shared" si="107"/>
        <v>-2</v>
      </c>
      <c r="T286" s="176">
        <f t="shared" si="108"/>
        <v>4</v>
      </c>
      <c r="U286" s="250">
        <f t="shared" si="109"/>
        <v>-1.0308873313003195</v>
      </c>
      <c r="V286" s="382">
        <f t="shared" si="110"/>
        <v>41.351722588782451</v>
      </c>
      <c r="W286" s="400">
        <f t="shared" si="111"/>
        <v>22.999214431339169</v>
      </c>
      <c r="X286" s="157">
        <f t="shared" si="112"/>
        <v>46294</v>
      </c>
      <c r="Y286" s="383">
        <f t="shared" si="113"/>
        <v>22.167746260094912</v>
      </c>
      <c r="Z286" s="383">
        <f t="shared" si="114"/>
        <v>23.395633002443702</v>
      </c>
      <c r="AA286" s="384">
        <f t="shared" si="115"/>
        <v>25.573095185996674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8.5146603010546329E-2</v>
      </c>
      <c r="AD286" s="230">
        <f>(INDEX(Models!$BJ286:$BT286,,AH286)*(1-AF286)+INDEX(Models!$BJ286:$BT286,,AH286+1)*AF286-ERP_i)*AE286*Ramure*Pc/MaxiM</f>
        <v>3.9133802269133546E-3</v>
      </c>
      <c r="AE286" s="304">
        <f t="shared" si="117"/>
        <v>0.6</v>
      </c>
      <c r="AF286" s="177">
        <f t="shared" si="118"/>
        <v>0.49410023507365919</v>
      </c>
      <c r="AG286" s="799">
        <f t="shared" si="124"/>
        <v>2</v>
      </c>
      <c r="AH286" s="176">
        <f t="shared" si="119"/>
        <v>8</v>
      </c>
      <c r="AI286" s="224">
        <f t="shared" si="120"/>
        <v>2.4941002350736592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'2025'!Wh/'2025'!Env_an*'2026'!Env_an</f>
        <v>27.294590068153756</v>
      </c>
      <c r="C287" s="829"/>
      <c r="D287" s="391">
        <f t="shared" si="102"/>
        <v>28.80700830196059</v>
      </c>
      <c r="E287" s="383">
        <f t="shared" si="100"/>
        <v>30.393138785914047</v>
      </c>
      <c r="F287" s="383">
        <f t="shared" si="103"/>
        <v>30.395497310266325</v>
      </c>
      <c r="G287" s="110">
        <f t="shared" si="101"/>
        <v>0.66486845211504686</v>
      </c>
      <c r="H287" s="412" t="b">
        <f>Wh_hp&gt;='2025'!Maxi_hp</f>
        <v>0</v>
      </c>
      <c r="I287" s="388">
        <f>IF(H287,Wh_hp,'2025'!Maxi_hp)</f>
        <v>36.159220038545989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5.2501746031846652E-2</v>
      </c>
      <c r="M287" s="832"/>
      <c r="N287" s="832"/>
      <c r="O287" s="48">
        <f>IF(t&lt;Tnet,'2025'!Resal+('2025'!Salim-'2025'!Resal)*(1-EXP(('2025'!Tnet-t)/('2025'!Tau_j))),Resal+(Salim-Resal)*(1-EXP((Tnet-t)/(Tau_j))))*Salcycl</f>
        <v>5.2187123387485178E-2</v>
      </c>
      <c r="P287" s="169">
        <f>(INDEX(Models!$BJ287:$BT287,,T287)*(1-R287)+INDEX(Models!$BJ287:$BT287,,T287+1)*R287-ERP_i)*Q287*Ramure*Pc/MaxiM</f>
        <v>1.4884575241604564E-4</v>
      </c>
      <c r="Q287" s="304">
        <f t="shared" si="105"/>
        <v>0.6</v>
      </c>
      <c r="R287" s="177">
        <f t="shared" si="106"/>
        <v>0.96931905544248931</v>
      </c>
      <c r="S287" s="799">
        <f t="shared" si="107"/>
        <v>-2</v>
      </c>
      <c r="T287" s="176">
        <f t="shared" si="108"/>
        <v>4</v>
      </c>
      <c r="U287" s="250">
        <f t="shared" si="109"/>
        <v>-1.0306809445575107</v>
      </c>
      <c r="V287" s="382">
        <f t="shared" si="110"/>
        <v>41.049691946625629</v>
      </c>
      <c r="W287" s="400">
        <f t="shared" si="111"/>
        <v>27.294590068153756</v>
      </c>
      <c r="X287" s="157">
        <f t="shared" si="112"/>
        <v>46295</v>
      </c>
      <c r="Y287" s="383">
        <f t="shared" si="113"/>
        <v>26.291600642116887</v>
      </c>
      <c r="Z287" s="383">
        <f t="shared" si="114"/>
        <v>27.748442313225183</v>
      </c>
      <c r="AA287" s="384">
        <f t="shared" si="115"/>
        <v>30.331034138508588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8.5146843773602834E-2</v>
      </c>
      <c r="AD287" s="230">
        <f>(INDEX(Models!$BJ287:$BT287,,AH287)*(1-AF287)+INDEX(Models!$BJ287:$BT287,,AH287+1)*AF287-ERP_i)*AE287*Ramure*Pc/MaxiM</f>
        <v>4.0682511054604209E-3</v>
      </c>
      <c r="AE287" s="304">
        <f t="shared" si="117"/>
        <v>0.6</v>
      </c>
      <c r="AF287" s="177">
        <f t="shared" si="118"/>
        <v>0.49430662181646801</v>
      </c>
      <c r="AG287" s="799">
        <f t="shared" si="124"/>
        <v>2</v>
      </c>
      <c r="AH287" s="176">
        <f t="shared" si="119"/>
        <v>8</v>
      </c>
      <c r="AI287" s="224">
        <f t="shared" si="120"/>
        <v>2.494306621816468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'2025'!Wh/'2025'!Env_an*'2026'!Env_an</f>
        <v>35.666739435083784</v>
      </c>
      <c r="C288" s="829"/>
      <c r="D288" s="391">
        <f t="shared" si="102"/>
        <v>37.643787567662606</v>
      </c>
      <c r="E288" s="383">
        <f t="shared" si="100"/>
        <v>39.718360621997952</v>
      </c>
      <c r="F288" s="383">
        <f t="shared" si="103"/>
        <v>39.723345797987044</v>
      </c>
      <c r="G288" s="110">
        <f t="shared" si="101"/>
        <v>0.87533374903336059</v>
      </c>
      <c r="H288" s="412" t="b">
        <f>Wh_hp&gt;='2025'!Maxi_hp</f>
        <v>0</v>
      </c>
      <c r="I288" s="388">
        <f>IF(H288,Wh_hp,'2025'!Maxi_hp)</f>
        <v>44.503895100671492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5.2519904619724889E-2</v>
      </c>
      <c r="M288" s="832"/>
      <c r="N288" s="832"/>
      <c r="O288" s="48">
        <f>IF(t&lt;Tnet,'2025'!Resal+('2025'!Salim-'2025'!Resal)*(1-EXP(('2025'!Tnet-t)/('2025'!Tau_j))),Resal+(Salim-Resal)*(1-EXP((Tnet-t)/(Tau_j))))*Salcycl</f>
        <v>5.2232091703864204E-2</v>
      </c>
      <c r="P288" s="169">
        <f>(INDEX(Models!$BJ288:$BT288,,T288)*(1-R288)+INDEX(Models!$BJ288:$BT288,,T288+1)*R288-ERP_i)*Q288*Ramure*Pc/MaxiM</f>
        <v>1.5268448092352127E-4</v>
      </c>
      <c r="Q288" s="304">
        <f t="shared" si="105"/>
        <v>0.6</v>
      </c>
      <c r="R288" s="177">
        <f t="shared" si="106"/>
        <v>0.96951729414523768</v>
      </c>
      <c r="S288" s="799">
        <f t="shared" si="107"/>
        <v>-2</v>
      </c>
      <c r="T288" s="176">
        <f t="shared" si="108"/>
        <v>4</v>
      </c>
      <c r="U288" s="250">
        <f t="shared" si="109"/>
        <v>-1.0304827058547623</v>
      </c>
      <c r="V288" s="382">
        <f t="shared" si="110"/>
        <v>40.745338195480102</v>
      </c>
      <c r="W288" s="400">
        <f t="shared" si="111"/>
        <v>35.666739435083784</v>
      </c>
      <c r="X288" s="157">
        <f t="shared" si="112"/>
        <v>46296</v>
      </c>
      <c r="Y288" s="383">
        <f t="shared" si="113"/>
        <v>34.312681568025091</v>
      </c>
      <c r="Z288" s="383">
        <f t="shared" si="114"/>
        <v>36.21467272539752</v>
      </c>
      <c r="AA288" s="384">
        <f t="shared" si="115"/>
        <v>39.585190135173868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8.5145919427615319E-2</v>
      </c>
      <c r="AD288" s="230">
        <f>(INDEX(Models!$BJ288:$BT288,,AH288)*(1-AF288)+INDEX(Models!$BJ288:$BT288,,AH288+1)*AF288-ERP_i)*AE288*Ramure*Pc/MaxiM</f>
        <v>4.2313903680487623E-3</v>
      </c>
      <c r="AE288" s="304">
        <f t="shared" si="117"/>
        <v>0.6</v>
      </c>
      <c r="AF288" s="177">
        <f t="shared" si="118"/>
        <v>0.49450486051921638</v>
      </c>
      <c r="AG288" s="799">
        <f t="shared" si="124"/>
        <v>2</v>
      </c>
      <c r="AH288" s="176">
        <f t="shared" si="119"/>
        <v>8</v>
      </c>
      <c r="AI288" s="224">
        <f t="shared" si="120"/>
        <v>2.4945048605192164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'2025'!Wh/'2025'!Env_an*'2026'!Env_an</f>
        <v>38.034561752256302</v>
      </c>
      <c r="C289" s="829"/>
      <c r="D289" s="391">
        <f t="shared" si="102"/>
        <v>40.143630325721524</v>
      </c>
      <c r="E289" s="383">
        <f t="shared" si="100"/>
        <v>42.357944917957099</v>
      </c>
      <c r="F289" s="383">
        <f t="shared" si="103"/>
        <v>42.364014921604813</v>
      </c>
      <c r="G289" s="110">
        <f t="shared" si="101"/>
        <v>0.9405702058722708</v>
      </c>
      <c r="H289" s="412" t="b">
        <f>Wh_hp&gt;='2025'!Maxi_hp</f>
        <v>1</v>
      </c>
      <c r="I289" s="388">
        <f>IF(H289,Wh_hp,'2025'!Maxi_hp)</f>
        <v>42.364014921604813</v>
      </c>
      <c r="J289" s="85">
        <f>IF(H289,An,'2025'!An_max)</f>
        <v>2026</v>
      </c>
      <c r="K289" s="197">
        <f t="shared" si="104"/>
        <v>46297</v>
      </c>
      <c r="L289" s="147">
        <f>IF(t&lt;Tvie,1-EXP((T0-t)*PertePVj)+'2025'!Pspv,1-EXP((T0-t)*PertePVj)+Pspv)</f>
        <v>5.2538062859597945E-2</v>
      </c>
      <c r="M289" s="832"/>
      <c r="N289" s="832"/>
      <c r="O289" s="48">
        <f>IF(t&lt;Tnet,'2025'!Resal+('2025'!Salim-'2025'!Resal)*(1-EXP(('2025'!Tnet-t)/('2025'!Tau_j))),Resal+(Salim-Resal)*(1-EXP((Tnet-t)/(Tau_j))))*Salcycl</f>
        <v>5.2276251752167532E-2</v>
      </c>
      <c r="P289" s="169">
        <f>(INDEX(Models!$BJ289:$BT289,,T289)*(1-R289)+INDEX(Models!$BJ289:$BT289,,T289+1)*R289-ERP_i)*Q289*Ramure*Pc/MaxiM</f>
        <v>1.56572205292728E-4</v>
      </c>
      <c r="Q289" s="304">
        <f t="shared" si="105"/>
        <v>0.6</v>
      </c>
      <c r="R289" s="177">
        <f t="shared" si="106"/>
        <v>0.96970770029239395</v>
      </c>
      <c r="S289" s="799">
        <f t="shared" si="107"/>
        <v>-2</v>
      </c>
      <c r="T289" s="176">
        <f t="shared" si="108"/>
        <v>4</v>
      </c>
      <c r="U289" s="250">
        <f t="shared" si="109"/>
        <v>-1.0302922997076061</v>
      </c>
      <c r="V289" s="382">
        <f t="shared" si="110"/>
        <v>40.437232604005558</v>
      </c>
      <c r="W289" s="400">
        <f t="shared" si="111"/>
        <v>38.034561752256302</v>
      </c>
      <c r="X289" s="157">
        <f t="shared" si="112"/>
        <v>46297</v>
      </c>
      <c r="Y289" s="383">
        <f t="shared" si="113"/>
        <v>36.57280673656652</v>
      </c>
      <c r="Z289" s="383">
        <f t="shared" si="114"/>
        <v>38.600818991155826</v>
      </c>
      <c r="AA289" s="384">
        <f t="shared" si="115"/>
        <v>42.193318872668144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8.5143808960699091E-2</v>
      </c>
      <c r="AD289" s="230">
        <f>(INDEX(Models!$BJ289:$BT289,,AH289)*(1-AF289)+INDEX(Models!$BJ289:$BT289,,AH289+1)*AF289-ERP_i)*AE289*Ramure*Pc/MaxiM</f>
        <v>4.4030050668642509E-3</v>
      </c>
      <c r="AE289" s="304">
        <f t="shared" si="117"/>
        <v>0.6</v>
      </c>
      <c r="AF289" s="177">
        <f t="shared" si="118"/>
        <v>0.49469526666637265</v>
      </c>
      <c r="AG289" s="799">
        <f t="shared" si="124"/>
        <v>2</v>
      </c>
      <c r="AH289" s="176">
        <f t="shared" si="119"/>
        <v>8</v>
      </c>
      <c r="AI289" s="224">
        <f t="shared" si="120"/>
        <v>2.4946952666663726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'2025'!Wh/'2025'!Env_an*'2026'!Env_an</f>
        <v>36.719771258775886</v>
      </c>
      <c r="C290" s="829"/>
      <c r="D290" s="391">
        <f t="shared" si="102"/>
        <v>38.756675660375812</v>
      </c>
      <c r="E290" s="383">
        <f t="shared" si="100"/>
        <v>40.896356259547304</v>
      </c>
      <c r="F290" s="383">
        <f t="shared" si="103"/>
        <v>40.902141338670724</v>
      </c>
      <c r="G290" s="110">
        <f t="shared" si="101"/>
        <v>0.91513355585958656</v>
      </c>
      <c r="H290" s="412" t="b">
        <f>Wh_hp&gt;='2025'!Maxi_hp</f>
        <v>1</v>
      </c>
      <c r="I290" s="388">
        <f>IF(H290,Wh_hp,'2025'!Maxi_hp)</f>
        <v>40.902141338670724</v>
      </c>
      <c r="J290" s="85">
        <f>IF(H290,An,'2025'!An_max)</f>
        <v>2026</v>
      </c>
      <c r="K290" s="197">
        <f t="shared" si="104"/>
        <v>46298</v>
      </c>
      <c r="L290" s="147">
        <f>IF(t&lt;Tvie,1-EXP((T0-t)*PertePVj)+'2025'!Pspv,1-EXP((T0-t)*PertePVj)+Pspv)</f>
        <v>5.2556220751472371E-2</v>
      </c>
      <c r="M290" s="832"/>
      <c r="N290" s="832"/>
      <c r="O290" s="48">
        <f>IF(t&lt;Tnet,'2025'!Resal+('2025'!Salim-'2025'!Resal)*(1-EXP(('2025'!Tnet-t)/('2025'!Tau_j))),Resal+(Salim-Resal)*(1-EXP((Tnet-t)/(Tau_j))))*Salcycl</f>
        <v>5.2319590175517905E-2</v>
      </c>
      <c r="P290" s="169">
        <f>(INDEX(Models!$BJ290:$BT290,,T290)*(1-R290)+INDEX(Models!$BJ290:$BT290,,T290+1)*R290-ERP_i)*Q290*Ramure*Pc/MaxiM</f>
        <v>1.609456611104547E-4</v>
      </c>
      <c r="Q290" s="304">
        <f t="shared" si="105"/>
        <v>0.6</v>
      </c>
      <c r="R290" s="177">
        <f t="shared" si="106"/>
        <v>0.96989057763818209</v>
      </c>
      <c r="S290" s="799">
        <f t="shared" si="107"/>
        <v>-2</v>
      </c>
      <c r="T290" s="176">
        <f t="shared" si="108"/>
        <v>4</v>
      </c>
      <c r="U290" s="250">
        <f t="shared" si="109"/>
        <v>-1.0301094223618179</v>
      </c>
      <c r="V290" s="382">
        <f t="shared" si="110"/>
        <v>40.124257898111388</v>
      </c>
      <c r="W290" s="400">
        <f t="shared" si="111"/>
        <v>36.719771258775886</v>
      </c>
      <c r="X290" s="157">
        <f t="shared" si="112"/>
        <v>46298</v>
      </c>
      <c r="Y290" s="383">
        <f t="shared" si="113"/>
        <v>35.310175122755211</v>
      </c>
      <c r="Z290" s="383">
        <f t="shared" si="114"/>
        <v>37.268886973707033</v>
      </c>
      <c r="AA290" s="384">
        <f t="shared" si="115"/>
        <v>40.73727900927576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8.5140493423210228E-2</v>
      </c>
      <c r="AD290" s="230">
        <f>(INDEX(Models!$BJ290:$BT290,,AH290)*(1-AF290)+INDEX(Models!$BJ290:$BT290,,AH290+1)*AF290-ERP_i)*AE290*Ramure*Pc/MaxiM</f>
        <v>4.5866056506065362E-3</v>
      </c>
      <c r="AE290" s="304">
        <f t="shared" si="117"/>
        <v>0.6</v>
      </c>
      <c r="AF290" s="177">
        <f t="shared" si="118"/>
        <v>0.49487814401216079</v>
      </c>
      <c r="AG290" s="799">
        <f t="shared" si="124"/>
        <v>2</v>
      </c>
      <c r="AH290" s="176">
        <f t="shared" si="119"/>
        <v>8</v>
      </c>
      <c r="AI290" s="224">
        <f t="shared" si="120"/>
        <v>2.4948781440121608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'2025'!Wh/'2025'!Env_an*'2026'!Env_an</f>
        <v>40.452374652673598</v>
      </c>
      <c r="C291" s="829"/>
      <c r="D291" s="391">
        <f t="shared" si="102"/>
        <v>42.697150811575177</v>
      </c>
      <c r="E291" s="383">
        <f t="shared" si="100"/>
        <v>45.056398215128127</v>
      </c>
      <c r="F291" s="383">
        <f t="shared" si="103"/>
        <v>45.06387018011818</v>
      </c>
      <c r="G291" s="110">
        <f t="shared" si="101"/>
        <v>1.0162124309112452</v>
      </c>
      <c r="H291" s="412" t="b">
        <f>Wh_hp&gt;='2025'!Maxi_hp</f>
        <v>1</v>
      </c>
      <c r="I291" s="388">
        <f>IF(H291,Wh_hp,'2025'!Maxi_hp)</f>
        <v>45.06387018011818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5.2574378295355051E-2</v>
      </c>
      <c r="M291" s="832"/>
      <c r="N291" s="832"/>
      <c r="O291" s="48">
        <f>IF(t&lt;Tnet,'2025'!Resal+('2025'!Salim-'2025'!Resal)*(1-EXP(('2025'!Tnet-t)/('2025'!Tau_j))),Resal+(Salim-Resal)*(1-EXP((Tnet-t)/(Tau_j))))*Salcycl</f>
        <v>5.2362094996772524E-2</v>
      </c>
      <c r="P291" s="169">
        <f>(INDEX(Models!$BJ291:$BT291,,T291)*(1-R291)+INDEX(Models!$BJ291:$BT291,,T291+1)*R291-ERP_i)*Q291*Ramure*Pc/MaxiM</f>
        <v>1.6580832849438809E-4</v>
      </c>
      <c r="Q291" s="304">
        <f t="shared" si="105"/>
        <v>0.6</v>
      </c>
      <c r="R291" s="177">
        <f t="shared" si="106"/>
        <v>0.97006621860451259</v>
      </c>
      <c r="S291" s="799">
        <f t="shared" si="107"/>
        <v>-2</v>
      </c>
      <c r="T291" s="176">
        <f t="shared" si="108"/>
        <v>4</v>
      </c>
      <c r="U291" s="250">
        <f t="shared" si="109"/>
        <v>-1.0299337813954874</v>
      </c>
      <c r="V291" s="382">
        <f t="shared" si="110"/>
        <v>39.807006313039928</v>
      </c>
      <c r="W291" s="400">
        <f t="shared" si="111"/>
        <v>40.452374652673598</v>
      </c>
      <c r="X291" s="157">
        <f t="shared" si="112"/>
        <v>46299</v>
      </c>
      <c r="Y291" s="383">
        <f t="shared" si="113"/>
        <v>38.873077948277597</v>
      </c>
      <c r="Z291" s="383">
        <f t="shared" si="114"/>
        <v>41.030216048343348</v>
      </c>
      <c r="AA291" s="384">
        <f t="shared" si="115"/>
        <v>44.848430020631035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8.5135956164602553E-2</v>
      </c>
      <c r="AD291" s="230">
        <f>(INDEX(Models!$BJ291:$BT291,,AH291)*(1-AF291)+INDEX(Models!$BJ291:$BT291,,AH291+1)*AF291-ERP_i)*AE291*Ramure*Pc/MaxiM</f>
        <v>4.7807735692925969E-3</v>
      </c>
      <c r="AE291" s="304">
        <f t="shared" si="117"/>
        <v>0.6</v>
      </c>
      <c r="AF291" s="177">
        <f t="shared" si="118"/>
        <v>0.49505378497849106</v>
      </c>
      <c r="AG291" s="799">
        <f t="shared" si="124"/>
        <v>2</v>
      </c>
      <c r="AH291" s="176">
        <f t="shared" si="119"/>
        <v>8</v>
      </c>
      <c r="AI291" s="224">
        <f t="shared" si="120"/>
        <v>2.4950537849784911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'2025'!Wh/'2025'!Env_an*'2026'!Env_an</f>
        <v>41.245942700534151</v>
      </c>
      <c r="C292" s="829"/>
      <c r="D292" s="391">
        <f t="shared" si="102"/>
        <v>43.535589749571074</v>
      </c>
      <c r="E292" s="383">
        <f t="shared" si="100"/>
        <v>45.943185206384925</v>
      </c>
      <c r="F292" s="383">
        <f t="shared" si="103"/>
        <v>45.951050325579978</v>
      </c>
      <c r="G292" s="110">
        <f t="shared" si="101"/>
        <v>1.0445694605831346</v>
      </c>
      <c r="H292" s="412" t="b">
        <f>Wh_hp&gt;='2025'!Maxi_hp</f>
        <v>1</v>
      </c>
      <c r="I292" s="388">
        <f>IF(H292,Wh_hp,'2025'!Maxi_hp)</f>
        <v>45.951050325579978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5.2592535491252423E-2</v>
      </c>
      <c r="M292" s="832"/>
      <c r="N292" s="832"/>
      <c r="O292" s="48">
        <f>IF(t&lt;Tnet,'2025'!Resal+('2025'!Salim-'2025'!Resal)*(1-EXP(('2025'!Tnet-t)/('2025'!Tau_j))),Resal+(Salim-Resal)*(1-EXP((Tnet-t)/(Tau_j))))*Salcycl</f>
        <v>5.240375576918558E-2</v>
      </c>
      <c r="P292" s="169">
        <f>(INDEX(Models!$BJ292:$BT292,,T292)*(1-R292)+INDEX(Models!$BJ292:$BT292,,T292+1)*R292-ERP_i)*Q292*Ramure*Pc/MaxiM</f>
        <v>1.7116299060244102E-4</v>
      </c>
      <c r="Q292" s="304">
        <f t="shared" si="105"/>
        <v>0.6</v>
      </c>
      <c r="R292" s="177">
        <f t="shared" si="106"/>
        <v>0.97023490466849416</v>
      </c>
      <c r="S292" s="799">
        <f t="shared" si="107"/>
        <v>-2</v>
      </c>
      <c r="T292" s="176">
        <f t="shared" si="108"/>
        <v>4</v>
      </c>
      <c r="U292" s="250">
        <f t="shared" si="109"/>
        <v>-1.0297650953315058</v>
      </c>
      <c r="V292" s="382">
        <f t="shared" si="110"/>
        <v>39.486069866056063</v>
      </c>
      <c r="W292" s="400">
        <f t="shared" si="111"/>
        <v>41.245942700534151</v>
      </c>
      <c r="X292" s="157">
        <f t="shared" si="112"/>
        <v>46300</v>
      </c>
      <c r="Y292" s="383">
        <f t="shared" si="113"/>
        <v>39.62971409694979</v>
      </c>
      <c r="Z292" s="383">
        <f t="shared" si="114"/>
        <v>41.829640974486836</v>
      </c>
      <c r="AA292" s="384">
        <f t="shared" si="115"/>
        <v>45.721959780859869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8.5130183068015355E-2</v>
      </c>
      <c r="AD292" s="230">
        <f>(INDEX(Models!$BJ292:$BT292,,AH292)*(1-AF292)+INDEX(Models!$BJ292:$BT292,,AH292+1)*AF292-ERP_i)*AE292*Ramure*Pc/MaxiM</f>
        <v>4.9855344567081459E-3</v>
      </c>
      <c r="AE292" s="304">
        <f t="shared" si="117"/>
        <v>0.6</v>
      </c>
      <c r="AF292" s="177">
        <f t="shared" si="118"/>
        <v>0.49522247104247308</v>
      </c>
      <c r="AG292" s="799">
        <f t="shared" si="124"/>
        <v>2</v>
      </c>
      <c r="AH292" s="176">
        <f t="shared" si="119"/>
        <v>8</v>
      </c>
      <c r="AI292" s="224">
        <f t="shared" si="120"/>
        <v>2.4952224710424731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'2025'!Wh/'2025'!Env_an*'2026'!Env_an</f>
        <v>11.394847823911395</v>
      </c>
      <c r="C293" s="829"/>
      <c r="D293" s="391">
        <f t="shared" si="102"/>
        <v>12.027629752383508</v>
      </c>
      <c r="E293" s="383">
        <f t="shared" si="100"/>
        <v>12.693325679885552</v>
      </c>
      <c r="F293" s="383">
        <f t="shared" si="103"/>
        <v>12.693325679885552</v>
      </c>
      <c r="G293" s="110">
        <f t="shared" si="101"/>
        <v>0.29091514898161369</v>
      </c>
      <c r="H293" s="412" t="b">
        <f>Wh_hp&gt;='2025'!Maxi_hp</f>
        <v>0</v>
      </c>
      <c r="I293" s="388">
        <f>IF(H293,Wh_hp,'2025'!Maxi_hp)</f>
        <v>29.938480404074163</v>
      </c>
      <c r="J293" s="85">
        <f>IF(H293,An,'2025'!An_max)</f>
        <v>2020</v>
      </c>
      <c r="K293" s="197">
        <f t="shared" si="104"/>
        <v>46301</v>
      </c>
      <c r="L293" s="147">
        <f>IF(t&lt;Tvie,1-EXP((T0-t)*PertePVj)+'2025'!Pspv,1-EXP((T0-t)*PertePVj)+Pspv)</f>
        <v>5.2610692339171372E-2</v>
      </c>
      <c r="M293" s="832"/>
      <c r="N293" s="832"/>
      <c r="O293" s="48">
        <f>IF(t&lt;Tnet,'2025'!Resal+('2025'!Salim-'2025'!Resal)*(1-EXP(('2025'!Tnet-t)/('2025'!Tau_j))),Resal+(Salim-Resal)*(1-EXP((Tnet-t)/(Tau_j))))*Salcycl</f>
        <v>5.2444563725087198E-2</v>
      </c>
      <c r="P293" s="169">
        <f>(INDEX(Models!$BJ293:$BT293,,T293)*(1-R293)+INDEX(Models!$BJ293:$BT293,,T293+1)*R293-ERP_i)*Q293*Ramure*Pc/MaxiM</f>
        <v>1.7701202380917053E-4</v>
      </c>
      <c r="Q293" s="304">
        <f t="shared" si="105"/>
        <v>0.6</v>
      </c>
      <c r="R293" s="177">
        <f t="shared" si="106"/>
        <v>0.97039690673953327</v>
      </c>
      <c r="S293" s="799">
        <f t="shared" si="107"/>
        <v>-2</v>
      </c>
      <c r="T293" s="176">
        <f t="shared" si="108"/>
        <v>4</v>
      </c>
      <c r="U293" s="250">
        <f t="shared" si="109"/>
        <v>-1.0296030932604667</v>
      </c>
      <c r="V293" s="382">
        <f t="shared" si="110"/>
        <v>39.162040336225786</v>
      </c>
      <c r="W293" s="400">
        <f t="shared" si="111"/>
        <v>11.394847823911395</v>
      </c>
      <c r="X293" s="157">
        <f t="shared" si="112"/>
        <v>46301</v>
      </c>
      <c r="Y293" s="383">
        <f t="shared" si="113"/>
        <v>11.001870643812328</v>
      </c>
      <c r="Z293" s="383">
        <f t="shared" si="114"/>
        <v>11.612829651810962</v>
      </c>
      <c r="AA293" s="384">
        <f t="shared" si="115"/>
        <v>12.693325679885552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8.5123162780483541E-2</v>
      </c>
      <c r="AD293" s="230">
        <f>(INDEX(Models!$BJ293:$BT293,,AH293)*(1-AF293)+INDEX(Models!$BJ293:$BT293,,AH293+1)*AF293-ERP_i)*AE293*Ramure*Pc/MaxiM</f>
        <v>5.200899572525286E-3</v>
      </c>
      <c r="AE293" s="304">
        <f t="shared" si="117"/>
        <v>0.6</v>
      </c>
      <c r="AF293" s="177">
        <f t="shared" si="118"/>
        <v>0.49538447311351197</v>
      </c>
      <c r="AG293" s="799">
        <f t="shared" si="124"/>
        <v>2</v>
      </c>
      <c r="AH293" s="176">
        <f t="shared" si="119"/>
        <v>8</v>
      </c>
      <c r="AI293" s="224">
        <f t="shared" si="120"/>
        <v>2.495384473113512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'2025'!Wh/'2025'!Env_an*'2026'!Env_an</f>
        <v>28.625221190306608</v>
      </c>
      <c r="C294" s="829"/>
      <c r="D294" s="391">
        <f t="shared" si="102"/>
        <v>30.215424182201538</v>
      </c>
      <c r="E294" s="383">
        <f t="shared" si="100"/>
        <v>31.889108476177199</v>
      </c>
      <c r="F294" s="383">
        <f t="shared" si="103"/>
        <v>31.892759898232907</v>
      </c>
      <c r="G294" s="110">
        <f t="shared" si="101"/>
        <v>0.73703809163558087</v>
      </c>
      <c r="H294" s="412" t="b">
        <f>Wh_hp&gt;='2025'!Maxi_hp</f>
        <v>0</v>
      </c>
      <c r="I294" s="388">
        <f>IF(H294,Wh_hp,'2025'!Maxi_hp)</f>
        <v>43.826307821277801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5.2628848839118447E-2</v>
      </c>
      <c r="M294" s="832"/>
      <c r="N294" s="832"/>
      <c r="O294" s="48">
        <f>IF(t&lt;Tnet,'2025'!Resal+('2025'!Salim-'2025'!Resal)*(1-EXP(('2025'!Tnet-t)/('2025'!Tau_j))),Resal+(Salim-Resal)*(1-EXP((Tnet-t)/(Tau_j))))*Salcycl</f>
        <v>5.2484511921240748E-2</v>
      </c>
      <c r="P294" s="169">
        <f>(INDEX(Models!$BJ294:$BT294,,T294)*(1-R294)+INDEX(Models!$BJ294:$BT294,,T294+1)*R294-ERP_i)*Q294*Ramure*Pc/MaxiM</f>
        <v>1.8335731258502933E-4</v>
      </c>
      <c r="Q294" s="304">
        <f t="shared" si="105"/>
        <v>0.6</v>
      </c>
      <c r="R294" s="177">
        <f t="shared" si="106"/>
        <v>0.97055248552605633</v>
      </c>
      <c r="S294" s="799">
        <f t="shared" si="107"/>
        <v>-2</v>
      </c>
      <c r="T294" s="176">
        <f t="shared" si="108"/>
        <v>4</v>
      </c>
      <c r="U294" s="250">
        <f t="shared" si="109"/>
        <v>-1.0294475144739437</v>
      </c>
      <c r="V294" s="382">
        <f t="shared" si="110"/>
        <v>38.835509270541131</v>
      </c>
      <c r="W294" s="400">
        <f t="shared" si="111"/>
        <v>28.625221190306608</v>
      </c>
      <c r="X294" s="157">
        <f t="shared" si="112"/>
        <v>46302</v>
      </c>
      <c r="Y294" s="383">
        <f t="shared" si="113"/>
        <v>27.548925808162</v>
      </c>
      <c r="Z294" s="383">
        <f t="shared" si="114"/>
        <v>29.07933788611183</v>
      </c>
      <c r="AA294" s="384">
        <f t="shared" si="115"/>
        <v>31.784688012622322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8.5114886936632564E-2</v>
      </c>
      <c r="AD294" s="230">
        <f>(INDEX(Models!$BJ294:$BT294,,AH294)*(1-AF294)+INDEX(Models!$BJ294:$BT294,,AH294+1)*AF294-ERP_i)*AE294*Ramure*Pc/MaxiM</f>
        <v>5.4268638928153352E-3</v>
      </c>
      <c r="AE294" s="304">
        <f t="shared" si="117"/>
        <v>0.6</v>
      </c>
      <c r="AF294" s="177">
        <f t="shared" si="118"/>
        <v>0.49554005190003503</v>
      </c>
      <c r="AG294" s="799">
        <f t="shared" si="124"/>
        <v>2</v>
      </c>
      <c r="AH294" s="176">
        <f t="shared" si="119"/>
        <v>8</v>
      </c>
      <c r="AI294" s="224">
        <f t="shared" si="120"/>
        <v>2.495540051900035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'2025'!Wh/'2025'!Env_an*'2026'!Env_an</f>
        <v>16.521789788678429</v>
      </c>
      <c r="C295" s="829"/>
      <c r="D295" s="391">
        <f t="shared" si="102"/>
        <v>17.439950974687342</v>
      </c>
      <c r="E295" s="383">
        <f t="shared" si="100"/>
        <v>18.406739090957231</v>
      </c>
      <c r="F295" s="383">
        <f t="shared" si="103"/>
        <v>18.407384584610554</v>
      </c>
      <c r="G295" s="110">
        <f t="shared" si="101"/>
        <v>0.42899206530900225</v>
      </c>
      <c r="H295" s="412" t="b">
        <f>Wh_hp&gt;='2025'!Maxi_hp</f>
        <v>0</v>
      </c>
      <c r="I295" s="388">
        <f>IF(H295,Wh_hp,'2025'!Maxi_hp)</f>
        <v>40.63677888339361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5.2647004991100421E-2</v>
      </c>
      <c r="M295" s="832"/>
      <c r="N295" s="832"/>
      <c r="O295" s="48">
        <f>IF(t&lt;Tnet,'2025'!Resal+('2025'!Salim-'2025'!Resal)*(1-EXP(('2025'!Tnet-t)/('2025'!Tau_j))),Resal+(Salim-Resal)*(1-EXP((Tnet-t)/(Tau_j))))*Salcycl</f>
        <v>5.2523595379523141E-2</v>
      </c>
      <c r="P295" s="169">
        <f>(INDEX(Models!$BJ295:$BT295,,T295)*(1-R295)+INDEX(Models!$BJ295:$BT295,,T295+1)*R295-ERP_i)*Q295*Ramure*Pc/MaxiM</f>
        <v>1.9020016255669056E-4</v>
      </c>
      <c r="Q295" s="304">
        <f t="shared" si="105"/>
        <v>0.6</v>
      </c>
      <c r="R295" s="177">
        <f t="shared" si="106"/>
        <v>0.97070189189191747</v>
      </c>
      <c r="S295" s="799">
        <f t="shared" si="107"/>
        <v>-2</v>
      </c>
      <c r="T295" s="176">
        <f t="shared" si="108"/>
        <v>4</v>
      </c>
      <c r="U295" s="250">
        <f t="shared" si="109"/>
        <v>-1.0292981081080825</v>
      </c>
      <c r="V295" s="382">
        <f t="shared" si="110"/>
        <v>38.507067982946282</v>
      </c>
      <c r="W295" s="400">
        <f t="shared" si="111"/>
        <v>16.521789788678429</v>
      </c>
      <c r="X295" s="157">
        <f t="shared" si="112"/>
        <v>46303</v>
      </c>
      <c r="Y295" s="383">
        <f t="shared" si="113"/>
        <v>15.937540340397437</v>
      </c>
      <c r="Z295" s="383">
        <f t="shared" si="114"/>
        <v>16.823233181679779</v>
      </c>
      <c r="AA295" s="384">
        <f t="shared" si="115"/>
        <v>18.388164351547573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8.510535037370863E-2</v>
      </c>
      <c r="AD295" s="230">
        <f>(INDEX(Models!$BJ295:$BT295,,AH295)*(1-AF295)+INDEX(Models!$BJ295:$BT295,,AH295+1)*AF295-ERP_i)*AE295*Ramure*Pc/MaxiM</f>
        <v>5.6634041777880589E-3</v>
      </c>
      <c r="AE295" s="304">
        <f t="shared" si="117"/>
        <v>0.6</v>
      </c>
      <c r="AF295" s="177">
        <f t="shared" si="118"/>
        <v>0.49568945826589594</v>
      </c>
      <c r="AG295" s="799">
        <f t="shared" si="124"/>
        <v>2</v>
      </c>
      <c r="AH295" s="176">
        <f t="shared" si="119"/>
        <v>8</v>
      </c>
      <c r="AI295" s="224">
        <f t="shared" si="120"/>
        <v>2.4956894582658959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'2025'!Wh/'2025'!Env_an*'2026'!Env_an</f>
        <v>37.727370789097698</v>
      </c>
      <c r="C296" s="829"/>
      <c r="D296" s="391">
        <f t="shared" si="102"/>
        <v>39.824747520911721</v>
      </c>
      <c r="E296" s="383">
        <f t="shared" si="100"/>
        <v>42.034137944407163</v>
      </c>
      <c r="F296" s="383">
        <f t="shared" si="103"/>
        <v>42.042309042252768</v>
      </c>
      <c r="G296" s="110">
        <f t="shared" si="101"/>
        <v>0.98821139933171021</v>
      </c>
      <c r="H296" s="412" t="b">
        <f>Wh_hp&gt;='2025'!Maxi_hp</f>
        <v>1</v>
      </c>
      <c r="I296" s="388">
        <f>IF(H296,Wh_hp,'2025'!Maxi_hp)</f>
        <v>42.042309042252768</v>
      </c>
      <c r="J296" s="85">
        <f>IF(H296,An,'2025'!An_max)</f>
        <v>2026</v>
      </c>
      <c r="K296" s="197">
        <f t="shared" si="104"/>
        <v>46304</v>
      </c>
      <c r="L296" s="147">
        <f>IF(t&lt;Tvie,1-EXP((T0-t)*PertePVj)+'2025'!Pspv,1-EXP((T0-t)*PertePVj)+Pspv)</f>
        <v>5.2665160795123844E-2</v>
      </c>
      <c r="M296" s="832"/>
      <c r="N296" s="832"/>
      <c r="O296" s="48">
        <f>IF(t&lt;Tnet,'2025'!Resal+('2025'!Salim-'2025'!Resal)*(1-EXP(('2025'!Tnet-t)/('2025'!Tau_j))),Resal+(Salim-Resal)*(1-EXP((Tnet-t)/(Tau_j))))*Salcycl</f>
        <v>5.2561811221571914E-2</v>
      </c>
      <c r="P296" s="169">
        <f>(INDEX(Models!$BJ296:$BT296,,T296)*(1-R296)+INDEX(Models!$BJ296:$BT296,,T296+1)*R296-ERP_i)*Q296*Ramure*Pc/MaxiM</f>
        <v>1.9768237629927022E-4</v>
      </c>
      <c r="Q296" s="304">
        <f t="shared" si="105"/>
        <v>0.6</v>
      </c>
      <c r="R296" s="177">
        <f t="shared" si="106"/>
        <v>0.97084536720258008</v>
      </c>
      <c r="S296" s="799">
        <f t="shared" si="107"/>
        <v>-2</v>
      </c>
      <c r="T296" s="176">
        <f t="shared" si="108"/>
        <v>4</v>
      </c>
      <c r="U296" s="250">
        <f t="shared" si="109"/>
        <v>-1.0291546327974199</v>
      </c>
      <c r="V296" s="382">
        <f t="shared" si="110"/>
        <v>38.177302169879916</v>
      </c>
      <c r="W296" s="400">
        <f t="shared" si="111"/>
        <v>37.727370789097698</v>
      </c>
      <c r="X296" s="157">
        <f t="shared" si="112"/>
        <v>46304</v>
      </c>
      <c r="Y296" s="383">
        <f t="shared" si="113"/>
        <v>36.227342272577872</v>
      </c>
      <c r="Z296" s="383">
        <f t="shared" si="114"/>
        <v>38.241327958533084</v>
      </c>
      <c r="AA296" s="384">
        <f t="shared" si="115"/>
        <v>41.798120247690399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8.5094551335806637E-2</v>
      </c>
      <c r="AD296" s="230">
        <f>(INDEX(Models!$BJ296:$BT296,,AH296)*(1-AF296)+INDEX(Models!$BJ296:$BT296,,AH296+1)*AF296-ERP_i)*AE296*Ramure*Pc/MaxiM</f>
        <v>5.9076298053042401E-3</v>
      </c>
      <c r="AE296" s="304">
        <f t="shared" si="117"/>
        <v>0.6</v>
      </c>
      <c r="AF296" s="177">
        <f t="shared" si="118"/>
        <v>0.49583293357655878</v>
      </c>
      <c r="AG296" s="799">
        <f t="shared" si="124"/>
        <v>2</v>
      </c>
      <c r="AH296" s="176">
        <f t="shared" si="119"/>
        <v>8</v>
      </c>
      <c r="AI296" s="224">
        <f t="shared" si="120"/>
        <v>2.4958329335765588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'2025'!Wh/'2025'!Env_an*'2026'!Env_an</f>
        <v>30.291322902822674</v>
      </c>
      <c r="C297" s="829"/>
      <c r="D297" s="391">
        <f t="shared" si="102"/>
        <v>31.975920431329463</v>
      </c>
      <c r="E297" s="383">
        <f t="shared" ref="E297:E360" si="125">Wh_pvt/(1-Psa)</f>
        <v>33.751205446149683</v>
      </c>
      <c r="F297" s="383">
        <f t="shared" si="103"/>
        <v>33.75617076368578</v>
      </c>
      <c r="G297" s="110">
        <f t="shared" ref="G297:G360" si="126">+Wh_hp/MaxiM</f>
        <v>0.80031976192902832</v>
      </c>
      <c r="H297" s="412" t="b">
        <f>Wh_hp&gt;='2025'!Maxi_hp</f>
        <v>1</v>
      </c>
      <c r="I297" s="388">
        <f>IF(H297,Wh_hp,'2025'!Maxi_hp)</f>
        <v>33.75617076368578</v>
      </c>
      <c r="J297" s="85">
        <f>IF(H297,An,'2025'!An_max)</f>
        <v>2026</v>
      </c>
      <c r="K297" s="197">
        <f t="shared" si="104"/>
        <v>46305</v>
      </c>
      <c r="L297" s="147">
        <f>IF(t&lt;Tvie,1-EXP((T0-t)*PertePVj)+'2025'!Pspv,1-EXP((T0-t)*PertePVj)+Pspv)</f>
        <v>5.2683316251195378E-2</v>
      </c>
      <c r="M297" s="832"/>
      <c r="N297" s="832"/>
      <c r="O297" s="48">
        <f>IF(t&lt;Tnet,'2025'!Resal+('2025'!Salim-'2025'!Resal)*(1-EXP(('2025'!Tnet-t)/('2025'!Tau_j))),Resal+(Salim-Resal)*(1-EXP((Tnet-t)/(Tau_j))))*Salcycl</f>
        <v>5.2599158796052592E-2</v>
      </c>
      <c r="P297" s="169">
        <f>(INDEX(Models!$BJ297:$BT297,,T297)*(1-R297)+INDEX(Models!$BJ297:$BT297,,T297+1)*R297-ERP_i)*Q297*Ramure*Pc/MaxiM</f>
        <v>2.0578014007052367E-4</v>
      </c>
      <c r="Q297" s="304">
        <f t="shared" si="105"/>
        <v>0.6</v>
      </c>
      <c r="R297" s="177">
        <f t="shared" si="106"/>
        <v>0.97098314366117111</v>
      </c>
      <c r="S297" s="799">
        <f t="shared" si="107"/>
        <v>-2</v>
      </c>
      <c r="T297" s="176">
        <f t="shared" si="108"/>
        <v>4</v>
      </c>
      <c r="U297" s="250">
        <f t="shared" si="109"/>
        <v>-1.0290168563388289</v>
      </c>
      <c r="V297" s="382">
        <f t="shared" si="110"/>
        <v>37.846803727703154</v>
      </c>
      <c r="W297" s="400">
        <f t="shared" si="111"/>
        <v>30.291322902822674</v>
      </c>
      <c r="X297" s="157">
        <f t="shared" si="112"/>
        <v>46305</v>
      </c>
      <c r="Y297" s="383">
        <f t="shared" si="113"/>
        <v>29.128347331063257</v>
      </c>
      <c r="Z297" s="383">
        <f t="shared" si="114"/>
        <v>30.748268061525113</v>
      </c>
      <c r="AA297" s="384">
        <f t="shared" si="115"/>
        <v>33.607694443937646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8.5082491665188636E-2</v>
      </c>
      <c r="AD297" s="230">
        <f>(INDEX(Models!$BJ297:$BT297,,AH297)*(1-AF297)+INDEX(Models!$BJ297:$BT297,,AH297+1)*AF297-ERP_i)*AE297*Ramure*Pc/MaxiM</f>
        <v>6.1533784401096763E-3</v>
      </c>
      <c r="AE297" s="304">
        <f t="shared" si="117"/>
        <v>0.6</v>
      </c>
      <c r="AF297" s="177">
        <f t="shared" si="118"/>
        <v>0.49597071003514959</v>
      </c>
      <c r="AG297" s="799">
        <f t="shared" si="124"/>
        <v>2</v>
      </c>
      <c r="AH297" s="176">
        <f t="shared" si="119"/>
        <v>8</v>
      </c>
      <c r="AI297" s="224">
        <f t="shared" si="120"/>
        <v>2.4959707100351496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'2025'!Wh/'2025'!Env_an*'2026'!Env_an</f>
        <v>22.034840720444574</v>
      </c>
      <c r="C298" s="829"/>
      <c r="D298" s="391">
        <f t="shared" si="102"/>
        <v>23.26071460499719</v>
      </c>
      <c r="E298" s="383">
        <f t="shared" si="125"/>
        <v>24.553081773118887</v>
      </c>
      <c r="F298" s="383">
        <f t="shared" si="103"/>
        <v>24.555243797880237</v>
      </c>
      <c r="G298" s="110">
        <f t="shared" si="126"/>
        <v>0.58726832046207689</v>
      </c>
      <c r="H298" s="412" t="b">
        <f>Wh_hp&gt;='2025'!Maxi_hp</f>
        <v>0</v>
      </c>
      <c r="I298" s="388">
        <f>IF(H298,Wh_hp,'2025'!Maxi_hp)</f>
        <v>42.372842429013986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5.2701471359321683E-2</v>
      </c>
      <c r="M298" s="832"/>
      <c r="N298" s="832"/>
      <c r="O298" s="48">
        <f>IF(t&lt;Tnet,'2025'!Resal+('2025'!Salim-'2025'!Resal)*(1-EXP(('2025'!Tnet-t)/('2025'!Tau_j))),Resal+(Salim-Resal)*(1-EXP((Tnet-t)/(Tau_j))))*Salcycl</f>
        <v>5.2635639797224978E-2</v>
      </c>
      <c r="P298" s="169">
        <f>(INDEX(Models!$BJ298:$BT298,,T298)*(1-R298)+INDEX(Models!$BJ298:$BT298,,T298+1)*R298-ERP_i)*Q298*Ramure*Pc/MaxiM</f>
        <v>2.1449365251018606E-4</v>
      </c>
      <c r="Q298" s="304">
        <f t="shared" si="105"/>
        <v>0.6</v>
      </c>
      <c r="R298" s="177">
        <f t="shared" si="106"/>
        <v>0.97111544463453736</v>
      </c>
      <c r="S298" s="799">
        <f t="shared" si="107"/>
        <v>-2</v>
      </c>
      <c r="T298" s="176">
        <f t="shared" si="108"/>
        <v>4</v>
      </c>
      <c r="U298" s="250">
        <f t="shared" si="109"/>
        <v>-1.0288845553654626</v>
      </c>
      <c r="V298" s="382">
        <f t="shared" si="110"/>
        <v>37.516163368365461</v>
      </c>
      <c r="W298" s="400">
        <f t="shared" si="111"/>
        <v>22.034840720444574</v>
      </c>
      <c r="X298" s="157">
        <f t="shared" si="112"/>
        <v>46306</v>
      </c>
      <c r="Y298" s="383">
        <f t="shared" si="113"/>
        <v>21.226424083508082</v>
      </c>
      <c r="Z298" s="383">
        <f t="shared" si="114"/>
        <v>22.407322973431452</v>
      </c>
      <c r="AA298" s="384">
        <f t="shared" si="115"/>
        <v>24.490729145440888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8.5069176978639541E-2</v>
      </c>
      <c r="AD298" s="230">
        <f>(INDEX(Models!$BJ298:$BT298,,AH298)*(1-AF298)+INDEX(Models!$BJ298:$BT298,,AH298+1)*AF298-ERP_i)*AE298*Ramure*Pc/MaxiM</f>
        <v>6.4004740785160198E-3</v>
      </c>
      <c r="AE298" s="304">
        <f t="shared" si="117"/>
        <v>0.6</v>
      </c>
      <c r="AF298" s="177">
        <f t="shared" si="118"/>
        <v>0.49610301100851606</v>
      </c>
      <c r="AG298" s="799">
        <f t="shared" si="124"/>
        <v>2</v>
      </c>
      <c r="AH298" s="176">
        <f t="shared" si="119"/>
        <v>8</v>
      </c>
      <c r="AI298" s="224">
        <f t="shared" si="120"/>
        <v>2.4961030110085161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'2025'!Wh/'2025'!Env_an*'2026'!Env_an</f>
        <v>27.352114997982021</v>
      </c>
      <c r="C299" s="829"/>
      <c r="D299" s="391">
        <f t="shared" si="102"/>
        <v>28.874360487313112</v>
      </c>
      <c r="E299" s="383">
        <f t="shared" si="125"/>
        <v>30.479768235194125</v>
      </c>
      <c r="F299" s="383">
        <f t="shared" si="103"/>
        <v>30.484013593178403</v>
      </c>
      <c r="G299" s="110">
        <f t="shared" si="126"/>
        <v>0.735487085410367</v>
      </c>
      <c r="H299" s="412" t="b">
        <f>Wh_hp&gt;='2025'!Maxi_hp</f>
        <v>0</v>
      </c>
      <c r="I299" s="388">
        <f>IF(H299,Wh_hp,'2025'!Maxi_hp)</f>
        <v>40.061070375868503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5.2719626119509644E-2</v>
      </c>
      <c r="M299" s="832"/>
      <c r="N299" s="832"/>
      <c r="O299" s="48">
        <f>IF(t&lt;Tnet,'2025'!Resal+('2025'!Salim-'2025'!Resal)*(1-EXP(('2025'!Tnet-t)/('2025'!Tau_j))),Resal+(Salim-Resal)*(1-EXP((Tnet-t)/(Tau_j))))*Salcycl</f>
        <v>5.26712583735231E-2</v>
      </c>
      <c r="P299" s="169">
        <f>(INDEX(Models!$BJ299:$BT299,,T299)*(1-R299)+INDEX(Models!$BJ299:$BT299,,T299+1)*R299-ERP_i)*Q299*Ramure*Pc/MaxiM</f>
        <v>2.2382206631116946E-4</v>
      </c>
      <c r="Q299" s="304">
        <f t="shared" si="105"/>
        <v>0.6</v>
      </c>
      <c r="R299" s="177">
        <f t="shared" si="106"/>
        <v>0.97124248496943877</v>
      </c>
      <c r="S299" s="799">
        <f t="shared" si="107"/>
        <v>-2</v>
      </c>
      <c r="T299" s="176">
        <f t="shared" si="108"/>
        <v>4</v>
      </c>
      <c r="U299" s="250">
        <f t="shared" si="109"/>
        <v>-1.0287575150305612</v>
      </c>
      <c r="V299" s="382">
        <f t="shared" si="110"/>
        <v>37.185971590003753</v>
      </c>
      <c r="W299" s="400">
        <f t="shared" si="111"/>
        <v>27.352114997982021</v>
      </c>
      <c r="X299" s="157">
        <f t="shared" si="112"/>
        <v>46307</v>
      </c>
      <c r="Y299" s="383">
        <f t="shared" si="113"/>
        <v>26.311492677632934</v>
      </c>
      <c r="Z299" s="383">
        <f t="shared" si="114"/>
        <v>27.775823719274491</v>
      </c>
      <c r="AA299" s="384">
        <f t="shared" si="115"/>
        <v>30.35790357556121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8.5054616826879648E-2</v>
      </c>
      <c r="AD299" s="230">
        <f>(INDEX(Models!$BJ299:$BT299,,AH299)*(1-AF299)+INDEX(Models!$BJ299:$BT299,,AH299+1)*AF299-ERP_i)*AE299*Ramure*Pc/MaxiM</f>
        <v>6.6487219287905365E-3</v>
      </c>
      <c r="AE299" s="304">
        <f t="shared" si="117"/>
        <v>0.6</v>
      </c>
      <c r="AF299" s="177">
        <f t="shared" si="118"/>
        <v>0.49623005134341769</v>
      </c>
      <c r="AG299" s="799">
        <f t="shared" si="124"/>
        <v>2</v>
      </c>
      <c r="AH299" s="176">
        <f t="shared" si="119"/>
        <v>8</v>
      </c>
      <c r="AI299" s="224">
        <f t="shared" si="120"/>
        <v>2.4962300513434177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'2025'!Wh/'2025'!Env_an*'2026'!Env_an</f>
        <v>22.904093902804259</v>
      </c>
      <c r="C300" s="829"/>
      <c r="D300" s="391">
        <f t="shared" si="102"/>
        <v>24.179254098893498</v>
      </c>
      <c r="E300" s="383">
        <f t="shared" si="125"/>
        <v>25.524551660466486</v>
      </c>
      <c r="F300" s="383">
        <f t="shared" si="103"/>
        <v>25.52729181770809</v>
      </c>
      <c r="G300" s="110">
        <f t="shared" si="126"/>
        <v>0.62135579924729767</v>
      </c>
      <c r="H300" s="412" t="b">
        <f>Wh_hp&gt;='2025'!Maxi_hp</f>
        <v>0</v>
      </c>
      <c r="I300" s="388">
        <f>IF(H300,Wh_hp,'2025'!Maxi_hp)</f>
        <v>39.39832701671196</v>
      </c>
      <c r="J300" s="85">
        <f>IF(H300,An,'2025'!An_max)</f>
        <v>2018</v>
      </c>
      <c r="K300" s="197">
        <f t="shared" si="104"/>
        <v>46308</v>
      </c>
      <c r="L300" s="147">
        <f>IF(t&lt;Tvie,1-EXP((T0-t)*PertePVj)+'2025'!Pspv,1-EXP((T0-t)*PertePVj)+Pspv)</f>
        <v>5.2737780531765588E-2</v>
      </c>
      <c r="M300" s="832"/>
      <c r="N300" s="832"/>
      <c r="O300" s="48">
        <f>IF(t&lt;Tnet,'2025'!Resal+('2025'!Salim-'2025'!Resal)*(1-EXP(('2025'!Tnet-t)/('2025'!Tau_j))),Resal+(Salim-Resal)*(1-EXP((Tnet-t)/(Tau_j))))*Salcycl</f>
        <v>5.2706021224915037E-2</v>
      </c>
      <c r="P300" s="169">
        <f>(INDEX(Models!$BJ300:$BT300,,T300)*(1-R300)+INDEX(Models!$BJ300:$BT300,,T300+1)*R300-ERP_i)*Q300*Ramure*Pc/MaxiM</f>
        <v>2.3376337521834238E-4</v>
      </c>
      <c r="Q300" s="304">
        <f t="shared" si="105"/>
        <v>0.6</v>
      </c>
      <c r="R300" s="177">
        <f t="shared" si="106"/>
        <v>0.97136447129903303</v>
      </c>
      <c r="S300" s="799">
        <f t="shared" si="107"/>
        <v>-2</v>
      </c>
      <c r="T300" s="176">
        <f t="shared" si="108"/>
        <v>4</v>
      </c>
      <c r="U300" s="250">
        <f t="shared" si="109"/>
        <v>-1.028635528700967</v>
      </c>
      <c r="V300" s="382">
        <f t="shared" si="110"/>
        <v>36.856818683666006</v>
      </c>
      <c r="W300" s="400">
        <f t="shared" si="111"/>
        <v>22.904093902804259</v>
      </c>
      <c r="X300" s="157">
        <f t="shared" si="112"/>
        <v>46308</v>
      </c>
      <c r="Y300" s="383">
        <f t="shared" si="113"/>
        <v>22.054632727662266</v>
      </c>
      <c r="Z300" s="383">
        <f t="shared" si="114"/>
        <v>23.282500108621559</v>
      </c>
      <c r="AA300" s="384">
        <f t="shared" si="115"/>
        <v>25.446435040729085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8.5038824835147644E-2</v>
      </c>
      <c r="AD300" s="230">
        <f>(INDEX(Models!$BJ300:$BT300,,AH300)*(1-AF300)+INDEX(Models!$BJ300:$BT300,,AH300+1)*AF300-ERP_i)*AE300*Ramure*Pc/MaxiM</f>
        <v>6.8979081962537185E-3</v>
      </c>
      <c r="AE300" s="304">
        <f t="shared" si="117"/>
        <v>0.6</v>
      </c>
      <c r="AF300" s="177">
        <f t="shared" si="118"/>
        <v>0.49635203767301173</v>
      </c>
      <c r="AG300" s="799">
        <f t="shared" si="124"/>
        <v>2</v>
      </c>
      <c r="AH300" s="176">
        <f t="shared" si="119"/>
        <v>8</v>
      </c>
      <c r="AI300" s="224">
        <f t="shared" si="120"/>
        <v>2.4963520376730117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'2025'!Wh/'2025'!Env_an*'2026'!Env_an</f>
        <v>17.805987827299113</v>
      </c>
      <c r="C301" s="829"/>
      <c r="D301" s="391">
        <f t="shared" si="102"/>
        <v>18.797676837074366</v>
      </c>
      <c r="E301" s="383">
        <f t="shared" si="125"/>
        <v>19.844261977214462</v>
      </c>
      <c r="F301" s="383">
        <f t="shared" si="103"/>
        <v>19.845560309638699</v>
      </c>
      <c r="G301" s="110">
        <f t="shared" si="126"/>
        <v>0.48735685672004098</v>
      </c>
      <c r="H301" s="412" t="b">
        <f>Wh_hp&gt;='2025'!Maxi_hp</f>
        <v>0</v>
      </c>
      <c r="I301" s="388">
        <f>IF(H301,Wh_hp,'2025'!Maxi_hp)</f>
        <v>42.332847154201126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5.275593459609651E-2</v>
      </c>
      <c r="M301" s="832"/>
      <c r="N301" s="832"/>
      <c r="O301" s="48">
        <f>IF(t&lt;Tnet,'2025'!Resal+('2025'!Salim-'2025'!Resal)*(1-EXP(('2025'!Tnet-t)/('2025'!Tau_j))),Resal+(Salim-Resal)*(1-EXP((Tnet-t)/(Tau_j))))*Salcycl</f>
        <v>5.2739937687871725E-2</v>
      </c>
      <c r="P301" s="169">
        <f>(INDEX(Models!$BJ301:$BT301,,T301)*(1-R301)+INDEX(Models!$BJ301:$BT301,,T301+1)*R301-ERP_i)*Q301*Ramure*Pc/MaxiM</f>
        <v>2.4431430136538851E-4</v>
      </c>
      <c r="Q301" s="304">
        <f t="shared" si="105"/>
        <v>0.6</v>
      </c>
      <c r="R301" s="177">
        <f t="shared" si="106"/>
        <v>0.97148160233981384</v>
      </c>
      <c r="S301" s="799">
        <f t="shared" si="107"/>
        <v>-2</v>
      </c>
      <c r="T301" s="176">
        <f t="shared" si="108"/>
        <v>4</v>
      </c>
      <c r="U301" s="250">
        <f t="shared" si="109"/>
        <v>-1.0285183976601862</v>
      </c>
      <c r="V301" s="382">
        <f t="shared" si="110"/>
        <v>36.529294737203863</v>
      </c>
      <c r="W301" s="400">
        <f t="shared" si="111"/>
        <v>17.805987827299113</v>
      </c>
      <c r="X301" s="157">
        <f t="shared" si="112"/>
        <v>46309</v>
      </c>
      <c r="Y301" s="383">
        <f t="shared" si="113"/>
        <v>17.167377297146977</v>
      </c>
      <c r="Z301" s="383">
        <f t="shared" si="114"/>
        <v>18.123499448715819</v>
      </c>
      <c r="AA301" s="384">
        <f t="shared" si="115"/>
        <v>19.807575548310801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8.5021818823182591E-2</v>
      </c>
      <c r="AD301" s="230">
        <f>(INDEX(Models!$BJ301:$BT301,,AH301)*(1-AF301)+INDEX(Models!$BJ301:$BT301,,AH301+1)*AF301-ERP_i)*AE301*Ramure*Pc/MaxiM</f>
        <v>7.1477999417623407E-3</v>
      </c>
      <c r="AE301" s="304">
        <f t="shared" si="117"/>
        <v>0.6</v>
      </c>
      <c r="AF301" s="177">
        <f t="shared" si="118"/>
        <v>0.49646916871379254</v>
      </c>
      <c r="AG301" s="799">
        <f t="shared" si="124"/>
        <v>2</v>
      </c>
      <c r="AH301" s="176">
        <f t="shared" si="119"/>
        <v>8</v>
      </c>
      <c r="AI301" s="224">
        <f t="shared" si="120"/>
        <v>2.4964691687137925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'2025'!Wh/'2025'!Env_an*'2026'!Env_an</f>
        <v>36.592223727166719</v>
      </c>
      <c r="C302" s="829"/>
      <c r="D302" s="391">
        <f t="shared" si="102"/>
        <v>38.630936163873891</v>
      </c>
      <c r="E302" s="383">
        <f t="shared" si="125"/>
        <v>40.783188160451864</v>
      </c>
      <c r="F302" s="383">
        <f t="shared" si="103"/>
        <v>40.793609711418071</v>
      </c>
      <c r="G302" s="110">
        <f t="shared" si="126"/>
        <v>1.0107235166651864</v>
      </c>
      <c r="H302" s="412" t="b">
        <f>Wh_hp&gt;='2025'!Maxi_hp</f>
        <v>1</v>
      </c>
      <c r="I302" s="388">
        <f>IF(H302,Wh_hp,'2025'!Maxi_hp)</f>
        <v>40.793609711418071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5.2774088312508849E-2</v>
      </c>
      <c r="M302" s="832"/>
      <c r="N302" s="832"/>
      <c r="O302" s="48">
        <f>IF(t&lt;Tnet,'2025'!Resal+('2025'!Salim-'2025'!Resal)*(1-EXP(('2025'!Tnet-t)/('2025'!Tau_j))),Resal+(Salim-Resal)*(1-EXP((Tnet-t)/(Tau_j))))*Salcycl</f>
        <v>5.2773019806849043E-2</v>
      </c>
      <c r="P302" s="169">
        <f>(INDEX(Models!$BJ302:$BT302,,T302)*(1-R302)+INDEX(Models!$BJ302:$BT302,,T302+1)*R302-ERP_i)*Q302*Ramure*Pc/MaxiM</f>
        <v>2.5547018368631805E-4</v>
      </c>
      <c r="Q302" s="304">
        <f t="shared" si="105"/>
        <v>0.6</v>
      </c>
      <c r="R302" s="177">
        <f t="shared" si="106"/>
        <v>0.97159406917917979</v>
      </c>
      <c r="S302" s="799">
        <f t="shared" si="107"/>
        <v>-2</v>
      </c>
      <c r="T302" s="176">
        <f t="shared" si="108"/>
        <v>4</v>
      </c>
      <c r="U302" s="250">
        <f t="shared" si="109"/>
        <v>-1.0284059308208202</v>
      </c>
      <c r="V302" s="382">
        <f t="shared" si="110"/>
        <v>36.203989640906222</v>
      </c>
      <c r="W302" s="400">
        <f t="shared" si="111"/>
        <v>36.592223727166719</v>
      </c>
      <c r="X302" s="157">
        <f t="shared" si="112"/>
        <v>46310</v>
      </c>
      <c r="Y302" s="383">
        <f t="shared" si="113"/>
        <v>35.094589288937513</v>
      </c>
      <c r="Z302" s="383">
        <f t="shared" si="114"/>
        <v>37.049861976871178</v>
      </c>
      <c r="AA302" s="384">
        <f t="shared" si="115"/>
        <v>40.491812670815008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8.5003620902964941E-2</v>
      </c>
      <c r="AD302" s="230">
        <f>(INDEX(Models!$BJ302:$BT302,,AH302)*(1-AF302)+INDEX(Models!$BJ302:$BT302,,AH302+1)*AF302-ERP_i)*AE302*Ramure*Pc/MaxiM</f>
        <v>7.3981450216843133E-3</v>
      </c>
      <c r="AE302" s="304">
        <f t="shared" si="117"/>
        <v>0.6</v>
      </c>
      <c r="AF302" s="177">
        <f t="shared" si="118"/>
        <v>0.49658163555315848</v>
      </c>
      <c r="AG302" s="799">
        <f t="shared" si="124"/>
        <v>2</v>
      </c>
      <c r="AH302" s="176">
        <f t="shared" si="119"/>
        <v>8</v>
      </c>
      <c r="AI302" s="224">
        <f t="shared" si="120"/>
        <v>2.4965816355531585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'2025'!Wh/'2025'!Env_an*'2026'!Env_an</f>
        <v>32.300832296382836</v>
      </c>
      <c r="C303" s="829"/>
      <c r="D303" s="391">
        <f t="shared" si="102"/>
        <v>34.10110613294291</v>
      </c>
      <c r="E303" s="383">
        <f t="shared" si="125"/>
        <v>36.002213165878004</v>
      </c>
      <c r="F303" s="383">
        <f t="shared" si="103"/>
        <v>36.010465690464784</v>
      </c>
      <c r="G303" s="110">
        <f t="shared" si="126"/>
        <v>0.90023824886258907</v>
      </c>
      <c r="H303" s="412" t="b">
        <f>Wh_hp&gt;='2025'!Maxi_hp</f>
        <v>0</v>
      </c>
      <c r="I303" s="388">
        <f>IF(H303,Wh_hp,'2025'!Maxi_hp)</f>
        <v>38.803370286376357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5.2792241681009378E-2</v>
      </c>
      <c r="M303" s="832"/>
      <c r="N303" s="832"/>
      <c r="O303" s="48">
        <f>IF(t&lt;Tnet,'2025'!Resal+('2025'!Salim-'2025'!Resal)*(1-EXP(('2025'!Tnet-t)/('2025'!Tau_j))),Resal+(Salim-Resal)*(1-EXP((Tnet-t)/(Tau_j))))*Salcycl</f>
        <v>5.2805282391275632E-2</v>
      </c>
      <c r="P303" s="169">
        <f>(INDEX(Models!$BJ303:$BT303,,T303)*(1-R303)+INDEX(Models!$BJ303:$BT303,,T303+1)*R303-ERP_i)*Q303*Ramure*Pc/MaxiM</f>
        <v>2.6724381162198724E-4</v>
      </c>
      <c r="Q303" s="304">
        <f t="shared" si="105"/>
        <v>0.6</v>
      </c>
      <c r="R303" s="177">
        <f t="shared" si="106"/>
        <v>0.97170205555381273</v>
      </c>
      <c r="S303" s="799">
        <f t="shared" si="107"/>
        <v>-2</v>
      </c>
      <c r="T303" s="176">
        <f t="shared" si="108"/>
        <v>4</v>
      </c>
      <c r="U303" s="250">
        <f t="shared" si="109"/>
        <v>-1.0282979444461873</v>
      </c>
      <c r="V303" s="382">
        <f t="shared" si="110"/>
        <v>35.878948983801664</v>
      </c>
      <c r="W303" s="400">
        <f t="shared" si="111"/>
        <v>32.300832296382836</v>
      </c>
      <c r="X303" s="157">
        <f t="shared" si="112"/>
        <v>46311</v>
      </c>
      <c r="Y303" s="383">
        <f t="shared" si="113"/>
        <v>31.005906590359469</v>
      </c>
      <c r="Z303" s="383">
        <f t="shared" si="114"/>
        <v>32.734008265922192</v>
      </c>
      <c r="AA303" s="384">
        <f t="shared" si="115"/>
        <v>35.774256930676273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8.4984257552728801E-2</v>
      </c>
      <c r="AD303" s="230">
        <f>(INDEX(Models!$BJ303:$BT303,,AH303)*(1-AF303)+INDEX(Models!$BJ303:$BT303,,AH303+1)*AF303-ERP_i)*AE303*Ramure*Pc/MaxiM</f>
        <v>7.6492143271519883E-3</v>
      </c>
      <c r="AE303" s="304">
        <f t="shared" si="117"/>
        <v>0.6</v>
      </c>
      <c r="AF303" s="177">
        <f t="shared" si="118"/>
        <v>0.49668962192779142</v>
      </c>
      <c r="AG303" s="799">
        <f t="shared" si="124"/>
        <v>2</v>
      </c>
      <c r="AH303" s="176">
        <f t="shared" si="119"/>
        <v>8</v>
      </c>
      <c r="AI303" s="224">
        <f t="shared" si="120"/>
        <v>2.4966896219277914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'2025'!Wh/'2025'!Env_an*'2026'!Env_an</f>
        <v>19.178027013631457</v>
      </c>
      <c r="C304" s="829"/>
      <c r="D304" s="391">
        <f t="shared" si="102"/>
        <v>20.247294634942453</v>
      </c>
      <c r="E304" s="383">
        <f t="shared" si="125"/>
        <v>21.376773736234426</v>
      </c>
      <c r="F304" s="383">
        <f t="shared" si="103"/>
        <v>21.37881732919379</v>
      </c>
      <c r="G304" s="110">
        <f t="shared" si="126"/>
        <v>0.53933433263956454</v>
      </c>
      <c r="H304" s="412" t="b">
        <f>Wh_hp&gt;='2025'!Maxi_hp</f>
        <v>0</v>
      </c>
      <c r="I304" s="388">
        <f>IF(H304,Wh_hp,'2025'!Maxi_hp)</f>
        <v>35.6425652403491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5.2810394701604757E-2</v>
      </c>
      <c r="M304" s="832"/>
      <c r="N304" s="832"/>
      <c r="O304" s="48">
        <f>IF(t&lt;Tnet,'2025'!Resal+('2025'!Salim-'2025'!Resal)*(1-EXP(('2025'!Tnet-t)/('2025'!Tau_j))),Resal+(Salim-Resal)*(1-EXP((Tnet-t)/(Tau_j))))*Salcycl</f>
        <v>5.2836743057137051E-2</v>
      </c>
      <c r="P304" s="169">
        <f>(INDEX(Models!$BJ304:$BT304,,T304)*(1-R304)+INDEX(Models!$BJ304:$BT304,,T304+1)*R304-ERP_i)*Q304*Ramure*Pc/MaxiM</f>
        <v>2.7946266352554518E-4</v>
      </c>
      <c r="Q304" s="304">
        <f t="shared" si="105"/>
        <v>0.6</v>
      </c>
      <c r="R304" s="177">
        <f t="shared" si="106"/>
        <v>0.97180573811905768</v>
      </c>
      <c r="S304" s="799">
        <f t="shared" si="107"/>
        <v>-2</v>
      </c>
      <c r="T304" s="176">
        <f t="shared" si="108"/>
        <v>4</v>
      </c>
      <c r="U304" s="250">
        <f t="shared" si="109"/>
        <v>-1.0281942618809423</v>
      </c>
      <c r="V304" s="382">
        <f t="shared" si="110"/>
        <v>35.552159752973516</v>
      </c>
      <c r="W304" s="400">
        <f t="shared" si="111"/>
        <v>19.178027013631457</v>
      </c>
      <c r="X304" s="157">
        <f t="shared" si="112"/>
        <v>46312</v>
      </c>
      <c r="Y304" s="383">
        <f t="shared" si="113"/>
        <v>18.479236148537751</v>
      </c>
      <c r="Z304" s="383">
        <f t="shared" si="114"/>
        <v>19.50954280449076</v>
      </c>
      <c r="AA304" s="384">
        <f t="shared" si="115"/>
        <v>21.321060242781108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8.4963759665924357E-2</v>
      </c>
      <c r="AD304" s="230">
        <f>(INDEX(Models!$BJ304:$BT304,,AH304)*(1-AF304)+INDEX(Models!$BJ304:$BT304,,AH304+1)*AF304-ERP_i)*AE304*Ramure*Pc/MaxiM</f>
        <v>7.8983190524315981E-3</v>
      </c>
      <c r="AE304" s="304">
        <f t="shared" si="117"/>
        <v>0.6</v>
      </c>
      <c r="AF304" s="177">
        <f t="shared" si="118"/>
        <v>0.49679330449303638</v>
      </c>
      <c r="AG304" s="799">
        <f t="shared" si="124"/>
        <v>2</v>
      </c>
      <c r="AH304" s="176">
        <f t="shared" si="119"/>
        <v>8</v>
      </c>
      <c r="AI304" s="224">
        <f t="shared" si="120"/>
        <v>2.4967933044930364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'2025'!Wh/'2025'!Env_an*'2026'!Env_an</f>
        <v>33.833237230583805</v>
      </c>
      <c r="C305" s="829"/>
      <c r="D305" s="391">
        <f t="shared" si="102"/>
        <v>35.72028816619536</v>
      </c>
      <c r="E305" s="383">
        <f t="shared" si="125"/>
        <v>37.714137392614056</v>
      </c>
      <c r="F305" s="383">
        <f t="shared" si="103"/>
        <v>37.724519778064753</v>
      </c>
      <c r="G305" s="110">
        <f t="shared" si="126"/>
        <v>0.96049727582041344</v>
      </c>
      <c r="H305" s="412" t="b">
        <f>Wh_hp&gt;='2025'!Maxi_hp</f>
        <v>0</v>
      </c>
      <c r="I305" s="388">
        <f>IF(H305,Wh_hp,'2025'!Maxi_hp)</f>
        <v>38.775386152374139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5.2828547374301649E-2</v>
      </c>
      <c r="M305" s="832"/>
      <c r="N305" s="832"/>
      <c r="O305" s="48">
        <f>IF(t&lt;Tnet,'2025'!Resal+('2025'!Salim-'2025'!Resal)*(1-EXP(('2025'!Tnet-t)/('2025'!Tau_j))),Resal+(Salim-Resal)*(1-EXP((Tnet-t)/(Tau_j))))*Salcycl</f>
        <v>5.2867422252355953E-2</v>
      </c>
      <c r="P305" s="169">
        <f>(INDEX(Models!$BJ305:$BT305,,T305)*(1-R305)+INDEX(Models!$BJ305:$BT305,,T305+1)*R305-ERP_i)*Q305*Ramure*Pc/MaxiM</f>
        <v>2.9166884618433015E-4</v>
      </c>
      <c r="Q305" s="304">
        <f t="shared" si="105"/>
        <v>0.6</v>
      </c>
      <c r="R305" s="177">
        <f t="shared" si="106"/>
        <v>0.97190528670949816</v>
      </c>
      <c r="S305" s="799">
        <f t="shared" si="107"/>
        <v>-2</v>
      </c>
      <c r="T305" s="176">
        <f t="shared" si="108"/>
        <v>4</v>
      </c>
      <c r="U305" s="250">
        <f t="shared" si="109"/>
        <v>-1.0280947132905018</v>
      </c>
      <c r="V305" s="382">
        <f t="shared" si="110"/>
        <v>35.224129490660715</v>
      </c>
      <c r="W305" s="400">
        <f t="shared" si="111"/>
        <v>33.833237230583805</v>
      </c>
      <c r="X305" s="157">
        <f t="shared" si="112"/>
        <v>46313</v>
      </c>
      <c r="Y305" s="383">
        <f t="shared" si="113"/>
        <v>32.445277752712734</v>
      </c>
      <c r="Z305" s="383">
        <f t="shared" si="114"/>
        <v>34.254915161103789</v>
      </c>
      <c r="AA305" s="384">
        <f t="shared" si="115"/>
        <v>37.4346994911933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8.4942162573992938E-2</v>
      </c>
      <c r="AD305" s="230">
        <f>(INDEX(Models!$BJ305:$BT305,,AH305)*(1-AF305)+INDEX(Models!$BJ305:$BT305,,AH305+1)*AF305-ERP_i)*AE305*Ramure*Pc/MaxiM</f>
        <v>8.1418233867404828E-3</v>
      </c>
      <c r="AE305" s="304">
        <f t="shared" si="117"/>
        <v>0.6</v>
      </c>
      <c r="AF305" s="177">
        <f t="shared" si="118"/>
        <v>0.49689285308347664</v>
      </c>
      <c r="AG305" s="799">
        <f t="shared" si="124"/>
        <v>2</v>
      </c>
      <c r="AH305" s="176">
        <f t="shared" si="119"/>
        <v>8</v>
      </c>
      <c r="AI305" s="224">
        <f t="shared" si="120"/>
        <v>2.4968928530834766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'2025'!Wh/'2025'!Env_an*'2026'!Env_an</f>
        <v>15.727778244536958</v>
      </c>
      <c r="C306" s="829"/>
      <c r="D306" s="391">
        <f t="shared" si="102"/>
        <v>16.605314302912245</v>
      </c>
      <c r="E306" s="383">
        <f t="shared" si="125"/>
        <v>17.532750209107952</v>
      </c>
      <c r="F306" s="383">
        <f t="shared" si="103"/>
        <v>17.533897298710723</v>
      </c>
      <c r="G306" s="110">
        <f t="shared" si="126"/>
        <v>0.45060526185696814</v>
      </c>
      <c r="H306" s="412" t="b">
        <f>Wh_hp&gt;='2025'!Maxi_hp</f>
        <v>0</v>
      </c>
      <c r="I306" s="388">
        <f>IF(H306,Wh_hp,'2025'!Maxi_hp)</f>
        <v>38.555741543850147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5.2846699699106714E-2</v>
      </c>
      <c r="M306" s="832"/>
      <c r="N306" s="832"/>
      <c r="O306" s="48">
        <f>IF(t&lt;Tnet,'2025'!Resal+('2025'!Salim-'2025'!Resal)*(1-EXP(('2025'!Tnet-t)/('2025'!Tau_j))),Resal+(Salim-Resal)*(1-EXP((Tnet-t)/(Tau_j))))*Salcycl</f>
        <v>5.2897343265286639E-2</v>
      </c>
      <c r="P306" s="169">
        <f>(INDEX(Models!$BJ306:$BT306,,T306)*(1-R306)+INDEX(Models!$BJ306:$BT306,,T306+1)*R306-ERP_i)*Q306*Ramure*Pc/MaxiM</f>
        <v>3.03855412077798E-4</v>
      </c>
      <c r="Q306" s="304">
        <f t="shared" si="105"/>
        <v>0.6</v>
      </c>
      <c r="R306" s="177">
        <f t="shared" si="106"/>
        <v>0.97200086459092816</v>
      </c>
      <c r="S306" s="799">
        <f t="shared" si="107"/>
        <v>-2</v>
      </c>
      <c r="T306" s="176">
        <f t="shared" si="108"/>
        <v>4</v>
      </c>
      <c r="U306" s="250">
        <f t="shared" si="109"/>
        <v>-1.0279991354090718</v>
      </c>
      <c r="V306" s="382">
        <f t="shared" si="110"/>
        <v>34.895349190715862</v>
      </c>
      <c r="W306" s="400">
        <f t="shared" si="111"/>
        <v>15.727778244536958</v>
      </c>
      <c r="X306" s="157">
        <f t="shared" si="112"/>
        <v>46314</v>
      </c>
      <c r="Y306" s="383">
        <f t="shared" si="113"/>
        <v>15.169588323200729</v>
      </c>
      <c r="Z306" s="383">
        <f t="shared" si="114"/>
        <v>16.015980009130125</v>
      </c>
      <c r="AA306" s="384">
        <f t="shared" si="115"/>
        <v>17.502263587606819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8.4919506042013773E-2</v>
      </c>
      <c r="AD306" s="230">
        <f>(INDEX(Models!$BJ306:$BT306,,AH306)*(1-AF306)+INDEX(Models!$BJ306:$BT306,,AH306+1)*AF306-ERP_i)*AE306*Ramure*Pc/MaxiM</f>
        <v>8.3795322525950233E-3</v>
      </c>
      <c r="AE306" s="304">
        <f t="shared" si="117"/>
        <v>0.6</v>
      </c>
      <c r="AF306" s="177">
        <f t="shared" si="118"/>
        <v>0.49698843096490686</v>
      </c>
      <c r="AG306" s="799">
        <f t="shared" si="124"/>
        <v>2</v>
      </c>
      <c r="AH306" s="176">
        <f t="shared" si="119"/>
        <v>8</v>
      </c>
      <c r="AI306" s="224">
        <f t="shared" si="120"/>
        <v>2.4969884309649069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'2025'!Wh/'2025'!Env_an*'2026'!Env_an</f>
        <v>6.623737878828952</v>
      </c>
      <c r="C307" s="829"/>
      <c r="D307" s="391">
        <f t="shared" si="102"/>
        <v>6.9934453288426175</v>
      </c>
      <c r="E307" s="383">
        <f t="shared" si="125"/>
        <v>7.3842690844295866</v>
      </c>
      <c r="F307" s="383">
        <f t="shared" si="103"/>
        <v>7.3842690844295866</v>
      </c>
      <c r="G307" s="110">
        <f t="shared" si="126"/>
        <v>0.19156354105769594</v>
      </c>
      <c r="H307" s="412" t="b">
        <f>Wh_hp&gt;='2025'!Maxi_hp</f>
        <v>0</v>
      </c>
      <c r="I307" s="388">
        <f>IF(H307,Wh_hp,'2025'!Maxi_hp)</f>
        <v>31.702695928532638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5.2864851676026503E-2</v>
      </c>
      <c r="M307" s="832"/>
      <c r="N307" s="832"/>
      <c r="O307" s="48">
        <f>IF(t&lt;Tnet,'2025'!Resal+('2025'!Salim-'2025'!Resal)*(1-EXP(('2025'!Tnet-t)/('2025'!Tau_j))),Resal+(Salim-Resal)*(1-EXP((Tnet-t)/(Tau_j))))*Salcycl</f>
        <v>5.292653221576895E-2</v>
      </c>
      <c r="P307" s="169">
        <f>(INDEX(Models!$BJ307:$BT307,,T307)*(1-R307)+INDEX(Models!$BJ307:$BT307,,T307+1)*R307-ERP_i)*Q307*Ramure*Pc/MaxiM</f>
        <v>3.1601496404256256E-4</v>
      </c>
      <c r="Q307" s="304">
        <f t="shared" si="105"/>
        <v>0.6</v>
      </c>
      <c r="R307" s="177">
        <f t="shared" si="106"/>
        <v>0.97209262870392155</v>
      </c>
      <c r="S307" s="799">
        <f t="shared" si="107"/>
        <v>-2</v>
      </c>
      <c r="T307" s="176">
        <f t="shared" si="108"/>
        <v>4</v>
      </c>
      <c r="U307" s="250">
        <f t="shared" si="109"/>
        <v>-1.0279073712960785</v>
      </c>
      <c r="V307" s="382">
        <f t="shared" si="110"/>
        <v>34.566309653604769</v>
      </c>
      <c r="W307" s="400">
        <f t="shared" si="111"/>
        <v>6.623737878828952</v>
      </c>
      <c r="X307" s="157">
        <f t="shared" si="112"/>
        <v>46315</v>
      </c>
      <c r="Y307" s="383">
        <f t="shared" si="113"/>
        <v>6.4001477520251715</v>
      </c>
      <c r="Z307" s="383">
        <f t="shared" si="114"/>
        <v>6.7573754002802149</v>
      </c>
      <c r="AA307" s="384">
        <f t="shared" si="115"/>
        <v>7.3842690844295866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8.4895834236489956E-2</v>
      </c>
      <c r="AD307" s="230">
        <f>(INDEX(Models!$BJ307:$BT307,,AH307)*(1-AF307)+INDEX(Models!$BJ307:$BT307,,AH307+1)*AF307-ERP_i)*AE307*Ramure*Pc/MaxiM</f>
        <v>8.6112451346294257E-3</v>
      </c>
      <c r="AE307" s="304">
        <f t="shared" si="117"/>
        <v>0.6</v>
      </c>
      <c r="AF307" s="177">
        <f t="shared" si="118"/>
        <v>0.49708019507790047</v>
      </c>
      <c r="AG307" s="799">
        <f t="shared" si="124"/>
        <v>2</v>
      </c>
      <c r="AH307" s="176">
        <f t="shared" si="119"/>
        <v>8</v>
      </c>
      <c r="AI307" s="224">
        <f t="shared" si="120"/>
        <v>2.4970801950779005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'2025'!Wh/'2025'!Env_an*'2026'!Env_an</f>
        <v>16.121990945579324</v>
      </c>
      <c r="C308" s="829"/>
      <c r="D308" s="391">
        <f t="shared" si="102"/>
        <v>17.022174664628306</v>
      </c>
      <c r="E308" s="383">
        <f t="shared" si="125"/>
        <v>17.973987496548869</v>
      </c>
      <c r="F308" s="383">
        <f t="shared" si="103"/>
        <v>17.975427450808166</v>
      </c>
      <c r="G308" s="110">
        <f t="shared" si="126"/>
        <v>0.47077009530983821</v>
      </c>
      <c r="H308" s="412" t="b">
        <f>Wh_hp&gt;='2025'!Maxi_hp</f>
        <v>0</v>
      </c>
      <c r="I308" s="388">
        <f>IF(H308,Wh_hp,'2025'!Maxi_hp)</f>
        <v>24.418087613545492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5.2883003305067899E-2</v>
      </c>
      <c r="M308" s="832"/>
      <c r="N308" s="832"/>
      <c r="O308" s="48">
        <f>IF(t&lt;Tnet,'2025'!Resal+('2025'!Salim-'2025'!Resal)*(1-EXP(('2025'!Tnet-t)/('2025'!Tau_j))),Resal+(Salim-Resal)*(1-EXP((Tnet-t)/(Tau_j))))*Salcycl</f>
        <v>5.2955018028321039E-2</v>
      </c>
      <c r="P308" s="169">
        <f>(INDEX(Models!$BJ308:$BT308,,T308)*(1-R308)+INDEX(Models!$BJ308:$BT308,,T308+1)*R308-ERP_i)*Q308*Ramure*Pc/MaxiM</f>
        <v>3.281396711498691E-4</v>
      </c>
      <c r="Q308" s="304">
        <f t="shared" si="105"/>
        <v>0.6</v>
      </c>
      <c r="R308" s="177">
        <f t="shared" si="106"/>
        <v>0.9721807298992069</v>
      </c>
      <c r="S308" s="799">
        <f t="shared" si="107"/>
        <v>-2</v>
      </c>
      <c r="T308" s="176">
        <f t="shared" si="108"/>
        <v>4</v>
      </c>
      <c r="U308" s="250">
        <f t="shared" si="109"/>
        <v>-1.0278192701007931</v>
      </c>
      <c r="V308" s="382">
        <f t="shared" si="110"/>
        <v>34.237501494590077</v>
      </c>
      <c r="W308" s="400">
        <f t="shared" si="111"/>
        <v>16.121990945579324</v>
      </c>
      <c r="X308" s="157">
        <f t="shared" si="112"/>
        <v>46316</v>
      </c>
      <c r="Y308" s="383">
        <f t="shared" si="113"/>
        <v>15.546304924001777</v>
      </c>
      <c r="Z308" s="383">
        <f t="shared" si="114"/>
        <v>16.414344772876319</v>
      </c>
      <c r="AA308" s="384">
        <f t="shared" si="115"/>
        <v>17.936649677200247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8.4871195664760674E-2</v>
      </c>
      <c r="AD308" s="230">
        <f>(INDEX(Models!$BJ308:$BT308,,AH308)*(1-AF308)+INDEX(Models!$BJ308:$BT308,,AH308+1)*AF308-ERP_i)*AE308*Ramure*Pc/MaxiM</f>
        <v>8.8367569993716005E-3</v>
      </c>
      <c r="AE308" s="304">
        <f t="shared" si="117"/>
        <v>0.6</v>
      </c>
      <c r="AF308" s="177">
        <f t="shared" si="118"/>
        <v>0.49716829627318582</v>
      </c>
      <c r="AG308" s="799">
        <f t="shared" si="124"/>
        <v>2</v>
      </c>
      <c r="AH308" s="176">
        <f t="shared" si="119"/>
        <v>8</v>
      </c>
      <c r="AI308" s="224">
        <f t="shared" si="120"/>
        <v>2.4971682962731858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'2025'!Wh/'2025'!Env_an*'2026'!Env_an</f>
        <v>32.575885015635961</v>
      </c>
      <c r="C309" s="829"/>
      <c r="D309" s="391">
        <f t="shared" si="102"/>
        <v>34.395443699864735</v>
      </c>
      <c r="E309" s="383">
        <f t="shared" si="125"/>
        <v>36.319767873445166</v>
      </c>
      <c r="F309" s="383">
        <f t="shared" si="103"/>
        <v>36.331434170598492</v>
      </c>
      <c r="G309" s="110">
        <f t="shared" si="126"/>
        <v>0.96065538201017542</v>
      </c>
      <c r="H309" s="412" t="b">
        <f>Wh_hp&gt;='2025'!Maxi_hp</f>
        <v>1</v>
      </c>
      <c r="I309" s="388">
        <f>IF(H309,Wh_hp,'2025'!Maxi_hp)</f>
        <v>36.331434170598492</v>
      </c>
      <c r="J309" s="85">
        <f>IF(H309,An,'2025'!An_max)</f>
        <v>2026</v>
      </c>
      <c r="K309" s="197">
        <f t="shared" si="104"/>
        <v>46317</v>
      </c>
      <c r="L309" s="147">
        <f>IF(t&lt;Tvie,1-EXP((T0-t)*PertePVj)+'2025'!Pspv,1-EXP((T0-t)*PertePVj)+Pspv)</f>
        <v>5.2901154586237453E-2</v>
      </c>
      <c r="M309" s="832"/>
      <c r="N309" s="832"/>
      <c r="O309" s="48">
        <f>IF(t&lt;Tnet,'2025'!Resal+('2025'!Salim-'2025'!Resal)*(1-EXP(('2025'!Tnet-t)/('2025'!Tau_j))),Resal+(Salim-Resal)*(1-EXP((Tnet-t)/(Tau_j))))*Salcycl</f>
        <v>5.2982832387191044E-2</v>
      </c>
      <c r="P309" s="169">
        <f>(INDEX(Models!$BJ309:$BT309,,T309)*(1-R309)+INDEX(Models!$BJ309:$BT309,,T309+1)*R309-ERP_i)*Q309*Ramure*Pc/MaxiM</f>
        <v>3.4022128511181473E-4</v>
      </c>
      <c r="Q309" s="304">
        <f t="shared" si="105"/>
        <v>0.6</v>
      </c>
      <c r="R309" s="177">
        <f t="shared" si="106"/>
        <v>0.97226531316505271</v>
      </c>
      <c r="S309" s="799">
        <f t="shared" si="107"/>
        <v>-2</v>
      </c>
      <c r="T309" s="176">
        <f t="shared" si="108"/>
        <v>4</v>
      </c>
      <c r="U309" s="250">
        <f t="shared" si="109"/>
        <v>-1.0277346868349473</v>
      </c>
      <c r="V309" s="382">
        <f t="shared" si="110"/>
        <v>33.909415153685003</v>
      </c>
      <c r="W309" s="400">
        <f t="shared" si="111"/>
        <v>32.575885015635961</v>
      </c>
      <c r="X309" s="157">
        <f t="shared" si="112"/>
        <v>46317</v>
      </c>
      <c r="Y309" s="383">
        <f t="shared" si="113"/>
        <v>31.220818823115906</v>
      </c>
      <c r="Z309" s="383">
        <f t="shared" si="114"/>
        <v>32.96468892798233</v>
      </c>
      <c r="AA309" s="384">
        <f t="shared" si="115"/>
        <v>36.020905849297357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8.4845643085753944E-2</v>
      </c>
      <c r="AD309" s="230">
        <f>(INDEX(Models!$BJ309:$BT309,,AH309)*(1-AF309)+INDEX(Models!$BJ309:$BT309,,AH309+1)*AF309-ERP_i)*AE309*Ramure*Pc/MaxiM</f>
        <v>9.0558592112108451E-3</v>
      </c>
      <c r="AE309" s="304">
        <f t="shared" si="117"/>
        <v>0.6</v>
      </c>
      <c r="AF309" s="177">
        <f t="shared" si="118"/>
        <v>0.49725287953903141</v>
      </c>
      <c r="AG309" s="799">
        <f t="shared" si="124"/>
        <v>2</v>
      </c>
      <c r="AH309" s="176">
        <f t="shared" si="119"/>
        <v>8</v>
      </c>
      <c r="AI309" s="224">
        <f t="shared" si="120"/>
        <v>2.4972528795390314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'2025'!Wh/'2025'!Env_an*'2026'!Env_an</f>
        <v>16.744279549567583</v>
      </c>
      <c r="C310" s="829"/>
      <c r="D310" s="391">
        <f t="shared" si="102"/>
        <v>17.679886885196222</v>
      </c>
      <c r="E310" s="383">
        <f t="shared" si="125"/>
        <v>18.66956046609717</v>
      </c>
      <c r="F310" s="383">
        <f t="shared" si="103"/>
        <v>18.671426394013679</v>
      </c>
      <c r="G310" s="110">
        <f t="shared" si="126"/>
        <v>0.49847491651237069</v>
      </c>
      <c r="H310" s="412" t="b">
        <f>Wh_hp&gt;='2025'!Maxi_hp</f>
        <v>0</v>
      </c>
      <c r="I310" s="388">
        <f>IF(H310,Wh_hp,'2025'!Maxi_hp)</f>
        <v>37.404529448025627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5.2919305519541826E-2</v>
      </c>
      <c r="M310" s="832"/>
      <c r="N310" s="832"/>
      <c r="O310" s="48">
        <f>IF(t&lt;Tnet,'2025'!Resal+('2025'!Salim-'2025'!Resal)*(1-EXP(('2025'!Tnet-t)/('2025'!Tau_j))),Resal+(Salim-Resal)*(1-EXP((Tnet-t)/(Tau_j))))*Salcycl</f>
        <v>5.3010009673132755E-2</v>
      </c>
      <c r="P310" s="169">
        <f>(INDEX(Models!$BJ310:$BT310,,T310)*(1-R310)+INDEX(Models!$BJ310:$BT310,,T310+1)*R310-ERP_i)*Q310*Ramure*Pc/MaxiM</f>
        <v>3.5223667401100003E-4</v>
      </c>
      <c r="Q310" s="304">
        <f t="shared" si="105"/>
        <v>0.6</v>
      </c>
      <c r="R310" s="177">
        <f t="shared" si="106"/>
        <v>0.97234651784687465</v>
      </c>
      <c r="S310" s="799">
        <f t="shared" si="107"/>
        <v>-2</v>
      </c>
      <c r="T310" s="176">
        <f t="shared" si="108"/>
        <v>4</v>
      </c>
      <c r="U310" s="250">
        <f t="shared" si="109"/>
        <v>-1.0276534821531254</v>
      </c>
      <c r="V310" s="382">
        <f t="shared" si="110"/>
        <v>33.582541391918902</v>
      </c>
      <c r="W310" s="400">
        <f t="shared" si="111"/>
        <v>16.744279549567583</v>
      </c>
      <c r="X310" s="157">
        <f t="shared" si="112"/>
        <v>46318</v>
      </c>
      <c r="Y310" s="383">
        <f t="shared" si="113"/>
        <v>16.140907376625275</v>
      </c>
      <c r="Z310" s="383">
        <f t="shared" si="114"/>
        <v>17.042800545606859</v>
      </c>
      <c r="AA310" s="384">
        <f t="shared" si="115"/>
        <v>18.622332513361609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8.481923339202696E-2</v>
      </c>
      <c r="AD310" s="230">
        <f>(INDEX(Models!$BJ310:$BT310,,AH310)*(1-AF310)+INDEX(Models!$BJ310:$BT310,,AH310+1)*AF310-ERP_i)*AE310*Ramure*Pc/MaxiM</f>
        <v>9.2675955390235029E-3</v>
      </c>
      <c r="AE310" s="304">
        <f t="shared" si="117"/>
        <v>0.6</v>
      </c>
      <c r="AF310" s="177">
        <f t="shared" si="118"/>
        <v>0.49733408422085335</v>
      </c>
      <c r="AG310" s="799">
        <f t="shared" si="124"/>
        <v>2</v>
      </c>
      <c r="AH310" s="176">
        <f t="shared" si="119"/>
        <v>8</v>
      </c>
      <c r="AI310" s="224">
        <f t="shared" si="120"/>
        <v>2.4973340842208533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'2025'!Wh/'2025'!Env_an*'2026'!Env_an</f>
        <v>24.77671741752884</v>
      </c>
      <c r="C311" s="829"/>
      <c r="D311" s="391">
        <f t="shared" si="102"/>
        <v>26.161648538679291</v>
      </c>
      <c r="E311" s="383">
        <f t="shared" si="125"/>
        <v>27.626884181867656</v>
      </c>
      <c r="F311" s="383">
        <f t="shared" si="103"/>
        <v>27.633279115013856</v>
      </c>
      <c r="G311" s="110">
        <f t="shared" si="126"/>
        <v>0.74490036890902633</v>
      </c>
      <c r="H311" s="412" t="b">
        <f>Wh_hp&gt;='2025'!Maxi_hp</f>
        <v>0</v>
      </c>
      <c r="I311" s="388">
        <f>IF(H311,Wh_hp,'2025'!Maxi_hp)</f>
        <v>38.420312161688102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5.293745610498779E-2</v>
      </c>
      <c r="M311" s="832"/>
      <c r="N311" s="832"/>
      <c r="O311" s="48">
        <f>IF(t&lt;Tnet,'2025'!Resal+('2025'!Salim-'2025'!Resal)*(1-EXP(('2025'!Tnet-t)/('2025'!Tau_j))),Resal+(Salim-Resal)*(1-EXP((Tnet-t)/(Tau_j))))*Salcycl</f>
        <v>5.3036586881919999E-2</v>
      </c>
      <c r="P311" s="169">
        <f>(INDEX(Models!$BJ311:$BT311,,T311)*(1-R311)+INDEX(Models!$BJ311:$BT311,,T311+1)*R311-ERP_i)*Q311*Ramure*Pc/MaxiM</f>
        <v>3.6403438423628781E-4</v>
      </c>
      <c r="Q311" s="304">
        <f t="shared" si="105"/>
        <v>0.6</v>
      </c>
      <c r="R311" s="177">
        <f t="shared" si="106"/>
        <v>0.97242447785926722</v>
      </c>
      <c r="S311" s="799">
        <f t="shared" si="107"/>
        <v>-2</v>
      </c>
      <c r="T311" s="176">
        <f t="shared" si="108"/>
        <v>4</v>
      </c>
      <c r="U311" s="250">
        <f t="shared" si="109"/>
        <v>-1.0275755221407328</v>
      </c>
      <c r="V311" s="382">
        <f t="shared" si="110"/>
        <v>33.257375049656126</v>
      </c>
      <c r="W311" s="400">
        <f t="shared" si="111"/>
        <v>24.77671741752884</v>
      </c>
      <c r="X311" s="157">
        <f t="shared" si="112"/>
        <v>46319</v>
      </c>
      <c r="Y311" s="383">
        <f t="shared" si="113"/>
        <v>23.807132973922897</v>
      </c>
      <c r="Z311" s="383">
        <f t="shared" si="114"/>
        <v>25.137867744204723</v>
      </c>
      <c r="AA311" s="384">
        <f t="shared" si="115"/>
        <v>27.466836498953391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8.4792027463279698E-2</v>
      </c>
      <c r="AD311" s="230">
        <f>(INDEX(Models!$BJ311:$BT311,,AH311)*(1-AF311)+INDEX(Models!$BJ311:$BT311,,AH311+1)*AF311-ERP_i)*AE311*Ramure*Pc/MaxiM</f>
        <v>9.4748191830947553E-3</v>
      </c>
      <c r="AE311" s="304">
        <f t="shared" si="117"/>
        <v>0.6</v>
      </c>
      <c r="AF311" s="177">
        <f t="shared" si="118"/>
        <v>0.49741204423324614</v>
      </c>
      <c r="AG311" s="799">
        <f t="shared" si="124"/>
        <v>2</v>
      </c>
      <c r="AH311" s="176">
        <f t="shared" si="119"/>
        <v>8</v>
      </c>
      <c r="AI311" s="224">
        <f t="shared" si="120"/>
        <v>2.4974120442332461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'2025'!Wh/'2025'!Env_an*'2026'!Env_an</f>
        <v>21.908880584603779</v>
      </c>
      <c r="C312" s="829"/>
      <c r="D312" s="391">
        <f t="shared" si="102"/>
        <v>23.133953098009734</v>
      </c>
      <c r="E312" s="383">
        <f t="shared" si="125"/>
        <v>24.430287772054168</v>
      </c>
      <c r="F312" s="383">
        <f t="shared" si="103"/>
        <v>24.43507643363213</v>
      </c>
      <c r="G312" s="110">
        <f t="shared" si="126"/>
        <v>0.66510822615969833</v>
      </c>
      <c r="H312" s="412" t="b">
        <f>Wh_hp&gt;='2025'!Maxi_hp</f>
        <v>0</v>
      </c>
      <c r="I312" s="388">
        <f>IF(H312,Wh_hp,'2025'!Maxi_hp)</f>
        <v>35.228620832517834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5.2955606342581785E-2</v>
      </c>
      <c r="M312" s="832"/>
      <c r="N312" s="832"/>
      <c r="O312" s="48">
        <f>IF(t&lt;Tnet,'2025'!Resal+('2025'!Salim-'2025'!Resal)*(1-EXP(('2025'!Tnet-t)/('2025'!Tau_j))),Resal+(Salim-Resal)*(1-EXP((Tnet-t)/(Tau_j))))*Salcycl</f>
        <v>5.3062603524765446E-2</v>
      </c>
      <c r="P312" s="169">
        <f>(INDEX(Models!$BJ312:$BT312,,T312)*(1-R312)+INDEX(Models!$BJ312:$BT312,,T312+1)*R312-ERP_i)*Q312*Ramure*Pc/MaxiM</f>
        <v>3.7560790210971502E-4</v>
      </c>
      <c r="Q312" s="304">
        <f t="shared" si="105"/>
        <v>0.6</v>
      </c>
      <c r="R312" s="177">
        <f t="shared" si="106"/>
        <v>0.97249932189067545</v>
      </c>
      <c r="S312" s="799">
        <f t="shared" si="107"/>
        <v>-2</v>
      </c>
      <c r="T312" s="176">
        <f t="shared" si="108"/>
        <v>4</v>
      </c>
      <c r="U312" s="250">
        <f t="shared" si="109"/>
        <v>-1.0275006781093246</v>
      </c>
      <c r="V312" s="382">
        <f t="shared" si="110"/>
        <v>32.934405850899971</v>
      </c>
      <c r="W312" s="400">
        <f t="shared" si="111"/>
        <v>21.908880584603779</v>
      </c>
      <c r="X312" s="157">
        <f t="shared" si="112"/>
        <v>46320</v>
      </c>
      <c r="Y312" s="383">
        <f t="shared" si="113"/>
        <v>21.072627187422476</v>
      </c>
      <c r="Z312" s="383">
        <f t="shared" si="114"/>
        <v>22.250939162462583</v>
      </c>
      <c r="AA312" s="384">
        <f t="shared" si="115"/>
        <v>24.31169813066272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8.4764089991765726E-2</v>
      </c>
      <c r="AD312" s="230">
        <f>(INDEX(Models!$BJ312:$BT312,,AH312)*(1-AF312)+INDEX(Models!$BJ312:$BT312,,AH312+1)*AF312-ERP_i)*AE312*Ramure*Pc/MaxiM</f>
        <v>9.6774150333522671E-3</v>
      </c>
      <c r="AE312" s="304">
        <f t="shared" si="117"/>
        <v>0.6</v>
      </c>
      <c r="AF312" s="177">
        <f t="shared" si="118"/>
        <v>0.49748688826465415</v>
      </c>
      <c r="AG312" s="799">
        <f t="shared" si="124"/>
        <v>2</v>
      </c>
      <c r="AH312" s="176">
        <f t="shared" si="119"/>
        <v>8</v>
      </c>
      <c r="AI312" s="224">
        <f t="shared" si="120"/>
        <v>2.4974868882646541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'2025'!Wh/'2025'!Env_an*'2026'!Env_an</f>
        <v>12.214489087588046</v>
      </c>
      <c r="C313" s="829"/>
      <c r="D313" s="391">
        <f t="shared" si="102"/>
        <v>12.897730308923292</v>
      </c>
      <c r="E313" s="383">
        <f t="shared" si="125"/>
        <v>13.620834556524049</v>
      </c>
      <c r="F313" s="383">
        <f t="shared" si="103"/>
        <v>13.621395632200173</v>
      </c>
      <c r="G313" s="110">
        <f t="shared" si="126"/>
        <v>0.37438582944191179</v>
      </c>
      <c r="H313" s="412" t="b">
        <f>Wh_hp&gt;='2025'!Maxi_hp</f>
        <v>0</v>
      </c>
      <c r="I313" s="388">
        <f>IF(H313,Wh_hp,'2025'!Maxi_hp)</f>
        <v>35.899581400046522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5.2973756232330693E-2</v>
      </c>
      <c r="M313" s="832"/>
      <c r="N313" s="832"/>
      <c r="O313" s="48">
        <f>IF(t&lt;Tnet,'2025'!Resal+('2025'!Salim-'2025'!Resal)*(1-EXP(('2025'!Tnet-t)/('2025'!Tau_j))),Resal+(Salim-Resal)*(1-EXP((Tnet-t)/(Tau_j))))*Salcycl</f>
        <v>5.3088101510961272E-2</v>
      </c>
      <c r="P313" s="169">
        <f>(INDEX(Models!$BJ313:$BT313,,T313)*(1-R313)+INDEX(Models!$BJ313:$BT313,,T313+1)*R313-ERP_i)*Q313*Ramure*Pc/MaxiM</f>
        <v>3.8694769882339689E-4</v>
      </c>
      <c r="Q313" s="304">
        <f t="shared" si="105"/>
        <v>0.6</v>
      </c>
      <c r="R313" s="177">
        <f t="shared" si="106"/>
        <v>0.97257117360090506</v>
      </c>
      <c r="S313" s="799">
        <f t="shared" si="107"/>
        <v>-2</v>
      </c>
      <c r="T313" s="176">
        <f t="shared" si="108"/>
        <v>4</v>
      </c>
      <c r="U313" s="250">
        <f t="shared" si="109"/>
        <v>-1.0274288263990949</v>
      </c>
      <c r="V313" s="382">
        <f t="shared" si="110"/>
        <v>32.614123476578797</v>
      </c>
      <c r="W313" s="400">
        <f t="shared" si="111"/>
        <v>12.214489087588046</v>
      </c>
      <c r="X313" s="157">
        <f t="shared" si="112"/>
        <v>46321</v>
      </c>
      <c r="Y313" s="383">
        <f t="shared" si="113"/>
        <v>11.794335182323289</v>
      </c>
      <c r="Z313" s="383">
        <f t="shared" si="114"/>
        <v>12.454074277182073</v>
      </c>
      <c r="AA313" s="384">
        <f t="shared" si="115"/>
        <v>13.607076567831271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8.4735489280264017E-2</v>
      </c>
      <c r="AD313" s="230">
        <f>(INDEX(Models!$BJ313:$BT313,,AH313)*(1-AF313)+INDEX(Models!$BJ313:$BT313,,AH313+1)*AF313-ERP_i)*AE313*Ramure*Pc/MaxiM</f>
        <v>9.8751901795423851E-3</v>
      </c>
      <c r="AE313" s="304">
        <f t="shared" si="117"/>
        <v>0.6</v>
      </c>
      <c r="AF313" s="177">
        <f t="shared" si="118"/>
        <v>0.49755873997488376</v>
      </c>
      <c r="AG313" s="799">
        <f t="shared" si="124"/>
        <v>2</v>
      </c>
      <c r="AH313" s="176">
        <f t="shared" si="119"/>
        <v>8</v>
      </c>
      <c r="AI313" s="224">
        <f t="shared" si="120"/>
        <v>2.4975587399748838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'2025'!Wh/'2025'!Env_an*'2026'!Env_an</f>
        <v>14.131954495577762</v>
      </c>
      <c r="C314" s="829"/>
      <c r="D314" s="391">
        <f t="shared" si="102"/>
        <v>14.922738867540049</v>
      </c>
      <c r="E314" s="383">
        <f t="shared" si="125"/>
        <v>15.759790595627663</v>
      </c>
      <c r="F314" s="383">
        <f t="shared" si="103"/>
        <v>15.761023463968101</v>
      </c>
      <c r="G314" s="110">
        <f t="shared" si="126"/>
        <v>0.43742226196171657</v>
      </c>
      <c r="H314" s="412" t="b">
        <f>Wh_hp&gt;='2025'!Maxi_hp</f>
        <v>0</v>
      </c>
      <c r="I314" s="388">
        <f>IF(H314,Wh_hp,'2025'!Maxi_hp)</f>
        <v>30.879725572368368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5.2991905774241066E-2</v>
      </c>
      <c r="M314" s="832"/>
      <c r="N314" s="832"/>
      <c r="O314" s="48">
        <f>IF(t&lt;Tnet,'2025'!Resal+('2025'!Salim-'2025'!Resal)*(1-EXP(('2025'!Tnet-t)/('2025'!Tau_j))),Resal+(Salim-Resal)*(1-EXP((Tnet-t)/(Tau_j))))*Salcycl</f>
        <v>5.3113125013211922E-2</v>
      </c>
      <c r="P314" s="169">
        <f>(INDEX(Models!$BJ314:$BT314,,T314)*(1-R314)+INDEX(Models!$BJ314:$BT314,,T314+1)*R314-ERP_i)*Q314*Ramure*Pc/MaxiM</f>
        <v>3.9804407661050403E-4</v>
      </c>
      <c r="Q314" s="304">
        <f t="shared" si="105"/>
        <v>0.6</v>
      </c>
      <c r="R314" s="177">
        <f t="shared" si="106"/>
        <v>0.97264015181168229</v>
      </c>
      <c r="S314" s="799">
        <f t="shared" si="107"/>
        <v>-2</v>
      </c>
      <c r="T314" s="176">
        <f t="shared" si="108"/>
        <v>4</v>
      </c>
      <c r="U314" s="250">
        <f t="shared" si="109"/>
        <v>-1.0273598481883177</v>
      </c>
      <c r="V314" s="382">
        <f t="shared" si="110"/>
        <v>32.29701747732468</v>
      </c>
      <c r="W314" s="400">
        <f t="shared" si="111"/>
        <v>14.131954495577762</v>
      </c>
      <c r="X314" s="157">
        <f t="shared" si="112"/>
        <v>46322</v>
      </c>
      <c r="Y314" s="383">
        <f t="shared" si="113"/>
        <v>13.634476454265187</v>
      </c>
      <c r="Z314" s="383">
        <f t="shared" si="114"/>
        <v>14.397423356145929</v>
      </c>
      <c r="AA314" s="384">
        <f t="shared" si="115"/>
        <v>15.729839841756744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8.4706297013511608E-2</v>
      </c>
      <c r="AD314" s="230">
        <f>(INDEX(Models!$BJ314:$BT314,,AH314)*(1-AF314)+INDEX(Models!$BJ314:$BT314,,AH314+1)*AF314-ERP_i)*AE314*Ramure*Pc/MaxiM</f>
        <v>1.0067949432527406E-2</v>
      </c>
      <c r="AE314" s="304">
        <f t="shared" si="117"/>
        <v>0.6</v>
      </c>
      <c r="AF314" s="177">
        <f t="shared" si="118"/>
        <v>0.49762771818566076</v>
      </c>
      <c r="AG314" s="799">
        <f t="shared" si="124"/>
        <v>2</v>
      </c>
      <c r="AH314" s="176">
        <f t="shared" si="119"/>
        <v>8</v>
      </c>
      <c r="AI314" s="224">
        <f t="shared" si="120"/>
        <v>2.4976277181856608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'2025'!Wh/'2025'!Env_an*'2026'!Env_an</f>
        <v>17.001811935149647</v>
      </c>
      <c r="C315" s="829"/>
      <c r="D315" s="391">
        <f t="shared" si="102"/>
        <v>17.953529521985445</v>
      </c>
      <c r="E315" s="383">
        <f t="shared" si="125"/>
        <v>18.961077980614466</v>
      </c>
      <c r="F315" s="383">
        <f t="shared" si="103"/>
        <v>18.963643216102351</v>
      </c>
      <c r="G315" s="110">
        <f t="shared" si="126"/>
        <v>0.53143396644733176</v>
      </c>
      <c r="H315" s="412" t="b">
        <f>Wh_hp&gt;='2025'!Maxi_hp</f>
        <v>0</v>
      </c>
      <c r="I315" s="388">
        <f>IF(H315,Wh_hp,'2025'!Maxi_hp)</f>
        <v>35.461193234664123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5.3010054968319675E-2</v>
      </c>
      <c r="M315" s="832"/>
      <c r="N315" s="832"/>
      <c r="O315" s="48">
        <f>IF(t&lt;Tnet,'2025'!Resal+('2025'!Salim-'2025'!Resal)*(1-EXP(('2025'!Tnet-t)/('2025'!Tau_j))),Resal+(Salim-Resal)*(1-EXP((Tnet-t)/(Tau_j))))*Salcycl</f>
        <v>5.3137720316277559E-2</v>
      </c>
      <c r="P315" s="169">
        <f>(INDEX(Models!$BJ315:$BT315,,T315)*(1-R315)+INDEX(Models!$BJ315:$BT315,,T315+1)*R315-ERP_i)*Q315*Ramure*Pc/MaxiM</f>
        <v>4.0888719867832502E-4</v>
      </c>
      <c r="Q315" s="304">
        <f t="shared" si="105"/>
        <v>0.6</v>
      </c>
      <c r="R315" s="177">
        <f t="shared" si="106"/>
        <v>0.97270637069046439</v>
      </c>
      <c r="S315" s="799">
        <f t="shared" si="107"/>
        <v>-2</v>
      </c>
      <c r="T315" s="176">
        <f t="shared" si="108"/>
        <v>4</v>
      </c>
      <c r="U315" s="250">
        <f t="shared" si="109"/>
        <v>-1.0272936293095356</v>
      </c>
      <c r="V315" s="382">
        <f t="shared" si="110"/>
        <v>31.98357728675505</v>
      </c>
      <c r="W315" s="400">
        <f t="shared" si="111"/>
        <v>17.001811935149647</v>
      </c>
      <c r="X315" s="157">
        <f t="shared" si="112"/>
        <v>46323</v>
      </c>
      <c r="Y315" s="383">
        <f t="shared" si="113"/>
        <v>16.381955189728973</v>
      </c>
      <c r="Z315" s="383">
        <f t="shared" si="114"/>
        <v>17.298974794479932</v>
      </c>
      <c r="AA315" s="384">
        <f t="shared" si="115"/>
        <v>18.899303314837365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8.4676588004228337E-2</v>
      </c>
      <c r="AD315" s="230">
        <f>(INDEX(Models!$BJ315:$BT315,,AH315)*(1-AF315)+INDEX(Models!$BJ315:$BT315,,AH315+1)*AF315-ERP_i)*AE315*Ramure*Pc/MaxiM</f>
        <v>1.0255495885554375E-2</v>
      </c>
      <c r="AE315" s="304">
        <f t="shared" si="117"/>
        <v>0.6</v>
      </c>
      <c r="AF315" s="177">
        <f t="shared" si="118"/>
        <v>0.49769393706444287</v>
      </c>
      <c r="AG315" s="799">
        <f t="shared" si="124"/>
        <v>2</v>
      </c>
      <c r="AH315" s="176">
        <f t="shared" si="119"/>
        <v>8</v>
      </c>
      <c r="AI315" s="224">
        <f t="shared" si="120"/>
        <v>2.4976939370644429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'2025'!Wh/'2025'!Env_an*'2026'!Env_an</f>
        <v>26.407551924489521</v>
      </c>
      <c r="C316" s="829"/>
      <c r="D316" s="391">
        <f t="shared" si="102"/>
        <v>27.886313014668335</v>
      </c>
      <c r="E316" s="383">
        <f t="shared" si="125"/>
        <v>29.452040496283956</v>
      </c>
      <c r="F316" s="383">
        <f t="shared" si="103"/>
        <v>29.461463063350685</v>
      </c>
      <c r="G316" s="110">
        <f t="shared" si="126"/>
        <v>0.83363882717328397</v>
      </c>
      <c r="H316" s="412" t="b">
        <f>Wh_hp&gt;='2025'!Maxi_hp</f>
        <v>0</v>
      </c>
      <c r="I316" s="388">
        <f>IF(H316,Wh_hp,'2025'!Maxi_hp)</f>
        <v>29.777598995663187</v>
      </c>
      <c r="J316" s="85">
        <f>IF(H316,An,'2025'!An_max)</f>
        <v>2018</v>
      </c>
      <c r="K316" s="197">
        <f t="shared" si="104"/>
        <v>46324</v>
      </c>
      <c r="L316" s="147">
        <f>IF(t&lt;Tvie,1-EXP((T0-t)*PertePVj)+'2025'!Pspv,1-EXP((T0-t)*PertePVj)+Pspv)</f>
        <v>5.3028203814573072E-2</v>
      </c>
      <c r="M316" s="832"/>
      <c r="N316" s="832"/>
      <c r="O316" s="48">
        <f>IF(t&lt;Tnet,'2025'!Resal+('2025'!Salim-'2025'!Resal)*(1-EXP(('2025'!Tnet-t)/('2025'!Tau_j))),Resal+(Salim-Resal)*(1-EXP((Tnet-t)/(Tau_j))))*Salcycl</f>
        <v>5.3161935649693695E-2</v>
      </c>
      <c r="P316" s="169">
        <f>(INDEX(Models!$BJ316:$BT316,,T316)*(1-R316)+INDEX(Models!$BJ316:$BT316,,T316+1)*R316-ERP_i)*Q316*Ramure*Pc/MaxiM</f>
        <v>4.1946711832830443E-4</v>
      </c>
      <c r="Q316" s="304">
        <f t="shared" si="105"/>
        <v>0.6</v>
      </c>
      <c r="R316" s="177">
        <f t="shared" si="106"/>
        <v>0.97276993992770056</v>
      </c>
      <c r="S316" s="799">
        <f t="shared" si="107"/>
        <v>-2</v>
      </c>
      <c r="T316" s="176">
        <f t="shared" si="108"/>
        <v>4</v>
      </c>
      <c r="U316" s="250">
        <f t="shared" si="109"/>
        <v>-1.0272300600722994</v>
      </c>
      <c r="V316" s="382">
        <f t="shared" si="110"/>
        <v>31.674292231292917</v>
      </c>
      <c r="W316" s="400">
        <f t="shared" si="111"/>
        <v>26.407551924489521</v>
      </c>
      <c r="X316" s="157">
        <f t="shared" si="112"/>
        <v>46324</v>
      </c>
      <c r="Y316" s="383">
        <f t="shared" si="113"/>
        <v>25.334373466068556</v>
      </c>
      <c r="Z316" s="383">
        <f t="shared" si="114"/>
        <v>26.753039074785519</v>
      </c>
      <c r="AA316" s="384">
        <f t="shared" si="115"/>
        <v>29.227000627280944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8.4646439915089716E-2</v>
      </c>
      <c r="AD316" s="230">
        <f>(INDEX(Models!$BJ316:$BT316,,AH316)*(1-AF316)+INDEX(Models!$BJ316:$BT316,,AH316+1)*AF316-ERP_i)*AE316*Ramure*Pc/MaxiM</f>
        <v>1.0437631456261266E-2</v>
      </c>
      <c r="AE316" s="304">
        <f t="shared" si="117"/>
        <v>0.6</v>
      </c>
      <c r="AF316" s="177">
        <f t="shared" si="118"/>
        <v>0.49775750630167925</v>
      </c>
      <c r="AG316" s="799">
        <f t="shared" si="124"/>
        <v>2</v>
      </c>
      <c r="AH316" s="176">
        <f t="shared" si="119"/>
        <v>8</v>
      </c>
      <c r="AI316" s="224">
        <f t="shared" si="120"/>
        <v>2.4977575063016793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'2025'!Wh/'2025'!Env_an*'2026'!Env_an</f>
        <v>22.706036017865017</v>
      </c>
      <c r="C317" s="829"/>
      <c r="D317" s="391">
        <f t="shared" si="102"/>
        <v>23.977980414697466</v>
      </c>
      <c r="E317" s="383">
        <f t="shared" si="125"/>
        <v>25.324906350854398</v>
      </c>
      <c r="F317" s="383">
        <f t="shared" si="103"/>
        <v>25.331498941669484</v>
      </c>
      <c r="G317" s="110">
        <f t="shared" si="126"/>
        <v>0.72374213589240033</v>
      </c>
      <c r="H317" s="412" t="b">
        <f>Wh_hp&gt;='2025'!Maxi_hp</f>
        <v>0</v>
      </c>
      <c r="I317" s="388">
        <f>IF(H317,Wh_hp,'2025'!Maxi_hp)</f>
        <v>28.491037803008169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5.3046352313008027E-2</v>
      </c>
      <c r="M317" s="832"/>
      <c r="N317" s="832"/>
      <c r="O317" s="48">
        <f>IF(t&lt;Tnet,'2025'!Resal+('2025'!Salim-'2025'!Resal)*(1-EXP(('2025'!Tnet-t)/('2025'!Tau_j))),Resal+(Salim-Resal)*(1-EXP((Tnet-t)/(Tau_j))))*Salcycl</f>
        <v>5.3185821005473942E-2</v>
      </c>
      <c r="P317" s="169">
        <f>(INDEX(Models!$BJ317:$BT317,,T317)*(1-R317)+INDEX(Models!$BJ317:$BT317,,T317+1)*R317-ERP_i)*Q317*Ramure*Pc/MaxiM</f>
        <v>4.2979941587619418E-4</v>
      </c>
      <c r="Q317" s="304">
        <f t="shared" si="105"/>
        <v>0.6</v>
      </c>
      <c r="R317" s="177">
        <f t="shared" si="106"/>
        <v>0.97283096490774312</v>
      </c>
      <c r="S317" s="799">
        <f t="shared" si="107"/>
        <v>-2</v>
      </c>
      <c r="T317" s="176">
        <f t="shared" si="108"/>
        <v>4</v>
      </c>
      <c r="U317" s="250">
        <f t="shared" si="109"/>
        <v>-1.0271690350922569</v>
      </c>
      <c r="V317" s="382">
        <f t="shared" si="110"/>
        <v>31.367781639118778</v>
      </c>
      <c r="W317" s="400">
        <f t="shared" si="111"/>
        <v>22.706036017865017</v>
      </c>
      <c r="X317" s="157">
        <f t="shared" si="112"/>
        <v>46325</v>
      </c>
      <c r="Y317" s="383">
        <f t="shared" si="113"/>
        <v>21.816874338537449</v>
      </c>
      <c r="Z317" s="383">
        <f t="shared" si="114"/>
        <v>23.039009767613084</v>
      </c>
      <c r="AA317" s="384">
        <f t="shared" si="115"/>
        <v>25.168681209481349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8.4615932958219203E-2</v>
      </c>
      <c r="AD317" s="230">
        <f>(INDEX(Models!$BJ317:$BT317,,AH317)*(1-AF317)+INDEX(Models!$BJ317:$BT317,,AH317+1)*AF317-ERP_i)*AE317*Ramure*Pc/MaxiM</f>
        <v>1.0614789868139204E-2</v>
      </c>
      <c r="AE317" s="304">
        <f t="shared" si="117"/>
        <v>0.6</v>
      </c>
      <c r="AF317" s="177">
        <f t="shared" si="118"/>
        <v>0.49781853128172182</v>
      </c>
      <c r="AG317" s="799">
        <f t="shared" si="124"/>
        <v>2</v>
      </c>
      <c r="AH317" s="176">
        <f t="shared" si="119"/>
        <v>8</v>
      </c>
      <c r="AI317" s="224">
        <f t="shared" si="120"/>
        <v>2.4978185312817218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'2025'!Wh/'2025'!Env_an*'2026'!Env_an</f>
        <v>21.598589514714945</v>
      </c>
      <c r="C318" s="829"/>
      <c r="D318" s="391">
        <f t="shared" si="102"/>
        <v>22.808934214938478</v>
      </c>
      <c r="E318" s="383">
        <f t="shared" si="125"/>
        <v>24.090791446471339</v>
      </c>
      <c r="F318" s="383">
        <f t="shared" si="103"/>
        <v>24.096779091202784</v>
      </c>
      <c r="G318" s="110">
        <f t="shared" si="126"/>
        <v>0.69519293374194602</v>
      </c>
      <c r="H318" s="412" t="b">
        <f>Wh_hp&gt;='2025'!Maxi_hp</f>
        <v>0</v>
      </c>
      <c r="I318" s="388">
        <f>IF(H318,Wh_hp,'2025'!Maxi_hp)</f>
        <v>34.120858369867321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5.3064500463631092E-2</v>
      </c>
      <c r="M318" s="832"/>
      <c r="N318" s="832"/>
      <c r="O318" s="48">
        <f>IF(t&lt;Tnet,'2025'!Resal+('2025'!Salim-'2025'!Resal)*(1-EXP(('2025'!Tnet-t)/('2025'!Tau_j))),Resal+(Salim-Resal)*(1-EXP((Tnet-t)/(Tau_j))))*Salcycl</f>
        <v>5.3209427941837917E-2</v>
      </c>
      <c r="P318" s="169">
        <f>(INDEX(Models!$BJ318:$BT318,,T318)*(1-R318)+INDEX(Models!$BJ318:$BT318,,T318+1)*R318-ERP_i)*Q318*Ramure*Pc/MaxiM</f>
        <v>4.3998670459506839E-4</v>
      </c>
      <c r="Q318" s="304">
        <f t="shared" si="105"/>
        <v>0.6</v>
      </c>
      <c r="R318" s="177">
        <f t="shared" si="106"/>
        <v>0.97288954687360407</v>
      </c>
      <c r="S318" s="799">
        <f t="shared" si="107"/>
        <v>-2</v>
      </c>
      <c r="T318" s="176">
        <f t="shared" si="108"/>
        <v>4</v>
      </c>
      <c r="U318" s="250">
        <f t="shared" si="109"/>
        <v>-1.0271104531263959</v>
      </c>
      <c r="V318" s="382">
        <f t="shared" si="110"/>
        <v>31.062531324677337</v>
      </c>
      <c r="W318" s="400">
        <f t="shared" si="111"/>
        <v>21.598589514714945</v>
      </c>
      <c r="X318" s="157">
        <f t="shared" si="112"/>
        <v>46326</v>
      </c>
      <c r="Y318" s="383">
        <f t="shared" si="113"/>
        <v>20.760729016098946</v>
      </c>
      <c r="Z318" s="383">
        <f t="shared" si="114"/>
        <v>21.924121575612752</v>
      </c>
      <c r="AA318" s="384">
        <f t="shared" si="115"/>
        <v>23.949929985743054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8.4585149573974908E-2</v>
      </c>
      <c r="AD318" s="230">
        <f>(INDEX(Models!$BJ318:$BT318,,AH318)*(1-AF318)+INDEX(Models!$BJ318:$BT318,,AH318+1)*AF318-ERP_i)*AE318*Ramure*Pc/MaxiM</f>
        <v>1.0790829596924199E-2</v>
      </c>
      <c r="AE318" s="304">
        <f t="shared" si="117"/>
        <v>0.6</v>
      </c>
      <c r="AF318" s="177">
        <f t="shared" si="118"/>
        <v>0.49787711324758277</v>
      </c>
      <c r="AG318" s="799">
        <f t="shared" si="124"/>
        <v>2</v>
      </c>
      <c r="AH318" s="176">
        <f t="shared" si="119"/>
        <v>8</v>
      </c>
      <c r="AI318" s="224">
        <f t="shared" si="120"/>
        <v>2.4978771132475828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'2025'!Wh/'2025'!Env_an*'2026'!Env_an</f>
        <v>19.148494531875269</v>
      </c>
      <c r="C319" s="829"/>
      <c r="D319" s="391">
        <f t="shared" si="102"/>
        <v>20.221928024467527</v>
      </c>
      <c r="E319" s="383">
        <f t="shared" si="125"/>
        <v>21.358923529130436</v>
      </c>
      <c r="F319" s="383">
        <f t="shared" si="103"/>
        <v>21.363355275875712</v>
      </c>
      <c r="G319" s="110">
        <f t="shared" si="126"/>
        <v>0.62238537517771297</v>
      </c>
      <c r="H319" s="412" t="b">
        <f>Wh_hp&gt;='2025'!Maxi_hp</f>
        <v>0</v>
      </c>
      <c r="I319" s="388">
        <f>IF(H319,Wh_hp,'2025'!Maxi_hp)</f>
        <v>32.848992554762482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5.308264826644904E-2</v>
      </c>
      <c r="M319" s="832"/>
      <c r="N319" s="832"/>
      <c r="O319" s="48">
        <f>IF(t&lt;Tnet,'2025'!Resal+('2025'!Salim-'2025'!Resal)*(1-EXP(('2025'!Tnet-t)/('2025'!Tau_j))),Resal+(Salim-Resal)*(1-EXP((Tnet-t)/(Tau_j))))*Salcycl</f>
        <v>5.323280937413416E-2</v>
      </c>
      <c r="P319" s="169">
        <f>(INDEX(Models!$BJ319:$BT319,,T319)*(1-R319)+INDEX(Models!$BJ319:$BT319,,T319+1)*R319-ERP_i)*Q319*Ramure*Pc/MaxiM</f>
        <v>4.5021979520156423E-4</v>
      </c>
      <c r="Q319" s="304">
        <f t="shared" si="105"/>
        <v>0.6</v>
      </c>
      <c r="R319" s="177">
        <f t="shared" si="106"/>
        <v>0.97294578308574575</v>
      </c>
      <c r="S319" s="799">
        <f t="shared" si="107"/>
        <v>-2</v>
      </c>
      <c r="T319" s="176">
        <f t="shared" si="108"/>
        <v>4</v>
      </c>
      <c r="U319" s="250">
        <f t="shared" si="109"/>
        <v>-1.0270542169142542</v>
      </c>
      <c r="V319" s="382">
        <f t="shared" si="110"/>
        <v>30.758828182411182</v>
      </c>
      <c r="W319" s="400">
        <f t="shared" si="111"/>
        <v>19.148494531875269</v>
      </c>
      <c r="X319" s="157">
        <f t="shared" si="112"/>
        <v>46327</v>
      </c>
      <c r="Y319" s="383">
        <f t="shared" si="113"/>
        <v>18.425261719296429</v>
      </c>
      <c r="Z319" s="383">
        <f t="shared" si="114"/>
        <v>19.458151955463411</v>
      </c>
      <c r="AA319" s="384">
        <f t="shared" si="115"/>
        <v>21.25538333865055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8.4554174090997067E-2</v>
      </c>
      <c r="AD319" s="230">
        <f>(INDEX(Models!$BJ319:$BT319,,AH319)*(1-AF319)+INDEX(Models!$BJ319:$BT319,,AH319+1)*AF319-ERP_i)*AE319*Ramure*Pc/MaxiM</f>
        <v>1.0968836050221382E-2</v>
      </c>
      <c r="AE319" s="304">
        <f t="shared" si="117"/>
        <v>0.6</v>
      </c>
      <c r="AF319" s="177">
        <f t="shared" si="118"/>
        <v>0.49793334945972445</v>
      </c>
      <c r="AG319" s="799">
        <f t="shared" si="124"/>
        <v>2</v>
      </c>
      <c r="AH319" s="176">
        <f t="shared" si="119"/>
        <v>8</v>
      </c>
      <c r="AI319" s="224">
        <f t="shared" si="120"/>
        <v>2.4979333494597245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'2025'!Wh/'2025'!Env_an*'2026'!Env_an</f>
        <v>28.41002531862275</v>
      </c>
      <c r="C320" s="829"/>
      <c r="D320" s="391">
        <f t="shared" si="102"/>
        <v>30.003220184633197</v>
      </c>
      <c r="E320" s="383">
        <f t="shared" si="125"/>
        <v>31.690954257949095</v>
      </c>
      <c r="F320" s="383">
        <f t="shared" si="103"/>
        <v>31.704152209335916</v>
      </c>
      <c r="G320" s="110">
        <f t="shared" si="126"/>
        <v>0.93275113116522368</v>
      </c>
      <c r="H320" s="412" t="b">
        <f>Wh_hp&gt;='2025'!Maxi_hp</f>
        <v>1</v>
      </c>
      <c r="I320" s="388">
        <f>IF(H320,Wh_hp,'2025'!Maxi_hp)</f>
        <v>31.704152209335916</v>
      </c>
      <c r="J320" s="85">
        <f>IF(H320,An,'2025'!An_max)</f>
        <v>2026</v>
      </c>
      <c r="K320" s="197">
        <f t="shared" si="104"/>
        <v>46328</v>
      </c>
      <c r="L320" s="147">
        <f>IF(t&lt;Tvie,1-EXP((T0-t)*PertePVj)+'2025'!Pspv,1-EXP((T0-t)*PertePVj)+Pspv)</f>
        <v>5.3100795721468419E-2</v>
      </c>
      <c r="M320" s="832"/>
      <c r="N320" s="832"/>
      <c r="O320" s="48">
        <f>IF(t&lt;Tnet,'2025'!Resal+('2025'!Salim-'2025'!Resal)*(1-EXP(('2025'!Tnet-t)/('2025'!Tau_j))),Resal+(Salim-Resal)*(1-EXP((Tnet-t)/(Tau_j))))*Salcycl</f>
        <v>5.3256019354247133E-2</v>
      </c>
      <c r="P320" s="169">
        <f>(INDEX(Models!$BJ320:$BT320,,T320)*(1-R320)+INDEX(Models!$BJ320:$BT320,,T320+1)*R320-ERP_i)*Q320*Ramure*Pc/MaxiM</f>
        <v>4.6049738950260913E-4</v>
      </c>
      <c r="Q320" s="304">
        <f t="shared" si="105"/>
        <v>0.6</v>
      </c>
      <c r="R320" s="177">
        <f t="shared" si="106"/>
        <v>0.97299976697510004</v>
      </c>
      <c r="S320" s="799">
        <f t="shared" si="107"/>
        <v>-2</v>
      </c>
      <c r="T320" s="176">
        <f t="shared" si="108"/>
        <v>4</v>
      </c>
      <c r="U320" s="250">
        <f t="shared" si="109"/>
        <v>-1.0270002330249</v>
      </c>
      <c r="V320" s="382">
        <f t="shared" si="110"/>
        <v>30.456965165523627</v>
      </c>
      <c r="W320" s="400">
        <f t="shared" si="111"/>
        <v>28.41002531862275</v>
      </c>
      <c r="X320" s="157">
        <f t="shared" si="112"/>
        <v>46328</v>
      </c>
      <c r="Y320" s="383">
        <f t="shared" si="113"/>
        <v>27.206213094344562</v>
      </c>
      <c r="Z320" s="383">
        <f t="shared" si="114"/>
        <v>28.731899838350504</v>
      </c>
      <c r="AA320" s="384">
        <f t="shared" si="115"/>
        <v>31.38462543279363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8.4523092369657687E-2</v>
      </c>
      <c r="AD320" s="230">
        <f>(INDEX(Models!$BJ320:$BT320,,AH320)*(1-AF320)+INDEX(Models!$BJ320:$BT320,,AH320+1)*AF320-ERP_i)*AE320*Ramure*Pc/MaxiM</f>
        <v>1.1148794397046901E-2</v>
      </c>
      <c r="AE320" s="304">
        <f t="shared" si="117"/>
        <v>0.6</v>
      </c>
      <c r="AF320" s="177">
        <f t="shared" si="118"/>
        <v>0.49798733334907874</v>
      </c>
      <c r="AG320" s="799">
        <f t="shared" si="124"/>
        <v>2</v>
      </c>
      <c r="AH320" s="176">
        <f t="shared" si="119"/>
        <v>8</v>
      </c>
      <c r="AI320" s="224">
        <f t="shared" si="120"/>
        <v>2.4979873333490787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'2025'!Wh/'2025'!Env_an*'2026'!Env_an</f>
        <v>9.9736609943884869</v>
      </c>
      <c r="C321" s="829"/>
      <c r="D321" s="391">
        <f t="shared" si="102"/>
        <v>10.533171953173959</v>
      </c>
      <c r="E321" s="383">
        <f t="shared" si="125"/>
        <v>11.125952850549652</v>
      </c>
      <c r="F321" s="383">
        <f t="shared" si="103"/>
        <v>11.126182756902736</v>
      </c>
      <c r="G321" s="110">
        <f t="shared" si="126"/>
        <v>0.33057311604429424</v>
      </c>
      <c r="H321" s="412" t="b">
        <f>Wh_hp&gt;='2025'!Maxi_hp</f>
        <v>0</v>
      </c>
      <c r="I321" s="388">
        <f>IF(H321,Wh_hp,'2025'!Maxi_hp)</f>
        <v>29.614967506581426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5.3118942828696003E-2</v>
      </c>
      <c r="M321" s="832"/>
      <c r="N321" s="832"/>
      <c r="O321" s="48">
        <f>IF(t&lt;Tnet,'2025'!Resal+('2025'!Salim-'2025'!Resal)*(1-EXP(('2025'!Tnet-t)/('2025'!Tau_j))),Resal+(Salim-Resal)*(1-EXP((Tnet-t)/(Tau_j))))*Salcycl</f>
        <v>5.3279112839886608E-2</v>
      </c>
      <c r="P321" s="169">
        <f>(INDEX(Models!$BJ321:$BT321,,T321)*(1-R321)+INDEX(Models!$BJ321:$BT321,,T321+1)*R321-ERP_i)*Q321*Ramure*Pc/MaxiM</f>
        <v>4.7081837691414661E-4</v>
      </c>
      <c r="Q321" s="304">
        <f t="shared" si="105"/>
        <v>0.6</v>
      </c>
      <c r="R321" s="177">
        <f t="shared" si="106"/>
        <v>0.9730515882904931</v>
      </c>
      <c r="S321" s="799">
        <f t="shared" si="107"/>
        <v>-2</v>
      </c>
      <c r="T321" s="176">
        <f t="shared" si="108"/>
        <v>4</v>
      </c>
      <c r="U321" s="250">
        <f t="shared" si="109"/>
        <v>-1.0269484117095069</v>
      </c>
      <c r="V321" s="382">
        <f t="shared" si="110"/>
        <v>30.157235195638055</v>
      </c>
      <c r="W321" s="400">
        <f t="shared" si="111"/>
        <v>9.9736609943884869</v>
      </c>
      <c r="X321" s="157">
        <f t="shared" si="112"/>
        <v>46329</v>
      </c>
      <c r="Y321" s="383">
        <f t="shared" si="113"/>
        <v>9.640237696431349</v>
      </c>
      <c r="Z321" s="383">
        <f t="shared" si="114"/>
        <v>10.18104399007667</v>
      </c>
      <c r="AA321" s="384">
        <f t="shared" si="115"/>
        <v>11.120649841165985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8.4491991431212901E-2</v>
      </c>
      <c r="AD321" s="230">
        <f>(INDEX(Models!$BJ321:$BT321,,AH321)*(1-AF321)+INDEX(Models!$BJ321:$BT321,,AH321+1)*AF321-ERP_i)*AE321*Ramure*Pc/MaxiM</f>
        <v>1.1330693440333059E-2</v>
      </c>
      <c r="AE321" s="304">
        <f t="shared" si="117"/>
        <v>0.6</v>
      </c>
      <c r="AF321" s="177">
        <f t="shared" si="118"/>
        <v>0.49803915466447179</v>
      </c>
      <c r="AG321" s="799">
        <f t="shared" si="124"/>
        <v>2</v>
      </c>
      <c r="AH321" s="176">
        <f t="shared" si="119"/>
        <v>8</v>
      </c>
      <c r="AI321" s="224">
        <f t="shared" si="120"/>
        <v>2.4980391546644718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'2025'!Wh/'2025'!Env_an*'2026'!Env_an</f>
        <v>17.226545617153292</v>
      </c>
      <c r="C322" s="829"/>
      <c r="D322" s="391">
        <f t="shared" si="102"/>
        <v>18.193283766559382</v>
      </c>
      <c r="E322" s="383">
        <f t="shared" si="125"/>
        <v>19.217624376373301</v>
      </c>
      <c r="F322" s="383">
        <f t="shared" si="103"/>
        <v>19.221283145155795</v>
      </c>
      <c r="G322" s="110">
        <f t="shared" si="126"/>
        <v>0.57674394938365992</v>
      </c>
      <c r="H322" s="412" t="b">
        <f>Wh_hp&gt;='2025'!Maxi_hp</f>
        <v>1</v>
      </c>
      <c r="I322" s="388">
        <f>IF(H322,Wh_hp,'2025'!Maxi_hp)</f>
        <v>19.221283145155795</v>
      </c>
      <c r="J322" s="85">
        <f>IF(H322,An,'2025'!An_max)</f>
        <v>2026</v>
      </c>
      <c r="K322" s="197">
        <f t="shared" si="104"/>
        <v>46330</v>
      </c>
      <c r="L322" s="147">
        <f>IF(t&lt;Tvie,1-EXP((T0-t)*PertePVj)+'2025'!Pspv,1-EXP((T0-t)*PertePVj)+Pspv)</f>
        <v>5.3137089588138342E-2</v>
      </c>
      <c r="M322" s="832"/>
      <c r="N322" s="832"/>
      <c r="O322" s="48">
        <f>IF(t&lt;Tnet,'2025'!Resal+('2025'!Salim-'2025'!Resal)*(1-EXP(('2025'!Tnet-t)/('2025'!Tau_j))),Resal+(Salim-Resal)*(1-EXP((Tnet-t)/(Tau_j))))*Salcycl</f>
        <v>5.3302145455255794E-2</v>
      </c>
      <c r="P322" s="169">
        <f>(INDEX(Models!$BJ322:$BT322,,T322)*(1-R322)+INDEX(Models!$BJ322:$BT322,,T322+1)*R322-ERP_i)*Q322*Ramure*Pc/MaxiM</f>
        <v>4.8118183031907089E-4</v>
      </c>
      <c r="Q322" s="304">
        <f t="shared" si="105"/>
        <v>0.6</v>
      </c>
      <c r="R322" s="177">
        <f t="shared" si="106"/>
        <v>0.9731013332406655</v>
      </c>
      <c r="S322" s="799">
        <f t="shared" si="107"/>
        <v>-2</v>
      </c>
      <c r="T322" s="176">
        <f t="shared" si="108"/>
        <v>4</v>
      </c>
      <c r="U322" s="250">
        <f t="shared" si="109"/>
        <v>-1.0268986667593345</v>
      </c>
      <c r="V322" s="382">
        <f t="shared" si="110"/>
        <v>29.859931173472496</v>
      </c>
      <c r="W322" s="400">
        <f t="shared" si="111"/>
        <v>17.226545617153292</v>
      </c>
      <c r="X322" s="157">
        <f t="shared" si="112"/>
        <v>46330</v>
      </c>
      <c r="Y322" s="383">
        <f t="shared" si="113"/>
        <v>16.586838444867535</v>
      </c>
      <c r="Z322" s="383">
        <f t="shared" si="114"/>
        <v>17.517676806722395</v>
      </c>
      <c r="AA322" s="384">
        <f t="shared" si="115"/>
        <v>19.133729992579664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8.4460959075099123E-2</v>
      </c>
      <c r="AD322" s="230">
        <f>(INDEX(Models!$BJ322:$BT322,,AH322)*(1-AF322)+INDEX(Models!$BJ322:$BT322,,AH322+1)*AF322-ERP_i)*AE322*Ramure*Pc/MaxiM</f>
        <v>1.1514525434989908E-2</v>
      </c>
      <c r="AE322" s="304">
        <f t="shared" si="117"/>
        <v>0.6</v>
      </c>
      <c r="AF322" s="177">
        <f t="shared" si="118"/>
        <v>0.4980888996146442</v>
      </c>
      <c r="AG322" s="799">
        <f t="shared" si="124"/>
        <v>2</v>
      </c>
      <c r="AH322" s="176">
        <f t="shared" si="119"/>
        <v>8</v>
      </c>
      <c r="AI322" s="224">
        <f t="shared" si="120"/>
        <v>2.4980888996146442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'2025'!Wh/'2025'!Env_an*'2026'!Env_an</f>
        <v>29.346773008339976</v>
      </c>
      <c r="C323" s="829"/>
      <c r="D323" s="391">
        <f t="shared" si="102"/>
        <v>30.994281348039276</v>
      </c>
      <c r="E323" s="383">
        <f t="shared" si="125"/>
        <v>32.74015582971677</v>
      </c>
      <c r="F323" s="383">
        <f t="shared" si="103"/>
        <v>32.756088234525109</v>
      </c>
      <c r="G323" s="110">
        <f t="shared" si="126"/>
        <v>0.99260196662515199</v>
      </c>
      <c r="H323" s="412" t="b">
        <f>Wh_hp&gt;='2025'!Maxi_hp</f>
        <v>1</v>
      </c>
      <c r="I323" s="388">
        <f>IF(H323,Wh_hp,'2025'!Maxi_hp)</f>
        <v>32.756088234525109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5.3155235999802319E-2</v>
      </c>
      <c r="M323" s="832"/>
      <c r="N323" s="832"/>
      <c r="O323" s="48">
        <f>IF(t&lt;Tnet,'2025'!Resal+('2025'!Salim-'2025'!Resal)*(1-EXP(('2025'!Tnet-t)/('2025'!Tau_j))),Resal+(Salim-Resal)*(1-EXP((Tnet-t)/(Tau_j))))*Salcycl</f>
        <v>5.3325173244680814E-2</v>
      </c>
      <c r="P323" s="169">
        <f>(INDEX(Models!$BJ323:$BT323,,T323)*(1-R323)+INDEX(Models!$BJ323:$BT323,,T323+1)*R323-ERP_i)*Q323*Ramure*Pc/MaxiM</f>
        <v>4.9158699689801121E-4</v>
      </c>
      <c r="Q323" s="304">
        <f t="shared" si="105"/>
        <v>0.6</v>
      </c>
      <c r="R323" s="177">
        <f t="shared" si="106"/>
        <v>0.97314908463105487</v>
      </c>
      <c r="S323" s="799">
        <f t="shared" si="107"/>
        <v>-2</v>
      </c>
      <c r="T323" s="176">
        <f t="shared" si="108"/>
        <v>4</v>
      </c>
      <c r="U323" s="250">
        <f t="shared" si="109"/>
        <v>-1.0268509153689451</v>
      </c>
      <c r="V323" s="382">
        <f t="shared" si="110"/>
        <v>29.565345988719571</v>
      </c>
      <c r="W323" s="400">
        <f t="shared" si="111"/>
        <v>29.346773008339976</v>
      </c>
      <c r="X323" s="157">
        <f t="shared" si="112"/>
        <v>46331</v>
      </c>
      <c r="Y323" s="383">
        <f t="shared" si="113"/>
        <v>28.067601113632247</v>
      </c>
      <c r="Z323" s="383">
        <f t="shared" si="114"/>
        <v>29.643297593000565</v>
      </c>
      <c r="AA323" s="384">
        <f t="shared" si="115"/>
        <v>32.376880299755371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8.4430083486933732E-2</v>
      </c>
      <c r="AD323" s="230">
        <f>(INDEX(Models!$BJ323:$BT323,,AH323)*(1-AF323)+INDEX(Models!$BJ323:$BT323,,AH323+1)*AF323-ERP_i)*AE323*Ramure*Pc/MaxiM</f>
        <v>1.1700285807187828E-2</v>
      </c>
      <c r="AE323" s="304">
        <f t="shared" si="117"/>
        <v>0.6</v>
      </c>
      <c r="AF323" s="177">
        <f t="shared" si="118"/>
        <v>0.49813665100503357</v>
      </c>
      <c r="AG323" s="799">
        <f t="shared" si="124"/>
        <v>2</v>
      </c>
      <c r="AH323" s="176">
        <f t="shared" si="119"/>
        <v>8</v>
      </c>
      <c r="AI323" s="224">
        <f t="shared" si="120"/>
        <v>2.4981366510050336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'2025'!Wh/'2025'!Env_an*'2026'!Env_an</f>
        <v>29.307711259356488</v>
      </c>
      <c r="C324" s="829"/>
      <c r="D324" s="391">
        <f t="shared" si="102"/>
        <v>30.953619917483202</v>
      </c>
      <c r="E324" s="383">
        <f t="shared" si="125"/>
        <v>32.698001135729605</v>
      </c>
      <c r="F324" s="383">
        <f t="shared" si="103"/>
        <v>32.714436469052195</v>
      </c>
      <c r="G324" s="110">
        <f t="shared" si="126"/>
        <v>1.0011597115070361</v>
      </c>
      <c r="H324" s="412" t="b">
        <f>Wh_hp&gt;='2025'!Maxi_hp</f>
        <v>1</v>
      </c>
      <c r="I324" s="388">
        <f>IF(H324,Wh_hp,'2025'!Maxi_hp)</f>
        <v>32.714436469052195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5.3173382063694374E-2</v>
      </c>
      <c r="M324" s="832"/>
      <c r="N324" s="832"/>
      <c r="O324" s="48">
        <f>IF(t&lt;Tnet,'2025'!Resal+('2025'!Salim-'2025'!Resal)*(1-EXP(('2025'!Tnet-t)/('2025'!Tau_j))),Resal+(Salim-Resal)*(1-EXP((Tnet-t)/(Tau_j))))*Salcycl</f>
        <v>5.3348252420857958E-2</v>
      </c>
      <c r="P324" s="169">
        <f>(INDEX(Models!$BJ324:$BT324,,T324)*(1-R324)+INDEX(Models!$BJ324:$BT324,,T324+1)*R324-ERP_i)*Q324*Ramure*Pc/MaxiM</f>
        <v>5.0238778644842654E-4</v>
      </c>
      <c r="Q324" s="304">
        <f t="shared" si="105"/>
        <v>0.6</v>
      </c>
      <c r="R324" s="177">
        <f t="shared" si="106"/>
        <v>0.97319492199552404</v>
      </c>
      <c r="S324" s="799">
        <f t="shared" si="107"/>
        <v>-2</v>
      </c>
      <c r="T324" s="176">
        <f t="shared" si="108"/>
        <v>4</v>
      </c>
      <c r="U324" s="250">
        <f t="shared" si="109"/>
        <v>-1.026805078004476</v>
      </c>
      <c r="V324" s="382">
        <f t="shared" si="110"/>
        <v>29.273762140547852</v>
      </c>
      <c r="W324" s="400">
        <f t="shared" si="111"/>
        <v>29.307711259356488</v>
      </c>
      <c r="X324" s="157">
        <f t="shared" si="112"/>
        <v>46332</v>
      </c>
      <c r="Y324" s="383">
        <f t="shared" si="113"/>
        <v>28.02361629770019</v>
      </c>
      <c r="Z324" s="383">
        <f t="shared" si="114"/>
        <v>29.5974107263484</v>
      </c>
      <c r="AA324" s="384">
        <f t="shared" si="115"/>
        <v>32.325680470757163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8.4399452839881872E-2</v>
      </c>
      <c r="AD324" s="230">
        <f>(INDEX(Models!$BJ324:$BT324,,AH324)*(1-AF324)+INDEX(Models!$BJ324:$BT324,,AH324+1)*AF324-ERP_i)*AE324*Ramure*Pc/MaxiM</f>
        <v>1.1883316365935202E-2</v>
      </c>
      <c r="AE324" s="304">
        <f t="shared" si="117"/>
        <v>0.6</v>
      </c>
      <c r="AF324" s="177">
        <f t="shared" si="118"/>
        <v>0.49818248836950296</v>
      </c>
      <c r="AG324" s="799">
        <f t="shared" si="124"/>
        <v>2</v>
      </c>
      <c r="AH324" s="176">
        <f t="shared" si="119"/>
        <v>8</v>
      </c>
      <c r="AI324" s="224">
        <f t="shared" si="120"/>
        <v>2.498182488369503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'2025'!Wh/'2025'!Env_an*'2026'!Env_an</f>
        <v>27.493544032404561</v>
      </c>
      <c r="C325" s="829"/>
      <c r="D325" s="391">
        <f t="shared" si="102"/>
        <v>29.03812633608435</v>
      </c>
      <c r="E325" s="383">
        <f t="shared" si="125"/>
        <v>30.675311876039284</v>
      </c>
      <c r="F325" s="383">
        <f t="shared" si="103"/>
        <v>30.689915157230189</v>
      </c>
      <c r="G325" s="110">
        <f t="shared" si="126"/>
        <v>0.94849257116233432</v>
      </c>
      <c r="H325" s="412" t="b">
        <f>Wh_hp&gt;='2025'!Maxi_hp</f>
        <v>1</v>
      </c>
      <c r="I325" s="388">
        <f>IF(H325,Wh_hp,'2025'!Maxi_hp)</f>
        <v>30.689915157230189</v>
      </c>
      <c r="J325" s="85">
        <f>IF(H325,An,'2025'!An_max)</f>
        <v>2026</v>
      </c>
      <c r="K325" s="197">
        <f t="shared" si="104"/>
        <v>46333</v>
      </c>
      <c r="L325" s="147">
        <f>IF(t&lt;Tvie,1-EXP((T0-t)*PertePVj)+'2025'!Pspv,1-EXP((T0-t)*PertePVj)+Pspv)</f>
        <v>5.3191527779821279E-2</v>
      </c>
      <c r="M325" s="832"/>
      <c r="N325" s="832"/>
      <c r="O325" s="48">
        <f>IF(t&lt;Tnet,'2025'!Resal+('2025'!Salim-'2025'!Resal)*(1-EXP(('2025'!Tnet-t)/('2025'!Tau_j))),Resal+(Salim-Resal)*(1-EXP((Tnet-t)/(Tau_j))))*Salcycl</f>
        <v>5.337143910943417E-2</v>
      </c>
      <c r="P325" s="169">
        <f>(INDEX(Models!$BJ325:$BT325,,T325)*(1-R325)+INDEX(Models!$BJ325:$BT325,,T325+1)*R325-ERP_i)*Q325*Ramure*Pc/MaxiM</f>
        <v>5.1359855625234701E-4</v>
      </c>
      <c r="Q325" s="304">
        <f t="shared" si="105"/>
        <v>0.6</v>
      </c>
      <c r="R325" s="177">
        <f t="shared" si="106"/>
        <v>0.97323892172319515</v>
      </c>
      <c r="S325" s="799">
        <f t="shared" si="107"/>
        <v>-2</v>
      </c>
      <c r="T325" s="176">
        <f t="shared" si="108"/>
        <v>4</v>
      </c>
      <c r="U325" s="250">
        <f t="shared" si="109"/>
        <v>-1.0267610782768049</v>
      </c>
      <c r="V325" s="382">
        <f t="shared" si="110"/>
        <v>28.985472391755604</v>
      </c>
      <c r="W325" s="400">
        <f t="shared" si="111"/>
        <v>27.493544032404561</v>
      </c>
      <c r="X325" s="157">
        <f t="shared" si="112"/>
        <v>46333</v>
      </c>
      <c r="Y325" s="383">
        <f t="shared" si="113"/>
        <v>26.30853600136399</v>
      </c>
      <c r="Z325" s="383">
        <f t="shared" si="114"/>
        <v>27.786544769369137</v>
      </c>
      <c r="AA325" s="384">
        <f t="shared" si="115"/>
        <v>30.346885885103088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8.4369154892126569E-2</v>
      </c>
      <c r="AD325" s="230">
        <f>(INDEX(Models!$BJ325:$BT325,,AH325)*(1-AF325)+INDEX(Models!$BJ325:$BT325,,AH325+1)*AF325-ERP_i)*AE325*Ramure*Pc/MaxiM</f>
        <v>1.2064366673051512E-2</v>
      </c>
      <c r="AE325" s="304">
        <f t="shared" si="117"/>
        <v>0.6</v>
      </c>
      <c r="AF325" s="177">
        <f t="shared" si="118"/>
        <v>0.49822648809717407</v>
      </c>
      <c r="AG325" s="799">
        <f t="shared" si="124"/>
        <v>2</v>
      </c>
      <c r="AH325" s="176">
        <f t="shared" si="119"/>
        <v>8</v>
      </c>
      <c r="AI325" s="224">
        <f t="shared" si="120"/>
        <v>2.4982264880971741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'2025'!Wh/'2025'!Env_an*'2026'!Env_an</f>
        <v>19.828406644369988</v>
      </c>
      <c r="C326" s="829"/>
      <c r="D326" s="391">
        <f t="shared" si="102"/>
        <v>20.942764286895262</v>
      </c>
      <c r="E326" s="383">
        <f t="shared" si="125"/>
        <v>22.124074583109017</v>
      </c>
      <c r="F326" s="383">
        <f t="shared" si="103"/>
        <v>22.130564865004438</v>
      </c>
      <c r="G326" s="110">
        <f t="shared" si="126"/>
        <v>0.6907064235065673</v>
      </c>
      <c r="H326" s="412" t="b">
        <f>Wh_hp&gt;='2025'!Maxi_hp</f>
        <v>0</v>
      </c>
      <c r="I326" s="388">
        <f>IF(H326,Wh_hp,'2025'!Maxi_hp)</f>
        <v>24.301685975957074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5.3209673148189585E-2</v>
      </c>
      <c r="M326" s="832"/>
      <c r="N326" s="832"/>
      <c r="O326" s="48">
        <f>IF(t&lt;Tnet,'2025'!Resal+('2025'!Salim-'2025'!Resal)*(1-EXP(('2025'!Tnet-t)/('2025'!Tau_j))),Resal+(Salim-Resal)*(1-EXP((Tnet-t)/(Tau_j))))*Salcycl</f>
        <v>5.3394789091682285E-2</v>
      </c>
      <c r="P326" s="169">
        <f>(INDEX(Models!$BJ326:$BT326,,T326)*(1-R326)+INDEX(Models!$BJ326:$BT326,,T326+1)*R326-ERP_i)*Q326*Ramure*Pc/MaxiM</f>
        <v>5.2521898067778522E-4</v>
      </c>
      <c r="Q326" s="304">
        <f t="shared" si="105"/>
        <v>0.6</v>
      </c>
      <c r="R326" s="177">
        <f t="shared" si="106"/>
        <v>0.9732811571805613</v>
      </c>
      <c r="S326" s="799">
        <f t="shared" si="107"/>
        <v>-2</v>
      </c>
      <c r="T326" s="176">
        <f t="shared" si="108"/>
        <v>4</v>
      </c>
      <c r="U326" s="250">
        <f t="shared" si="109"/>
        <v>-1.0267188428194387</v>
      </c>
      <c r="V326" s="382">
        <f t="shared" si="110"/>
        <v>28.700769947444524</v>
      </c>
      <c r="W326" s="400">
        <f t="shared" si="111"/>
        <v>19.828406644369988</v>
      </c>
      <c r="X326" s="157">
        <f t="shared" si="112"/>
        <v>46334</v>
      </c>
      <c r="Y326" s="383">
        <f t="shared" si="113"/>
        <v>19.054679385096208</v>
      </c>
      <c r="Z326" s="383">
        <f t="shared" si="114"/>
        <v>20.125553509249787</v>
      </c>
      <c r="AA326" s="384">
        <f t="shared" si="115"/>
        <v>21.979269170956456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8.4339276583235118E-2</v>
      </c>
      <c r="AD326" s="230">
        <f>(INDEX(Models!$BJ326:$BT326,,AH326)*(1-AF326)+INDEX(Models!$BJ326:$BT326,,AH326+1)*AF326-ERP_i)*AE326*Ramure*Pc/MaxiM</f>
        <v>1.2243438958309684E-2</v>
      </c>
      <c r="AE326" s="304">
        <f t="shared" si="117"/>
        <v>0.6</v>
      </c>
      <c r="AF326" s="177">
        <f t="shared" si="118"/>
        <v>0.49826872355453977</v>
      </c>
      <c r="AG326" s="799">
        <f t="shared" si="124"/>
        <v>2</v>
      </c>
      <c r="AH326" s="176">
        <f t="shared" si="119"/>
        <v>8</v>
      </c>
      <c r="AI326" s="224">
        <f t="shared" si="120"/>
        <v>2.4982687235545398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'2025'!Wh/'2025'!Env_an*'2026'!Env_an</f>
        <v>9.7677866420873229</v>
      </c>
      <c r="C327" s="829"/>
      <c r="D327" s="391">
        <f t="shared" si="102"/>
        <v>10.316934558844997</v>
      </c>
      <c r="E327" s="383">
        <f t="shared" si="125"/>
        <v>10.899149208207831</v>
      </c>
      <c r="F327" s="383">
        <f t="shared" si="103"/>
        <v>10.899514730318774</v>
      </c>
      <c r="G327" s="110">
        <f t="shared" si="126"/>
        <v>0.34352161053257146</v>
      </c>
      <c r="H327" s="412" t="b">
        <f>Wh_hp&gt;='2025'!Maxi_hp</f>
        <v>0</v>
      </c>
      <c r="I327" s="388">
        <f>IF(H327,Wh_hp,'2025'!Maxi_hp)</f>
        <v>24.305673600704964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5.3227818168806174E-2</v>
      </c>
      <c r="M327" s="832"/>
      <c r="N327" s="832"/>
      <c r="O327" s="48">
        <f>IF(t&lt;Tnet,'2025'!Resal+('2025'!Salim-'2025'!Resal)*(1-EXP(('2025'!Tnet-t)/('2025'!Tau_j))),Resal+(Salim-Resal)*(1-EXP((Tnet-t)/(Tau_j))))*Salcycl</f>
        <v>5.3418357547063068E-2</v>
      </c>
      <c r="P327" s="169">
        <f>(INDEX(Models!$BJ327:$BT327,,T327)*(1-R327)+INDEX(Models!$BJ327:$BT327,,T327+1)*R327-ERP_i)*Q327*Ramure*Pc/MaxiM</f>
        <v>5.3724869883166771E-4</v>
      </c>
      <c r="Q327" s="304">
        <f t="shared" si="105"/>
        <v>0.6</v>
      </c>
      <c r="R327" s="177">
        <f t="shared" si="106"/>
        <v>0.97332169882903075</v>
      </c>
      <c r="S327" s="799">
        <f t="shared" si="107"/>
        <v>-2</v>
      </c>
      <c r="T327" s="176">
        <f t="shared" si="108"/>
        <v>4</v>
      </c>
      <c r="U327" s="250">
        <f t="shared" si="109"/>
        <v>-1.0266783011709693</v>
      </c>
      <c r="V327" s="382">
        <f t="shared" si="110"/>
        <v>28.419948020667888</v>
      </c>
      <c r="W327" s="400">
        <f t="shared" si="111"/>
        <v>9.7677866420873229</v>
      </c>
      <c r="X327" s="157">
        <f t="shared" si="112"/>
        <v>46335</v>
      </c>
      <c r="Y327" s="383">
        <f t="shared" si="113"/>
        <v>9.4420072218152065</v>
      </c>
      <c r="Z327" s="383">
        <f t="shared" si="114"/>
        <v>9.9728397211174968</v>
      </c>
      <c r="AA327" s="384">
        <f t="shared" si="115"/>
        <v>10.891064302951957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8.4309903632244804E-2</v>
      </c>
      <c r="AD327" s="230">
        <f>(INDEX(Models!$BJ327:$BT327,,AH327)*(1-AF327)+INDEX(Models!$BJ327:$BT327,,AH327+1)*AF327-ERP_i)*AE327*Ramure*Pc/MaxiM</f>
        <v>1.2420537558425974E-2</v>
      </c>
      <c r="AE327" s="304">
        <f t="shared" si="117"/>
        <v>0.6</v>
      </c>
      <c r="AF327" s="177">
        <f t="shared" si="118"/>
        <v>0.49830926520300967</v>
      </c>
      <c r="AG327" s="799">
        <f t="shared" si="124"/>
        <v>2</v>
      </c>
      <c r="AH327" s="176">
        <f t="shared" si="119"/>
        <v>8</v>
      </c>
      <c r="AI327" s="224">
        <f t="shared" si="120"/>
        <v>2.4983092652030097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'2025'!Wh/'2025'!Env_an*'2026'!Env_an</f>
        <v>19.724027881703787</v>
      </c>
      <c r="C328" s="829"/>
      <c r="D328" s="391">
        <f t="shared" si="102"/>
        <v>20.833317955427322</v>
      </c>
      <c r="E328" s="383">
        <f t="shared" si="125"/>
        <v>22.009557080360466</v>
      </c>
      <c r="F328" s="383">
        <f t="shared" si="103"/>
        <v>22.016487183842422</v>
      </c>
      <c r="G328" s="110">
        <f t="shared" si="126"/>
        <v>0.70067806540736122</v>
      </c>
      <c r="H328" s="412" t="b">
        <f>Wh_hp&gt;='2025'!Maxi_hp</f>
        <v>1</v>
      </c>
      <c r="I328" s="388">
        <f>IF(H328,Wh_hp,'2025'!Maxi_hp)</f>
        <v>22.016487183842422</v>
      </c>
      <c r="J328" s="85">
        <f>IF(H328,An,'2025'!An_max)</f>
        <v>2026</v>
      </c>
      <c r="K328" s="197">
        <f t="shared" si="104"/>
        <v>46336</v>
      </c>
      <c r="L328" s="147">
        <f>IF(t&lt;Tvie,1-EXP((T0-t)*PertePVj)+'2025'!Pspv,1-EXP((T0-t)*PertePVj)+Pspv)</f>
        <v>5.3245962841677485E-2</v>
      </c>
      <c r="M328" s="832"/>
      <c r="N328" s="832"/>
      <c r="O328" s="48">
        <f>IF(t&lt;Tnet,'2025'!Resal+('2025'!Salim-'2025'!Resal)*(1-EXP(('2025'!Tnet-t)/('2025'!Tau_j))),Resal+(Salim-Resal)*(1-EXP((Tnet-t)/(Tau_j))))*Salcycl</f>
        <v>5.344219879748157E-2</v>
      </c>
      <c r="P328" s="169">
        <f>(INDEX(Models!$BJ328:$BT328,,T328)*(1-R328)+INDEX(Models!$BJ328:$BT328,,T328+1)*R328-ERP_i)*Q328*Ramure*Pc/MaxiM</f>
        <v>5.4968728474182038E-4</v>
      </c>
      <c r="Q328" s="304">
        <f t="shared" si="105"/>
        <v>0.6</v>
      </c>
      <c r="R328" s="177">
        <f t="shared" si="106"/>
        <v>0.97336061433806598</v>
      </c>
      <c r="S328" s="799">
        <f t="shared" si="107"/>
        <v>-2</v>
      </c>
      <c r="T328" s="176">
        <f t="shared" si="108"/>
        <v>4</v>
      </c>
      <c r="U328" s="250">
        <f t="shared" si="109"/>
        <v>-1.026639385661934</v>
      </c>
      <c r="V328" s="382">
        <f t="shared" si="110"/>
        <v>28.143299837351865</v>
      </c>
      <c r="W328" s="400">
        <f t="shared" si="111"/>
        <v>19.724027881703787</v>
      </c>
      <c r="X328" s="157">
        <f t="shared" si="112"/>
        <v>46336</v>
      </c>
      <c r="Y328" s="383">
        <f t="shared" si="113"/>
        <v>18.949754093844955</v>
      </c>
      <c r="Z328" s="383">
        <f t="shared" si="114"/>
        <v>20.01549858791471</v>
      </c>
      <c r="AA328" s="384">
        <f t="shared" si="115"/>
        <v>21.857689109763999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8.428112014029733E-2</v>
      </c>
      <c r="AD328" s="230">
        <f>(INDEX(Models!$BJ328:$BT328,,AH328)*(1-AF328)+INDEX(Models!$BJ328:$BT328,,AH328+1)*AF328-ERP_i)*AE328*Ramure*Pc/MaxiM</f>
        <v>1.2595667927564908E-2</v>
      </c>
      <c r="AE328" s="304">
        <f t="shared" si="117"/>
        <v>0.6</v>
      </c>
      <c r="AF328" s="177">
        <f t="shared" si="118"/>
        <v>0.49834818071204445</v>
      </c>
      <c r="AG328" s="799">
        <f t="shared" si="124"/>
        <v>2</v>
      </c>
      <c r="AH328" s="176">
        <f t="shared" si="119"/>
        <v>8</v>
      </c>
      <c r="AI328" s="224">
        <f t="shared" si="120"/>
        <v>2.4983481807120445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'2025'!Wh/'2025'!Env_an*'2026'!Env_an</f>
        <v>26.983402363925766</v>
      </c>
      <c r="C329" s="829"/>
      <c r="D329" s="391">
        <f t="shared" si="102"/>
        <v>28.501509838372751</v>
      </c>
      <c r="E329" s="383">
        <f t="shared" si="125"/>
        <v>30.111460191419095</v>
      </c>
      <c r="F329" s="383">
        <f t="shared" si="103"/>
        <v>30.127636873346383</v>
      </c>
      <c r="G329" s="110">
        <f t="shared" si="126"/>
        <v>0.968124447378231</v>
      </c>
      <c r="H329" s="412" t="b">
        <f>Wh_hp&gt;='2025'!Maxi_hp</f>
        <v>1</v>
      </c>
      <c r="I329" s="388">
        <f>IF(H329,Wh_hp,'2025'!Maxi_hp)</f>
        <v>30.127636873346383</v>
      </c>
      <c r="J329" s="85">
        <f>IF(H329,An,'2025'!An_max)</f>
        <v>2026</v>
      </c>
      <c r="K329" s="197">
        <f t="shared" si="104"/>
        <v>46337</v>
      </c>
      <c r="L329" s="147">
        <f>IF(t&lt;Tvie,1-EXP((T0-t)*PertePVj)+'2025'!Pspv,1-EXP((T0-t)*PertePVj)+Pspv)</f>
        <v>5.3264107166810293E-2</v>
      </c>
      <c r="M329" s="832"/>
      <c r="N329" s="832"/>
      <c r="O329" s="48">
        <f>IF(t&lt;Tnet,'2025'!Resal+('2025'!Salim-'2025'!Resal)*(1-EXP(('2025'!Tnet-t)/('2025'!Tau_j))),Resal+(Salim-Resal)*(1-EXP((Tnet-t)/(Tau_j))))*Salcycl</f>
        <v>5.3466366055045511E-2</v>
      </c>
      <c r="P329" s="169">
        <f>(INDEX(Models!$BJ329:$BT329,,T329)*(1-R329)+INDEX(Models!$BJ329:$BT329,,T329+1)*R329-ERP_i)*Q329*Ramure*Pc/MaxiM</f>
        <v>5.6253420960857188E-4</v>
      </c>
      <c r="Q329" s="304">
        <f t="shared" si="105"/>
        <v>0.6</v>
      </c>
      <c r="R329" s="177">
        <f t="shared" si="106"/>
        <v>0.97339796869406303</v>
      </c>
      <c r="S329" s="799">
        <f t="shared" si="107"/>
        <v>-2</v>
      </c>
      <c r="T329" s="176">
        <f t="shared" si="108"/>
        <v>4</v>
      </c>
      <c r="U329" s="250">
        <f t="shared" si="109"/>
        <v>-1.026602031305937</v>
      </c>
      <c r="V329" s="382">
        <f t="shared" si="110"/>
        <v>27.871118636708445</v>
      </c>
      <c r="W329" s="400">
        <f t="shared" si="111"/>
        <v>26.983402363925766</v>
      </c>
      <c r="X329" s="157">
        <f t="shared" si="112"/>
        <v>46337</v>
      </c>
      <c r="Y329" s="383">
        <f t="shared" si="113"/>
        <v>25.801430171340854</v>
      </c>
      <c r="Z329" s="383">
        <f t="shared" si="114"/>
        <v>27.253038959078467</v>
      </c>
      <c r="AA329" s="384">
        <f t="shared" si="115"/>
        <v>29.760446065488647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8.4253008200635277E-2</v>
      </c>
      <c r="AD329" s="230">
        <f>(INDEX(Models!$BJ329:$BT329,,AH329)*(1-AF329)+INDEX(Models!$BJ329:$BT329,,AH329+1)*AF329-ERP_i)*AE329*Ramure*Pc/MaxiM</f>
        <v>1.2768835525248283E-2</v>
      </c>
      <c r="AE329" s="304">
        <f t="shared" si="117"/>
        <v>0.6</v>
      </c>
      <c r="AF329" s="177">
        <f t="shared" si="118"/>
        <v>0.49838553506804173</v>
      </c>
      <c r="AG329" s="799">
        <f t="shared" si="124"/>
        <v>2</v>
      </c>
      <c r="AH329" s="176">
        <f t="shared" si="119"/>
        <v>8</v>
      </c>
      <c r="AI329" s="224">
        <f t="shared" si="120"/>
        <v>2.4983855350680417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'2025'!Wh/'2025'!Env_an*'2026'!Env_an</f>
        <v>26.574631490110139</v>
      </c>
      <c r="C330" s="829"/>
      <c r="D330" s="391">
        <f t="shared" si="102"/>
        <v>28.070279153663769</v>
      </c>
      <c r="E330" s="383">
        <f t="shared" si="125"/>
        <v>29.656639841159713</v>
      </c>
      <c r="F330" s="383">
        <f t="shared" si="103"/>
        <v>29.672815202474592</v>
      </c>
      <c r="G330" s="110">
        <f t="shared" si="126"/>
        <v>0.9626904500298602</v>
      </c>
      <c r="H330" s="412" t="b">
        <f>Wh_hp&gt;='2025'!Maxi_hp</f>
        <v>1</v>
      </c>
      <c r="I330" s="388">
        <f>IF(H330,Wh_hp,'2025'!Maxi_hp)</f>
        <v>29.672815202474592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5.3282251144211257E-2</v>
      </c>
      <c r="M330" s="832"/>
      <c r="N330" s="832"/>
      <c r="O330" s="48">
        <f>IF(t&lt;Tnet,'2025'!Resal+('2025'!Salim-'2025'!Resal)*(1-EXP(('2025'!Tnet-t)/('2025'!Tau_j))),Resal+(Salim-Resal)*(1-EXP((Tnet-t)/(Tau_j))))*Salcycl</f>
        <v>5.3490911175118214E-2</v>
      </c>
      <c r="P330" s="169">
        <f>(INDEX(Models!$BJ330:$BT330,,T330)*(1-R330)+INDEX(Models!$BJ330:$BT330,,T330+1)*R330-ERP_i)*Q330*Ramure*Pc/MaxiM</f>
        <v>5.7578879527648414E-4</v>
      </c>
      <c r="Q330" s="304">
        <f t="shared" si="105"/>
        <v>0.6</v>
      </c>
      <c r="R330" s="177">
        <f t="shared" si="106"/>
        <v>0.97343382430512637</v>
      </c>
      <c r="S330" s="799">
        <f t="shared" si="107"/>
        <v>-2</v>
      </c>
      <c r="T330" s="176">
        <f t="shared" si="108"/>
        <v>4</v>
      </c>
      <c r="U330" s="250">
        <f t="shared" si="109"/>
        <v>-1.0265661756948736</v>
      </c>
      <c r="V330" s="382">
        <f t="shared" si="110"/>
        <v>27.603697675649176</v>
      </c>
      <c r="W330" s="400">
        <f t="shared" si="111"/>
        <v>26.574631490110139</v>
      </c>
      <c r="X330" s="157">
        <f t="shared" si="112"/>
        <v>46338</v>
      </c>
      <c r="Y330" s="383">
        <f t="shared" si="113"/>
        <v>25.41056914720609</v>
      </c>
      <c r="Z330" s="383">
        <f t="shared" si="114"/>
        <v>26.840702181740571</v>
      </c>
      <c r="AA330" s="384">
        <f t="shared" si="115"/>
        <v>29.309296672282112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8.4225647518730726E-2</v>
      </c>
      <c r="AD330" s="230">
        <f>(INDEX(Models!$BJ330:$BT330,,AH330)*(1-AF330)+INDEX(Models!$BJ330:$BT330,,AH330+1)*AF330-ERP_i)*AE330*Ramure*Pc/MaxiM</f>
        <v>1.2940044582972631E-2</v>
      </c>
      <c r="AE330" s="304">
        <f t="shared" si="117"/>
        <v>0.6</v>
      </c>
      <c r="AF330" s="177">
        <f t="shared" si="118"/>
        <v>0.49842139067910507</v>
      </c>
      <c r="AG330" s="799">
        <f t="shared" si="124"/>
        <v>2</v>
      </c>
      <c r="AH330" s="176">
        <f t="shared" si="119"/>
        <v>8</v>
      </c>
      <c r="AI330" s="224">
        <f t="shared" si="120"/>
        <v>2.4984213906791051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'2025'!Wh/'2025'!Env_an*'2026'!Env_an</f>
        <v>25.560187032372195</v>
      </c>
      <c r="C331" s="829"/>
      <c r="D331" s="391">
        <f t="shared" si="102"/>
        <v>26.999258150390073</v>
      </c>
      <c r="E331" s="383">
        <f t="shared" si="125"/>
        <v>28.525843916295603</v>
      </c>
      <c r="F331" s="383">
        <f t="shared" si="103"/>
        <v>28.541104296823253</v>
      </c>
      <c r="G331" s="110">
        <f t="shared" si="126"/>
        <v>0.93486567348004024</v>
      </c>
      <c r="H331" s="412" t="b">
        <f>Wh_hp&gt;='2025'!Maxi_hp</f>
        <v>0</v>
      </c>
      <c r="I331" s="388">
        <f>IF(H331,Wh_hp,'2025'!Maxi_hp)</f>
        <v>29.071978311267806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5.3300394773887039E-2</v>
      </c>
      <c r="M331" s="832"/>
      <c r="N331" s="832"/>
      <c r="O331" s="48">
        <f>IF(t&lt;Tnet,'2025'!Resal+('2025'!Salim-'2025'!Resal)*(1-EXP(('2025'!Tnet-t)/('2025'!Tau_j))),Resal+(Salim-Resal)*(1-EXP((Tnet-t)/(Tau_j))))*Salcycl</f>
        <v>5.351588441642767E-2</v>
      </c>
      <c r="P331" s="169">
        <f>(INDEX(Models!$BJ331:$BT331,,T331)*(1-R331)+INDEX(Models!$BJ331:$BT331,,T331+1)*R331-ERP_i)*Q331*Ramure*Pc/MaxiM</f>
        <v>5.8948901256442531E-4</v>
      </c>
      <c r="Q331" s="304">
        <f t="shared" si="105"/>
        <v>0.6</v>
      </c>
      <c r="R331" s="177">
        <f t="shared" si="106"/>
        <v>0.97346824110187691</v>
      </c>
      <c r="S331" s="799">
        <f t="shared" si="107"/>
        <v>-2</v>
      </c>
      <c r="T331" s="176">
        <f t="shared" si="108"/>
        <v>4</v>
      </c>
      <c r="U331" s="250">
        <f t="shared" si="109"/>
        <v>-1.0265317588981231</v>
      </c>
      <c r="V331" s="382">
        <f t="shared" si="110"/>
        <v>27.339527057047977</v>
      </c>
      <c r="W331" s="400">
        <f t="shared" si="111"/>
        <v>25.560187032372195</v>
      </c>
      <c r="X331" s="157">
        <f t="shared" si="112"/>
        <v>46339</v>
      </c>
      <c r="Y331" s="383">
        <f t="shared" si="113"/>
        <v>24.450558287636582</v>
      </c>
      <c r="Z331" s="383">
        <f t="shared" si="114"/>
        <v>25.827155892598821</v>
      </c>
      <c r="AA331" s="384">
        <f t="shared" si="115"/>
        <v>28.201715369465944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8.4199115045252293E-2</v>
      </c>
      <c r="AD331" s="230">
        <f>(INDEX(Models!$BJ331:$BT331,,AH331)*(1-AF331)+INDEX(Models!$BJ331:$BT331,,AH331+1)*AF331-ERP_i)*AE331*Ramure*Pc/MaxiM</f>
        <v>1.3110160870540476E-2</v>
      </c>
      <c r="AE331" s="304">
        <f t="shared" si="117"/>
        <v>0.6</v>
      </c>
      <c r="AF331" s="177">
        <f t="shared" si="118"/>
        <v>0.49845580747585583</v>
      </c>
      <c r="AG331" s="799">
        <f t="shared" si="124"/>
        <v>2</v>
      </c>
      <c r="AH331" s="176">
        <f t="shared" si="119"/>
        <v>8</v>
      </c>
      <c r="AI331" s="224">
        <f t="shared" si="120"/>
        <v>2.4984558074758558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'2025'!Wh/'2025'!Env_an*'2026'!Env_an</f>
        <v>9.4652091636510427</v>
      </c>
      <c r="C332" s="829"/>
      <c r="D332" s="391">
        <f t="shared" si="102"/>
        <v>9.9983041225004907</v>
      </c>
      <c r="E332" s="383">
        <f t="shared" si="125"/>
        <v>10.563909956019524</v>
      </c>
      <c r="F332" s="383">
        <f t="shared" si="103"/>
        <v>10.564360773085772</v>
      </c>
      <c r="G332" s="110">
        <f t="shared" si="126"/>
        <v>0.34936732862239517</v>
      </c>
      <c r="H332" s="412" t="b">
        <f>Wh_hp&gt;='2025'!Maxi_hp</f>
        <v>0</v>
      </c>
      <c r="I332" s="388">
        <f>IF(H332,Wh_hp,'2025'!Maxi_hp)</f>
        <v>19.875209801097167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5.3318538055844411E-2</v>
      </c>
      <c r="M332" s="832"/>
      <c r="N332" s="832"/>
      <c r="O332" s="48">
        <f>IF(t&lt;Tnet,'2025'!Resal+('2025'!Salim-'2025'!Resal)*(1-EXP(('2025'!Tnet-t)/('2025'!Tau_j))),Resal+(Salim-Resal)*(1-EXP((Tnet-t)/(Tau_j))))*Salcycl</f>
        <v>5.3541334209947493E-2</v>
      </c>
      <c r="P332" s="169">
        <f>(INDEX(Models!$BJ332:$BT332,,T332)*(1-R332)+INDEX(Models!$BJ332:$BT332,,T332+1)*R332-ERP_i)*Q332*Ramure*Pc/MaxiM</f>
        <v>6.0269377698789423E-4</v>
      </c>
      <c r="Q332" s="304">
        <f t="shared" si="105"/>
        <v>0.6</v>
      </c>
      <c r="R332" s="177">
        <f t="shared" si="106"/>
        <v>0.97350127663443864</v>
      </c>
      <c r="S332" s="799">
        <f t="shared" si="107"/>
        <v>-2</v>
      </c>
      <c r="T332" s="176">
        <f t="shared" si="108"/>
        <v>4</v>
      </c>
      <c r="U332" s="250">
        <f t="shared" si="109"/>
        <v>-1.0264987233655614</v>
      </c>
      <c r="V332" s="382">
        <f t="shared" si="110"/>
        <v>27.077254947181849</v>
      </c>
      <c r="W332" s="400">
        <f t="shared" si="111"/>
        <v>9.4652091636510427</v>
      </c>
      <c r="X332" s="157">
        <f t="shared" si="112"/>
        <v>46340</v>
      </c>
      <c r="Y332" s="383">
        <f t="shared" si="113"/>
        <v>9.1506509280921442</v>
      </c>
      <c r="Z332" s="383">
        <f t="shared" si="114"/>
        <v>9.6660294892644032</v>
      </c>
      <c r="AA332" s="384">
        <f t="shared" si="115"/>
        <v>10.554432883285845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8.4173484624487094E-2</v>
      </c>
      <c r="AD332" s="230">
        <f>(INDEX(Models!$BJ332:$BT332,,AH332)*(1-AF332)+INDEX(Models!$BJ332:$BT332,,AH332+1)*AF332-ERP_i)*AE332*Ramure*Pc/MaxiM</f>
        <v>1.3272517499905904E-2</v>
      </c>
      <c r="AE332" s="304">
        <f t="shared" si="117"/>
        <v>0.6</v>
      </c>
      <c r="AF332" s="177">
        <f t="shared" si="118"/>
        <v>0.49848884300841734</v>
      </c>
      <c r="AG332" s="799">
        <f t="shared" si="124"/>
        <v>2</v>
      </c>
      <c r="AH332" s="176">
        <f t="shared" si="119"/>
        <v>8</v>
      </c>
      <c r="AI332" s="224">
        <f t="shared" si="120"/>
        <v>2.4984888430084173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'2025'!Wh/'2025'!Env_an*'2026'!Env_an</f>
        <v>12.146754853785874</v>
      </c>
      <c r="C333" s="829"/>
      <c r="D333" s="391">
        <f t="shared" si="102"/>
        <v>12.831124445055966</v>
      </c>
      <c r="E333" s="383">
        <f t="shared" si="125"/>
        <v>13.557355466605994</v>
      </c>
      <c r="F333" s="383">
        <f t="shared" si="103"/>
        <v>13.559178394267729</v>
      </c>
      <c r="G333" s="110">
        <f t="shared" si="126"/>
        <v>0.45272565671723924</v>
      </c>
      <c r="H333" s="412" t="b">
        <f>Wh_hp&gt;='2025'!Maxi_hp</f>
        <v>0</v>
      </c>
      <c r="I333" s="388">
        <f>IF(H333,Wh_hp,'2025'!Maxi_hp)</f>
        <v>26.911873928380832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5.3336680990089813E-2</v>
      </c>
      <c r="M333" s="832"/>
      <c r="N333" s="832"/>
      <c r="O333" s="48">
        <f>IF(t&lt;Tnet,'2025'!Resal+('2025'!Salim-'2025'!Resal)*(1-EXP(('2025'!Tnet-t)/('2025'!Tau_j))),Resal+(Salim-Resal)*(1-EXP((Tnet-t)/(Tau_j))))*Salcycl</f>
        <v>5.3567306938204606E-2</v>
      </c>
      <c r="P333" s="169">
        <f>(INDEX(Models!$BJ333:$BT333,,T333)*(1-R333)+INDEX(Models!$BJ333:$BT333,,T333+1)*R333-ERP_i)*Q333*Ramure*Pc/MaxiM</f>
        <v>6.1532290602033576E-4</v>
      </c>
      <c r="Q333" s="304">
        <f t="shared" si="105"/>
        <v>0.6</v>
      </c>
      <c r="R333" s="177">
        <f t="shared" si="106"/>
        <v>0.9735329861657338</v>
      </c>
      <c r="S333" s="799">
        <f t="shared" si="107"/>
        <v>-2</v>
      </c>
      <c r="T333" s="176">
        <f t="shared" si="108"/>
        <v>4</v>
      </c>
      <c r="U333" s="250">
        <f t="shared" si="109"/>
        <v>-1.0264670138342662</v>
      </c>
      <c r="V333" s="382">
        <f t="shared" si="110"/>
        <v>26.817373280897261</v>
      </c>
      <c r="W333" s="400">
        <f t="shared" si="111"/>
        <v>12.146754853785874</v>
      </c>
      <c r="X333" s="157">
        <f t="shared" si="112"/>
        <v>46341</v>
      </c>
      <c r="Y333" s="383">
        <f t="shared" si="113"/>
        <v>11.721364810277782</v>
      </c>
      <c r="Z333" s="383">
        <f t="shared" si="114"/>
        <v>12.381767176251049</v>
      </c>
      <c r="AA333" s="384">
        <f t="shared" si="115"/>
        <v>13.519409634106822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8.4148826660723611E-2</v>
      </c>
      <c r="AD333" s="230">
        <f>(INDEX(Models!$BJ333:$BT333,,AH333)*(1-AF333)+INDEX(Models!$BJ333:$BT333,,AH333+1)*AF333-ERP_i)*AE333*Ramure*Pc/MaxiM</f>
        <v>1.3423806980767145E-2</v>
      </c>
      <c r="AE333" s="304">
        <f t="shared" si="117"/>
        <v>0.6</v>
      </c>
      <c r="AF333" s="177">
        <f t="shared" si="118"/>
        <v>0.49852055253971228</v>
      </c>
      <c r="AG333" s="799">
        <f t="shared" si="124"/>
        <v>2</v>
      </c>
      <c r="AH333" s="176">
        <f t="shared" si="119"/>
        <v>8</v>
      </c>
      <c r="AI333" s="224">
        <f t="shared" si="120"/>
        <v>2.4985205525397123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'2025'!Wh/'2025'!Env_an*'2026'!Env_an</f>
        <v>26.154463239023379</v>
      </c>
      <c r="C334" s="829"/>
      <c r="D334" s="391">
        <f t="shared" si="102"/>
        <v>27.628581321082301</v>
      </c>
      <c r="E334" s="383">
        <f t="shared" si="125"/>
        <v>29.193154784044083</v>
      </c>
      <c r="F334" s="383">
        <f t="shared" si="103"/>
        <v>29.211081047049195</v>
      </c>
      <c r="G334" s="110">
        <f t="shared" si="126"/>
        <v>0.98470401771815474</v>
      </c>
      <c r="H334" s="412" t="b">
        <f>Wh_hp&gt;='2025'!Maxi_hp</f>
        <v>1</v>
      </c>
      <c r="I334" s="388">
        <f>IF(H334,Wh_hp,'2025'!Maxi_hp)</f>
        <v>29.211081047049195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5.3354823576630017E-2</v>
      </c>
      <c r="M334" s="832"/>
      <c r="N334" s="832"/>
      <c r="O334" s="48">
        <f>IF(t&lt;Tnet,'2025'!Resal+('2025'!Salim-'2025'!Resal)*(1-EXP(('2025'!Tnet-t)/('2025'!Tau_j))),Resal+(Salim-Resal)*(1-EXP((Tnet-t)/(Tau_j))))*Salcycl</f>
        <v>5.3593846726593626E-2</v>
      </c>
      <c r="P334" s="169">
        <f>(INDEX(Models!$BJ334:$BT334,,T334)*(1-R334)+INDEX(Models!$BJ334:$BT334,,T334+1)*R334-ERP_i)*Q334*Ramure*Pc/MaxiM</f>
        <v>6.2737720899852425E-4</v>
      </c>
      <c r="Q334" s="304">
        <f t="shared" si="105"/>
        <v>0.6</v>
      </c>
      <c r="R334" s="177">
        <f t="shared" si="106"/>
        <v>0.97356342276122332</v>
      </c>
      <c r="S334" s="799">
        <f t="shared" si="107"/>
        <v>-2</v>
      </c>
      <c r="T334" s="176">
        <f t="shared" si="108"/>
        <v>4</v>
      </c>
      <c r="U334" s="250">
        <f t="shared" si="109"/>
        <v>-1.0264365772387767</v>
      </c>
      <c r="V334" s="382">
        <f t="shared" si="110"/>
        <v>26.560371757780228</v>
      </c>
      <c r="W334" s="400">
        <f t="shared" si="111"/>
        <v>26.154463239023379</v>
      </c>
      <c r="X334" s="157">
        <f t="shared" si="112"/>
        <v>46342</v>
      </c>
      <c r="Y334" s="383">
        <f t="shared" si="113"/>
        <v>24.990228351291456</v>
      </c>
      <c r="Z334" s="383">
        <f t="shared" si="114"/>
        <v>26.398727816593265</v>
      </c>
      <c r="AA334" s="384">
        <f t="shared" si="115"/>
        <v>28.82351173059882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8.4125207804967961E-2</v>
      </c>
      <c r="AD334" s="230">
        <f>(INDEX(Models!$BJ334:$BT334,,AH334)*(1-AF334)+INDEX(Models!$BJ334:$BT334,,AH334+1)*AF334-ERP_i)*AE334*Ramure*Pc/MaxiM</f>
        <v>1.3564018110119714E-2</v>
      </c>
      <c r="AE334" s="304">
        <f t="shared" si="117"/>
        <v>0.6</v>
      </c>
      <c r="AF334" s="177">
        <f t="shared" si="118"/>
        <v>0.49855098913520202</v>
      </c>
      <c r="AG334" s="799">
        <f t="shared" si="124"/>
        <v>2</v>
      </c>
      <c r="AH334" s="176">
        <f t="shared" si="119"/>
        <v>8</v>
      </c>
      <c r="AI334" s="224">
        <f t="shared" si="120"/>
        <v>2.498550989135202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'2025'!Wh/'2025'!Env_an*'2026'!Env_an</f>
        <v>13.390576195522202</v>
      </c>
      <c r="C335" s="829"/>
      <c r="D335" s="391">
        <f t="shared" ref="D335:D379" si="127">Wh/(1-Ppv)</f>
        <v>14.145567062805798</v>
      </c>
      <c r="E335" s="383">
        <f t="shared" si="125"/>
        <v>14.94704234960863</v>
      </c>
      <c r="F335" s="383">
        <f t="shared" ref="F335:F379" si="128">Wh_sa/(1-Pvg*MEDIAN((-Sdif+Wh/Env_an)/Csdif,0,1))</f>
        <v>14.949894187276655</v>
      </c>
      <c r="G335" s="110">
        <f t="shared" si="126"/>
        <v>0.50878880187370756</v>
      </c>
      <c r="H335" s="412" t="b">
        <f>Wh_hp&gt;='2025'!Maxi_hp</f>
        <v>0</v>
      </c>
      <c r="I335" s="388">
        <f>IF(H335,Wh_hp,'2025'!Maxi_hp)</f>
        <v>23.200751935750731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5.3372965815471685E-2</v>
      </c>
      <c r="M335" s="832"/>
      <c r="N335" s="832"/>
      <c r="O335" s="48">
        <f>IF(t&lt;Tnet,'2025'!Resal+('2025'!Salim-'2025'!Resal)*(1-EXP(('2025'!Tnet-t)/('2025'!Tau_j))),Resal+(Salim-Resal)*(1-EXP((Tnet-t)/(Tau_j))))*Salcycl</f>
        <v>5.3620995248188225E-2</v>
      </c>
      <c r="P335" s="169">
        <f>(INDEX(Models!$BJ335:$BT335,,T335)*(1-R335)+INDEX(Models!$BJ335:$BT335,,T335+1)*R335-ERP_i)*Q335*Ramure*Pc/MaxiM</f>
        <v>6.3885639858171249E-4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0.97359263737521751</v>
      </c>
      <c r="S335" s="799">
        <f t="shared" ref="S335:S379" si="132">INDEX(Echel_vg,T335)</f>
        <v>-2</v>
      </c>
      <c r="T335" s="176">
        <f t="shared" ref="T335:T379" si="133">MIN(MATCH(Hp_vg,Echel_vg),10)</f>
        <v>4</v>
      </c>
      <c r="U335" s="250">
        <f t="shared" ref="U335:U379" si="134">IF(OR(t&lt;Ttai,Notai),Hdd+PousH*Croivg,Hdtf+PousH*(Croivg-Croi_tai))</f>
        <v>-1.0264073626247825</v>
      </c>
      <c r="V335" s="382">
        <f t="shared" ref="V335:V379" si="135">MaxiM*(1-Ppv)*(1-Pvg)*(1-Psa)</f>
        <v>26.306740102611531</v>
      </c>
      <c r="W335" s="400">
        <f t="shared" ref="W335:W379" si="136">Wh*(A335&gt;Tmaj)</f>
        <v>13.390576195522202</v>
      </c>
      <c r="X335" s="157">
        <f t="shared" ref="X335:X379" si="137">t</f>
        <v>46343</v>
      </c>
      <c r="Y335" s="383">
        <f t="shared" ref="Y335:Y379" si="138">Wh_pvt_s*(1-Ppv)</f>
        <v>12.908758110433411</v>
      </c>
      <c r="Z335" s="383">
        <f t="shared" ref="Z335:Z379" si="139">Wh_sa_s*(1-Psa_s)</f>
        <v>13.636582988096952</v>
      </c>
      <c r="AA335" s="384">
        <f t="shared" ref="AA335:AA379" si="140">Wh_hp*(1-Pvg_s*MEDIAN((-Sdif+Wh/Env_an)/Csdif,0,1))</f>
        <v>14.888768477752448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8.410269066421272E-2</v>
      </c>
      <c r="AD335" s="230">
        <f>(INDEX(Models!$BJ335:$BT335,,AH335)*(1-AF335)+INDEX(Models!$BJ335:$BT335,,AH335+1)*AF335-ERP_i)*AE335*Ramure*Pc/MaxiM</f>
        <v>1.3693118330407553E-2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0.4985802037491962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2.4985802037491962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'2025'!Wh/'2025'!Env_an*'2026'!Env_an</f>
        <v>15.329463035242192</v>
      </c>
      <c r="C336" s="829"/>
      <c r="D336" s="391">
        <f t="shared" si="127"/>
        <v>16.194083068565973</v>
      </c>
      <c r="E336" s="383">
        <f t="shared" si="125"/>
        <v>17.112128059705757</v>
      </c>
      <c r="F336" s="383">
        <f t="shared" si="128"/>
        <v>17.116708716524435</v>
      </c>
      <c r="G336" s="110">
        <f t="shared" si="126"/>
        <v>0.5880808286398489</v>
      </c>
      <c r="H336" s="412" t="b">
        <f>Wh_hp&gt;='2025'!Maxi_hp</f>
        <v>0</v>
      </c>
      <c r="I336" s="388">
        <f>IF(H336,Wh_hp,'2025'!Maxi_hp)</f>
        <v>27.250192771666942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5.3391107706621477E-2</v>
      </c>
      <c r="M336" s="832"/>
      <c r="N336" s="832"/>
      <c r="O336" s="48">
        <f>IF(t&lt;Tnet,'2025'!Resal+('2025'!Salim-'2025'!Resal)*(1-EXP(('2025'!Tnet-t)/('2025'!Tau_j))),Resal+(Salim-Resal)*(1-EXP((Tnet-t)/(Tau_j))))*Salcycl</f>
        <v>5.3648791543438733E-2</v>
      </c>
      <c r="P336" s="169">
        <f>(INDEX(Models!$BJ336:$BT336,,T336)*(1-R336)+INDEX(Models!$BJ336:$BT336,,T336+1)*R336-ERP_i)*Q336*Ramure*Pc/MaxiM</f>
        <v>6.4975898808689318E-4</v>
      </c>
      <c r="Q336" s="304">
        <f t="shared" si="130"/>
        <v>0.6</v>
      </c>
      <c r="R336" s="177">
        <f t="shared" si="131"/>
        <v>0.97362067893388105</v>
      </c>
      <c r="S336" s="799">
        <f t="shared" si="132"/>
        <v>-2</v>
      </c>
      <c r="T336" s="176">
        <f t="shared" si="133"/>
        <v>4</v>
      </c>
      <c r="U336" s="250">
        <f t="shared" si="134"/>
        <v>-1.026379321066119</v>
      </c>
      <c r="V336" s="382">
        <f t="shared" si="135"/>
        <v>26.056968074429463</v>
      </c>
      <c r="W336" s="400">
        <f t="shared" si="136"/>
        <v>15.329463035242192</v>
      </c>
      <c r="X336" s="157">
        <f t="shared" si="137"/>
        <v>46344</v>
      </c>
      <c r="Y336" s="383">
        <f t="shared" si="138"/>
        <v>14.756056274782729</v>
      </c>
      <c r="Z336" s="383">
        <f t="shared" si="139"/>
        <v>15.588334733506228</v>
      </c>
      <c r="AA336" s="384">
        <f t="shared" si="140"/>
        <v>17.019343861256591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8.4081333535305114E-2</v>
      </c>
      <c r="AD336" s="230">
        <f>(INDEX(Models!$BJ336:$BT336,,AH336)*(1-AF336)+INDEX(Models!$BJ336:$BT336,,AH336+1)*AF336-ERP_i)*AE336*Ramure*Pc/MaxiM</f>
        <v>1.3811052069238985E-2</v>
      </c>
      <c r="AE336" s="304">
        <f t="shared" si="142"/>
        <v>0.6</v>
      </c>
      <c r="AF336" s="177">
        <f t="shared" si="143"/>
        <v>0.49860824530785974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2.4986082453078597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'2025'!Wh/'2025'!Env_an*'2026'!Env_an</f>
        <v>7.0062036572770827</v>
      </c>
      <c r="C337" s="829"/>
      <c r="D337" s="391">
        <f t="shared" si="127"/>
        <v>7.4015129048393771</v>
      </c>
      <c r="E337" s="383">
        <f t="shared" si="125"/>
        <v>7.8213411605954182</v>
      </c>
      <c r="F337" s="383">
        <f t="shared" si="128"/>
        <v>7.8213411605954182</v>
      </c>
      <c r="G337" s="110">
        <f t="shared" si="126"/>
        <v>0.27125764314076201</v>
      </c>
      <c r="H337" s="412" t="b">
        <f>Wh_hp&gt;='2025'!Maxi_hp</f>
        <v>0</v>
      </c>
      <c r="I337" s="388">
        <f>IF(H337,Wh_hp,'2025'!Maxi_hp)</f>
        <v>28.562272949049884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5.3409249250086055E-2</v>
      </c>
      <c r="M337" s="832"/>
      <c r="N337" s="832"/>
      <c r="O337" s="48">
        <f>IF(t&lt;Tnet,'2025'!Resal+('2025'!Salim-'2025'!Resal)*(1-EXP(('2025'!Tnet-t)/('2025'!Tau_j))),Resal+(Salim-Resal)*(1-EXP((Tnet-t)/(Tau_j))))*Salcycl</f>
        <v>5.367727185603044E-2</v>
      </c>
      <c r="P337" s="169">
        <f>(INDEX(Models!$BJ337:$BT337,,T337)*(1-R337)+INDEX(Models!$BJ337:$BT337,,T337+1)*R337-ERP_i)*Q337*Ramure*Pc/MaxiM</f>
        <v>6.6008219321487106E-4</v>
      </c>
      <c r="Q337" s="304">
        <f t="shared" si="130"/>
        <v>0.6</v>
      </c>
      <c r="R337" s="177">
        <f t="shared" si="131"/>
        <v>0.97364759441505155</v>
      </c>
      <c r="S337" s="799">
        <f t="shared" si="132"/>
        <v>-2</v>
      </c>
      <c r="T337" s="176">
        <f t="shared" si="133"/>
        <v>4</v>
      </c>
      <c r="U337" s="250">
        <f t="shared" si="134"/>
        <v>-1.0263524055849484</v>
      </c>
      <c r="V337" s="382">
        <f t="shared" si="135"/>
        <v>25.811545458896404</v>
      </c>
      <c r="W337" s="400">
        <f t="shared" si="136"/>
        <v>7.0062036572770827</v>
      </c>
      <c r="X337" s="157">
        <f t="shared" si="137"/>
        <v>46345</v>
      </c>
      <c r="Y337" s="383">
        <f t="shared" si="138"/>
        <v>6.7812530001179541</v>
      </c>
      <c r="Z337" s="383">
        <f t="shared" si="139"/>
        <v>7.16386991394715</v>
      </c>
      <c r="AA337" s="384">
        <f t="shared" si="140"/>
        <v>7.8213411605954182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8.4061190165270319E-2</v>
      </c>
      <c r="AD337" s="230">
        <f>(INDEX(Models!$BJ337:$BT337,,AH337)*(1-AF337)+INDEX(Models!$BJ337:$BT337,,AH337+1)*AF337-ERP_i)*AE337*Ramure*Pc/MaxiM</f>
        <v>1.3917739230817549E-2</v>
      </c>
      <c r="AE337" s="304">
        <f t="shared" si="142"/>
        <v>0.6</v>
      </c>
      <c r="AF337" s="177">
        <f t="shared" si="143"/>
        <v>0.49863516078903025</v>
      </c>
      <c r="AG337" s="799">
        <f t="shared" si="149"/>
        <v>2</v>
      </c>
      <c r="AH337" s="176">
        <f t="shared" si="144"/>
        <v>8</v>
      </c>
      <c r="AI337" s="224">
        <f t="shared" si="145"/>
        <v>2.4986351607890303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'2025'!Wh/'2025'!Env_an*'2026'!Env_an</f>
        <v>15.418554387655869</v>
      </c>
      <c r="C338" s="829"/>
      <c r="D338" s="391">
        <f t="shared" si="127"/>
        <v>16.288823733150913</v>
      </c>
      <c r="E338" s="383">
        <f t="shared" si="125"/>
        <v>17.213288697328601</v>
      </c>
      <c r="F338" s="383">
        <f t="shared" si="128"/>
        <v>17.218275375989133</v>
      </c>
      <c r="G338" s="110">
        <f t="shared" si="126"/>
        <v>0.60274190747216794</v>
      </c>
      <c r="H338" s="412" t="b">
        <f>Wh_hp&gt;='2025'!Maxi_hp</f>
        <v>0</v>
      </c>
      <c r="I338" s="388">
        <f>IF(H338,Wh_hp,'2025'!Maxi_hp)</f>
        <v>28.66422438766487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5.3427390445872192E-2</v>
      </c>
      <c r="M338" s="832"/>
      <c r="N338" s="832"/>
      <c r="O338" s="48">
        <f>IF(t&lt;Tnet,'2025'!Resal+('2025'!Salim-'2025'!Resal)*(1-EXP(('2025'!Tnet-t)/('2025'!Tau_j))),Resal+(Salim-Resal)*(1-EXP((Tnet-t)/(Tau_j))))*Salcycl</f>
        <v>5.3706469486052275E-2</v>
      </c>
      <c r="P338" s="169">
        <f>(INDEX(Models!$BJ338:$BT338,,T338)*(1-R338)+INDEX(Models!$BJ338:$BT338,,T338+1)*R338-ERP_i)*Q338*Ramure*Pc/MaxiM</f>
        <v>6.6914305502574825E-4</v>
      </c>
      <c r="Q338" s="304">
        <f t="shared" si="130"/>
        <v>0.6</v>
      </c>
      <c r="R338" s="177">
        <f t="shared" si="131"/>
        <v>0.97367342892499043</v>
      </c>
      <c r="S338" s="799">
        <f t="shared" si="132"/>
        <v>-2</v>
      </c>
      <c r="T338" s="176">
        <f t="shared" si="133"/>
        <v>4</v>
      </c>
      <c r="U338" s="250">
        <f t="shared" si="134"/>
        <v>-1.0263265710750096</v>
      </c>
      <c r="V338" s="382">
        <f t="shared" si="135"/>
        <v>25.570979443095545</v>
      </c>
      <c r="W338" s="400">
        <f t="shared" si="136"/>
        <v>15.418554387655869</v>
      </c>
      <c r="X338" s="157">
        <f t="shared" si="137"/>
        <v>46346</v>
      </c>
      <c r="Y338" s="383">
        <f t="shared" si="138"/>
        <v>14.838062999954417</v>
      </c>
      <c r="Z338" s="383">
        <f t="shared" si="139"/>
        <v>15.675567674564043</v>
      </c>
      <c r="AA338" s="384">
        <f t="shared" si="140"/>
        <v>17.113855626548883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8.4042309539739887E-2</v>
      </c>
      <c r="AD338" s="230">
        <f>(INDEX(Models!$BJ338:$BT338,,AH338)*(1-AF338)+INDEX(Models!$BJ338:$BT338,,AH338+1)*AF338-ERP_i)*AE338*Ramure*Pc/MaxiM</f>
        <v>1.4011680900655988E-2</v>
      </c>
      <c r="AE338" s="304">
        <f t="shared" si="142"/>
        <v>0.6</v>
      </c>
      <c r="AF338" s="177">
        <f t="shared" si="143"/>
        <v>0.49866099529896912</v>
      </c>
      <c r="AG338" s="799">
        <f t="shared" si="149"/>
        <v>2</v>
      </c>
      <c r="AH338" s="176">
        <f t="shared" si="144"/>
        <v>8</v>
      </c>
      <c r="AI338" s="224">
        <f t="shared" si="145"/>
        <v>2.4986609952989691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'2025'!Wh/'2025'!Env_an*'2026'!Env_an</f>
        <v>3.0971731310259867</v>
      </c>
      <c r="C339" s="829"/>
      <c r="D339" s="391">
        <f t="shared" si="127"/>
        <v>3.2720495580777027</v>
      </c>
      <c r="E339" s="383">
        <f t="shared" si="125"/>
        <v>3.4578627020791273</v>
      </c>
      <c r="F339" s="383">
        <f t="shared" si="128"/>
        <v>3.4578627020791273</v>
      </c>
      <c r="G339" s="110">
        <f t="shared" si="126"/>
        <v>0.12216237514240774</v>
      </c>
      <c r="H339" s="412" t="b">
        <f>Wh_hp&gt;='2025'!Maxi_hp</f>
        <v>0</v>
      </c>
      <c r="I339" s="388">
        <f>IF(H339,Wh_hp,'2025'!Maxi_hp)</f>
        <v>27.981917732937102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5.3445531293986326E-2</v>
      </c>
      <c r="M339" s="832"/>
      <c r="N339" s="832"/>
      <c r="O339" s="48">
        <f>IF(t&lt;Tnet,'2025'!Resal+('2025'!Salim-'2025'!Resal)*(1-EXP(('2025'!Tnet-t)/('2025'!Tau_j))),Resal+(Salim-Resal)*(1-EXP((Tnet-t)/(Tau_j))))*Salcycl</f>
        <v>5.3736414661490046E-2</v>
      </c>
      <c r="P339" s="169">
        <f>(INDEX(Models!$BJ339:$BT339,,T339)*(1-R339)+INDEX(Models!$BJ339:$BT339,,T339+1)*R339-ERP_i)*Q339*Ramure*Pc/MaxiM</f>
        <v>6.7657989455711129E-4</v>
      </c>
      <c r="Q339" s="304">
        <f t="shared" si="130"/>
        <v>0.6</v>
      </c>
      <c r="R339" s="177">
        <f t="shared" si="131"/>
        <v>0.97369822577217557</v>
      </c>
      <c r="S339" s="799">
        <f t="shared" si="132"/>
        <v>-2</v>
      </c>
      <c r="T339" s="176">
        <f t="shared" si="133"/>
        <v>4</v>
      </c>
      <c r="U339" s="250">
        <f t="shared" si="134"/>
        <v>-1.0263017742278244</v>
      </c>
      <c r="V339" s="382">
        <f t="shared" si="135"/>
        <v>25.335768417629097</v>
      </c>
      <c r="W339" s="400">
        <f t="shared" si="136"/>
        <v>3.0971731310259867</v>
      </c>
      <c r="X339" s="157">
        <f t="shared" si="137"/>
        <v>46347</v>
      </c>
      <c r="Y339" s="383">
        <f t="shared" si="138"/>
        <v>2.9980377785082877</v>
      </c>
      <c r="Z339" s="383">
        <f t="shared" si="139"/>
        <v>3.167316702446878</v>
      </c>
      <c r="AA339" s="384">
        <f t="shared" si="140"/>
        <v>3.4578627020791273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8.402473570091458E-2</v>
      </c>
      <c r="AD339" s="230">
        <f>(INDEX(Models!$BJ339:$BT339,,AH339)*(1-AF339)+INDEX(Models!$BJ339:$BT339,,AH339+1)*AF339-ERP_i)*AE339*Ramure*Pc/MaxiM</f>
        <v>1.409740401427827E-2</v>
      </c>
      <c r="AE339" s="304">
        <f t="shared" si="142"/>
        <v>0.6</v>
      </c>
      <c r="AF339" s="177">
        <f t="shared" si="143"/>
        <v>0.49868579214615405</v>
      </c>
      <c r="AG339" s="799">
        <f t="shared" si="149"/>
        <v>2</v>
      </c>
      <c r="AH339" s="176">
        <f t="shared" si="144"/>
        <v>8</v>
      </c>
      <c r="AI339" s="224">
        <f t="shared" si="145"/>
        <v>2.498685792146154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'2025'!Wh/'2025'!Env_an*'2026'!Env_an</f>
        <v>7.6627911415992118</v>
      </c>
      <c r="C340" s="829"/>
      <c r="D340" s="391">
        <f t="shared" si="127"/>
        <v>8.0956123006142455</v>
      </c>
      <c r="E340" s="383">
        <f t="shared" si="125"/>
        <v>8.555623668522923</v>
      </c>
      <c r="F340" s="383">
        <f t="shared" si="128"/>
        <v>8.5556671438094796</v>
      </c>
      <c r="G340" s="110">
        <f t="shared" si="126"/>
        <v>0.3050059189017178</v>
      </c>
      <c r="H340" s="412" t="b">
        <f>Wh_hp&gt;='2025'!Maxi_hp</f>
        <v>0</v>
      </c>
      <c r="I340" s="388">
        <f>IF(H340,Wh_hp,'2025'!Maxi_hp)</f>
        <v>29.203443370360098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5.3463671794435341E-2</v>
      </c>
      <c r="M340" s="832"/>
      <c r="N340" s="832"/>
      <c r="O340" s="48">
        <f>IF(t&lt;Tnet,'2025'!Resal+('2025'!Salim-'2025'!Resal)*(1-EXP(('2025'!Tnet-t)/('2025'!Tau_j))),Resal+(Salim-Resal)*(1-EXP((Tnet-t)/(Tau_j))))*Salcycl</f>
        <v>5.3767134428914905E-2</v>
      </c>
      <c r="P340" s="169">
        <f>(INDEX(Models!$BJ340:$BT340,,T340)*(1-R340)+INDEX(Models!$BJ340:$BT340,,T340+1)*R340-ERP_i)*Q340*Ramure*Pc/MaxiM</f>
        <v>6.8238391153179758E-4</v>
      </c>
      <c r="Q340" s="304">
        <f t="shared" si="130"/>
        <v>0.6</v>
      </c>
      <c r="R340" s="177">
        <f t="shared" si="131"/>
        <v>0.97372202653824425</v>
      </c>
      <c r="S340" s="799">
        <f t="shared" si="132"/>
        <v>-2</v>
      </c>
      <c r="T340" s="176">
        <f t="shared" si="133"/>
        <v>4</v>
      </c>
      <c r="U340" s="250">
        <f t="shared" si="134"/>
        <v>-1.0262779734617558</v>
      </c>
      <c r="V340" s="382">
        <f t="shared" si="135"/>
        <v>25.106401592401344</v>
      </c>
      <c r="W340" s="400">
        <f t="shared" si="136"/>
        <v>7.6627911415992118</v>
      </c>
      <c r="X340" s="157">
        <f t="shared" si="137"/>
        <v>46348</v>
      </c>
      <c r="Y340" s="383">
        <f t="shared" si="138"/>
        <v>7.4171448939174374</v>
      </c>
      <c r="Z340" s="383">
        <f t="shared" si="139"/>
        <v>7.8360910964492998</v>
      </c>
      <c r="AA340" s="384">
        <f t="shared" si="140"/>
        <v>8.5547640577816448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8.4008507596258095E-2</v>
      </c>
      <c r="AD340" s="230">
        <f>(INDEX(Models!$BJ340:$BT340,,AH340)*(1-AF340)+INDEX(Models!$BJ340:$BT340,,AH340+1)*AF340-ERP_i)*AE340*Ramure*Pc/MaxiM</f>
        <v>1.4174751334504148E-2</v>
      </c>
      <c r="AE340" s="304">
        <f t="shared" si="142"/>
        <v>0.6</v>
      </c>
      <c r="AF340" s="177">
        <f t="shared" si="143"/>
        <v>0.49870959291222272</v>
      </c>
      <c r="AG340" s="799">
        <f t="shared" si="149"/>
        <v>2</v>
      </c>
      <c r="AH340" s="176">
        <f t="shared" si="144"/>
        <v>8</v>
      </c>
      <c r="AI340" s="224">
        <f t="shared" si="145"/>
        <v>2.4987095929122227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'2025'!Wh/'2025'!Env_an*'2026'!Env_an</f>
        <v>12.852079389373211</v>
      </c>
      <c r="C341" s="829"/>
      <c r="D341" s="391">
        <f t="shared" si="127"/>
        <v>13.578269864854017</v>
      </c>
      <c r="E341" s="383">
        <f t="shared" si="125"/>
        <v>14.35029647933751</v>
      </c>
      <c r="F341" s="383">
        <f t="shared" si="128"/>
        <v>14.353344125040627</v>
      </c>
      <c r="G341" s="110">
        <f t="shared" si="126"/>
        <v>0.51624777359835394</v>
      </c>
      <c r="H341" s="412" t="b">
        <f>Wh_hp&gt;='2025'!Maxi_hp</f>
        <v>0</v>
      </c>
      <c r="I341" s="388">
        <f>IF(H341,Wh_hp,'2025'!Maxi_hp)</f>
        <v>29.107219927904186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5.3481811947225788E-2</v>
      </c>
      <c r="M341" s="832"/>
      <c r="N341" s="832"/>
      <c r="O341" s="48">
        <f>IF(t&lt;Tnet,'2025'!Resal+('2025'!Salim-'2025'!Resal)*(1-EXP(('2025'!Tnet-t)/('2025'!Tau_j))),Resal+(Salim-Resal)*(1-EXP((Tnet-t)/(Tau_j))))*Salcycl</f>
        <v>5.3798652564085267E-2</v>
      </c>
      <c r="P341" s="169">
        <f>(INDEX(Models!$BJ341:$BT341,,T341)*(1-R341)+INDEX(Models!$BJ341:$BT341,,T341+1)*R341-ERP_i)*Q341*Ramure*Pc/MaxiM</f>
        <v>6.8654033832482619E-4</v>
      </c>
      <c r="Q341" s="304">
        <f t="shared" si="130"/>
        <v>0.6</v>
      </c>
      <c r="R341" s="177">
        <f t="shared" si="131"/>
        <v>0.97374487114619379</v>
      </c>
      <c r="S341" s="799">
        <f t="shared" si="132"/>
        <v>-2</v>
      </c>
      <c r="T341" s="176">
        <f t="shared" si="133"/>
        <v>4</v>
      </c>
      <c r="U341" s="250">
        <f t="shared" si="134"/>
        <v>-1.0262551288538062</v>
      </c>
      <c r="V341" s="382">
        <f t="shared" si="135"/>
        <v>24.883368342122974</v>
      </c>
      <c r="W341" s="400">
        <f t="shared" si="136"/>
        <v>12.852079389373211</v>
      </c>
      <c r="X341" s="157">
        <f t="shared" si="137"/>
        <v>46349</v>
      </c>
      <c r="Y341" s="383">
        <f t="shared" si="138"/>
        <v>12.38976826030666</v>
      </c>
      <c r="Z341" s="383">
        <f t="shared" si="139"/>
        <v>13.089836430714055</v>
      </c>
      <c r="AA341" s="384">
        <f t="shared" si="140"/>
        <v>14.290115520200724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8.3993658958875214E-2</v>
      </c>
      <c r="AD341" s="230">
        <f>(INDEX(Models!$BJ341:$BT341,,AH341)*(1-AF341)+INDEX(Models!$BJ341:$BT341,,AH341+1)*AF341-ERP_i)*AE341*Ramure*Pc/MaxiM</f>
        <v>1.4243449530301648E-2</v>
      </c>
      <c r="AE341" s="304">
        <f t="shared" si="142"/>
        <v>0.6</v>
      </c>
      <c r="AF341" s="177">
        <f t="shared" si="143"/>
        <v>0.49873243752017249</v>
      </c>
      <c r="AG341" s="799">
        <f t="shared" si="149"/>
        <v>2</v>
      </c>
      <c r="AH341" s="176">
        <f t="shared" si="144"/>
        <v>8</v>
      </c>
      <c r="AI341" s="224">
        <f t="shared" si="145"/>
        <v>2.4987324375201725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'2025'!Wh/'2025'!Env_an*'2026'!Env_an</f>
        <v>13.488345639004184</v>
      </c>
      <c r="C342" s="829"/>
      <c r="D342" s="391">
        <f t="shared" si="127"/>
        <v>14.250760645999657</v>
      </c>
      <c r="E342" s="383">
        <f t="shared" si="125"/>
        <v>15.061538147940855</v>
      </c>
      <c r="F342" s="383">
        <f t="shared" si="128"/>
        <v>15.065198207523933</v>
      </c>
      <c r="G342" s="110">
        <f t="shared" si="126"/>
        <v>0.54656994442614171</v>
      </c>
      <c r="H342" s="412" t="b">
        <f>Wh_hp&gt;='2025'!Maxi_hp</f>
        <v>0</v>
      </c>
      <c r="I342" s="388">
        <f>IF(H342,Wh_hp,'2025'!Maxi_hp)</f>
        <v>27.112988230859333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5.3499951752364328E-2</v>
      </c>
      <c r="M342" s="832"/>
      <c r="N342" s="832"/>
      <c r="O342" s="48">
        <f>IF(t&lt;Tnet,'2025'!Resal+('2025'!Salim-'2025'!Resal)*(1-EXP(('2025'!Tnet-t)/('2025'!Tau_j))),Resal+(Salim-Resal)*(1-EXP((Tnet-t)/(Tau_j))))*Salcycl</f>
        <v>5.383098950302391E-2</v>
      </c>
      <c r="P342" s="169">
        <f>(INDEX(Models!$BJ342:$BT342,,T342)*(1-R342)+INDEX(Models!$BJ342:$BT342,,T342+1)*R342-ERP_i)*Q342*Ramure*Pc/MaxiM</f>
        <v>6.8903562568066706E-4</v>
      </c>
      <c r="Q342" s="304">
        <f t="shared" si="130"/>
        <v>0.6</v>
      </c>
      <c r="R342" s="177">
        <f t="shared" si="131"/>
        <v>0.9737667979259419</v>
      </c>
      <c r="S342" s="799">
        <f t="shared" si="132"/>
        <v>-2</v>
      </c>
      <c r="T342" s="176">
        <f t="shared" si="133"/>
        <v>4</v>
      </c>
      <c r="U342" s="250">
        <f t="shared" si="134"/>
        <v>-1.0262332020740581</v>
      </c>
      <c r="V342" s="382">
        <f t="shared" si="135"/>
        <v>24.667158028125169</v>
      </c>
      <c r="W342" s="400">
        <f t="shared" si="136"/>
        <v>13.488345639004184</v>
      </c>
      <c r="X342" s="157">
        <f t="shared" si="137"/>
        <v>46350</v>
      </c>
      <c r="Y342" s="383">
        <f t="shared" si="138"/>
        <v>12.995846281624369</v>
      </c>
      <c r="Z342" s="383">
        <f t="shared" si="139"/>
        <v>13.73042326377592</v>
      </c>
      <c r="AA342" s="384">
        <f t="shared" si="140"/>
        <v>14.989221343123477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8.3980218220277916E-2</v>
      </c>
      <c r="AD342" s="230">
        <f>(INDEX(Models!$BJ342:$BT342,,AH342)*(1-AF342)+INDEX(Models!$BJ342:$BT342,,AH342+1)*AF342-ERP_i)*AE342*Ramure*Pc/MaxiM</f>
        <v>1.4303255209688089E-2</v>
      </c>
      <c r="AE342" s="304">
        <f t="shared" si="142"/>
        <v>0.6</v>
      </c>
      <c r="AF342" s="177">
        <f t="shared" si="143"/>
        <v>0.49875436429992082</v>
      </c>
      <c r="AG342" s="799">
        <f t="shared" si="149"/>
        <v>2</v>
      </c>
      <c r="AH342" s="176">
        <f t="shared" si="144"/>
        <v>8</v>
      </c>
      <c r="AI342" s="224">
        <f t="shared" si="145"/>
        <v>2.4987543642999208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'2025'!Wh/'2025'!Env_an*'2026'!Env_an</f>
        <v>4.6743990731559562</v>
      </c>
      <c r="C343" s="829"/>
      <c r="D343" s="391">
        <f t="shared" si="127"/>
        <v>4.9387093717735091</v>
      </c>
      <c r="E343" s="383">
        <f t="shared" si="125"/>
        <v>5.2198734842850181</v>
      </c>
      <c r="F343" s="383">
        <f t="shared" si="128"/>
        <v>5.2198734842850181</v>
      </c>
      <c r="G343" s="110">
        <f t="shared" si="126"/>
        <v>0.19098555680529661</v>
      </c>
      <c r="H343" s="412" t="b">
        <f>Wh_hp&gt;='2025'!Maxi_hp</f>
        <v>0</v>
      </c>
      <c r="I343" s="388">
        <f>IF(H343,Wh_hp,'2025'!Maxi_hp)</f>
        <v>25.709723482797013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5.3518091209857621E-2</v>
      </c>
      <c r="M343" s="832"/>
      <c r="N343" s="832"/>
      <c r="O343" s="48">
        <f>IF(t&lt;Tnet,'2025'!Resal+('2025'!Salim-'2025'!Resal)*(1-EXP(('2025'!Tnet-t)/('2025'!Tau_j))),Resal+(Salim-Resal)*(1-EXP((Tnet-t)/(Tau_j))))*Salcycl</f>
        <v>5.3864162293968232E-2</v>
      </c>
      <c r="P343" s="169">
        <f>(INDEX(Models!$BJ343:$BT343,,T343)*(1-R343)+INDEX(Models!$BJ343:$BT343,,T343+1)*R343-ERP_i)*Q343*Ramure*Pc/MaxiM</f>
        <v>6.8985840744632441E-4</v>
      </c>
      <c r="Q343" s="304">
        <f t="shared" si="130"/>
        <v>0.6</v>
      </c>
      <c r="R343" s="177">
        <f t="shared" si="131"/>
        <v>0.97378784367733928</v>
      </c>
      <c r="S343" s="799">
        <f t="shared" si="132"/>
        <v>-2</v>
      </c>
      <c r="T343" s="176">
        <f t="shared" si="133"/>
        <v>4</v>
      </c>
      <c r="U343" s="250">
        <f t="shared" si="134"/>
        <v>-1.0262121563226607</v>
      </c>
      <c r="V343" s="382">
        <f t="shared" si="135"/>
        <v>24.458259974170122</v>
      </c>
      <c r="W343" s="400">
        <f t="shared" si="136"/>
        <v>4.6743990731559562</v>
      </c>
      <c r="X343" s="157">
        <f t="shared" si="137"/>
        <v>46351</v>
      </c>
      <c r="Y343" s="383">
        <f t="shared" si="138"/>
        <v>4.5256695568751235</v>
      </c>
      <c r="Z343" s="383">
        <f t="shared" si="139"/>
        <v>4.7815700594427026</v>
      </c>
      <c r="AA343" s="384">
        <f t="shared" si="140"/>
        <v>5.2198734842850181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8.3968208455985405E-2</v>
      </c>
      <c r="AD343" s="230">
        <f>(INDEX(Models!$BJ343:$BT343,,AH343)*(1-AF343)+INDEX(Models!$BJ343:$BT343,,AH343+1)*AF343-ERP_i)*AE343*Ramure*Pc/MaxiM</f>
        <v>1.435397058635973E-2</v>
      </c>
      <c r="AE343" s="304">
        <f t="shared" si="142"/>
        <v>0.6</v>
      </c>
      <c r="AF343" s="177">
        <f t="shared" si="143"/>
        <v>0.49877541005131798</v>
      </c>
      <c r="AG343" s="799">
        <f t="shared" si="149"/>
        <v>2</v>
      </c>
      <c r="AH343" s="176">
        <f t="shared" si="144"/>
        <v>8</v>
      </c>
      <c r="AI343" s="224">
        <f t="shared" si="145"/>
        <v>2.498775410051318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'2025'!Wh/'2025'!Env_an*'2026'!Env_an</f>
        <v>10.741909781357453</v>
      </c>
      <c r="C344" s="829"/>
      <c r="D344" s="391">
        <f t="shared" si="127"/>
        <v>11.349520314957259</v>
      </c>
      <c r="E344" s="383">
        <f t="shared" si="125"/>
        <v>11.996087661880301</v>
      </c>
      <c r="F344" s="383">
        <f t="shared" si="128"/>
        <v>11.997774419613783</v>
      </c>
      <c r="G344" s="110">
        <f t="shared" si="126"/>
        <v>0.44259164893622432</v>
      </c>
      <c r="H344" s="412" t="b">
        <f>Wh_hp&gt;='2025'!Maxi_hp</f>
        <v>0</v>
      </c>
      <c r="I344" s="388">
        <f>IF(H344,Wh_hp,'2025'!Maxi_hp)</f>
        <v>26.915508219914461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5.353623031971233E-2</v>
      </c>
      <c r="M344" s="832"/>
      <c r="N344" s="832"/>
      <c r="O344" s="48">
        <f>IF(t&lt;Tnet,'2025'!Resal+('2025'!Salim-'2025'!Resal)*(1-EXP(('2025'!Tnet-t)/('2025'!Tau_j))),Resal+(Salim-Resal)*(1-EXP((Tnet-t)/(Tau_j))))*Salcycl</f>
        <v>5.3898184570426694E-2</v>
      </c>
      <c r="P344" s="169">
        <f>(INDEX(Models!$BJ344:$BT344,,T344)*(1-R344)+INDEX(Models!$BJ344:$BT344,,T344+1)*R344-ERP_i)*Q344*Ramure*Pc/MaxiM</f>
        <v>6.8899620152538036E-4</v>
      </c>
      <c r="Q344" s="304">
        <f t="shared" si="130"/>
        <v>0.6</v>
      </c>
      <c r="R344" s="177">
        <f t="shared" si="131"/>
        <v>0.9738080437307377</v>
      </c>
      <c r="S344" s="799">
        <f t="shared" si="132"/>
        <v>-2</v>
      </c>
      <c r="T344" s="176">
        <f t="shared" si="133"/>
        <v>4</v>
      </c>
      <c r="U344" s="250">
        <f t="shared" si="134"/>
        <v>-1.0261919562692623</v>
      </c>
      <c r="V344" s="382">
        <f t="shared" si="135"/>
        <v>24.257163551348739</v>
      </c>
      <c r="W344" s="400">
        <f t="shared" si="136"/>
        <v>10.741909781357453</v>
      </c>
      <c r="X344" s="157">
        <f t="shared" si="137"/>
        <v>46352</v>
      </c>
      <c r="Y344" s="383">
        <f t="shared" si="138"/>
        <v>10.371526479332966</v>
      </c>
      <c r="Z344" s="383">
        <f t="shared" si="139"/>
        <v>10.958186474307867</v>
      </c>
      <c r="AA344" s="384">
        <f t="shared" si="140"/>
        <v>11.962532564980615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8.3957647364145335E-2</v>
      </c>
      <c r="AD344" s="230">
        <f>(INDEX(Models!$BJ344:$BT344,,AH344)*(1-AF344)+INDEX(Models!$BJ344:$BT344,,AH344+1)*AF344-ERP_i)*AE344*Ramure*Pc/MaxiM</f>
        <v>1.4395371365411322E-2</v>
      </c>
      <c r="AE344" s="304">
        <f t="shared" si="142"/>
        <v>0.6</v>
      </c>
      <c r="AF344" s="177">
        <f t="shared" si="143"/>
        <v>0.4987956101047164</v>
      </c>
      <c r="AG344" s="799">
        <f t="shared" si="149"/>
        <v>2</v>
      </c>
      <c r="AH344" s="176">
        <f t="shared" si="144"/>
        <v>8</v>
      </c>
      <c r="AI344" s="224">
        <f t="shared" si="145"/>
        <v>2.4987956101047164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'2025'!Wh/'2025'!Env_an*'2026'!Env_an</f>
        <v>14.141602256816656</v>
      </c>
      <c r="C345" s="829"/>
      <c r="D345" s="391">
        <f t="shared" si="127"/>
        <v>14.941800981319036</v>
      </c>
      <c r="E345" s="383">
        <f t="shared" si="125"/>
        <v>15.793598161980546</v>
      </c>
      <c r="F345" s="383">
        <f t="shared" si="128"/>
        <v>15.79805594416572</v>
      </c>
      <c r="G345" s="110">
        <f t="shared" si="126"/>
        <v>0.58748107888184131</v>
      </c>
      <c r="H345" s="412" t="b">
        <f>Wh_hp&gt;='2025'!Maxi_hp</f>
        <v>0</v>
      </c>
      <c r="I345" s="388">
        <f>IF(H345,Wh_hp,'2025'!Maxi_hp)</f>
        <v>23.300191289146664</v>
      </c>
      <c r="J345" s="85">
        <f>IF(H345,An,'2025'!An_max)</f>
        <v>2020</v>
      </c>
      <c r="K345" s="197">
        <f t="shared" si="129"/>
        <v>46353</v>
      </c>
      <c r="L345" s="147">
        <f>IF(t&lt;Tvie,1-EXP((T0-t)*PertePVj)+'2025'!Pspv,1-EXP((T0-t)*PertePVj)+Pspv)</f>
        <v>5.3554369081935116E-2</v>
      </c>
      <c r="M345" s="832"/>
      <c r="N345" s="832"/>
      <c r="O345" s="48">
        <f>IF(t&lt;Tnet,'2025'!Resal+('2025'!Salim-'2025'!Resal)*(1-EXP(('2025'!Tnet-t)/('2025'!Tau_j))),Resal+(Salim-Resal)*(1-EXP((Tnet-t)/(Tau_j))))*Salcycl</f>
        <v>5.3933066545406784E-2</v>
      </c>
      <c r="P345" s="169">
        <f>(INDEX(Models!$BJ345:$BT345,,T345)*(1-R345)+INDEX(Models!$BJ345:$BT345,,T345+1)*R345-ERP_i)*Q345*Ramure*Pc/MaxiM</f>
        <v>6.8650708802084771E-4</v>
      </c>
      <c r="Q345" s="304">
        <f t="shared" si="130"/>
        <v>0.6</v>
      </c>
      <c r="R345" s="177">
        <f t="shared" si="131"/>
        <v>0.97382743200519828</v>
      </c>
      <c r="S345" s="799">
        <f t="shared" si="132"/>
        <v>-2</v>
      </c>
      <c r="T345" s="176">
        <f t="shared" si="133"/>
        <v>4</v>
      </c>
      <c r="U345" s="250">
        <f t="shared" si="134"/>
        <v>-1.0261725679948017</v>
      </c>
      <c r="V345" s="382">
        <f t="shared" si="135"/>
        <v>24.061851890774872</v>
      </c>
      <c r="W345" s="400">
        <f t="shared" si="136"/>
        <v>14.141602256816656</v>
      </c>
      <c r="X345" s="157">
        <f t="shared" si="137"/>
        <v>46353</v>
      </c>
      <c r="Y345" s="383">
        <f t="shared" si="138"/>
        <v>13.615572188665654</v>
      </c>
      <c r="Z345" s="383">
        <f t="shared" si="139"/>
        <v>14.386005644569744</v>
      </c>
      <c r="AA345" s="384">
        <f t="shared" si="140"/>
        <v>15.704364205534922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8.394854727710209E-2</v>
      </c>
      <c r="AD345" s="230">
        <f>(INDEX(Models!$BJ345:$BT345,,AH345)*(1-AF345)+INDEX(Models!$BJ345:$BT345,,AH345+1)*AF345-ERP_i)*AE345*Ramure*Pc/MaxiM</f>
        <v>1.4428709162361051E-2</v>
      </c>
      <c r="AE345" s="304">
        <f t="shared" si="142"/>
        <v>0.6</v>
      </c>
      <c r="AF345" s="177">
        <f t="shared" si="143"/>
        <v>0.49881499837917698</v>
      </c>
      <c r="AG345" s="799">
        <f t="shared" si="149"/>
        <v>2</v>
      </c>
      <c r="AH345" s="176">
        <f t="shared" si="144"/>
        <v>8</v>
      </c>
      <c r="AI345" s="224">
        <f t="shared" si="145"/>
        <v>2.498814998379177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'2025'!Wh/'2025'!Env_an*'2026'!Env_an</f>
        <v>10.26037442873125</v>
      </c>
      <c r="C346" s="829"/>
      <c r="D346" s="391">
        <f t="shared" si="127"/>
        <v>10.84116269867727</v>
      </c>
      <c r="E346" s="383">
        <f t="shared" si="125"/>
        <v>11.459625085174514</v>
      </c>
      <c r="F346" s="383">
        <f t="shared" si="128"/>
        <v>11.461079035744518</v>
      </c>
      <c r="G346" s="110">
        <f t="shared" si="126"/>
        <v>0.42959834070919117</v>
      </c>
      <c r="H346" s="412" t="b">
        <f>Wh_hp&gt;='2025'!Maxi_hp</f>
        <v>0</v>
      </c>
      <c r="I346" s="388">
        <f>IF(H346,Wh_hp,'2025'!Maxi_hp)</f>
        <v>16.384266753107251</v>
      </c>
      <c r="J346" s="85">
        <f>IF(H346,An,'2025'!An_max)</f>
        <v>2020</v>
      </c>
      <c r="K346" s="197">
        <f t="shared" si="129"/>
        <v>46354</v>
      </c>
      <c r="L346" s="147">
        <f>IF(t&lt;Tvie,1-EXP((T0-t)*PertePVj)+'2025'!Pspv,1-EXP((T0-t)*PertePVj)+Pspv)</f>
        <v>5.3572507496532751E-2</v>
      </c>
      <c r="M346" s="832"/>
      <c r="N346" s="832"/>
      <c r="O346" s="48">
        <f>IF(t&lt;Tnet,'2025'!Resal+('2025'!Salim-'2025'!Resal)*(1-EXP(('2025'!Tnet-t)/('2025'!Tau_j))),Resal+(Salim-Resal)*(1-EXP((Tnet-t)/(Tau_j))))*Salcycl</f>
        <v>5.39688150267114E-2</v>
      </c>
      <c r="P346" s="169">
        <f>(INDEX(Models!$BJ346:$BT346,,T346)*(1-R346)+INDEX(Models!$BJ346:$BT346,,T346+1)*R346-ERP_i)*Q346*Ramure*Pc/MaxiM</f>
        <v>6.8394461661751759E-4</v>
      </c>
      <c r="Q346" s="304">
        <f t="shared" si="130"/>
        <v>0.6</v>
      </c>
      <c r="R346" s="177">
        <f t="shared" si="131"/>
        <v>0.97384604106443295</v>
      </c>
      <c r="S346" s="799">
        <f t="shared" si="132"/>
        <v>-2</v>
      </c>
      <c r="T346" s="176">
        <f t="shared" si="133"/>
        <v>4</v>
      </c>
      <c r="U346" s="250">
        <f t="shared" si="134"/>
        <v>-1.026153958935567</v>
      </c>
      <c r="V346" s="382">
        <f t="shared" si="135"/>
        <v>23.87033848436662</v>
      </c>
      <c r="W346" s="400">
        <f t="shared" si="136"/>
        <v>10.26037442873125</v>
      </c>
      <c r="X346" s="157">
        <f t="shared" si="137"/>
        <v>46354</v>
      </c>
      <c r="Y346" s="383">
        <f t="shared" si="138"/>
        <v>9.9099300168817361</v>
      </c>
      <c r="Z346" s="383">
        <f t="shared" si="139"/>
        <v>10.470881388565994</v>
      </c>
      <c r="AA346" s="384">
        <f t="shared" si="140"/>
        <v>11.430355926130931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8.394091520557842E-2</v>
      </c>
      <c r="AD346" s="230">
        <f>(INDEX(Models!$BJ346:$BT346,,AH346)*(1-AF346)+INDEX(Models!$BJ346:$BT346,,AH346+1)*AF346-ERP_i)*AE346*Ramure*Pc/MaxiM</f>
        <v>1.445228322026448E-2</v>
      </c>
      <c r="AE346" s="304">
        <f t="shared" si="142"/>
        <v>0.6</v>
      </c>
      <c r="AF346" s="177">
        <f t="shared" si="143"/>
        <v>0.49883360743841143</v>
      </c>
      <c r="AG346" s="799">
        <f t="shared" si="149"/>
        <v>2</v>
      </c>
      <c r="AH346" s="176">
        <f t="shared" si="144"/>
        <v>8</v>
      </c>
      <c r="AI346" s="224">
        <f t="shared" si="145"/>
        <v>2.4988336074384114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'2025'!Wh/'2025'!Env_an*'2026'!Env_an</f>
        <v>14.944336575895962</v>
      </c>
      <c r="C347" s="829"/>
      <c r="D347" s="391">
        <f t="shared" si="127"/>
        <v>15.79056304319195</v>
      </c>
      <c r="E347" s="383">
        <f t="shared" si="125"/>
        <v>16.692022979402601</v>
      </c>
      <c r="F347" s="383">
        <f t="shared" si="128"/>
        <v>16.697410094505869</v>
      </c>
      <c r="G347" s="110">
        <f t="shared" si="126"/>
        <v>0.63078329227402585</v>
      </c>
      <c r="H347" s="412" t="b">
        <f>Wh_hp&gt;='2025'!Maxi_hp</f>
        <v>1</v>
      </c>
      <c r="I347" s="388">
        <f>IF(H347,Wh_hp,'2025'!Maxi_hp)</f>
        <v>16.697410094505869</v>
      </c>
      <c r="J347" s="85">
        <f>IF(H347,An,'2025'!An_max)</f>
        <v>2026</v>
      </c>
      <c r="K347" s="197">
        <f t="shared" si="129"/>
        <v>46355</v>
      </c>
      <c r="L347" s="147">
        <f>IF(t&lt;Tvie,1-EXP((T0-t)*PertePVj)+'2025'!Pspv,1-EXP((T0-t)*PertePVj)+Pspv)</f>
        <v>5.3590645563511785E-2</v>
      </c>
      <c r="M347" s="832"/>
      <c r="N347" s="832"/>
      <c r="O347" s="48">
        <f>IF(t&lt;Tnet,'2025'!Resal+('2025'!Salim-'2025'!Resal)*(1-EXP(('2025'!Tnet-t)/('2025'!Tau_j))),Resal+(Salim-Resal)*(1-EXP((Tnet-t)/(Tau_j))))*Salcycl</f>
        <v>5.4005433453034643E-2</v>
      </c>
      <c r="P347" s="169">
        <f>(INDEX(Models!$BJ347:$BT347,,T347)*(1-R347)+INDEX(Models!$BJ347:$BT347,,T347+1)*R347-ERP_i)*Q347*Ramure*Pc/MaxiM</f>
        <v>6.8228160517497434E-4</v>
      </c>
      <c r="Q347" s="304">
        <f t="shared" si="130"/>
        <v>0.6</v>
      </c>
      <c r="R347" s="177">
        <f t="shared" si="131"/>
        <v>0.97386390217056196</v>
      </c>
      <c r="S347" s="799">
        <f t="shared" si="132"/>
        <v>-2</v>
      </c>
      <c r="T347" s="176">
        <f t="shared" si="133"/>
        <v>4</v>
      </c>
      <c r="U347" s="250">
        <f t="shared" si="134"/>
        <v>-1.026136097829438</v>
      </c>
      <c r="V347" s="382">
        <f t="shared" si="135"/>
        <v>23.683189292081828</v>
      </c>
      <c r="W347" s="400">
        <f t="shared" si="136"/>
        <v>14.944336575895962</v>
      </c>
      <c r="X347" s="157">
        <f t="shared" si="137"/>
        <v>46355</v>
      </c>
      <c r="Y347" s="383">
        <f t="shared" si="138"/>
        <v>14.377123077946843</v>
      </c>
      <c r="Z347" s="383">
        <f t="shared" si="139"/>
        <v>15.191230951544515</v>
      </c>
      <c r="AA347" s="384">
        <f t="shared" si="140"/>
        <v>16.583132042048728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8.3934752914881366E-2</v>
      </c>
      <c r="AD347" s="230">
        <f>(INDEX(Models!$BJ347:$BT347,,AH347)*(1-AF347)+INDEX(Models!$BJ347:$BT347,,AH347+1)*AF347-ERP_i)*AE347*Ramure*Pc/MaxiM</f>
        <v>1.4473389109400787E-2</v>
      </c>
      <c r="AE347" s="304">
        <f t="shared" si="142"/>
        <v>0.6</v>
      </c>
      <c r="AF347" s="177">
        <f t="shared" si="143"/>
        <v>0.49885146854454065</v>
      </c>
      <c r="AG347" s="799">
        <f t="shared" si="149"/>
        <v>2</v>
      </c>
      <c r="AH347" s="176">
        <f t="shared" si="144"/>
        <v>8</v>
      </c>
      <c r="AI347" s="224">
        <f t="shared" si="145"/>
        <v>2.4988514685445407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'2025'!Wh/'2025'!Env_an*'2026'!Env_an</f>
        <v>3.9055228029879232</v>
      </c>
      <c r="C348" s="829"/>
      <c r="D348" s="391">
        <f t="shared" si="127"/>
        <v>4.1267530108062012</v>
      </c>
      <c r="E348" s="383">
        <f t="shared" si="125"/>
        <v>4.3625161295002464</v>
      </c>
      <c r="F348" s="383">
        <f t="shared" si="128"/>
        <v>4.3625161295002464</v>
      </c>
      <c r="G348" s="110">
        <f t="shared" si="126"/>
        <v>0.16607217347128492</v>
      </c>
      <c r="H348" s="412" t="b">
        <f>Wh_hp&gt;='2025'!Maxi_hp</f>
        <v>0</v>
      </c>
      <c r="I348" s="388">
        <f>IF(H348,Wh_hp,'2025'!Maxi_hp)</f>
        <v>25.310170680267795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5.360878328287888E-2</v>
      </c>
      <c r="M348" s="832"/>
      <c r="N348" s="832"/>
      <c r="O348" s="48">
        <f>IF(t&lt;Tnet,'2025'!Resal+('2025'!Salim-'2025'!Resal)*(1-EXP(('2025'!Tnet-t)/('2025'!Tau_j))),Resal+(Salim-Resal)*(1-EXP((Tnet-t)/(Tau_j))))*Salcycl</f>
        <v>5.404292195042338E-2</v>
      </c>
      <c r="P348" s="169">
        <f>(INDEX(Models!$BJ348:$BT348,,T348)*(1-R348)+INDEX(Models!$BJ348:$BT348,,T348+1)*R348-ERP_i)*Q348*Ramure*Pc/MaxiM</f>
        <v>6.8150494450103705E-4</v>
      </c>
      <c r="Q348" s="304">
        <f t="shared" si="130"/>
        <v>0.6</v>
      </c>
      <c r="R348" s="177">
        <f t="shared" si="131"/>
        <v>0.97388104533577113</v>
      </c>
      <c r="S348" s="799">
        <f t="shared" si="132"/>
        <v>-2</v>
      </c>
      <c r="T348" s="176">
        <f t="shared" si="133"/>
        <v>4</v>
      </c>
      <c r="U348" s="250">
        <f t="shared" si="134"/>
        <v>-1.0261189546642289</v>
      </c>
      <c r="V348" s="382">
        <f t="shared" si="135"/>
        <v>23.500994105804597</v>
      </c>
      <c r="W348" s="400">
        <f t="shared" si="136"/>
        <v>3.9055228029879232</v>
      </c>
      <c r="X348" s="157">
        <f t="shared" si="137"/>
        <v>46356</v>
      </c>
      <c r="Y348" s="383">
        <f t="shared" si="138"/>
        <v>3.7821293739552964</v>
      </c>
      <c r="Z348" s="383">
        <f t="shared" si="139"/>
        <v>3.9963699019469927</v>
      </c>
      <c r="AA348" s="384">
        <f t="shared" si="140"/>
        <v>4.3625161295002464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8.3930057032292962E-2</v>
      </c>
      <c r="AD348" s="230">
        <f>(INDEX(Models!$BJ348:$BT348,,AH348)*(1-AF348)+INDEX(Models!$BJ348:$BT348,,AH348+1)*AF348-ERP_i)*AE348*Ramure*Pc/MaxiM</f>
        <v>1.4491717921311471E-2</v>
      </c>
      <c r="AE348" s="304">
        <f t="shared" si="142"/>
        <v>0.6</v>
      </c>
      <c r="AF348" s="177">
        <f t="shared" si="143"/>
        <v>0.49886861170974983</v>
      </c>
      <c r="AG348" s="799">
        <f t="shared" si="149"/>
        <v>2</v>
      </c>
      <c r="AH348" s="176">
        <f t="shared" si="144"/>
        <v>8</v>
      </c>
      <c r="AI348" s="224">
        <f t="shared" si="145"/>
        <v>2.4988686117097498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'2025'!Wh/'2025'!Env_an*'2026'!Env_an</f>
        <v>3.6971027222923944</v>
      </c>
      <c r="C349" s="829"/>
      <c r="D349" s="391">
        <f t="shared" si="127"/>
        <v>3.9066017440498362</v>
      </c>
      <c r="E349" s="383">
        <f t="shared" si="125"/>
        <v>4.129954985294197</v>
      </c>
      <c r="F349" s="383">
        <f t="shared" si="128"/>
        <v>4.129954985294197</v>
      </c>
      <c r="G349" s="110">
        <f t="shared" si="126"/>
        <v>0.15840029600246064</v>
      </c>
      <c r="H349" s="412" t="b">
        <f>Wh_hp&gt;='2025'!Maxi_hp</f>
        <v>0</v>
      </c>
      <c r="I349" s="388">
        <f>IF(H349,Wh_hp,'2025'!Maxi_hp)</f>
        <v>26.146261330818092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5.3626920654640697E-2</v>
      </c>
      <c r="M349" s="832"/>
      <c r="N349" s="832"/>
      <c r="O349" s="48">
        <f>IF(t&lt;Tnet,'2025'!Resal+('2025'!Salim-'2025'!Resal)*(1-EXP(('2025'!Tnet-t)/('2025'!Tau_j))),Resal+(Salim-Resal)*(1-EXP((Tnet-t)/(Tau_j))))*Salcycl</f>
        <v>5.4081277408511701E-2</v>
      </c>
      <c r="P349" s="169">
        <f>(INDEX(Models!$BJ349:$BT349,,T349)*(1-R349)+INDEX(Models!$BJ349:$BT349,,T349+1)*R349-ERP_i)*Q349*Ramure*Pc/MaxiM</f>
        <v>6.8160079845201119E-4</v>
      </c>
      <c r="Q349" s="304">
        <f t="shared" si="130"/>
        <v>0.6</v>
      </c>
      <c r="R349" s="177">
        <f t="shared" si="131"/>
        <v>0.9738974993719467</v>
      </c>
      <c r="S349" s="799">
        <f t="shared" si="132"/>
        <v>-2</v>
      </c>
      <c r="T349" s="176">
        <f t="shared" si="133"/>
        <v>4</v>
      </c>
      <c r="U349" s="250">
        <f t="shared" si="134"/>
        <v>-1.0261025006280533</v>
      </c>
      <c r="V349" s="382">
        <f t="shared" si="135"/>
        <v>23.324342614028495</v>
      </c>
      <c r="W349" s="400">
        <f t="shared" si="136"/>
        <v>3.6971027222923944</v>
      </c>
      <c r="X349" s="157">
        <f t="shared" si="137"/>
        <v>46357</v>
      </c>
      <c r="Y349" s="383">
        <f t="shared" si="138"/>
        <v>3.5804520723864095</v>
      </c>
      <c r="Z349" s="383">
        <f t="shared" si="139"/>
        <v>3.7833410000030203</v>
      </c>
      <c r="AA349" s="384">
        <f t="shared" si="140"/>
        <v>4.129954985294197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8.3926819184564447E-2</v>
      </c>
      <c r="AD349" s="230">
        <f>(INDEX(Models!$BJ349:$BT349,,AH349)*(1-AF349)+INDEX(Models!$BJ349:$BT349,,AH349+1)*AF349-ERP_i)*AE349*Ramure*Pc/MaxiM</f>
        <v>1.4506927569110178E-2</v>
      </c>
      <c r="AE349" s="304">
        <f t="shared" si="142"/>
        <v>0.6</v>
      </c>
      <c r="AF349" s="177">
        <f t="shared" si="143"/>
        <v>0.49888506574592517</v>
      </c>
      <c r="AG349" s="799">
        <f t="shared" si="149"/>
        <v>2</v>
      </c>
      <c r="AH349" s="176">
        <f t="shared" si="144"/>
        <v>8</v>
      </c>
      <c r="AI349" s="224">
        <f t="shared" si="145"/>
        <v>2.4988850657459252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'2025'!Wh/'2025'!Env_an*'2026'!Env_an</f>
        <v>5.5547341135706985</v>
      </c>
      <c r="C350" s="829"/>
      <c r="D350" s="391">
        <f t="shared" si="127"/>
        <v>5.8696096624657379</v>
      </c>
      <c r="E350" s="383">
        <f t="shared" si="125"/>
        <v>6.2054517754117251</v>
      </c>
      <c r="F350" s="383">
        <f t="shared" si="128"/>
        <v>6.2054517754117251</v>
      </c>
      <c r="G350" s="110">
        <f t="shared" si="126"/>
        <v>0.23974193683116296</v>
      </c>
      <c r="H350" s="412" t="b">
        <f>Wh_hp&gt;='2025'!Maxi_hp</f>
        <v>0</v>
      </c>
      <c r="I350" s="388">
        <f>IF(H350,Wh_hp,'2025'!Maxi_hp)</f>
        <v>9.9498204075695913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5.3645057678804009E-2</v>
      </c>
      <c r="M350" s="832"/>
      <c r="N350" s="832"/>
      <c r="O350" s="48">
        <f>IF(t&lt;Tnet,'2025'!Resal+('2025'!Salim-'2025'!Resal)*(1-EXP(('2025'!Tnet-t)/('2025'!Tau_j))),Resal+(Salim-Resal)*(1-EXP((Tnet-t)/(Tau_j))))*Salcycl</f>
        <v>5.4120493575780707E-2</v>
      </c>
      <c r="P350" s="169">
        <f>(INDEX(Models!$BJ350:$BT350,,T350)*(1-R350)+INDEX(Models!$BJ350:$BT350,,T350+1)*R350-ERP_i)*Q350*Ramure*Pc/MaxiM</f>
        <v>6.8255442612031648E-4</v>
      </c>
      <c r="Q350" s="304">
        <f t="shared" si="130"/>
        <v>0.6</v>
      </c>
      <c r="R350" s="177">
        <f t="shared" si="131"/>
        <v>0.97391329193836862</v>
      </c>
      <c r="S350" s="799">
        <f t="shared" si="132"/>
        <v>-2</v>
      </c>
      <c r="T350" s="176">
        <f t="shared" si="133"/>
        <v>4</v>
      </c>
      <c r="U350" s="250">
        <f t="shared" si="134"/>
        <v>-1.0260867080616314</v>
      </c>
      <c r="V350" s="382">
        <f t="shared" si="135"/>
        <v>23.15382439378882</v>
      </c>
      <c r="W350" s="400">
        <f t="shared" si="136"/>
        <v>5.5547341135706985</v>
      </c>
      <c r="X350" s="157">
        <f t="shared" si="137"/>
        <v>46358</v>
      </c>
      <c r="Y350" s="383">
        <f t="shared" si="138"/>
        <v>5.3797052089549338</v>
      </c>
      <c r="Z350" s="383">
        <f t="shared" si="139"/>
        <v>5.6846590727996054</v>
      </c>
      <c r="AA350" s="384">
        <f t="shared" si="140"/>
        <v>6.2054517754117251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8.3925026164201499E-2</v>
      </c>
      <c r="AD350" s="230">
        <f>(INDEX(Models!$BJ350:$BT350,,AH350)*(1-AF350)+INDEX(Models!$BJ350:$BT350,,AH350+1)*AF350-ERP_i)*AE350*Ramure*Pc/MaxiM</f>
        <v>1.4518643619470192E-2</v>
      </c>
      <c r="AE350" s="304">
        <f t="shared" si="142"/>
        <v>0.6</v>
      </c>
      <c r="AF350" s="177">
        <f t="shared" si="143"/>
        <v>0.49890085831234732</v>
      </c>
      <c r="AG350" s="799">
        <f t="shared" si="149"/>
        <v>2</v>
      </c>
      <c r="AH350" s="176">
        <f t="shared" si="144"/>
        <v>8</v>
      </c>
      <c r="AI350" s="224">
        <f t="shared" si="145"/>
        <v>2.4989008583123473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'2025'!Wh/'2025'!Env_an*'2026'!Env_an</f>
        <v>9.3101152822043201</v>
      </c>
      <c r="C351" s="829"/>
      <c r="D351" s="391">
        <f t="shared" si="127"/>
        <v>9.8380568384027569</v>
      </c>
      <c r="E351" s="383">
        <f t="shared" si="125"/>
        <v>10.401402642506721</v>
      </c>
      <c r="F351" s="383">
        <f t="shared" si="128"/>
        <v>10.402470107639065</v>
      </c>
      <c r="G351" s="110">
        <f t="shared" si="126"/>
        <v>0.40472757824865779</v>
      </c>
      <c r="H351" s="412" t="b">
        <f>Wh_hp&gt;='2025'!Maxi_hp</f>
        <v>0</v>
      </c>
      <c r="I351" s="388">
        <f>IF(H351,Wh_hp,'2025'!Maxi_hp)</f>
        <v>16.647333469246274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5.3663194355375365E-2</v>
      </c>
      <c r="M351" s="832"/>
      <c r="N351" s="832"/>
      <c r="O351" s="48">
        <f>IF(t&lt;Tnet,'2025'!Resal+('2025'!Salim-'2025'!Resal)*(1-EXP(('2025'!Tnet-t)/('2025'!Tau_j))),Resal+(Salim-Resal)*(1-EXP((Tnet-t)/(Tau_j))))*Salcycl</f>
        <v>5.4160561172949477E-2</v>
      </c>
      <c r="P351" s="169">
        <f>(INDEX(Models!$BJ351:$BT351,,T351)*(1-R351)+INDEX(Models!$BJ351:$BT351,,T351+1)*R351-ERP_i)*Q351*Ramure*Pc/MaxiM</f>
        <v>6.8434999623143578E-4</v>
      </c>
      <c r="Q351" s="304">
        <f t="shared" si="130"/>
        <v>0.6</v>
      </c>
      <c r="R351" s="177">
        <f t="shared" si="131"/>
        <v>0.97392844958753111</v>
      </c>
      <c r="S351" s="799">
        <f t="shared" si="132"/>
        <v>-2</v>
      </c>
      <c r="T351" s="176">
        <f t="shared" si="133"/>
        <v>4</v>
      </c>
      <c r="U351" s="250">
        <f t="shared" si="134"/>
        <v>-1.0260715504124689</v>
      </c>
      <c r="V351" s="382">
        <f t="shared" si="135"/>
        <v>22.990028899878915</v>
      </c>
      <c r="W351" s="400">
        <f t="shared" si="136"/>
        <v>9.3101152822043201</v>
      </c>
      <c r="X351" s="157">
        <f t="shared" si="137"/>
        <v>46359</v>
      </c>
      <c r="Y351" s="383">
        <f t="shared" si="138"/>
        <v>8.9984226117724813</v>
      </c>
      <c r="Z351" s="383">
        <f t="shared" si="139"/>
        <v>9.5086892511202148</v>
      </c>
      <c r="AA351" s="384">
        <f t="shared" si="140"/>
        <v>10.379811394548645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8.3924660123008768E-2</v>
      </c>
      <c r="AD351" s="230">
        <f>(INDEX(Models!$BJ351:$BT351,,AH351)*(1-AF351)+INDEX(Models!$BJ351:$BT351,,AH351+1)*AF351-ERP_i)*AE351*Ramure*Pc/MaxiM</f>
        <v>1.4526460629192287E-2</v>
      </c>
      <c r="AE351" s="304">
        <f t="shared" si="142"/>
        <v>0.6</v>
      </c>
      <c r="AF351" s="177">
        <f t="shared" si="143"/>
        <v>0.49891601596150981</v>
      </c>
      <c r="AG351" s="799">
        <f t="shared" si="149"/>
        <v>2</v>
      </c>
      <c r="AH351" s="176">
        <f t="shared" si="144"/>
        <v>8</v>
      </c>
      <c r="AI351" s="224">
        <f t="shared" si="145"/>
        <v>2.4989160159615098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'2025'!Wh/'2025'!Env_an*'2026'!Env_an</f>
        <v>17.074960927684913</v>
      </c>
      <c r="C352" s="829"/>
      <c r="D352" s="391">
        <f t="shared" si="127"/>
        <v>18.043563422491953</v>
      </c>
      <c r="E352" s="383">
        <f t="shared" si="125"/>
        <v>19.077597196925637</v>
      </c>
      <c r="F352" s="383">
        <f t="shared" si="128"/>
        <v>19.085994637673178</v>
      </c>
      <c r="G352" s="110">
        <f t="shared" si="126"/>
        <v>0.74761677935760773</v>
      </c>
      <c r="H352" s="412" t="b">
        <f>Wh_hp&gt;='2025'!Maxi_hp</f>
        <v>1</v>
      </c>
      <c r="I352" s="388">
        <f>IF(H352,Wh_hp,'2025'!Maxi_hp)</f>
        <v>19.085994637673178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5.3681330684361428E-2</v>
      </c>
      <c r="M352" s="832"/>
      <c r="N352" s="832"/>
      <c r="O352" s="48">
        <f>IF(t&lt;Tnet,'2025'!Resal+('2025'!Salim-'2025'!Resal)*(1-EXP(('2025'!Tnet-t)/('2025'!Tau_j))),Resal+(Salim-Resal)*(1-EXP((Tnet-t)/(Tau_j))))*Salcycl</f>
        <v>5.4201468023463713E-2</v>
      </c>
      <c r="P352" s="169">
        <f>(INDEX(Models!$BJ352:$BT352,,T352)*(1-R352)+INDEX(Models!$BJ352:$BT352,,T352+1)*R352-ERP_i)*Q352*Ramure*Pc/MaxiM</f>
        <v>6.8777123200593118E-4</v>
      </c>
      <c r="Q352" s="304">
        <f t="shared" si="130"/>
        <v>0.6</v>
      </c>
      <c r="R352" s="177">
        <f t="shared" si="131"/>
        <v>0.97394299780916604</v>
      </c>
      <c r="S352" s="799">
        <f t="shared" si="132"/>
        <v>-2</v>
      </c>
      <c r="T352" s="176">
        <f t="shared" si="133"/>
        <v>4</v>
      </c>
      <c r="U352" s="250">
        <f t="shared" si="134"/>
        <v>-1.026057002190834</v>
      </c>
      <c r="V352" s="382">
        <f t="shared" si="135"/>
        <v>22.833527145799493</v>
      </c>
      <c r="W352" s="400">
        <f t="shared" si="136"/>
        <v>17.074960927684913</v>
      </c>
      <c r="X352" s="157">
        <f t="shared" si="137"/>
        <v>46360</v>
      </c>
      <c r="Y352" s="383">
        <f t="shared" si="138"/>
        <v>16.391848645791498</v>
      </c>
      <c r="Z352" s="383">
        <f t="shared" si="139"/>
        <v>17.321700582791841</v>
      </c>
      <c r="AA352" s="384">
        <f t="shared" si="140"/>
        <v>18.908619704683648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8.3925698791156481E-2</v>
      </c>
      <c r="AD352" s="230">
        <f>(INDEX(Models!$BJ352:$BT352,,AH352)*(1-AF352)+INDEX(Models!$BJ352:$BT352,,AH352+1)*AF352-ERP_i)*AE352*Ramure*Pc/MaxiM</f>
        <v>1.4527447094510303E-2</v>
      </c>
      <c r="AE352" s="304">
        <f t="shared" si="142"/>
        <v>0.6</v>
      </c>
      <c r="AF352" s="177">
        <f t="shared" si="143"/>
        <v>0.49893056418314474</v>
      </c>
      <c r="AG352" s="799">
        <f t="shared" si="149"/>
        <v>2</v>
      </c>
      <c r="AH352" s="176">
        <f t="shared" si="144"/>
        <v>8</v>
      </c>
      <c r="AI352" s="224">
        <f t="shared" si="145"/>
        <v>2.4989305641831447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'2025'!Wh/'2025'!Env_an*'2026'!Env_an</f>
        <v>22.637972160265242</v>
      </c>
      <c r="C353" s="829"/>
      <c r="D353" s="391">
        <f t="shared" si="127"/>
        <v>23.922603192985378</v>
      </c>
      <c r="E353" s="383">
        <f t="shared" si="125"/>
        <v>25.294666845374639</v>
      </c>
      <c r="F353" s="383">
        <f t="shared" si="128"/>
        <v>25.312168669926258</v>
      </c>
      <c r="G353" s="110">
        <f t="shared" si="126"/>
        <v>0.99792957844571539</v>
      </c>
      <c r="H353" s="412" t="b">
        <f>Wh_hp&gt;='2025'!Maxi_hp</f>
        <v>1</v>
      </c>
      <c r="I353" s="388">
        <f>IF(H353,Wh_hp,'2025'!Maxi_hp)</f>
        <v>25.312168669926258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5.3699466665768858E-2</v>
      </c>
      <c r="M353" s="832"/>
      <c r="N353" s="832"/>
      <c r="O353" s="48">
        <f>IF(t&lt;Tnet,'2025'!Resal+('2025'!Salim-'2025'!Resal)*(1-EXP(('2025'!Tnet-t)/('2025'!Tau_j))),Resal+(Salim-Resal)*(1-EXP((Tnet-t)/(Tau_j))))*Salcycl</f>
        <v>5.4243199199919719E-2</v>
      </c>
      <c r="P353" s="169">
        <f>(INDEX(Models!$BJ353:$BT353,,T353)*(1-R353)+INDEX(Models!$BJ353:$BT353,,T353+1)*R353-ERP_i)*Q353*Ramure*Pc/MaxiM</f>
        <v>6.9348829069634246E-4</v>
      </c>
      <c r="Q353" s="304">
        <f t="shared" si="130"/>
        <v>0.6</v>
      </c>
      <c r="R353" s="177">
        <f t="shared" si="131"/>
        <v>0.97395696107253515</v>
      </c>
      <c r="S353" s="799">
        <f t="shared" si="132"/>
        <v>-2</v>
      </c>
      <c r="T353" s="176">
        <f t="shared" si="133"/>
        <v>4</v>
      </c>
      <c r="U353" s="250">
        <f t="shared" si="134"/>
        <v>-1.0260430389274648</v>
      </c>
      <c r="V353" s="382">
        <f t="shared" si="135"/>
        <v>22.684893031411974</v>
      </c>
      <c r="W353" s="400">
        <f t="shared" si="136"/>
        <v>22.637972160265242</v>
      </c>
      <c r="X353" s="157">
        <f t="shared" si="137"/>
        <v>46361</v>
      </c>
      <c r="Y353" s="383">
        <f t="shared" si="138"/>
        <v>21.624874676790146</v>
      </c>
      <c r="Z353" s="383">
        <f t="shared" si="139"/>
        <v>22.852015733940508</v>
      </c>
      <c r="AA353" s="384">
        <f t="shared" si="140"/>
        <v>24.94565778743171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8.3928115719844112E-2</v>
      </c>
      <c r="AD353" s="230">
        <f>(INDEX(Models!$BJ353:$BT353,,AH353)*(1-AF353)+INDEX(Models!$BJ353:$BT353,,AH353+1)*AF353-ERP_i)*AE353*Ramure*Pc/MaxiM</f>
        <v>1.452254333101707E-2</v>
      </c>
      <c r="AE353" s="304">
        <f t="shared" si="142"/>
        <v>0.6</v>
      </c>
      <c r="AF353" s="177">
        <f t="shared" si="143"/>
        <v>0.49894452744651385</v>
      </c>
      <c r="AG353" s="799">
        <f t="shared" si="149"/>
        <v>2</v>
      </c>
      <c r="AH353" s="176">
        <f t="shared" si="144"/>
        <v>8</v>
      </c>
      <c r="AI353" s="224">
        <f t="shared" si="145"/>
        <v>2.4989445274465139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'2025'!Wh/'2025'!Env_an*'2026'!Env_an</f>
        <v>11.129288422037909</v>
      </c>
      <c r="C354" s="829"/>
      <c r="D354" s="391">
        <f t="shared" si="127"/>
        <v>11.761064613569591</v>
      </c>
      <c r="E354" s="383">
        <f t="shared" si="125"/>
        <v>12.436171342667011</v>
      </c>
      <c r="F354" s="383">
        <f t="shared" si="128"/>
        <v>12.438585234501154</v>
      </c>
      <c r="G354" s="110">
        <f t="shared" si="126"/>
        <v>0.49340342377940821</v>
      </c>
      <c r="H354" s="412" t="b">
        <f>Wh_hp&gt;='2025'!Maxi_hp</f>
        <v>0</v>
      </c>
      <c r="I354" s="388">
        <f>IF(H354,Wh_hp,'2025'!Maxi_hp)</f>
        <v>18.881092862283797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5.3717602299604317E-2</v>
      </c>
      <c r="M354" s="832"/>
      <c r="N354" s="832"/>
      <c r="O354" s="48">
        <f>IF(t&lt;Tnet,'2025'!Resal+('2025'!Salim-'2025'!Resal)*(1-EXP(('2025'!Tnet-t)/('2025'!Tau_j))),Resal+(Salim-Resal)*(1-EXP((Tnet-t)/(Tau_j))))*Salcycl</f>
        <v>5.4285737185142263E-2</v>
      </c>
      <c r="P354" s="169">
        <f>(INDEX(Models!$BJ354:$BT354,,T354)*(1-R354)+INDEX(Models!$BJ354:$BT354,,T354+1)*R354-ERP_i)*Q354*Ramure*Pc/MaxiM</f>
        <v>7.0148513330942574E-4</v>
      </c>
      <c r="Q354" s="304">
        <f t="shared" si="130"/>
        <v>0.6</v>
      </c>
      <c r="R354" s="177">
        <f t="shared" si="131"/>
        <v>0.97397036286705818</v>
      </c>
      <c r="S354" s="799">
        <f t="shared" si="132"/>
        <v>-2</v>
      </c>
      <c r="T354" s="176">
        <f t="shared" si="133"/>
        <v>4</v>
      </c>
      <c r="U354" s="250">
        <f t="shared" si="134"/>
        <v>-1.0260296371329418</v>
      </c>
      <c r="V354" s="382">
        <f t="shared" si="135"/>
        <v>22.544716073714739</v>
      </c>
      <c r="W354" s="400">
        <f t="shared" si="136"/>
        <v>11.129288422037909</v>
      </c>
      <c r="X354" s="157">
        <f t="shared" si="137"/>
        <v>46362</v>
      </c>
      <c r="Y354" s="383">
        <f t="shared" si="138"/>
        <v>10.739214697969295</v>
      </c>
      <c r="Z354" s="383">
        <f t="shared" si="139"/>
        <v>11.348847578764177</v>
      </c>
      <c r="AA354" s="384">
        <f t="shared" si="140"/>
        <v>12.388650295484293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8.3931880545464077E-2</v>
      </c>
      <c r="AD354" s="230">
        <f>(INDEX(Models!$BJ354:$BT354,,AH354)*(1-AF354)+INDEX(Models!$BJ354:$BT354,,AH354+1)*AF354-ERP_i)*AE354*Ramure*Pc/MaxiM</f>
        <v>1.4511262210505372E-2</v>
      </c>
      <c r="AE354" s="304">
        <f t="shared" si="142"/>
        <v>0.6</v>
      </c>
      <c r="AF354" s="177">
        <f t="shared" si="143"/>
        <v>0.49895792924103688</v>
      </c>
      <c r="AG354" s="799">
        <f t="shared" si="149"/>
        <v>2</v>
      </c>
      <c r="AH354" s="176">
        <f t="shared" si="144"/>
        <v>8</v>
      </c>
      <c r="AI354" s="224">
        <f t="shared" si="145"/>
        <v>2.4989579292410369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'2025'!Wh/'2025'!Env_an*'2026'!Env_an</f>
        <v>20.055934230521277</v>
      </c>
      <c r="C355" s="829"/>
      <c r="D355" s="391">
        <f t="shared" si="127"/>
        <v>21.19485541951488</v>
      </c>
      <c r="E355" s="383">
        <f t="shared" si="125"/>
        <v>22.412505839909507</v>
      </c>
      <c r="F355" s="383">
        <f t="shared" si="128"/>
        <v>22.426068897825939</v>
      </c>
      <c r="G355" s="110">
        <f t="shared" si="126"/>
        <v>0.89471574373031915</v>
      </c>
      <c r="H355" s="412" t="b">
        <f>Wh_hp&gt;='2025'!Maxi_hp</f>
        <v>1</v>
      </c>
      <c r="I355" s="388">
        <f>IF(H355,Wh_hp,'2025'!Maxi_hp)</f>
        <v>22.426068897825939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5.3735737585874577E-2</v>
      </c>
      <c r="M355" s="832"/>
      <c r="N355" s="832"/>
      <c r="O355" s="48">
        <f>IF(t&lt;Tnet,'2025'!Resal+('2025'!Salim-'2025'!Resal)*(1-EXP(('2025'!Tnet-t)/('2025'!Tau_j))),Resal+(Salim-Resal)*(1-EXP((Tnet-t)/(Tau_j))))*Salcycl</f>
        <v>5.4329062046528501E-2</v>
      </c>
      <c r="P355" s="169">
        <f>(INDEX(Models!$BJ355:$BT355,,T355)*(1-R355)+INDEX(Models!$BJ355:$BT355,,T355+1)*R355-ERP_i)*Q355*Ramure*Pc/MaxiM</f>
        <v>7.1174290143474685E-4</v>
      </c>
      <c r="Q355" s="304">
        <f t="shared" si="130"/>
        <v>0.6</v>
      </c>
      <c r="R355" s="177">
        <f t="shared" si="131"/>
        <v>0.973983225741343</v>
      </c>
      <c r="S355" s="799">
        <f t="shared" si="132"/>
        <v>-2</v>
      </c>
      <c r="T355" s="176">
        <f t="shared" si="133"/>
        <v>4</v>
      </c>
      <c r="U355" s="250">
        <f t="shared" si="134"/>
        <v>-1.026016774258657</v>
      </c>
      <c r="V355" s="382">
        <f t="shared" si="135"/>
        <v>22.413585575939379</v>
      </c>
      <c r="W355" s="400">
        <f t="shared" si="136"/>
        <v>20.055934230521277</v>
      </c>
      <c r="X355" s="157">
        <f t="shared" si="137"/>
        <v>46363</v>
      </c>
      <c r="Y355" s="383">
        <f t="shared" si="138"/>
        <v>19.20035722831971</v>
      </c>
      <c r="Z355" s="383">
        <f t="shared" si="139"/>
        <v>20.2906925591118</v>
      </c>
      <c r="AA355" s="384">
        <f t="shared" si="140"/>
        <v>22.149886696672315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8.3936959273016629E-2</v>
      </c>
      <c r="AD355" s="230">
        <f>(INDEX(Models!$BJ355:$BT355,,AH355)*(1-AF355)+INDEX(Models!$BJ355:$BT355,,AH355+1)*AF355-ERP_i)*AE355*Ramure*Pc/MaxiM</f>
        <v>1.4493097528956769E-2</v>
      </c>
      <c r="AE355" s="304">
        <f t="shared" si="142"/>
        <v>0.6</v>
      </c>
      <c r="AF355" s="177">
        <f t="shared" si="143"/>
        <v>0.49897079211532169</v>
      </c>
      <c r="AG355" s="799">
        <f t="shared" si="149"/>
        <v>2</v>
      </c>
      <c r="AH355" s="176">
        <f t="shared" si="144"/>
        <v>8</v>
      </c>
      <c r="AI355" s="224">
        <f t="shared" si="145"/>
        <v>2.4989707921153217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'2025'!Wh/'2025'!Env_an*'2026'!Env_an</f>
        <v>4.0282748652818743</v>
      </c>
      <c r="C356" s="829"/>
      <c r="D356" s="391">
        <f t="shared" si="127"/>
        <v>4.2571110711219688</v>
      </c>
      <c r="E356" s="383">
        <f t="shared" si="125"/>
        <v>4.5018931922510763</v>
      </c>
      <c r="F356" s="383">
        <f t="shared" si="128"/>
        <v>4.5018931922510763</v>
      </c>
      <c r="G356" s="110">
        <f t="shared" si="126"/>
        <v>0.1805733478196512</v>
      </c>
      <c r="H356" s="412" t="b">
        <f>Wh_hp&gt;='2025'!Maxi_hp</f>
        <v>0</v>
      </c>
      <c r="I356" s="388">
        <f>IF(H356,Wh_hp,'2025'!Maxi_hp)</f>
        <v>17.076709643331426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5.3753872524586188E-2</v>
      </c>
      <c r="M356" s="832"/>
      <c r="N356" s="832"/>
      <c r="O356" s="48">
        <f>IF(t&lt;Tnet,'2025'!Resal+('2025'!Salim-'2025'!Resal)*(1-EXP(('2025'!Tnet-t)/('2025'!Tau_j))),Resal+(Salim-Resal)*(1-EXP((Tnet-t)/(Tau_j))))*Salcycl</f>
        <v>5.4373151622175493E-2</v>
      </c>
      <c r="P356" s="169">
        <f>(INDEX(Models!$BJ356:$BT356,,T356)*(1-R356)+INDEX(Models!$BJ356:$BT356,,T356+1)*R356-ERP_i)*Q356*Ramure*Pc/MaxiM</f>
        <v>7.2423919682051887E-4</v>
      </c>
      <c r="Q356" s="304">
        <f t="shared" si="130"/>
        <v>0.6</v>
      </c>
      <c r="R356" s="177">
        <f t="shared" si="131"/>
        <v>0.97399557134067716</v>
      </c>
      <c r="S356" s="799">
        <f t="shared" si="132"/>
        <v>-2</v>
      </c>
      <c r="T356" s="176">
        <f t="shared" si="133"/>
        <v>4</v>
      </c>
      <c r="U356" s="250">
        <f t="shared" si="134"/>
        <v>-1.0260044286593228</v>
      </c>
      <c r="V356" s="382">
        <f t="shared" si="135"/>
        <v>22.292090606578455</v>
      </c>
      <c r="W356" s="400">
        <f t="shared" si="136"/>
        <v>4.0282748652818743</v>
      </c>
      <c r="X356" s="157">
        <f t="shared" si="137"/>
        <v>46364</v>
      </c>
      <c r="Y356" s="383">
        <f t="shared" si="138"/>
        <v>3.9023089576988625</v>
      </c>
      <c r="Z356" s="383">
        <f t="shared" si="139"/>
        <v>4.1239893558246088</v>
      </c>
      <c r="AA356" s="384">
        <f t="shared" si="140"/>
        <v>4.5018931922510763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8.3943314576396005E-2</v>
      </c>
      <c r="AD356" s="230">
        <f>(INDEX(Models!$BJ356:$BT356,,AH356)*(1-AF356)+INDEX(Models!$BJ356:$BT356,,AH356+1)*AF356-ERP_i)*AE356*Ramure*Pc/MaxiM</f>
        <v>1.4467528690336146E-2</v>
      </c>
      <c r="AE356" s="304">
        <f t="shared" si="142"/>
        <v>0.6</v>
      </c>
      <c r="AF356" s="177">
        <f t="shared" si="143"/>
        <v>0.49898313771465563</v>
      </c>
      <c r="AG356" s="799">
        <f t="shared" si="149"/>
        <v>2</v>
      </c>
      <c r="AH356" s="176">
        <f t="shared" si="144"/>
        <v>8</v>
      </c>
      <c r="AI356" s="224">
        <f t="shared" si="145"/>
        <v>2.4989831377146556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'2025'!Wh/'2025'!Env_an*'2026'!Env_an</f>
        <v>4.9166068050114351</v>
      </c>
      <c r="C357" s="829"/>
      <c r="D357" s="391">
        <f t="shared" si="127"/>
        <v>5.196006503701958</v>
      </c>
      <c r="E357" s="383">
        <f t="shared" si="125"/>
        <v>5.4950352304056995</v>
      </c>
      <c r="F357" s="383">
        <f t="shared" si="128"/>
        <v>5.4950352304056995</v>
      </c>
      <c r="G357" s="110">
        <f t="shared" si="126"/>
        <v>0.22149648631184013</v>
      </c>
      <c r="H357" s="412" t="b">
        <f>Wh_hp&gt;='2025'!Maxi_hp</f>
        <v>0</v>
      </c>
      <c r="I357" s="388">
        <f>IF(H357,Wh_hp,'2025'!Maxi_hp)</f>
        <v>11.827516861952027</v>
      </c>
      <c r="J357" s="85">
        <f>IF(H357,An,'2025'!An_max)</f>
        <v>2018</v>
      </c>
      <c r="K357" s="197">
        <f t="shared" si="129"/>
        <v>46365</v>
      </c>
      <c r="L357" s="147">
        <f>IF(t&lt;Tvie,1-EXP((T0-t)*PertePVj)+'2025'!Pspv,1-EXP((T0-t)*PertePVj)+Pspv)</f>
        <v>5.3772007115745812E-2</v>
      </c>
      <c r="M357" s="832"/>
      <c r="N357" s="832"/>
      <c r="O357" s="48">
        <f>IF(t&lt;Tnet,'2025'!Resal+('2025'!Salim-'2025'!Resal)*(1-EXP(('2025'!Tnet-t)/('2025'!Tau_j))),Resal+(Salim-Resal)*(1-EXP((Tnet-t)/(Tau_j))))*Salcycl</f>
        <v>5.4417981717228073E-2</v>
      </c>
      <c r="P357" s="169">
        <f>(INDEX(Models!$BJ357:$BT357,,T357)*(1-R357)+INDEX(Models!$BJ357:$BT357,,T357+1)*R357-ERP_i)*Q357*Ramure*Pc/MaxiM</f>
        <v>7.3894734577730175E-4</v>
      </c>
      <c r="Q357" s="304">
        <f t="shared" si="130"/>
        <v>0.6</v>
      </c>
      <c r="R357" s="177">
        <f t="shared" si="131"/>
        <v>0.97400742044303712</v>
      </c>
      <c r="S357" s="799">
        <f t="shared" si="132"/>
        <v>-2</v>
      </c>
      <c r="T357" s="176">
        <f t="shared" si="133"/>
        <v>4</v>
      </c>
      <c r="U357" s="250">
        <f t="shared" si="134"/>
        <v>-1.0259925795569629</v>
      </c>
      <c r="V357" s="382">
        <f t="shared" si="135"/>
        <v>22.180819990732363</v>
      </c>
      <c r="W357" s="400">
        <f t="shared" si="136"/>
        <v>4.9166068050114351</v>
      </c>
      <c r="X357" s="157">
        <f t="shared" si="137"/>
        <v>46365</v>
      </c>
      <c r="Y357" s="383">
        <f t="shared" si="138"/>
        <v>4.7630487061379876</v>
      </c>
      <c r="Z357" s="383">
        <f t="shared" si="139"/>
        <v>5.0337220436899717</v>
      </c>
      <c r="AA357" s="384">
        <f t="shared" si="140"/>
        <v>5.4950352304056995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8.3950906113056722E-2</v>
      </c>
      <c r="AD357" s="230">
        <f>(INDEX(Models!$BJ357:$BT357,,AH357)*(1-AF357)+INDEX(Models!$BJ357:$BT357,,AH357+1)*AF357-ERP_i)*AE357*Ramure*Pc/MaxiM</f>
        <v>1.4434026004760977E-2</v>
      </c>
      <c r="AE357" s="304">
        <f t="shared" si="142"/>
        <v>0.6</v>
      </c>
      <c r="AF357" s="177">
        <f t="shared" si="143"/>
        <v>0.49899498681701582</v>
      </c>
      <c r="AG357" s="799">
        <f t="shared" si="149"/>
        <v>2</v>
      </c>
      <c r="AH357" s="176">
        <f t="shared" si="144"/>
        <v>8</v>
      </c>
      <c r="AI357" s="224">
        <f t="shared" si="145"/>
        <v>2.4989949868170158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'2025'!Wh/'2025'!Env_an*'2026'!Env_an</f>
        <v>11.902680941189452</v>
      </c>
      <c r="C358" s="829"/>
      <c r="D358" s="391">
        <f t="shared" si="127"/>
        <v>12.579324589039143</v>
      </c>
      <c r="E358" s="383">
        <f t="shared" si="125"/>
        <v>13.303902005950137</v>
      </c>
      <c r="F358" s="383">
        <f t="shared" si="128"/>
        <v>13.307337037810846</v>
      </c>
      <c r="G358" s="110">
        <f t="shared" si="126"/>
        <v>0.5387934861023097</v>
      </c>
      <c r="H358" s="412" t="b">
        <f>Wh_hp&gt;='2025'!Maxi_hp</f>
        <v>0</v>
      </c>
      <c r="I358" s="388">
        <f>IF(H358,Wh_hp,'2025'!Maxi_hp)</f>
        <v>21.581579026303849</v>
      </c>
      <c r="J358" s="85">
        <f>IF(H358,An,'2025'!An_max)</f>
        <v>2018</v>
      </c>
      <c r="K358" s="197">
        <f t="shared" si="129"/>
        <v>46366</v>
      </c>
      <c r="L358" s="147">
        <f>IF(t&lt;Tvie,1-EXP((T0-t)*PertePVj)+'2025'!Pspv,1-EXP((T0-t)*PertePVj)+Pspv)</f>
        <v>5.3790141359360111E-2</v>
      </c>
      <c r="M358" s="832"/>
      <c r="N358" s="832"/>
      <c r="O358" s="48">
        <f>IF(t&lt;Tnet,'2025'!Resal+('2025'!Salim-'2025'!Resal)*(1-EXP(('2025'!Tnet-t)/('2025'!Tau_j))),Resal+(Salim-Resal)*(1-EXP((Tnet-t)/(Tau_j))))*Salcycl</f>
        <v>5.4463526308817484E-2</v>
      </c>
      <c r="P358" s="169">
        <f>(INDEX(Models!$BJ358:$BT358,,T358)*(1-R358)+INDEX(Models!$BJ358:$BT358,,T358+1)*R358-ERP_i)*Q358*Ramure*Pc/MaxiM</f>
        <v>7.5583566134822678E-4</v>
      </c>
      <c r="Q358" s="304">
        <f t="shared" si="130"/>
        <v>0.6</v>
      </c>
      <c r="R358" s="177">
        <f t="shared" si="131"/>
        <v>0.97401879299368188</v>
      </c>
      <c r="S358" s="799">
        <f t="shared" si="132"/>
        <v>-2</v>
      </c>
      <c r="T358" s="176">
        <f t="shared" si="133"/>
        <v>4</v>
      </c>
      <c r="U358" s="250">
        <f t="shared" si="134"/>
        <v>-1.0259812070063181</v>
      </c>
      <c r="V358" s="382">
        <f t="shared" si="135"/>
        <v>22.080362318411588</v>
      </c>
      <c r="W358" s="400">
        <f t="shared" si="136"/>
        <v>11.902680941189452</v>
      </c>
      <c r="X358" s="157">
        <f t="shared" si="137"/>
        <v>46366</v>
      </c>
      <c r="Y358" s="383">
        <f t="shared" si="138"/>
        <v>11.477659386128042</v>
      </c>
      <c r="Z358" s="383">
        <f t="shared" si="139"/>
        <v>12.130141407126398</v>
      </c>
      <c r="AA358" s="384">
        <f t="shared" si="140"/>
        <v>13.241929733843733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8.3959690850482688E-2</v>
      </c>
      <c r="AD358" s="230">
        <f>(INDEX(Models!$BJ358:$BT358,,AH358)*(1-AF358)+INDEX(Models!$BJ358:$BT358,,AH358+1)*AF358-ERP_i)*AE358*Ramure*Pc/MaxiM</f>
        <v>1.4392056567644243E-2</v>
      </c>
      <c r="AE358" s="304">
        <f t="shared" si="142"/>
        <v>0.6</v>
      </c>
      <c r="AF358" s="177">
        <f t="shared" si="143"/>
        <v>0.49900635936766058</v>
      </c>
      <c r="AG358" s="799">
        <f t="shared" si="149"/>
        <v>2</v>
      </c>
      <c r="AH358" s="176">
        <f t="shared" si="144"/>
        <v>8</v>
      </c>
      <c r="AI358" s="224">
        <f t="shared" si="145"/>
        <v>2.4990063593676606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'2025'!Wh/'2025'!Env_an*'2026'!Env_an</f>
        <v>17.031950268559193</v>
      </c>
      <c r="C359" s="829"/>
      <c r="D359" s="391">
        <f t="shared" si="127"/>
        <v>18.000527613108403</v>
      </c>
      <c r="E359" s="383">
        <f t="shared" si="125"/>
        <v>19.038300776560941</v>
      </c>
      <c r="F359" s="383">
        <f t="shared" si="128"/>
        <v>19.048308551616081</v>
      </c>
      <c r="G359" s="110">
        <f t="shared" si="126"/>
        <v>0.77437970528339684</v>
      </c>
      <c r="H359" s="412" t="b">
        <f>Wh_hp&gt;='2025'!Maxi_hp</f>
        <v>1</v>
      </c>
      <c r="I359" s="388">
        <f>IF(H359,Wh_hp,'2025'!Maxi_hp)</f>
        <v>19.048308551616081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5.3808275255435856E-2</v>
      </c>
      <c r="M359" s="832"/>
      <c r="N359" s="832"/>
      <c r="O359" s="48">
        <f>IF(t&lt;Tnet,'2025'!Resal+('2025'!Salim-'2025'!Resal)*(1-EXP(('2025'!Tnet-t)/('2025'!Tau_j))),Resal+(Salim-Resal)*(1-EXP((Tnet-t)/(Tau_j))))*Salcycl</f>
        <v>5.4509757757908471E-2</v>
      </c>
      <c r="P359" s="169">
        <f>(INDEX(Models!$BJ359:$BT359,,T359)*(1-R359)+INDEX(Models!$BJ359:$BT359,,T359+1)*R359-ERP_i)*Q359*Ramure*Pc/MaxiM</f>
        <v>7.7495418520633292E-4</v>
      </c>
      <c r="Q359" s="304">
        <f t="shared" si="130"/>
        <v>0.6</v>
      </c>
      <c r="R359" s="177">
        <f t="shared" si="131"/>
        <v>0.97402970813837308</v>
      </c>
      <c r="S359" s="799">
        <f t="shared" si="132"/>
        <v>-2</v>
      </c>
      <c r="T359" s="176">
        <f t="shared" si="133"/>
        <v>4</v>
      </c>
      <c r="U359" s="250">
        <f t="shared" si="134"/>
        <v>-1.0259702918616269</v>
      </c>
      <c r="V359" s="382">
        <f t="shared" si="135"/>
        <v>21.98882194239502</v>
      </c>
      <c r="W359" s="400">
        <f t="shared" si="136"/>
        <v>17.031950268559193</v>
      </c>
      <c r="X359" s="157">
        <f t="shared" si="137"/>
        <v>46367</v>
      </c>
      <c r="Y359" s="383">
        <f t="shared" si="138"/>
        <v>16.349398413554997</v>
      </c>
      <c r="Z359" s="383">
        <f t="shared" si="139"/>
        <v>17.279160223017925</v>
      </c>
      <c r="AA359" s="384">
        <f t="shared" si="140"/>
        <v>18.863086491942184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8.3969623401815546E-2</v>
      </c>
      <c r="AD359" s="230">
        <f>(INDEX(Models!$BJ359:$BT359,,AH359)*(1-AF359)+INDEX(Models!$BJ359:$BT359,,AH359+1)*AF359-ERP_i)*AE359*Ramure*Pc/MaxiM</f>
        <v>1.4342709497962213E-2</v>
      </c>
      <c r="AE359" s="304">
        <f t="shared" si="142"/>
        <v>0.6</v>
      </c>
      <c r="AF359" s="177">
        <f t="shared" si="143"/>
        <v>0.49901727451235178</v>
      </c>
      <c r="AG359" s="799">
        <f t="shared" si="149"/>
        <v>2</v>
      </c>
      <c r="AH359" s="176">
        <f t="shared" si="144"/>
        <v>8</v>
      </c>
      <c r="AI359" s="224">
        <f t="shared" si="145"/>
        <v>2.4990172745123518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'2025'!Wh/'2025'!Env_an*'2026'!Env_an</f>
        <v>5.20564372418837</v>
      </c>
      <c r="C360" s="829"/>
      <c r="D360" s="391">
        <f t="shared" si="127"/>
        <v>5.5017850557508394</v>
      </c>
      <c r="E360" s="383">
        <f t="shared" si="125"/>
        <v>5.8192646216680286</v>
      </c>
      <c r="F360" s="383">
        <f t="shared" si="128"/>
        <v>5.8192646216680286</v>
      </c>
      <c r="G360" s="110">
        <f t="shared" si="126"/>
        <v>0.23746555214069462</v>
      </c>
      <c r="H360" s="412" t="b">
        <f>Wh_hp&gt;='2025'!Maxi_hp</f>
        <v>0</v>
      </c>
      <c r="I360" s="388">
        <f>IF(H360,Wh_hp,'2025'!Maxi_hp)</f>
        <v>23.902821263615333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5.3826408803979486E-2</v>
      </c>
      <c r="M360" s="832"/>
      <c r="N360" s="832"/>
      <c r="O360" s="48">
        <f>IF(t&lt;Tnet,'2025'!Resal+('2025'!Salim-'2025'!Resal)*(1-EXP(('2025'!Tnet-t)/('2025'!Tau_j))),Resal+(Salim-Resal)*(1-EXP((Tnet-t)/(Tau_j))))*Salcycl</f>
        <v>5.4556647026336322E-2</v>
      </c>
      <c r="P360" s="169">
        <f>(INDEX(Models!$BJ360:$BT360,,T360)*(1-R360)+INDEX(Models!$BJ360:$BT360,,T360+1)*R360-ERP_i)*Q360*Ramure*Pc/MaxiM</f>
        <v>7.9636039066502461E-4</v>
      </c>
      <c r="Q360" s="304">
        <f t="shared" si="130"/>
        <v>0.6</v>
      </c>
      <c r="R360" s="177">
        <f t="shared" si="131"/>
        <v>0.97404018425528793</v>
      </c>
      <c r="S360" s="799">
        <f t="shared" si="132"/>
        <v>-2</v>
      </c>
      <c r="T360" s="176">
        <f t="shared" si="133"/>
        <v>4</v>
      </c>
      <c r="U360" s="250">
        <f t="shared" si="134"/>
        <v>-1.0259598157447121</v>
      </c>
      <c r="V360" s="382">
        <f t="shared" si="135"/>
        <v>21.904221933784761</v>
      </c>
      <c r="W360" s="400">
        <f t="shared" si="136"/>
        <v>5.20564372418837</v>
      </c>
      <c r="X360" s="157">
        <f t="shared" si="137"/>
        <v>46368</v>
      </c>
      <c r="Y360" s="383">
        <f t="shared" si="138"/>
        <v>5.0436341134719642</v>
      </c>
      <c r="Z360" s="383">
        <f t="shared" si="139"/>
        <v>5.3305589591615066</v>
      </c>
      <c r="AA360" s="384">
        <f t="shared" si="140"/>
        <v>5.8192646216680286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8.398065636795872E-2</v>
      </c>
      <c r="AD360" s="230">
        <f>(INDEX(Models!$BJ360:$BT360,,AH360)*(1-AF360)+INDEX(Models!$BJ360:$BT360,,AH360+1)*AF360-ERP_i)*AE360*Ramure*Pc/MaxiM</f>
        <v>1.4287134291940794E-2</v>
      </c>
      <c r="AE360" s="304">
        <f t="shared" si="142"/>
        <v>0.6</v>
      </c>
      <c r="AF360" s="177">
        <f t="shared" si="143"/>
        <v>0.49902775062926663</v>
      </c>
      <c r="AG360" s="799">
        <f t="shared" si="149"/>
        <v>2</v>
      </c>
      <c r="AH360" s="176">
        <f t="shared" si="144"/>
        <v>8</v>
      </c>
      <c r="AI360" s="224">
        <f t="shared" si="145"/>
        <v>2.4990277506292666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'2025'!Wh/'2025'!Env_an*'2026'!Env_an</f>
        <v>5.2706098198208089</v>
      </c>
      <c r="C361" s="829"/>
      <c r="D361" s="391">
        <f t="shared" si="127"/>
        <v>5.5705537343617477</v>
      </c>
      <c r="E361" s="383">
        <f t="shared" ref="E361:E379" si="150">Wh_pvt/(1-Psa)</f>
        <v>5.8922977250732957</v>
      </c>
      <c r="F361" s="383">
        <f t="shared" si="128"/>
        <v>5.8922977250732957</v>
      </c>
      <c r="G361" s="110">
        <f t="shared" ref="G361:G379" si="151">+Wh_hp/MaxiM</f>
        <v>0.24127369185489128</v>
      </c>
      <c r="H361" s="412" t="b">
        <f>Wh_hp&gt;='2025'!Maxi_hp</f>
        <v>0</v>
      </c>
      <c r="I361" s="388">
        <f>IF(H361,Wh_hp,'2025'!Maxi_hp)</f>
        <v>25.0294040728553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5.3844542004997886E-2</v>
      </c>
      <c r="M361" s="832"/>
      <c r="N361" s="832"/>
      <c r="O361" s="48">
        <f>IF(t&lt;Tnet,'2025'!Resal+('2025'!Salim-'2025'!Resal)*(1-EXP(('2025'!Tnet-t)/('2025'!Tau_j))),Resal+(Salim-Resal)*(1-EXP((Tnet-t)/(Tau_j))))*Salcycl</f>
        <v>5.4604163897292828E-2</v>
      </c>
      <c r="P361" s="169">
        <f>(INDEX(Models!$BJ361:$BT361,,T361)*(1-R361)+INDEX(Models!$BJ361:$BT361,,T361+1)*R361-ERP_i)*Q361*Ramure*Pc/MaxiM</f>
        <v>8.1677348908575651E-4</v>
      </c>
      <c r="Q361" s="304">
        <f t="shared" si="130"/>
        <v>0.6</v>
      </c>
      <c r="R361" s="177">
        <f t="shared" si="131"/>
        <v>0.97405023898566379</v>
      </c>
      <c r="S361" s="799">
        <f t="shared" si="132"/>
        <v>-2</v>
      </c>
      <c r="T361" s="176">
        <f t="shared" si="133"/>
        <v>4</v>
      </c>
      <c r="U361" s="250">
        <f t="shared" si="134"/>
        <v>-1.0259497610143362</v>
      </c>
      <c r="V361" s="382">
        <f t="shared" si="135"/>
        <v>21.827099693140049</v>
      </c>
      <c r="W361" s="400">
        <f t="shared" si="136"/>
        <v>5.2706098198208089</v>
      </c>
      <c r="X361" s="157">
        <f t="shared" si="137"/>
        <v>46369</v>
      </c>
      <c r="Y361" s="383">
        <f t="shared" si="138"/>
        <v>5.1067676327870197</v>
      </c>
      <c r="Z361" s="383">
        <f t="shared" si="139"/>
        <v>5.3973874902215018</v>
      </c>
      <c r="AA361" s="384">
        <f t="shared" si="140"/>
        <v>5.8922977250732957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8.3992740683455192E-2</v>
      </c>
      <c r="AD361" s="230">
        <f>(INDEX(Models!$BJ361:$BT361,,AH361)*(1-AF361)+INDEX(Models!$BJ361:$BT361,,AH361+1)*AF361-ERP_i)*AE361*Ramure*Pc/MaxiM</f>
        <v>1.4232744769095603E-2</v>
      </c>
      <c r="AE361" s="304">
        <f t="shared" si="142"/>
        <v>0.6</v>
      </c>
      <c r="AF361" s="177">
        <f t="shared" si="143"/>
        <v>0.49903780535964248</v>
      </c>
      <c r="AG361" s="799">
        <f t="shared" si="149"/>
        <v>2</v>
      </c>
      <c r="AH361" s="176">
        <f t="shared" si="144"/>
        <v>8</v>
      </c>
      <c r="AI361" s="224">
        <f t="shared" si="145"/>
        <v>2.4990378053596425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'2025'!Wh/'2025'!Env_an*'2026'!Env_an</f>
        <v>16.830326712806546</v>
      </c>
      <c r="C362" s="829"/>
      <c r="D362" s="391">
        <f t="shared" si="127"/>
        <v>17.788460792717839</v>
      </c>
      <c r="E362" s="383">
        <f t="shared" si="150"/>
        <v>18.816844176642118</v>
      </c>
      <c r="F362" s="383">
        <f t="shared" si="128"/>
        <v>18.827493665186115</v>
      </c>
      <c r="G362" s="110">
        <f t="shared" si="151"/>
        <v>0.77331705277830687</v>
      </c>
      <c r="H362" s="412" t="b">
        <f>Wh_hp&gt;='2025'!Maxi_hp</f>
        <v>0</v>
      </c>
      <c r="I362" s="388">
        <f>IF(H362,Wh_hp,'2025'!Maxi_hp)</f>
        <v>24.68921870882129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5.3862674858497606E-2</v>
      </c>
      <c r="M362" s="832"/>
      <c r="N362" s="832"/>
      <c r="O362" s="48">
        <f>IF(t&lt;Tnet,'2025'!Resal+('2025'!Salim-'2025'!Resal)*(1-EXP(('2025'!Tnet-t)/('2025'!Tau_j))),Resal+(Salim-Resal)*(1-EXP((Tnet-t)/(Tau_j))))*Salcycl</f>
        <v>5.4652277197514476E-2</v>
      </c>
      <c r="P362" s="169">
        <f>(INDEX(Models!$BJ362:$BT362,,T362)*(1-R362)+INDEX(Models!$BJ362:$BT362,,T362+1)*R362-ERP_i)*Q362*Ramure*Pc/MaxiM</f>
        <v>8.3616128574981908E-4</v>
      </c>
      <c r="Q362" s="304">
        <f t="shared" si="130"/>
        <v>0.6</v>
      </c>
      <c r="R362" s="177">
        <f t="shared" si="131"/>
        <v>0.97405988926323306</v>
      </c>
      <c r="S362" s="799">
        <f t="shared" si="132"/>
        <v>-2</v>
      </c>
      <c r="T362" s="176">
        <f t="shared" si="133"/>
        <v>4</v>
      </c>
      <c r="U362" s="250">
        <f t="shared" si="134"/>
        <v>-1.0259401107367669</v>
      </c>
      <c r="V362" s="382">
        <f t="shared" si="135"/>
        <v>21.757920673049021</v>
      </c>
      <c r="W362" s="400">
        <f t="shared" si="136"/>
        <v>16.830326712806546</v>
      </c>
      <c r="X362" s="157">
        <f t="shared" si="137"/>
        <v>46370</v>
      </c>
      <c r="Y362" s="383">
        <f t="shared" si="138"/>
        <v>16.160458404151235</v>
      </c>
      <c r="Z362" s="383">
        <f t="shared" si="139"/>
        <v>17.080457534781548</v>
      </c>
      <c r="AA362" s="384">
        <f t="shared" si="140"/>
        <v>18.646906300192132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8.4005825963443775E-2</v>
      </c>
      <c r="AD362" s="230">
        <f>(INDEX(Models!$BJ362:$BT362,,AH362)*(1-AF362)+INDEX(Models!$BJ362:$BT362,,AH362+1)*AF362-ERP_i)*AE362*Ramure*Pc/MaxiM</f>
        <v>1.4179100027169945E-2</v>
      </c>
      <c r="AE362" s="304">
        <f t="shared" si="142"/>
        <v>0.6</v>
      </c>
      <c r="AF362" s="177">
        <f t="shared" si="143"/>
        <v>0.49904745563721153</v>
      </c>
      <c r="AG362" s="799">
        <f t="shared" si="149"/>
        <v>2</v>
      </c>
      <c r="AH362" s="176">
        <f t="shared" si="144"/>
        <v>8</v>
      </c>
      <c r="AI362" s="224">
        <f t="shared" si="145"/>
        <v>2.4990474556372115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'2025'!Wh/'2025'!Env_an*'2026'!Env_an</f>
        <v>5.7519771372873603</v>
      </c>
      <c r="C363" s="829"/>
      <c r="D363" s="391">
        <f t="shared" si="127"/>
        <v>6.0795480971743334</v>
      </c>
      <c r="E363" s="383">
        <f t="shared" si="150"/>
        <v>6.4313490312468549</v>
      </c>
      <c r="F363" s="383">
        <f t="shared" si="128"/>
        <v>6.4313490312468549</v>
      </c>
      <c r="G363" s="110">
        <f t="shared" si="151"/>
        <v>0.2648763581166052</v>
      </c>
      <c r="H363" s="412" t="b">
        <f>Wh_hp&gt;='2025'!Maxi_hp</f>
        <v>0</v>
      </c>
      <c r="I363" s="388">
        <f>IF(H363,Wh_hp,'2025'!Maxi_hp)</f>
        <v>24.850474320764231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5.3880807364485306E-2</v>
      </c>
      <c r="M363" s="832"/>
      <c r="N363" s="832"/>
      <c r="O363" s="48">
        <f>IF(t&lt;Tnet,'2025'!Resal+('2025'!Salim-'2025'!Resal)*(1-EXP(('2025'!Tnet-t)/('2025'!Tau_j))),Resal+(Salim-Resal)*(1-EXP((Tnet-t)/(Tau_j))))*Salcycl</f>
        <v>5.4700955019435019E-2</v>
      </c>
      <c r="P363" s="169">
        <f>(INDEX(Models!$BJ363:$BT363,,T363)*(1-R363)+INDEX(Models!$BJ363:$BT363,,T363+1)*R363-ERP_i)*Q363*Ramure*Pc/MaxiM</f>
        <v>8.5448933793932339E-4</v>
      </c>
      <c r="Q363" s="304">
        <f t="shared" si="130"/>
        <v>0.6</v>
      </c>
      <c r="R363" s="177">
        <f t="shared" si="131"/>
        <v>0.9740691513424895</v>
      </c>
      <c r="S363" s="799">
        <f t="shared" si="132"/>
        <v>-2</v>
      </c>
      <c r="T363" s="176">
        <f t="shared" si="133"/>
        <v>4</v>
      </c>
      <c r="U363" s="250">
        <f t="shared" si="134"/>
        <v>-1.0259308486575105</v>
      </c>
      <c r="V363" s="382">
        <f t="shared" si="135"/>
        <v>21.697150228943713</v>
      </c>
      <c r="W363" s="400">
        <f t="shared" si="136"/>
        <v>5.7519771372873603</v>
      </c>
      <c r="X363" s="157">
        <f t="shared" si="137"/>
        <v>46371</v>
      </c>
      <c r="Y363" s="383">
        <f t="shared" si="138"/>
        <v>5.5735767920023749</v>
      </c>
      <c r="Z363" s="383">
        <f t="shared" si="139"/>
        <v>5.890987980569963</v>
      </c>
      <c r="AA363" s="384">
        <f t="shared" si="140"/>
        <v>6.4313490312468549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8.4019860849028058E-2</v>
      </c>
      <c r="AD363" s="230">
        <f>(INDEX(Models!$BJ363:$BT363,,AH363)*(1-AF363)+INDEX(Models!$BJ363:$BT363,,AH363+1)*AF363-ERP_i)*AE363*Ramure*Pc/MaxiM</f>
        <v>1.4125758950619349E-2</v>
      </c>
      <c r="AE363" s="304">
        <f t="shared" si="142"/>
        <v>0.6</v>
      </c>
      <c r="AF363" s="177">
        <f t="shared" si="143"/>
        <v>0.49905671771646842</v>
      </c>
      <c r="AG363" s="799">
        <f t="shared" si="149"/>
        <v>2</v>
      </c>
      <c r="AH363" s="176">
        <f t="shared" si="144"/>
        <v>8</v>
      </c>
      <c r="AI363" s="224">
        <f t="shared" si="145"/>
        <v>2.4990567177164684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'2025'!Wh/'2025'!Env_an*'2026'!Env_an</f>
        <v>5.0804777924953504</v>
      </c>
      <c r="C364" s="829"/>
      <c r="D364" s="391">
        <f t="shared" si="127"/>
        <v>5.3699102608908715</v>
      </c>
      <c r="E364" s="383">
        <f t="shared" si="150"/>
        <v>5.6809428171537739</v>
      </c>
      <c r="F364" s="383">
        <f t="shared" si="128"/>
        <v>5.6809428171537739</v>
      </c>
      <c r="G364" s="110">
        <f t="shared" si="151"/>
        <v>0.23451095200521865</v>
      </c>
      <c r="H364" s="412" t="b">
        <f>Wh_hp&gt;='2025'!Maxi_hp</f>
        <v>0</v>
      </c>
      <c r="I364" s="388">
        <f>IF(H364,Wh_hp,'2025'!Maxi_hp)</f>
        <v>24.489416018785828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5.3898939522967759E-2</v>
      </c>
      <c r="M364" s="832"/>
      <c r="N364" s="832"/>
      <c r="O364" s="48">
        <f>IF(t&lt;Tnet,'2025'!Resal+('2025'!Salim-'2025'!Resal)*(1-EXP(('2025'!Tnet-t)/('2025'!Tau_j))),Resal+(Salim-Resal)*(1-EXP((Tnet-t)/(Tau_j))))*Salcycl</f>
        <v>5.4750164941588624E-2</v>
      </c>
      <c r="P364" s="169">
        <f>(INDEX(Models!$BJ364:$BT364,,T364)*(1-R364)+INDEX(Models!$BJ364:$BT364,,T364+1)*R364-ERP_i)*Q364*Ramure*Pc/MaxiM</f>
        <v>8.7172141737755179E-4</v>
      </c>
      <c r="Q364" s="304">
        <f t="shared" si="130"/>
        <v>0.6</v>
      </c>
      <c r="R364" s="177">
        <f t="shared" si="131"/>
        <v>0.97407804082583471</v>
      </c>
      <c r="S364" s="799">
        <f t="shared" si="132"/>
        <v>-2</v>
      </c>
      <c r="T364" s="176">
        <f t="shared" si="133"/>
        <v>4</v>
      </c>
      <c r="U364" s="250">
        <f t="shared" si="134"/>
        <v>-1.0259219591741653</v>
      </c>
      <c r="V364" s="382">
        <f t="shared" si="135"/>
        <v>21.645253613060092</v>
      </c>
      <c r="W364" s="400">
        <f t="shared" si="136"/>
        <v>5.0804777924953504</v>
      </c>
      <c r="X364" s="157">
        <f t="shared" si="137"/>
        <v>46372</v>
      </c>
      <c r="Y364" s="383">
        <f t="shared" si="138"/>
        <v>4.9230803524065969</v>
      </c>
      <c r="Z364" s="383">
        <f t="shared" si="139"/>
        <v>5.2035459614899251</v>
      </c>
      <c r="AA364" s="384">
        <f t="shared" si="140"/>
        <v>5.6809428171537739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8.4034793348444617E-2</v>
      </c>
      <c r="AD364" s="230">
        <f>(INDEX(Models!$BJ364:$BT364,,AH364)*(1-AF364)+INDEX(Models!$BJ364:$BT364,,AH364+1)*AF364-ERP_i)*AE364*Ramure*Pc/MaxiM</f>
        <v>1.4072282731368452E-2</v>
      </c>
      <c r="AE364" s="304">
        <f t="shared" si="142"/>
        <v>0.6</v>
      </c>
      <c r="AF364" s="177">
        <f t="shared" si="143"/>
        <v>0.49906560719981341</v>
      </c>
      <c r="AG364" s="799">
        <f t="shared" si="149"/>
        <v>2</v>
      </c>
      <c r="AH364" s="176">
        <f t="shared" si="144"/>
        <v>8</v>
      </c>
      <c r="AI364" s="224">
        <f t="shared" si="145"/>
        <v>2.4990656071998134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'2025'!Wh/'2025'!Env_an*'2026'!Env_an</f>
        <v>3.4444369851321897</v>
      </c>
      <c r="C365" s="829"/>
      <c r="D365" s="391">
        <f t="shared" si="127"/>
        <v>3.6407347398063221</v>
      </c>
      <c r="E365" s="383">
        <f t="shared" si="150"/>
        <v>3.8518136430636556</v>
      </c>
      <c r="F365" s="383">
        <f t="shared" si="128"/>
        <v>3.8518136430636556</v>
      </c>
      <c r="G365" s="110">
        <f t="shared" si="151"/>
        <v>0.15930321628766975</v>
      </c>
      <c r="H365" s="412" t="b">
        <f>Wh_hp&gt;='2025'!Maxi_hp</f>
        <v>0</v>
      </c>
      <c r="I365" s="388">
        <f>IF(H365,Wh_hp,'2025'!Maxi_hp)</f>
        <v>24.995973707121568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5.3917071333951405E-2</v>
      </c>
      <c r="M365" s="832"/>
      <c r="N365" s="832"/>
      <c r="O365" s="48">
        <f>IF(t&lt;Tnet,'2025'!Resal+('2025'!Salim-'2025'!Resal)*(1-EXP(('2025'!Tnet-t)/('2025'!Tau_j))),Resal+(Salim-Resal)*(1-EXP((Tnet-t)/(Tau_j))))*Salcycl</f>
        <v>5.4799874245589277E-2</v>
      </c>
      <c r="P365" s="169">
        <f>(INDEX(Models!$BJ365:$BT365,,T365)*(1-R365)+INDEX(Models!$BJ365:$BT365,,T365+1)*R365-ERP_i)*Q365*Ramure*Pc/MaxiM</f>
        <v>8.878200165628675E-4</v>
      </c>
      <c r="Q365" s="304">
        <f t="shared" si="130"/>
        <v>0.6</v>
      </c>
      <c r="R365" s="177">
        <f t="shared" si="131"/>
        <v>0.97408657268964727</v>
      </c>
      <c r="S365" s="799">
        <f t="shared" si="132"/>
        <v>-2</v>
      </c>
      <c r="T365" s="176">
        <f t="shared" si="133"/>
        <v>4</v>
      </c>
      <c r="U365" s="250">
        <f t="shared" si="134"/>
        <v>-1.0259134273103527</v>
      </c>
      <c r="V365" s="382">
        <f t="shared" si="135"/>
        <v>21.602695948188252</v>
      </c>
      <c r="W365" s="400">
        <f t="shared" si="136"/>
        <v>3.4444369851321897</v>
      </c>
      <c r="X365" s="157">
        <f t="shared" si="137"/>
        <v>46373</v>
      </c>
      <c r="Y365" s="383">
        <f t="shared" si="138"/>
        <v>3.337843492825936</v>
      </c>
      <c r="Z365" s="383">
        <f t="shared" si="139"/>
        <v>3.5280665063180088</v>
      </c>
      <c r="AA365" s="384">
        <f t="shared" si="140"/>
        <v>3.8518136430636556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8.4050571171492269E-2</v>
      </c>
      <c r="AD365" s="230">
        <f>(INDEX(Models!$BJ365:$BT365,,AH365)*(1-AF365)+INDEX(Models!$BJ365:$BT365,,AH365+1)*AF365-ERP_i)*AE365*Ramure*Pc/MaxiM</f>
        <v>1.4018237561509026E-2</v>
      </c>
      <c r="AE365" s="304">
        <f t="shared" si="142"/>
        <v>0.6</v>
      </c>
      <c r="AF365" s="177">
        <f t="shared" si="143"/>
        <v>0.49907413906362574</v>
      </c>
      <c r="AG365" s="799">
        <f t="shared" si="149"/>
        <v>2</v>
      </c>
      <c r="AH365" s="176">
        <f t="shared" si="144"/>
        <v>8</v>
      </c>
      <c r="AI365" s="224">
        <f t="shared" si="145"/>
        <v>2.4990741390636257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'2025'!Wh/'2025'!Env_an*'2026'!Env_an</f>
        <v>20.546483258518467</v>
      </c>
      <c r="C366" s="829"/>
      <c r="D366" s="391">
        <f t="shared" si="127"/>
        <v>21.71783932693922</v>
      </c>
      <c r="E366" s="383">
        <f t="shared" si="150"/>
        <v>22.97819444404767</v>
      </c>
      <c r="F366" s="383">
        <f t="shared" si="128"/>
        <v>22.997510864009474</v>
      </c>
      <c r="G366" s="110">
        <f t="shared" si="151"/>
        <v>0.952491730784922</v>
      </c>
      <c r="H366" s="412" t="b">
        <f>Wh_hp&gt;='2025'!Maxi_hp</f>
        <v>0</v>
      </c>
      <c r="I366" s="388">
        <f>IF(H366,Wh_hp,'2025'!Maxi_hp)</f>
        <v>25.161787004742354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5.3935202797443127E-2</v>
      </c>
      <c r="M366" s="832"/>
      <c r="N366" s="832"/>
      <c r="O366" s="48">
        <f>IF(t&lt;Tnet,'2025'!Resal+('2025'!Salim-'2025'!Resal)*(1-EXP(('2025'!Tnet-t)/('2025'!Tau_j))),Resal+(Salim-Resal)*(1-EXP((Tnet-t)/(Tau_j))))*Salcycl</f>
        <v>5.4850050128065431E-2</v>
      </c>
      <c r="P366" s="169">
        <f>(INDEX(Models!$BJ366:$BT366,,T366)*(1-R366)+INDEX(Models!$BJ366:$BT366,,T366+1)*R366-ERP_i)*Q366*Ramure*Pc/MaxiM</f>
        <v>9.0101097405635743E-4</v>
      </c>
      <c r="Q366" s="304">
        <f t="shared" si="130"/>
        <v>0.6</v>
      </c>
      <c r="R366" s="177">
        <f t="shared" si="131"/>
        <v>0.97409476130931649</v>
      </c>
      <c r="S366" s="799">
        <f t="shared" si="132"/>
        <v>-2</v>
      </c>
      <c r="T366" s="176">
        <f t="shared" si="133"/>
        <v>4</v>
      </c>
      <c r="U366" s="250">
        <f t="shared" si="134"/>
        <v>-1.0259052386906835</v>
      </c>
      <c r="V366" s="382">
        <f t="shared" si="135"/>
        <v>21.569979715482862</v>
      </c>
      <c r="W366" s="400">
        <f t="shared" si="136"/>
        <v>20.546483258518467</v>
      </c>
      <c r="X366" s="157">
        <f t="shared" si="137"/>
        <v>46374</v>
      </c>
      <c r="Y366" s="383">
        <f t="shared" si="138"/>
        <v>19.66858717621869</v>
      </c>
      <c r="Z366" s="383">
        <f t="shared" si="139"/>
        <v>20.78989434378833</v>
      </c>
      <c r="AA366" s="384">
        <f t="shared" si="140"/>
        <v>22.698054953971027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8.4067142054780497E-2</v>
      </c>
      <c r="AD366" s="230">
        <f>(INDEX(Models!$BJ366:$BT366,,AH366)*(1-AF366)+INDEX(Models!$BJ366:$BT366,,AH366+1)*AF366-ERP_i)*AE366*Ramure*Pc/MaxiM</f>
        <v>1.3968067671141483E-2</v>
      </c>
      <c r="AE366" s="304">
        <f t="shared" si="142"/>
        <v>0.6</v>
      </c>
      <c r="AF366" s="177">
        <f t="shared" si="143"/>
        <v>0.49908232768329519</v>
      </c>
      <c r="AG366" s="799">
        <f t="shared" si="149"/>
        <v>2</v>
      </c>
      <c r="AH366" s="176">
        <f t="shared" si="144"/>
        <v>8</v>
      </c>
      <c r="AI366" s="224">
        <f t="shared" si="145"/>
        <v>2.4990823276832952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'2025'!Wh/'2025'!Env_an*'2026'!Env_an</f>
        <v>17.484310087339875</v>
      </c>
      <c r="C367" s="829"/>
      <c r="D367" s="391">
        <f t="shared" si="127"/>
        <v>18.481445698303741</v>
      </c>
      <c r="E367" s="383">
        <f t="shared" si="150"/>
        <v>19.555029735250365</v>
      </c>
      <c r="F367" s="383">
        <f t="shared" si="128"/>
        <v>19.568046228071189</v>
      </c>
      <c r="G367" s="110">
        <f t="shared" si="151"/>
        <v>0.81122860812100761</v>
      </c>
      <c r="H367" s="412" t="b">
        <f>Wh_hp&gt;='2025'!Maxi_hp</f>
        <v>0</v>
      </c>
      <c r="I367" s="388">
        <f>IF(H367,Wh_hp,'2025'!Maxi_hp)</f>
        <v>24.884744497458982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5.3953333913449475E-2</v>
      </c>
      <c r="M367" s="832"/>
      <c r="N367" s="832"/>
      <c r="O367" s="48">
        <f>IF(t&lt;Tnet,'2025'!Resal+('2025'!Salim-'2025'!Resal)*(1-EXP(('2025'!Tnet-t)/('2025'!Tau_j))),Resal+(Salim-Resal)*(1-EXP((Tnet-t)/(Tau_j))))*Salcycl</f>
        <v>5.4900659905996289E-2</v>
      </c>
      <c r="P367" s="169">
        <f>(INDEX(Models!$BJ367:$BT367,,T367)*(1-R367)+INDEX(Models!$BJ367:$BT367,,T367+1)*R367-ERP_i)*Q367*Ramure*Pc/MaxiM</f>
        <v>9.1045872490295196E-4</v>
      </c>
      <c r="Q367" s="304">
        <f t="shared" si="130"/>
        <v>0.6</v>
      </c>
      <c r="R367" s="177">
        <f t="shared" si="131"/>
        <v>0.97410262048328278</v>
      </c>
      <c r="S367" s="799">
        <f t="shared" si="132"/>
        <v>-2</v>
      </c>
      <c r="T367" s="176">
        <f t="shared" si="133"/>
        <v>4</v>
      </c>
      <c r="U367" s="250">
        <f t="shared" si="134"/>
        <v>-1.0258973795167172</v>
      </c>
      <c r="V367" s="382">
        <f t="shared" si="135"/>
        <v>21.547586863960813</v>
      </c>
      <c r="W367" s="400">
        <f t="shared" si="136"/>
        <v>17.484310087339875</v>
      </c>
      <c r="X367" s="157">
        <f t="shared" si="137"/>
        <v>46375</v>
      </c>
      <c r="Y367" s="383">
        <f t="shared" si="138"/>
        <v>16.7832007546459</v>
      </c>
      <c r="Z367" s="383">
        <f t="shared" si="139"/>
        <v>17.740351883561804</v>
      </c>
      <c r="AA367" s="384">
        <f t="shared" si="140"/>
        <v>19.368982175812551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8.4084454075472048E-2</v>
      </c>
      <c r="AD367" s="230">
        <f>(INDEX(Models!$BJ367:$BT367,,AH367)*(1-AF367)+INDEX(Models!$BJ367:$BT367,,AH367+1)*AF367-ERP_i)*AE367*Ramure*Pc/MaxiM</f>
        <v>1.3923843057281235E-2</v>
      </c>
      <c r="AE367" s="304">
        <f t="shared" si="142"/>
        <v>0.6</v>
      </c>
      <c r="AF367" s="177">
        <f t="shared" si="143"/>
        <v>0.49909018685726148</v>
      </c>
      <c r="AG367" s="799">
        <f t="shared" si="149"/>
        <v>2</v>
      </c>
      <c r="AH367" s="176">
        <f t="shared" si="144"/>
        <v>8</v>
      </c>
      <c r="AI367" s="224">
        <f t="shared" si="145"/>
        <v>2.4990901868572615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'2025'!Wh/'2025'!Env_an*'2026'!Env_an</f>
        <v>4.45666912285939</v>
      </c>
      <c r="C368" s="829"/>
      <c r="D368" s="391">
        <f t="shared" si="127"/>
        <v>4.7109246248700183</v>
      </c>
      <c r="E368" s="383">
        <f t="shared" si="150"/>
        <v>4.9848504900500785</v>
      </c>
      <c r="F368" s="383">
        <f t="shared" si="128"/>
        <v>4.9848504900500785</v>
      </c>
      <c r="G368" s="110">
        <f t="shared" si="151"/>
        <v>0.20675101960876746</v>
      </c>
      <c r="H368" s="412" t="b">
        <f>Wh_hp&gt;='2025'!Maxi_hp</f>
        <v>0</v>
      </c>
      <c r="I368" s="388">
        <f>IF(H368,Wh_hp,'2025'!Maxi_hp)</f>
        <v>24.174700505084488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5.397146468197711E-2</v>
      </c>
      <c r="M368" s="832"/>
      <c r="N368" s="832"/>
      <c r="O368" s="48">
        <f>IF(t&lt;Tnet,'2025'!Resal+('2025'!Salim-'2025'!Resal)*(1-EXP(('2025'!Tnet-t)/('2025'!Tau_j))),Resal+(Salim-Resal)*(1-EXP((Tnet-t)/(Tau_j))))*Salcycl</f>
        <v>5.4951671213976226E-2</v>
      </c>
      <c r="P368" s="169">
        <f>(INDEX(Models!$BJ368:$BT368,,T368)*(1-R368)+INDEX(Models!$BJ368:$BT368,,T368+1)*R368-ERP_i)*Q368*Ramure*Pc/MaxiM</f>
        <v>9.161373455975634E-4</v>
      </c>
      <c r="Q368" s="304">
        <f t="shared" si="130"/>
        <v>0.6</v>
      </c>
      <c r="R368" s="177">
        <f t="shared" si="131"/>
        <v>0.97411016345612111</v>
      </c>
      <c r="S368" s="799">
        <f t="shared" si="132"/>
        <v>-2</v>
      </c>
      <c r="T368" s="176">
        <f t="shared" si="133"/>
        <v>4</v>
      </c>
      <c r="U368" s="250">
        <f t="shared" si="134"/>
        <v>-1.0258898365438789</v>
      </c>
      <c r="V368" s="382">
        <f t="shared" si="135"/>
        <v>21.535981831018503</v>
      </c>
      <c r="W368" s="400">
        <f t="shared" si="136"/>
        <v>4.45666912285939</v>
      </c>
      <c r="X368" s="157">
        <f t="shared" si="137"/>
        <v>46376</v>
      </c>
      <c r="Y368" s="383">
        <f t="shared" si="138"/>
        <v>4.3191995371367531</v>
      </c>
      <c r="Z368" s="383">
        <f t="shared" si="139"/>
        <v>4.5656123212866762</v>
      </c>
      <c r="AA368" s="384">
        <f t="shared" si="140"/>
        <v>4.9848504900500785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8.4102455951330063E-2</v>
      </c>
      <c r="AD368" s="230">
        <f>(INDEX(Models!$BJ368:$BT368,,AH368)*(1-AF368)+INDEX(Models!$BJ368:$BT368,,AH368+1)*AF368-ERP_i)*AE368*Ramure*Pc/MaxiM</f>
        <v>1.3885126958041364E-2</v>
      </c>
      <c r="AE368" s="304">
        <f t="shared" si="142"/>
        <v>0.6</v>
      </c>
      <c r="AF368" s="177">
        <f t="shared" si="143"/>
        <v>0.49909772983009981</v>
      </c>
      <c r="AG368" s="799">
        <f t="shared" si="149"/>
        <v>2</v>
      </c>
      <c r="AH368" s="176">
        <f t="shared" si="144"/>
        <v>8</v>
      </c>
      <c r="AI368" s="224">
        <f t="shared" si="145"/>
        <v>2.4990977298300998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'2025'!Wh/'2025'!Env_an*'2026'!Env_an</f>
        <v>20.404916919918282</v>
      </c>
      <c r="C369" s="829"/>
      <c r="D369" s="391">
        <f t="shared" si="127"/>
        <v>21.56944238064764</v>
      </c>
      <c r="E369" s="383">
        <f t="shared" si="150"/>
        <v>22.82488047255644</v>
      </c>
      <c r="F369" s="383">
        <f t="shared" si="128"/>
        <v>22.84427914222125</v>
      </c>
      <c r="G369" s="110">
        <f t="shared" si="151"/>
        <v>0.94743045235716727</v>
      </c>
      <c r="H369" s="412" t="b">
        <f>Wh_hp&gt;='2025'!Maxi_hp</f>
        <v>1</v>
      </c>
      <c r="I369" s="388">
        <f>IF(H369,Wh_hp,'2025'!Maxi_hp)</f>
        <v>22.84427914222125</v>
      </c>
      <c r="J369" s="85">
        <f>IF(H369,An,'2025'!An_max)</f>
        <v>2026</v>
      </c>
      <c r="K369" s="197">
        <f t="shared" si="129"/>
        <v>46377</v>
      </c>
      <c r="L369" s="147">
        <f>IF(t&lt;Tvie,1-EXP((T0-t)*PertePVj)+'2025'!Pspv,1-EXP((T0-t)*PertePVj)+Pspv)</f>
        <v>5.3989595103032695E-2</v>
      </c>
      <c r="M369" s="832"/>
      <c r="N369" s="832"/>
      <c r="O369" s="48">
        <f>IF(t&lt;Tnet,'2025'!Resal+('2025'!Salim-'2025'!Resal)*(1-EXP(('2025'!Tnet-t)/('2025'!Tau_j))),Resal+(Salim-Resal)*(1-EXP((Tnet-t)/(Tau_j))))*Salcycl</f>
        <v>5.5003052192027092E-2</v>
      </c>
      <c r="P369" s="169">
        <f>(INDEX(Models!$BJ369:$BT369,,T369)*(1-R369)+INDEX(Models!$BJ369:$BT369,,T369+1)*R369-ERP_i)*Q369*Ramure*Pc/MaxiM</f>
        <v>9.1802732274944736E-4</v>
      </c>
      <c r="Q369" s="304">
        <f t="shared" si="130"/>
        <v>0.6</v>
      </c>
      <c r="R369" s="177">
        <f t="shared" si="131"/>
        <v>0.97411740294070803</v>
      </c>
      <c r="S369" s="799">
        <f t="shared" si="132"/>
        <v>-2</v>
      </c>
      <c r="T369" s="176">
        <f t="shared" si="133"/>
        <v>4</v>
      </c>
      <c r="U369" s="250">
        <f t="shared" si="134"/>
        <v>-1.025882597059292</v>
      </c>
      <c r="V369" s="382">
        <f t="shared" si="135"/>
        <v>21.53562896459189</v>
      </c>
      <c r="W369" s="400">
        <f t="shared" si="136"/>
        <v>20.404916919918282</v>
      </c>
      <c r="X369" s="157">
        <f t="shared" si="137"/>
        <v>46377</v>
      </c>
      <c r="Y369" s="383">
        <f t="shared" si="138"/>
        <v>19.539392513169776</v>
      </c>
      <c r="Z369" s="383">
        <f t="shared" si="139"/>
        <v>20.654521781182595</v>
      </c>
      <c r="AA369" s="384">
        <f t="shared" si="140"/>
        <v>22.551585936588229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8.4121097325035116E-2</v>
      </c>
      <c r="AD369" s="230">
        <f>(INDEX(Models!$BJ369:$BT369,,AH369)*(1-AF369)+INDEX(Models!$BJ369:$BT369,,AH369+1)*AF369-ERP_i)*AE369*Ramure*Pc/MaxiM</f>
        <v>1.3851483869622863E-2</v>
      </c>
      <c r="AE369" s="304">
        <f t="shared" si="142"/>
        <v>0.6</v>
      </c>
      <c r="AF369" s="177">
        <f t="shared" si="143"/>
        <v>0.49910496931468673</v>
      </c>
      <c r="AG369" s="799">
        <f t="shared" si="149"/>
        <v>2</v>
      </c>
      <c r="AH369" s="176">
        <f t="shared" si="144"/>
        <v>8</v>
      </c>
      <c r="AI369" s="224">
        <f t="shared" si="145"/>
        <v>2.4991049693146867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'2025'!Wh/'2025'!Env_an*'2026'!Env_an</f>
        <v>17.252043694557443</v>
      </c>
      <c r="C370" s="829"/>
      <c r="D370" s="391">
        <f t="shared" si="127"/>
        <v>18.236981583997089</v>
      </c>
      <c r="E370" s="383">
        <f t="shared" si="150"/>
        <v>19.299511799309283</v>
      </c>
      <c r="F370" s="383">
        <f t="shared" si="128"/>
        <v>19.312166035481404</v>
      </c>
      <c r="G370" s="110">
        <f t="shared" si="151"/>
        <v>0.80046160447028292</v>
      </c>
      <c r="H370" s="412" t="b">
        <f>Wh_hp&gt;='2025'!Maxi_hp</f>
        <v>0</v>
      </c>
      <c r="I370" s="388">
        <f>IF(H370,Wh_hp,'2025'!Maxi_hp)</f>
        <v>24.5370383220707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5.4007725176622889E-2</v>
      </c>
      <c r="M370" s="832"/>
      <c r="N370" s="832"/>
      <c r="O370" s="48">
        <f>IF(t&lt;Tnet,'2025'!Resal+('2025'!Salim-'2025'!Resal)*(1-EXP(('2025'!Tnet-t)/('2025'!Tau_j))),Resal+(Salim-Resal)*(1-EXP((Tnet-t)/(Tau_j))))*Salcycl</f>
        <v>5.5054771662681169E-2</v>
      </c>
      <c r="P370" s="169">
        <f>(INDEX(Models!$BJ370:$BT370,,T370)*(1-R370)+INDEX(Models!$BJ370:$BT370,,T370+1)*R370-ERP_i)*Q370*Ramure*Pc/MaxiM</f>
        <v>9.1611688661274245E-4</v>
      </c>
      <c r="Q370" s="304">
        <f t="shared" si="130"/>
        <v>0.6</v>
      </c>
      <c r="R370" s="177">
        <f t="shared" si="131"/>
        <v>0.97412435113950524</v>
      </c>
      <c r="S370" s="799">
        <f t="shared" si="132"/>
        <v>-2</v>
      </c>
      <c r="T370" s="176">
        <f t="shared" si="133"/>
        <v>4</v>
      </c>
      <c r="U370" s="250">
        <f t="shared" si="134"/>
        <v>-1.0258756488604948</v>
      </c>
      <c r="V370" s="382">
        <f t="shared" si="135"/>
        <v>21.546992518136136</v>
      </c>
      <c r="W370" s="400">
        <f t="shared" si="136"/>
        <v>17.252043694557443</v>
      </c>
      <c r="X370" s="157">
        <f t="shared" si="137"/>
        <v>46378</v>
      </c>
      <c r="Y370" s="383">
        <f t="shared" si="138"/>
        <v>16.566566930709161</v>
      </c>
      <c r="Z370" s="383">
        <f t="shared" si="139"/>
        <v>17.512370208099476</v>
      </c>
      <c r="AA370" s="384">
        <f t="shared" si="140"/>
        <v>19.121237415737713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8.4140329030905889E-2</v>
      </c>
      <c r="AD370" s="230">
        <f>(INDEX(Models!$BJ370:$BT370,,AH370)*(1-AF370)+INDEX(Models!$BJ370:$BT370,,AH370+1)*AF370-ERP_i)*AE370*Ramure*Pc/MaxiM</f>
        <v>1.3822480496312867E-2</v>
      </c>
      <c r="AE370" s="304">
        <f t="shared" si="142"/>
        <v>0.6</v>
      </c>
      <c r="AF370" s="177">
        <f t="shared" si="143"/>
        <v>0.49911191751348394</v>
      </c>
      <c r="AG370" s="799">
        <f t="shared" si="149"/>
        <v>2</v>
      </c>
      <c r="AH370" s="176">
        <f t="shared" si="144"/>
        <v>8</v>
      </c>
      <c r="AI370" s="224">
        <f t="shared" si="145"/>
        <v>2.4991119175134839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'2025'!Wh/'2025'!Env_an*'2026'!Env_an</f>
        <v>17.483898835238556</v>
      </c>
      <c r="C371" s="829"/>
      <c r="D371" s="391">
        <f t="shared" si="127"/>
        <v>18.482427797687027</v>
      </c>
      <c r="E371" s="383">
        <f t="shared" si="150"/>
        <v>19.560335267435434</v>
      </c>
      <c r="F371" s="383">
        <f t="shared" si="128"/>
        <v>19.573331847216391</v>
      </c>
      <c r="G371" s="110">
        <f t="shared" si="151"/>
        <v>0.81034552266217974</v>
      </c>
      <c r="H371" s="412" t="b">
        <f>Wh_hp&gt;='2025'!Maxi_hp</f>
        <v>0</v>
      </c>
      <c r="I371" s="388">
        <f>IF(H371,Wh_hp,'2025'!Maxi_hp)</f>
        <v>20.621523847427799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5.4025854902754356E-2</v>
      </c>
      <c r="M371" s="832"/>
      <c r="N371" s="832"/>
      <c r="O371" s="48">
        <f>IF(t&lt;Tnet,'2025'!Resal+('2025'!Salim-'2025'!Resal)*(1-EXP(('2025'!Tnet-t)/('2025'!Tau_j))),Resal+(Salim-Resal)*(1-EXP((Tnet-t)/(Tau_j))))*Salcycl</f>
        <v>5.5106799296172321E-2</v>
      </c>
      <c r="P371" s="169">
        <f>(INDEX(Models!$BJ371:$BT371,,T371)*(1-R371)+INDEX(Models!$BJ371:$BT371,,T371+1)*R371-ERP_i)*Q371*Ramure*Pc/MaxiM</f>
        <v>9.1039112395440748E-4</v>
      </c>
      <c r="Q371" s="304">
        <f t="shared" si="130"/>
        <v>0.6</v>
      </c>
      <c r="R371" s="177">
        <f t="shared" si="131"/>
        <v>0.97412435113950524</v>
      </c>
      <c r="S371" s="799">
        <f t="shared" si="132"/>
        <v>-2</v>
      </c>
      <c r="T371" s="176">
        <f t="shared" si="133"/>
        <v>4</v>
      </c>
      <c r="U371" s="250">
        <f t="shared" si="134"/>
        <v>-1.0258756488604948</v>
      </c>
      <c r="V371" s="382">
        <f t="shared" si="135"/>
        <v>21.570536895676572</v>
      </c>
      <c r="W371" s="400">
        <f t="shared" si="136"/>
        <v>17.483898835238556</v>
      </c>
      <c r="X371" s="157">
        <f t="shared" si="137"/>
        <v>46379</v>
      </c>
      <c r="Y371" s="383">
        <f t="shared" si="138"/>
        <v>16.786918891729737</v>
      </c>
      <c r="Z371" s="383">
        <f t="shared" si="139"/>
        <v>17.745642392799276</v>
      </c>
      <c r="AA371" s="384">
        <f t="shared" si="140"/>
        <v>19.376358747376802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8.4160103342342168E-2</v>
      </c>
      <c r="AD371" s="230">
        <f>(INDEX(Models!$BJ371:$BT371,,AH371)*(1-AF371)+INDEX(Models!$BJ371:$BT371,,AH371+1)*AF371-ERP_i)*AE371*Ramure*Pc/MaxiM</f>
        <v>1.3797673293591642E-2</v>
      </c>
      <c r="AE371" s="304">
        <f t="shared" si="142"/>
        <v>0.6</v>
      </c>
      <c r="AF371" s="177">
        <f t="shared" si="143"/>
        <v>0.49911191751348394</v>
      </c>
      <c r="AG371" s="799">
        <f t="shared" si="149"/>
        <v>2</v>
      </c>
      <c r="AH371" s="176">
        <f t="shared" si="144"/>
        <v>8</v>
      </c>
      <c r="AI371" s="224">
        <f t="shared" si="145"/>
        <v>2.4991119175134839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'2025'!Wh/'2025'!Env_an*'2026'!Env_an</f>
        <v>20.77928418035598</v>
      </c>
      <c r="C372" s="829"/>
      <c r="D372" s="391">
        <f t="shared" si="127"/>
        <v>21.966438010938212</v>
      </c>
      <c r="E372" s="383">
        <f t="shared" si="150"/>
        <v>23.248822256650936</v>
      </c>
      <c r="F372" s="383">
        <f t="shared" si="128"/>
        <v>23.268637462789169</v>
      </c>
      <c r="G372" s="110">
        <f t="shared" si="151"/>
        <v>0.96165700120981301</v>
      </c>
      <c r="H372" s="412" t="b">
        <f>Wh_hp&gt;='2025'!Maxi_hp</f>
        <v>1</v>
      </c>
      <c r="I372" s="388">
        <f>IF(H372,Wh_hp,'2025'!Maxi_hp)</f>
        <v>23.268637462789169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5.4043984281433755E-2</v>
      </c>
      <c r="M372" s="832"/>
      <c r="N372" s="832"/>
      <c r="O372" s="48">
        <f>IF(t&lt;Tnet,'2025'!Resal+('2025'!Salim-'2025'!Resal)*(1-EXP(('2025'!Tnet-t)/('2025'!Tau_j))),Resal+(Salim-Resal)*(1-EXP((Tnet-t)/(Tau_j))))*Salcycl</f>
        <v>5.5159105762695719E-2</v>
      </c>
      <c r="P372" s="169">
        <f>(INDEX(Models!$BJ372:$BT372,,T372)*(1-R372)+INDEX(Models!$BJ372:$BT372,,T372+1)*R372-ERP_i)*Q372*Ramure*Pc/MaxiM</f>
        <v>9.0086898123042003E-4</v>
      </c>
      <c r="Q372" s="304">
        <f t="shared" si="130"/>
        <v>0.6</v>
      </c>
      <c r="R372" s="177">
        <f t="shared" si="131"/>
        <v>0.97412435113950524</v>
      </c>
      <c r="S372" s="799">
        <f t="shared" si="132"/>
        <v>-2</v>
      </c>
      <c r="T372" s="176">
        <f t="shared" si="133"/>
        <v>4</v>
      </c>
      <c r="U372" s="250">
        <f t="shared" si="134"/>
        <v>-1.0258756488604948</v>
      </c>
      <c r="V372" s="382">
        <f t="shared" si="135"/>
        <v>21.606725870848241</v>
      </c>
      <c r="W372" s="400">
        <f t="shared" si="136"/>
        <v>20.77928418035598</v>
      </c>
      <c r="X372" s="157">
        <f t="shared" si="137"/>
        <v>46380</v>
      </c>
      <c r="Y372" s="383">
        <f t="shared" si="138"/>
        <v>19.895685248464009</v>
      </c>
      <c r="Z372" s="383">
        <f t="shared" si="139"/>
        <v>21.032357654970742</v>
      </c>
      <c r="AA372" s="384">
        <f t="shared" si="140"/>
        <v>22.965611417820341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8.4180374198505992E-2</v>
      </c>
      <c r="AD372" s="230">
        <f>(INDEX(Models!$BJ372:$BT372,,AH372)*(1-AF372)+INDEX(Models!$BJ372:$BT372,,AH372+1)*AF372-ERP_i)*AE372*Ramure*Pc/MaxiM</f>
        <v>1.3776630054362046E-2</v>
      </c>
      <c r="AE372" s="304">
        <f t="shared" si="142"/>
        <v>0.6</v>
      </c>
      <c r="AF372" s="177">
        <f t="shared" si="143"/>
        <v>0.49911191751348394</v>
      </c>
      <c r="AG372" s="799">
        <f t="shared" si="149"/>
        <v>2</v>
      </c>
      <c r="AH372" s="176">
        <f t="shared" si="144"/>
        <v>8</v>
      </c>
      <c r="AI372" s="224">
        <f t="shared" si="145"/>
        <v>2.4991119175134839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'2025'!Wh/'2025'!Env_an*'2026'!Env_an</f>
        <v>11.739343179777476</v>
      </c>
      <c r="C373" s="829"/>
      <c r="D373" s="391">
        <f t="shared" si="127"/>
        <v>12.410268522903309</v>
      </c>
      <c r="E373" s="383">
        <f t="shared" si="150"/>
        <v>13.135501397713128</v>
      </c>
      <c r="F373" s="383">
        <f t="shared" si="128"/>
        <v>13.139534608632744</v>
      </c>
      <c r="G373" s="110">
        <f t="shared" si="151"/>
        <v>0.54176960566776311</v>
      </c>
      <c r="H373" s="412" t="b">
        <f>Wh_hp&gt;='2025'!Maxi_hp</f>
        <v>1</v>
      </c>
      <c r="I373" s="388">
        <f>IF(H373,Wh_hp,'2025'!Maxi_hp)</f>
        <v>13.139534608632744</v>
      </c>
      <c r="J373" s="85">
        <f>IF(H373,An,'2025'!An_max)</f>
        <v>2026</v>
      </c>
      <c r="K373" s="197">
        <f t="shared" si="129"/>
        <v>46381</v>
      </c>
      <c r="L373" s="147">
        <f>IF(t&lt;Tvie,1-EXP((T0-t)*PertePVj)+'2025'!Pspv,1-EXP((T0-t)*PertePVj)+Pspv)</f>
        <v>5.4062113312667748E-2</v>
      </c>
      <c r="M373" s="832"/>
      <c r="N373" s="832"/>
      <c r="O373" s="48">
        <f>IF(t&lt;Tnet,'2025'!Resal+('2025'!Salim-'2025'!Resal)*(1-EXP(('2025'!Tnet-t)/('2025'!Tau_j))),Resal+(Salim-Resal)*(1-EXP((Tnet-t)/(Tau_j))))*Salcycl</f>
        <v>5.5211662870827419E-2</v>
      </c>
      <c r="P373" s="169">
        <f>(INDEX(Models!$BJ373:$BT373,,T373)*(1-R373)+INDEX(Models!$BJ373:$BT373,,T373+1)*R373-ERP_i)*Q373*Ramure*Pc/MaxiM</f>
        <v>8.875689590331909E-4</v>
      </c>
      <c r="Q373" s="304">
        <f t="shared" si="130"/>
        <v>0.6</v>
      </c>
      <c r="R373" s="177">
        <f t="shared" si="131"/>
        <v>0.97412435113950524</v>
      </c>
      <c r="S373" s="799">
        <f t="shared" si="132"/>
        <v>-2</v>
      </c>
      <c r="T373" s="176">
        <f t="shared" si="133"/>
        <v>4</v>
      </c>
      <c r="U373" s="250">
        <f t="shared" si="134"/>
        <v>-1.0258756488604948</v>
      </c>
      <c r="V373" s="382">
        <f t="shared" si="135"/>
        <v>21.655930687999316</v>
      </c>
      <c r="W373" s="400">
        <f t="shared" si="136"/>
        <v>11.739343179777476</v>
      </c>
      <c r="X373" s="157">
        <f t="shared" si="137"/>
        <v>46381</v>
      </c>
      <c r="Y373" s="383">
        <f t="shared" si="138"/>
        <v>11.328470523738117</v>
      </c>
      <c r="Z373" s="383">
        <f t="shared" si="139"/>
        <v>11.975913728765363</v>
      </c>
      <c r="AA373" s="384">
        <f t="shared" si="140"/>
        <v>13.077012535047098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8.4201097408963324E-2</v>
      </c>
      <c r="AD373" s="230">
        <f>(INDEX(Models!$BJ373:$BT373,,AH373)*(1-AF373)+INDEX(Models!$BJ373:$BT373,,AH373+1)*AF373-ERP_i)*AE373*Ramure*Pc/MaxiM</f>
        <v>1.375892629347188E-2</v>
      </c>
      <c r="AE373" s="304">
        <f t="shared" si="142"/>
        <v>0.6</v>
      </c>
      <c r="AF373" s="177">
        <f t="shared" si="143"/>
        <v>0.49911191751348394</v>
      </c>
      <c r="AG373" s="799">
        <f t="shared" si="149"/>
        <v>2</v>
      </c>
      <c r="AH373" s="176">
        <f t="shared" si="144"/>
        <v>8</v>
      </c>
      <c r="AI373" s="224">
        <f t="shared" si="145"/>
        <v>2.4991119175134839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'2025'!Wh/'2025'!Env_an*'2026'!Env_an</f>
        <v>20.295005090662507</v>
      </c>
      <c r="C374" s="829"/>
      <c r="D374" s="391">
        <f t="shared" si="127"/>
        <v>21.455313644676632</v>
      </c>
      <c r="E374" s="383">
        <f t="shared" si="150"/>
        <v>22.710390755809211</v>
      </c>
      <c r="F374" s="383">
        <f t="shared" si="128"/>
        <v>22.72832491648224</v>
      </c>
      <c r="G374" s="110">
        <f t="shared" si="151"/>
        <v>0.93440642040888255</v>
      </c>
      <c r="H374" s="412" t="b">
        <f>Wh_hp&gt;='2025'!Maxi_hp</f>
        <v>1</v>
      </c>
      <c r="I374" s="388">
        <f>IF(H374,Wh_hp,'2025'!Maxi_hp)</f>
        <v>22.72832491648224</v>
      </c>
      <c r="J374" s="85">
        <f>IF(H374,An,'2025'!An_max)</f>
        <v>2026</v>
      </c>
      <c r="K374" s="197">
        <f t="shared" si="129"/>
        <v>46382</v>
      </c>
      <c r="L374" s="147">
        <f>IF(t&lt;Tvie,1-EXP((T0-t)*PertePVj)+'2025'!Pspv,1-EXP((T0-t)*PertePVj)+Pspv)</f>
        <v>5.4080241996462997E-2</v>
      </c>
      <c r="M374" s="832"/>
      <c r="N374" s="832"/>
      <c r="O374" s="48">
        <f>IF(t&lt;Tnet,'2025'!Resal+('2025'!Salim-'2025'!Resal)*(1-EXP(('2025'!Tnet-t)/('2025'!Tau_j))),Resal+(Salim-Resal)*(1-EXP((Tnet-t)/(Tau_j))))*Salcycl</f>
        <v>5.5264443691332606E-2</v>
      </c>
      <c r="P374" s="169">
        <f>(INDEX(Models!$BJ374:$BT374,,T374)*(1-R374)+INDEX(Models!$BJ374:$BT374,,T374+1)*R374-ERP_i)*Q374*Ramure*Pc/MaxiM</f>
        <v>8.705464230176123E-4</v>
      </c>
      <c r="Q374" s="304">
        <f t="shared" si="130"/>
        <v>0.6</v>
      </c>
      <c r="R374" s="177">
        <f t="shared" si="131"/>
        <v>0.97412435113950524</v>
      </c>
      <c r="S374" s="799">
        <f t="shared" si="132"/>
        <v>-2</v>
      </c>
      <c r="T374" s="176">
        <f t="shared" si="133"/>
        <v>4</v>
      </c>
      <c r="U374" s="250">
        <f t="shared" si="134"/>
        <v>-1.0258756488604948</v>
      </c>
      <c r="V374" s="382">
        <f t="shared" si="135"/>
        <v>21.71790529998486</v>
      </c>
      <c r="W374" s="400">
        <f t="shared" si="136"/>
        <v>20.295005090662507</v>
      </c>
      <c r="X374" s="157">
        <f t="shared" si="137"/>
        <v>46382</v>
      </c>
      <c r="Y374" s="383">
        <f t="shared" si="138"/>
        <v>19.44318261275836</v>
      </c>
      <c r="Z374" s="383">
        <f t="shared" si="139"/>
        <v>20.554790666171556</v>
      </c>
      <c r="AA374" s="384">
        <f t="shared" si="140"/>
        <v>22.445173226817172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8.4222230835225315E-2</v>
      </c>
      <c r="AD374" s="230">
        <f>(INDEX(Models!$BJ374:$BT374,,AH374)*(1-AF374)+INDEX(Models!$BJ374:$BT374,,AH374+1)*AF374-ERP_i)*AE374*Ramure*Pc/MaxiM</f>
        <v>1.3744534528457173E-2</v>
      </c>
      <c r="AE374" s="304">
        <f t="shared" si="142"/>
        <v>0.6</v>
      </c>
      <c r="AF374" s="177">
        <f t="shared" si="143"/>
        <v>0.49911191751348394</v>
      </c>
      <c r="AG374" s="799">
        <f t="shared" si="149"/>
        <v>2</v>
      </c>
      <c r="AH374" s="176">
        <f t="shared" si="144"/>
        <v>8</v>
      </c>
      <c r="AI374" s="224">
        <f t="shared" si="145"/>
        <v>2.4991119175134839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'2025'!Wh/'2025'!Env_an*'2026'!Env_an</f>
        <v>6.8766165242163471</v>
      </c>
      <c r="C375" s="829"/>
      <c r="D375" s="391">
        <f t="shared" si="127"/>
        <v>7.2699066251064206</v>
      </c>
      <c r="E375" s="383">
        <f t="shared" si="150"/>
        <v>7.6956078152948111</v>
      </c>
      <c r="F375" s="383">
        <f t="shared" si="128"/>
        <v>7.6957532821727312</v>
      </c>
      <c r="G375" s="110">
        <f t="shared" si="151"/>
        <v>0.31529198307590223</v>
      </c>
      <c r="H375" s="412" t="b">
        <f>Wh_hp&gt;='2025'!Maxi_hp</f>
        <v>0</v>
      </c>
      <c r="I375" s="388">
        <f>IF(H375,Wh_hp,'2025'!Maxi_hp)</f>
        <v>21.290446008401918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5.4098370332826162E-2</v>
      </c>
      <c r="M375" s="832"/>
      <c r="N375" s="832"/>
      <c r="O375" s="48">
        <f>IF(t&lt;Tnet,'2025'!Resal+('2025'!Salim-'2025'!Resal)*(1-EXP(('2025'!Tnet-t)/('2025'!Tau_j))),Resal+(Salim-Resal)*(1-EXP((Tnet-t)/(Tau_j))))*Salcycl</f>
        <v>5.5317422665734299E-2</v>
      </c>
      <c r="P375" s="169">
        <f>(INDEX(Models!$BJ375:$BT375,,T375)*(1-R375)+INDEX(Models!$BJ375:$BT375,,T375+1)*R375-ERP_i)*Q375*Ramure*Pc/MaxiM</f>
        <v>8.5066051906370623E-4</v>
      </c>
      <c r="Q375" s="304">
        <f t="shared" si="130"/>
        <v>0.6</v>
      </c>
      <c r="R375" s="177">
        <f t="shared" si="131"/>
        <v>0.97412435113950524</v>
      </c>
      <c r="S375" s="799">
        <f t="shared" si="132"/>
        <v>-2</v>
      </c>
      <c r="T375" s="176">
        <f t="shared" si="133"/>
        <v>4</v>
      </c>
      <c r="U375" s="250">
        <f t="shared" si="134"/>
        <v>-1.0258756488604948</v>
      </c>
      <c r="V375" s="382">
        <f t="shared" si="135"/>
        <v>21.792170756312284</v>
      </c>
      <c r="W375" s="400">
        <f t="shared" si="136"/>
        <v>6.8766165242163471</v>
      </c>
      <c r="X375" s="157">
        <f t="shared" si="137"/>
        <v>46383</v>
      </c>
      <c r="Y375" s="383">
        <f t="shared" si="138"/>
        <v>6.664145628702971</v>
      </c>
      <c r="Z375" s="383">
        <f t="shared" si="139"/>
        <v>7.0452840123003337</v>
      </c>
      <c r="AA375" s="384">
        <f t="shared" si="140"/>
        <v>7.6934051975343172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8.4243734548350782E-2</v>
      </c>
      <c r="AD375" s="230">
        <f>(INDEX(Models!$BJ375:$BT375,,AH375)*(1-AF375)+INDEX(Models!$BJ375:$BT375,,AH375+1)*AF375-ERP_i)*AE375*Ramure*Pc/MaxiM</f>
        <v>1.3731118216653678E-2</v>
      </c>
      <c r="AE375" s="304">
        <f t="shared" si="142"/>
        <v>0.6</v>
      </c>
      <c r="AF375" s="177">
        <f t="shared" si="143"/>
        <v>0.49911191751348394</v>
      </c>
      <c r="AG375" s="799">
        <f t="shared" si="149"/>
        <v>2</v>
      </c>
      <c r="AH375" s="176">
        <f t="shared" si="144"/>
        <v>8</v>
      </c>
      <c r="AI375" s="224">
        <f t="shared" si="145"/>
        <v>2.4991119175134839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'2025'!Wh/'2025'!Env_an*'2026'!Env_an</f>
        <v>21.347402085818203</v>
      </c>
      <c r="C376" s="829"/>
      <c r="D376" s="391">
        <f t="shared" si="127"/>
        <v>22.56874345301776</v>
      </c>
      <c r="E376" s="383">
        <f t="shared" si="150"/>
        <v>23.891637156784363</v>
      </c>
      <c r="F376" s="383">
        <f t="shared" si="128"/>
        <v>23.910787635116183</v>
      </c>
      <c r="G376" s="110">
        <f t="shared" si="151"/>
        <v>0.97570915173268902</v>
      </c>
      <c r="H376" s="412" t="b">
        <f>Wh_hp&gt;='2025'!Maxi_hp</f>
        <v>1</v>
      </c>
      <c r="I376" s="388">
        <f>IF(H376,Wh_hp,'2025'!Maxi_hp)</f>
        <v>23.910787635116183</v>
      </c>
      <c r="J376" s="85">
        <f>IF(H376,An,'2025'!An_max)</f>
        <v>2026</v>
      </c>
      <c r="K376" s="197">
        <f t="shared" si="129"/>
        <v>46384</v>
      </c>
      <c r="L376" s="147">
        <f>IF(t&lt;Tvie,1-EXP((T0-t)*PertePVj)+'2025'!Pspv,1-EXP((T0-t)*PertePVj)+Pspv)</f>
        <v>5.4116498321763906E-2</v>
      </c>
      <c r="M376" s="832"/>
      <c r="N376" s="832"/>
      <c r="O376" s="48">
        <f>IF(t&lt;Tnet,'2025'!Resal+('2025'!Salim-'2025'!Resal)*(1-EXP(('2025'!Tnet-t)/('2025'!Tau_j))),Resal+(Salim-Resal)*(1-EXP((Tnet-t)/(Tau_j))))*Salcycl</f>
        <v>5.5370575699160339E-2</v>
      </c>
      <c r="P376" s="169">
        <f>(INDEX(Models!$BJ376:$BT376,,T376)*(1-R376)+INDEX(Models!$BJ376:$BT376,,T376+1)*R376-ERP_i)*Q376*Ramure*Pc/MaxiM</f>
        <v>8.2967104577226698E-4</v>
      </c>
      <c r="Q376" s="304">
        <f t="shared" si="130"/>
        <v>0.6</v>
      </c>
      <c r="R376" s="177">
        <f t="shared" si="131"/>
        <v>0.97412435113950524</v>
      </c>
      <c r="S376" s="799">
        <f t="shared" si="132"/>
        <v>-2</v>
      </c>
      <c r="T376" s="176">
        <f t="shared" si="133"/>
        <v>4</v>
      </c>
      <c r="U376" s="250">
        <f t="shared" si="134"/>
        <v>-1.0258756488604948</v>
      </c>
      <c r="V376" s="382">
        <f t="shared" si="135"/>
        <v>21.878228427040426</v>
      </c>
      <c r="W376" s="400">
        <f t="shared" si="136"/>
        <v>21.347402085818203</v>
      </c>
      <c r="X376" s="157">
        <f t="shared" si="137"/>
        <v>46384</v>
      </c>
      <c r="Y376" s="383">
        <f t="shared" si="138"/>
        <v>20.436812811890395</v>
      </c>
      <c r="Z376" s="383">
        <f t="shared" si="139"/>
        <v>21.606056956940606</v>
      </c>
      <c r="AA376" s="384">
        <f t="shared" si="140"/>
        <v>23.594238975636426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8.4265570961997591E-2</v>
      </c>
      <c r="AD376" s="230">
        <f>(INDEX(Models!$BJ376:$BT376,,AH376)*(1-AF376)+INDEX(Models!$BJ376:$BT376,,AH376+1)*AF376-ERP_i)*AE376*Ramure*Pc/MaxiM</f>
        <v>1.3714083418583321E-2</v>
      </c>
      <c r="AE376" s="304">
        <f t="shared" si="142"/>
        <v>0.6</v>
      </c>
      <c r="AF376" s="177">
        <f t="shared" si="143"/>
        <v>0.49911191751348394</v>
      </c>
      <c r="AG376" s="799">
        <f t="shared" si="149"/>
        <v>2</v>
      </c>
      <c r="AH376" s="176">
        <f t="shared" si="144"/>
        <v>8</v>
      </c>
      <c r="AI376" s="224">
        <f t="shared" si="145"/>
        <v>2.4991119175134839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'2025'!Wh/'2025'!Env_an*'2026'!Env_an</f>
        <v>10.138762505655198</v>
      </c>
      <c r="C377" s="829"/>
      <c r="D377" s="391">
        <f t="shared" si="127"/>
        <v>10.719033367703789</v>
      </c>
      <c r="E377" s="383">
        <f t="shared" si="150"/>
        <v>11.347982596039794</v>
      </c>
      <c r="F377" s="383">
        <f t="shared" si="128"/>
        <v>11.350095699820477</v>
      </c>
      <c r="G377" s="110">
        <f t="shared" si="151"/>
        <v>0.46107741266744928</v>
      </c>
      <c r="H377" s="412" t="b">
        <f>Wh_hp&gt;='2025'!Maxi_hp</f>
        <v>0</v>
      </c>
      <c r="I377" s="388">
        <f>IF(H377,Wh_hp,'2025'!Maxi_hp)</f>
        <v>25.022994124609578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5.4134625963282779E-2</v>
      </c>
      <c r="M377" s="832"/>
      <c r="N377" s="832"/>
      <c r="O377" s="48">
        <f>IF(t&lt;Tnet,'2025'!Resal+('2025'!Salim-'2025'!Resal)*(1-EXP(('2025'!Tnet-t)/('2025'!Tau_j))),Resal+(Salim-Resal)*(1-EXP((Tnet-t)/(Tau_j))))*Salcycl</f>
        <v>5.5423880237135272E-2</v>
      </c>
      <c r="P377" s="169">
        <f>(INDEX(Models!$BJ377:$BT377,,T377)*(1-R377)+INDEX(Models!$BJ377:$BT377,,T377+1)*R377-ERP_i)*Q377*Ramure*Pc/MaxiM</f>
        <v>8.0762954934307659E-4</v>
      </c>
      <c r="Q377" s="304">
        <f t="shared" si="130"/>
        <v>0.6</v>
      </c>
      <c r="R377" s="177">
        <f t="shared" si="131"/>
        <v>0.97412435113950524</v>
      </c>
      <c r="S377" s="799">
        <f t="shared" si="132"/>
        <v>-2</v>
      </c>
      <c r="T377" s="176">
        <f t="shared" si="133"/>
        <v>4</v>
      </c>
      <c r="U377" s="250">
        <f t="shared" si="134"/>
        <v>-1.0258756488604948</v>
      </c>
      <c r="V377" s="382">
        <f t="shared" si="135"/>
        <v>21.975616834992564</v>
      </c>
      <c r="W377" s="400">
        <f t="shared" si="136"/>
        <v>10.138762505655198</v>
      </c>
      <c r="X377" s="157">
        <f t="shared" si="137"/>
        <v>46385</v>
      </c>
      <c r="Y377" s="383">
        <f t="shared" si="138"/>
        <v>9.7997457023889591</v>
      </c>
      <c r="Z377" s="383">
        <f t="shared" si="139"/>
        <v>10.360613646914773</v>
      </c>
      <c r="AA377" s="384">
        <f t="shared" si="140"/>
        <v>11.314267268020066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8.4287704940540553E-2</v>
      </c>
      <c r="AD377" s="230">
        <f>(INDEX(Models!$BJ377:$BT377,,AH377)*(1-AF377)+INDEX(Models!$BJ377:$BT377,,AH377+1)*AF377-ERP_i)*AE377*Ramure*Pc/MaxiM</f>
        <v>1.369364841100932E-2</v>
      </c>
      <c r="AE377" s="304">
        <f t="shared" si="142"/>
        <v>0.6</v>
      </c>
      <c r="AF377" s="177">
        <f t="shared" si="143"/>
        <v>0.49911191751348394</v>
      </c>
      <c r="AG377" s="799">
        <f t="shared" si="149"/>
        <v>2</v>
      </c>
      <c r="AH377" s="176">
        <f t="shared" si="144"/>
        <v>8</v>
      </c>
      <c r="AI377" s="224">
        <f t="shared" si="145"/>
        <v>2.4991119175134839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'2025'!Wh/'2025'!Env_an*'2026'!Env_an</f>
        <v>13.73612493335281</v>
      </c>
      <c r="C378" s="829"/>
      <c r="D378" s="391">
        <f t="shared" si="127"/>
        <v>14.522561629965571</v>
      </c>
      <c r="E378" s="383">
        <f t="shared" si="150"/>
        <v>15.375556210150812</v>
      </c>
      <c r="F378" s="383">
        <f t="shared" si="128"/>
        <v>15.381107384023164</v>
      </c>
      <c r="G378" s="110">
        <f t="shared" si="151"/>
        <v>0.62173433644011367</v>
      </c>
      <c r="H378" s="412" t="b">
        <f>Wh_hp&gt;='2025'!Maxi_hp</f>
        <v>0</v>
      </c>
      <c r="I378" s="388">
        <f>IF(H378,Wh_hp,'2025'!Maxi_hp)</f>
        <v>25.027651179472095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5.4152753257389663E-2</v>
      </c>
      <c r="M378" s="832"/>
      <c r="N378" s="832"/>
      <c r="O378" s="48">
        <f>IF(t&lt;Tnet,'2025'!Resal+('2025'!Salim-'2025'!Resal)*(1-EXP(('2025'!Tnet-t)/('2025'!Tau_j))),Resal+(Salim-Resal)*(1-EXP((Tnet-t)/(Tau_j))))*Salcycl</f>
        <v>5.547731532613439E-2</v>
      </c>
      <c r="P378" s="169">
        <f>(INDEX(Models!$BJ378:$BT378,,T378)*(1-R378)+INDEX(Models!$BJ378:$BT378,,T378+1)*R378-ERP_i)*Q378*Ramure*Pc/MaxiM</f>
        <v>7.8458887559813145E-4</v>
      </c>
      <c r="Q378" s="304">
        <f t="shared" si="130"/>
        <v>0.6</v>
      </c>
      <c r="R378" s="177">
        <f t="shared" si="131"/>
        <v>0.97412435113950524</v>
      </c>
      <c r="S378" s="799">
        <f t="shared" si="132"/>
        <v>-2</v>
      </c>
      <c r="T378" s="176">
        <f t="shared" si="133"/>
        <v>4</v>
      </c>
      <c r="U378" s="250">
        <f t="shared" si="134"/>
        <v>-1.0258756488604948</v>
      </c>
      <c r="V378" s="382">
        <f t="shared" si="135"/>
        <v>22.083874578281534</v>
      </c>
      <c r="W378" s="400">
        <f t="shared" si="136"/>
        <v>13.73612493335281</v>
      </c>
      <c r="X378" s="157">
        <f t="shared" si="137"/>
        <v>46386</v>
      </c>
      <c r="Y378" s="383">
        <f t="shared" si="138"/>
        <v>13.237850917254088</v>
      </c>
      <c r="Z378" s="383">
        <f t="shared" si="139"/>
        <v>13.995759846892541</v>
      </c>
      <c r="AA378" s="384">
        <f t="shared" si="140"/>
        <v>15.284388204159612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8.4310103882101917E-2</v>
      </c>
      <c r="AD378" s="230">
        <f>(INDEX(Models!$BJ378:$BT378,,AH378)*(1-AF378)+INDEX(Models!$BJ378:$BT378,,AH378+1)*AF378-ERP_i)*AE378*Ramure*Pc/MaxiM</f>
        <v>1.3670044268631066E-2</v>
      </c>
      <c r="AE378" s="304">
        <f t="shared" si="142"/>
        <v>0.6</v>
      </c>
      <c r="AF378" s="177">
        <f t="shared" si="143"/>
        <v>0.49911191751348394</v>
      </c>
      <c r="AG378" s="799">
        <f t="shared" si="149"/>
        <v>2</v>
      </c>
      <c r="AH378" s="176">
        <f t="shared" si="144"/>
        <v>8</v>
      </c>
      <c r="AI378" s="224">
        <f t="shared" si="145"/>
        <v>2.4991119175134839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'2025'!Wh/'2025'!Env_an*'2026'!Env_an</f>
        <v>11.364031171506971</v>
      </c>
      <c r="C379" s="829"/>
      <c r="D379" s="391">
        <f t="shared" si="127"/>
        <v>12.014888243194607</v>
      </c>
      <c r="E379" s="383">
        <f t="shared" si="150"/>
        <v>12.721313757572675</v>
      </c>
      <c r="F379" s="383">
        <f t="shared" si="128"/>
        <v>12.724242552236708</v>
      </c>
      <c r="G379" s="110">
        <f t="shared" si="151"/>
        <v>0.51156317259989337</v>
      </c>
      <c r="H379" s="412" t="b">
        <f>Wh_hp&gt;='2025'!Maxi_hp</f>
        <v>0</v>
      </c>
      <c r="I379" s="388">
        <f>IF(H379,Wh_hp,'2025'!Maxi_hp)</f>
        <v>25.278911318099443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5.4170880204090999E-2</v>
      </c>
      <c r="M379" s="832"/>
      <c r="N379" s="832"/>
      <c r="O379" s="48">
        <f>IF(t&lt;Tnet,'2025'!Resal+('2025'!Salim-'2025'!Resal)*(1-EXP(('2025'!Tnet-t)/('2025'!Tau_j))),Resal+(Salim-Resal)*(1-EXP((Tnet-t)/(Tau_j))))*Salcycl</f>
        <v>5.553086165786543E-2</v>
      </c>
      <c r="P379" s="169">
        <f>(INDEX(Models!$BJ379:$BT379,,T379)*(1-R379)+INDEX(Models!$BJ379:$BT379,,T379+1)*R379-ERP_i)*Q379*Ramure*Pc/MaxiM</f>
        <v>7.6060271030869628E-4</v>
      </c>
      <c r="Q379" s="305">
        <f t="shared" si="130"/>
        <v>0.6</v>
      </c>
      <c r="R379" s="177">
        <f t="shared" si="131"/>
        <v>0.97412435113950524</v>
      </c>
      <c r="S379" s="799">
        <f t="shared" si="132"/>
        <v>-2</v>
      </c>
      <c r="T379" s="176">
        <f t="shared" si="133"/>
        <v>4</v>
      </c>
      <c r="U379" s="306">
        <f t="shared" si="134"/>
        <v>-1.0258756488604948</v>
      </c>
      <c r="V379" s="382">
        <f t="shared" si="135"/>
        <v>22.202540346988688</v>
      </c>
      <c r="W379" s="400">
        <f t="shared" si="136"/>
        <v>11.364031171506971</v>
      </c>
      <c r="X379" s="157">
        <f t="shared" si="137"/>
        <v>46387</v>
      </c>
      <c r="Y379" s="383">
        <f t="shared" si="138"/>
        <v>10.974518475491088</v>
      </c>
      <c r="Z379" s="383">
        <f t="shared" si="139"/>
        <v>11.603066818094128</v>
      </c>
      <c r="AA379" s="384">
        <f t="shared" si="140"/>
        <v>12.671706521339905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8.4332737776567357E-2</v>
      </c>
      <c r="AD379" s="230">
        <f>(INDEX(Models!$BJ379:$BT379,,AH379)*(1-AF379)+INDEX(Models!$BJ379:$BT379,,AH379+1)*AF379-ERP_i)*AE379*Ramure*Pc/MaxiM</f>
        <v>1.3643512800569763E-2</v>
      </c>
      <c r="AE379" s="305">
        <f t="shared" si="142"/>
        <v>0.6</v>
      </c>
      <c r="AF379" s="177">
        <f t="shared" si="143"/>
        <v>0.49911191751348394</v>
      </c>
      <c r="AG379" s="799">
        <f t="shared" si="149"/>
        <v>2</v>
      </c>
      <c r="AH379" s="176">
        <f t="shared" si="144"/>
        <v>8</v>
      </c>
      <c r="AI379" s="221">
        <f t="shared" si="145"/>
        <v>2.4991119175134839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17.036821547492405</v>
      </c>
      <c r="J380" s="85">
        <f>IF(H380,An,'2025'!An_max)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1.7814328334292973</v>
      </c>
      <c r="C381" s="374"/>
      <c r="D381" s="372">
        <f>MIN(D15:D380)</f>
        <v>1.8706908564694764</v>
      </c>
      <c r="E381" s="372">
        <f>MIN(E15:E380)</f>
        <v>1.9315691586229555</v>
      </c>
      <c r="F381" s="373">
        <f>MIN(F15:F380)</f>
        <v>1.9315691586229555</v>
      </c>
      <c r="G381" s="125">
        <f>+MIN(G15:G380)</f>
        <v>7.2192481081095702E-2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4.7549666746066976E-2</v>
      </c>
      <c r="M381" s="833"/>
      <c r="N381" s="833"/>
      <c r="O381" s="47">
        <f t="shared" si="152"/>
        <v>3.079727455669783E-2</v>
      </c>
      <c r="P381" s="168">
        <f t="shared" si="152"/>
        <v>0</v>
      </c>
      <c r="Q381" s="309">
        <f t="shared" si="152"/>
        <v>0.6</v>
      </c>
      <c r="R381" s="310">
        <f t="shared" si="152"/>
        <v>6.5676113190527019E-5</v>
      </c>
      <c r="S381" s="799">
        <f t="shared" si="152"/>
        <v>-2</v>
      </c>
      <c r="T381" s="176">
        <f t="shared" si="152"/>
        <v>4</v>
      </c>
      <c r="U381" s="251">
        <f>MIN(U15:U380)</f>
        <v>-1.5008874621829826</v>
      </c>
      <c r="V381" s="57">
        <f>MIN(V15:V380)</f>
        <v>21.53562896459189</v>
      </c>
      <c r="W381" s="58"/>
      <c r="X381" s="112" t="s">
        <v>7</v>
      </c>
      <c r="Y381" s="372">
        <f>MIN(Y15:Y380)</f>
        <v>1.7051634131989506</v>
      </c>
      <c r="Z381" s="372">
        <f>MIN(Z15:Z380)</f>
        <v>1.7905999855841104</v>
      </c>
      <c r="AA381" s="372">
        <f>MIN(AA15:AA380)</f>
        <v>1.9315691586229555</v>
      </c>
      <c r="AB381" s="200" t="s">
        <v>7</v>
      </c>
      <c r="AC381" s="47">
        <f t="shared" ref="AC381:AH381" si="153">MIN(AC15:AC380)</f>
        <v>7.2658945514381998E-2</v>
      </c>
      <c r="AD381" s="168">
        <f t="shared" si="153"/>
        <v>3.3821532452278815E-4</v>
      </c>
      <c r="AE381" s="309">
        <f t="shared" si="153"/>
        <v>0.6</v>
      </c>
      <c r="AF381" s="310">
        <f t="shared" si="153"/>
        <v>6.5676113190527019E-5</v>
      </c>
      <c r="AG381" s="799">
        <f t="shared" si="153"/>
        <v>1</v>
      </c>
      <c r="AH381" s="176">
        <f t="shared" si="153"/>
        <v>7</v>
      </c>
      <c r="AI381" s="225">
        <f>MIN(AI15:AI380)</f>
        <v>1.9991131905496551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30.421754366432012</v>
      </c>
      <c r="C382" s="374"/>
      <c r="D382" s="374">
        <f>AVERAGE(D15:D380)</f>
        <v>32.049204570824863</v>
      </c>
      <c r="E382" s="374">
        <f>AVERAGE(E15:E380)</f>
        <v>33.560913821229967</v>
      </c>
      <c r="F382" s="375">
        <f>AVERAGE(F15:F380)</f>
        <v>33.581627973157346</v>
      </c>
      <c r="G382" s="126">
        <f>AVERAGE(G15:G380)</f>
        <v>0.6879888760202657</v>
      </c>
      <c r="H382" s="94"/>
      <c r="I382" s="375">
        <f>AVERAGE(I15:I380)</f>
        <v>43.525060668779417</v>
      </c>
      <c r="J382" s="59">
        <f>AVERAGE(J15:J380)</f>
        <v>2021.3961748633881</v>
      </c>
      <c r="K382" s="200" t="s">
        <v>8</v>
      </c>
      <c r="L382" s="147">
        <f t="shared" ref="L382:V382" si="154">AVERAGE(L15:L380)</f>
        <v>5.0864112053621242E-2</v>
      </c>
      <c r="M382" s="832"/>
      <c r="N382" s="832"/>
      <c r="O382" s="48">
        <f t="shared" si="154"/>
        <v>4.4929813086130907E-2</v>
      </c>
      <c r="P382" s="169">
        <f t="shared" si="154"/>
        <v>1.5074141021854896E-3</v>
      </c>
      <c r="Q382" s="311">
        <f t="shared" si="154"/>
        <v>0.59999999999999631</v>
      </c>
      <c r="R382" s="177">
        <f t="shared" si="154"/>
        <v>0.69571851818107822</v>
      </c>
      <c r="S382" s="799">
        <f t="shared" si="154"/>
        <v>-1.0821917808219179</v>
      </c>
      <c r="T382" s="176">
        <f t="shared" si="154"/>
        <v>4.9178082191780819</v>
      </c>
      <c r="U382" s="250">
        <f>AVERAGE(U15:U380)</f>
        <v>-0.38647326264084003</v>
      </c>
      <c r="V382" s="59">
        <f t="shared" si="154"/>
        <v>42.856633055123481</v>
      </c>
      <c r="X382" s="112" t="s">
        <v>8</v>
      </c>
      <c r="Y382" s="374">
        <f>AVERAGE(Y15:Y380)</f>
        <v>29.238257737357241</v>
      </c>
      <c r="Z382" s="374">
        <f>AVERAGE(Z15:Z380)</f>
        <v>30.802449649928146</v>
      </c>
      <c r="AA382" s="374">
        <f>AVERAGE(AA15:AA380)</f>
        <v>33.516115082700601</v>
      </c>
      <c r="AB382" s="200" t="s">
        <v>8</v>
      </c>
      <c r="AC382" s="48">
        <f t="shared" ref="AC382:AH382" si="155">AVERAGE(AC15:AC380)</f>
        <v>8.0570141405564677E-2</v>
      </c>
      <c r="AD382" s="169">
        <f t="shared" si="155"/>
        <v>4.7406043401206069E-3</v>
      </c>
      <c r="AE382" s="311">
        <f t="shared" si="155"/>
        <v>0.59999999999999631</v>
      </c>
      <c r="AF382" s="177">
        <f t="shared" si="155"/>
        <v>0.33653103412414132</v>
      </c>
      <c r="AG382" s="799">
        <f t="shared" si="155"/>
        <v>1.9424657534246574</v>
      </c>
      <c r="AH382" s="176">
        <f t="shared" si="155"/>
        <v>7.9424657534246572</v>
      </c>
      <c r="AI382" s="224">
        <f>AVERAGE(AI15:AI380)</f>
        <v>2.2789967875487989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58.931714096456702</v>
      </c>
      <c r="C383" s="376"/>
      <c r="D383" s="376">
        <f>MAX(D15:D380)</f>
        <v>62.049541085493502</v>
      </c>
      <c r="E383" s="376">
        <f>MAX(E15:E380)</f>
        <v>64.852141736486814</v>
      </c>
      <c r="F383" s="377">
        <f>MAX(F15:F380)</f>
        <v>64.852505396426309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2026</v>
      </c>
      <c r="K383" s="200" t="s">
        <v>9</v>
      </c>
      <c r="L383" s="148">
        <f t="shared" ref="L383:T383" si="156">MAX(L15:L380)</f>
        <v>5.4170880204090999E-2</v>
      </c>
      <c r="M383" s="834"/>
      <c r="N383" s="834"/>
      <c r="O383" s="49">
        <f t="shared" si="156"/>
        <v>5.553086165786543E-2</v>
      </c>
      <c r="P383" s="170">
        <f t="shared" si="156"/>
        <v>1.1753896867321749E-2</v>
      </c>
      <c r="Q383" s="312">
        <f t="shared" si="156"/>
        <v>0.6</v>
      </c>
      <c r="R383" s="313">
        <f t="shared" si="156"/>
        <v>0.99999945723440842</v>
      </c>
      <c r="S383" s="800">
        <f t="shared" si="156"/>
        <v>2</v>
      </c>
      <c r="T383" s="232">
        <f t="shared" si="156"/>
        <v>8</v>
      </c>
      <c r="U383" s="252">
        <f>MAX(U15:U380)</f>
        <v>2.0231169797073321</v>
      </c>
      <c r="V383" s="60">
        <f>MAX(V15:V380)</f>
        <v>58.236105751743985</v>
      </c>
      <c r="X383" s="112" t="s">
        <v>9</v>
      </c>
      <c r="Y383" s="376">
        <f>MAX(Y15:Y380)</f>
        <v>56.631755547471862</v>
      </c>
      <c r="Z383" s="376">
        <f>MAX(Z15:Z380)</f>
        <v>59.627901486710009</v>
      </c>
      <c r="AA383" s="376">
        <f>MAX(AA15:AA380)</f>
        <v>64.829240360249656</v>
      </c>
      <c r="AB383" s="200" t="s">
        <v>9</v>
      </c>
      <c r="AC383" s="49">
        <f t="shared" ref="AC383:AH383" si="157">MAX(AC15:AC380)</f>
        <v>8.5146843773602834E-2</v>
      </c>
      <c r="AD383" s="170">
        <f t="shared" si="157"/>
        <v>1.4527447094510303E-2</v>
      </c>
      <c r="AE383" s="312">
        <f t="shared" si="157"/>
        <v>0.6</v>
      </c>
      <c r="AF383" s="313">
        <f t="shared" si="157"/>
        <v>0.99999945723440842</v>
      </c>
      <c r="AG383" s="800">
        <f t="shared" si="157"/>
        <v>2</v>
      </c>
      <c r="AH383" s="232">
        <f t="shared" si="157"/>
        <v>8</v>
      </c>
      <c r="AI383" s="226">
        <f>MAX(AI15:AI380)</f>
        <v>2.4991119175134839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'2026'!An+1</f>
        <v>2027</v>
      </c>
      <c r="K1" s="1279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80.25332490387143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431.04877992887884</v>
      </c>
      <c r="AK4" s="822">
        <f>AM12-AK12</f>
        <v>23.296142216023533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511.45098183573771</v>
      </c>
      <c r="AA5" s="236">
        <f>Wh_Pvg_s-Wh_Pvg</f>
        <v>23.296142216023533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2833.0983976828429</v>
      </c>
      <c r="AK5" s="514">
        <f>SUMIF(AK15:AK380,"VRAI",Wh)</f>
        <v>0</v>
      </c>
      <c r="AL5" s="514">
        <f>SUMIF(AJ15:AJ380,"VRAI",Wh_s)</f>
        <v>2744.5767177062567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8386.6657326765853</v>
      </c>
      <c r="AK6" s="514">
        <f>SUMIF(AK15:AK380,"FAUX",Wh)</f>
        <v>11219.764130359434</v>
      </c>
      <c r="AL6" s="514">
        <f>SUMIF(AJ15:AJ380,"FAUX",Wh_s)</f>
        <v>7938.6146824266179</v>
      </c>
      <c r="AM6" s="514">
        <f>SUMIF(AK15:AK380,"FAUX",Wh_s)</f>
        <v>10683.191400132873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2999.3275857657413</v>
      </c>
      <c r="AK7" s="514">
        <f>SUMIF(AK15:AK380,"VRAI",Wh_sa)</f>
        <v>0</v>
      </c>
      <c r="AL7" s="514">
        <f>SUMIF(AJ15:AJ380,"VRAI",Wh_pvt_s)</f>
        <v>2905.6186306115242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8903.9337060282014</v>
      </c>
      <c r="AK8" s="514">
        <f>SUMIF(AK15:AK380,"FAUX",Wh_sa)</f>
        <v>12257.093973421132</v>
      </c>
      <c r="AL8" s="514">
        <f>SUMIF(AJ15:AJ380,"FAUX",Wh_pvt_s)</f>
        <v>8428.2568308199043</v>
      </c>
      <c r="AM8" s="514">
        <f>SUMIF(AK15:AK380,"FAUX",Wh_sa_s)</f>
        <v>12230.306288411295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11903.26129179394</v>
      </c>
      <c r="E9" s="184">
        <f>SUM(E$15:E$380)</f>
        <v>12257.093973421132</v>
      </c>
      <c r="F9" s="184">
        <f>SUM(F$15:F$380)</f>
        <v>12259.55272996912</v>
      </c>
      <c r="H9" s="1280">
        <f>+SUM(Wh)</f>
        <v>11219.764130359434</v>
      </c>
      <c r="I9" s="1281"/>
      <c r="J9" s="1282"/>
      <c r="K9" s="191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10683.191400132873</v>
      </c>
      <c r="Y9" s="1275"/>
      <c r="Z9" s="514">
        <f>SUM(Z$15:Z$380)</f>
        <v>11333.875461431433</v>
      </c>
      <c r="AA9" s="514">
        <f>SUM(AA$15:AA$380)</f>
        <v>12230.306288411295</v>
      </c>
      <c r="AB9" s="514">
        <f>F9</f>
        <v>12259.55272996912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3188.5129909194029</v>
      </c>
      <c r="AK9" s="514">
        <f>SUMIF(AK15:AK380,"VRAI",Wh_hp)</f>
        <v>0</v>
      </c>
      <c r="AL9" s="514">
        <f>SUMIF(AJ15:AJ380,"VRAI",Wh_sa_s)</f>
        <v>3179.7667704456303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8.0000000000000002E-3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6.1818611620416505E-2</v>
      </c>
      <c r="AD10" s="426"/>
      <c r="AE10" s="426"/>
      <c r="AF10" s="259"/>
      <c r="AG10" s="260"/>
      <c r="AH10" s="261"/>
      <c r="AI10" s="471"/>
      <c r="AJ10" s="514">
        <f>SUMIF(AJ15:AJ380,"FAUX",Wh_sa)</f>
        <v>9068.5809825017404</v>
      </c>
      <c r="AK10" s="514">
        <f>SUMIF(AK15:AK380,"FAUX",Wh_hp)</f>
        <v>12259.55272996912</v>
      </c>
      <c r="AL10" s="514">
        <f>SUMIF(AJ15:AJ380,"FAUX",Wh_sa_s)</f>
        <v>9050.5395179656698</v>
      </c>
      <c r="AM10" s="514">
        <f>SUMIF(AK15:AK380,"FAUX",Wh_hp)</f>
        <v>12259.55272996912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683.49716143450678</v>
      </c>
      <c r="E11" s="51">
        <f>(E$9-D$9)*Prod_an/D$9</f>
        <v>333.51525537009707</v>
      </c>
      <c r="F11" s="186">
        <f>(F$9-E$9)*Prod_an/E$9</f>
        <v>2.2506695781423165</v>
      </c>
      <c r="G11" s="185" t="s">
        <v>6</v>
      </c>
      <c r="K11" s="194"/>
      <c r="L11" s="211">
        <f>Tvie_2027</f>
        <v>43481</v>
      </c>
      <c r="M11" s="831"/>
      <c r="N11" s="831"/>
      <c r="O11" s="202">
        <f>IF(An_Tnet,Salim_2027,'2026'!Salim)</f>
        <v>0.10999999999999999</v>
      </c>
      <c r="P11" s="255">
        <f>Ttai_2027</f>
        <v>46112</v>
      </c>
      <c r="Q11" s="271">
        <f>Dens_2027</f>
        <v>0.6</v>
      </c>
      <c r="R11" s="276"/>
      <c r="S11" s="229"/>
      <c r="T11" s="229"/>
      <c r="U11" s="265">
        <f>Htf_2027</f>
        <v>-0.52587564886049476</v>
      </c>
      <c r="V11" s="426"/>
      <c r="W11" s="517"/>
      <c r="X11" s="524" t="s">
        <v>43</v>
      </c>
      <c r="Y11" s="50">
        <f>Z$9-Prod_an_s</f>
        <v>650.68406129855975</v>
      </c>
      <c r="Z11" s="51">
        <f>(AA$9-Z$9)*Prod_an_s/Z$9</f>
        <v>844.96623720583477</v>
      </c>
      <c r="AA11" s="186">
        <f>(AB$9-AA$9)*Prod_an_s/AA$9</f>
        <v>25.546811794165851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178.70034295336228</v>
      </c>
      <c r="AK11" s="822">
        <f>IF($AK7=0,0,($AK9-$AK7)*$AK5/$AK7)</f>
        <v>0</v>
      </c>
      <c r="AL11" s="821">
        <f>IF($AL7=0,0,($AL9-$AL7)*$AL5/$AL7)</f>
        <v>258.95366785723371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Pspv_2027</f>
        <v>0</v>
      </c>
      <c r="M12" s="212"/>
      <c r="N12" s="212"/>
      <c r="O12" s="205">
        <f>IF(An_Tnet,Tau_2027*365,'2026'!Tau_j)</f>
        <v>973.33333333333326</v>
      </c>
      <c r="P12" s="280">
        <f>INDEX(Croivg,MIN(MAX(Ttai-$A$15,0)+1,366))</f>
        <v>2.3909964587625958E-6</v>
      </c>
      <c r="Q12" s="279">
        <f>'2026'!Df</f>
        <v>0.6</v>
      </c>
      <c r="R12" s="277"/>
      <c r="S12" s="278"/>
      <c r="T12" s="278"/>
      <c r="U12" s="266">
        <f>'2026'!Hdf</f>
        <v>-1.0258756488604948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0.6</v>
      </c>
      <c r="AF12" s="203"/>
      <c r="AG12" s="203"/>
      <c r="AH12" s="203"/>
      <c r="AI12" s="296">
        <f>'2026'!Hdf_s</f>
        <v>2.4991119175134839</v>
      </c>
      <c r="AJ12" s="821">
        <f>IF($AJ8=0,0,($AJ10-$AJ8)*$AJ6/$AJ8)</f>
        <v>155.08220491851716</v>
      </c>
      <c r="AK12" s="822">
        <f>IF($AK8=0,0,($AK10-$AK8)*$AK6/$AK8)</f>
        <v>2.2506695781423165</v>
      </c>
      <c r="AL12" s="821">
        <f>IF($AL8=0,0,($AL10-$AL8)*$AL6/$AL8)</f>
        <v>586.13098484739601</v>
      </c>
      <c r="AM12" s="822">
        <f>IF($AM8=0,0,($AM10-$AM8)*$AM6/$AM8)</f>
        <v>25.546811794165851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333.78254787187944</v>
      </c>
      <c r="AK13" s="73">
        <f>+AK11+AK12</f>
        <v>2.2506695781423165</v>
      </c>
      <c r="AL13" s="73">
        <f>+AL11+AL12</f>
        <v>845.08465270462966</v>
      </c>
      <c r="AM13" s="73">
        <f>+AM11+AM12</f>
        <v>25.546811794165851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'2026'!Wh/'2026'!Env_an*'2027'!Env_an</f>
        <v>22.719853076325673</v>
      </c>
      <c r="C15" s="829"/>
      <c r="D15" s="391">
        <f t="shared" ref="D15:D78" si="0">Wh/(1-Ppv)</f>
        <v>24.021557414487447</v>
      </c>
      <c r="E15" s="398">
        <f t="shared" ref="E15:E79" si="1">Wh_pvt/(1-Psa)</f>
        <v>25.435369765868618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Wh_hp&gt;='2026'!Maxi_hp</f>
        <v>1</v>
      </c>
      <c r="I15" s="394">
        <f>IF(H15,Wh_hp,'2026'!Maxi_hp)</f>
        <v>25.454097031999808</v>
      </c>
      <c r="J15" s="84">
        <f>IF(H15,An,'2026'!An_max)</f>
        <v>2027</v>
      </c>
      <c r="K15" s="197">
        <f t="shared" ref="K15:K78" si="3">t</f>
        <v>46388</v>
      </c>
      <c r="L15" s="146">
        <f>IF(t&lt;Tvie,1-EXP((T0-t)*PertePVj)+'2026'!Pspv,1-EXP((T0-t)*PertePVj)+Pspv)</f>
        <v>5.4189006803393669E-2</v>
      </c>
      <c r="M15" s="832"/>
      <c r="N15" s="832"/>
      <c r="O15" s="48">
        <f>IF(t&lt;Tnet,'2026'!Resal+('2026'!Salim-'2026'!Resal)*(1-EXP(('2026'!Tnet-t)/('2026'!Tau_j))),Resal+(Salim-Resal)*(1-EXP((Tnet-t)/(Tau_j))))*Salcycl</f>
        <v>5.5584501597391658E-2</v>
      </c>
      <c r="P15" s="301">
        <f>(INDEX(Models!$BJ15:$BT15,,T15)*(1-R15)+INDEX(Models!$BJ15:$BT15,,T15+1)*R15-ERP_i)*Q15*Ramure*Pc/MaxiM</f>
        <v>7.3572698759047546E-4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0.97412554663773454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50">
        <f t="shared" ref="U15:U78" si="8">IF(OR(t&lt;Ttai,Notai),Hdd+PousH*Croivg,Hdtf+PousH*(Croivg-Croi_tai))</f>
        <v>-1.0258744533622655</v>
      </c>
      <c r="V15" s="381">
        <f t="shared" ref="V15:V78" si="9">MaxiM*(1-Ppv)*(1-Pvg)*(1-Psa)</f>
        <v>22.331152866503135</v>
      </c>
      <c r="W15" s="400">
        <f t="shared" ref="W15:W78" si="10">Wh*(A15&gt;Tmaj)</f>
        <v>22.719853076325673</v>
      </c>
      <c r="X15" s="156">
        <f t="shared" ref="X15:X78" si="11">t</f>
        <v>46388</v>
      </c>
      <c r="Y15" s="383">
        <f t="shared" ref="Y15:Y78" si="12">Wh_pvt_s*(1-Ppv)</f>
        <v>21.743811272037675</v>
      </c>
      <c r="Z15" s="383">
        <f>Wh_sa_s*(1-Psa_s)</f>
        <v>22.989594568518381</v>
      </c>
      <c r="AA15" s="384">
        <f t="shared" ref="AA15:AA78" si="13">Wh_hp*(1-Pvg_s*MEDIAN((-Sdif+Wh/Env_an)/Csdif,0,1))</f>
        <v>25.107557090129596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8.4355579238883399E-2</v>
      </c>
      <c r="AD15" s="230">
        <f>(INDEX(Models!$BJ15:$BT15,,AH15)*(1-AF15)+INDEX(Models!$BJ15:$BT15,,AH15+1)*AF15-ERP_i)*AE15*Ramure*Pc/MaxiM</f>
        <v>1.3614308982736897E-2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0.49911311301171324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2.4991131130117132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'2026'!Wh/'2026'!Env_an*'2027'!Env_an</f>
        <v>15.66813231424981</v>
      </c>
      <c r="C16" s="829"/>
      <c r="D16" s="391">
        <f t="shared" si="0"/>
        <v>16.566134998315636</v>
      </c>
      <c r="E16" s="383">
        <f t="shared" si="1"/>
        <v>17.542148925383682</v>
      </c>
      <c r="F16" s="383">
        <f t="shared" si="2"/>
        <v>17.549252252479391</v>
      </c>
      <c r="G16" s="110">
        <f t="shared" ref="G16:G79" si="21">+Wh_hp/MaxiM</f>
        <v>0.69710145984062233</v>
      </c>
      <c r="H16" s="412" t="b">
        <f>Wh_hp&gt;='2026'!Maxi_hp</f>
        <v>0</v>
      </c>
      <c r="I16" s="388">
        <f>IF(H16,Wh_hp,'2026'!Maxi_hp)</f>
        <v>24.084283353934023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5.4207133055304113E-2</v>
      </c>
      <c r="M16" s="832"/>
      <c r="N16" s="832"/>
      <c r="O16" s="48">
        <f>IF(t&lt;Tnet,'2026'!Resal+('2026'!Salim-'2026'!Resal)*(1-EXP(('2026'!Tnet-t)/('2026'!Tau_j))),Resal+(Salim-Resal)*(1-EXP((Tnet-t)/(Tau_j))))*Salcycl</f>
        <v>5.5638219195354138E-2</v>
      </c>
      <c r="P16" s="169">
        <f>(INDEX(Models!$BJ16:$BT16,,T16)*(1-R16)+INDEX(Models!$BJ16:$BT16,,T16+1)*R16-ERP_i)*Q16*Ramure*Pc/MaxiM</f>
        <v>7.1312319000702592E-4</v>
      </c>
      <c r="Q16" s="304">
        <f t="shared" si="4"/>
        <v>0.6</v>
      </c>
      <c r="R16" s="177">
        <f t="shared" si="5"/>
        <v>0.97415476125172895</v>
      </c>
      <c r="S16" s="799">
        <f t="shared" si="6"/>
        <v>-2</v>
      </c>
      <c r="T16" s="176">
        <f t="shared" si="7"/>
        <v>4</v>
      </c>
      <c r="U16" s="250">
        <f t="shared" si="8"/>
        <v>-1.025845238748271</v>
      </c>
      <c r="V16" s="382">
        <f t="shared" si="9"/>
        <v>22.469181126253741</v>
      </c>
      <c r="W16" s="400">
        <f t="shared" si="10"/>
        <v>15.66813231424981</v>
      </c>
      <c r="X16" s="157">
        <f t="shared" si="11"/>
        <v>46389</v>
      </c>
      <c r="Y16" s="383">
        <f t="shared" si="12"/>
        <v>15.080343909880856</v>
      </c>
      <c r="Z16" s="383">
        <f t="shared" ref="Z16:Z78" si="22">Wh_sa_s*(1-Psa_s)</f>
        <v>15.944658113775626</v>
      </c>
      <c r="AA16" s="384">
        <f t="shared" si="13"/>
        <v>17.414029614249685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8.4378603518147827E-2</v>
      </c>
      <c r="AD16" s="230">
        <f>(INDEX(Models!$BJ16:$BT16,,AH16)*(1-AF16)+INDEX(Models!$BJ16:$BT16,,AH16+1)*AF16-ERP_i)*AE16*Ramure*Pc/MaxiM</f>
        <v>1.3575384863490912E-2</v>
      </c>
      <c r="AE16" s="304">
        <f t="shared" si="15"/>
        <v>0.6</v>
      </c>
      <c r="AF16" s="177">
        <f t="shared" ref="AF16:AF78" si="23">(Hp_vg_s-AG16)/(INDEX(Echel_vg,AH16+1)-AG16)</f>
        <v>0.49914232762570743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2.4991423276257074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'2026'!Wh/'2026'!Env_an*'2027'!Env_an</f>
        <v>16.916481493837537</v>
      </c>
      <c r="C17" s="829"/>
      <c r="D17" s="391">
        <f t="shared" si="0"/>
        <v>17.886374799175382</v>
      </c>
      <c r="E17" s="383">
        <f t="shared" si="1"/>
        <v>18.94125095061532</v>
      </c>
      <c r="F17" s="383">
        <f t="shared" si="2"/>
        <v>18.949652000949364</v>
      </c>
      <c r="G17" s="110">
        <f t="shared" si="21"/>
        <v>0.74779523944475645</v>
      </c>
      <c r="H17" s="412" t="b">
        <f>Wh_hp&gt;='2026'!Maxi_hp</f>
        <v>0</v>
      </c>
      <c r="I17" s="388">
        <f>IF(H17,Wh_hp,'2026'!Maxi_hp)</f>
        <v>25.872417420672249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5.4225258959829103E-2</v>
      </c>
      <c r="M17" s="832"/>
      <c r="N17" s="832"/>
      <c r="O17" s="48">
        <f>IF(t&lt;Tnet,'2026'!Resal+('2026'!Salim-'2026'!Resal)*(1-EXP(('2026'!Tnet-t)/('2026'!Tau_j))),Resal+(Salim-Resal)*(1-EXP((Tnet-t)/(Tau_j))))*Salcycl</f>
        <v>5.5692000184690456E-2</v>
      </c>
      <c r="P17" s="169">
        <f>(INDEX(Models!$BJ17:$BT17,,T17)*(1-R17)+INDEX(Models!$BJ17:$BT17,,T17+1)*R17-ERP_i)*Q17*Ramure*Pc/MaxiM</f>
        <v>6.9273949351100902E-4</v>
      </c>
      <c r="Q17" s="304">
        <f t="shared" si="4"/>
        <v>0.6</v>
      </c>
      <c r="R17" s="177">
        <f t="shared" si="5"/>
        <v>0.97418519784721846</v>
      </c>
      <c r="S17" s="799">
        <f t="shared" si="6"/>
        <v>-2</v>
      </c>
      <c r="T17" s="176">
        <f t="shared" si="7"/>
        <v>4</v>
      </c>
      <c r="U17" s="250">
        <f t="shared" si="8"/>
        <v>-1.0258148021527815</v>
      </c>
      <c r="V17" s="382">
        <f t="shared" si="9"/>
        <v>22.616165080561281</v>
      </c>
      <c r="W17" s="400">
        <f t="shared" si="10"/>
        <v>16.916481493837537</v>
      </c>
      <c r="X17" s="157">
        <f t="shared" si="11"/>
        <v>46390</v>
      </c>
      <c r="Y17" s="383">
        <f t="shared" si="12"/>
        <v>16.267388732533643</v>
      </c>
      <c r="Z17" s="383">
        <f t="shared" si="22"/>
        <v>17.200066809399704</v>
      </c>
      <c r="AA17" s="384">
        <f t="shared" si="13"/>
        <v>18.785605512385121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8.4401788483213475E-2</v>
      </c>
      <c r="AD17" s="230">
        <f>(INDEX(Models!$BJ17:$BT17,,AH17)*(1-AF17)+INDEX(Models!$BJ17:$BT17,,AH17+1)*AF17-ERP_i)*AE17*Ramure*Pc/MaxiM</f>
        <v>1.3527056365768061E-2</v>
      </c>
      <c r="AE17" s="304">
        <f t="shared" si="15"/>
        <v>0.6</v>
      </c>
      <c r="AF17" s="177">
        <f>(Hp_vg_s-AG17)/(INDEX(Echel_vg,AH17+1)-AG17)</f>
        <v>0.49917276422119716</v>
      </c>
      <c r="AG17" s="799">
        <f>INDEX(Echel_vg,AH17)</f>
        <v>2</v>
      </c>
      <c r="AH17" s="176">
        <f t="shared" si="16"/>
        <v>8</v>
      </c>
      <c r="AI17" s="224">
        <f t="shared" si="17"/>
        <v>2.4991727642211972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'2026'!Wh/'2026'!Env_an*'2027'!Env_an</f>
        <v>17.974467826159753</v>
      </c>
      <c r="C18" s="829"/>
      <c r="D18" s="391">
        <f t="shared" si="0"/>
        <v>19.005384188594526</v>
      </c>
      <c r="E18" s="383">
        <f t="shared" si="1"/>
        <v>20.127403014902402</v>
      </c>
      <c r="F18" s="383">
        <f t="shared" si="2"/>
        <v>20.136898629847213</v>
      </c>
      <c r="G18" s="110">
        <f t="shared" si="21"/>
        <v>0.78917522526974548</v>
      </c>
      <c r="H18" s="412" t="b">
        <f>Wh_hp&gt;='2026'!Maxi_hp</f>
        <v>0</v>
      </c>
      <c r="I18" s="388">
        <f>IF(H18,Wh_hp,'2026'!Maxi_hp)</f>
        <v>21.824345162432092</v>
      </c>
      <c r="J18" s="85">
        <f>IF(H18,An,'2026'!An_max)</f>
        <v>2021</v>
      </c>
      <c r="K18" s="197">
        <f t="shared" si="3"/>
        <v>46391</v>
      </c>
      <c r="L18" s="147">
        <f>IF(t&lt;Tvie,1-EXP((T0-t)*PertePVj)+'2026'!Pspv,1-EXP((T0-t)*PertePVj)+Pspv)</f>
        <v>5.424338451697519E-2</v>
      </c>
      <c r="M18" s="832"/>
      <c r="N18" s="832"/>
      <c r="O18" s="48">
        <f>IF(t&lt;Tnet,'2026'!Resal+('2026'!Salim-'2026'!Resal)*(1-EXP(('2026'!Tnet-t)/('2026'!Tau_j))),Resal+(Salim-Resal)*(1-EXP((Tnet-t)/(Tau_j))))*Salcycl</f>
        <v>5.5745831962381247E-2</v>
      </c>
      <c r="P18" s="169">
        <f>(INDEX(Models!$BJ18:$BT18,,T18)*(1-R18)+INDEX(Models!$BJ18:$BT18,,T18+1)*R18-ERP_i)*Q18*Ramure*Pc/MaxiM</f>
        <v>6.7456187112744032E-4</v>
      </c>
      <c r="Q18" s="304">
        <f t="shared" si="4"/>
        <v>0.6</v>
      </c>
      <c r="R18" s="177">
        <f t="shared" si="5"/>
        <v>0.97421690737851363</v>
      </c>
      <c r="S18" s="799">
        <f t="shared" si="6"/>
        <v>-2</v>
      </c>
      <c r="T18" s="176">
        <f t="shared" si="7"/>
        <v>4</v>
      </c>
      <c r="U18" s="250">
        <f t="shared" si="8"/>
        <v>-1.0257830926214864</v>
      </c>
      <c r="V18" s="382">
        <f t="shared" si="9"/>
        <v>22.771643803293419</v>
      </c>
      <c r="W18" s="400">
        <f t="shared" si="10"/>
        <v>17.974467826159753</v>
      </c>
      <c r="X18" s="157">
        <f t="shared" si="11"/>
        <v>46391</v>
      </c>
      <c r="Y18" s="383">
        <f t="shared" si="12"/>
        <v>17.272576873193909</v>
      </c>
      <c r="Z18" s="383">
        <f>Wh_sa_s*(1-Psa_s)</f>
        <v>18.263236640826786</v>
      </c>
      <c r="AA18" s="384">
        <f t="shared" si="13"/>
        <v>19.947288781914416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8.4425114585722924E-2</v>
      </c>
      <c r="AD18" s="230">
        <f>(INDEX(Models!$BJ18:$BT18,,AH18)*(1-AF18)+INDEX(Models!$BJ18:$BT18,,AH18+1)*AF18-ERP_i)*AE18*Ramure*Pc/MaxiM</f>
        <v>1.3469751516791344E-2</v>
      </c>
      <c r="AE18" s="304">
        <f t="shared" si="15"/>
        <v>0.6</v>
      </c>
      <c r="AF18" s="177">
        <f t="shared" si="23"/>
        <v>0.49920447375249211</v>
      </c>
      <c r="AG18" s="799">
        <f t="shared" si="24"/>
        <v>2</v>
      </c>
      <c r="AH18" s="176">
        <f t="shared" si="16"/>
        <v>8</v>
      </c>
      <c r="AI18" s="224">
        <f t="shared" si="17"/>
        <v>2.4992044737524921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'2026'!Wh/'2026'!Env_an*'2027'!Env_an</f>
        <v>14.213071716493827</v>
      </c>
      <c r="C19" s="829"/>
      <c r="D19" s="391">
        <f t="shared" si="0"/>
        <v>15.028543157196939</v>
      </c>
      <c r="E19" s="383">
        <f t="shared" si="1"/>
        <v>15.916689725485931</v>
      </c>
      <c r="F19" s="383">
        <f t="shared" si="2"/>
        <v>15.921478673980213</v>
      </c>
      <c r="G19" s="110">
        <f t="shared" si="21"/>
        <v>0.61948498061548452</v>
      </c>
      <c r="H19" s="412" t="b">
        <f>Wh_hp&gt;='2026'!Maxi_hp</f>
        <v>1</v>
      </c>
      <c r="I19" s="388">
        <f>IF(H19,Wh_hp,'2026'!Maxi_hp)</f>
        <v>15.921478673980213</v>
      </c>
      <c r="J19" s="85">
        <f>IF(H19,An,'2026'!An_max)</f>
        <v>2027</v>
      </c>
      <c r="K19" s="197">
        <f t="shared" si="3"/>
        <v>46392</v>
      </c>
      <c r="L19" s="147">
        <f>IF(t&lt;Tvie,1-EXP((T0-t)*PertePVj)+'2026'!Pspv,1-EXP((T0-t)*PertePVj)+Pspv)</f>
        <v>5.4261509726749146E-2</v>
      </c>
      <c r="M19" s="832"/>
      <c r="N19" s="832"/>
      <c r="O19" s="48">
        <f>IF(t&lt;Tnet,'2026'!Resal+('2026'!Salim-'2026'!Resal)*(1-EXP(('2026'!Tnet-t)/('2026'!Tau_j))),Resal+(Salim-Resal)*(1-EXP((Tnet-t)/(Tau_j))))*Salcycl</f>
        <v>5.5799703556882456E-2</v>
      </c>
      <c r="P19" s="169">
        <f>(INDEX(Models!$BJ19:$BT19,,T19)*(1-R19)+INDEX(Models!$BJ19:$BT19,,T19+1)*R19-ERP_i)*Q19*Ramure*Pc/MaxiM</f>
        <v>6.5857156314969001E-4</v>
      </c>
      <c r="Q19" s="304">
        <f t="shared" si="4"/>
        <v>0.6</v>
      </c>
      <c r="R19" s="177">
        <f t="shared" si="5"/>
        <v>0.97424994291107514</v>
      </c>
      <c r="S19" s="799">
        <f t="shared" si="6"/>
        <v>-2</v>
      </c>
      <c r="T19" s="176">
        <f t="shared" si="7"/>
        <v>4</v>
      </c>
      <c r="U19" s="250">
        <f t="shared" si="8"/>
        <v>-1.0257500570889249</v>
      </c>
      <c r="V19" s="382">
        <f t="shared" si="9"/>
        <v>22.935156445763333</v>
      </c>
      <c r="W19" s="400">
        <f t="shared" si="10"/>
        <v>14.213071716493827</v>
      </c>
      <c r="X19" s="157">
        <f t="shared" si="11"/>
        <v>46392</v>
      </c>
      <c r="Y19" s="383">
        <f t="shared" si="12"/>
        <v>13.7015701621759</v>
      </c>
      <c r="Z19" s="383">
        <f t="shared" si="22"/>
        <v>14.487694328922919</v>
      </c>
      <c r="AA19" s="384">
        <f t="shared" si="13"/>
        <v>15.824009194835321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8.4448564801678269E-2</v>
      </c>
      <c r="AD19" s="230">
        <f>(INDEX(Models!$BJ19:$BT19,,AH19)*(1-AF19)+INDEX(Models!$BJ19:$BT19,,AH19+1)*AF19-ERP_i)*AE19*Ramure*Pc/MaxiM</f>
        <v>1.3403908460589952E-2</v>
      </c>
      <c r="AE19" s="304">
        <f t="shared" si="15"/>
        <v>0.6</v>
      </c>
      <c r="AF19" s="177">
        <f t="shared" si="23"/>
        <v>0.49923750928505406</v>
      </c>
      <c r="AG19" s="799">
        <f t="shared" si="24"/>
        <v>2</v>
      </c>
      <c r="AH19" s="176">
        <f t="shared" si="16"/>
        <v>8</v>
      </c>
      <c r="AI19" s="224">
        <f t="shared" si="17"/>
        <v>2.4992375092850541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'2026'!Wh/'2026'!Env_an*'2027'!Env_an</f>
        <v>20.394137959750491</v>
      </c>
      <c r="C20" s="829"/>
      <c r="D20" s="391">
        <f t="shared" si="0"/>
        <v>21.564659814522251</v>
      </c>
      <c r="E20" s="383">
        <f t="shared" si="1"/>
        <v>22.840377236006717</v>
      </c>
      <c r="F20" s="383">
        <f t="shared" si="2"/>
        <v>22.852640766946642</v>
      </c>
      <c r="G20" s="110">
        <f t="shared" si="21"/>
        <v>0.88252913445918857</v>
      </c>
      <c r="H20" s="412" t="b">
        <f>Wh_hp&gt;='2026'!Maxi_hp</f>
        <v>0</v>
      </c>
      <c r="I20" s="388">
        <f>IF(H20,Wh_hp,'2026'!Maxi_hp)</f>
        <v>25.97684931198668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5.4279634589157633E-2</v>
      </c>
      <c r="M20" s="832"/>
      <c r="N20" s="832"/>
      <c r="O20" s="48">
        <f>IF(t&lt;Tnet,'2026'!Resal+('2026'!Salim-'2026'!Resal)*(1-EXP(('2026'!Tnet-t)/('2026'!Tau_j))),Resal+(Salim-Resal)*(1-EXP((Tnet-t)/(Tau_j))))*Salcycl</f>
        <v>5.5853605582019947E-2</v>
      </c>
      <c r="P20" s="169">
        <f>(INDEX(Models!$BJ20:$BT20,,T20)*(1-R20)+INDEX(Models!$BJ20:$BT20,,T20+1)*R20-ERP_i)*Q20*Ramure*Pc/MaxiM</f>
        <v>6.4474555345846369E-4</v>
      </c>
      <c r="Q20" s="304">
        <f t="shared" si="4"/>
        <v>0.6</v>
      </c>
      <c r="R20" s="177">
        <f t="shared" si="5"/>
        <v>0.9742843597078259</v>
      </c>
      <c r="S20" s="799">
        <f t="shared" si="6"/>
        <v>-2</v>
      </c>
      <c r="T20" s="176">
        <f t="shared" si="7"/>
        <v>4</v>
      </c>
      <c r="U20" s="250">
        <f t="shared" si="8"/>
        <v>-1.0257156402921741</v>
      </c>
      <c r="V20" s="382">
        <f t="shared" si="9"/>
        <v>23.106242232457639</v>
      </c>
      <c r="W20" s="400">
        <f t="shared" si="10"/>
        <v>20.394137959750491</v>
      </c>
      <c r="X20" s="157">
        <f t="shared" si="11"/>
        <v>46393</v>
      </c>
      <c r="Y20" s="383">
        <f t="shared" si="12"/>
        <v>19.567050262652156</v>
      </c>
      <c r="Z20" s="383">
        <f t="shared" si="22"/>
        <v>20.690101406615881</v>
      </c>
      <c r="AA20" s="384">
        <f t="shared" si="13"/>
        <v>22.599094971859891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8.4472124552822339E-2</v>
      </c>
      <c r="AD20" s="230">
        <f>(INDEX(Models!$BJ20:$BT20,,AH20)*(1-AF20)+INDEX(Models!$BJ20:$BT20,,AH20+1)*AF20-ERP_i)*AE20*Ramure*Pc/MaxiM</f>
        <v>1.3329971994283943E-2</v>
      </c>
      <c r="AE20" s="304">
        <f t="shared" si="15"/>
        <v>0.6</v>
      </c>
      <c r="AF20" s="177">
        <f t="shared" si="23"/>
        <v>0.49927192608180482</v>
      </c>
      <c r="AG20" s="799">
        <f t="shared" si="24"/>
        <v>2</v>
      </c>
      <c r="AH20" s="176">
        <f t="shared" si="16"/>
        <v>8</v>
      </c>
      <c r="AI20" s="224">
        <f t="shared" si="17"/>
        <v>2.4992719260818048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'2026'!Wh/'2026'!Env_an*'2027'!Env_an</f>
        <v>9.9998376571860188</v>
      </c>
      <c r="C21" s="829"/>
      <c r="D21" s="391">
        <f t="shared" si="0"/>
        <v>10.573981137777492</v>
      </c>
      <c r="E21" s="383">
        <f t="shared" si="1"/>
        <v>11.200154090598478</v>
      </c>
      <c r="F21" s="383">
        <f t="shared" si="2"/>
        <v>11.201465595566715</v>
      </c>
      <c r="G21" s="110">
        <f t="shared" si="21"/>
        <v>0.42924275595777306</v>
      </c>
      <c r="H21" s="412" t="b">
        <f>Wh_hp&gt;='2026'!Maxi_hp</f>
        <v>0</v>
      </c>
      <c r="I21" s="388">
        <f>IF(H21,Wh_hp,'2026'!Maxi_hp)</f>
        <v>15.082360291680677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5.429775910420731E-2</v>
      </c>
      <c r="M21" s="832"/>
      <c r="N21" s="832"/>
      <c r="O21" s="48">
        <f>IF(t&lt;Tnet,'2026'!Resal+('2026'!Salim-'2026'!Resal)*(1-EXP(('2026'!Tnet-t)/('2026'!Tau_j))),Resal+(Salim-Resal)*(1-EXP((Tnet-t)/(Tau_j))))*Salcycl</f>
        <v>5.5907530178232245E-2</v>
      </c>
      <c r="P21" s="169">
        <f>(INDEX(Models!$BJ21:$BT21,,T21)*(1-R21)+INDEX(Models!$BJ21:$BT21,,T21+1)*R21-ERP_i)*Q21*Ramure*Pc/MaxiM</f>
        <v>6.3305705679304186E-4</v>
      </c>
      <c r="Q21" s="304">
        <f t="shared" si="4"/>
        <v>0.6</v>
      </c>
      <c r="R21" s="177">
        <f t="shared" si="5"/>
        <v>0.97432021531888902</v>
      </c>
      <c r="S21" s="799">
        <f t="shared" si="6"/>
        <v>-2</v>
      </c>
      <c r="T21" s="176">
        <f t="shared" si="7"/>
        <v>4</v>
      </c>
      <c r="U21" s="250">
        <f t="shared" si="8"/>
        <v>-1.025679784681111</v>
      </c>
      <c r="V21" s="382">
        <f t="shared" si="9"/>
        <v>23.284440473010804</v>
      </c>
      <c r="W21" s="400">
        <f t="shared" si="10"/>
        <v>9.9998376571860188</v>
      </c>
      <c r="X21" s="157">
        <f t="shared" si="11"/>
        <v>46394</v>
      </c>
      <c r="Y21" s="383">
        <f t="shared" si="12"/>
        <v>9.6744028799069604</v>
      </c>
      <c r="Z21" s="383">
        <f t="shared" si="22"/>
        <v>10.229861431588789</v>
      </c>
      <c r="AA21" s="384">
        <f t="shared" si="13"/>
        <v>11.174018891546726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8.4495781609265297E-2</v>
      </c>
      <c r="AD21" s="230">
        <f>(INDEX(Models!$BJ21:$BT21,,AH21)*(1-AF21)+INDEX(Models!$BJ21:$BT21,,AH21+1)*AF21-ERP_i)*AE21*Ramure*Pc/MaxiM</f>
        <v>1.3248390274047731E-2</v>
      </c>
      <c r="AE21" s="304">
        <f t="shared" si="15"/>
        <v>0.6</v>
      </c>
      <c r="AF21" s="177">
        <f t="shared" si="23"/>
        <v>0.49930778169286771</v>
      </c>
      <c r="AG21" s="799">
        <f t="shared" si="24"/>
        <v>2</v>
      </c>
      <c r="AH21" s="176">
        <f t="shared" si="16"/>
        <v>8</v>
      </c>
      <c r="AI21" s="224">
        <f t="shared" si="17"/>
        <v>2.4993077816928677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'2026'!Wh/'2026'!Env_an*'2027'!Env_an</f>
        <v>7.1161307438151127</v>
      </c>
      <c r="C22" s="829"/>
      <c r="D22" s="391">
        <f t="shared" si="0"/>
        <v>7.5248495961164101</v>
      </c>
      <c r="E22" s="383">
        <f t="shared" si="1"/>
        <v>7.9709136486475618</v>
      </c>
      <c r="F22" s="383">
        <f t="shared" si="2"/>
        <v>7.9709364403783542</v>
      </c>
      <c r="G22" s="110">
        <f t="shared" si="21"/>
        <v>0.30302212678262064</v>
      </c>
      <c r="H22" s="412" t="b">
        <f>Wh_hp&gt;='2026'!Maxi_hp</f>
        <v>0</v>
      </c>
      <c r="I22" s="388">
        <f>IF(H22,Wh_hp,'2026'!Maxi_hp)</f>
        <v>20.347217475948305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5.4315883271904619E-2</v>
      </c>
      <c r="M22" s="832"/>
      <c r="N22" s="832"/>
      <c r="O22" s="48">
        <f>IF(t&lt;Tnet,'2026'!Resal+('2026'!Salim-'2026'!Resal)*(1-EXP(('2026'!Tnet-t)/('2026'!Tau_j))),Resal+(Salim-Resal)*(1-EXP((Tnet-t)/(Tau_j))))*Salcycl</f>
        <v>5.5961470942146777E-2</v>
      </c>
      <c r="P22" s="169">
        <f>(INDEX(Models!$BJ22:$BT22,,T22)*(1-R22)+INDEX(Models!$BJ22:$BT22,,T22+1)*R22-ERP_i)*Q22*Ramure*Pc/MaxiM</f>
        <v>6.2347601040921492E-4</v>
      </c>
      <c r="Q22" s="304">
        <f t="shared" si="4"/>
        <v>0.6</v>
      </c>
      <c r="R22" s="177">
        <f t="shared" si="5"/>
        <v>0.97435756967488629</v>
      </c>
      <c r="S22" s="799">
        <f t="shared" si="6"/>
        <v>-2</v>
      </c>
      <c r="T22" s="176">
        <f t="shared" si="7"/>
        <v>4</v>
      </c>
      <c r="U22" s="250">
        <f t="shared" si="8"/>
        <v>-1.0256424303251137</v>
      </c>
      <c r="V22" s="382">
        <f t="shared" si="9"/>
        <v>23.469290567753166</v>
      </c>
      <c r="W22" s="400">
        <f t="shared" si="10"/>
        <v>7.1161307438151127</v>
      </c>
      <c r="X22" s="157">
        <f t="shared" si="11"/>
        <v>46395</v>
      </c>
      <c r="Y22" s="383">
        <f t="shared" si="12"/>
        <v>6.9004643340431464</v>
      </c>
      <c r="Z22" s="383">
        <f t="shared" si="22"/>
        <v>7.2967962684173733</v>
      </c>
      <c r="AA22" s="384">
        <f t="shared" si="13"/>
        <v>7.9704553788413994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8.4519525974932494E-2</v>
      </c>
      <c r="AD22" s="230">
        <f>(INDEX(Models!$BJ22:$BT22,,AH22)*(1-AF22)+INDEX(Models!$BJ22:$BT22,,AH22+1)*AF22-ERP_i)*AE22*Ramure*Pc/MaxiM</f>
        <v>1.3159611727323214E-2</v>
      </c>
      <c r="AE22" s="304">
        <f t="shared" si="15"/>
        <v>0.6</v>
      </c>
      <c r="AF22" s="177">
        <f t="shared" si="23"/>
        <v>0.49934513604886499</v>
      </c>
      <c r="AG22" s="799">
        <f t="shared" si="24"/>
        <v>2</v>
      </c>
      <c r="AH22" s="176">
        <f t="shared" si="16"/>
        <v>8</v>
      </c>
      <c r="AI22" s="224">
        <f t="shared" si="17"/>
        <v>2.499345136048865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'2026'!Wh/'2026'!Env_an*'2027'!Env_an</f>
        <v>2.1243101732683995</v>
      </c>
      <c r="C23" s="829"/>
      <c r="D23" s="391">
        <f t="shared" si="0"/>
        <v>2.2463641382900414</v>
      </c>
      <c r="E23" s="383">
        <f t="shared" si="1"/>
        <v>2.3796619061950341</v>
      </c>
      <c r="F23" s="383">
        <f t="shared" si="2"/>
        <v>2.3796619061950341</v>
      </c>
      <c r="G23" s="110">
        <f t="shared" si="21"/>
        <v>8.9717452261240074E-2</v>
      </c>
      <c r="H23" s="412" t="b">
        <f>Wh_hp&gt;='2026'!Maxi_hp</f>
        <v>0</v>
      </c>
      <c r="I23" s="388">
        <f>IF(H23,Wh_hp,'2026'!Maxi_hp)</f>
        <v>25.649292652260151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5.4334007092256553E-2</v>
      </c>
      <c r="M23" s="832"/>
      <c r="N23" s="832"/>
      <c r="O23" s="48">
        <f>IF(t&lt;Tnet,'2026'!Resal+('2026'!Salim-'2026'!Resal)*(1-EXP(('2026'!Tnet-t)/('2026'!Tau_j))),Resal+(Salim-Resal)*(1-EXP((Tnet-t)/(Tau_j))))*Salcycl</f>
        <v>5.6015422845562768E-2</v>
      </c>
      <c r="P23" s="169">
        <f>(INDEX(Models!$BJ23:$BT23,,T23)*(1-R23)+INDEX(Models!$BJ23:$BT23,,T23+1)*R23-ERP_i)*Q23*Ramure*Pc/MaxiM</f>
        <v>6.1589501024045821E-4</v>
      </c>
      <c r="Q23" s="304">
        <f t="shared" si="4"/>
        <v>0.6</v>
      </c>
      <c r="R23" s="177">
        <f t="shared" si="5"/>
        <v>0.9743964851839213</v>
      </c>
      <c r="S23" s="799">
        <f t="shared" si="6"/>
        <v>-2</v>
      </c>
      <c r="T23" s="176">
        <f t="shared" si="7"/>
        <v>4</v>
      </c>
      <c r="U23" s="250">
        <f t="shared" si="8"/>
        <v>-1.0256035148160787</v>
      </c>
      <c r="V23" s="382">
        <f t="shared" si="9"/>
        <v>23.663197825220276</v>
      </c>
      <c r="W23" s="400">
        <f t="shared" si="10"/>
        <v>2.1243101732683995</v>
      </c>
      <c r="X23" s="157">
        <f t="shared" si="11"/>
        <v>46396</v>
      </c>
      <c r="Y23" s="383">
        <f t="shared" si="12"/>
        <v>2.0601119153434286</v>
      </c>
      <c r="Z23" s="383">
        <f t="shared" si="22"/>
        <v>2.1784773173549103</v>
      </c>
      <c r="AA23" s="384">
        <f t="shared" si="13"/>
        <v>2.3796619061950341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8.4543349757532749E-2</v>
      </c>
      <c r="AD23" s="230">
        <f>(INDEX(Models!$BJ23:$BT23,,AH23)*(1-AF23)+INDEX(Models!$BJ23:$BT23,,AH23+1)*AF23-ERP_i)*AE23*Ramure*Pc/MaxiM</f>
        <v>1.3062500990190972E-2</v>
      </c>
      <c r="AE23" s="304">
        <f t="shared" si="15"/>
        <v>0.6</v>
      </c>
      <c r="AF23" s="177">
        <f t="shared" si="23"/>
        <v>0.49938405155790022</v>
      </c>
      <c r="AG23" s="799">
        <f t="shared" si="24"/>
        <v>2</v>
      </c>
      <c r="AH23" s="176">
        <f t="shared" si="16"/>
        <v>8</v>
      </c>
      <c r="AI23" s="224">
        <f t="shared" si="17"/>
        <v>2.4993840515579002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'2026'!Wh/'2026'!Env_an*'2027'!Env_an</f>
        <v>1.7419322537406297</v>
      </c>
      <c r="C24" s="829"/>
      <c r="D24" s="391">
        <f t="shared" si="0"/>
        <v>1.8420516875714905</v>
      </c>
      <c r="E24" s="383">
        <f t="shared" si="1"/>
        <v>1.9514693693879472</v>
      </c>
      <c r="F24" s="383">
        <f t="shared" si="2"/>
        <v>1.9514693693879472</v>
      </c>
      <c r="G24" s="110">
        <f t="shared" si="21"/>
        <v>7.2936252321565129E-2</v>
      </c>
      <c r="H24" s="412" t="b">
        <f>Wh_hp&gt;='2026'!Maxi_hp</f>
        <v>0</v>
      </c>
      <c r="I24" s="388">
        <f>IF(H24,Wh_hp,'2026'!Maxi_hp)</f>
        <v>9.0351524420219071</v>
      </c>
      <c r="J24" s="85">
        <f>IF(H24,An,'2026'!An_max)</f>
        <v>2020</v>
      </c>
      <c r="K24" s="197">
        <f t="shared" si="3"/>
        <v>46397</v>
      </c>
      <c r="L24" s="147">
        <f>IF(t&lt;Tvie,1-EXP((T0-t)*PertePVj)+'2026'!Pspv,1-EXP((T0-t)*PertePVj)+Pspv)</f>
        <v>5.4352130565269552E-2</v>
      </c>
      <c r="M24" s="832"/>
      <c r="N24" s="832"/>
      <c r="O24" s="48">
        <f>IF(t&lt;Tnet,'2026'!Resal+('2026'!Salim-'2026'!Resal)*(1-EXP(('2026'!Tnet-t)/('2026'!Tau_j))),Resal+(Salim-Resal)*(1-EXP((Tnet-t)/(Tau_j))))*Salcycl</f>
        <v>5.6069382144990632E-2</v>
      </c>
      <c r="P24" s="169">
        <f>(INDEX(Models!$BJ24:$BT24,,T24)*(1-R24)+INDEX(Models!$BJ24:$BT24,,T24+1)*R24-ERP_i)*Q24*Ramure*Pc/MaxiM</f>
        <v>6.096036785570465E-4</v>
      </c>
      <c r="Q24" s="304">
        <f t="shared" si="4"/>
        <v>0.6</v>
      </c>
      <c r="R24" s="177">
        <f t="shared" si="5"/>
        <v>0.97443702683239097</v>
      </c>
      <c r="S24" s="799">
        <f t="shared" si="6"/>
        <v>-2</v>
      </c>
      <c r="T24" s="176">
        <f t="shared" si="7"/>
        <v>4</v>
      </c>
      <c r="U24" s="250">
        <f t="shared" si="8"/>
        <v>-1.025562973167609</v>
      </c>
      <c r="V24" s="382">
        <f t="shared" si="9"/>
        <v>23.86838245754269</v>
      </c>
      <c r="W24" s="400">
        <f t="shared" si="10"/>
        <v>1.7419322537406297</v>
      </c>
      <c r="X24" s="157">
        <f t="shared" si="11"/>
        <v>46397</v>
      </c>
      <c r="Y24" s="383">
        <f t="shared" si="12"/>
        <v>1.6893422126316999</v>
      </c>
      <c r="Z24" s="383">
        <f t="shared" si="22"/>
        <v>1.7864389771654849</v>
      </c>
      <c r="AA24" s="384">
        <f t="shared" si="13"/>
        <v>1.9514693693879472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8.4567247024851799E-2</v>
      </c>
      <c r="AD24" s="230">
        <f>(INDEX(Models!$BJ24:$BT24,,AH24)*(1-AF24)+INDEX(Models!$BJ24:$BT24,,AH24+1)*AF24-ERP_i)*AE24*Ramure*Pc/MaxiM</f>
        <v>1.295487385282843E-2</v>
      </c>
      <c r="AE24" s="304">
        <f t="shared" si="15"/>
        <v>0.6</v>
      </c>
      <c r="AF24" s="177">
        <f t="shared" si="23"/>
        <v>0.49942459320636967</v>
      </c>
      <c r="AG24" s="799">
        <f t="shared" si="24"/>
        <v>2</v>
      </c>
      <c r="AH24" s="176">
        <f t="shared" si="16"/>
        <v>8</v>
      </c>
      <c r="AI24" s="224">
        <f t="shared" si="17"/>
        <v>2.4994245932063697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'2026'!Wh/'2026'!Env_an*'2027'!Env_an</f>
        <v>24.416497568705807</v>
      </c>
      <c r="C25" s="829"/>
      <c r="D25" s="391">
        <f t="shared" si="0"/>
        <v>25.820356925115206</v>
      </c>
      <c r="E25" s="383">
        <f t="shared" si="1"/>
        <v>27.35564739675808</v>
      </c>
      <c r="F25" s="383">
        <f t="shared" si="2"/>
        <v>27.372177107233075</v>
      </c>
      <c r="G25" s="110">
        <f t="shared" si="21"/>
        <v>1.0138014686256271</v>
      </c>
      <c r="H25" s="412" t="b">
        <f>Wh_hp&gt;='2026'!Maxi_hp</f>
        <v>1</v>
      </c>
      <c r="I25" s="388">
        <f>IF(H25,Wh_hp,'2026'!Maxi_hp)</f>
        <v>27.372177107233075</v>
      </c>
      <c r="J25" s="85">
        <f>IF(H25,An,'2026'!An_max)</f>
        <v>2027</v>
      </c>
      <c r="K25" s="197">
        <f t="shared" si="3"/>
        <v>46398</v>
      </c>
      <c r="L25" s="147">
        <f>IF(t&lt;Tvie,1-EXP((T0-t)*PertePVj)+'2026'!Pspv,1-EXP((T0-t)*PertePVj)+Pspv)</f>
        <v>5.4370253690950276E-2</v>
      </c>
      <c r="M25" s="832"/>
      <c r="N25" s="832"/>
      <c r="O25" s="48">
        <f>IF(t&lt;Tnet,'2026'!Resal+('2026'!Salim-'2026'!Resal)*(1-EXP(('2026'!Tnet-t)/('2026'!Tau_j))),Resal+(Salim-Resal)*(1-EXP((Tnet-t)/(Tau_j))))*Salcycl</f>
        <v>5.6123346282962401E-2</v>
      </c>
      <c r="P25" s="169">
        <f>(INDEX(Models!$BJ25:$BT25,,T25)*(1-R25)+INDEX(Models!$BJ25:$BT25,,T25+1)*R25-ERP_i)*Q25*Ramure*Pc/MaxiM</f>
        <v>6.0388731266207906E-4</v>
      </c>
      <c r="Q25" s="304">
        <f t="shared" si="4"/>
        <v>0.6</v>
      </c>
      <c r="R25" s="177">
        <f t="shared" si="5"/>
        <v>0.9744792622897569</v>
      </c>
      <c r="S25" s="799">
        <f t="shared" si="6"/>
        <v>-2</v>
      </c>
      <c r="T25" s="176">
        <f t="shared" si="7"/>
        <v>4</v>
      </c>
      <c r="U25" s="250">
        <f t="shared" si="8"/>
        <v>-1.0255207377102431</v>
      </c>
      <c r="V25" s="382">
        <f t="shared" si="9"/>
        <v>24.084101596150123</v>
      </c>
      <c r="W25" s="400">
        <f t="shared" si="10"/>
        <v>24.416497568705807</v>
      </c>
      <c r="X25" s="157">
        <f t="shared" si="11"/>
        <v>46398</v>
      </c>
      <c r="Y25" s="383">
        <f t="shared" si="12"/>
        <v>23.390161371992111</v>
      </c>
      <c r="Z25" s="383">
        <f t="shared" si="22"/>
        <v>24.735010148832355</v>
      </c>
      <c r="AA25" s="384">
        <f t="shared" si="13"/>
        <v>27.020726169166579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8.4591213649263794E-2</v>
      </c>
      <c r="AD25" s="230">
        <f>(INDEX(Models!$BJ25:$BT25,,AH25)*(1-AF25)+INDEX(Models!$BJ25:$BT25,,AH25+1)*AF25-ERP_i)*AE25*Ramure*Pc/MaxiM</f>
        <v>1.283971445492452E-2</v>
      </c>
      <c r="AE25" s="304">
        <f t="shared" si="15"/>
        <v>0.6</v>
      </c>
      <c r="AF25" s="177">
        <f t="shared" si="23"/>
        <v>0.49946682866373582</v>
      </c>
      <c r="AG25" s="799">
        <f t="shared" si="24"/>
        <v>2</v>
      </c>
      <c r="AH25" s="176">
        <f t="shared" si="16"/>
        <v>8</v>
      </c>
      <c r="AI25" s="224">
        <f t="shared" si="17"/>
        <v>2.4994668286637358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'2026'!Wh/'2026'!Env_an*'2027'!Env_an</f>
        <v>21.222996826873899</v>
      </c>
      <c r="C26" s="829"/>
      <c r="D26" s="391">
        <f t="shared" si="0"/>
        <v>22.443671692224076</v>
      </c>
      <c r="E26" s="383">
        <f t="shared" si="1"/>
        <v>23.779542513612704</v>
      </c>
      <c r="F26" s="383">
        <f t="shared" si="2"/>
        <v>23.791203746694691</v>
      </c>
      <c r="G26" s="110">
        <f t="shared" si="21"/>
        <v>0.87293475245629026</v>
      </c>
      <c r="H26" s="412" t="b">
        <f>Wh_hp&gt;='2026'!Maxi_hp</f>
        <v>0</v>
      </c>
      <c r="I26" s="388">
        <f>IF(H26,Wh_hp,'2026'!Maxi_hp)</f>
        <v>27.37093962937724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5.4388376469305499E-2</v>
      </c>
      <c r="M26" s="832"/>
      <c r="N26" s="832"/>
      <c r="O26" s="48">
        <f>IF(t&lt;Tnet,'2026'!Resal+('2026'!Salim-'2026'!Resal)*(1-EXP(('2026'!Tnet-t)/('2026'!Tau_j))),Resal+(Salim-Resal)*(1-EXP((Tnet-t)/(Tau_j))))*Salcycl</f>
        <v>5.6177313782378349E-2</v>
      </c>
      <c r="P26" s="169">
        <f>(INDEX(Models!$BJ26:$BT26,,T26)*(1-R26)+INDEX(Models!$BJ26:$BT26,,T26+1)*R26-ERP_i)*Q26*Ramure*Pc/MaxiM</f>
        <v>5.9875483325235444E-4</v>
      </c>
      <c r="Q26" s="304">
        <f t="shared" si="4"/>
        <v>0.6</v>
      </c>
      <c r="R26" s="177">
        <f t="shared" si="5"/>
        <v>0.974523262017428</v>
      </c>
      <c r="S26" s="799">
        <f t="shared" si="6"/>
        <v>-2</v>
      </c>
      <c r="T26" s="176">
        <f t="shared" si="7"/>
        <v>4</v>
      </c>
      <c r="U26" s="250">
        <f t="shared" si="8"/>
        <v>-1.025476737982572</v>
      </c>
      <c r="V26" s="382">
        <f t="shared" si="9"/>
        <v>24.309595527183308</v>
      </c>
      <c r="W26" s="400">
        <f t="shared" si="10"/>
        <v>21.222996826873899</v>
      </c>
      <c r="X26" s="157">
        <f t="shared" si="11"/>
        <v>46399</v>
      </c>
      <c r="Y26" s="383">
        <f t="shared" si="12"/>
        <v>20.379230942347721</v>
      </c>
      <c r="Z26" s="383">
        <f t="shared" si="22"/>
        <v>21.55137525304141</v>
      </c>
      <c r="AA26" s="384">
        <f t="shared" si="13"/>
        <v>23.543515648216648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8.4615247142418054E-2</v>
      </c>
      <c r="AD26" s="230">
        <f>(INDEX(Models!$BJ26:$BT26,,AH26)*(1-AF26)+INDEX(Models!$BJ26:$BT26,,AH26+1)*AF26-ERP_i)*AE26*Ramure*Pc/MaxiM</f>
        <v>1.2717732769779838E-2</v>
      </c>
      <c r="AE26" s="304">
        <f t="shared" si="15"/>
        <v>0.6</v>
      </c>
      <c r="AF26" s="177">
        <f t="shared" si="23"/>
        <v>0.49951082839140692</v>
      </c>
      <c r="AG26" s="799">
        <f t="shared" si="24"/>
        <v>2</v>
      </c>
      <c r="AH26" s="176">
        <f t="shared" si="16"/>
        <v>8</v>
      </c>
      <c r="AI26" s="224">
        <f t="shared" si="17"/>
        <v>2.4995108283914069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'2026'!Wh/'2026'!Env_an*'2027'!Env_an</f>
        <v>5.4399623129982748</v>
      </c>
      <c r="C27" s="829"/>
      <c r="D27" s="391">
        <f t="shared" si="0"/>
        <v>5.7529607666211584</v>
      </c>
      <c r="E27" s="383">
        <f t="shared" si="1"/>
        <v>6.095731581174034</v>
      </c>
      <c r="F27" s="383">
        <f t="shared" si="2"/>
        <v>6.095731581174034</v>
      </c>
      <c r="G27" s="110">
        <f t="shared" si="21"/>
        <v>0.22150858121819922</v>
      </c>
      <c r="H27" s="412" t="b">
        <f>Wh_hp&gt;='2026'!Maxi_hp</f>
        <v>0</v>
      </c>
      <c r="I27" s="388">
        <f>IF(H27,Wh_hp,'2026'!Maxi_hp)</f>
        <v>16.17097757884445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5.4406498900341771E-2</v>
      </c>
      <c r="M27" s="832"/>
      <c r="N27" s="832"/>
      <c r="O27" s="48">
        <f>IF(t&lt;Tnet,'2026'!Resal+('2026'!Salim-'2026'!Resal)*(1-EXP(('2026'!Tnet-t)/('2026'!Tau_j))),Resal+(Salim-Resal)*(1-EXP((Tnet-t)/(Tau_j))))*Salcycl</f>
        <v>5.6231284135194542E-2</v>
      </c>
      <c r="P27" s="169">
        <f>(INDEX(Models!$BJ27:$BT27,,T27)*(1-R27)+INDEX(Models!$BJ27:$BT27,,T27+1)*R27-ERP_i)*Q27*Ramure*Pc/MaxiM</f>
        <v>5.9421301317968533E-4</v>
      </c>
      <c r="Q27" s="304">
        <f t="shared" si="4"/>
        <v>0.6</v>
      </c>
      <c r="R27" s="177">
        <f t="shared" si="5"/>
        <v>0.97456909938189717</v>
      </c>
      <c r="S27" s="799">
        <f t="shared" si="6"/>
        <v>-2</v>
      </c>
      <c r="T27" s="176">
        <f t="shared" si="7"/>
        <v>4</v>
      </c>
      <c r="U27" s="250">
        <f t="shared" si="8"/>
        <v>-1.0254309006181028</v>
      </c>
      <c r="V27" s="382">
        <f t="shared" si="9"/>
        <v>24.544104732652229</v>
      </c>
      <c r="W27" s="400">
        <f t="shared" si="10"/>
        <v>5.4399623129982748</v>
      </c>
      <c r="X27" s="157">
        <f t="shared" si="11"/>
        <v>46400</v>
      </c>
      <c r="Y27" s="383">
        <f t="shared" si="12"/>
        <v>5.2762158505920622</v>
      </c>
      <c r="Z27" s="383">
        <f t="shared" si="22"/>
        <v>5.5797928438131157</v>
      </c>
      <c r="AA27" s="384">
        <f t="shared" si="13"/>
        <v>6.095731581174034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8.4639346482108135E-2</v>
      </c>
      <c r="AD27" s="230">
        <f>(INDEX(Models!$BJ27:$BT27,,AH27)*(1-AF27)+INDEX(Models!$BJ27:$BT27,,AH27+1)*AF27-ERP_i)*AE27*Ramure*Pc/MaxiM</f>
        <v>1.2589619081168103E-2</v>
      </c>
      <c r="AE27" s="304">
        <f t="shared" si="15"/>
        <v>0.6</v>
      </c>
      <c r="AF27" s="177">
        <f t="shared" si="23"/>
        <v>0.49955666575587587</v>
      </c>
      <c r="AG27" s="799">
        <f t="shared" si="24"/>
        <v>2</v>
      </c>
      <c r="AH27" s="176">
        <f t="shared" si="16"/>
        <v>8</v>
      </c>
      <c r="AI27" s="224">
        <f t="shared" si="17"/>
        <v>2.4995566657558759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'2026'!Wh/'2026'!Env_an*'2027'!Env_an</f>
        <v>25.813759483864999</v>
      </c>
      <c r="C28" s="829"/>
      <c r="D28" s="391">
        <f t="shared" si="0"/>
        <v>27.299525830219405</v>
      </c>
      <c r="E28" s="383">
        <f t="shared" si="1"/>
        <v>28.927730601413735</v>
      </c>
      <c r="F28" s="383">
        <f t="shared" si="2"/>
        <v>28.9448157619047</v>
      </c>
      <c r="G28" s="110">
        <f t="shared" si="21"/>
        <v>1.0414287719294832</v>
      </c>
      <c r="H28" s="412" t="b">
        <f>Wh_hp&gt;='2026'!Maxi_hp</f>
        <v>1</v>
      </c>
      <c r="I28" s="388">
        <f>IF(H28,Wh_hp,'2026'!Maxi_hp)</f>
        <v>28.9448157619047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5.4424620984065863E-2</v>
      </c>
      <c r="M28" s="832"/>
      <c r="N28" s="832"/>
      <c r="O28" s="48">
        <f>IF(t&lt;Tnet,'2026'!Resal+('2026'!Salim-'2026'!Resal)*(1-EXP(('2026'!Tnet-t)/('2026'!Tau_j))),Resal+(Salim-Resal)*(1-EXP((Tnet-t)/(Tau_j))))*Salcycl</f>
        <v>5.62852576867802E-2</v>
      </c>
      <c r="P28" s="169">
        <f>(INDEX(Models!$BJ28:$BT28,,T28)*(1-R28)+INDEX(Models!$BJ28:$BT28,,T28+1)*R28-ERP_i)*Q28*Ramure*Pc/MaxiM</f>
        <v>5.902666864941908E-4</v>
      </c>
      <c r="Q28" s="304">
        <f t="shared" si="4"/>
        <v>0.6</v>
      </c>
      <c r="R28" s="177">
        <f t="shared" si="5"/>
        <v>0.97461685077228677</v>
      </c>
      <c r="S28" s="799">
        <f t="shared" si="6"/>
        <v>-2</v>
      </c>
      <c r="T28" s="176">
        <f t="shared" si="7"/>
        <v>4</v>
      </c>
      <c r="U28" s="250">
        <f t="shared" si="8"/>
        <v>-1.0253831492277132</v>
      </c>
      <c r="V28" s="382">
        <f t="shared" si="9"/>
        <v>24.786869903775703</v>
      </c>
      <c r="W28" s="400">
        <f t="shared" si="10"/>
        <v>25.813759483864999</v>
      </c>
      <c r="X28" s="157">
        <f t="shared" si="11"/>
        <v>46401</v>
      </c>
      <c r="Y28" s="383">
        <f t="shared" si="12"/>
        <v>24.740254179552437</v>
      </c>
      <c r="Z28" s="383">
        <f t="shared" si="22"/>
        <v>26.164232623421061</v>
      </c>
      <c r="AA28" s="384">
        <f t="shared" si="13"/>
        <v>28.584277983591161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8.4663511933354751E-2</v>
      </c>
      <c r="AD28" s="230">
        <f>(INDEX(Models!$BJ28:$BT28,,AH28)*(1-AF28)+INDEX(Models!$BJ28:$BT28,,AH28+1)*AF28-ERP_i)*AE28*Ramure*Pc/MaxiM</f>
        <v>1.2456039840752914E-2</v>
      </c>
      <c r="AE28" s="304">
        <f t="shared" si="15"/>
        <v>0.6</v>
      </c>
      <c r="AF28" s="177">
        <f t="shared" si="23"/>
        <v>0.49960441714626525</v>
      </c>
      <c r="AG28" s="799">
        <f t="shared" si="24"/>
        <v>2</v>
      </c>
      <c r="AH28" s="176">
        <f t="shared" si="16"/>
        <v>8</v>
      </c>
      <c r="AI28" s="224">
        <f t="shared" si="17"/>
        <v>2.4996044171462652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'2026'!Wh/'2026'!Env_an*'2027'!Env_an</f>
        <v>26.115096812351808</v>
      </c>
      <c r="C29" s="829"/>
      <c r="D29" s="391">
        <f t="shared" si="0"/>
        <v>27.618736582370637</v>
      </c>
      <c r="E29" s="383">
        <f t="shared" si="1"/>
        <v>29.267653824211294</v>
      </c>
      <c r="F29" s="383">
        <f t="shared" si="2"/>
        <v>29.284841653101804</v>
      </c>
      <c r="G29" s="110">
        <f t="shared" si="21"/>
        <v>1.0430546469739896</v>
      </c>
      <c r="H29" s="412" t="b">
        <f>Wh_hp&gt;='2026'!Maxi_hp</f>
        <v>1</v>
      </c>
      <c r="I29" s="388">
        <f>IF(H29,Wh_hp,'2026'!Maxi_hp)</f>
        <v>29.284841653101804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5.4442742720484216E-2</v>
      </c>
      <c r="M29" s="832"/>
      <c r="N29" s="832"/>
      <c r="O29" s="48">
        <f>IF(t&lt;Tnet,'2026'!Resal+('2026'!Salim-'2026'!Resal)*(1-EXP(('2026'!Tnet-t)/('2026'!Tau_j))),Resal+(Salim-Resal)*(1-EXP((Tnet-t)/(Tau_j))))*Salcycl</f>
        <v>5.6339235517286708E-2</v>
      </c>
      <c r="P29" s="169">
        <f>(INDEX(Models!$BJ29:$BT29,,T29)*(1-R29)+INDEX(Models!$BJ29:$BT29,,T29+1)*R29-ERP_i)*Q29*Ramure*Pc/MaxiM</f>
        <v>5.8691896285830586E-4</v>
      </c>
      <c r="Q29" s="304">
        <f t="shared" si="4"/>
        <v>0.6</v>
      </c>
      <c r="R29" s="177">
        <f t="shared" si="5"/>
        <v>0.97466659572245895</v>
      </c>
      <c r="S29" s="799">
        <f t="shared" si="6"/>
        <v>-2</v>
      </c>
      <c r="T29" s="176">
        <f t="shared" si="7"/>
        <v>4</v>
      </c>
      <c r="U29" s="250">
        <f t="shared" si="8"/>
        <v>-1.025333404277541</v>
      </c>
      <c r="V29" s="382">
        <f t="shared" si="9"/>
        <v>25.037131935622384</v>
      </c>
      <c r="W29" s="400">
        <f t="shared" si="10"/>
        <v>26.115096812351808</v>
      </c>
      <c r="X29" s="157">
        <f t="shared" si="11"/>
        <v>46402</v>
      </c>
      <c r="Y29" s="383">
        <f t="shared" si="12"/>
        <v>25.03325304392753</v>
      </c>
      <c r="Z29" s="383">
        <f t="shared" si="22"/>
        <v>26.474603046198673</v>
      </c>
      <c r="AA29" s="384">
        <f t="shared" si="13"/>
        <v>28.924121683824055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8.4687744865742487E-2</v>
      </c>
      <c r="AD29" s="230">
        <f>(INDEX(Models!$BJ29:$BT29,,AH29)*(1-AF29)+INDEX(Models!$BJ29:$BT29,,AH29+1)*AF29-ERP_i)*AE29*Ramure*Pc/MaxiM</f>
        <v>1.2317634274779927E-2</v>
      </c>
      <c r="AE29" s="304">
        <f t="shared" si="15"/>
        <v>0.6</v>
      </c>
      <c r="AF29" s="177">
        <f t="shared" si="23"/>
        <v>0.49965416209643765</v>
      </c>
      <c r="AG29" s="799">
        <f t="shared" si="24"/>
        <v>2</v>
      </c>
      <c r="AH29" s="176">
        <f t="shared" si="16"/>
        <v>8</v>
      </c>
      <c r="AI29" s="224">
        <f t="shared" si="17"/>
        <v>2.4996541620964376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'2026'!Wh/'2026'!Env_an*'2027'!Env_an</f>
        <v>25.548211373956779</v>
      </c>
      <c r="C30" s="829"/>
      <c r="D30" s="391">
        <f t="shared" si="0"/>
        <v>27.019729172710036</v>
      </c>
      <c r="E30" s="383">
        <f t="shared" si="1"/>
        <v>28.634522055127377</v>
      </c>
      <c r="F30" s="383">
        <f t="shared" si="2"/>
        <v>28.65123538605047</v>
      </c>
      <c r="G30" s="110">
        <f t="shared" si="21"/>
        <v>1.010044152286218</v>
      </c>
      <c r="H30" s="412" t="b">
        <f>Wh_hp&gt;='2026'!Maxi_hp</f>
        <v>1</v>
      </c>
      <c r="I30" s="388">
        <f>IF(H30,Wh_hp,'2026'!Maxi_hp)</f>
        <v>28.65123538605047</v>
      </c>
      <c r="J30" s="85">
        <f>IF(H30,An,'2026'!An_max)</f>
        <v>2027</v>
      </c>
      <c r="K30" s="197">
        <f t="shared" si="3"/>
        <v>46403</v>
      </c>
      <c r="L30" s="147">
        <f>IF(t&lt;Tvie,1-EXP((T0-t)*PertePVj)+'2026'!Pspv,1-EXP((T0-t)*PertePVj)+Pspv)</f>
        <v>5.4460864109603713E-2</v>
      </c>
      <c r="M30" s="832"/>
      <c r="N30" s="832"/>
      <c r="O30" s="48">
        <f>IF(t&lt;Tnet,'2026'!Resal+('2026'!Salim-'2026'!Resal)*(1-EXP(('2026'!Tnet-t)/('2026'!Tau_j))),Resal+(Salim-Resal)*(1-EXP((Tnet-t)/(Tau_j))))*Salcycl</f>
        <v>5.6393219321367753E-2</v>
      </c>
      <c r="P30" s="169">
        <f>(INDEX(Models!$BJ30:$BT30,,T30)*(1-R30)+INDEX(Models!$BJ30:$BT30,,T30+1)*R30-ERP_i)*Q30*Ramure*Pc/MaxiM</f>
        <v>5.8333718242502524E-4</v>
      </c>
      <c r="Q30" s="304">
        <f t="shared" si="4"/>
        <v>0.6</v>
      </c>
      <c r="R30" s="177">
        <f t="shared" si="5"/>
        <v>0.97471841703785222</v>
      </c>
      <c r="S30" s="799">
        <f t="shared" si="6"/>
        <v>-2</v>
      </c>
      <c r="T30" s="176">
        <f t="shared" si="7"/>
        <v>4</v>
      </c>
      <c r="U30" s="250">
        <f t="shared" si="8"/>
        <v>-1.0252815829621478</v>
      </c>
      <c r="V30" s="382">
        <f t="shared" si="9"/>
        <v>25.294153048783887</v>
      </c>
      <c r="W30" s="400">
        <f t="shared" si="10"/>
        <v>25.548211373956779</v>
      </c>
      <c r="X30" s="157">
        <f t="shared" si="11"/>
        <v>46403</v>
      </c>
      <c r="Y30" s="383">
        <f t="shared" si="12"/>
        <v>24.494209567765338</v>
      </c>
      <c r="Z30" s="383">
        <f t="shared" si="22"/>
        <v>25.905019303827764</v>
      </c>
      <c r="AA30" s="384">
        <f t="shared" si="13"/>
        <v>28.302589622233299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8.4712047569036178E-2</v>
      </c>
      <c r="AD30" s="230">
        <f>(INDEX(Models!$BJ30:$BT30,,AH30)*(1-AF30)+INDEX(Models!$BJ30:$BT30,,AH30+1)*AF30-ERP_i)*AE30*Ramure*Pc/MaxiM</f>
        <v>1.216861189821212E-2</v>
      </c>
      <c r="AE30" s="304">
        <f t="shared" si="15"/>
        <v>0.6</v>
      </c>
      <c r="AF30" s="177">
        <f t="shared" si="23"/>
        <v>0.49970598341183114</v>
      </c>
      <c r="AG30" s="799">
        <f t="shared" si="24"/>
        <v>2</v>
      </c>
      <c r="AH30" s="176">
        <f t="shared" si="16"/>
        <v>8</v>
      </c>
      <c r="AI30" s="224">
        <f t="shared" si="17"/>
        <v>2.4997059834118311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'2026'!Wh/'2026'!Env_an*'2027'!Env_an</f>
        <v>11.796646909448764</v>
      </c>
      <c r="C31" s="829"/>
      <c r="D31" s="391">
        <f t="shared" si="0"/>
        <v>12.476345553607889</v>
      </c>
      <c r="E31" s="383">
        <f t="shared" si="1"/>
        <v>13.222731894665024</v>
      </c>
      <c r="F31" s="383">
        <f t="shared" si="2"/>
        <v>13.224497170305185</v>
      </c>
      <c r="G31" s="110">
        <f t="shared" si="21"/>
        <v>0.46137276010537381</v>
      </c>
      <c r="H31" s="412" t="b">
        <f>Wh_hp&gt;='2026'!Maxi_hp</f>
        <v>1</v>
      </c>
      <c r="I31" s="388">
        <f>IF(H31,Wh_hp,'2026'!Maxi_hp)</f>
        <v>13.224497170305185</v>
      </c>
      <c r="J31" s="85">
        <f>IF(H31,An,'2026'!An_max)</f>
        <v>2027</v>
      </c>
      <c r="K31" s="197">
        <f t="shared" si="3"/>
        <v>46404</v>
      </c>
      <c r="L31" s="147">
        <f>IF(t&lt;Tvie,1-EXP((T0-t)*PertePVj)+'2026'!Pspv,1-EXP((T0-t)*PertePVj)+Pspv)</f>
        <v>5.4478985151430903E-2</v>
      </c>
      <c r="M31" s="832"/>
      <c r="N31" s="832"/>
      <c r="O31" s="48">
        <f>IF(t&lt;Tnet,'2026'!Resal+('2026'!Salim-'2026'!Resal)*(1-EXP(('2026'!Tnet-t)/('2026'!Tau_j))),Resal+(Salim-Resal)*(1-EXP((Tnet-t)/(Tau_j))))*Salcycl</f>
        <v>5.6447211287576626E-2</v>
      </c>
      <c r="P31" s="169">
        <f>(INDEX(Models!$BJ31:$BT31,,T31)*(1-R31)+INDEX(Models!$BJ31:$BT31,,T31+1)*R31-ERP_i)*Q31*Ramure*Pc/MaxiM</f>
        <v>5.7829428304612053E-4</v>
      </c>
      <c r="Q31" s="304">
        <f t="shared" si="4"/>
        <v>0.6</v>
      </c>
      <c r="R31" s="177">
        <f t="shared" si="5"/>
        <v>0.9747724009272063</v>
      </c>
      <c r="S31" s="799">
        <f t="shared" si="6"/>
        <v>-2</v>
      </c>
      <c r="T31" s="176">
        <f t="shared" si="7"/>
        <v>4</v>
      </c>
      <c r="U31" s="250">
        <f t="shared" si="8"/>
        <v>-1.0252275990727937</v>
      </c>
      <c r="V31" s="382">
        <f t="shared" si="9"/>
        <v>25.557206609726315</v>
      </c>
      <c r="W31" s="400">
        <f t="shared" si="10"/>
        <v>11.796646909448764</v>
      </c>
      <c r="X31" s="157">
        <f t="shared" si="11"/>
        <v>46404</v>
      </c>
      <c r="Y31" s="383">
        <f t="shared" si="12"/>
        <v>11.412759886939105</v>
      </c>
      <c r="Z31" s="383">
        <f t="shared" si="22"/>
        <v>12.070339746776465</v>
      </c>
      <c r="AA31" s="384">
        <f t="shared" si="13"/>
        <v>13.187829223195843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8.4736423069070727E-2</v>
      </c>
      <c r="AD31" s="230">
        <f>(INDEX(Models!$BJ31:$BT31,,AH31)*(1-AF31)+INDEX(Models!$BJ31:$BT31,,AH31+1)*AF31-ERP_i)*AE31*Ramure*Pc/MaxiM</f>
        <v>1.2012211408784237E-2</v>
      </c>
      <c r="AE31" s="304">
        <f t="shared" si="15"/>
        <v>0.6</v>
      </c>
      <c r="AF31" s="177">
        <f t="shared" si="23"/>
        <v>0.49975996730118499</v>
      </c>
      <c r="AG31" s="799">
        <f t="shared" si="24"/>
        <v>2</v>
      </c>
      <c r="AH31" s="176">
        <f t="shared" si="16"/>
        <v>8</v>
      </c>
      <c r="AI31" s="224">
        <f t="shared" si="17"/>
        <v>2.499759967301185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'2026'!Wh/'2026'!Env_an*'2027'!Env_an</f>
        <v>3.747328911426524</v>
      </c>
      <c r="C32" s="829"/>
      <c r="D32" s="391">
        <f t="shared" si="0"/>
        <v>3.9633182876498565</v>
      </c>
      <c r="E32" s="383">
        <f t="shared" si="1"/>
        <v>4.2006607177134683</v>
      </c>
      <c r="F32" s="383">
        <f t="shared" si="2"/>
        <v>4.2006607177134683</v>
      </c>
      <c r="G32" s="110">
        <f t="shared" si="21"/>
        <v>0.14501872307301791</v>
      </c>
      <c r="H32" s="412" t="b">
        <f>Wh_hp&gt;='2026'!Maxi_hp</f>
        <v>0</v>
      </c>
      <c r="I32" s="388">
        <f>IF(H32,Wh_hp,'2026'!Maxi_hp)</f>
        <v>29.066008249734857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5.4497105845972449E-2</v>
      </c>
      <c r="M32" s="832"/>
      <c r="N32" s="832"/>
      <c r="O32" s="48">
        <f>IF(t&lt;Tnet,'2026'!Resal+('2026'!Salim-'2026'!Resal)*(1-EXP(('2026'!Tnet-t)/('2026'!Tau_j))),Resal+(Salim-Resal)*(1-EXP((Tnet-t)/(Tau_j))))*Salcycl</f>
        <v>5.6501213978738869E-2</v>
      </c>
      <c r="P32" s="169">
        <f>(INDEX(Models!$BJ32:$BT32,,T32)*(1-R32)+INDEX(Models!$BJ32:$BT32,,T32+1)*R32-ERP_i)*Q32*Ramure*Pc/MaxiM</f>
        <v>5.7185453755922999E-4</v>
      </c>
      <c r="Q32" s="304">
        <f t="shared" si="4"/>
        <v>0.6</v>
      </c>
      <c r="R32" s="177">
        <f t="shared" si="5"/>
        <v>0.97482863713934798</v>
      </c>
      <c r="S32" s="799">
        <f t="shared" si="6"/>
        <v>-2</v>
      </c>
      <c r="T32" s="176">
        <f t="shared" si="7"/>
        <v>4</v>
      </c>
      <c r="U32" s="250">
        <f t="shared" si="8"/>
        <v>-1.025171362860652</v>
      </c>
      <c r="V32" s="382">
        <f t="shared" si="9"/>
        <v>25.825534144988101</v>
      </c>
      <c r="W32" s="400">
        <f t="shared" si="10"/>
        <v>3.747328911426524</v>
      </c>
      <c r="X32" s="157">
        <f t="shared" si="11"/>
        <v>46405</v>
      </c>
      <c r="Y32" s="383">
        <f t="shared" si="12"/>
        <v>3.63508897414397</v>
      </c>
      <c r="Z32" s="383">
        <f t="shared" si="22"/>
        <v>3.8446090399293844</v>
      </c>
      <c r="AA32" s="384">
        <f t="shared" si="13"/>
        <v>4.2006607177134683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8.4760874945856754E-2</v>
      </c>
      <c r="AD32" s="230">
        <f>(INDEX(Models!$BJ32:$BT32,,AH32)*(1-AF32)+INDEX(Models!$BJ32:$BT32,,AH32+1)*AF32-ERP_i)*AE32*Ramure*Pc/MaxiM</f>
        <v>1.1849098929636268E-2</v>
      </c>
      <c r="AE32" s="304">
        <f t="shared" si="15"/>
        <v>0.6</v>
      </c>
      <c r="AF32" s="177">
        <f t="shared" si="23"/>
        <v>0.49981620351332667</v>
      </c>
      <c r="AG32" s="799">
        <f t="shared" si="24"/>
        <v>2</v>
      </c>
      <c r="AH32" s="176">
        <f t="shared" si="16"/>
        <v>8</v>
      </c>
      <c r="AI32" s="224">
        <f t="shared" si="17"/>
        <v>2.4998162035133267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'2026'!Wh/'2026'!Env_an*'2027'!Env_an</f>
        <v>10.224023859387669</v>
      </c>
      <c r="C33" s="829"/>
      <c r="D33" s="391">
        <f t="shared" si="0"/>
        <v>10.81352565649801</v>
      </c>
      <c r="E33" s="383">
        <f t="shared" si="1"/>
        <v>11.461747420527052</v>
      </c>
      <c r="F33" s="383">
        <f t="shared" si="2"/>
        <v>11.462594900419925</v>
      </c>
      <c r="G33" s="110">
        <f t="shared" si="21"/>
        <v>0.39155737779019256</v>
      </c>
      <c r="H33" s="412" t="b">
        <f>Wh_hp&gt;='2026'!Maxi_hp</f>
        <v>0</v>
      </c>
      <c r="I33" s="388">
        <f>IF(H33,Wh_hp,'2026'!Maxi_hp)</f>
        <v>30.468754573897851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5.4515226193235122E-2</v>
      </c>
      <c r="M33" s="832"/>
      <c r="N33" s="832"/>
      <c r="O33" s="48">
        <f>IF(t&lt;Tnet,'2026'!Resal+('2026'!Salim-'2026'!Resal)*(1-EXP(('2026'!Tnet-t)/('2026'!Tau_j))),Resal+(Salim-Resal)*(1-EXP((Tnet-t)/(Tau_j))))*Salcycl</f>
        <v>5.6555230214559535E-2</v>
      </c>
      <c r="P33" s="169">
        <f>(INDEX(Models!$BJ33:$BT33,,T33)*(1-R33)+INDEX(Models!$BJ33:$BT33,,T33+1)*R33-ERP_i)*Q33*Ramure*Pc/MaxiM</f>
        <v>5.640806928213346E-4</v>
      </c>
      <c r="Q33" s="304">
        <f t="shared" si="4"/>
        <v>0.6</v>
      </c>
      <c r="R33" s="177">
        <f t="shared" si="5"/>
        <v>0.97488721910520892</v>
      </c>
      <c r="S33" s="799">
        <f t="shared" si="6"/>
        <v>-2</v>
      </c>
      <c r="T33" s="176">
        <f t="shared" si="7"/>
        <v>4</v>
      </c>
      <c r="U33" s="250">
        <f t="shared" si="8"/>
        <v>-1.0251127808947911</v>
      </c>
      <c r="V33" s="382">
        <f t="shared" si="9"/>
        <v>26.098377405047472</v>
      </c>
      <c r="W33" s="400">
        <f t="shared" si="10"/>
        <v>10.224023859387669</v>
      </c>
      <c r="X33" s="157">
        <f t="shared" si="11"/>
        <v>46406</v>
      </c>
      <c r="Y33" s="383">
        <f t="shared" si="12"/>
        <v>9.9036447258192055</v>
      </c>
      <c r="Z33" s="383">
        <f t="shared" si="22"/>
        <v>10.474673945244602</v>
      </c>
      <c r="AA33" s="384">
        <f t="shared" si="13"/>
        <v>11.445046907187432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8.4785407155774969E-2</v>
      </c>
      <c r="AD33" s="230">
        <f>(INDEX(Models!$BJ33:$BT33,,AH33)*(1-AF33)+INDEX(Models!$BJ33:$BT33,,AH33+1)*AF33-ERP_i)*AE33*Ramure*Pc/MaxiM</f>
        <v>1.1679904459627841E-2</v>
      </c>
      <c r="AE33" s="304">
        <f t="shared" si="15"/>
        <v>0.6</v>
      </c>
      <c r="AF33" s="177">
        <f t="shared" si="23"/>
        <v>0.49987478547918762</v>
      </c>
      <c r="AG33" s="799">
        <f t="shared" si="24"/>
        <v>2</v>
      </c>
      <c r="AH33" s="176">
        <f t="shared" si="16"/>
        <v>8</v>
      </c>
      <c r="AI33" s="224">
        <f t="shared" si="17"/>
        <v>2.4998747854791876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'2026'!Wh/'2026'!Env_an*'2027'!Env_an</f>
        <v>6.4023978836270237</v>
      </c>
      <c r="C34" s="829"/>
      <c r="D34" s="391">
        <f t="shared" si="0"/>
        <v>6.771680267991222</v>
      </c>
      <c r="E34" s="383">
        <f t="shared" si="1"/>
        <v>7.1780228510844513</v>
      </c>
      <c r="F34" s="383">
        <f t="shared" si="2"/>
        <v>7.1780228510844513</v>
      </c>
      <c r="G34" s="110">
        <f t="shared" si="21"/>
        <v>0.24261041091753358</v>
      </c>
      <c r="H34" s="412" t="b">
        <f>Wh_hp&gt;='2026'!Maxi_hp</f>
        <v>0</v>
      </c>
      <c r="I34" s="388">
        <f>IF(H34,Wh_hp,'2026'!Maxi_hp)</f>
        <v>12.26188245483894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5.4533346193225363E-2</v>
      </c>
      <c r="M34" s="832"/>
      <c r="N34" s="832"/>
      <c r="O34" s="48">
        <f>IF(t&lt;Tnet,'2026'!Resal+('2026'!Salim-'2026'!Resal)*(1-EXP(('2026'!Tnet-t)/('2026'!Tau_j))),Resal+(Salim-Resal)*(1-EXP((Tnet-t)/(Tau_j))))*Salcycl</f>
        <v>5.6609262957673517E-2</v>
      </c>
      <c r="P34" s="169">
        <f>(INDEX(Models!$BJ34:$BT34,,T34)*(1-R34)+INDEX(Models!$BJ34:$BT34,,T34+1)*R34-ERP_i)*Q34*Ramure*Pc/MaxiM</f>
        <v>5.5503663125570501E-4</v>
      </c>
      <c r="Q34" s="304">
        <f t="shared" si="4"/>
        <v>0.6</v>
      </c>
      <c r="R34" s="177">
        <f t="shared" si="5"/>
        <v>0.97494824408525171</v>
      </c>
      <c r="S34" s="799">
        <f t="shared" si="6"/>
        <v>-2</v>
      </c>
      <c r="T34" s="176">
        <f t="shared" si="7"/>
        <v>4</v>
      </c>
      <c r="U34" s="250">
        <f t="shared" si="8"/>
        <v>-1.0250517559147483</v>
      </c>
      <c r="V34" s="382">
        <f t="shared" si="9"/>
        <v>26.374978279265957</v>
      </c>
      <c r="W34" s="400">
        <f t="shared" si="10"/>
        <v>6.4023978836270237</v>
      </c>
      <c r="X34" s="157">
        <f t="shared" si="11"/>
        <v>46407</v>
      </c>
      <c r="Y34" s="383">
        <f t="shared" si="12"/>
        <v>6.2110111285677965</v>
      </c>
      <c r="Z34" s="383">
        <f t="shared" si="22"/>
        <v>6.5692545618188909</v>
      </c>
      <c r="AA34" s="384">
        <f t="shared" si="13"/>
        <v>7.1780228510844513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8.4810023859646547E-2</v>
      </c>
      <c r="AD34" s="230">
        <f>(INDEX(Models!$BJ34:$BT34,,AH34)*(1-AF34)+INDEX(Models!$BJ34:$BT34,,AH34+1)*AF34-ERP_i)*AE34*Ramure*Pc/MaxiM</f>
        <v>1.150528450900489E-2</v>
      </c>
      <c r="AE34" s="304">
        <f t="shared" si="15"/>
        <v>0.6</v>
      </c>
      <c r="AF34" s="177">
        <f t="shared" si="23"/>
        <v>0.49993581045923019</v>
      </c>
      <c r="AG34" s="799">
        <f t="shared" si="24"/>
        <v>2</v>
      </c>
      <c r="AH34" s="176">
        <f t="shared" si="16"/>
        <v>8</v>
      </c>
      <c r="AI34" s="224">
        <f t="shared" si="17"/>
        <v>2.4999358104592302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'2026'!Wh/'2026'!Env_an*'2027'!Env_an</f>
        <v>20.411684834849815</v>
      </c>
      <c r="C35" s="829"/>
      <c r="D35" s="391">
        <f t="shared" si="0"/>
        <v>21.58941930468313</v>
      </c>
      <c r="E35" s="383">
        <f t="shared" si="1"/>
        <v>22.886228907082554</v>
      </c>
      <c r="F35" s="383">
        <f t="shared" si="2"/>
        <v>22.894528267515888</v>
      </c>
      <c r="G35" s="110">
        <f t="shared" si="21"/>
        <v>0.76564566803741452</v>
      </c>
      <c r="H35" s="412" t="b">
        <f>Wh_hp&gt;='2026'!Maxi_hp</f>
        <v>1</v>
      </c>
      <c r="I35" s="388">
        <f>IF(H35,Wh_hp,'2026'!Maxi_hp)</f>
        <v>22.894528267515888</v>
      </c>
      <c r="J35" s="85">
        <f>IF(H35,An,'2026'!An_max)</f>
        <v>2027</v>
      </c>
      <c r="K35" s="197">
        <f t="shared" si="3"/>
        <v>46408</v>
      </c>
      <c r="L35" s="147">
        <f>IF(t&lt;Tvie,1-EXP((T0-t)*PertePVj)+'2026'!Pspv,1-EXP((T0-t)*PertePVj)+Pspv)</f>
        <v>5.4551465845949942E-2</v>
      </c>
      <c r="M35" s="832"/>
      <c r="N35" s="832"/>
      <c r="O35" s="48">
        <f>IF(t&lt;Tnet,'2026'!Resal+('2026'!Salim-'2026'!Resal)*(1-EXP(('2026'!Tnet-t)/('2026'!Tau_j))),Resal+(Salim-Resal)*(1-EXP((Tnet-t)/(Tau_j))))*Salcycl</f>
        <v>5.6663315204284505E-2</v>
      </c>
      <c r="P35" s="169">
        <f>(INDEX(Models!$BJ35:$BT35,,T35)*(1-R35)+INDEX(Models!$BJ35:$BT35,,T35+1)*R35-ERP_i)*Q35*Ramure*Pc/MaxiM</f>
        <v>5.4478505104732749E-4</v>
      </c>
      <c r="Q35" s="304">
        <f t="shared" si="4"/>
        <v>0.6</v>
      </c>
      <c r="R35" s="177">
        <f t="shared" si="5"/>
        <v>0.97501181332248787</v>
      </c>
      <c r="S35" s="799">
        <f t="shared" si="6"/>
        <v>-2</v>
      </c>
      <c r="T35" s="176">
        <f t="shared" si="7"/>
        <v>4</v>
      </c>
      <c r="U35" s="250">
        <f t="shared" si="8"/>
        <v>-1.0249881866775121</v>
      </c>
      <c r="V35" s="382">
        <f t="shared" si="9"/>
        <v>26.654578842788702</v>
      </c>
      <c r="W35" s="400">
        <f t="shared" si="10"/>
        <v>20.411684834849815</v>
      </c>
      <c r="X35" s="157">
        <f t="shared" si="11"/>
        <v>46408</v>
      </c>
      <c r="Y35" s="383">
        <f t="shared" si="12"/>
        <v>19.660010360272199</v>
      </c>
      <c r="Z35" s="383">
        <f t="shared" si="22"/>
        <v>20.794373940050793</v>
      </c>
      <c r="AA35" s="384">
        <f t="shared" si="13"/>
        <v>22.721987606893489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8.4834729258363328E-2</v>
      </c>
      <c r="AD35" s="230">
        <f>(INDEX(Models!$BJ35:$BT35,,AH35)*(1-AF35)+INDEX(Models!$BJ35:$BT35,,AH35+1)*AF35-ERP_i)*AE35*Ramure*Pc/MaxiM</f>
        <v>1.1325881477252041E-2</v>
      </c>
      <c r="AE35" s="304">
        <f t="shared" si="15"/>
        <v>0.6</v>
      </c>
      <c r="AF35" s="177">
        <f t="shared" si="23"/>
        <v>0.49999937969646657</v>
      </c>
      <c r="AG35" s="799">
        <f t="shared" si="24"/>
        <v>2</v>
      </c>
      <c r="AH35" s="176">
        <f t="shared" si="16"/>
        <v>8</v>
      </c>
      <c r="AI35" s="224">
        <f t="shared" si="17"/>
        <v>2.4999993796964666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'2026'!Wh/'2026'!Env_an*'2027'!Env_an</f>
        <v>27.245168333379734</v>
      </c>
      <c r="C36" s="829"/>
      <c r="D36" s="391">
        <f t="shared" si="0"/>
        <v>28.817740476165227</v>
      </c>
      <c r="E36" s="383">
        <f t="shared" si="1"/>
        <v>30.550484199548041</v>
      </c>
      <c r="F36" s="383">
        <f t="shared" si="2"/>
        <v>30.566788013971937</v>
      </c>
      <c r="G36" s="110">
        <f t="shared" si="21"/>
        <v>1.011462059241816</v>
      </c>
      <c r="H36" s="412" t="b">
        <f>Wh_hp&gt;='2026'!Maxi_hp</f>
        <v>1</v>
      </c>
      <c r="I36" s="388">
        <f>IF(H36,Wh_hp,'2026'!Maxi_hp)</f>
        <v>30.566788013971937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5.4569585151415523E-2</v>
      </c>
      <c r="M36" s="832"/>
      <c r="N36" s="832"/>
      <c r="O36" s="48">
        <f>IF(t&lt;Tnet,'2026'!Resal+('2026'!Salim-'2026'!Resal)*(1-EXP(('2026'!Tnet-t)/('2026'!Tau_j))),Resal+(Salim-Resal)*(1-EXP((Tnet-t)/(Tau_j))))*Salcycl</f>
        <v>5.6717389880467033E-2</v>
      </c>
      <c r="P36" s="169">
        <f>(INDEX(Models!$BJ36:$BT36,,T36)*(1-R36)+INDEX(Models!$BJ36:$BT36,,T36+1)*R36-ERP_i)*Q36*Ramure*Pc/MaxiM</f>
        <v>5.3338330531957649E-4</v>
      </c>
      <c r="Q36" s="304">
        <f t="shared" si="4"/>
        <v>0.6</v>
      </c>
      <c r="R36" s="177">
        <f t="shared" si="5"/>
        <v>0.97507803220126998</v>
      </c>
      <c r="S36" s="799">
        <f t="shared" si="6"/>
        <v>-2</v>
      </c>
      <c r="T36" s="176">
        <f t="shared" si="7"/>
        <v>4</v>
      </c>
      <c r="U36" s="250">
        <f t="shared" si="8"/>
        <v>-1.02492196779873</v>
      </c>
      <c r="V36" s="382">
        <f t="shared" si="9"/>
        <v>26.936421474674489</v>
      </c>
      <c r="W36" s="400">
        <f t="shared" si="10"/>
        <v>27.245168333379734</v>
      </c>
      <c r="X36" s="157">
        <f t="shared" si="11"/>
        <v>46409</v>
      </c>
      <c r="Y36" s="383">
        <f t="shared" si="12"/>
        <v>26.151762372848076</v>
      </c>
      <c r="Z36" s="383">
        <f t="shared" si="22"/>
        <v>27.661223885034854</v>
      </c>
      <c r="AA36" s="384">
        <f t="shared" si="13"/>
        <v>30.226205390725021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8.4859527437646437E-2</v>
      </c>
      <c r="AD36" s="230">
        <f>(INDEX(Models!$BJ36:$BT36,,AH36)*(1-AF36)+INDEX(Models!$BJ36:$BT36,,AH36+1)*AF36-ERP_i)*AE36*Ramure*Pc/MaxiM</f>
        <v>1.1142244421992816E-2</v>
      </c>
      <c r="AE36" s="304">
        <f t="shared" si="15"/>
        <v>0.6</v>
      </c>
      <c r="AF36" s="177">
        <f t="shared" si="23"/>
        <v>0.50006559857524868</v>
      </c>
      <c r="AG36" s="799">
        <f t="shared" si="24"/>
        <v>2</v>
      </c>
      <c r="AH36" s="176">
        <f t="shared" si="16"/>
        <v>8</v>
      </c>
      <c r="AI36" s="224">
        <f t="shared" si="17"/>
        <v>2.5000655985752487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'2026'!Wh/'2026'!Env_an*'2027'!Env_an</f>
        <v>27.364532702004499</v>
      </c>
      <c r="C37" s="829"/>
      <c r="D37" s="391">
        <f t="shared" si="0"/>
        <v>28.944549188704073</v>
      </c>
      <c r="E37" s="383">
        <f t="shared" si="1"/>
        <v>30.686677590865827</v>
      </c>
      <c r="F37" s="383">
        <f t="shared" si="2"/>
        <v>30.702667936607376</v>
      </c>
      <c r="G37" s="110">
        <f t="shared" si="21"/>
        <v>1.0051787273423884</v>
      </c>
      <c r="H37" s="412" t="b">
        <f>Wh_hp&gt;='2026'!Maxi_hp</f>
        <v>1</v>
      </c>
      <c r="I37" s="388">
        <f>IF(H37,Wh_hp,'2026'!Maxi_hp)</f>
        <v>30.702667936607376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5.4587704109628765E-2</v>
      </c>
      <c r="M37" s="832"/>
      <c r="N37" s="832"/>
      <c r="O37" s="48">
        <f>IF(t&lt;Tnet,'2026'!Resal+('2026'!Salim-'2026'!Resal)*(1-EXP(('2026'!Tnet-t)/('2026'!Tau_j))),Resal+(Salim-Resal)*(1-EXP((Tnet-t)/(Tau_j))))*Salcycl</f>
        <v>5.6771489745123575E-2</v>
      </c>
      <c r="P37" s="169">
        <f>(INDEX(Models!$BJ37:$BT37,,T37)*(1-R37)+INDEX(Models!$BJ37:$BT37,,T37+1)*R37-ERP_i)*Q37*Ramure*Pc/MaxiM</f>
        <v>5.2081290702702071E-4</v>
      </c>
      <c r="Q37" s="304">
        <f t="shared" si="4"/>
        <v>0.6</v>
      </c>
      <c r="R37" s="177">
        <f t="shared" si="5"/>
        <v>0.97514701041204721</v>
      </c>
      <c r="S37" s="799">
        <f t="shared" si="6"/>
        <v>-2</v>
      </c>
      <c r="T37" s="176">
        <f t="shared" si="7"/>
        <v>4</v>
      </c>
      <c r="U37" s="250">
        <f t="shared" si="8"/>
        <v>-1.0248529895879528</v>
      </c>
      <c r="V37" s="382">
        <f t="shared" si="9"/>
        <v>27.22354936256373</v>
      </c>
      <c r="W37" s="400">
        <f t="shared" si="10"/>
        <v>27.364532702004499</v>
      </c>
      <c r="X37" s="157">
        <f t="shared" si="11"/>
        <v>46410</v>
      </c>
      <c r="Y37" s="383">
        <f t="shared" si="12"/>
        <v>26.271815518776059</v>
      </c>
      <c r="Z37" s="383">
        <f t="shared" si="22"/>
        <v>27.788738979784227</v>
      </c>
      <c r="AA37" s="384">
        <f t="shared" si="13"/>
        <v>30.366370822033126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8.4884422223370531E-2</v>
      </c>
      <c r="AD37" s="230">
        <f>(INDEX(Models!$BJ37:$BT37,,AH37)*(1-AF37)+INDEX(Models!$BJ37:$BT37,,AH37+1)*AF37-ERP_i)*AE37*Ramure*Pc/MaxiM</f>
        <v>1.095335152204404E-2</v>
      </c>
      <c r="AE37" s="304">
        <f t="shared" si="15"/>
        <v>0.6</v>
      </c>
      <c r="AF37" s="177">
        <f t="shared" si="23"/>
        <v>0.50013457678602569</v>
      </c>
      <c r="AG37" s="799">
        <f t="shared" si="24"/>
        <v>2</v>
      </c>
      <c r="AH37" s="176">
        <f t="shared" si="16"/>
        <v>8</v>
      </c>
      <c r="AI37" s="224">
        <f t="shared" si="17"/>
        <v>2.5001345767860257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'2026'!Wh/'2026'!Env_an*'2027'!Env_an</f>
        <v>27.893741864962838</v>
      </c>
      <c r="C38" s="829"/>
      <c r="D38" s="391">
        <f t="shared" si="0"/>
        <v>29.504880118083346</v>
      </c>
      <c r="E38" s="383">
        <f t="shared" si="1"/>
        <v>31.282529147617577</v>
      </c>
      <c r="F38" s="383">
        <f t="shared" si="2"/>
        <v>31.298408115461406</v>
      </c>
      <c r="G38" s="110">
        <f t="shared" si="21"/>
        <v>1.013620723408297</v>
      </c>
      <c r="H38" s="412" t="b">
        <f>Wh_hp&gt;='2026'!Maxi_hp</f>
        <v>1</v>
      </c>
      <c r="I38" s="388">
        <f>IF(H38,Wh_hp,'2026'!Maxi_hp)</f>
        <v>31.298408115461406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5.4605822720596331E-2</v>
      </c>
      <c r="M38" s="832"/>
      <c r="N38" s="832"/>
      <c r="O38" s="48">
        <f>IF(t&lt;Tnet,'2026'!Resal+('2026'!Salim-'2026'!Resal)*(1-EXP(('2026'!Tnet-t)/('2026'!Tau_j))),Resal+(Salim-Resal)*(1-EXP((Tnet-t)/(Tau_j))))*Salcycl</f>
        <v>5.6825617300499273E-2</v>
      </c>
      <c r="P38" s="169">
        <f>(INDEX(Models!$BJ38:$BT38,,T38)*(1-R38)+INDEX(Models!$BJ38:$BT38,,T38+1)*R38-ERP_i)*Q38*Ramure*Pc/MaxiM</f>
        <v>5.073410694004432E-4</v>
      </c>
      <c r="Q38" s="304">
        <f t="shared" si="4"/>
        <v>0.6</v>
      </c>
      <c r="R38" s="177">
        <f t="shared" si="5"/>
        <v>0.9752188621222766</v>
      </c>
      <c r="S38" s="799">
        <f t="shared" si="6"/>
        <v>-2</v>
      </c>
      <c r="T38" s="176">
        <f t="shared" si="7"/>
        <v>4</v>
      </c>
      <c r="U38" s="250">
        <f t="shared" si="8"/>
        <v>-1.0247811378777234</v>
      </c>
      <c r="V38" s="382">
        <f t="shared" si="9"/>
        <v>27.51891434418409</v>
      </c>
      <c r="W38" s="400">
        <f t="shared" si="10"/>
        <v>27.893741864962838</v>
      </c>
      <c r="X38" s="157">
        <f t="shared" si="11"/>
        <v>46411</v>
      </c>
      <c r="Y38" s="383">
        <f t="shared" si="12"/>
        <v>26.785715287760738</v>
      </c>
      <c r="Z38" s="383">
        <f t="shared" si="22"/>
        <v>28.332854095677842</v>
      </c>
      <c r="AA38" s="384">
        <f t="shared" si="13"/>
        <v>30.961802714985691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8.4909417048750338E-2</v>
      </c>
      <c r="AD38" s="230">
        <f>(INDEX(Models!$BJ38:$BT38,,AH38)*(1-AF38)+INDEX(Models!$BJ38:$BT38,,AH38+1)*AF38-ERP_i)*AE38*Ramure*Pc/MaxiM</f>
        <v>1.075471312259592E-2</v>
      </c>
      <c r="AE38" s="304">
        <f t="shared" si="15"/>
        <v>0.6</v>
      </c>
      <c r="AF38" s="177">
        <f t="shared" si="23"/>
        <v>0.5002064284962553</v>
      </c>
      <c r="AG38" s="799">
        <f t="shared" si="24"/>
        <v>2</v>
      </c>
      <c r="AH38" s="176">
        <f t="shared" si="16"/>
        <v>8</v>
      </c>
      <c r="AI38" s="224">
        <f t="shared" si="17"/>
        <v>2.5002064284962553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'2026'!Wh/'2026'!Env_an*'2027'!Env_an</f>
        <v>26.970641371998362</v>
      </c>
      <c r="C39" s="829"/>
      <c r="D39" s="391">
        <f t="shared" si="0"/>
        <v>28.529008234120262</v>
      </c>
      <c r="E39" s="383">
        <f t="shared" si="1"/>
        <v>30.249598586839685</v>
      </c>
      <c r="F39" s="383">
        <f t="shared" si="2"/>
        <v>30.263882617905519</v>
      </c>
      <c r="G39" s="110">
        <f t="shared" si="21"/>
        <v>0.96939216349220791</v>
      </c>
      <c r="H39" s="412" t="b">
        <f>Wh_hp&gt;='2026'!Maxi_hp</f>
        <v>1</v>
      </c>
      <c r="I39" s="388">
        <f>IF(H39,Wh_hp,'2026'!Maxi_hp)</f>
        <v>30.263882617905519</v>
      </c>
      <c r="J39" s="85">
        <f>IF(H39,An,'2026'!An_max)</f>
        <v>2027</v>
      </c>
      <c r="K39" s="197">
        <f t="shared" si="3"/>
        <v>46412</v>
      </c>
      <c r="L39" s="147">
        <f>IF(t&lt;Tvie,1-EXP((T0-t)*PertePVj)+'2026'!Pspv,1-EXP((T0-t)*PertePVj)+Pspv)</f>
        <v>5.462394098432477E-2</v>
      </c>
      <c r="M39" s="832"/>
      <c r="N39" s="832"/>
      <c r="O39" s="48">
        <f>IF(t&lt;Tnet,'2026'!Resal+('2026'!Salim-'2026'!Resal)*(1-EXP(('2026'!Tnet-t)/('2026'!Tau_j))),Resal+(Salim-Resal)*(1-EXP((Tnet-t)/(Tau_j))))*Salcycl</f>
        <v>5.6879774711059372E-2</v>
      </c>
      <c r="P39" s="169">
        <f>(INDEX(Models!$BJ39:$BT39,,T39)*(1-R39)+INDEX(Models!$BJ39:$BT39,,T39+1)*R39-ERP_i)*Q39*Ramure*Pc/MaxiM</f>
        <v>4.935486729023312E-4</v>
      </c>
      <c r="Q39" s="304">
        <f t="shared" si="4"/>
        <v>0.6</v>
      </c>
      <c r="R39" s="177">
        <f t="shared" si="5"/>
        <v>0.97529370615368483</v>
      </c>
      <c r="S39" s="799">
        <f t="shared" si="6"/>
        <v>-2</v>
      </c>
      <c r="T39" s="176">
        <f t="shared" si="7"/>
        <v>4</v>
      </c>
      <c r="U39" s="250">
        <f t="shared" si="8"/>
        <v>-1.0247062938463152</v>
      </c>
      <c r="V39" s="382">
        <f t="shared" si="9"/>
        <v>27.821619017298119</v>
      </c>
      <c r="W39" s="400">
        <f t="shared" si="10"/>
        <v>26.970641371998362</v>
      </c>
      <c r="X39" s="157">
        <f t="shared" si="11"/>
        <v>46412</v>
      </c>
      <c r="Y39" s="383">
        <f t="shared" si="12"/>
        <v>25.916616251314558</v>
      </c>
      <c r="Z39" s="383">
        <f t="shared" si="22"/>
        <v>27.41408141676331</v>
      </c>
      <c r="AA39" s="384">
        <f t="shared" si="13"/>
        <v>29.958600626059194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8.4934514834533417E-2</v>
      </c>
      <c r="AD39" s="230">
        <f>(INDEX(Models!$BJ39:$BT39,,AH39)*(1-AF39)+INDEX(Models!$BJ39:$BT39,,AH39+1)*AF39-ERP_i)*AE39*Ramure*Pc/MaxiM</f>
        <v>1.0548249387186133E-2</v>
      </c>
      <c r="AE39" s="304">
        <f t="shared" si="15"/>
        <v>0.6</v>
      </c>
      <c r="AF39" s="177">
        <f t="shared" si="23"/>
        <v>0.50028127252766375</v>
      </c>
      <c r="AG39" s="799">
        <f t="shared" si="24"/>
        <v>2</v>
      </c>
      <c r="AH39" s="176">
        <f t="shared" si="16"/>
        <v>8</v>
      </c>
      <c r="AI39" s="224">
        <f t="shared" si="17"/>
        <v>2.5002812725276637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'2026'!Wh/'2026'!Env_an*'2027'!Env_an</f>
        <v>27.625433598506149</v>
      </c>
      <c r="C40" s="829"/>
      <c r="D40" s="391">
        <f t="shared" si="0"/>
        <v>29.222194469944075</v>
      </c>
      <c r="E40" s="383">
        <f t="shared" si="1"/>
        <v>30.986371416330059</v>
      </c>
      <c r="F40" s="383">
        <f t="shared" si="2"/>
        <v>31.000854013017822</v>
      </c>
      <c r="G40" s="110">
        <f t="shared" si="21"/>
        <v>0.98202370091968538</v>
      </c>
      <c r="H40" s="412" t="b">
        <f>Wh_hp&gt;='2026'!Maxi_hp</f>
        <v>1</v>
      </c>
      <c r="I40" s="388">
        <f>IF(H40,Wh_hp,'2026'!Maxi_hp)</f>
        <v>31.000854013017822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5.4642058900820856E-2</v>
      </c>
      <c r="M40" s="832"/>
      <c r="N40" s="832"/>
      <c r="O40" s="48">
        <f>IF(t&lt;Tnet,'2026'!Resal+('2026'!Salim-'2026'!Resal)*(1-EXP(('2026'!Tnet-t)/('2026'!Tau_j))),Resal+(Salim-Resal)*(1-EXP((Tnet-t)/(Tau_j))))*Salcycl</f>
        <v>5.6933963731430934E-2</v>
      </c>
      <c r="P40" s="169">
        <f>(INDEX(Models!$BJ40:$BT40,,T40)*(1-R40)+INDEX(Models!$BJ40:$BT40,,T40+1)*R40-ERP_i)*Q40*Ramure*Pc/MaxiM</f>
        <v>4.7947244489774207E-4</v>
      </c>
      <c r="Q40" s="304">
        <f t="shared" si="4"/>
        <v>0.6</v>
      </c>
      <c r="R40" s="177">
        <f t="shared" si="5"/>
        <v>0.97537166616607762</v>
      </c>
      <c r="S40" s="799">
        <f t="shared" si="6"/>
        <v>-2</v>
      </c>
      <c r="T40" s="176">
        <f t="shared" si="7"/>
        <v>4</v>
      </c>
      <c r="U40" s="250">
        <f t="shared" si="8"/>
        <v>-1.0246283338339224</v>
      </c>
      <c r="V40" s="382">
        <f t="shared" si="9"/>
        <v>28.130780844670642</v>
      </c>
      <c r="W40" s="400">
        <f t="shared" si="10"/>
        <v>27.625433598506149</v>
      </c>
      <c r="X40" s="157">
        <f t="shared" si="11"/>
        <v>46413</v>
      </c>
      <c r="Y40" s="383">
        <f t="shared" si="12"/>
        <v>26.546963622476007</v>
      </c>
      <c r="Z40" s="383">
        <f t="shared" si="22"/>
        <v>28.081388507309232</v>
      </c>
      <c r="AA40" s="384">
        <f t="shared" si="13"/>
        <v>30.688691040297066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8.4959717883183974E-2</v>
      </c>
      <c r="AD40" s="230">
        <f>(INDEX(Models!$BJ40:$BT40,,AH40)*(1-AF40)+INDEX(Models!$BJ40:$BT40,,AH40+1)*AF40-ERP_i)*AE40*Ramure*Pc/MaxiM</f>
        <v>1.0334717382789588E-2</v>
      </c>
      <c r="AE40" s="304">
        <f t="shared" si="15"/>
        <v>0.6</v>
      </c>
      <c r="AF40" s="177">
        <f t="shared" si="23"/>
        <v>0.5003592325400561</v>
      </c>
      <c r="AG40" s="799">
        <f t="shared" si="24"/>
        <v>2</v>
      </c>
      <c r="AH40" s="176">
        <f t="shared" si="16"/>
        <v>8</v>
      </c>
      <c r="AI40" s="224">
        <f t="shared" si="17"/>
        <v>2.5003592325400561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'2026'!Wh/'2026'!Env_an*'2027'!Env_an</f>
        <v>26.396383610280981</v>
      </c>
      <c r="C41" s="829"/>
      <c r="D41" s="391">
        <f t="shared" si="0"/>
        <v>27.922640042515727</v>
      </c>
      <c r="E41" s="383">
        <f t="shared" si="1"/>
        <v>29.610063858621601</v>
      </c>
      <c r="F41" s="383">
        <f t="shared" si="2"/>
        <v>29.622424636548878</v>
      </c>
      <c r="G41" s="110">
        <f t="shared" si="21"/>
        <v>0.92791841334353953</v>
      </c>
      <c r="H41" s="412" t="b">
        <f>Wh_hp&gt;='2026'!Maxi_hp</f>
        <v>1</v>
      </c>
      <c r="I41" s="388">
        <f>IF(H41,Wh_hp,'2026'!Maxi_hp)</f>
        <v>29.622424636548878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5.4660176470091248E-2</v>
      </c>
      <c r="M41" s="832"/>
      <c r="N41" s="832"/>
      <c r="O41" s="48">
        <f>IF(t&lt;Tnet,'2026'!Resal+('2026'!Salim-'2026'!Resal)*(1-EXP(('2026'!Tnet-t)/('2026'!Tau_j))),Resal+(Salim-Resal)*(1-EXP((Tnet-t)/(Tau_j))))*Salcycl</f>
        <v>5.6988185644001786E-2</v>
      </c>
      <c r="P41" s="169">
        <f>(INDEX(Models!$BJ41:$BT41,,T41)*(1-R41)+INDEX(Models!$BJ41:$BT41,,T41+1)*R41-ERP_i)*Q41*Ramure*Pc/MaxiM</f>
        <v>4.6514599681753946E-4</v>
      </c>
      <c r="Q41" s="304">
        <f t="shared" si="4"/>
        <v>0.6</v>
      </c>
      <c r="R41" s="177">
        <f t="shared" si="5"/>
        <v>0.97545287084789933</v>
      </c>
      <c r="S41" s="799">
        <f t="shared" si="6"/>
        <v>-2</v>
      </c>
      <c r="T41" s="176">
        <f t="shared" si="7"/>
        <v>4</v>
      </c>
      <c r="U41" s="250">
        <f t="shared" si="8"/>
        <v>-1.0245471291521007</v>
      </c>
      <c r="V41" s="382">
        <f t="shared" si="9"/>
        <v>28.445517573474156</v>
      </c>
      <c r="W41" s="400">
        <f t="shared" si="10"/>
        <v>26.396383610280981</v>
      </c>
      <c r="X41" s="157">
        <f t="shared" si="11"/>
        <v>46414</v>
      </c>
      <c r="Y41" s="383">
        <f t="shared" si="12"/>
        <v>25.390895784969299</v>
      </c>
      <c r="Z41" s="383">
        <f t="shared" si="22"/>
        <v>26.859014243321973</v>
      </c>
      <c r="AA41" s="384">
        <f t="shared" si="13"/>
        <v>29.35363361146765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8.4985027787874839E-2</v>
      </c>
      <c r="AD41" s="230">
        <f>(INDEX(Models!$BJ41:$BT41,,AH41)*(1-AF41)+INDEX(Models!$BJ41:$BT41,,AH41+1)*AF41-ERP_i)*AE41*Ramure*Pc/MaxiM</f>
        <v>1.011482206318819E-2</v>
      </c>
      <c r="AE41" s="304">
        <f t="shared" si="15"/>
        <v>0.6</v>
      </c>
      <c r="AF41" s="177">
        <f t="shared" si="23"/>
        <v>0.50044043722187803</v>
      </c>
      <c r="AG41" s="799">
        <f t="shared" si="24"/>
        <v>2</v>
      </c>
      <c r="AH41" s="176">
        <f t="shared" si="16"/>
        <v>8</v>
      </c>
      <c r="AI41" s="224">
        <f t="shared" si="17"/>
        <v>2.500440437221878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'2026'!Wh/'2026'!Env_an*'2027'!Env_an</f>
        <v>4.1712946678020071</v>
      </c>
      <c r="C42" s="829"/>
      <c r="D42" s="391">
        <f t="shared" si="0"/>
        <v>4.4125662618007899</v>
      </c>
      <c r="E42" s="383">
        <f t="shared" si="1"/>
        <v>4.6794961455607167</v>
      </c>
      <c r="F42" s="383">
        <f t="shared" si="2"/>
        <v>4.6794961455607167</v>
      </c>
      <c r="G42" s="110">
        <f t="shared" si="21"/>
        <v>0.14494777438140277</v>
      </c>
      <c r="H42" s="412" t="b">
        <f>Wh_hp&gt;='2026'!Maxi_hp</f>
        <v>0</v>
      </c>
      <c r="I42" s="388">
        <f>IF(H42,Wh_hp,'2026'!Maxi_hp)</f>
        <v>18.471919028830147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5.4678293692142499E-2</v>
      </c>
      <c r="M42" s="832"/>
      <c r="N42" s="832"/>
      <c r="O42" s="48">
        <f>IF(t&lt;Tnet,'2026'!Resal+('2026'!Salim-'2026'!Resal)*(1-EXP(('2026'!Tnet-t)/('2026'!Tau_j))),Resal+(Salim-Resal)*(1-EXP((Tnet-t)/(Tau_j))))*Salcycl</f>
        <v>5.7042441206657274E-2</v>
      </c>
      <c r="P42" s="169">
        <f>(INDEX(Models!$BJ42:$BT42,,T42)*(1-R42)+INDEX(Models!$BJ42:$BT42,,T42+1)*R42-ERP_i)*Q42*Ramure*Pc/MaxiM</f>
        <v>4.5059982997172908E-4</v>
      </c>
      <c r="Q42" s="304">
        <f t="shared" si="4"/>
        <v>0.6</v>
      </c>
      <c r="R42" s="177">
        <f t="shared" si="5"/>
        <v>0.97553745411374537</v>
      </c>
      <c r="S42" s="799">
        <f t="shared" si="6"/>
        <v>-2</v>
      </c>
      <c r="T42" s="176">
        <f t="shared" si="7"/>
        <v>4</v>
      </c>
      <c r="U42" s="250">
        <f t="shared" si="8"/>
        <v>-1.0244625458862546</v>
      </c>
      <c r="V42" s="382">
        <f t="shared" si="9"/>
        <v>28.764947243431987</v>
      </c>
      <c r="W42" s="400">
        <f t="shared" si="10"/>
        <v>4.1712946678020071</v>
      </c>
      <c r="X42" s="157">
        <f t="shared" si="11"/>
        <v>46415</v>
      </c>
      <c r="Y42" s="383">
        <f t="shared" si="12"/>
        <v>4.0475745857122023</v>
      </c>
      <c r="Z42" s="383">
        <f t="shared" si="22"/>
        <v>4.2816900941805436</v>
      </c>
      <c r="AA42" s="384">
        <f t="shared" si="13"/>
        <v>4.6794961455607167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8.5010445356934153E-2</v>
      </c>
      <c r="AD42" s="230">
        <f>(INDEX(Models!$BJ42:$BT42,,AH42)*(1-AF42)+INDEX(Models!$BJ42:$BT42,,AH42+1)*AF42-ERP_i)*AE42*Ramure*Pc/MaxiM</f>
        <v>9.8892152961790533E-3</v>
      </c>
      <c r="AE42" s="304">
        <f t="shared" si="15"/>
        <v>0.6</v>
      </c>
      <c r="AF42" s="177">
        <f t="shared" si="23"/>
        <v>0.50052502048772407</v>
      </c>
      <c r="AG42" s="799">
        <f t="shared" si="24"/>
        <v>2</v>
      </c>
      <c r="AH42" s="176">
        <f t="shared" si="16"/>
        <v>8</v>
      </c>
      <c r="AI42" s="224">
        <f t="shared" si="17"/>
        <v>2.5005250204877241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'2026'!Wh/'2026'!Env_an*'2027'!Env_an</f>
        <v>8.8036441563904155</v>
      </c>
      <c r="C43" s="829"/>
      <c r="D43" s="391">
        <f t="shared" si="0"/>
        <v>9.3130336696073819</v>
      </c>
      <c r="E43" s="383">
        <f t="shared" si="1"/>
        <v>9.8769767503748405</v>
      </c>
      <c r="F43" s="383">
        <f t="shared" si="2"/>
        <v>9.876993069862916</v>
      </c>
      <c r="G43" s="110">
        <f t="shared" si="21"/>
        <v>0.30252216028843054</v>
      </c>
      <c r="H43" s="412" t="b">
        <f>Wh_hp&gt;='2026'!Maxi_hp</f>
        <v>0</v>
      </c>
      <c r="I43" s="388">
        <f>IF(H43,Wh_hp,'2026'!Maxi_hp)</f>
        <v>19.775703807846384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5.4696410566981379E-2</v>
      </c>
      <c r="M43" s="832"/>
      <c r="N43" s="832"/>
      <c r="O43" s="48">
        <f>IF(t&lt;Tnet,'2026'!Resal+('2026'!Salim-'2026'!Resal)*(1-EXP(('2026'!Tnet-t)/('2026'!Tau_j))),Resal+(Salim-Resal)*(1-EXP((Tnet-t)/(Tau_j))))*Salcycl</f>
        <v>5.7096730611019851E-2</v>
      </c>
      <c r="P43" s="169">
        <f>(INDEX(Models!$BJ43:$BT43,,T43)*(1-R43)+INDEX(Models!$BJ43:$BT43,,T43+1)*R43-ERP_i)*Q43*Ramure*Pc/MaxiM</f>
        <v>4.358613733576824E-4</v>
      </c>
      <c r="Q43" s="304">
        <f t="shared" si="4"/>
        <v>0.6</v>
      </c>
      <c r="R43" s="177">
        <f t="shared" si="5"/>
        <v>0.9756255553090305</v>
      </c>
      <c r="S43" s="799">
        <f t="shared" si="6"/>
        <v>-2</v>
      </c>
      <c r="T43" s="176">
        <f t="shared" si="7"/>
        <v>4</v>
      </c>
      <c r="U43" s="250">
        <f t="shared" si="8"/>
        <v>-1.0243744446909695</v>
      </c>
      <c r="V43" s="382">
        <f t="shared" si="9"/>
        <v>29.088188181899316</v>
      </c>
      <c r="W43" s="400">
        <f t="shared" si="10"/>
        <v>8.8036441563904155</v>
      </c>
      <c r="X43" s="157">
        <f t="shared" si="11"/>
        <v>46416</v>
      </c>
      <c r="Y43" s="383">
        <f t="shared" si="12"/>
        <v>8.5424840254027696</v>
      </c>
      <c r="Z43" s="383">
        <f t="shared" si="22"/>
        <v>9.0367624971427922</v>
      </c>
      <c r="AA43" s="384">
        <f t="shared" si="13"/>
        <v>9.8766314372124526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8.5035970554217868E-2</v>
      </c>
      <c r="AD43" s="230">
        <f>(INDEX(Models!$BJ43:$BT43,,AH43)*(1-AF43)+INDEX(Models!$BJ43:$BT43,,AH43+1)*AF43-ERP_i)*AE43*Ramure*Pc/MaxiM</f>
        <v>9.6584955943021539E-3</v>
      </c>
      <c r="AE43" s="304">
        <f t="shared" si="15"/>
        <v>0.6</v>
      </c>
      <c r="AF43" s="177">
        <f t="shared" si="23"/>
        <v>0.50061312168300942</v>
      </c>
      <c r="AG43" s="799">
        <f t="shared" si="24"/>
        <v>2</v>
      </c>
      <c r="AH43" s="176">
        <f t="shared" si="16"/>
        <v>8</v>
      </c>
      <c r="AI43" s="224">
        <f t="shared" si="17"/>
        <v>2.5006131216830094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'2026'!Wh/'2026'!Env_an*'2027'!Env_an</f>
        <v>4.5462208522560639</v>
      </c>
      <c r="C44" s="829"/>
      <c r="D44" s="391">
        <f t="shared" si="0"/>
        <v>4.8093628671590718</v>
      </c>
      <c r="E44" s="383">
        <f t="shared" si="1"/>
        <v>5.1008837468233557</v>
      </c>
      <c r="F44" s="383">
        <f t="shared" si="2"/>
        <v>5.1008837468233557</v>
      </c>
      <c r="G44" s="110">
        <f t="shared" si="21"/>
        <v>0.15449281406531815</v>
      </c>
      <c r="H44" s="412" t="b">
        <f>Wh_hp&gt;='2026'!Maxi_hp</f>
        <v>0</v>
      </c>
      <c r="I44" s="388">
        <f>IF(H44,Wh_hp,'2026'!Maxi_hp)</f>
        <v>11.80160840972839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5.471452709461444E-2</v>
      </c>
      <c r="M44" s="832"/>
      <c r="N44" s="832"/>
      <c r="O44" s="48">
        <f>IF(t&lt;Tnet,'2026'!Resal+('2026'!Salim-'2026'!Resal)*(1-EXP(('2026'!Tnet-t)/('2026'!Tau_j))),Resal+(Salim-Resal)*(1-EXP((Tnet-t)/(Tau_j))))*Salcycl</f>
        <v>5.7151053451440163E-2</v>
      </c>
      <c r="P44" s="169">
        <f>(INDEX(Models!$BJ44:$BT44,,T44)*(1-R44)+INDEX(Models!$BJ44:$BT44,,T44+1)*R44-ERP_i)*Q44*Ramure*Pc/MaxiM</f>
        <v>4.2101499414524393E-4</v>
      </c>
      <c r="Q44" s="304">
        <f t="shared" si="4"/>
        <v>0.6</v>
      </c>
      <c r="R44" s="177">
        <f t="shared" si="5"/>
        <v>0.97571731942202411</v>
      </c>
      <c r="S44" s="799">
        <f t="shared" si="6"/>
        <v>-2</v>
      </c>
      <c r="T44" s="176">
        <f t="shared" si="7"/>
        <v>4</v>
      </c>
      <c r="U44" s="250">
        <f t="shared" si="8"/>
        <v>-1.0242826805779759</v>
      </c>
      <c r="V44" s="382">
        <f t="shared" si="9"/>
        <v>29.414357247640513</v>
      </c>
      <c r="W44" s="400">
        <f t="shared" si="10"/>
        <v>4.5462208522560639</v>
      </c>
      <c r="X44" s="157">
        <f t="shared" si="11"/>
        <v>46417</v>
      </c>
      <c r="Y44" s="383">
        <f t="shared" si="12"/>
        <v>4.4116420097536775</v>
      </c>
      <c r="Z44" s="383">
        <f t="shared" si="22"/>
        <v>4.6669944013783047</v>
      </c>
      <c r="AA44" s="384">
        <f t="shared" si="13"/>
        <v>5.1008837468233557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8.5061602455704113E-2</v>
      </c>
      <c r="AD44" s="230">
        <f>(INDEX(Models!$BJ44:$BT44,,AH44)*(1-AF44)+INDEX(Models!$BJ44:$BT44,,AH44+1)*AF44-ERP_i)*AE44*Ramure*Pc/MaxiM</f>
        <v>9.4256194206918577E-3</v>
      </c>
      <c r="AE44" s="304">
        <f t="shared" si="15"/>
        <v>0.6</v>
      </c>
      <c r="AF44" s="177">
        <f t="shared" si="23"/>
        <v>0.50070488579600259</v>
      </c>
      <c r="AG44" s="799">
        <f t="shared" si="24"/>
        <v>2</v>
      </c>
      <c r="AH44" s="176">
        <f t="shared" si="16"/>
        <v>8</v>
      </c>
      <c r="AI44" s="224">
        <f t="shared" si="17"/>
        <v>2.5007048857960026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'2026'!Wh/'2026'!Env_an*'2027'!Env_an</f>
        <v>7.5382486111115412</v>
      </c>
      <c r="C45" s="829"/>
      <c r="D45" s="391">
        <f t="shared" si="0"/>
        <v>7.9747264702223051</v>
      </c>
      <c r="E45" s="383">
        <f t="shared" si="1"/>
        <v>8.458604391511539</v>
      </c>
      <c r="F45" s="383">
        <f t="shared" si="2"/>
        <v>8.458604391511539</v>
      </c>
      <c r="G45" s="110">
        <f t="shared" si="21"/>
        <v>0.2533468569149212</v>
      </c>
      <c r="H45" s="412" t="b">
        <f>Wh_hp&gt;='2026'!Maxi_hp</f>
        <v>0</v>
      </c>
      <c r="I45" s="388">
        <f>IF(H45,Wh_hp,'2026'!Maxi_hp)</f>
        <v>23.12427848668732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5.4732643275048454E-2</v>
      </c>
      <c r="M45" s="832"/>
      <c r="N45" s="832"/>
      <c r="O45" s="48">
        <f>IF(t&lt;Tnet,'2026'!Resal+('2026'!Salim-'2026'!Resal)*(1-EXP(('2026'!Tnet-t)/('2026'!Tau_j))),Resal+(Salim-Resal)*(1-EXP((Tnet-t)/(Tau_j))))*Salcycl</f>
        <v>5.7205408704870959E-2</v>
      </c>
      <c r="P45" s="169">
        <f>(INDEX(Models!$BJ45:$BT45,,T45)*(1-R45)+INDEX(Models!$BJ45:$BT45,,T45+1)*R45-ERP_i)*Q45*Ramure*Pc/MaxiM</f>
        <v>4.0678989084046418E-4</v>
      </c>
      <c r="Q45" s="304">
        <f t="shared" si="4"/>
        <v>0.6</v>
      </c>
      <c r="R45" s="177">
        <f t="shared" si="5"/>
        <v>0.97581289730345411</v>
      </c>
      <c r="S45" s="799">
        <f t="shared" si="6"/>
        <v>-2</v>
      </c>
      <c r="T45" s="176">
        <f t="shared" si="7"/>
        <v>4</v>
      </c>
      <c r="U45" s="250">
        <f t="shared" si="8"/>
        <v>-1.0241871026965459</v>
      </c>
      <c r="V45" s="382">
        <f t="shared" si="9"/>
        <v>29.742552244539421</v>
      </c>
      <c r="W45" s="400">
        <f t="shared" si="10"/>
        <v>7.5382486111115412</v>
      </c>
      <c r="X45" s="157">
        <f t="shared" si="11"/>
        <v>46418</v>
      </c>
      <c r="Y45" s="383">
        <f t="shared" si="12"/>
        <v>7.3153146592839526</v>
      </c>
      <c r="Z45" s="383">
        <f t="shared" si="22"/>
        <v>7.7388842503026591</v>
      </c>
      <c r="AA45" s="384">
        <f t="shared" si="13"/>
        <v>8.458604391511539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8.5087339222430156E-2</v>
      </c>
      <c r="AD45" s="230">
        <f>(INDEX(Models!$BJ45:$BT45,,AH45)*(1-AF45)+INDEX(Models!$BJ45:$BT45,,AH45+1)*AF45-ERP_i)*AE45*Ramure*Pc/MaxiM</f>
        <v>9.1964332226157734E-3</v>
      </c>
      <c r="AE45" s="304">
        <f t="shared" si="15"/>
        <v>0.6</v>
      </c>
      <c r="AF45" s="177">
        <f t="shared" si="23"/>
        <v>0.50080046367743281</v>
      </c>
      <c r="AG45" s="799">
        <f t="shared" si="24"/>
        <v>2</v>
      </c>
      <c r="AH45" s="176">
        <f t="shared" si="16"/>
        <v>8</v>
      </c>
      <c r="AI45" s="224">
        <f t="shared" si="17"/>
        <v>2.5008004636774328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'2026'!Wh/'2026'!Env_an*'2027'!Env_an</f>
        <v>12.508695323437264</v>
      </c>
      <c r="C46" s="829"/>
      <c r="D46" s="391">
        <f t="shared" si="0"/>
        <v>13.233224405064917</v>
      </c>
      <c r="E46" s="383">
        <f t="shared" si="1"/>
        <v>14.036978937540459</v>
      </c>
      <c r="F46" s="383">
        <f t="shared" si="2"/>
        <v>14.037893266098704</v>
      </c>
      <c r="G46" s="110">
        <f t="shared" si="21"/>
        <v>0.41582323652551695</v>
      </c>
      <c r="H46" s="412" t="b">
        <f>Wh_hp&gt;='2026'!Maxi_hp</f>
        <v>1</v>
      </c>
      <c r="I46" s="388">
        <f>IF(H46,Wh_hp,'2026'!Maxi_hp)</f>
        <v>14.037893266098704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5.475075910828997E-2</v>
      </c>
      <c r="M46" s="832"/>
      <c r="N46" s="832"/>
      <c r="O46" s="48">
        <f>IF(t&lt;Tnet,'2026'!Resal+('2026'!Salim-'2026'!Resal)*(1-EXP(('2026'!Tnet-t)/('2026'!Tau_j))),Resal+(Salim-Resal)*(1-EXP((Tnet-t)/(Tau_j))))*Salcycl</f>
        <v>5.7259794721639334E-2</v>
      </c>
      <c r="P46" s="169">
        <f>(INDEX(Models!$BJ46:$BT46,,T46)*(1-R46)+INDEX(Models!$BJ46:$BT46,,T46+1)*R46-ERP_i)*Q46*Ramure*Pc/MaxiM</f>
        <v>3.9317989882958868E-4</v>
      </c>
      <c r="Q46" s="304">
        <f t="shared" si="4"/>
        <v>0.6</v>
      </c>
      <c r="R46" s="177">
        <f t="shared" si="5"/>
        <v>0.97591244589389459</v>
      </c>
      <c r="S46" s="799">
        <f t="shared" si="6"/>
        <v>-2</v>
      </c>
      <c r="T46" s="176">
        <f t="shared" si="7"/>
        <v>4</v>
      </c>
      <c r="U46" s="250">
        <f t="shared" si="8"/>
        <v>-1.0240875541061054</v>
      </c>
      <c r="V46" s="382">
        <f t="shared" si="9"/>
        <v>30.071892375592785</v>
      </c>
      <c r="W46" s="400">
        <f t="shared" si="10"/>
        <v>12.508695323437264</v>
      </c>
      <c r="X46" s="157">
        <f t="shared" si="11"/>
        <v>46419</v>
      </c>
      <c r="Y46" s="383">
        <f t="shared" si="12"/>
        <v>12.121873529211971</v>
      </c>
      <c r="Z46" s="383">
        <f t="shared" si="22"/>
        <v>12.823997105542961</v>
      </c>
      <c r="AA46" s="384">
        <f t="shared" si="13"/>
        <v>14.017031176344311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8.5113178089719868E-2</v>
      </c>
      <c r="AD46" s="230">
        <f>(INDEX(Models!$BJ46:$BT46,,AH46)*(1-AF46)+INDEX(Models!$BJ46:$BT46,,AH46+1)*AF46-ERP_i)*AE46*Ramure*Pc/MaxiM</f>
        <v>8.9711234162258447E-3</v>
      </c>
      <c r="AE46" s="304">
        <f t="shared" si="15"/>
        <v>0.6</v>
      </c>
      <c r="AF46" s="177">
        <f t="shared" si="23"/>
        <v>0.50090001226787306</v>
      </c>
      <c r="AG46" s="799">
        <f t="shared" si="24"/>
        <v>2</v>
      </c>
      <c r="AH46" s="176">
        <f t="shared" si="16"/>
        <v>8</v>
      </c>
      <c r="AI46" s="224">
        <f t="shared" si="17"/>
        <v>2.5009000122678731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'2026'!Wh/'2026'!Env_an*'2027'!Env_an</f>
        <v>5.2803040565436463</v>
      </c>
      <c r="C47" s="829"/>
      <c r="D47" s="391">
        <f t="shared" si="0"/>
        <v>5.5862570694310945</v>
      </c>
      <c r="E47" s="383">
        <f t="shared" si="1"/>
        <v>5.9258950586817338</v>
      </c>
      <c r="F47" s="383">
        <f t="shared" si="2"/>
        <v>5.9258950586817338</v>
      </c>
      <c r="G47" s="110">
        <f t="shared" si="21"/>
        <v>0.17361962735080141</v>
      </c>
      <c r="H47" s="412" t="b">
        <f>Wh_hp&gt;='2026'!Maxi_hp</f>
        <v>0</v>
      </c>
      <c r="I47" s="388">
        <f>IF(H47,Wh_hp,'2026'!Maxi_hp)</f>
        <v>29.977059055663016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5.4768874594345651E-2</v>
      </c>
      <c r="M47" s="832"/>
      <c r="N47" s="832"/>
      <c r="O47" s="48">
        <f>IF(t&lt;Tnet,'2026'!Resal+('2026'!Salim-'2026'!Resal)*(1-EXP(('2026'!Tnet-t)/('2026'!Tau_j))),Resal+(Salim-Resal)*(1-EXP((Tnet-t)/(Tau_j))))*Salcycl</f>
        <v>5.7314209227018506E-2</v>
      </c>
      <c r="P47" s="169">
        <f>(INDEX(Models!$BJ47:$BT47,,T47)*(1-R47)+INDEX(Models!$BJ47:$BT47,,T47+1)*R47-ERP_i)*Q47*Ramure*Pc/MaxiM</f>
        <v>3.801773017056535E-4</v>
      </c>
      <c r="Q47" s="304">
        <f t="shared" si="4"/>
        <v>0.6</v>
      </c>
      <c r="R47" s="177">
        <f t="shared" si="5"/>
        <v>0.97601612845913932</v>
      </c>
      <c r="S47" s="799">
        <f t="shared" si="6"/>
        <v>-2</v>
      </c>
      <c r="T47" s="176">
        <f t="shared" si="7"/>
        <v>4</v>
      </c>
      <c r="U47" s="250">
        <f t="shared" si="8"/>
        <v>-1.0239838715408607</v>
      </c>
      <c r="V47" s="382">
        <f t="shared" si="9"/>
        <v>30.401497142545733</v>
      </c>
      <c r="W47" s="400">
        <f t="shared" si="10"/>
        <v>5.2803040565436463</v>
      </c>
      <c r="X47" s="157">
        <f t="shared" si="11"/>
        <v>46420</v>
      </c>
      <c r="Y47" s="383">
        <f t="shared" si="12"/>
        <v>5.12444728408465</v>
      </c>
      <c r="Z47" s="383">
        <f t="shared" si="22"/>
        <v>5.4213695955954133</v>
      </c>
      <c r="AA47" s="384">
        <f t="shared" si="13"/>
        <v>5.9258950586817338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8.5139115372481144E-2</v>
      </c>
      <c r="AD47" s="230">
        <f>(INDEX(Models!$BJ47:$BT47,,AH47)*(1-AF47)+INDEX(Models!$BJ47:$BT47,,AH47+1)*AF47-ERP_i)*AE47*Ramure*Pc/MaxiM</f>
        <v>8.7498387158464717E-3</v>
      </c>
      <c r="AE47" s="304">
        <f t="shared" si="15"/>
        <v>0.6</v>
      </c>
      <c r="AF47" s="177">
        <f t="shared" si="23"/>
        <v>0.50100369483311802</v>
      </c>
      <c r="AG47" s="799">
        <f t="shared" si="24"/>
        <v>2</v>
      </c>
      <c r="AH47" s="176">
        <f t="shared" si="16"/>
        <v>8</v>
      </c>
      <c r="AI47" s="224">
        <f t="shared" si="17"/>
        <v>2.501003694833118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'2026'!Wh/'2026'!Env_an*'2027'!Env_an</f>
        <v>10.362456706849111</v>
      </c>
      <c r="C48" s="829"/>
      <c r="D48" s="391">
        <f t="shared" si="0"/>
        <v>10.963091487626055</v>
      </c>
      <c r="E48" s="383">
        <f t="shared" si="1"/>
        <v>11.630306460604329</v>
      </c>
      <c r="F48" s="383">
        <f t="shared" si="2"/>
        <v>11.630533800914867</v>
      </c>
      <c r="G48" s="110">
        <f t="shared" si="21"/>
        <v>0.33708702304379512</v>
      </c>
      <c r="H48" s="412" t="b">
        <f>Wh_hp&gt;='2026'!Maxi_hp</f>
        <v>0</v>
      </c>
      <c r="I48" s="388">
        <f>IF(H48,Wh_hp,'2026'!Maxi_hp)</f>
        <v>27.588451395254136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5.4786989733222158E-2</v>
      </c>
      <c r="M48" s="832"/>
      <c r="N48" s="832"/>
      <c r="O48" s="48">
        <f>IF(t&lt;Tnet,'2026'!Resal+('2026'!Salim-'2026'!Resal)*(1-EXP(('2026'!Tnet-t)/('2026'!Tau_j))),Resal+(Salim-Resal)*(1-EXP((Tnet-t)/(Tau_j))))*Salcycl</f>
        <v>5.7368649333390261E-2</v>
      </c>
      <c r="P48" s="169">
        <f>(INDEX(Models!$BJ48:$BT48,,T48)*(1-R48)+INDEX(Models!$BJ48:$BT48,,T48+1)*R48-ERP_i)*Q48*Ramure*Pc/MaxiM</f>
        <v>3.6777310523289608E-4</v>
      </c>
      <c r="Q48" s="304">
        <f t="shared" si="4"/>
        <v>0.6</v>
      </c>
      <c r="R48" s="177">
        <f t="shared" si="5"/>
        <v>0.97612411483377248</v>
      </c>
      <c r="S48" s="799">
        <f t="shared" si="6"/>
        <v>-2</v>
      </c>
      <c r="T48" s="176">
        <f t="shared" si="7"/>
        <v>4</v>
      </c>
      <c r="U48" s="250">
        <f t="shared" si="8"/>
        <v>-1.0238758851662275</v>
      </c>
      <c r="V48" s="382">
        <f t="shared" si="9"/>
        <v>30.730486339378182</v>
      </c>
      <c r="W48" s="400">
        <f t="shared" si="10"/>
        <v>10.362456706849111</v>
      </c>
      <c r="X48" s="157">
        <f t="shared" si="11"/>
        <v>46421</v>
      </c>
      <c r="Y48" s="383">
        <f t="shared" si="12"/>
        <v>10.052522199409356</v>
      </c>
      <c r="Z48" s="383">
        <f t="shared" si="22"/>
        <v>10.635192374861751</v>
      </c>
      <c r="AA48" s="384">
        <f t="shared" si="13"/>
        <v>11.625259284790914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8.5165146486190405E-2</v>
      </c>
      <c r="AD48" s="230">
        <f>(INDEX(Models!$BJ48:$BT48,,AH48)*(1-AF48)+INDEX(Models!$BJ48:$BT48,,AH48+1)*AF48-ERP_i)*AE48*Ramure*Pc/MaxiM</f>
        <v>8.5326934273698644E-3</v>
      </c>
      <c r="AE48" s="304">
        <f t="shared" si="15"/>
        <v>0.6</v>
      </c>
      <c r="AF48" s="177">
        <f t="shared" si="23"/>
        <v>0.50111168120775096</v>
      </c>
      <c r="AG48" s="799">
        <f t="shared" si="24"/>
        <v>2</v>
      </c>
      <c r="AH48" s="176">
        <f t="shared" si="16"/>
        <v>8</v>
      </c>
      <c r="AI48" s="224">
        <f t="shared" si="17"/>
        <v>2.501111681207751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'2026'!Wh/'2026'!Env_an*'2027'!Env_an</f>
        <v>10.205896978467491</v>
      </c>
      <c r="C49" s="829"/>
      <c r="D49" s="391">
        <f t="shared" si="0"/>
        <v>10.797664087402634</v>
      </c>
      <c r="E49" s="383">
        <f t="shared" si="1"/>
        <v>11.455472990966172</v>
      </c>
      <c r="F49" s="383">
        <f t="shared" si="2"/>
        <v>11.455639640793219</v>
      </c>
      <c r="G49" s="110">
        <f t="shared" si="21"/>
        <v>0.32849568822683878</v>
      </c>
      <c r="H49" s="412" t="b">
        <f>Wh_hp&gt;='2026'!Maxi_hp</f>
        <v>0</v>
      </c>
      <c r="I49" s="388">
        <f>IF(H49,Wh_hp,'2026'!Maxi_hp)</f>
        <v>19.347515119040757</v>
      </c>
      <c r="J49" s="85">
        <f>IF(H49,An,'2026'!An_max)</f>
        <v>2020</v>
      </c>
      <c r="K49" s="197">
        <f t="shared" si="3"/>
        <v>46422</v>
      </c>
      <c r="L49" s="147">
        <f>IF(t&lt;Tvie,1-EXP((T0-t)*PertePVj)+'2026'!Pspv,1-EXP((T0-t)*PertePVj)+Pspv)</f>
        <v>5.4805104524926151E-2</v>
      </c>
      <c r="M49" s="832"/>
      <c r="N49" s="832"/>
      <c r="O49" s="48">
        <f>IF(t&lt;Tnet,'2026'!Resal+('2026'!Salim-'2026'!Resal)*(1-EXP(('2026'!Tnet-t)/('2026'!Tau_j))),Resal+(Salim-Resal)*(1-EXP((Tnet-t)/(Tau_j))))*Salcycl</f>
        <v>5.7423111562681761E-2</v>
      </c>
      <c r="P49" s="169">
        <f>(INDEX(Models!$BJ49:$BT49,,T49)*(1-R49)+INDEX(Models!$BJ49:$BT49,,T49+1)*R49-ERP_i)*Q49*Ramure*Pc/MaxiM</f>
        <v>3.5595728921079649E-4</v>
      </c>
      <c r="Q49" s="304">
        <f t="shared" si="4"/>
        <v>0.6</v>
      </c>
      <c r="R49" s="177">
        <f t="shared" si="5"/>
        <v>0.97623658167313843</v>
      </c>
      <c r="S49" s="799">
        <f t="shared" si="6"/>
        <v>-2</v>
      </c>
      <c r="T49" s="176">
        <f t="shared" si="7"/>
        <v>4</v>
      </c>
      <c r="U49" s="250">
        <f t="shared" si="8"/>
        <v>-1.0237634183268616</v>
      </c>
      <c r="V49" s="382">
        <f t="shared" si="9"/>
        <v>31.05798005672737</v>
      </c>
      <c r="W49" s="400">
        <f t="shared" si="10"/>
        <v>10.205896978467491</v>
      </c>
      <c r="X49" s="157">
        <f t="shared" si="11"/>
        <v>46422</v>
      </c>
      <c r="Y49" s="383">
        <f t="shared" si="12"/>
        <v>9.9020091073095724</v>
      </c>
      <c r="Z49" s="383">
        <f t="shared" si="22"/>
        <v>10.476155927960894</v>
      </c>
      <c r="AA49" s="384">
        <f t="shared" si="13"/>
        <v>11.451744543320567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8.5191265983024622E-2</v>
      </c>
      <c r="AD49" s="230">
        <f>(INDEX(Models!$BJ49:$BT49,,AH49)*(1-AF49)+INDEX(Models!$BJ49:$BT49,,AH49+1)*AF49-ERP_i)*AE49*Ramure*Pc/MaxiM</f>
        <v>8.3197706360958884E-3</v>
      </c>
      <c r="AE49" s="304">
        <f t="shared" si="15"/>
        <v>0.6</v>
      </c>
      <c r="AF49" s="177">
        <f t="shared" si="23"/>
        <v>0.5012241480471169</v>
      </c>
      <c r="AG49" s="799">
        <f t="shared" si="24"/>
        <v>2</v>
      </c>
      <c r="AH49" s="176">
        <f t="shared" si="16"/>
        <v>8</v>
      </c>
      <c r="AI49" s="224">
        <f t="shared" si="17"/>
        <v>2.5012241480471169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'2026'!Wh/'2026'!Env_an*'2027'!Env_an</f>
        <v>8.9676224229314538</v>
      </c>
      <c r="C50" s="829"/>
      <c r="D50" s="391">
        <f t="shared" si="0"/>
        <v>9.4877726610613156</v>
      </c>
      <c r="E50" s="383">
        <f t="shared" si="1"/>
        <v>10.066362963160305</v>
      </c>
      <c r="F50" s="383">
        <f t="shared" si="2"/>
        <v>10.066362963160305</v>
      </c>
      <c r="G50" s="110">
        <f t="shared" si="21"/>
        <v>0.28564837411562133</v>
      </c>
      <c r="H50" s="412" t="b">
        <f>Wh_hp&gt;='2026'!Maxi_hp</f>
        <v>0</v>
      </c>
      <c r="I50" s="388">
        <f>IF(H50,Wh_hp,'2026'!Maxi_hp)</f>
        <v>35.681802082367859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5.4823218969464294E-2</v>
      </c>
      <c r="M50" s="832"/>
      <c r="N50" s="832"/>
      <c r="O50" s="48">
        <f>IF(t&lt;Tnet,'2026'!Resal+('2026'!Salim-'2026'!Resal)*(1-EXP(('2026'!Tnet-t)/('2026'!Tau_j))),Resal+(Salim-Resal)*(1-EXP((Tnet-t)/(Tau_j))))*Salcycl</f>
        <v>5.747759187866025E-2</v>
      </c>
      <c r="P50" s="169">
        <f>(INDEX(Models!$BJ50:$BT50,,T50)*(1-R50)+INDEX(Models!$BJ50:$BT50,,T50+1)*R50-ERP_i)*Q50*Ramure*Pc/MaxiM</f>
        <v>3.4471903775409933E-4</v>
      </c>
      <c r="Q50" s="304">
        <f t="shared" si="4"/>
        <v>0.6</v>
      </c>
      <c r="R50" s="177">
        <f t="shared" si="5"/>
        <v>0.97635371271391924</v>
      </c>
      <c r="S50" s="799">
        <f t="shared" si="6"/>
        <v>-2</v>
      </c>
      <c r="T50" s="176">
        <f t="shared" si="7"/>
        <v>4</v>
      </c>
      <c r="U50" s="250">
        <f t="shared" si="8"/>
        <v>-1.0236462872860808</v>
      </c>
      <c r="V50" s="382">
        <f t="shared" si="9"/>
        <v>31.383098680373809</v>
      </c>
      <c r="W50" s="400">
        <f t="shared" si="10"/>
        <v>8.9676224229314538</v>
      </c>
      <c r="X50" s="157">
        <f t="shared" si="11"/>
        <v>46423</v>
      </c>
      <c r="Y50" s="383">
        <f t="shared" si="12"/>
        <v>8.7036915822357059</v>
      </c>
      <c r="Z50" s="383">
        <f t="shared" si="22"/>
        <v>9.208533003472624</v>
      </c>
      <c r="AA50" s="384">
        <f t="shared" si="13"/>
        <v>10.066362963160305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8.5217467602456409E-2</v>
      </c>
      <c r="AD50" s="230">
        <f>(INDEX(Models!$BJ50:$BT50,,AH50)*(1-AF50)+INDEX(Models!$BJ50:$BT50,,AH50+1)*AF50-ERP_i)*AE50*Ramure*Pc/MaxiM</f>
        <v>8.111125265036781E-3</v>
      </c>
      <c r="AE50" s="304">
        <f t="shared" si="15"/>
        <v>0.6</v>
      </c>
      <c r="AF50" s="177">
        <f t="shared" si="23"/>
        <v>0.50134127908789772</v>
      </c>
      <c r="AG50" s="799">
        <f t="shared" si="24"/>
        <v>2</v>
      </c>
      <c r="AH50" s="176">
        <f t="shared" si="16"/>
        <v>8</v>
      </c>
      <c r="AI50" s="224">
        <f t="shared" si="17"/>
        <v>2.5013412790878977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'2026'!Wh/'2026'!Env_an*'2027'!Env_an</f>
        <v>20.891151554044349</v>
      </c>
      <c r="C51" s="829"/>
      <c r="D51" s="391">
        <f t="shared" si="0"/>
        <v>22.103327499320077</v>
      </c>
      <c r="E51" s="383">
        <f t="shared" si="1"/>
        <v>23.452604767353844</v>
      </c>
      <c r="F51" s="383">
        <f t="shared" si="2"/>
        <v>23.456621596817079</v>
      </c>
      <c r="G51" s="110">
        <f t="shared" si="21"/>
        <v>0.65876631367507832</v>
      </c>
      <c r="H51" s="412" t="b">
        <f>Wh_hp&gt;='2026'!Maxi_hp</f>
        <v>0</v>
      </c>
      <c r="I51" s="388">
        <f>IF(H51,Wh_hp,'2026'!Maxi_hp)</f>
        <v>37.076232391062831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5.4841333066843245E-2</v>
      </c>
      <c r="M51" s="832"/>
      <c r="N51" s="832"/>
      <c r="O51" s="48">
        <f>IF(t&lt;Tnet,'2026'!Resal+('2026'!Salim-'2026'!Resal)*(1-EXP(('2026'!Tnet-t)/('2026'!Tau_j))),Resal+(Salim-Resal)*(1-EXP((Tnet-t)/(Tau_j))))*Salcycl</f>
        <v>5.7532085728574059E-2</v>
      </c>
      <c r="P51" s="169">
        <f>(INDEX(Models!$BJ51:$BT51,,T51)*(1-R51)+INDEX(Models!$BJ51:$BT51,,T51+1)*R51-ERP_i)*Q51*Ramure*Pc/MaxiM</f>
        <v>3.340215473316687E-4</v>
      </c>
      <c r="Q51" s="304">
        <f t="shared" si="4"/>
        <v>0.6</v>
      </c>
      <c r="R51" s="177">
        <f t="shared" si="5"/>
        <v>0.97647569904351328</v>
      </c>
      <c r="S51" s="799">
        <f t="shared" si="6"/>
        <v>-2</v>
      </c>
      <c r="T51" s="176">
        <f t="shared" si="7"/>
        <v>4</v>
      </c>
      <c r="U51" s="250">
        <f t="shared" si="8"/>
        <v>-1.0235243009564867</v>
      </c>
      <c r="V51" s="382">
        <f t="shared" si="9"/>
        <v>31.707374753012392</v>
      </c>
      <c r="W51" s="400">
        <f t="shared" si="10"/>
        <v>20.891151554044349</v>
      </c>
      <c r="X51" s="157">
        <f t="shared" si="11"/>
        <v>46424</v>
      </c>
      <c r="Y51" s="383">
        <f t="shared" si="12"/>
        <v>20.198153158916572</v>
      </c>
      <c r="Z51" s="383">
        <f t="shared" si="22"/>
        <v>21.370118971088079</v>
      </c>
      <c r="AA51" s="384">
        <f t="shared" si="13"/>
        <v>23.361544497516547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8.5243744335489743E-2</v>
      </c>
      <c r="AD51" s="230">
        <f>(INDEX(Models!$BJ51:$BT51,,AH51)*(1-AF51)+INDEX(Models!$BJ51:$BT51,,AH51+1)*AF51-ERP_i)*AE51*Ramure*Pc/MaxiM</f>
        <v>7.9061857404794898E-3</v>
      </c>
      <c r="AE51" s="304">
        <f t="shared" si="15"/>
        <v>0.6</v>
      </c>
      <c r="AF51" s="177">
        <f t="shared" si="23"/>
        <v>0.5014632654174922</v>
      </c>
      <c r="AG51" s="799">
        <f t="shared" si="24"/>
        <v>2</v>
      </c>
      <c r="AH51" s="176">
        <f t="shared" si="16"/>
        <v>8</v>
      </c>
      <c r="AI51" s="224">
        <f t="shared" si="17"/>
        <v>2.5014632654174922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'2026'!Wh/'2026'!Env_an*'2027'!Env_an</f>
        <v>8.8040611297758478</v>
      </c>
      <c r="C52" s="829"/>
      <c r="D52" s="391">
        <f t="shared" si="0"/>
        <v>9.3150813390945864</v>
      </c>
      <c r="E52" s="383">
        <f t="shared" si="1"/>
        <v>9.8842835017071771</v>
      </c>
      <c r="F52" s="383">
        <f t="shared" si="2"/>
        <v>9.8842835017071771</v>
      </c>
      <c r="G52" s="110">
        <f t="shared" si="21"/>
        <v>0.27475566166323356</v>
      </c>
      <c r="H52" s="412" t="b">
        <f>Wh_hp&gt;='2026'!Maxi_hp</f>
        <v>0</v>
      </c>
      <c r="I52" s="388">
        <f>IF(H52,Wh_hp,'2026'!Maxi_hp)</f>
        <v>24.451684563184926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5.4859446817069779E-2</v>
      </c>
      <c r="M52" s="832"/>
      <c r="N52" s="832"/>
      <c r="O52" s="48">
        <f>IF(t&lt;Tnet,'2026'!Resal+('2026'!Salim-'2026'!Resal)*(1-EXP(('2026'!Tnet-t)/('2026'!Tau_j))),Resal+(Salim-Resal)*(1-EXP((Tnet-t)/(Tau_j))))*Salcycl</f>
        <v>5.7586588093540676E-2</v>
      </c>
      <c r="P52" s="169">
        <f>(INDEX(Models!$BJ52:$BT52,,T52)*(1-R52)+INDEX(Models!$BJ52:$BT52,,T52+1)*R52-ERP_i)*Q52*Ramure*Pc/MaxiM</f>
        <v>3.238165584880138E-4</v>
      </c>
      <c r="Q52" s="304">
        <f t="shared" si="4"/>
        <v>0.6</v>
      </c>
      <c r="R52" s="177">
        <f t="shared" si="5"/>
        <v>0.97660273937841491</v>
      </c>
      <c r="S52" s="799">
        <f t="shared" si="6"/>
        <v>-2</v>
      </c>
      <c r="T52" s="176">
        <f t="shared" si="7"/>
        <v>4</v>
      </c>
      <c r="U52" s="250">
        <f t="shared" si="8"/>
        <v>-1.0233972606215851</v>
      </c>
      <c r="V52" s="382">
        <f t="shared" si="9"/>
        <v>32.032862128197664</v>
      </c>
      <c r="W52" s="400">
        <f t="shared" si="10"/>
        <v>8.8040611297758478</v>
      </c>
      <c r="X52" s="157">
        <f t="shared" si="11"/>
        <v>46425</v>
      </c>
      <c r="Y52" s="383">
        <f t="shared" si="12"/>
        <v>8.5454408397848667</v>
      </c>
      <c r="Z52" s="383">
        <f t="shared" si="22"/>
        <v>9.0414497727418031</v>
      </c>
      <c r="AA52" s="384">
        <f t="shared" si="13"/>
        <v>9.8842835017071771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8.5270088501589639E-2</v>
      </c>
      <c r="AD52" s="230">
        <f>(INDEX(Models!$BJ52:$BT52,,AH52)*(1-AF52)+INDEX(Models!$BJ52:$BT52,,AH52+1)*AF52-ERP_i)*AE52*Ramure*Pc/MaxiM</f>
        <v>7.7038226806740067E-3</v>
      </c>
      <c r="AE52" s="304">
        <f t="shared" si="15"/>
        <v>0.6</v>
      </c>
      <c r="AF52" s="177">
        <f t="shared" si="23"/>
        <v>0.50159030575239338</v>
      </c>
      <c r="AG52" s="799">
        <f t="shared" si="24"/>
        <v>2</v>
      </c>
      <c r="AH52" s="176">
        <f t="shared" si="16"/>
        <v>8</v>
      </c>
      <c r="AI52" s="224">
        <f t="shared" si="17"/>
        <v>2.5015903057523934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'2026'!Wh/'2026'!Env_an*'2027'!Env_an</f>
        <v>32.649564864321569</v>
      </c>
      <c r="C53" s="829"/>
      <c r="D53" s="391">
        <f t="shared" si="0"/>
        <v>34.545328192532104</v>
      </c>
      <c r="E53" s="383">
        <f t="shared" si="1"/>
        <v>36.658355915114555</v>
      </c>
      <c r="F53" s="383">
        <f t="shared" si="2"/>
        <v>36.669864928426442</v>
      </c>
      <c r="G53" s="110">
        <f t="shared" si="21"/>
        <v>1.0089647411935272</v>
      </c>
      <c r="H53" s="412" t="b">
        <f>Wh_hp&gt;='2026'!Maxi_hp</f>
        <v>1</v>
      </c>
      <c r="I53" s="388">
        <f>IF(H53,Wh_hp,'2026'!Maxi_hp)</f>
        <v>36.669864928426442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5.4877560220150223E-2</v>
      </c>
      <c r="M53" s="832"/>
      <c r="N53" s="832"/>
      <c r="O53" s="48">
        <f>IF(t&lt;Tnet,'2026'!Resal+('2026'!Salim-'2026'!Resal)*(1-EXP(('2026'!Tnet-t)/('2026'!Tau_j))),Resal+(Salim-Resal)*(1-EXP((Tnet-t)/(Tau_j))))*Salcycl</f>
        <v>5.7641093547003072E-2</v>
      </c>
      <c r="P53" s="169">
        <f>(INDEX(Models!$BJ53:$BT53,,T53)*(1-R53)+INDEX(Models!$BJ53:$BT53,,T53+1)*R53-ERP_i)*Q53*Ramure*Pc/MaxiM</f>
        <v>3.1385480514722105E-4</v>
      </c>
      <c r="Q53" s="304">
        <f t="shared" si="4"/>
        <v>0.6</v>
      </c>
      <c r="R53" s="177">
        <f t="shared" si="5"/>
        <v>0.97673504035178116</v>
      </c>
      <c r="S53" s="799">
        <f t="shared" si="6"/>
        <v>-2</v>
      </c>
      <c r="T53" s="176">
        <f t="shared" si="7"/>
        <v>4</v>
      </c>
      <c r="U53" s="250">
        <f t="shared" si="8"/>
        <v>-1.0232649596482188</v>
      </c>
      <c r="V53" s="382">
        <f t="shared" si="9"/>
        <v>32.359470585364221</v>
      </c>
      <c r="W53" s="400">
        <f t="shared" si="10"/>
        <v>32.649564864321569</v>
      </c>
      <c r="X53" s="157">
        <f t="shared" si="11"/>
        <v>46426</v>
      </c>
      <c r="Y53" s="383">
        <f t="shared" si="12"/>
        <v>31.463363421674895</v>
      </c>
      <c r="Z53" s="383">
        <f t="shared" si="22"/>
        <v>33.290251185871483</v>
      </c>
      <c r="AA53" s="384">
        <f t="shared" si="13"/>
        <v>36.394581291961245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8.5296491837246066E-2</v>
      </c>
      <c r="AD53" s="230">
        <f>(INDEX(Models!$BJ53:$BT53,,AH53)*(1-AF53)+INDEX(Models!$BJ53:$BT53,,AH53+1)*AF53-ERP_i)*AE53*Ramure*Pc/MaxiM</f>
        <v>7.5070807324354484E-3</v>
      </c>
      <c r="AE53" s="304">
        <f t="shared" si="15"/>
        <v>0.6</v>
      </c>
      <c r="AF53" s="177">
        <f t="shared" si="23"/>
        <v>0.50172260672575986</v>
      </c>
      <c r="AG53" s="799">
        <f t="shared" si="24"/>
        <v>2</v>
      </c>
      <c r="AH53" s="176">
        <f t="shared" si="16"/>
        <v>8</v>
      </c>
      <c r="AI53" s="224">
        <f t="shared" si="17"/>
        <v>2.5017226067257599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'2026'!Wh/'2026'!Env_an*'2027'!Env_an</f>
        <v>32.927181230255179</v>
      </c>
      <c r="C54" s="829"/>
      <c r="D54" s="391">
        <f t="shared" si="0"/>
        <v>34.839731762093749</v>
      </c>
      <c r="E54" s="383">
        <f t="shared" si="1"/>
        <v>36.972905598288733</v>
      </c>
      <c r="F54" s="383">
        <f t="shared" si="2"/>
        <v>36.984153600859251</v>
      </c>
      <c r="G54" s="110">
        <f t="shared" si="21"/>
        <v>1.0073447597282734</v>
      </c>
      <c r="H54" s="412" t="b">
        <f>Wh_hp&gt;='2026'!Maxi_hp</f>
        <v>1</v>
      </c>
      <c r="I54" s="388">
        <f>IF(H54,Wh_hp,'2026'!Maxi_hp)</f>
        <v>36.984153600859251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5.4895673276091572E-2</v>
      </c>
      <c r="M54" s="832"/>
      <c r="N54" s="832"/>
      <c r="O54" s="48">
        <f>IF(t&lt;Tnet,'2026'!Resal+('2026'!Salim-'2026'!Resal)*(1-EXP(('2026'!Tnet-t)/('2026'!Tau_j))),Resal+(Salim-Resal)*(1-EXP((Tnet-t)/(Tau_j))))*Salcycl</f>
        <v>5.769559632050443E-2</v>
      </c>
      <c r="P54" s="169">
        <f>(INDEX(Models!$BJ54:$BT54,,T54)*(1-R54)+INDEX(Models!$BJ54:$BT54,,T54+1)*R54-ERP_i)*Q54*Ramure*Pc/MaxiM</f>
        <v>3.0413032272977927E-4</v>
      </c>
      <c r="Q54" s="304">
        <f t="shared" si="4"/>
        <v>0.6</v>
      </c>
      <c r="R54" s="177">
        <f t="shared" si="5"/>
        <v>0.97687281681037219</v>
      </c>
      <c r="S54" s="799">
        <f t="shared" si="6"/>
        <v>-2</v>
      </c>
      <c r="T54" s="176">
        <f t="shared" si="7"/>
        <v>4</v>
      </c>
      <c r="U54" s="250">
        <f t="shared" si="8"/>
        <v>-1.0231271831896278</v>
      </c>
      <c r="V54" s="382">
        <f t="shared" si="9"/>
        <v>32.687102317519511</v>
      </c>
      <c r="W54" s="400">
        <f t="shared" si="10"/>
        <v>32.927181230255179</v>
      </c>
      <c r="X54" s="157">
        <f t="shared" si="11"/>
        <v>46427</v>
      </c>
      <c r="Y54" s="383">
        <f t="shared" si="12"/>
        <v>31.737617348876931</v>
      </c>
      <c r="Z54" s="383">
        <f t="shared" si="22"/>
        <v>33.581072958253827</v>
      </c>
      <c r="AA54" s="384">
        <f t="shared" si="13"/>
        <v>36.713584096737733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8.5322945595013452E-2</v>
      </c>
      <c r="AD54" s="230">
        <f>(INDEX(Models!$BJ54:$BT54,,AH54)*(1-AF54)+INDEX(Models!$BJ54:$BT54,,AH54+1)*AF54-ERP_i)*AE54*Ramure*Pc/MaxiM</f>
        <v>7.3158225287933247E-3</v>
      </c>
      <c r="AE54" s="304">
        <f t="shared" si="15"/>
        <v>0.6</v>
      </c>
      <c r="AF54" s="177">
        <f t="shared" si="23"/>
        <v>0.50186038318435111</v>
      </c>
      <c r="AG54" s="799">
        <f t="shared" si="24"/>
        <v>2</v>
      </c>
      <c r="AH54" s="176">
        <f t="shared" si="16"/>
        <v>8</v>
      </c>
      <c r="AI54" s="224">
        <f t="shared" si="17"/>
        <v>2.5018603831843511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'2026'!Wh/'2026'!Env_an*'2027'!Env_an</f>
        <v>30.705010187506641</v>
      </c>
      <c r="C55" s="829"/>
      <c r="D55" s="391">
        <f t="shared" si="0"/>
        <v>32.489110233721028</v>
      </c>
      <c r="E55" s="383">
        <f t="shared" si="1"/>
        <v>34.480353780755053</v>
      </c>
      <c r="F55" s="383">
        <f t="shared" si="2"/>
        <v>34.489499678455367</v>
      </c>
      <c r="G55" s="110">
        <f t="shared" si="21"/>
        <v>0.92998612909591882</v>
      </c>
      <c r="H55" s="412" t="b">
        <f>Wh_hp&gt;='2026'!Maxi_hp</f>
        <v>1</v>
      </c>
      <c r="I55" s="388">
        <f>IF(H55,Wh_hp,'2026'!Maxi_hp)</f>
        <v>34.489499678455367</v>
      </c>
      <c r="J55" s="85">
        <f>IF(H55,An,'2026'!An_max)</f>
        <v>2027</v>
      </c>
      <c r="K55" s="197">
        <f t="shared" si="3"/>
        <v>46428</v>
      </c>
      <c r="L55" s="147">
        <f>IF(t&lt;Tvie,1-EXP((T0-t)*PertePVj)+'2026'!Pspv,1-EXP((T0-t)*PertePVj)+Pspv)</f>
        <v>5.4913785984900265E-2</v>
      </c>
      <c r="M55" s="832"/>
      <c r="N55" s="832"/>
      <c r="O55" s="48">
        <f>IF(t&lt;Tnet,'2026'!Resal+('2026'!Salim-'2026'!Resal)*(1-EXP(('2026'!Tnet-t)/('2026'!Tau_j))),Resal+(Salim-Resal)*(1-EXP((Tnet-t)/(Tau_j))))*Salcycl</f>
        <v>5.7750090375970127E-2</v>
      </c>
      <c r="P55" s="169">
        <f>(INDEX(Models!$BJ55:$BT55,,T55)*(1-R55)+INDEX(Models!$BJ55:$BT55,,T55+1)*R55-ERP_i)*Q55*Ramure*Pc/MaxiM</f>
        <v>2.9463721909544387E-4</v>
      </c>
      <c r="Q55" s="304">
        <f t="shared" si="4"/>
        <v>0.6</v>
      </c>
      <c r="R55" s="177">
        <f t="shared" si="5"/>
        <v>0.9770162921210348</v>
      </c>
      <c r="S55" s="799">
        <f t="shared" si="6"/>
        <v>-2</v>
      </c>
      <c r="T55" s="176">
        <f t="shared" si="7"/>
        <v>4</v>
      </c>
      <c r="U55" s="250">
        <f t="shared" si="8"/>
        <v>-1.0229837078789652</v>
      </c>
      <c r="V55" s="382">
        <f t="shared" si="9"/>
        <v>33.015659565214364</v>
      </c>
      <c r="W55" s="400">
        <f t="shared" si="10"/>
        <v>30.705010187506641</v>
      </c>
      <c r="X55" s="157">
        <f t="shared" si="11"/>
        <v>46428</v>
      </c>
      <c r="Y55" s="383">
        <f t="shared" si="12"/>
        <v>29.622223409992763</v>
      </c>
      <c r="Z55" s="383">
        <f t="shared" si="22"/>
        <v>31.343408644324469</v>
      </c>
      <c r="AA55" s="384">
        <f t="shared" si="13"/>
        <v>34.268178512523789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8.5349440651781933E-2</v>
      </c>
      <c r="AD55" s="230">
        <f>(INDEX(Models!$BJ55:$BT55,,AH55)*(1-AF55)+INDEX(Models!$BJ55:$BT55,,AH55+1)*AF55-ERP_i)*AE55*Ramure*Pc/MaxiM</f>
        <v>7.1299127755156851E-3</v>
      </c>
      <c r="AE55" s="304">
        <f t="shared" si="15"/>
        <v>0.6</v>
      </c>
      <c r="AF55" s="177">
        <f t="shared" si="23"/>
        <v>0.5020038584950135</v>
      </c>
      <c r="AG55" s="799">
        <f t="shared" si="24"/>
        <v>2</v>
      </c>
      <c r="AH55" s="176">
        <f t="shared" si="16"/>
        <v>8</v>
      </c>
      <c r="AI55" s="224">
        <f t="shared" si="17"/>
        <v>2.5020038584950135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'2026'!Wh/'2026'!Env_an*'2027'!Env_an</f>
        <v>17.00839892651614</v>
      </c>
      <c r="C56" s="829"/>
      <c r="D56" s="391">
        <f t="shared" si="0"/>
        <v>17.99700878355706</v>
      </c>
      <c r="E56" s="383">
        <f t="shared" si="1"/>
        <v>19.101142078022875</v>
      </c>
      <c r="F56" s="383">
        <f t="shared" si="2"/>
        <v>19.102778050802257</v>
      </c>
      <c r="G56" s="110">
        <f t="shared" si="21"/>
        <v>0.50997087452224399</v>
      </c>
      <c r="H56" s="412" t="b">
        <f>Wh_hp&gt;='2026'!Maxi_hp</f>
        <v>0</v>
      </c>
      <c r="I56" s="388">
        <f>IF(H56,Wh_hp,'2026'!Maxi_hp)</f>
        <v>31.561088268066062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5.4931898346583075E-2</v>
      </c>
      <c r="M56" s="832"/>
      <c r="N56" s="832"/>
      <c r="O56" s="48">
        <f>IF(t&lt;Tnet,'2026'!Resal+('2026'!Salim-'2026'!Resal)*(1-EXP(('2026'!Tnet-t)/('2026'!Tau_j))),Resal+(Salim-Resal)*(1-EXP((Tnet-t)/(Tau_j))))*Salcycl</f>
        <v>5.7804569483632717E-2</v>
      </c>
      <c r="P56" s="169">
        <f>(INDEX(Models!$BJ56:$BT56,,T56)*(1-R56)+INDEX(Models!$BJ56:$BT56,,T56+1)*R56-ERP_i)*Q56*Ramure*Pc/MaxiM</f>
        <v>2.8536968961796223E-4</v>
      </c>
      <c r="Q56" s="304">
        <f t="shared" si="4"/>
        <v>0.6</v>
      </c>
      <c r="R56" s="177">
        <f t="shared" si="5"/>
        <v>0.97716569848689594</v>
      </c>
      <c r="S56" s="799">
        <f t="shared" si="6"/>
        <v>-2</v>
      </c>
      <c r="T56" s="176">
        <f t="shared" si="7"/>
        <v>4</v>
      </c>
      <c r="U56" s="250">
        <f t="shared" si="8"/>
        <v>-1.0228343015131041</v>
      </c>
      <c r="V56" s="382">
        <f t="shared" si="9"/>
        <v>33.345044614424253</v>
      </c>
      <c r="W56" s="400">
        <f t="shared" si="10"/>
        <v>17.00839892651614</v>
      </c>
      <c r="X56" s="157">
        <f t="shared" si="11"/>
        <v>46429</v>
      </c>
      <c r="Y56" s="383">
        <f t="shared" si="12"/>
        <v>16.477661679670923</v>
      </c>
      <c r="Z56" s="383">
        <f t="shared" si="22"/>
        <v>17.435422538167249</v>
      </c>
      <c r="AA56" s="384">
        <f t="shared" si="13"/>
        <v>19.062939438505808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8.537596762496602E-2</v>
      </c>
      <c r="AD56" s="230">
        <f>(INDEX(Models!$BJ56:$BT56,,AH56)*(1-AF56)+INDEX(Models!$BJ56:$BT56,,AH56+1)*AF56-ERP_i)*AE56*Ramure*Pc/MaxiM</f>
        <v>6.9492185744868826E-3</v>
      </c>
      <c r="AE56" s="304">
        <f t="shared" si="15"/>
        <v>0.6</v>
      </c>
      <c r="AF56" s="177">
        <f t="shared" si="23"/>
        <v>0.50215326486087486</v>
      </c>
      <c r="AG56" s="799">
        <f t="shared" si="24"/>
        <v>2</v>
      </c>
      <c r="AH56" s="176">
        <f t="shared" si="16"/>
        <v>8</v>
      </c>
      <c r="AI56" s="224">
        <f t="shared" si="17"/>
        <v>2.5021532648608749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'2026'!Wh/'2026'!Env_an*'2027'!Env_an</f>
        <v>26.061964431694413</v>
      </c>
      <c r="C57" s="829"/>
      <c r="D57" s="391">
        <f t="shared" si="0"/>
        <v>27.577339524286831</v>
      </c>
      <c r="E57" s="383">
        <f t="shared" si="1"/>
        <v>29.27092688198535</v>
      </c>
      <c r="F57" s="383">
        <f t="shared" si="2"/>
        <v>29.276403879508166</v>
      </c>
      <c r="G57" s="110">
        <f t="shared" si="21"/>
        <v>0.7738534369299086</v>
      </c>
      <c r="H57" s="412" t="b">
        <f>Wh_hp&gt;='2026'!Maxi_hp</f>
        <v>1</v>
      </c>
      <c r="I57" s="388">
        <f>IF(H57,Wh_hp,'2026'!Maxi_hp)</f>
        <v>29.276403879508166</v>
      </c>
      <c r="J57" s="85">
        <f>IF(H57,An,'2026'!An_max)</f>
        <v>2027</v>
      </c>
      <c r="K57" s="197">
        <f t="shared" si="3"/>
        <v>46430</v>
      </c>
      <c r="L57" s="147">
        <f>IF(t&lt;Tvie,1-EXP((T0-t)*PertePVj)+'2026'!Pspv,1-EXP((T0-t)*PertePVj)+Pspv)</f>
        <v>5.4950010361146551E-2</v>
      </c>
      <c r="M57" s="832"/>
      <c r="N57" s="832"/>
      <c r="O57" s="48">
        <f>IF(t&lt;Tnet,'2026'!Resal+('2026'!Salim-'2026'!Resal)*(1-EXP(('2026'!Tnet-t)/('2026'!Tau_j))),Resal+(Salim-Resal)*(1-EXP((Tnet-t)/(Tau_j))))*Salcycl</f>
        <v>5.7859027304694916E-2</v>
      </c>
      <c r="P57" s="169">
        <f>(INDEX(Models!$BJ57:$BT57,,T57)*(1-R57)+INDEX(Models!$BJ57:$BT57,,T57+1)*R57-ERP_i)*Q57*Ramure*Pc/MaxiM</f>
        <v>2.7632203028889342E-4</v>
      </c>
      <c r="Q57" s="304">
        <f t="shared" si="4"/>
        <v>0.6</v>
      </c>
      <c r="R57" s="177">
        <f t="shared" si="5"/>
        <v>0.97732127727341878</v>
      </c>
      <c r="S57" s="799">
        <f t="shared" si="6"/>
        <v>-2</v>
      </c>
      <c r="T57" s="176">
        <f t="shared" si="7"/>
        <v>4</v>
      </c>
      <c r="U57" s="250">
        <f t="shared" si="8"/>
        <v>-1.0226787227265812</v>
      </c>
      <c r="V57" s="382">
        <f t="shared" si="9"/>
        <v>33.675159793401008</v>
      </c>
      <c r="W57" s="400">
        <f t="shared" si="10"/>
        <v>26.061964431694413</v>
      </c>
      <c r="X57" s="157">
        <f t="shared" si="11"/>
        <v>46430</v>
      </c>
      <c r="Y57" s="383">
        <f t="shared" si="12"/>
        <v>25.188730453136831</v>
      </c>
      <c r="Z57" s="383">
        <f t="shared" si="22"/>
        <v>26.653331283314007</v>
      </c>
      <c r="AA57" s="384">
        <f t="shared" si="13"/>
        <v>29.142143706484848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8.540251699524147E-2</v>
      </c>
      <c r="AD57" s="230">
        <f>(INDEX(Models!$BJ57:$BT57,,AH57)*(1-AF57)+INDEX(Models!$BJ57:$BT57,,AH57+1)*AF57-ERP_i)*AE57*Ramure*Pc/MaxiM</f>
        <v>6.7736097090046014E-3</v>
      </c>
      <c r="AE57" s="304">
        <f t="shared" si="15"/>
        <v>0.6</v>
      </c>
      <c r="AF57" s="177">
        <f t="shared" si="23"/>
        <v>0.50230884364739747</v>
      </c>
      <c r="AG57" s="799">
        <f t="shared" si="24"/>
        <v>2</v>
      </c>
      <c r="AH57" s="176">
        <f t="shared" si="16"/>
        <v>8</v>
      </c>
      <c r="AI57" s="224">
        <f t="shared" si="17"/>
        <v>2.5023088436473975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'2026'!Wh/'2026'!Env_an*'2027'!Env_an</f>
        <v>31.88428755209565</v>
      </c>
      <c r="C58" s="829"/>
      <c r="D58" s="391">
        <f t="shared" si="0"/>
        <v>33.738848704805804</v>
      </c>
      <c r="E58" s="383">
        <f t="shared" si="1"/>
        <v>35.812897416492412</v>
      </c>
      <c r="F58" s="383">
        <f t="shared" si="2"/>
        <v>35.821621277188584</v>
      </c>
      <c r="G58" s="110">
        <f t="shared" si="21"/>
        <v>0.93758779081269517</v>
      </c>
      <c r="H58" s="412" t="b">
        <f>Wh_hp&gt;='2026'!Maxi_hp</f>
        <v>1</v>
      </c>
      <c r="I58" s="388">
        <f>IF(H58,Wh_hp,'2026'!Maxi_hp)</f>
        <v>35.821621277188584</v>
      </c>
      <c r="J58" s="85">
        <f>IF(H58,An,'2026'!An_max)</f>
        <v>2027</v>
      </c>
      <c r="K58" s="197">
        <f t="shared" si="3"/>
        <v>46431</v>
      </c>
      <c r="L58" s="147">
        <f>IF(t&lt;Tvie,1-EXP((T0-t)*PertePVj)+'2026'!Pspv,1-EXP((T0-t)*PertePVj)+Pspv)</f>
        <v>5.4968122028597466E-2</v>
      </c>
      <c r="M58" s="832"/>
      <c r="N58" s="832"/>
      <c r="O58" s="48">
        <f>IF(t&lt;Tnet,'2026'!Resal+('2026'!Salim-'2026'!Resal)*(1-EXP(('2026'!Tnet-t)/('2026'!Tau_j))),Resal+(Salim-Resal)*(1-EXP((Tnet-t)/(Tau_j))))*Salcycl</f>
        <v>5.7913457477793313E-2</v>
      </c>
      <c r="P58" s="169">
        <f>(INDEX(Models!$BJ58:$BT58,,T58)*(1-R58)+INDEX(Models!$BJ58:$BT58,,T58+1)*R58-ERP_i)*Q58*Ramure*Pc/MaxiM</f>
        <v>2.6736608044813671E-4</v>
      </c>
      <c r="Q58" s="304">
        <f t="shared" si="4"/>
        <v>0.6</v>
      </c>
      <c r="R58" s="177">
        <f t="shared" si="5"/>
        <v>0.97748327934445789</v>
      </c>
      <c r="S58" s="799">
        <f t="shared" si="6"/>
        <v>-2</v>
      </c>
      <c r="T58" s="176">
        <f t="shared" si="7"/>
        <v>4</v>
      </c>
      <c r="U58" s="250">
        <f t="shared" si="8"/>
        <v>-1.0225167206555421</v>
      </c>
      <c r="V58" s="382">
        <f t="shared" si="9"/>
        <v>34.005911638288694</v>
      </c>
      <c r="W58" s="400">
        <f t="shared" si="10"/>
        <v>31.88428755209565</v>
      </c>
      <c r="X58" s="157">
        <f t="shared" si="11"/>
        <v>46431</v>
      </c>
      <c r="Y58" s="383">
        <f t="shared" si="12"/>
        <v>30.774424375367634</v>
      </c>
      <c r="Z58" s="383">
        <f t="shared" si="22"/>
        <v>32.564429933758163</v>
      </c>
      <c r="AA58" s="384">
        <f t="shared" si="13"/>
        <v>35.606238066807116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8.5429079234421834E-2</v>
      </c>
      <c r="AD58" s="230">
        <f>(INDEX(Models!$BJ58:$BT58,,AH58)*(1-AF58)+INDEX(Models!$BJ58:$BT58,,AH58+1)*AF58-ERP_i)*AE58*Ramure*Pc/MaxiM</f>
        <v>6.6009954491043198E-3</v>
      </c>
      <c r="AE58" s="304">
        <f t="shared" si="15"/>
        <v>0.6</v>
      </c>
      <c r="AF58" s="177">
        <f t="shared" si="23"/>
        <v>0.50247084571843681</v>
      </c>
      <c r="AG58" s="799">
        <f t="shared" si="24"/>
        <v>2</v>
      </c>
      <c r="AH58" s="176">
        <f t="shared" si="16"/>
        <v>8</v>
      </c>
      <c r="AI58" s="224">
        <f t="shared" si="17"/>
        <v>2.5024708457184368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'2026'!Wh/'2026'!Env_an*'2027'!Env_an</f>
        <v>14.968167330834062</v>
      </c>
      <c r="C59" s="829"/>
      <c r="D59" s="391">
        <f t="shared" si="0"/>
        <v>15.83909976663969</v>
      </c>
      <c r="E59" s="383">
        <f t="shared" si="1"/>
        <v>16.813757183329905</v>
      </c>
      <c r="F59" s="383">
        <f t="shared" si="2"/>
        <v>16.814600975199188</v>
      </c>
      <c r="G59" s="110">
        <f t="shared" si="21"/>
        <v>0.43582609898142177</v>
      </c>
      <c r="H59" s="412" t="b">
        <f>Wh_hp&gt;='2026'!Maxi_hp</f>
        <v>0</v>
      </c>
      <c r="I59" s="388">
        <f>IF(H59,Wh_hp,'2026'!Maxi_hp)</f>
        <v>38.116109222133424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5.498623334894237E-2</v>
      </c>
      <c r="M59" s="832"/>
      <c r="N59" s="832"/>
      <c r="O59" s="48">
        <f>IF(t&lt;Tnet,'2026'!Resal+('2026'!Salim-'2026'!Resal)*(1-EXP(('2026'!Tnet-t)/('2026'!Tau_j))),Resal+(Salim-Resal)*(1-EXP((Tnet-t)/(Tau_j))))*Salcycl</f>
        <v>5.7967853708304012E-2</v>
      </c>
      <c r="P59" s="169">
        <f>(INDEX(Models!$BJ59:$BT59,,T59)*(1-R59)+INDEX(Models!$BJ59:$BT59,,T59+1)*R59-ERP_i)*Q59*Ramure*Pc/MaxiM</f>
        <v>2.5844812236536273E-4</v>
      </c>
      <c r="Q59" s="304">
        <f t="shared" si="4"/>
        <v>0.6</v>
      </c>
      <c r="R59" s="177">
        <f t="shared" si="5"/>
        <v>0.97765196540843968</v>
      </c>
      <c r="S59" s="799">
        <f t="shared" si="6"/>
        <v>-2</v>
      </c>
      <c r="T59" s="176">
        <f t="shared" si="7"/>
        <v>4</v>
      </c>
      <c r="U59" s="250">
        <f t="shared" si="8"/>
        <v>-1.0223480345915603</v>
      </c>
      <c r="V59" s="382">
        <f t="shared" si="9"/>
        <v>34.337204331241836</v>
      </c>
      <c r="W59" s="400">
        <f t="shared" si="10"/>
        <v>14.968167330834062</v>
      </c>
      <c r="X59" s="157">
        <f t="shared" si="11"/>
        <v>46432</v>
      </c>
      <c r="Y59" s="383">
        <f t="shared" si="12"/>
        <v>14.51399555106002</v>
      </c>
      <c r="Z59" s="383">
        <f t="shared" si="22"/>
        <v>15.358501709974826</v>
      </c>
      <c r="AA59" s="384">
        <f t="shared" si="13"/>
        <v>16.793610528510154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8.5455644937041622E-2</v>
      </c>
      <c r="AD59" s="230">
        <f>(INDEX(Models!$BJ59:$BT59,,AH59)*(1-AF59)+INDEX(Models!$BJ59:$BT59,,AH59+1)*AF59-ERP_i)*AE59*Ramure*Pc/MaxiM</f>
        <v>6.4292412997696401E-3</v>
      </c>
      <c r="AE59" s="304">
        <f t="shared" si="15"/>
        <v>0.6</v>
      </c>
      <c r="AF59" s="177">
        <f t="shared" si="23"/>
        <v>0.50263953178241838</v>
      </c>
      <c r="AG59" s="799">
        <f t="shared" si="24"/>
        <v>2</v>
      </c>
      <c r="AH59" s="176">
        <f t="shared" si="16"/>
        <v>8</v>
      </c>
      <c r="AI59" s="224">
        <f t="shared" si="17"/>
        <v>2.5026395317824184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'2026'!Wh/'2026'!Env_an*'2027'!Env_an</f>
        <v>18.052346602567567</v>
      </c>
      <c r="C60" s="829"/>
      <c r="D60" s="391">
        <f t="shared" si="0"/>
        <v>19.103100097977968</v>
      </c>
      <c r="E60" s="383">
        <f t="shared" si="1"/>
        <v>20.2797776103926</v>
      </c>
      <c r="F60" s="383">
        <f t="shared" si="2"/>
        <v>20.281373499070817</v>
      </c>
      <c r="G60" s="110">
        <f t="shared" si="21"/>
        <v>0.52061763092714708</v>
      </c>
      <c r="H60" s="412" t="b">
        <f>Wh_hp&gt;='2026'!Maxi_hp</f>
        <v>0</v>
      </c>
      <c r="I60" s="388">
        <f>IF(H60,Wh_hp,'2026'!Maxi_hp)</f>
        <v>37.957548920378891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5.5004344322187926E-2</v>
      </c>
      <c r="M60" s="832"/>
      <c r="N60" s="832"/>
      <c r="O60" s="48">
        <f>IF(t&lt;Tnet,'2026'!Resal+('2026'!Salim-'2026'!Resal)*(1-EXP(('2026'!Tnet-t)/('2026'!Tau_j))),Resal+(Salim-Resal)*(1-EXP((Tnet-t)/(Tau_j))))*Salcycl</f>
        <v>5.8022209859521792E-2</v>
      </c>
      <c r="P60" s="169">
        <f>(INDEX(Models!$BJ60:$BT60,,T60)*(1-R60)+INDEX(Models!$BJ60:$BT60,,T60+1)*R60-ERP_i)*Q60*Ramure*Pc/MaxiM</f>
        <v>2.4956743654979167E-4</v>
      </c>
      <c r="Q60" s="304">
        <f t="shared" si="4"/>
        <v>0.6</v>
      </c>
      <c r="R60" s="177">
        <f t="shared" si="5"/>
        <v>0.97782760637477018</v>
      </c>
      <c r="S60" s="799">
        <f t="shared" si="6"/>
        <v>-2</v>
      </c>
      <c r="T60" s="176">
        <f t="shared" si="7"/>
        <v>4</v>
      </c>
      <c r="U60" s="250">
        <f t="shared" si="8"/>
        <v>-1.0221723936252298</v>
      </c>
      <c r="V60" s="382">
        <f t="shared" si="9"/>
        <v>34.668940316406854</v>
      </c>
      <c r="W60" s="400">
        <f t="shared" si="10"/>
        <v>18.052346602567567</v>
      </c>
      <c r="X60" s="157">
        <f t="shared" si="11"/>
        <v>46433</v>
      </c>
      <c r="Y60" s="383">
        <f t="shared" si="12"/>
        <v>17.49288853245341</v>
      </c>
      <c r="Z60" s="383">
        <f t="shared" si="22"/>
        <v>18.511078254541157</v>
      </c>
      <c r="AA60" s="384">
        <f t="shared" si="13"/>
        <v>20.241353809429377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8.5482204954204916E-2</v>
      </c>
      <c r="AD60" s="230">
        <f>(INDEX(Models!$BJ60:$BT60,,AH60)*(1-AF60)+INDEX(Models!$BJ60:$BT60,,AH60+1)*AF60-ERP_i)*AE60*Ramure*Pc/MaxiM</f>
        <v>6.2583383738800003E-3</v>
      </c>
      <c r="AE60" s="304">
        <f t="shared" si="15"/>
        <v>0.6</v>
      </c>
      <c r="AF60" s="177">
        <f t="shared" si="23"/>
        <v>0.50281517274874865</v>
      </c>
      <c r="AG60" s="799">
        <f t="shared" si="24"/>
        <v>2</v>
      </c>
      <c r="AH60" s="176">
        <f t="shared" si="16"/>
        <v>8</v>
      </c>
      <c r="AI60" s="224">
        <f t="shared" si="17"/>
        <v>2.5028151727487487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'2026'!Wh/'2026'!Env_an*'2027'!Env_an</f>
        <v>8.8790699475285493</v>
      </c>
      <c r="C61" s="829"/>
      <c r="D61" s="391">
        <f t="shared" si="0"/>
        <v>9.3960644821916457</v>
      </c>
      <c r="E61" s="383">
        <f t="shared" si="1"/>
        <v>9.9754010619185056</v>
      </c>
      <c r="F61" s="383">
        <f t="shared" si="2"/>
        <v>9.9754010619185056</v>
      </c>
      <c r="G61" s="110">
        <f t="shared" si="21"/>
        <v>0.25361923808484199</v>
      </c>
      <c r="H61" s="412" t="b">
        <f>Wh_hp&gt;='2026'!Maxi_hp</f>
        <v>0</v>
      </c>
      <c r="I61" s="388">
        <f>IF(H61,Wh_hp,'2026'!Maxi_hp)</f>
        <v>33.411514000889703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5.5022454948340904E-2</v>
      </c>
      <c r="M61" s="832"/>
      <c r="N61" s="832"/>
      <c r="O61" s="48">
        <f>IF(t&lt;Tnet,'2026'!Resal+('2026'!Salim-'2026'!Resal)*(1-EXP(('2026'!Tnet-t)/('2026'!Tau_j))),Resal+(Salim-Resal)*(1-EXP((Tnet-t)/(Tau_j))))*Salcycl</f>
        <v>5.8076520044742973E-2</v>
      </c>
      <c r="P61" s="169">
        <f>(INDEX(Models!$BJ61:$BT61,,T61)*(1-R61)+INDEX(Models!$BJ61:$BT61,,T61+1)*R61-ERP_i)*Q61*Ramure*Pc/MaxiM</f>
        <v>2.4072324595179076E-4</v>
      </c>
      <c r="Q61" s="304">
        <f t="shared" si="4"/>
        <v>0.6</v>
      </c>
      <c r="R61" s="177">
        <f t="shared" si="5"/>
        <v>0.9780104837205581</v>
      </c>
      <c r="S61" s="799">
        <f t="shared" si="6"/>
        <v>-2</v>
      </c>
      <c r="T61" s="176">
        <f t="shared" si="7"/>
        <v>4</v>
      </c>
      <c r="U61" s="250">
        <f t="shared" si="8"/>
        <v>-1.0219895162794419</v>
      </c>
      <c r="V61" s="382">
        <f t="shared" si="9"/>
        <v>35.001022067656358</v>
      </c>
      <c r="W61" s="400">
        <f t="shared" si="10"/>
        <v>8.8790699475285493</v>
      </c>
      <c r="X61" s="157">
        <f t="shared" si="11"/>
        <v>46434</v>
      </c>
      <c r="Y61" s="383">
        <f t="shared" si="12"/>
        <v>8.6204792037332147</v>
      </c>
      <c r="Z61" s="383">
        <f t="shared" si="22"/>
        <v>9.1224169810955225</v>
      </c>
      <c r="AA61" s="384">
        <f t="shared" si="13"/>
        <v>9.9754010619185056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8.5508750528265398E-2</v>
      </c>
      <c r="AD61" s="230">
        <f>(INDEX(Models!$BJ61:$BT61,,AH61)*(1-AF61)+INDEX(Models!$BJ61:$BT61,,AH61+1)*AF61-ERP_i)*AE61*Ramure*Pc/MaxiM</f>
        <v>6.0882769867710868E-3</v>
      </c>
      <c r="AE61" s="304">
        <f t="shared" si="15"/>
        <v>0.6</v>
      </c>
      <c r="AF61" s="177">
        <f t="shared" si="23"/>
        <v>0.5029980500945368</v>
      </c>
      <c r="AG61" s="799">
        <f t="shared" si="24"/>
        <v>2</v>
      </c>
      <c r="AH61" s="176">
        <f t="shared" si="16"/>
        <v>8</v>
      </c>
      <c r="AI61" s="224">
        <f t="shared" si="17"/>
        <v>2.5029980500945368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'2026'!Wh/'2026'!Env_an*'2027'!Env_an</f>
        <v>11.061772322468975</v>
      </c>
      <c r="C62" s="829"/>
      <c r="D62" s="391">
        <f t="shared" si="0"/>
        <v>11.706081674427674</v>
      </c>
      <c r="E62" s="383">
        <f t="shared" si="1"/>
        <v>12.428563764415532</v>
      </c>
      <c r="F62" s="383">
        <f t="shared" si="2"/>
        <v>12.428617577870325</v>
      </c>
      <c r="G62" s="110">
        <f t="shared" si="21"/>
        <v>0.31299761180101454</v>
      </c>
      <c r="H62" s="412" t="b">
        <f>Wh_hp&gt;='2026'!Maxi_hp</f>
        <v>0</v>
      </c>
      <c r="I62" s="388">
        <f>IF(H62,Wh_hp,'2026'!Maxi_hp)</f>
        <v>36.826584894030596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5.5040565227407745E-2</v>
      </c>
      <c r="M62" s="832"/>
      <c r="N62" s="832"/>
      <c r="O62" s="48">
        <f>IF(t&lt;Tnet,'2026'!Resal+('2026'!Salim-'2026'!Resal)*(1-EXP(('2026'!Tnet-t)/('2026'!Tau_j))),Resal+(Salim-Resal)*(1-EXP((Tnet-t)/(Tau_j))))*Salcycl</f>
        <v>5.8130778719292578E-2</v>
      </c>
      <c r="P62" s="169">
        <f>(INDEX(Models!$BJ62:$BT62,,T62)*(1-R62)+INDEX(Models!$BJ62:$BT62,,T62+1)*R62-ERP_i)*Q62*Ramure*Pc/MaxiM</f>
        <v>2.3191472364860049E-4</v>
      </c>
      <c r="Q62" s="304">
        <f t="shared" si="4"/>
        <v>0.6</v>
      </c>
      <c r="R62" s="177">
        <f t="shared" si="5"/>
        <v>0.97820088986771458</v>
      </c>
      <c r="S62" s="799">
        <f t="shared" si="6"/>
        <v>-2</v>
      </c>
      <c r="T62" s="176">
        <f t="shared" si="7"/>
        <v>4</v>
      </c>
      <c r="U62" s="250">
        <f t="shared" si="8"/>
        <v>-1.0217991101322854</v>
      </c>
      <c r="V62" s="382">
        <f t="shared" si="9"/>
        <v>35.333352083253537</v>
      </c>
      <c r="W62" s="400">
        <f t="shared" si="10"/>
        <v>11.061772322468975</v>
      </c>
      <c r="X62" s="157">
        <f t="shared" si="11"/>
        <v>46435</v>
      </c>
      <c r="Y62" s="383">
        <f t="shared" si="12"/>
        <v>10.738780202764588</v>
      </c>
      <c r="Z62" s="383">
        <f t="shared" si="22"/>
        <v>11.364276399175708</v>
      </c>
      <c r="AA62" s="384">
        <f t="shared" si="13"/>
        <v>12.427244123196459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8.5535273426924727E-2</v>
      </c>
      <c r="AD62" s="230">
        <f>(INDEX(Models!$BJ62:$BT62,,AH62)*(1-AF62)+INDEX(Models!$BJ62:$BT62,,AH62+1)*AF62-ERP_i)*AE62*Ramure*Pc/MaxiM</f>
        <v>5.9190468696432115E-3</v>
      </c>
      <c r="AE62" s="304">
        <f t="shared" si="15"/>
        <v>0.6</v>
      </c>
      <c r="AF62" s="177">
        <f t="shared" si="23"/>
        <v>0.50318845624169306</v>
      </c>
      <c r="AG62" s="799">
        <f t="shared" si="24"/>
        <v>2</v>
      </c>
      <c r="AH62" s="176">
        <f t="shared" si="16"/>
        <v>8</v>
      </c>
      <c r="AI62" s="224">
        <f t="shared" si="17"/>
        <v>2.5031884562416931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'2026'!Wh/'2026'!Env_an*'2027'!Env_an</f>
        <v>28.555814018098374</v>
      </c>
      <c r="C63" s="829"/>
      <c r="D63" s="391">
        <f t="shared" si="0"/>
        <v>30.21966895448799</v>
      </c>
      <c r="E63" s="383">
        <f t="shared" si="1"/>
        <v>32.086628836355395</v>
      </c>
      <c r="F63" s="383">
        <f t="shared" si="2"/>
        <v>32.091750465237126</v>
      </c>
      <c r="G63" s="110">
        <f t="shared" si="21"/>
        <v>0.8005981289298586</v>
      </c>
      <c r="H63" s="412" t="b">
        <f>Wh_hp&gt;='2026'!Maxi_hp</f>
        <v>1</v>
      </c>
      <c r="I63" s="388">
        <f>IF(H63,Wh_hp,'2026'!Maxi_hp)</f>
        <v>32.091750465237126</v>
      </c>
      <c r="J63" s="85">
        <f>IF(H63,An,'2026'!An_max)</f>
        <v>2027</v>
      </c>
      <c r="K63" s="197">
        <f t="shared" si="3"/>
        <v>46436</v>
      </c>
      <c r="L63" s="147">
        <f>IF(t&lt;Tvie,1-EXP((T0-t)*PertePVj)+'2026'!Pspv,1-EXP((T0-t)*PertePVj)+Pspv)</f>
        <v>5.5058675159395221E-2</v>
      </c>
      <c r="M63" s="832"/>
      <c r="N63" s="832"/>
      <c r="O63" s="48">
        <f>IF(t&lt;Tnet,'2026'!Resal+('2026'!Salim-'2026'!Resal)*(1-EXP(('2026'!Tnet-t)/('2026'!Tau_j))),Resal+(Salim-Resal)*(1-EXP((Tnet-t)/(Tau_j))))*Salcycl</f>
        <v>5.8184980771556469E-2</v>
      </c>
      <c r="P63" s="169">
        <f>(INDEX(Models!$BJ63:$BT63,,T63)*(1-R63)+INDEX(Models!$BJ63:$BT63,,T63+1)*R63-ERP_i)*Q63*Ramure*Pc/MaxiM</f>
        <v>2.2314099842815567E-4</v>
      </c>
      <c r="Q63" s="304">
        <f t="shared" si="4"/>
        <v>0.6</v>
      </c>
      <c r="R63" s="177">
        <f t="shared" si="5"/>
        <v>0.97839912857046274</v>
      </c>
      <c r="S63" s="799">
        <f t="shared" si="6"/>
        <v>-2</v>
      </c>
      <c r="T63" s="176">
        <f t="shared" si="7"/>
        <v>4</v>
      </c>
      <c r="U63" s="250">
        <f t="shared" si="8"/>
        <v>-1.0216008714295373</v>
      </c>
      <c r="V63" s="382">
        <f t="shared" si="9"/>
        <v>35.665832882747019</v>
      </c>
      <c r="W63" s="400">
        <f t="shared" si="10"/>
        <v>28.555814018098374</v>
      </c>
      <c r="X63" s="157">
        <f t="shared" si="11"/>
        <v>46436</v>
      </c>
      <c r="Y63" s="383">
        <f t="shared" si="12"/>
        <v>27.616123673449401</v>
      </c>
      <c r="Z63" s="383">
        <f t="shared" si="22"/>
        <v>29.225225892314278</v>
      </c>
      <c r="AA63" s="384">
        <f t="shared" si="13"/>
        <v>31.959759345236645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8.5561766075373344E-2</v>
      </c>
      <c r="AD63" s="230">
        <f>(INDEX(Models!$BJ63:$BT63,,AH63)*(1-AF63)+INDEX(Models!$BJ63:$BT63,,AH63+1)*AF63-ERP_i)*AE63*Ramure*Pc/MaxiM</f>
        <v>5.7506373422774775E-3</v>
      </c>
      <c r="AE63" s="304">
        <f t="shared" si="15"/>
        <v>0.6</v>
      </c>
      <c r="AF63" s="177">
        <f t="shared" si="23"/>
        <v>0.50338669494444144</v>
      </c>
      <c r="AG63" s="799">
        <f t="shared" si="24"/>
        <v>2</v>
      </c>
      <c r="AH63" s="176">
        <f t="shared" si="16"/>
        <v>8</v>
      </c>
      <c r="AI63" s="224">
        <f t="shared" si="17"/>
        <v>2.5033866949444414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'2026'!Wh/'2026'!Env_an*'2027'!Env_an</f>
        <v>19.374888446806466</v>
      </c>
      <c r="C64" s="829"/>
      <c r="D64" s="391">
        <f t="shared" si="0"/>
        <v>20.504193498477811</v>
      </c>
      <c r="E64" s="383">
        <f t="shared" si="1"/>
        <v>21.772186516790672</v>
      </c>
      <c r="F64" s="383">
        <f t="shared" si="2"/>
        <v>21.773775185390672</v>
      </c>
      <c r="G64" s="110">
        <f t="shared" si="21"/>
        <v>0.53813962970463325</v>
      </c>
      <c r="H64" s="412" t="b">
        <f>Wh_hp&gt;='2026'!Maxi_hp</f>
        <v>0</v>
      </c>
      <c r="I64" s="388">
        <f>IF(H64,Wh_hp,'2026'!Maxi_hp)</f>
        <v>39.436937045771522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5.5076784744310103E-2</v>
      </c>
      <c r="M64" s="832"/>
      <c r="N64" s="832"/>
      <c r="O64" s="48">
        <f>IF(t&lt;Tnet,'2026'!Resal+('2026'!Salim-'2026'!Resal)*(1-EXP(('2026'!Tnet-t)/('2026'!Tau_j))),Resal+(Salim-Resal)*(1-EXP((Tnet-t)/(Tau_j))))*Salcycl</f>
        <v>5.823912161210755E-2</v>
      </c>
      <c r="P64" s="169">
        <f>(INDEX(Models!$BJ64:$BT64,,T64)*(1-R64)+INDEX(Models!$BJ64:$BT64,,T64+1)*R64-ERP_i)*Q64*Ramure*Pc/MaxiM</f>
        <v>2.1440115831487583E-4</v>
      </c>
      <c r="Q64" s="304">
        <f t="shared" si="4"/>
        <v>0.6</v>
      </c>
      <c r="R64" s="177">
        <f t="shared" si="5"/>
        <v>0.97860551531327178</v>
      </c>
      <c r="S64" s="799">
        <f t="shared" si="6"/>
        <v>-2</v>
      </c>
      <c r="T64" s="176">
        <f t="shared" si="7"/>
        <v>4</v>
      </c>
      <c r="U64" s="250">
        <f t="shared" si="8"/>
        <v>-1.0213944846867282</v>
      </c>
      <c r="V64" s="382">
        <f t="shared" si="9"/>
        <v>35.998367001579787</v>
      </c>
      <c r="W64" s="400">
        <f t="shared" si="10"/>
        <v>19.374888446806466</v>
      </c>
      <c r="X64" s="157">
        <f t="shared" si="11"/>
        <v>46437</v>
      </c>
      <c r="Y64" s="383">
        <f t="shared" si="12"/>
        <v>18.77786190194329</v>
      </c>
      <c r="Z64" s="383">
        <f t="shared" si="22"/>
        <v>19.872368038774585</v>
      </c>
      <c r="AA64" s="384">
        <f t="shared" si="13"/>
        <v>21.732406023243577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8.5588221685146765E-2</v>
      </c>
      <c r="AD64" s="230">
        <f>(INDEX(Models!$BJ64:$BT64,,AH64)*(1-AF64)+INDEX(Models!$BJ64:$BT64,,AH64+1)*AF64-ERP_i)*AE64*Ramure*Pc/MaxiM</f>
        <v>5.5830374458527747E-3</v>
      </c>
      <c r="AE64" s="304">
        <f t="shared" si="15"/>
        <v>0.6</v>
      </c>
      <c r="AF64" s="177">
        <f t="shared" si="23"/>
        <v>0.50359308168725025</v>
      </c>
      <c r="AG64" s="799">
        <f t="shared" si="24"/>
        <v>2</v>
      </c>
      <c r="AH64" s="176">
        <f t="shared" si="16"/>
        <v>8</v>
      </c>
      <c r="AI64" s="224">
        <f t="shared" si="17"/>
        <v>2.5035930816872503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'2026'!Wh/'2026'!Env_an*'2027'!Env_an</f>
        <v>19.256726680385935</v>
      </c>
      <c r="C65" s="829"/>
      <c r="D65" s="391">
        <f t="shared" si="0"/>
        <v>20.379535000652584</v>
      </c>
      <c r="E65" s="383">
        <f t="shared" si="1"/>
        <v>21.641061677963091</v>
      </c>
      <c r="F65" s="383">
        <f t="shared" si="2"/>
        <v>21.642524601253548</v>
      </c>
      <c r="G65" s="110">
        <f t="shared" si="21"/>
        <v>0.5299610131403093</v>
      </c>
      <c r="H65" s="412" t="b">
        <f>Wh_hp&gt;='2026'!Maxi_hp</f>
        <v>0</v>
      </c>
      <c r="I65" s="388">
        <f>IF(H65,Wh_hp,'2026'!Maxi_hp)</f>
        <v>41.467946828147284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5.5094893982158832E-2</v>
      </c>
      <c r="M65" s="832"/>
      <c r="N65" s="832"/>
      <c r="O65" s="48">
        <f>IF(t&lt;Tnet,'2026'!Resal+('2026'!Salim-'2026'!Resal)*(1-EXP(('2026'!Tnet-t)/('2026'!Tau_j))),Resal+(Salim-Resal)*(1-EXP((Tnet-t)/(Tau_j))))*Salcycl</f>
        <v>5.8293197260054316E-2</v>
      </c>
      <c r="P65" s="169">
        <f>(INDEX(Models!$BJ65:$BT65,,T65)*(1-R65)+INDEX(Models!$BJ65:$BT65,,T65+1)*R65-ERP_i)*Q65*Ramure*Pc/MaxiM</f>
        <v>2.0569286983701282E-4</v>
      </c>
      <c r="Q65" s="304">
        <f t="shared" si="4"/>
        <v>0.6</v>
      </c>
      <c r="R65" s="177">
        <f t="shared" si="5"/>
        <v>0.97882037771918196</v>
      </c>
      <c r="S65" s="799">
        <f t="shared" si="6"/>
        <v>-2</v>
      </c>
      <c r="T65" s="176">
        <f t="shared" si="7"/>
        <v>4</v>
      </c>
      <c r="U65" s="250">
        <f t="shared" si="8"/>
        <v>-1.021179622280818</v>
      </c>
      <c r="V65" s="382">
        <f t="shared" si="9"/>
        <v>36.331101170594827</v>
      </c>
      <c r="W65" s="400">
        <f t="shared" si="10"/>
        <v>19.256726680385935</v>
      </c>
      <c r="X65" s="157">
        <f t="shared" si="11"/>
        <v>46438</v>
      </c>
      <c r="Y65" s="383">
        <f t="shared" si="12"/>
        <v>18.666019043191273</v>
      </c>
      <c r="Z65" s="383">
        <f t="shared" si="22"/>
        <v>19.754384778230666</v>
      </c>
      <c r="AA65" s="384">
        <f t="shared" si="13"/>
        <v>21.604003652007641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8.5614634378433363E-2</v>
      </c>
      <c r="AD65" s="230">
        <f>(INDEX(Models!$BJ65:$BT65,,AH65)*(1-AF65)+INDEX(Models!$BJ65:$BT65,,AH65+1)*AF65-ERP_i)*AE65*Ramure*Pc/MaxiM</f>
        <v>5.4161996400678538E-3</v>
      </c>
      <c r="AE65" s="304">
        <f t="shared" si="15"/>
        <v>0.6</v>
      </c>
      <c r="AF65" s="177">
        <f t="shared" si="23"/>
        <v>0.50380794409316065</v>
      </c>
      <c r="AG65" s="799">
        <f t="shared" si="24"/>
        <v>2</v>
      </c>
      <c r="AH65" s="176">
        <f t="shared" si="16"/>
        <v>8</v>
      </c>
      <c r="AI65" s="224">
        <f t="shared" si="17"/>
        <v>2.5038079440931607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'2026'!Wh/'2026'!Env_an*'2027'!Env_an</f>
        <v>21.319264954738571</v>
      </c>
      <c r="C66" s="829"/>
      <c r="D66" s="391">
        <f t="shared" si="0"/>
        <v>22.562766785404214</v>
      </c>
      <c r="E66" s="383">
        <f t="shared" si="1"/>
        <v>23.960813254577097</v>
      </c>
      <c r="F66" s="383">
        <f t="shared" si="2"/>
        <v>23.962712426185501</v>
      </c>
      <c r="G66" s="110">
        <f t="shared" si="21"/>
        <v>0.58140438934485761</v>
      </c>
      <c r="H66" s="412" t="b">
        <f>Wh_hp&gt;='2026'!Maxi_hp</f>
        <v>1</v>
      </c>
      <c r="I66" s="388">
        <f>IF(H66,Wh_hp,'2026'!Maxi_hp)</f>
        <v>23.962712426185501</v>
      </c>
      <c r="J66" s="85">
        <f>IF(H66,An,'2026'!An_max)</f>
        <v>2027</v>
      </c>
      <c r="K66" s="197">
        <f t="shared" si="3"/>
        <v>46439</v>
      </c>
      <c r="L66" s="147">
        <f>IF(t&lt;Tvie,1-EXP((T0-t)*PertePVj)+'2026'!Pspv,1-EXP((T0-t)*PertePVj)+Pspv)</f>
        <v>5.511300287294818E-2</v>
      </c>
      <c r="M66" s="832"/>
      <c r="N66" s="832"/>
      <c r="O66" s="48">
        <f>IF(t&lt;Tnet,'2026'!Resal+('2026'!Salim-'2026'!Resal)*(1-EXP(('2026'!Tnet-t)/('2026'!Tau_j))),Resal+(Salim-Resal)*(1-EXP((Tnet-t)/(Tau_j))))*Salcycl</f>
        <v>5.8347204425785587E-2</v>
      </c>
      <c r="P66" s="169">
        <f>(INDEX(Models!$BJ66:$BT66,,T66)*(1-R66)+INDEX(Models!$BJ66:$BT66,,T66+1)*R66-ERP_i)*Q66*Ramure*Pc/MaxiM</f>
        <v>1.971013760269492E-4</v>
      </c>
      <c r="Q66" s="304">
        <f t="shared" si="4"/>
        <v>0.6</v>
      </c>
      <c r="R66" s="177">
        <f t="shared" si="5"/>
        <v>0.97904405596846877</v>
      </c>
      <c r="S66" s="799">
        <f t="shared" si="6"/>
        <v>-2</v>
      </c>
      <c r="T66" s="176">
        <f t="shared" si="7"/>
        <v>4</v>
      </c>
      <c r="U66" s="250">
        <f t="shared" si="8"/>
        <v>-1.0209559440315312</v>
      </c>
      <c r="V66" s="382">
        <f t="shared" si="9"/>
        <v>36.664243948328853</v>
      </c>
      <c r="W66" s="400">
        <f t="shared" si="10"/>
        <v>21.319264954738571</v>
      </c>
      <c r="X66" s="157">
        <f t="shared" si="11"/>
        <v>46439</v>
      </c>
      <c r="Y66" s="383">
        <f t="shared" si="12"/>
        <v>20.659276168760329</v>
      </c>
      <c r="Z66" s="383">
        <f t="shared" si="22"/>
        <v>21.864282429089698</v>
      </c>
      <c r="AA66" s="384">
        <f t="shared" si="13"/>
        <v>23.912142181036195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8.5640999306644108E-2</v>
      </c>
      <c r="AD66" s="230">
        <f>(INDEX(Models!$BJ66:$BT66,,AH66)*(1-AF66)+INDEX(Models!$BJ66:$BT66,,AH66+1)*AF66-ERP_i)*AE66*Ramure*Pc/MaxiM</f>
        <v>5.2483224058566822E-3</v>
      </c>
      <c r="AE66" s="304">
        <f t="shared" si="15"/>
        <v>0.6</v>
      </c>
      <c r="AF66" s="177">
        <f t="shared" si="23"/>
        <v>0.50403162234244725</v>
      </c>
      <c r="AG66" s="799">
        <f t="shared" si="24"/>
        <v>2</v>
      </c>
      <c r="AH66" s="176">
        <f t="shared" si="16"/>
        <v>8</v>
      </c>
      <c r="AI66" s="224">
        <f t="shared" si="17"/>
        <v>2.5040316223424472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'2026'!Wh/'2026'!Env_an*'2027'!Env_an</f>
        <v>32.577297341638626</v>
      </c>
      <c r="C67" s="829"/>
      <c r="D67" s="391">
        <f t="shared" si="0"/>
        <v>34.478114091028274</v>
      </c>
      <c r="E67" s="383">
        <f t="shared" si="1"/>
        <v>36.616563143043628</v>
      </c>
      <c r="F67" s="383">
        <f t="shared" si="2"/>
        <v>36.622292128502458</v>
      </c>
      <c r="G67" s="110">
        <f t="shared" si="21"/>
        <v>0.88049161244123209</v>
      </c>
      <c r="H67" s="412" t="b">
        <f>Wh_hp&gt;='2026'!Maxi_hp</f>
        <v>0</v>
      </c>
      <c r="I67" s="388">
        <f>IF(H67,Wh_hp,'2026'!Maxi_hp)</f>
        <v>39.949310572645629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5.5131111416684697E-2</v>
      </c>
      <c r="M67" s="832"/>
      <c r="N67" s="832"/>
      <c r="O67" s="48">
        <f>IF(t&lt;Tnet,'2026'!Resal+('2026'!Salim-'2026'!Resal)*(1-EXP(('2026'!Tnet-t)/('2026'!Tau_j))),Resal+(Salim-Resal)*(1-EXP((Tnet-t)/(Tau_j))))*Salcycl</f>
        <v>5.8401140589340435E-2</v>
      </c>
      <c r="P67" s="169">
        <f>(INDEX(Models!$BJ67:$BT67,,T67)*(1-R67)+INDEX(Models!$BJ67:$BT67,,T67+1)*R67-ERP_i)*Q67*Ramure*Pc/MaxiM</f>
        <v>1.8863100374501513E-4</v>
      </c>
      <c r="Q67" s="304">
        <f t="shared" si="4"/>
        <v>0.6</v>
      </c>
      <c r="R67" s="177">
        <f t="shared" si="5"/>
        <v>0.97927690322753791</v>
      </c>
      <c r="S67" s="799">
        <f t="shared" si="6"/>
        <v>-2</v>
      </c>
      <c r="T67" s="176">
        <f t="shared" si="7"/>
        <v>4</v>
      </c>
      <c r="U67" s="250">
        <f t="shared" si="8"/>
        <v>-1.0207230967724621</v>
      </c>
      <c r="V67" s="382">
        <f t="shared" si="9"/>
        <v>36.997795138711133</v>
      </c>
      <c r="W67" s="400">
        <f t="shared" si="10"/>
        <v>32.577297341638626</v>
      </c>
      <c r="X67" s="157">
        <f t="shared" si="11"/>
        <v>46440</v>
      </c>
      <c r="Y67" s="383">
        <f t="shared" si="12"/>
        <v>31.505608151651625</v>
      </c>
      <c r="Z67" s="383">
        <f t="shared" si="22"/>
        <v>33.3438940918982</v>
      </c>
      <c r="AA67" s="384">
        <f t="shared" si="13"/>
        <v>36.468010558200589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8.5667312762139833E-2</v>
      </c>
      <c r="AD67" s="230">
        <f>(INDEX(Models!$BJ67:$BT67,,AH67)*(1-AF67)+INDEX(Models!$BJ67:$BT67,,AH67+1)*AF67-ERP_i)*AE67*Ramure*Pc/MaxiM</f>
        <v>5.0798326640111796E-3</v>
      </c>
      <c r="AE67" s="304">
        <f t="shared" si="15"/>
        <v>0.6</v>
      </c>
      <c r="AF67" s="177">
        <f t="shared" si="23"/>
        <v>0.50426446960151683</v>
      </c>
      <c r="AG67" s="799">
        <f t="shared" si="24"/>
        <v>2</v>
      </c>
      <c r="AH67" s="176">
        <f t="shared" si="16"/>
        <v>8</v>
      </c>
      <c r="AI67" s="224">
        <f t="shared" si="17"/>
        <v>2.5042644696015168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'2026'!Wh/'2026'!Env_an*'2027'!Env_an</f>
        <v>34.230872690321128</v>
      </c>
      <c r="C68" s="829"/>
      <c r="D68" s="391">
        <f t="shared" si="0"/>
        <v>36.228866399744248</v>
      </c>
      <c r="E68" s="383">
        <f t="shared" si="1"/>
        <v>38.478104133623162</v>
      </c>
      <c r="F68" s="383">
        <f t="shared" si="2"/>
        <v>38.484218715508433</v>
      </c>
      <c r="G68" s="110">
        <f t="shared" si="21"/>
        <v>0.91691752666178106</v>
      </c>
      <c r="H68" s="412" t="b">
        <f>Wh_hp&gt;='2026'!Maxi_hp</f>
        <v>0</v>
      </c>
      <c r="I68" s="388">
        <f>IF(H68,Wh_hp,'2026'!Maxi_hp)</f>
        <v>41.571938803017574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5.5149219613375156E-2</v>
      </c>
      <c r="M68" s="832"/>
      <c r="N68" s="832"/>
      <c r="O68" s="48">
        <f>IF(t&lt;Tnet,'2026'!Resal+('2026'!Salim-'2026'!Resal)*(1-EXP(('2026'!Tnet-t)/('2026'!Tau_j))),Resal+(Salim-Resal)*(1-EXP((Tnet-t)/(Tau_j))))*Salcycl</f>
        <v>5.8455004073692612E-2</v>
      </c>
      <c r="P68" s="169">
        <f>(INDEX(Models!$BJ68:$BT68,,T68)*(1-R68)+INDEX(Models!$BJ68:$BT68,,T68+1)*R68-ERP_i)*Q68*Ramure*Pc/MaxiM</f>
        <v>1.8027736928060613E-4</v>
      </c>
      <c r="Q68" s="304">
        <f t="shared" si="4"/>
        <v>0.6</v>
      </c>
      <c r="R68" s="177">
        <f t="shared" si="5"/>
        <v>0.97951928608791583</v>
      </c>
      <c r="S68" s="799">
        <f t="shared" si="6"/>
        <v>-2</v>
      </c>
      <c r="T68" s="176">
        <f t="shared" si="7"/>
        <v>4</v>
      </c>
      <c r="U68" s="250">
        <f t="shared" si="8"/>
        <v>-1.0204807139120842</v>
      </c>
      <c r="V68" s="382">
        <f t="shared" si="9"/>
        <v>37.331754835189081</v>
      </c>
      <c r="W68" s="400">
        <f t="shared" si="10"/>
        <v>34.230872690321128</v>
      </c>
      <c r="X68" s="157">
        <f t="shared" si="11"/>
        <v>46441</v>
      </c>
      <c r="Y68" s="383">
        <f t="shared" si="12"/>
        <v>33.101979436709286</v>
      </c>
      <c r="Z68" s="383">
        <f t="shared" si="22"/>
        <v>35.034081702471831</v>
      </c>
      <c r="AA68" s="384">
        <f t="shared" si="13"/>
        <v>38.317658763393823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8.569357228210682E-2</v>
      </c>
      <c r="AD68" s="230">
        <f>(INDEX(Models!$BJ68:$BT68,,AH68)*(1-AF68)+INDEX(Models!$BJ68:$BT68,,AH68+1)*AF68-ERP_i)*AE68*Ramure*Pc/MaxiM</f>
        <v>4.9107184363744736E-3</v>
      </c>
      <c r="AE68" s="304">
        <f t="shared" si="15"/>
        <v>0.6</v>
      </c>
      <c r="AF68" s="177">
        <f t="shared" si="23"/>
        <v>0.50450685246189453</v>
      </c>
      <c r="AG68" s="799">
        <f t="shared" si="24"/>
        <v>2</v>
      </c>
      <c r="AH68" s="176">
        <f t="shared" si="16"/>
        <v>8</v>
      </c>
      <c r="AI68" s="224">
        <f t="shared" si="17"/>
        <v>2.5045068524618945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'2026'!Wh/'2026'!Env_an*'2027'!Env_an</f>
        <v>21.307041336636285</v>
      </c>
      <c r="C69" s="829"/>
      <c r="D69" s="391">
        <f t="shared" si="0"/>
        <v>22.551126729587651</v>
      </c>
      <c r="E69" s="383">
        <f t="shared" si="1"/>
        <v>23.952562263526527</v>
      </c>
      <c r="F69" s="383">
        <f t="shared" si="2"/>
        <v>23.954126371444094</v>
      </c>
      <c r="G69" s="110">
        <f t="shared" si="21"/>
        <v>0.5656214422155964</v>
      </c>
      <c r="H69" s="412" t="b">
        <f>Wh_hp&gt;='2026'!Maxi_hp</f>
        <v>0</v>
      </c>
      <c r="I69" s="388">
        <f>IF(H69,Wh_hp,'2026'!Maxi_hp)</f>
        <v>41.52507944394246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5.5167327463026217E-2</v>
      </c>
      <c r="M69" s="832"/>
      <c r="N69" s="832"/>
      <c r="O69" s="48">
        <f>IF(t&lt;Tnet,'2026'!Resal+('2026'!Salim-'2026'!Resal)*(1-EXP(('2026'!Tnet-t)/('2026'!Tau_j))),Resal+(Salim-Resal)*(1-EXP((Tnet-t)/(Tau_j))))*Salcycl</f>
        <v>5.8508794112306445E-2</v>
      </c>
      <c r="P69" s="169">
        <f>(INDEX(Models!$BJ69:$BT69,,T69)*(1-R69)+INDEX(Models!$BJ69:$BT69,,T69+1)*R69-ERP_i)*Q69*Ramure*Pc/MaxiM</f>
        <v>1.7203728008402189E-4</v>
      </c>
      <c r="Q69" s="304">
        <f t="shared" si="4"/>
        <v>0.6</v>
      </c>
      <c r="R69" s="177">
        <f t="shared" si="5"/>
        <v>0.97977158501513406</v>
      </c>
      <c r="S69" s="799">
        <f t="shared" si="6"/>
        <v>-2</v>
      </c>
      <c r="T69" s="176">
        <f t="shared" si="7"/>
        <v>4</v>
      </c>
      <c r="U69" s="250">
        <f t="shared" si="8"/>
        <v>-1.0202284149848659</v>
      </c>
      <c r="V69" s="382">
        <f t="shared" si="9"/>
        <v>37.666123057786862</v>
      </c>
      <c r="W69" s="400">
        <f t="shared" si="10"/>
        <v>21.307041336636285</v>
      </c>
      <c r="X69" s="157">
        <f t="shared" si="11"/>
        <v>46442</v>
      </c>
      <c r="Y69" s="383">
        <f t="shared" si="12"/>
        <v>20.655341575198218</v>
      </c>
      <c r="Z69" s="383">
        <f t="shared" si="22"/>
        <v>21.861375220795956</v>
      </c>
      <c r="AA69" s="384">
        <f t="shared" si="13"/>
        <v>23.911022752886279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8.5719776743674037E-2</v>
      </c>
      <c r="AD69" s="230">
        <f>(INDEX(Models!$BJ69:$BT69,,AH69)*(1-AF69)+INDEX(Models!$BJ69:$BT69,,AH69+1)*AF69-ERP_i)*AE69*Ramure*Pc/MaxiM</f>
        <v>4.7409959473974162E-3</v>
      </c>
      <c r="AE69" s="304">
        <f t="shared" si="15"/>
        <v>0.6</v>
      </c>
      <c r="AF69" s="177">
        <f t="shared" si="23"/>
        <v>0.50475915138911276</v>
      </c>
      <c r="AG69" s="799">
        <f t="shared" si="24"/>
        <v>2</v>
      </c>
      <c r="AH69" s="176">
        <f t="shared" si="16"/>
        <v>8</v>
      </c>
      <c r="AI69" s="224">
        <f t="shared" si="17"/>
        <v>2.5047591513891128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'2026'!Wh/'2026'!Env_an*'2027'!Env_an</f>
        <v>30.510529566895485</v>
      </c>
      <c r="C70" s="829"/>
      <c r="D70" s="391">
        <f t="shared" si="0"/>
        <v>32.292611371614548</v>
      </c>
      <c r="E70" s="383">
        <f t="shared" si="1"/>
        <v>34.301386704753298</v>
      </c>
      <c r="F70" s="383">
        <f t="shared" si="2"/>
        <v>34.305426290622755</v>
      </c>
      <c r="G70" s="110">
        <f t="shared" si="21"/>
        <v>0.80285260045452878</v>
      </c>
      <c r="H70" s="412" t="b">
        <f>Wh_hp&gt;='2026'!Maxi_hp</f>
        <v>0</v>
      </c>
      <c r="I70" s="388">
        <f>IF(H70,Wh_hp,'2026'!Maxi_hp)</f>
        <v>36.519009293012743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5.5185434965644431E-2</v>
      </c>
      <c r="M70" s="832"/>
      <c r="N70" s="832"/>
      <c r="O70" s="48">
        <f>IF(t&lt;Tnet,'2026'!Resal+('2026'!Salim-'2026'!Resal)*(1-EXP(('2026'!Tnet-t)/('2026'!Tau_j))),Resal+(Salim-Resal)*(1-EXP((Tnet-t)/(Tau_j))))*Salcycl</f>
        <v>5.8562510910393627E-2</v>
      </c>
      <c r="P70" s="169">
        <f>(INDEX(Models!$BJ70:$BT70,,T70)*(1-R70)+INDEX(Models!$BJ70:$BT70,,T70+1)*R70-ERP_i)*Q70*Ramure*Pc/MaxiM</f>
        <v>1.6390770014876194E-4</v>
      </c>
      <c r="Q70" s="304">
        <f t="shared" si="4"/>
        <v>0.6</v>
      </c>
      <c r="R70" s="177">
        <f t="shared" si="5"/>
        <v>0.98003419480727016</v>
      </c>
      <c r="S70" s="799">
        <f t="shared" si="6"/>
        <v>-2</v>
      </c>
      <c r="T70" s="176">
        <f t="shared" si="7"/>
        <v>4</v>
      </c>
      <c r="U70" s="250">
        <f t="shared" si="8"/>
        <v>-1.0199658051927298</v>
      </c>
      <c r="V70" s="382">
        <f t="shared" si="9"/>
        <v>38.000899787016543</v>
      </c>
      <c r="W70" s="400">
        <f t="shared" si="10"/>
        <v>30.510529566895485</v>
      </c>
      <c r="X70" s="157">
        <f t="shared" si="11"/>
        <v>46443</v>
      </c>
      <c r="Y70" s="383">
        <f t="shared" si="12"/>
        <v>29.535742305521154</v>
      </c>
      <c r="Z70" s="383">
        <f t="shared" si="22"/>
        <v>31.260888007634776</v>
      </c>
      <c r="AA70" s="384">
        <f t="shared" si="13"/>
        <v>34.192779569723434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8.5745926449476248E-2</v>
      </c>
      <c r="AD70" s="230">
        <f>(INDEX(Models!$BJ70:$BT70,,AH70)*(1-AF70)+INDEX(Models!$BJ70:$BT70,,AH70+1)*AF70-ERP_i)*AE70*Ramure*Pc/MaxiM</f>
        <v>4.5706826265312804E-3</v>
      </c>
      <c r="AE70" s="304">
        <f t="shared" si="15"/>
        <v>0.6</v>
      </c>
      <c r="AF70" s="177">
        <f t="shared" si="23"/>
        <v>0.50502176118124886</v>
      </c>
      <c r="AG70" s="799">
        <f t="shared" si="24"/>
        <v>2</v>
      </c>
      <c r="AH70" s="176">
        <f t="shared" si="16"/>
        <v>8</v>
      </c>
      <c r="AI70" s="224">
        <f t="shared" si="17"/>
        <v>2.5050217611812489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'2026'!Wh/'2026'!Env_an*'2027'!Env_an</f>
        <v>38.666911014367507</v>
      </c>
      <c r="C71" s="829"/>
      <c r="D71" s="391">
        <f t="shared" si="0"/>
        <v>40.926181181057359</v>
      </c>
      <c r="E71" s="383">
        <f t="shared" si="1"/>
        <v>43.474488572153469</v>
      </c>
      <c r="F71" s="383">
        <f t="shared" si="2"/>
        <v>43.481266681339839</v>
      </c>
      <c r="G71" s="110">
        <f t="shared" si="21"/>
        <v>1.0086296254599769</v>
      </c>
      <c r="H71" s="412" t="b">
        <f>Wh_hp&gt;='2026'!Maxi_hp</f>
        <v>1</v>
      </c>
      <c r="I71" s="388">
        <f>IF(H71,Wh_hp,'2026'!Maxi_hp)</f>
        <v>43.481266681339839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5.520354212123646E-2</v>
      </c>
      <c r="M71" s="832"/>
      <c r="N71" s="832"/>
      <c r="O71" s="48">
        <f>IF(t&lt;Tnet,'2026'!Resal+('2026'!Salim-'2026'!Resal)*(1-EXP(('2026'!Tnet-t)/('2026'!Tau_j))),Resal+(Salim-Resal)*(1-EXP((Tnet-t)/(Tau_j))))*Salcycl</f>
        <v>5.8616155699376435E-2</v>
      </c>
      <c r="P71" s="169">
        <f>(INDEX(Models!$BJ71:$BT71,,T71)*(1-R71)+INDEX(Models!$BJ71:$BT71,,T71+1)*R71-ERP_i)*Q71*Ramure*Pc/MaxiM</f>
        <v>1.5588573433353005E-4</v>
      </c>
      <c r="Q71" s="304">
        <f t="shared" si="4"/>
        <v>0.6</v>
      </c>
      <c r="R71" s="177">
        <f t="shared" si="5"/>
        <v>0.98030752506283547</v>
      </c>
      <c r="S71" s="799">
        <f t="shared" si="6"/>
        <v>-2</v>
      </c>
      <c r="T71" s="176">
        <f t="shared" si="7"/>
        <v>4</v>
      </c>
      <c r="U71" s="250">
        <f t="shared" si="8"/>
        <v>-1.0196924749371645</v>
      </c>
      <c r="V71" s="382">
        <f t="shared" si="9"/>
        <v>38.336084959564609</v>
      </c>
      <c r="W71" s="400">
        <f t="shared" si="10"/>
        <v>38.666911014367507</v>
      </c>
      <c r="X71" s="157">
        <f t="shared" si="11"/>
        <v>46444</v>
      </c>
      <c r="Y71" s="383">
        <f t="shared" si="12"/>
        <v>37.392106110709058</v>
      </c>
      <c r="Z71" s="383">
        <f t="shared" si="22"/>
        <v>39.576890661361077</v>
      </c>
      <c r="AA71" s="384">
        <f t="shared" si="13"/>
        <v>43.289957938082431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8.5772023202982745E-2</v>
      </c>
      <c r="AD71" s="230">
        <f>(INDEX(Models!$BJ71:$BT71,,AH71)*(1-AF71)+INDEX(Models!$BJ71:$BT71,,AH71+1)*AF71-ERP_i)*AE71*Ramure*Pc/MaxiM</f>
        <v>4.3997969208084461E-3</v>
      </c>
      <c r="AE71" s="304">
        <f t="shared" si="15"/>
        <v>0.6</v>
      </c>
      <c r="AF71" s="177">
        <f t="shared" si="23"/>
        <v>0.50529509143681395</v>
      </c>
      <c r="AG71" s="799">
        <f t="shared" si="24"/>
        <v>2</v>
      </c>
      <c r="AH71" s="176">
        <f t="shared" si="16"/>
        <v>8</v>
      </c>
      <c r="AI71" s="224">
        <f t="shared" si="17"/>
        <v>2.5052950914368139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'2026'!Wh/'2026'!Env_an*'2027'!Env_an</f>
        <v>27.638395170671313</v>
      </c>
      <c r="C72" s="829"/>
      <c r="D72" s="391">
        <f t="shared" si="0"/>
        <v>29.253840479477663</v>
      </c>
      <c r="E72" s="383">
        <f t="shared" si="1"/>
        <v>31.077127163717574</v>
      </c>
      <c r="F72" s="383">
        <f t="shared" si="2"/>
        <v>31.079856430573688</v>
      </c>
      <c r="G72" s="110">
        <f t="shared" si="21"/>
        <v>0.71465045124551563</v>
      </c>
      <c r="H72" s="412" t="b">
        <f>Wh_hp&gt;='2026'!Maxi_hp</f>
        <v>0</v>
      </c>
      <c r="I72" s="388">
        <f>IF(H72,Wh_hp,'2026'!Maxi_hp)</f>
        <v>42.979805880549684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5.5221648929808964E-2</v>
      </c>
      <c r="M72" s="832"/>
      <c r="N72" s="832"/>
      <c r="O72" s="48">
        <f>IF(t&lt;Tnet,'2026'!Resal+('2026'!Salim-'2026'!Resal)*(1-EXP(('2026'!Tnet-t)/('2026'!Tau_j))),Resal+(Salim-Resal)*(1-EXP((Tnet-t)/(Tau_j))))*Salcycl</f>
        <v>5.8669730784143705E-2</v>
      </c>
      <c r="P72" s="169">
        <f>(INDEX(Models!$BJ72:$BT72,,T72)*(1-R72)+INDEX(Models!$BJ72:$BT72,,T72+1)*R72-ERP_i)*Q72*Ramure*Pc/MaxiM</f>
        <v>1.4823053253607438E-4</v>
      </c>
      <c r="Q72" s="304">
        <f t="shared" si="4"/>
        <v>0.6</v>
      </c>
      <c r="R72" s="177">
        <f t="shared" si="5"/>
        <v>0.98059200065764562</v>
      </c>
      <c r="S72" s="799">
        <f t="shared" si="6"/>
        <v>-2</v>
      </c>
      <c r="T72" s="176">
        <f t="shared" si="7"/>
        <v>4</v>
      </c>
      <c r="U72" s="250">
        <f t="shared" si="8"/>
        <v>-1.0194079993423544</v>
      </c>
      <c r="V72" s="382">
        <f t="shared" si="9"/>
        <v>38.67166833512713</v>
      </c>
      <c r="W72" s="400">
        <f t="shared" si="10"/>
        <v>27.638395170671313</v>
      </c>
      <c r="X72" s="157">
        <f t="shared" si="11"/>
        <v>46445</v>
      </c>
      <c r="Y72" s="383">
        <f t="shared" si="12"/>
        <v>26.776962350070317</v>
      </c>
      <c r="Z72" s="383">
        <f t="shared" si="22"/>
        <v>28.342057499241914</v>
      </c>
      <c r="AA72" s="384">
        <f t="shared" si="13"/>
        <v>31.001966393580705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8.579807037303136E-2</v>
      </c>
      <c r="AD72" s="230">
        <f>(INDEX(Models!$BJ72:$BT72,,AH72)*(1-AF72)+INDEX(Models!$BJ72:$BT72,,AH72+1)*AF72-ERP_i)*AE72*Ramure*Pc/MaxiM</f>
        <v>4.2303234793110624E-3</v>
      </c>
      <c r="AE72" s="304">
        <f t="shared" si="15"/>
        <v>0.6</v>
      </c>
      <c r="AF72" s="177">
        <f t="shared" si="23"/>
        <v>0.50557956703162432</v>
      </c>
      <c r="AG72" s="799">
        <f t="shared" si="24"/>
        <v>2</v>
      </c>
      <c r="AH72" s="176">
        <f t="shared" si="16"/>
        <v>8</v>
      </c>
      <c r="AI72" s="224">
        <f t="shared" si="17"/>
        <v>2.5055795670316243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'2026'!Wh/'2026'!Env_an*'2027'!Env_an</f>
        <v>33.364954756603581</v>
      </c>
      <c r="C73" s="829"/>
      <c r="D73" s="391">
        <f t="shared" si="0"/>
        <v>35.315790378568558</v>
      </c>
      <c r="E73" s="383">
        <f t="shared" si="1"/>
        <v>37.519029326629081</v>
      </c>
      <c r="F73" s="383">
        <f t="shared" si="2"/>
        <v>37.523227982646922</v>
      </c>
      <c r="G73" s="110">
        <f t="shared" si="21"/>
        <v>0.85531904673324466</v>
      </c>
      <c r="H73" s="412" t="b">
        <f>Wh_hp&gt;='2026'!Maxi_hp</f>
        <v>1</v>
      </c>
      <c r="I73" s="388">
        <f>IF(H73,Wh_hp,'2026'!Maxi_hp)</f>
        <v>37.523227982646922</v>
      </c>
      <c r="J73" s="85">
        <f>IF(H73,An,'2026'!An_max)</f>
        <v>2027</v>
      </c>
      <c r="K73" s="197">
        <f t="shared" si="3"/>
        <v>46446</v>
      </c>
      <c r="L73" s="147">
        <f>IF(t&lt;Tvie,1-EXP((T0-t)*PertePVj)+'2026'!Pspv,1-EXP((T0-t)*PertePVj)+Pspv)</f>
        <v>5.5239755391368717E-2</v>
      </c>
      <c r="M73" s="832"/>
      <c r="N73" s="832"/>
      <c r="O73" s="48">
        <f>IF(t&lt;Tnet,'2026'!Resal+('2026'!Salim-'2026'!Resal)*(1-EXP(('2026'!Tnet-t)/('2026'!Tau_j))),Resal+(Salim-Resal)*(1-EXP((Tnet-t)/(Tau_j))))*Salcycl</f>
        <v>5.8723239582767602E-2</v>
      </c>
      <c r="P73" s="169">
        <f>(INDEX(Models!$BJ73:$BT73,,T73)*(1-R73)+INDEX(Models!$BJ73:$BT73,,T73+1)*R73-ERP_i)*Q73*Ramure*Pc/MaxiM</f>
        <v>1.4104122637225163E-4</v>
      </c>
      <c r="Q73" s="304">
        <f t="shared" si="4"/>
        <v>0.6</v>
      </c>
      <c r="R73" s="177">
        <f t="shared" si="5"/>
        <v>0.98088806223023317</v>
      </c>
      <c r="S73" s="799">
        <f t="shared" si="6"/>
        <v>-2</v>
      </c>
      <c r="T73" s="176">
        <f t="shared" si="7"/>
        <v>4</v>
      </c>
      <c r="U73" s="250">
        <f t="shared" si="8"/>
        <v>-1.0191119377697668</v>
      </c>
      <c r="V73" s="382">
        <f t="shared" si="9"/>
        <v>39.007645518619377</v>
      </c>
      <c r="W73" s="400">
        <f t="shared" si="10"/>
        <v>33.364954756603581</v>
      </c>
      <c r="X73" s="157">
        <f t="shared" si="11"/>
        <v>46446</v>
      </c>
      <c r="Y73" s="383">
        <f t="shared" si="12"/>
        <v>32.303464223562486</v>
      </c>
      <c r="Z73" s="383">
        <f t="shared" si="22"/>
        <v>34.192234916642008</v>
      </c>
      <c r="AA73" s="384">
        <f t="shared" si="13"/>
        <v>37.402248194033412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8.5824072947130514E-2</v>
      </c>
      <c r="AD73" s="230">
        <f>(INDEX(Models!$BJ73:$BT73,,AH73)*(1-AF73)+INDEX(Models!$BJ73:$BT73,,AH73+1)*AF73-ERP_i)*AE73*Ramure*Pc/MaxiM</f>
        <v>4.0639522932580411E-3</v>
      </c>
      <c r="AE73" s="304">
        <f t="shared" si="15"/>
        <v>0.6</v>
      </c>
      <c r="AF73" s="177">
        <f t="shared" si="23"/>
        <v>0.50587562860421187</v>
      </c>
      <c r="AG73" s="799">
        <f t="shared" si="24"/>
        <v>2</v>
      </c>
      <c r="AH73" s="176">
        <f t="shared" si="16"/>
        <v>8</v>
      </c>
      <c r="AI73" s="224">
        <f t="shared" si="17"/>
        <v>2.5058756286042119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'2026'!Wh/'2026'!Env_an*'2027'!Env_an</f>
        <v>38.70951369116402</v>
      </c>
      <c r="C74" s="829"/>
      <c r="D74" s="391">
        <f t="shared" si="0"/>
        <v>40.973628796601702</v>
      </c>
      <c r="E74" s="383">
        <f t="shared" si="1"/>
        <v>43.532313974603497</v>
      </c>
      <c r="F74" s="383">
        <f t="shared" si="2"/>
        <v>43.538026711857064</v>
      </c>
      <c r="G74" s="110">
        <f t="shared" si="21"/>
        <v>0.98386991409350388</v>
      </c>
      <c r="H74" s="412" t="b">
        <f>Wh_hp&gt;='2026'!Maxi_hp</f>
        <v>1</v>
      </c>
      <c r="I74" s="388">
        <f>IF(H74,Wh_hp,'2026'!Maxi_hp)</f>
        <v>43.538026711857064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5.5257861505922157E-2</v>
      </c>
      <c r="M74" s="832"/>
      <c r="N74" s="832"/>
      <c r="O74" s="48">
        <f>IF(t&lt;Tnet,'2026'!Resal+('2026'!Salim-'2026'!Resal)*(1-EXP(('2026'!Tnet-t)/('2026'!Tau_j))),Resal+(Salim-Resal)*(1-EXP((Tnet-t)/(Tau_j))))*Salcycl</f>
        <v>5.8776686658433053E-2</v>
      </c>
      <c r="P74" s="169">
        <f>(INDEX(Models!$BJ74:$BT74,,T74)*(1-R74)+INDEX(Models!$BJ74:$BT74,,T74+1)*R74-ERP_i)*Q74*Ramure*Pc/MaxiM</f>
        <v>1.3430683564375092E-4</v>
      </c>
      <c r="Q74" s="304">
        <f t="shared" si="4"/>
        <v>0.6</v>
      </c>
      <c r="R74" s="177">
        <f t="shared" si="5"/>
        <v>0.98119616667529197</v>
      </c>
      <c r="S74" s="799">
        <f t="shared" si="6"/>
        <v>-2</v>
      </c>
      <c r="T74" s="176">
        <f t="shared" si="7"/>
        <v>4</v>
      </c>
      <c r="U74" s="250">
        <f t="shared" si="8"/>
        <v>-1.018803833324708</v>
      </c>
      <c r="V74" s="382">
        <f t="shared" si="9"/>
        <v>39.344016260901185</v>
      </c>
      <c r="W74" s="400">
        <f t="shared" si="10"/>
        <v>38.70951369116402</v>
      </c>
      <c r="X74" s="157">
        <f t="shared" si="11"/>
        <v>46447</v>
      </c>
      <c r="Y74" s="383">
        <f t="shared" si="12"/>
        <v>37.457718840942839</v>
      </c>
      <c r="Z74" s="383">
        <f t="shared" si="22"/>
        <v>39.64861660627372</v>
      </c>
      <c r="AA74" s="384">
        <f t="shared" si="13"/>
        <v>43.37211424372753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8.5850037573215757E-2</v>
      </c>
      <c r="AD74" s="230">
        <f>(INDEX(Models!$BJ74:$BT74,,AH74)*(1-AF74)+INDEX(Models!$BJ74:$BT74,,AH74+1)*AF74-ERP_i)*AE74*Ramure*Pc/MaxiM</f>
        <v>3.9006132435763139E-3</v>
      </c>
      <c r="AE74" s="304">
        <f t="shared" si="15"/>
        <v>0.6</v>
      </c>
      <c r="AF74" s="177">
        <f t="shared" si="23"/>
        <v>0.50618373304927067</v>
      </c>
      <c r="AG74" s="799">
        <f t="shared" si="24"/>
        <v>2</v>
      </c>
      <c r="AH74" s="176">
        <f t="shared" si="16"/>
        <v>8</v>
      </c>
      <c r="AI74" s="224">
        <f t="shared" si="17"/>
        <v>2.5061837330492707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'2026'!Wh/'2026'!Env_an*'2027'!Env_an</f>
        <v>11.278614971356003</v>
      </c>
      <c r="C75" s="829"/>
      <c r="D75" s="391">
        <f t="shared" si="0"/>
        <v>11.938528692665221</v>
      </c>
      <c r="E75" s="383">
        <f t="shared" si="1"/>
        <v>12.684774991577465</v>
      </c>
      <c r="F75" s="383">
        <f t="shared" si="2"/>
        <v>12.684774991577465</v>
      </c>
      <c r="G75" s="110">
        <f t="shared" si="21"/>
        <v>0.2841973128275655</v>
      </c>
      <c r="H75" s="412" t="b">
        <f>Wh_hp&gt;='2026'!Maxi_hp</f>
        <v>0</v>
      </c>
      <c r="I75" s="388">
        <f>IF(H75,Wh_hp,'2026'!Maxi_hp)</f>
        <v>30.966593074683484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5.5275967273476057E-2</v>
      </c>
      <c r="M75" s="832"/>
      <c r="N75" s="832"/>
      <c r="O75" s="48">
        <f>IF(t&lt;Tnet,'2026'!Resal+('2026'!Salim-'2026'!Resal)*(1-EXP(('2026'!Tnet-t)/('2026'!Tau_j))),Resal+(Salim-Resal)*(1-EXP((Tnet-t)/(Tau_j))))*Salcycl</f>
        <v>5.8830077743416156E-2</v>
      </c>
      <c r="P75" s="169">
        <f>(INDEX(Models!$BJ75:$BT75,,T75)*(1-R75)+INDEX(Models!$BJ75:$BT75,,T75+1)*R75-ERP_i)*Q75*Ramure*Pc/MaxiM</f>
        <v>1.2801677661523247E-4</v>
      </c>
      <c r="Q75" s="304">
        <f t="shared" si="4"/>
        <v>0.6</v>
      </c>
      <c r="R75" s="177">
        <f t="shared" si="5"/>
        <v>0.98151678764455363</v>
      </c>
      <c r="S75" s="799">
        <f t="shared" si="6"/>
        <v>-2</v>
      </c>
      <c r="T75" s="176">
        <f t="shared" si="7"/>
        <v>4</v>
      </c>
      <c r="U75" s="250">
        <f t="shared" si="8"/>
        <v>-1.0184832123554464</v>
      </c>
      <c r="V75" s="382">
        <f t="shared" si="9"/>
        <v>39.680780255177929</v>
      </c>
      <c r="W75" s="400">
        <f t="shared" si="10"/>
        <v>11.278614971356003</v>
      </c>
      <c r="X75" s="157">
        <f t="shared" si="11"/>
        <v>46448</v>
      </c>
      <c r="Y75" s="383">
        <f t="shared" si="12"/>
        <v>10.954507467160248</v>
      </c>
      <c r="Z75" s="383">
        <f t="shared" si="22"/>
        <v>11.595457602094609</v>
      </c>
      <c r="AA75" s="384">
        <f t="shared" si="13"/>
        <v>12.684774991577465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8.5875972589671515E-2</v>
      </c>
      <c r="AD75" s="230">
        <f>(INDEX(Models!$BJ75:$BT75,,AH75)*(1-AF75)+INDEX(Models!$BJ75:$BT75,,AH75+1)*AF75-ERP_i)*AE75*Ramure*Pc/MaxiM</f>
        <v>3.7402391099702844E-3</v>
      </c>
      <c r="AE75" s="304">
        <f t="shared" si="15"/>
        <v>0.6</v>
      </c>
      <c r="AF75" s="177">
        <f t="shared" si="23"/>
        <v>0.50650435401853233</v>
      </c>
      <c r="AG75" s="799">
        <f t="shared" si="24"/>
        <v>2</v>
      </c>
      <c r="AH75" s="176">
        <f t="shared" si="16"/>
        <v>8</v>
      </c>
      <c r="AI75" s="224">
        <f t="shared" si="17"/>
        <v>2.5065043540185323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'2026'!Wh/'2026'!Env_an*'2027'!Env_an</f>
        <v>34.606039869024535</v>
      </c>
      <c r="C76" s="829"/>
      <c r="D76" s="391">
        <f t="shared" si="0"/>
        <v>36.631547308813104</v>
      </c>
      <c r="E76" s="383">
        <f t="shared" si="1"/>
        <v>38.923495853487196</v>
      </c>
      <c r="F76" s="383">
        <f t="shared" si="2"/>
        <v>38.927332528635397</v>
      </c>
      <c r="G76" s="110">
        <f t="shared" si="21"/>
        <v>0.86474280116981694</v>
      </c>
      <c r="H76" s="412" t="b">
        <f>Wh_hp&gt;='2026'!Maxi_hp</f>
        <v>1</v>
      </c>
      <c r="I76" s="388">
        <f>IF(H76,Wh_hp,'2026'!Maxi_hp)</f>
        <v>38.927332528635397</v>
      </c>
      <c r="J76" s="85">
        <f>IF(H76,An,'2026'!An_max)</f>
        <v>2027</v>
      </c>
      <c r="K76" s="197">
        <f t="shared" si="3"/>
        <v>46449</v>
      </c>
      <c r="L76" s="147">
        <f>IF(t&lt;Tvie,1-EXP((T0-t)*PertePVj)+'2026'!Pspv,1-EXP((T0-t)*PertePVj)+Pspv)</f>
        <v>5.5294072694037077E-2</v>
      </c>
      <c r="M76" s="832"/>
      <c r="N76" s="832"/>
      <c r="O76" s="48">
        <f>IF(t&lt;Tnet,'2026'!Resal+('2026'!Salim-'2026'!Resal)*(1-EXP(('2026'!Tnet-t)/('2026'!Tau_j))),Resal+(Salim-Resal)*(1-EXP((Tnet-t)/(Tau_j))))*Salcycl</f>
        <v>5.8883419755030857E-2</v>
      </c>
      <c r="P76" s="169">
        <f>(INDEX(Models!$BJ76:$BT76,,T76)*(1-R76)+INDEX(Models!$BJ76:$BT76,,T76+1)*R76-ERP_i)*Q76*Ramure*Pc/MaxiM</f>
        <v>1.2216084389193171E-4</v>
      </c>
      <c r="Q76" s="304">
        <f t="shared" si="4"/>
        <v>0.6</v>
      </c>
      <c r="R76" s="177">
        <f t="shared" si="5"/>
        <v>0.98185041605441148</v>
      </c>
      <c r="S76" s="799">
        <f t="shared" si="6"/>
        <v>-2</v>
      </c>
      <c r="T76" s="176">
        <f t="shared" si="7"/>
        <v>4</v>
      </c>
      <c r="U76" s="250">
        <f t="shared" si="8"/>
        <v>-1.0181495839455885</v>
      </c>
      <c r="V76" s="382">
        <f t="shared" si="9"/>
        <v>40.017937134047258</v>
      </c>
      <c r="W76" s="400">
        <f t="shared" si="10"/>
        <v>34.606039869024535</v>
      </c>
      <c r="X76" s="157">
        <f t="shared" si="11"/>
        <v>46449</v>
      </c>
      <c r="Y76" s="383">
        <f t="shared" si="12"/>
        <v>33.518680309486463</v>
      </c>
      <c r="Z76" s="383">
        <f t="shared" si="22"/>
        <v>35.480544093834965</v>
      </c>
      <c r="AA76" s="384">
        <f t="shared" si="13"/>
        <v>38.814809515245329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8.5901888043551047E-2</v>
      </c>
      <c r="AD76" s="230">
        <f>(INDEX(Models!$BJ76:$BT76,,AH76)*(1-AF76)+INDEX(Models!$BJ76:$BT76,,AH76+1)*AF76-ERP_i)*AE76*Ramure*Pc/MaxiM</f>
        <v>3.5827652178090016E-3</v>
      </c>
      <c r="AE76" s="304">
        <f t="shared" si="15"/>
        <v>0.6</v>
      </c>
      <c r="AF76" s="177">
        <f t="shared" si="23"/>
        <v>0.50683798242839018</v>
      </c>
      <c r="AG76" s="799">
        <f t="shared" si="24"/>
        <v>2</v>
      </c>
      <c r="AH76" s="176">
        <f t="shared" si="16"/>
        <v>8</v>
      </c>
      <c r="AI76" s="224">
        <f t="shared" si="17"/>
        <v>2.5068379824283902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'2026'!Wh/'2026'!Env_an*'2027'!Env_an</f>
        <v>3.7185584165611045</v>
      </c>
      <c r="C77" s="829"/>
      <c r="D77" s="391">
        <f t="shared" si="0"/>
        <v>3.936282789984308</v>
      </c>
      <c r="E77" s="383">
        <f t="shared" si="1"/>
        <v>4.1828035127939325</v>
      </c>
      <c r="F77" s="383">
        <f t="shared" si="2"/>
        <v>4.1828035127939325</v>
      </c>
      <c r="G77" s="110">
        <f t="shared" si="21"/>
        <v>9.2134296416424663E-2</v>
      </c>
      <c r="H77" s="412" t="b">
        <f>Wh_hp&gt;='2026'!Maxi_hp</f>
        <v>0</v>
      </c>
      <c r="I77" s="388">
        <f>IF(H77,Wh_hp,'2026'!Maxi_hp)</f>
        <v>32.038386239307918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5.5312177767611881E-2</v>
      </c>
      <c r="M77" s="832"/>
      <c r="N77" s="832"/>
      <c r="O77" s="48">
        <f>IF(t&lt;Tnet,'2026'!Resal+('2026'!Salim-'2026'!Resal)*(1-EXP(('2026'!Tnet-t)/('2026'!Tau_j))),Resal+(Salim-Resal)*(1-EXP((Tnet-t)/(Tau_j))))*Salcycl</f>
        <v>5.8936720803545298E-2</v>
      </c>
      <c r="P77" s="169">
        <f>(INDEX(Models!$BJ77:$BT77,,T77)*(1-R77)+INDEX(Models!$BJ77:$BT77,,T77+1)*R77-ERP_i)*Q77*Ramure*Pc/MaxiM</f>
        <v>1.16729194802913E-4</v>
      </c>
      <c r="Q77" s="304">
        <f t="shared" si="4"/>
        <v>0.6</v>
      </c>
      <c r="R77" s="177">
        <f t="shared" si="5"/>
        <v>0.98219756059950969</v>
      </c>
      <c r="S77" s="799">
        <f t="shared" si="6"/>
        <v>-2</v>
      </c>
      <c r="T77" s="176">
        <f t="shared" si="7"/>
        <v>4</v>
      </c>
      <c r="U77" s="250">
        <f t="shared" si="8"/>
        <v>-1.0178024394004903</v>
      </c>
      <c r="V77" s="382">
        <f t="shared" si="9"/>
        <v>40.355486467561363</v>
      </c>
      <c r="W77" s="400">
        <f t="shared" si="10"/>
        <v>3.7185584165611045</v>
      </c>
      <c r="X77" s="157">
        <f t="shared" si="11"/>
        <v>46450</v>
      </c>
      <c r="Y77" s="383">
        <f t="shared" si="12"/>
        <v>3.6119047079996971</v>
      </c>
      <c r="Z77" s="383">
        <f t="shared" si="22"/>
        <v>3.8233844271056858</v>
      </c>
      <c r="AA77" s="384">
        <f t="shared" si="13"/>
        <v>4.1828035127939325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8.5927795697046838E-2</v>
      </c>
      <c r="AD77" s="230">
        <f>(INDEX(Models!$BJ77:$BT77,,AH77)*(1-AF77)+INDEX(Models!$BJ77:$BT77,,AH77+1)*AF77-ERP_i)*AE77*Ramure*Pc/MaxiM</f>
        <v>3.4281290913236915E-3</v>
      </c>
      <c r="AE77" s="304">
        <f t="shared" si="15"/>
        <v>0.6</v>
      </c>
      <c r="AF77" s="177">
        <f t="shared" si="23"/>
        <v>0.50718512697348839</v>
      </c>
      <c r="AG77" s="799">
        <f t="shared" si="24"/>
        <v>2</v>
      </c>
      <c r="AH77" s="176">
        <f t="shared" si="16"/>
        <v>8</v>
      </c>
      <c r="AI77" s="224">
        <f t="shared" si="17"/>
        <v>2.5071851269734884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'2026'!Wh/'2026'!Env_an*'2027'!Env_an</f>
        <v>12.803620924009111</v>
      </c>
      <c r="C78" s="829"/>
      <c r="D78" s="391">
        <f t="shared" si="0"/>
        <v>13.553542245235141</v>
      </c>
      <c r="E78" s="383">
        <f t="shared" si="1"/>
        <v>14.403186049001429</v>
      </c>
      <c r="F78" s="383">
        <f t="shared" si="2"/>
        <v>14.403219691457661</v>
      </c>
      <c r="G78" s="110">
        <f t="shared" si="21"/>
        <v>0.3146016742566195</v>
      </c>
      <c r="H78" s="412" t="b">
        <f>Wh_hp&gt;='2026'!Maxi_hp</f>
        <v>0</v>
      </c>
      <c r="I78" s="388">
        <f>IF(H78,Wh_hp,'2026'!Maxi_hp)</f>
        <v>38.035034481034316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5.5330282494207017E-2</v>
      </c>
      <c r="M78" s="832"/>
      <c r="N78" s="832"/>
      <c r="O78" s="48">
        <f>IF(t&lt;Tnet,'2026'!Resal+('2026'!Salim-'2026'!Resal)*(1-EXP(('2026'!Tnet-t)/('2026'!Tau_j))),Resal+(Salim-Resal)*(1-EXP((Tnet-t)/(Tau_j))))*Salcycl</f>
        <v>5.898999019214872E-2</v>
      </c>
      <c r="P78" s="169">
        <f>(INDEX(Models!$BJ78:$BT78,,T78)*(1-R78)+INDEX(Models!$BJ78:$BT78,,T78+1)*R78-ERP_i)*Q78*Ramure*Pc/MaxiM</f>
        <v>1.1171233627726766E-4</v>
      </c>
      <c r="Q78" s="304">
        <f t="shared" si="4"/>
        <v>0.6</v>
      </c>
      <c r="R78" s="177">
        <f t="shared" si="5"/>
        <v>0.98255874827140532</v>
      </c>
      <c r="S78" s="799">
        <f t="shared" si="6"/>
        <v>-2</v>
      </c>
      <c r="T78" s="176">
        <f t="shared" si="7"/>
        <v>4</v>
      </c>
      <c r="U78" s="250">
        <f t="shared" si="8"/>
        <v>-1.0174412517285947</v>
      </c>
      <c r="V78" s="382">
        <f t="shared" si="9"/>
        <v>40.693427759915345</v>
      </c>
      <c r="W78" s="400">
        <f t="shared" si="10"/>
        <v>12.803620924009111</v>
      </c>
      <c r="X78" s="157">
        <f t="shared" si="11"/>
        <v>46451</v>
      </c>
      <c r="Y78" s="383">
        <f t="shared" si="12"/>
        <v>12.435922823663278</v>
      </c>
      <c r="Z78" s="383">
        <f t="shared" si="22"/>
        <v>13.164307686815437</v>
      </c>
      <c r="AA78" s="384">
        <f t="shared" si="13"/>
        <v>14.40223303431986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8.5953709022378824E-2</v>
      </c>
      <c r="AD78" s="230">
        <f>(INDEX(Models!$BJ78:$BT78,,AH78)*(1-AF78)+INDEX(Models!$BJ78:$BT78,,AH78+1)*AF78-ERP_i)*AE78*Ramure*Pc/MaxiM</f>
        <v>3.2762701155250157E-3</v>
      </c>
      <c r="AE78" s="304">
        <f t="shared" si="15"/>
        <v>0.6</v>
      </c>
      <c r="AF78" s="177">
        <f t="shared" si="23"/>
        <v>0.50754631464538402</v>
      </c>
      <c r="AG78" s="799">
        <f t="shared" si="24"/>
        <v>2</v>
      </c>
      <c r="AH78" s="176">
        <f t="shared" si="16"/>
        <v>8</v>
      </c>
      <c r="AI78" s="224">
        <f t="shared" si="17"/>
        <v>2.507546314645384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'2026'!Wh/'2026'!Env_an*'2027'!Env_an</f>
        <v>15.435827429890322</v>
      </c>
      <c r="C79" s="829"/>
      <c r="D79" s="391">
        <f t="shared" ref="D79:D142" si="25">Wh/(1-Ppv)</f>
        <v>16.34023296568347</v>
      </c>
      <c r="E79" s="383">
        <f t="shared" si="1"/>
        <v>17.365551354407682</v>
      </c>
      <c r="F79" s="383">
        <f t="shared" ref="F79:F142" si="26">Wh_sa/(1-Pvg*MEDIAN((-Sdif+Wh/Env_an)/Csdif,0,1))</f>
        <v>17.365753765152618</v>
      </c>
      <c r="G79" s="110">
        <f t="shared" si="21"/>
        <v>0.37614658551726021</v>
      </c>
      <c r="H79" s="412" t="b">
        <f>Wh_hp&gt;='2026'!Maxi_hp</f>
        <v>1</v>
      </c>
      <c r="I79" s="388">
        <f>IF(H79,Wh_hp,'2026'!Maxi_hp)</f>
        <v>17.365753765152618</v>
      </c>
      <c r="J79" s="85">
        <f>IF(H79,An,'2026'!An_max)</f>
        <v>2027</v>
      </c>
      <c r="K79" s="197">
        <f t="shared" ref="K79:K142" si="27">t</f>
        <v>46452</v>
      </c>
      <c r="L79" s="147">
        <f>IF(t&lt;Tvie,1-EXP((T0-t)*PertePVj)+'2026'!Pspv,1-EXP((T0-t)*PertePVj)+Pspv)</f>
        <v>5.5348386873829258E-2</v>
      </c>
      <c r="M79" s="832"/>
      <c r="N79" s="832"/>
      <c r="O79" s="48">
        <f>IF(t&lt;Tnet,'2026'!Resal+('2026'!Salim-'2026'!Resal)*(1-EXP(('2026'!Tnet-t)/('2026'!Tau_j))),Resal+(Salim-Resal)*(1-EXP((Tnet-t)/(Tau_j))))*Salcycl</f>
        <v>5.9043238409125967E-2</v>
      </c>
      <c r="P79" s="169">
        <f>(INDEX(Models!$BJ79:$BT79,,T79)*(1-R79)+INDEX(Models!$BJ79:$BT79,,T79+1)*R79-ERP_i)*Q79*Ramure*Pc/MaxiM</f>
        <v>1.0709835554678599E-4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0.98293452488130351</v>
      </c>
      <c r="S79" s="799">
        <f t="shared" ref="S79:S142" si="30">INDEX(Echel_vg,T79)</f>
        <v>-2</v>
      </c>
      <c r="T79" s="176">
        <f t="shared" ref="T79:T142" si="31">MIN(MATCH(Hp_vg,Echel_vg),10)</f>
        <v>4</v>
      </c>
      <c r="U79" s="250">
        <f t="shared" ref="U79:U142" si="32">IF(OR(t&lt;Ttai,Notai),Hdd+PousH*Croivg,Hdtf+PousH*(Croivg-Croi_tai))</f>
        <v>-1.0170654751186965</v>
      </c>
      <c r="V79" s="382">
        <f t="shared" ref="V79:V142" si="33">MaxiM*(1-Ppv)*(1-Pvg)*(1-Psa)</f>
        <v>41.032817447435121</v>
      </c>
      <c r="W79" s="400">
        <f t="shared" ref="W79:W142" si="34">Wh*(A79&gt;Tmaj)</f>
        <v>15.435827429890322</v>
      </c>
      <c r="X79" s="157">
        <f t="shared" ref="X79:X142" si="35">t</f>
        <v>46452</v>
      </c>
      <c r="Y79" s="383">
        <f t="shared" ref="Y79:Y142" si="36">Wh_pvt_s*(1-Ppv)</f>
        <v>14.989023892498814</v>
      </c>
      <c r="Z79" s="383">
        <f t="shared" ref="Z79:Z142" si="37">Wh_sa_s*(1-Psa_s)</f>
        <v>15.867250618347095</v>
      </c>
      <c r="AA79" s="384">
        <f t="shared" ref="AA79:AA142" si="38">Wh_hp*(1-Pvg_s*MEDIAN((-Sdif+Wh/Env_an)/Csdif,0,1))</f>
        <v>17.359843793462939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8.5979643185378138E-2</v>
      </c>
      <c r="AD79" s="230">
        <f>(INDEX(Models!$BJ79:$BT79,,AH79)*(1-AF79)+INDEX(Models!$BJ79:$BT79,,AH79+1)*AF79-ERP_i)*AE79*Ramure*Pc/MaxiM</f>
        <v>3.1270486627927325E-3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0.5079220912552822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2.5079220912552822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'2026'!Wh/'2026'!Env_an*'2027'!Env_an</f>
        <v>38.022467798877656</v>
      </c>
      <c r="C80" s="829"/>
      <c r="D80" s="391">
        <f t="shared" si="25"/>
        <v>40.25102585590534</v>
      </c>
      <c r="E80" s="383">
        <f t="shared" ref="E80:E143" si="47">Wh_pvt/(1-Psa)</f>
        <v>42.779121213596127</v>
      </c>
      <c r="F80" s="383">
        <f t="shared" si="26"/>
        <v>42.783013737775441</v>
      </c>
      <c r="G80" s="110">
        <f t="shared" ref="G80:G143" si="48">+Wh_hp/MaxiM</f>
        <v>0.91897472932318758</v>
      </c>
      <c r="H80" s="412" t="b">
        <f>Wh_hp&gt;='2026'!Maxi_hp</f>
        <v>1</v>
      </c>
      <c r="I80" s="388">
        <f>IF(H80,Wh_hp,'2026'!Maxi_hp)</f>
        <v>42.783013737775441</v>
      </c>
      <c r="J80" s="85">
        <f>IF(H80,An,'2026'!An_max)</f>
        <v>2027</v>
      </c>
      <c r="K80" s="197">
        <f t="shared" si="27"/>
        <v>46453</v>
      </c>
      <c r="L80" s="147">
        <f>IF(t&lt;Tvie,1-EXP((T0-t)*PertePVj)+'2026'!Pspv,1-EXP((T0-t)*PertePVj)+Pspv)</f>
        <v>5.5366490906485155E-2</v>
      </c>
      <c r="M80" s="832"/>
      <c r="N80" s="832"/>
      <c r="O80" s="48">
        <f>IF(t&lt;Tnet,'2026'!Resal+('2026'!Salim-'2026'!Resal)*(1-EXP(('2026'!Tnet-t)/('2026'!Tau_j))),Resal+(Salim-Resal)*(1-EXP((Tnet-t)/(Tau_j))))*Salcycl</f>
        <v>5.9096477112468182E-2</v>
      </c>
      <c r="P80" s="169">
        <f>(INDEX(Models!$BJ80:$BT80,,T80)*(1-R80)+INDEX(Models!$BJ80:$BT80,,T80+1)*R80-ERP_i)*Q80*Ramure*Pc/MaxiM</f>
        <v>1.0289099983846557E-4</v>
      </c>
      <c r="Q80" s="304">
        <f t="shared" si="28"/>
        <v>0.6</v>
      </c>
      <c r="R80" s="177">
        <f t="shared" si="29"/>
        <v>0.98332545558573914</v>
      </c>
      <c r="S80" s="799">
        <f t="shared" si="30"/>
        <v>-2</v>
      </c>
      <c r="T80" s="176">
        <f t="shared" si="31"/>
        <v>4</v>
      </c>
      <c r="U80" s="250">
        <f t="shared" si="32"/>
        <v>-1.0166745444142609</v>
      </c>
      <c r="V80" s="382">
        <f t="shared" si="33"/>
        <v>41.374385791532006</v>
      </c>
      <c r="W80" s="400">
        <f t="shared" si="34"/>
        <v>38.022467798877656</v>
      </c>
      <c r="X80" s="157">
        <f t="shared" si="35"/>
        <v>46453</v>
      </c>
      <c r="Y80" s="383">
        <f t="shared" si="36"/>
        <v>36.840958004893224</v>
      </c>
      <c r="Z80" s="383">
        <f t="shared" si="37"/>
        <v>39.000265870566444</v>
      </c>
      <c r="AA80" s="384">
        <f t="shared" si="38"/>
        <v>42.67013726932332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8.60056150181462E-2</v>
      </c>
      <c r="AD80" s="230">
        <f>(INDEX(Models!$BJ80:$BT80,,AH80)*(1-AF80)+INDEX(Models!$BJ80:$BT80,,AH80+1)*AF80-ERP_i)*AE80*Ramure*Pc/MaxiM</f>
        <v>2.9836610287509906E-3</v>
      </c>
      <c r="AE80" s="304">
        <f t="shared" si="40"/>
        <v>0.6</v>
      </c>
      <c r="AF80" s="177">
        <f t="shared" si="41"/>
        <v>0.50831302195971784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2.5083130219597178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'2026'!Wh/'2026'!Env_an*'2027'!Env_an</f>
        <v>30.986983647232371</v>
      </c>
      <c r="C81" s="829"/>
      <c r="D81" s="391">
        <f t="shared" si="25"/>
        <v>32.803809327939518</v>
      </c>
      <c r="E81" s="383">
        <f t="shared" si="47"/>
        <v>34.866131194446361</v>
      </c>
      <c r="F81" s="383">
        <f t="shared" si="26"/>
        <v>34.868314816478737</v>
      </c>
      <c r="G81" s="110">
        <f t="shared" si="48"/>
        <v>0.74275176967236733</v>
      </c>
      <c r="H81" s="412" t="b">
        <f>Wh_hp&gt;='2026'!Maxi_hp</f>
        <v>1</v>
      </c>
      <c r="I81" s="388">
        <f>IF(H81,Wh_hp,'2026'!Maxi_hp)</f>
        <v>34.868314816478737</v>
      </c>
      <c r="J81" s="85">
        <f>IF(H81,An,'2026'!An_max)</f>
        <v>2027</v>
      </c>
      <c r="K81" s="197">
        <f t="shared" si="27"/>
        <v>46454</v>
      </c>
      <c r="L81" s="147">
        <f>IF(t&lt;Tvie,1-EXP((T0-t)*PertePVj)+'2026'!Pspv,1-EXP((T0-t)*PertePVj)+Pspv)</f>
        <v>5.5384594592181369E-2</v>
      </c>
      <c r="M81" s="832"/>
      <c r="N81" s="832"/>
      <c r="O81" s="48">
        <f>IF(t&lt;Tnet,'2026'!Resal+('2026'!Salim-'2026'!Resal)*(1-EXP(('2026'!Tnet-t)/('2026'!Tau_j))),Resal+(Salim-Resal)*(1-EXP((Tnet-t)/(Tau_j))))*Salcycl</f>
        <v>5.9149719107215948E-2</v>
      </c>
      <c r="P81" s="169">
        <f>(INDEX(Models!$BJ81:$BT81,,T81)*(1-R81)+INDEX(Models!$BJ81:$BT81,,T81+1)*R81-ERP_i)*Q81*Ramure*Pc/MaxiM</f>
        <v>9.900513863257343E-5</v>
      </c>
      <c r="Q81" s="304">
        <f t="shared" si="28"/>
        <v>0.6</v>
      </c>
      <c r="R81" s="177">
        <f t="shared" si="29"/>
        <v>0.98373212541394928</v>
      </c>
      <c r="S81" s="799">
        <f t="shared" si="30"/>
        <v>-2</v>
      </c>
      <c r="T81" s="176">
        <f t="shared" si="31"/>
        <v>4</v>
      </c>
      <c r="U81" s="250">
        <f t="shared" si="32"/>
        <v>-1.0162678745860507</v>
      </c>
      <c r="V81" s="382">
        <f t="shared" si="33"/>
        <v>41.717647167696938</v>
      </c>
      <c r="W81" s="400">
        <f t="shared" si="34"/>
        <v>30.986983647232371</v>
      </c>
      <c r="X81" s="157">
        <f t="shared" si="35"/>
        <v>46454</v>
      </c>
      <c r="Y81" s="383">
        <f t="shared" si="36"/>
        <v>30.049287722597231</v>
      </c>
      <c r="Z81" s="383">
        <f t="shared" si="37"/>
        <v>31.811134511006685</v>
      </c>
      <c r="AA81" s="384">
        <f t="shared" si="38"/>
        <v>34.805509694855445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8.6031642981264991E-2</v>
      </c>
      <c r="AD81" s="230">
        <f>(INDEX(Models!$BJ81:$BT81,,AH81)*(1-AF81)+INDEX(Models!$BJ81:$BT81,,AH81+1)*AF81-ERP_i)*AE81*Ramure*Pc/MaxiM</f>
        <v>2.8475760369514754E-3</v>
      </c>
      <c r="AE81" s="304">
        <f t="shared" si="40"/>
        <v>0.6</v>
      </c>
      <c r="AF81" s="177">
        <f t="shared" si="41"/>
        <v>0.50871969178792797</v>
      </c>
      <c r="AG81" s="799">
        <f t="shared" si="49"/>
        <v>2</v>
      </c>
      <c r="AH81" s="176">
        <f t="shared" si="42"/>
        <v>8</v>
      </c>
      <c r="AI81" s="224">
        <f t="shared" si="43"/>
        <v>2.508719691787928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'2026'!Wh/'2026'!Env_an*'2027'!Env_an</f>
        <v>30.210312463871762</v>
      </c>
      <c r="C82" s="829"/>
      <c r="D82" s="391">
        <f t="shared" si="25"/>
        <v>31.982213370394081</v>
      </c>
      <c r="E82" s="383">
        <f t="shared" si="47"/>
        <v>33.994807204154576</v>
      </c>
      <c r="F82" s="383">
        <f t="shared" si="26"/>
        <v>33.996745700020377</v>
      </c>
      <c r="G82" s="110">
        <f t="shared" si="48"/>
        <v>0.71820338687049246</v>
      </c>
      <c r="H82" s="412" t="b">
        <f>Wh_hp&gt;='2026'!Maxi_hp</f>
        <v>0</v>
      </c>
      <c r="I82" s="388">
        <f>IF(H82,Wh_hp,'2026'!Maxi_hp)</f>
        <v>45.223150143497143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5.540269793092456E-2</v>
      </c>
      <c r="M82" s="832"/>
      <c r="N82" s="832"/>
      <c r="O82" s="48">
        <f>IF(t&lt;Tnet,'2026'!Resal+('2026'!Salim-'2026'!Resal)*(1-EXP(('2026'!Tnet-t)/('2026'!Tau_j))),Resal+(Salim-Resal)*(1-EXP((Tnet-t)/(Tau_j))))*Salcycl</f>
        <v>5.9202978315892059E-2</v>
      </c>
      <c r="P82" s="169">
        <f>(INDEX(Models!$BJ82:$BT82,,T82)*(1-R82)+INDEX(Models!$BJ82:$BT82,,T82+1)*R82-ERP_i)*Q82*Ramure*Pc/MaxiM</f>
        <v>9.5435372594137845E-5</v>
      </c>
      <c r="Q82" s="304">
        <f t="shared" si="28"/>
        <v>0.6</v>
      </c>
      <c r="R82" s="177">
        <f t="shared" si="29"/>
        <v>0.98415513979553615</v>
      </c>
      <c r="S82" s="799">
        <f t="shared" si="30"/>
        <v>-2</v>
      </c>
      <c r="T82" s="176">
        <f t="shared" si="31"/>
        <v>4</v>
      </c>
      <c r="U82" s="250">
        <f t="shared" si="32"/>
        <v>-1.0158448602044639</v>
      </c>
      <c r="V82" s="382">
        <f t="shared" si="33"/>
        <v>42.062112781430031</v>
      </c>
      <c r="W82" s="400">
        <f t="shared" si="34"/>
        <v>30.210312463871762</v>
      </c>
      <c r="X82" s="157">
        <f t="shared" si="35"/>
        <v>46455</v>
      </c>
      <c r="Y82" s="383">
        <f t="shared" si="36"/>
        <v>29.301968085954467</v>
      </c>
      <c r="Z82" s="383">
        <f t="shared" si="37"/>
        <v>31.020592607845185</v>
      </c>
      <c r="AA82" s="384">
        <f t="shared" si="38"/>
        <v>33.941523668439594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8.6057747116121006E-2</v>
      </c>
      <c r="AD82" s="230">
        <f>(INDEX(Models!$BJ82:$BT82,,AH82)*(1-AF82)+INDEX(Models!$BJ82:$BT82,,AH82+1)*AF82-ERP_i)*AE82*Ramure*Pc/MaxiM</f>
        <v>2.7186723749563677E-3</v>
      </c>
      <c r="AE82" s="304">
        <f t="shared" si="40"/>
        <v>0.6</v>
      </c>
      <c r="AF82" s="177">
        <f t="shared" si="41"/>
        <v>0.50914270616951463</v>
      </c>
      <c r="AG82" s="799">
        <f t="shared" si="49"/>
        <v>2</v>
      </c>
      <c r="AH82" s="176">
        <f t="shared" si="42"/>
        <v>8</v>
      </c>
      <c r="AI82" s="224">
        <f t="shared" si="43"/>
        <v>2.5091427061695146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'2026'!Wh/'2026'!Env_an*'2027'!Env_an</f>
        <v>24.048473633902557</v>
      </c>
      <c r="C83" s="829"/>
      <c r="D83" s="391">
        <f t="shared" si="25"/>
        <v>25.459457139639053</v>
      </c>
      <c r="E83" s="383">
        <f t="shared" si="47"/>
        <v>27.063116469209497</v>
      </c>
      <c r="F83" s="383">
        <f t="shared" si="26"/>
        <v>27.0640683033741</v>
      </c>
      <c r="G83" s="110">
        <f t="shared" si="48"/>
        <v>0.56705110001969161</v>
      </c>
      <c r="H83" s="412" t="b">
        <f>Wh_hp&gt;='2026'!Maxi_hp</f>
        <v>0</v>
      </c>
      <c r="I83" s="388">
        <f>IF(H83,Wh_hp,'2026'!Maxi_hp)</f>
        <v>44.941946667610743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5.5420800922721503E-2</v>
      </c>
      <c r="M83" s="832"/>
      <c r="N83" s="832"/>
      <c r="O83" s="48">
        <f>IF(t&lt;Tnet,'2026'!Resal+('2026'!Salim-'2026'!Resal)*(1-EXP(('2026'!Tnet-t)/('2026'!Tau_j))),Resal+(Salim-Resal)*(1-EXP((Tnet-t)/(Tau_j))))*Salcycl</f>
        <v>5.9256269742436182E-2</v>
      </c>
      <c r="P83" s="169">
        <f>(INDEX(Models!$BJ83:$BT83,,T83)*(1-R83)+INDEX(Models!$BJ83:$BT83,,T83+1)*R83-ERP_i)*Q83*Ramure*Pc/MaxiM</f>
        <v>9.2176307224896097E-5</v>
      </c>
      <c r="Q83" s="304">
        <f t="shared" si="28"/>
        <v>0.6</v>
      </c>
      <c r="R83" s="177">
        <f t="shared" si="29"/>
        <v>0.98459512508687297</v>
      </c>
      <c r="S83" s="799">
        <f t="shared" si="30"/>
        <v>-2</v>
      </c>
      <c r="T83" s="176">
        <f t="shared" si="31"/>
        <v>4</v>
      </c>
      <c r="U83" s="250">
        <f t="shared" si="32"/>
        <v>-1.015404874913127</v>
      </c>
      <c r="V83" s="382">
        <f t="shared" si="33"/>
        <v>42.407293914204445</v>
      </c>
      <c r="W83" s="400">
        <f t="shared" si="34"/>
        <v>24.048473633902557</v>
      </c>
      <c r="X83" s="157">
        <f t="shared" si="35"/>
        <v>46456</v>
      </c>
      <c r="Y83" s="383">
        <f t="shared" si="36"/>
        <v>23.340343617365111</v>
      </c>
      <c r="Z83" s="383">
        <f t="shared" si="37"/>
        <v>24.709779381300535</v>
      </c>
      <c r="AA83" s="384">
        <f t="shared" si="38"/>
        <v>27.03725287890321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8.6083948987982162E-2</v>
      </c>
      <c r="AD83" s="230">
        <f>(INDEX(Models!$BJ83:$BT83,,AH83)*(1-AF83)+INDEX(Models!$BJ83:$BT83,,AH83+1)*AF83-ERP_i)*AE83*Ramure*Pc/MaxiM</f>
        <v>2.596825052424168E-3</v>
      </c>
      <c r="AE83" s="304">
        <f t="shared" si="40"/>
        <v>0.6</v>
      </c>
      <c r="AF83" s="177">
        <f t="shared" si="41"/>
        <v>0.50958269146085167</v>
      </c>
      <c r="AG83" s="799">
        <f t="shared" si="49"/>
        <v>2</v>
      </c>
      <c r="AH83" s="176">
        <f t="shared" si="42"/>
        <v>8</v>
      </c>
      <c r="AI83" s="224">
        <f t="shared" si="43"/>
        <v>2.5095826914608517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'2026'!Wh/'2026'!Env_an*'2027'!Env_an</f>
        <v>14.91415588085092</v>
      </c>
      <c r="C84" s="829"/>
      <c r="D84" s="391">
        <f t="shared" si="25"/>
        <v>15.789508944610608</v>
      </c>
      <c r="E84" s="383">
        <f t="shared" si="47"/>
        <v>16.785022046461933</v>
      </c>
      <c r="F84" s="383">
        <f t="shared" si="26"/>
        <v>16.785126552212308</v>
      </c>
      <c r="G84" s="110">
        <f t="shared" si="48"/>
        <v>0.34881814199748129</v>
      </c>
      <c r="H84" s="412" t="b">
        <f>Wh_hp&gt;='2026'!Maxi_hp</f>
        <v>0</v>
      </c>
      <c r="I84" s="388">
        <f>IF(H84,Wh_hp,'2026'!Maxi_hp)</f>
        <v>33.644561072825525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5.5438903567578635E-2</v>
      </c>
      <c r="M84" s="832"/>
      <c r="N84" s="832"/>
      <c r="O84" s="48">
        <f>IF(t&lt;Tnet,'2026'!Resal+('2026'!Salim-'2026'!Resal)*(1-EXP(('2026'!Tnet-t)/('2026'!Tau_j))),Resal+(Salim-Resal)*(1-EXP((Tnet-t)/(Tau_j))))*Salcycl</f>
        <v>5.9309609430102959E-2</v>
      </c>
      <c r="P84" s="169">
        <f>(INDEX(Models!$BJ84:$BT84,,T84)*(1-R84)+INDEX(Models!$BJ84:$BT84,,T84+1)*R84-ERP_i)*Q84*Ramure*Pc/MaxiM</f>
        <v>8.9222597974404917E-5</v>
      </c>
      <c r="Q84" s="304">
        <f t="shared" si="28"/>
        <v>0.6</v>
      </c>
      <c r="R84" s="177">
        <f t="shared" si="29"/>
        <v>0.98505272909453767</v>
      </c>
      <c r="S84" s="799">
        <f t="shared" si="30"/>
        <v>-2</v>
      </c>
      <c r="T84" s="176">
        <f t="shared" si="31"/>
        <v>4</v>
      </c>
      <c r="U84" s="250">
        <f t="shared" si="32"/>
        <v>-1.0149472709054623</v>
      </c>
      <c r="V84" s="382">
        <f t="shared" si="33"/>
        <v>42.752701923489397</v>
      </c>
      <c r="W84" s="400">
        <f t="shared" si="34"/>
        <v>14.91415588085092</v>
      </c>
      <c r="X84" s="157">
        <f t="shared" si="35"/>
        <v>46457</v>
      </c>
      <c r="Y84" s="383">
        <f t="shared" si="36"/>
        <v>14.486826134486133</v>
      </c>
      <c r="Z84" s="383">
        <f t="shared" si="37"/>
        <v>15.337098033364317</v>
      </c>
      <c r="AA84" s="384">
        <f t="shared" si="38"/>
        <v>16.78221951412069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8.611027162053482E-2</v>
      </c>
      <c r="AD84" s="230">
        <f>(INDEX(Models!$BJ84:$BT84,,AH84)*(1-AF84)+INDEX(Models!$BJ84:$BT84,,AH84+1)*AF84-ERP_i)*AE84*Ramure*Pc/MaxiM</f>
        <v>2.481906402363968E-3</v>
      </c>
      <c r="AE84" s="304">
        <f t="shared" si="40"/>
        <v>0.6</v>
      </c>
      <c r="AF84" s="177">
        <f t="shared" si="41"/>
        <v>0.51004029546851637</v>
      </c>
      <c r="AG84" s="799">
        <f t="shared" si="49"/>
        <v>2</v>
      </c>
      <c r="AH84" s="176">
        <f t="shared" si="42"/>
        <v>8</v>
      </c>
      <c r="AI84" s="224">
        <f t="shared" si="43"/>
        <v>2.5100402954685164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'2026'!Wh/'2026'!Env_an*'2027'!Env_an</f>
        <v>15.522498489921016</v>
      </c>
      <c r="C85" s="829"/>
      <c r="D85" s="391">
        <f t="shared" si="25"/>
        <v>16.433871815591175</v>
      </c>
      <c r="E85" s="383">
        <f t="shared" si="47"/>
        <v>17.471003232293828</v>
      </c>
      <c r="F85" s="383">
        <f t="shared" si="26"/>
        <v>17.471133236215511</v>
      </c>
      <c r="G85" s="110">
        <f t="shared" si="48"/>
        <v>0.36014025875426225</v>
      </c>
      <c r="H85" s="412" t="b">
        <f>Wh_hp&gt;='2026'!Maxi_hp</f>
        <v>0</v>
      </c>
      <c r="I85" s="388">
        <f>IF(H85,Wh_hp,'2026'!Maxi_hp)</f>
        <v>43.401527185164618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5.5457005865502729E-2</v>
      </c>
      <c r="M85" s="832"/>
      <c r="N85" s="832"/>
      <c r="O85" s="48">
        <f>IF(t&lt;Tnet,'2026'!Resal+('2026'!Salim-'2026'!Resal)*(1-EXP(('2026'!Tnet-t)/('2026'!Tau_j))),Resal+(Salim-Resal)*(1-EXP((Tnet-t)/(Tau_j))))*Salcycl</f>
        <v>5.9363014413825591E-2</v>
      </c>
      <c r="P85" s="169">
        <f>(INDEX(Models!$BJ85:$BT85,,T85)*(1-R85)+INDEX(Models!$BJ85:$BT85,,T85+1)*R85-ERP_i)*Q85*Ramure*Pc/MaxiM</f>
        <v>8.6568993482908708E-5</v>
      </c>
      <c r="Q85" s="304">
        <f t="shared" si="28"/>
        <v>0.6</v>
      </c>
      <c r="R85" s="177">
        <f t="shared" si="29"/>
        <v>0.98552862159389298</v>
      </c>
      <c r="S85" s="799">
        <f t="shared" si="30"/>
        <v>-2</v>
      </c>
      <c r="T85" s="176">
        <f t="shared" si="31"/>
        <v>4</v>
      </c>
      <c r="U85" s="250">
        <f t="shared" si="32"/>
        <v>-1.014471378406107</v>
      </c>
      <c r="V85" s="382">
        <f t="shared" si="33"/>
        <v>43.097848242220699</v>
      </c>
      <c r="W85" s="400">
        <f t="shared" si="34"/>
        <v>15.522498489921016</v>
      </c>
      <c r="X85" s="157">
        <f t="shared" si="35"/>
        <v>46458</v>
      </c>
      <c r="Y85" s="383">
        <f t="shared" si="36"/>
        <v>15.077710572746387</v>
      </c>
      <c r="Z85" s="383">
        <f t="shared" si="37"/>
        <v>15.962969040453665</v>
      </c>
      <c r="AA85" s="384">
        <f t="shared" si="38"/>
        <v>17.467568430717581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8.6136739422643702E-2</v>
      </c>
      <c r="AD85" s="230">
        <f>(INDEX(Models!$BJ85:$BT85,,AH85)*(1-AF85)+INDEX(Models!$BJ85:$BT85,,AH85+1)*AF85-ERP_i)*AE85*Ramure*Pc/MaxiM</f>
        <v>2.3737870360135797E-3</v>
      </c>
      <c r="AE85" s="304">
        <f t="shared" si="40"/>
        <v>0.6</v>
      </c>
      <c r="AF85" s="177">
        <f t="shared" si="41"/>
        <v>0.51051618796787146</v>
      </c>
      <c r="AG85" s="799">
        <f t="shared" si="49"/>
        <v>2</v>
      </c>
      <c r="AH85" s="176">
        <f t="shared" si="42"/>
        <v>8</v>
      </c>
      <c r="AI85" s="224">
        <f t="shared" si="43"/>
        <v>2.5105161879678715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'2026'!Wh/'2026'!Env_an*'2027'!Env_an</f>
        <v>8.7039578048261141</v>
      </c>
      <c r="C86" s="829"/>
      <c r="D86" s="391">
        <f t="shared" si="25"/>
        <v>9.2151703749223532</v>
      </c>
      <c r="E86" s="383">
        <f t="shared" si="47"/>
        <v>9.797291150713809</v>
      </c>
      <c r="F86" s="383">
        <f t="shared" si="26"/>
        <v>9.797291150713809</v>
      </c>
      <c r="G86" s="110">
        <f t="shared" si="48"/>
        <v>0.2003401289607927</v>
      </c>
      <c r="H86" s="412" t="b">
        <f>Wh_hp&gt;='2026'!Maxi_hp</f>
        <v>0</v>
      </c>
      <c r="I86" s="388">
        <f>IF(H86,Wh_hp,'2026'!Maxi_hp)</f>
        <v>43.4645843753053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5.5475107816500446E-2</v>
      </c>
      <c r="M86" s="832"/>
      <c r="N86" s="832"/>
      <c r="O86" s="48">
        <f>IF(t&lt;Tnet,'2026'!Resal+('2026'!Salim-'2026'!Resal)*(1-EXP(('2026'!Tnet-t)/('2026'!Tau_j))),Resal+(Salim-Resal)*(1-EXP((Tnet-t)/(Tau_j))))*Salcycl</f>
        <v>5.9416502667581021E-2</v>
      </c>
      <c r="P86" s="169">
        <f>(INDEX(Models!$BJ86:$BT86,,T86)*(1-R86)+INDEX(Models!$BJ86:$BT86,,T86+1)*R86-ERP_i)*Q86*Ramure*Pc/MaxiM</f>
        <v>8.421017122526893E-5</v>
      </c>
      <c r="Q86" s="304">
        <f t="shared" si="28"/>
        <v>0.6</v>
      </c>
      <c r="R86" s="177">
        <f t="shared" si="29"/>
        <v>0.9860234948407387</v>
      </c>
      <c r="S86" s="799">
        <f t="shared" si="30"/>
        <v>-2</v>
      </c>
      <c r="T86" s="176">
        <f t="shared" si="31"/>
        <v>4</v>
      </c>
      <c r="U86" s="250">
        <f t="shared" si="32"/>
        <v>-1.0139765051592613</v>
      </c>
      <c r="V86" s="382">
        <f t="shared" si="33"/>
        <v>43.442244388054107</v>
      </c>
      <c r="W86" s="400">
        <f t="shared" si="34"/>
        <v>8.7039578048261141</v>
      </c>
      <c r="X86" s="157">
        <f t="shared" si="35"/>
        <v>46459</v>
      </c>
      <c r="Y86" s="383">
        <f t="shared" si="36"/>
        <v>8.4564479602393821</v>
      </c>
      <c r="Z86" s="383">
        <f t="shared" si="37"/>
        <v>8.953123448859289</v>
      </c>
      <c r="AA86" s="384">
        <f t="shared" si="38"/>
        <v>9.797291150713809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8.6163378108143313E-2</v>
      </c>
      <c r="AD86" s="230">
        <f>(INDEX(Models!$BJ86:$BT86,,AH86)*(1-AF86)+INDEX(Models!$BJ86:$BT86,,AH86+1)*AF86-ERP_i)*AE86*Ramure*Pc/MaxiM</f>
        <v>2.2731256022280981E-3</v>
      </c>
      <c r="AE86" s="304">
        <f t="shared" si="40"/>
        <v>0.6</v>
      </c>
      <c r="AF86" s="177">
        <f t="shared" si="41"/>
        <v>0.51101106121471762</v>
      </c>
      <c r="AG86" s="799">
        <f t="shared" si="49"/>
        <v>2</v>
      </c>
      <c r="AH86" s="176">
        <f t="shared" si="42"/>
        <v>8</v>
      </c>
      <c r="AI86" s="224">
        <f t="shared" si="43"/>
        <v>2.5110110612147176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'2026'!Wh/'2026'!Env_an*'2027'!Env_an</f>
        <v>14.023882385323981</v>
      </c>
      <c r="C87" s="829"/>
      <c r="D87" s="391">
        <f t="shared" si="25"/>
        <v>14.847836484818519</v>
      </c>
      <c r="E87" s="383">
        <f t="shared" si="47"/>
        <v>15.786671295680057</v>
      </c>
      <c r="F87" s="383">
        <f t="shared" si="26"/>
        <v>15.78670876879632</v>
      </c>
      <c r="G87" s="110">
        <f t="shared" si="48"/>
        <v>0.32026116261277893</v>
      </c>
      <c r="H87" s="412" t="b">
        <f>Wh_hp&gt;='2026'!Maxi_hp</f>
        <v>0</v>
      </c>
      <c r="I87" s="388">
        <f>IF(H87,Wh_hp,'2026'!Maxi_hp)</f>
        <v>41.9627960937136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5.5493209420578338E-2</v>
      </c>
      <c r="M87" s="832"/>
      <c r="N87" s="832"/>
      <c r="O87" s="48">
        <f>IF(t&lt;Tnet,'2026'!Resal+('2026'!Salim-'2026'!Resal)*(1-EXP(('2026'!Tnet-t)/('2026'!Tau_j))),Resal+(Salim-Resal)*(1-EXP((Tnet-t)/(Tau_j))))*Salcycl</f>
        <v>5.9470093047319289E-2</v>
      </c>
      <c r="P87" s="169">
        <f>(INDEX(Models!$BJ87:$BT87,,T87)*(1-R87)+INDEX(Models!$BJ87:$BT87,,T87+1)*R87-ERP_i)*Q87*Ramure*Pc/MaxiM</f>
        <v>8.1906094873925988E-5</v>
      </c>
      <c r="Q87" s="304">
        <f t="shared" si="28"/>
        <v>0.6</v>
      </c>
      <c r="R87" s="177">
        <f t="shared" si="29"/>
        <v>0.98653806407377642</v>
      </c>
      <c r="S87" s="799">
        <f t="shared" si="30"/>
        <v>-2</v>
      </c>
      <c r="T87" s="176">
        <f t="shared" si="31"/>
        <v>4</v>
      </c>
      <c r="U87" s="250">
        <f t="shared" si="32"/>
        <v>-1.0134619359262236</v>
      </c>
      <c r="V87" s="382">
        <f t="shared" si="33"/>
        <v>43.785412241390759</v>
      </c>
      <c r="W87" s="400">
        <f t="shared" si="34"/>
        <v>14.023882385323981</v>
      </c>
      <c r="X87" s="157">
        <f t="shared" si="35"/>
        <v>46460</v>
      </c>
      <c r="Y87" s="383">
        <f t="shared" si="36"/>
        <v>13.624641136684296</v>
      </c>
      <c r="Z87" s="383">
        <f t="shared" si="37"/>
        <v>14.425138360652822</v>
      </c>
      <c r="AA87" s="384">
        <f t="shared" si="38"/>
        <v>15.785712290757035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8.6190214609502713E-2</v>
      </c>
      <c r="AD87" s="230">
        <f>(INDEX(Models!$BJ87:$BT87,,AH87)*(1-AF87)+INDEX(Models!$BJ87:$BT87,,AH87+1)*AF87-ERP_i)*AE87*Ramure*Pc/MaxiM</f>
        <v>2.1780314252864068E-3</v>
      </c>
      <c r="AE87" s="304">
        <f t="shared" si="40"/>
        <v>0.6</v>
      </c>
      <c r="AF87" s="177">
        <f t="shared" si="41"/>
        <v>0.51152563044775512</v>
      </c>
      <c r="AG87" s="799">
        <f t="shared" si="49"/>
        <v>2</v>
      </c>
      <c r="AH87" s="176">
        <f t="shared" si="42"/>
        <v>8</v>
      </c>
      <c r="AI87" s="224">
        <f t="shared" si="43"/>
        <v>2.5115256304477551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'2026'!Wh/'2026'!Env_an*'2027'!Env_an</f>
        <v>13.348283363656297</v>
      </c>
      <c r="C88" s="829"/>
      <c r="D88" s="391">
        <f t="shared" si="25"/>
        <v>14.132814415421656</v>
      </c>
      <c r="E88" s="383">
        <f t="shared" si="47"/>
        <v>15.027296271840775</v>
      </c>
      <c r="F88" s="383">
        <f t="shared" si="26"/>
        <v>15.027300543315517</v>
      </c>
      <c r="G88" s="110">
        <f t="shared" si="48"/>
        <v>0.30247388593636393</v>
      </c>
      <c r="H88" s="412" t="b">
        <f>Wh_hp&gt;='2026'!Maxi_hp</f>
        <v>0</v>
      </c>
      <c r="I88" s="388">
        <f>IF(H88,Wh_hp,'2026'!Maxi_hp)</f>
        <v>33.906662518762403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5.5511310677743175E-2</v>
      </c>
      <c r="M88" s="832"/>
      <c r="N88" s="832"/>
      <c r="O88" s="48">
        <f>IF(t&lt;Tnet,'2026'!Resal+('2026'!Salim-'2026'!Resal)*(1-EXP(('2026'!Tnet-t)/('2026'!Tau_j))),Resal+(Salim-Resal)*(1-EXP((Tnet-t)/(Tau_j))))*Salcycl</f>
        <v>5.9523805230037488E-2</v>
      </c>
      <c r="P88" s="169">
        <f>(INDEX(Models!$BJ88:$BT88,,T88)*(1-R88)+INDEX(Models!$BJ88:$BT88,,T88+1)*R88-ERP_i)*Q88*Ramure*Pc/MaxiM</f>
        <v>7.9656383356569021E-5</v>
      </c>
      <c r="Q88" s="304">
        <f t="shared" si="28"/>
        <v>0.6</v>
      </c>
      <c r="R88" s="177">
        <f t="shared" si="29"/>
        <v>0.98707306800540806</v>
      </c>
      <c r="S88" s="799">
        <f t="shared" si="30"/>
        <v>-2</v>
      </c>
      <c r="T88" s="176">
        <f t="shared" si="31"/>
        <v>4</v>
      </c>
      <c r="U88" s="250">
        <f t="shared" si="32"/>
        <v>-1.0129269319945919</v>
      </c>
      <c r="V88" s="382">
        <f t="shared" si="33"/>
        <v>44.126863515101931</v>
      </c>
      <c r="W88" s="400">
        <f t="shared" si="34"/>
        <v>13.348283363656297</v>
      </c>
      <c r="X88" s="157">
        <f t="shared" si="35"/>
        <v>46461</v>
      </c>
      <c r="Y88" s="383">
        <f t="shared" si="36"/>
        <v>12.969326981130315</v>
      </c>
      <c r="Z88" s="383">
        <f t="shared" si="37"/>
        <v>13.731585277571511</v>
      </c>
      <c r="AA88" s="384">
        <f t="shared" si="38"/>
        <v>15.027188555593392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8.6217276986228705E-2</v>
      </c>
      <c r="AD88" s="230">
        <f>(INDEX(Models!$BJ88:$BT88,,AH88)*(1-AF88)+INDEX(Models!$BJ88:$BT88,,AH88+1)*AF88-ERP_i)*AE88*Ramure*Pc/MaxiM</f>
        <v>2.0883974426975805E-3</v>
      </c>
      <c r="AE88" s="304">
        <f t="shared" si="40"/>
        <v>0.6</v>
      </c>
      <c r="AF88" s="177">
        <f t="shared" si="41"/>
        <v>0.51206063437938676</v>
      </c>
      <c r="AG88" s="799">
        <f t="shared" si="49"/>
        <v>2</v>
      </c>
      <c r="AH88" s="176">
        <f t="shared" si="42"/>
        <v>8</v>
      </c>
      <c r="AI88" s="224">
        <f t="shared" si="43"/>
        <v>2.5120606343793868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'2026'!Wh/'2026'!Env_an*'2027'!Env_an</f>
        <v>13.321609187395877</v>
      </c>
      <c r="C89" s="829"/>
      <c r="D89" s="391">
        <f t="shared" si="25"/>
        <v>14.104842809128012</v>
      </c>
      <c r="E89" s="383">
        <f t="shared" si="47"/>
        <v>14.998413163890177</v>
      </c>
      <c r="F89" s="383">
        <f t="shared" si="26"/>
        <v>14.998413163890177</v>
      </c>
      <c r="G89" s="110">
        <f t="shared" si="48"/>
        <v>0.29956695753064422</v>
      </c>
      <c r="H89" s="412" t="b">
        <f>Wh_hp&gt;='2026'!Maxi_hp</f>
        <v>0</v>
      </c>
      <c r="I89" s="388">
        <f>IF(H89,Wh_hp,'2026'!Maxi_hp)</f>
        <v>50.695816320188271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5.552941158800162E-2</v>
      </c>
      <c r="M89" s="832"/>
      <c r="N89" s="832"/>
      <c r="O89" s="48">
        <f>IF(t&lt;Tnet,'2026'!Resal+('2026'!Salim-'2026'!Resal)*(1-EXP(('2026'!Tnet-t)/('2026'!Tau_j))),Resal+(Salim-Resal)*(1-EXP((Tnet-t)/(Tau_j))))*Salcycl</f>
        <v>5.9577659649589082E-2</v>
      </c>
      <c r="P89" s="169">
        <f>(INDEX(Models!$BJ89:$BT89,,T89)*(1-R89)+INDEX(Models!$BJ89:$BT89,,T89+1)*R89-ERP_i)*Q89*Ramure*Pc/MaxiM</f>
        <v>7.7460558088594103E-5</v>
      </c>
      <c r="Q89" s="304">
        <f t="shared" si="28"/>
        <v>0.6</v>
      </c>
      <c r="R89" s="177">
        <f t="shared" si="29"/>
        <v>0.98762926929817985</v>
      </c>
      <c r="S89" s="799">
        <f t="shared" si="30"/>
        <v>-2</v>
      </c>
      <c r="T89" s="176">
        <f t="shared" si="31"/>
        <v>4</v>
      </c>
      <c r="U89" s="250">
        <f t="shared" si="32"/>
        <v>-1.0123707307018202</v>
      </c>
      <c r="V89" s="382">
        <f t="shared" si="33"/>
        <v>44.466110007312658</v>
      </c>
      <c r="W89" s="400">
        <f t="shared" si="34"/>
        <v>13.321609187395877</v>
      </c>
      <c r="X89" s="157">
        <f t="shared" si="35"/>
        <v>46462</v>
      </c>
      <c r="Y89" s="383">
        <f t="shared" si="36"/>
        <v>12.943857121349696</v>
      </c>
      <c r="Z89" s="383">
        <f t="shared" si="37"/>
        <v>13.704881104993508</v>
      </c>
      <c r="AA89" s="384">
        <f t="shared" si="38"/>
        <v>14.998413163890177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8.6244594328881846E-2</v>
      </c>
      <c r="AD89" s="230">
        <f>(INDEX(Models!$BJ89:$BT89,,AH89)*(1-AF89)+INDEX(Models!$BJ89:$BT89,,AH89+1)*AF89-ERP_i)*AE89*Ramure*Pc/MaxiM</f>
        <v>2.0041170733897185E-3</v>
      </c>
      <c r="AE89" s="304">
        <f t="shared" si="40"/>
        <v>0.6</v>
      </c>
      <c r="AF89" s="177">
        <f t="shared" si="41"/>
        <v>0.51261683567215854</v>
      </c>
      <c r="AG89" s="799">
        <f t="shared" si="49"/>
        <v>2</v>
      </c>
      <c r="AH89" s="176">
        <f t="shared" si="42"/>
        <v>8</v>
      </c>
      <c r="AI89" s="224">
        <f t="shared" si="43"/>
        <v>2.5126168356721585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'2026'!Wh/'2026'!Env_an*'2027'!Env_an</f>
        <v>11.187933490393348</v>
      </c>
      <c r="C90" s="829"/>
      <c r="D90" s="391">
        <f t="shared" si="25"/>
        <v>11.84594633857998</v>
      </c>
      <c r="E90" s="383">
        <f t="shared" si="47"/>
        <v>12.597134605941532</v>
      </c>
      <c r="F90" s="383">
        <f t="shared" si="26"/>
        <v>12.597134605941532</v>
      </c>
      <c r="G90" s="110">
        <f t="shared" si="48"/>
        <v>0.24969700317406782</v>
      </c>
      <c r="H90" s="412" t="b">
        <f>Wh_hp&gt;='2026'!Maxi_hp</f>
        <v>0</v>
      </c>
      <c r="I90" s="388">
        <f>IF(H90,Wh_hp,'2026'!Maxi_hp)</f>
        <v>27.308423529990701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5.5547512151360112E-2</v>
      </c>
      <c r="M90" s="832"/>
      <c r="N90" s="832"/>
      <c r="O90" s="48">
        <f>IF(t&lt;Tnet,'2026'!Resal+('2026'!Salim-'2026'!Resal)*(1-EXP(('2026'!Tnet-t)/('2026'!Tau_j))),Resal+(Salim-Resal)*(1-EXP((Tnet-t)/(Tau_j))))*Salcycl</f>
        <v>5.963167742982186E-2</v>
      </c>
      <c r="P90" s="169">
        <f>(INDEX(Models!$BJ90:$BT90,,T90)*(1-R90)+INDEX(Models!$BJ90:$BT90,,T90+1)*R90-ERP_i)*Q90*Ramure*Pc/MaxiM</f>
        <v>7.5318049359886607E-5</v>
      </c>
      <c r="Q90" s="304">
        <f t="shared" si="28"/>
        <v>0.6</v>
      </c>
      <c r="R90" s="177">
        <f t="shared" si="29"/>
        <v>0.98820745502394414</v>
      </c>
      <c r="S90" s="799">
        <f t="shared" si="30"/>
        <v>-2</v>
      </c>
      <c r="T90" s="176">
        <f t="shared" si="31"/>
        <v>4</v>
      </c>
      <c r="U90" s="250">
        <f t="shared" si="32"/>
        <v>-1.0117925449760559</v>
      </c>
      <c r="V90" s="382">
        <f t="shared" si="33"/>
        <v>44.802663607731731</v>
      </c>
      <c r="W90" s="400">
        <f t="shared" si="34"/>
        <v>11.187933490393348</v>
      </c>
      <c r="X90" s="157">
        <f t="shared" si="35"/>
        <v>46463</v>
      </c>
      <c r="Y90" s="383">
        <f t="shared" si="36"/>
        <v>10.870980706959028</v>
      </c>
      <c r="Z90" s="383">
        <f t="shared" si="37"/>
        <v>11.51035213187054</v>
      </c>
      <c r="AA90" s="384">
        <f t="shared" si="38"/>
        <v>12.597134605941532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8.6272196659580247E-2</v>
      </c>
      <c r="AD90" s="230">
        <f>(INDEX(Models!$BJ90:$BT90,,AH90)*(1-AF90)+INDEX(Models!$BJ90:$BT90,,AH90+1)*AF90-ERP_i)*AE90*Ramure*Pc/MaxiM</f>
        <v>1.9250848608022965E-3</v>
      </c>
      <c r="AE90" s="304">
        <f t="shared" si="40"/>
        <v>0.6</v>
      </c>
      <c r="AF90" s="177">
        <f t="shared" si="41"/>
        <v>0.51319502139792306</v>
      </c>
      <c r="AG90" s="799">
        <f t="shared" si="49"/>
        <v>2</v>
      </c>
      <c r="AH90" s="176">
        <f t="shared" si="42"/>
        <v>8</v>
      </c>
      <c r="AI90" s="224">
        <f t="shared" si="43"/>
        <v>2.5131950213979231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'2026'!Wh/'2026'!Env_an*'2027'!Env_an</f>
        <v>14.463257388463502</v>
      </c>
      <c r="C91" s="829"/>
      <c r="D91" s="391">
        <f t="shared" si="25"/>
        <v>15.314200306412875</v>
      </c>
      <c r="E91" s="383">
        <f t="shared" si="47"/>
        <v>16.286260076104519</v>
      </c>
      <c r="F91" s="383">
        <f t="shared" si="26"/>
        <v>16.286294895433468</v>
      </c>
      <c r="G91" s="110">
        <f t="shared" si="48"/>
        <v>0.32041424937058183</v>
      </c>
      <c r="H91" s="412" t="b">
        <f>Wh_hp&gt;='2026'!Maxi_hp</f>
        <v>0</v>
      </c>
      <c r="I91" s="388">
        <f>IF(H91,Wh_hp,'2026'!Maxi_hp)</f>
        <v>34.112652515484889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5.5565612367825534E-2</v>
      </c>
      <c r="M91" s="832"/>
      <c r="N91" s="832"/>
      <c r="O91" s="48">
        <f>IF(t&lt;Tnet,'2026'!Resal+('2026'!Salim-'2026'!Resal)*(1-EXP(('2026'!Tnet-t)/('2026'!Tau_j))),Resal+(Salim-Resal)*(1-EXP((Tnet-t)/(Tau_j))))*Salcycl</f>
        <v>5.9685880315632968E-2</v>
      </c>
      <c r="P91" s="169">
        <f>(INDEX(Models!$BJ91:$BT91,,T91)*(1-R91)+INDEX(Models!$BJ91:$BT91,,T91+1)*R91-ERP_i)*Q91*Ramure*Pc/MaxiM</f>
        <v>7.3228202471657859E-5</v>
      </c>
      <c r="Q91" s="304">
        <f t="shared" si="28"/>
        <v>0.6</v>
      </c>
      <c r="R91" s="177">
        <f t="shared" si="29"/>
        <v>0.9888084371025696</v>
      </c>
      <c r="S91" s="799">
        <f t="shared" si="30"/>
        <v>-2</v>
      </c>
      <c r="T91" s="176">
        <f t="shared" si="31"/>
        <v>4</v>
      </c>
      <c r="U91" s="250">
        <f t="shared" si="32"/>
        <v>-1.0111915628974304</v>
      </c>
      <c r="V91" s="382">
        <f t="shared" si="33"/>
        <v>45.13603629705969</v>
      </c>
      <c r="W91" s="400">
        <f t="shared" si="34"/>
        <v>14.463257388463502</v>
      </c>
      <c r="X91" s="157">
        <f t="shared" si="35"/>
        <v>46464</v>
      </c>
      <c r="Y91" s="383">
        <f t="shared" si="36"/>
        <v>14.053166227740318</v>
      </c>
      <c r="Z91" s="383">
        <f t="shared" si="37"/>
        <v>14.879981512504557</v>
      </c>
      <c r="AA91" s="384">
        <f t="shared" si="38"/>
        <v>16.285414668442971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8.630011482985385E-2</v>
      </c>
      <c r="AD91" s="230">
        <f>(INDEX(Models!$BJ91:$BT91,,AH91)*(1-AF91)+INDEX(Models!$BJ91:$BT91,,AH91+1)*AF91-ERP_i)*AE91*Ramure*Pc/MaxiM</f>
        <v>1.8511970859726515E-3</v>
      </c>
      <c r="AE91" s="304">
        <f t="shared" si="40"/>
        <v>0.6</v>
      </c>
      <c r="AF91" s="177">
        <f t="shared" si="41"/>
        <v>0.51379600347654808</v>
      </c>
      <c r="AG91" s="799">
        <f t="shared" si="49"/>
        <v>2</v>
      </c>
      <c r="AH91" s="176">
        <f t="shared" si="42"/>
        <v>8</v>
      </c>
      <c r="AI91" s="224">
        <f t="shared" si="43"/>
        <v>2.5137960034765481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'2026'!Wh/'2026'!Env_an*'2027'!Env_an</f>
        <v>27.63275950466447</v>
      </c>
      <c r="C92" s="829"/>
      <c r="D92" s="391">
        <f t="shared" si="25"/>
        <v>29.259088246062422</v>
      </c>
      <c r="E92" s="383">
        <f t="shared" si="47"/>
        <v>31.118092111818303</v>
      </c>
      <c r="F92" s="383">
        <f t="shared" si="26"/>
        <v>31.119066152217659</v>
      </c>
      <c r="G92" s="110">
        <f t="shared" si="48"/>
        <v>0.60774678056490883</v>
      </c>
      <c r="H92" s="412" t="b">
        <f>Wh_hp&gt;='2026'!Maxi_hp</f>
        <v>0</v>
      </c>
      <c r="I92" s="388">
        <f>IF(H92,Wh_hp,'2026'!Maxi_hp)</f>
        <v>46.811989092410982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5.5583712237404326E-2</v>
      </c>
      <c r="M92" s="832"/>
      <c r="N92" s="832"/>
      <c r="O92" s="48">
        <f>IF(t&lt;Tnet,'2026'!Resal+('2026'!Salim-'2026'!Resal)*(1-EXP(('2026'!Tnet-t)/('2026'!Tau_j))),Resal+(Salim-Resal)*(1-EXP((Tnet-t)/(Tau_j))))*Salcycl</f>
        <v>5.9740290602515879E-2</v>
      </c>
      <c r="P92" s="169">
        <f>(INDEX(Models!$BJ92:$BT92,,T92)*(1-R92)+INDEX(Models!$BJ92:$BT92,,T92+1)*R92-ERP_i)*Q92*Ramure*Pc/MaxiM</f>
        <v>7.1190283601295837E-5</v>
      </c>
      <c r="Q92" s="304">
        <f t="shared" si="28"/>
        <v>0.6</v>
      </c>
      <c r="R92" s="177">
        <f t="shared" si="29"/>
        <v>0.98943305271677606</v>
      </c>
      <c r="S92" s="799">
        <f t="shared" si="30"/>
        <v>-2</v>
      </c>
      <c r="T92" s="176">
        <f t="shared" si="31"/>
        <v>4</v>
      </c>
      <c r="U92" s="250">
        <f t="shared" si="32"/>
        <v>-1.0105669472832239</v>
      </c>
      <c r="V92" s="382">
        <f t="shared" si="33"/>
        <v>45.465740152447339</v>
      </c>
      <c r="W92" s="400">
        <f t="shared" si="34"/>
        <v>27.63275950466447</v>
      </c>
      <c r="X92" s="157">
        <f t="shared" si="35"/>
        <v>46465</v>
      </c>
      <c r="Y92" s="383">
        <f t="shared" si="36"/>
        <v>26.831174899314181</v>
      </c>
      <c r="Z92" s="383">
        <f t="shared" si="37"/>
        <v>28.41032630099971</v>
      </c>
      <c r="AA92" s="384">
        <f t="shared" si="38"/>
        <v>31.094679633320045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8.6328380416689304E-2</v>
      </c>
      <c r="AD92" s="230">
        <f>(INDEX(Models!$BJ92:$BT92,,AH92)*(1-AF92)+INDEX(Models!$BJ92:$BT92,,AH92+1)*AF92-ERP_i)*AE92*Ramure*Pc/MaxiM</f>
        <v>1.7823523516264461E-3</v>
      </c>
      <c r="AE92" s="304">
        <f t="shared" si="40"/>
        <v>0.6</v>
      </c>
      <c r="AF92" s="177">
        <f t="shared" si="41"/>
        <v>0.51442061909075498</v>
      </c>
      <c r="AG92" s="799">
        <f t="shared" si="49"/>
        <v>2</v>
      </c>
      <c r="AH92" s="176">
        <f t="shared" si="42"/>
        <v>8</v>
      </c>
      <c r="AI92" s="224">
        <f t="shared" si="43"/>
        <v>2.514420619090755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'2026'!Wh/'2026'!Env_an*'2027'!Env_an</f>
        <v>30.682682445500262</v>
      </c>
      <c r="C93" s="829"/>
      <c r="D93" s="391">
        <f t="shared" si="25"/>
        <v>32.489137344370072</v>
      </c>
      <c r="E93" s="383">
        <f t="shared" si="47"/>
        <v>34.555373522051845</v>
      </c>
      <c r="F93" s="383">
        <f t="shared" si="26"/>
        <v>34.556637531221007</v>
      </c>
      <c r="G93" s="110">
        <f t="shared" si="48"/>
        <v>0.66999062793629249</v>
      </c>
      <c r="H93" s="412" t="b">
        <f>Wh_hp&gt;='2026'!Maxi_hp</f>
        <v>0</v>
      </c>
      <c r="I93" s="388">
        <f>IF(H93,Wh_hp,'2026'!Maxi_hp)</f>
        <v>50.974512464979433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5.560181176010337E-2</v>
      </c>
      <c r="M93" s="832"/>
      <c r="N93" s="832"/>
      <c r="O93" s="48">
        <f>IF(t&lt;Tnet,'2026'!Resal+('2026'!Salim-'2026'!Resal)*(1-EXP(('2026'!Tnet-t)/('2026'!Tau_j))),Resal+(Salim-Resal)*(1-EXP((Tnet-t)/(Tau_j))))*Salcycl</f>
        <v>5.9794931065155078E-2</v>
      </c>
      <c r="P93" s="169">
        <f>(INDEX(Models!$BJ93:$BT93,,T93)*(1-R93)+INDEX(Models!$BJ93:$BT93,,T93+1)*R93-ERP_i)*Q93*Ramure*Pc/MaxiM</f>
        <v>6.9199093928368812E-5</v>
      </c>
      <c r="Q93" s="304">
        <f t="shared" si="28"/>
        <v>0.6</v>
      </c>
      <c r="R93" s="177">
        <f t="shared" si="29"/>
        <v>0.99008216469939758</v>
      </c>
      <c r="S93" s="799">
        <f t="shared" si="30"/>
        <v>-2</v>
      </c>
      <c r="T93" s="176">
        <f t="shared" si="31"/>
        <v>4</v>
      </c>
      <c r="U93" s="250">
        <f t="shared" si="32"/>
        <v>-1.0099178353006024</v>
      </c>
      <c r="V93" s="382">
        <f t="shared" si="33"/>
        <v>45.794195058524423</v>
      </c>
      <c r="W93" s="400">
        <f t="shared" si="34"/>
        <v>30.682682445500262</v>
      </c>
      <c r="X93" s="157">
        <f t="shared" si="35"/>
        <v>46466</v>
      </c>
      <c r="Y93" s="383">
        <f t="shared" si="36"/>
        <v>29.789862176382979</v>
      </c>
      <c r="Z93" s="383">
        <f t="shared" si="37"/>
        <v>31.543751933602543</v>
      </c>
      <c r="AA93" s="384">
        <f t="shared" si="38"/>
        <v>34.525249816455279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8.6357025617573011E-2</v>
      </c>
      <c r="AD93" s="230">
        <f>(INDEX(Models!$BJ93:$BT93,,AH93)*(1-AF93)+INDEX(Models!$BJ93:$BT93,,AH93+1)*AF93-ERP_i)*AE93*Ramure*Pc/MaxiM</f>
        <v>1.7183430905930209E-3</v>
      </c>
      <c r="AE93" s="304">
        <f t="shared" si="40"/>
        <v>0.6</v>
      </c>
      <c r="AF93" s="177">
        <f t="shared" si="41"/>
        <v>0.5150697310733765</v>
      </c>
      <c r="AG93" s="799">
        <f t="shared" si="49"/>
        <v>2</v>
      </c>
      <c r="AH93" s="176">
        <f t="shared" si="42"/>
        <v>8</v>
      </c>
      <c r="AI93" s="224">
        <f t="shared" si="43"/>
        <v>2.5150697310733765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'2026'!Wh/'2026'!Env_an*'2027'!Env_an</f>
        <v>43.433033863386072</v>
      </c>
      <c r="C94" s="829"/>
      <c r="D94" s="391">
        <f t="shared" si="25"/>
        <v>45.991052084156536</v>
      </c>
      <c r="E94" s="383">
        <f t="shared" si="47"/>
        <v>48.918835842965315</v>
      </c>
      <c r="F94" s="383">
        <f t="shared" si="26"/>
        <v>48.921852696838229</v>
      </c>
      <c r="G94" s="110">
        <f t="shared" si="48"/>
        <v>0.94166039994913153</v>
      </c>
      <c r="H94" s="412" t="b">
        <f>Wh_hp&gt;='2026'!Maxi_hp</f>
        <v>0</v>
      </c>
      <c r="I94" s="388">
        <f>IF(H94,Wh_hp,'2026'!Maxi_hp)</f>
        <v>52.150714918937091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5.5619910935929107E-2</v>
      </c>
      <c r="M94" s="832"/>
      <c r="N94" s="832"/>
      <c r="O94" s="48">
        <f>IF(t&lt;Tnet,'2026'!Resal+('2026'!Salim-'2026'!Resal)*(1-EXP(('2026'!Tnet-t)/('2026'!Tau_j))),Resal+(Salim-Resal)*(1-EXP((Tnet-t)/(Tau_j))))*Salcycl</f>
        <v>5.9849824885597806E-2</v>
      </c>
      <c r="P94" s="169">
        <f>(INDEX(Models!$BJ94:$BT94,,T94)*(1-R94)+INDEX(Models!$BJ94:$BT94,,T94+1)*R94-ERP_i)*Q94*Ramure*Pc/MaxiM</f>
        <v>6.7272971036371485E-5</v>
      </c>
      <c r="Q94" s="304">
        <f t="shared" si="28"/>
        <v>0.6</v>
      </c>
      <c r="R94" s="177">
        <f t="shared" si="29"/>
        <v>0.99075666188909794</v>
      </c>
      <c r="S94" s="799">
        <f t="shared" si="30"/>
        <v>-2</v>
      </c>
      <c r="T94" s="176">
        <f t="shared" si="31"/>
        <v>4</v>
      </c>
      <c r="U94" s="250">
        <f t="shared" si="32"/>
        <v>-1.0092433381109021</v>
      </c>
      <c r="V94" s="382">
        <f t="shared" si="33"/>
        <v>46.123624140393545</v>
      </c>
      <c r="W94" s="400">
        <f t="shared" si="34"/>
        <v>43.433033863386072</v>
      </c>
      <c r="X94" s="157">
        <f t="shared" si="35"/>
        <v>46467</v>
      </c>
      <c r="Y94" s="383">
        <f t="shared" si="36"/>
        <v>42.145501279708121</v>
      </c>
      <c r="Z94" s="383">
        <f t="shared" si="37"/>
        <v>44.627689388788866</v>
      </c>
      <c r="AA94" s="384">
        <f t="shared" si="38"/>
        <v>48.847427305429633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8.638608314529847E-2</v>
      </c>
      <c r="AD94" s="230">
        <f>(INDEX(Models!$BJ94:$BT94,,AH94)*(1-AF94)+INDEX(Models!$BJ94:$BT94,,AH94+1)*AF94-ERP_i)*AE94*Ramure*Pc/MaxiM</f>
        <v>1.659615417754572E-3</v>
      </c>
      <c r="AE94" s="304">
        <f t="shared" si="40"/>
        <v>0.6</v>
      </c>
      <c r="AF94" s="177">
        <f t="shared" si="41"/>
        <v>0.51574422826307664</v>
      </c>
      <c r="AG94" s="799">
        <f t="shared" si="49"/>
        <v>2</v>
      </c>
      <c r="AH94" s="176">
        <f t="shared" si="42"/>
        <v>8</v>
      </c>
      <c r="AI94" s="224">
        <f t="shared" si="43"/>
        <v>2.5157442282630766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'2026'!Wh/'2026'!Env_an*'2027'!Env_an</f>
        <v>41.235248053537354</v>
      </c>
      <c r="C95" s="829"/>
      <c r="D95" s="391">
        <f t="shared" si="25"/>
        <v>43.664662999906724</v>
      </c>
      <c r="E95" s="383">
        <f t="shared" si="47"/>
        <v>46.447074811248086</v>
      </c>
      <c r="F95" s="383">
        <f t="shared" si="26"/>
        <v>46.449625117080934</v>
      </c>
      <c r="G95" s="110">
        <f t="shared" si="48"/>
        <v>0.88766271910798011</v>
      </c>
      <c r="H95" s="412" t="b">
        <f>Wh_hp&gt;='2026'!Maxi_hp</f>
        <v>0</v>
      </c>
      <c r="I95" s="388">
        <f>IF(H95,Wh_hp,'2026'!Maxi_hp)</f>
        <v>50.892769880316351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5.5638009764888308E-2</v>
      </c>
      <c r="M95" s="832"/>
      <c r="N95" s="832"/>
      <c r="O95" s="48">
        <f>IF(t&lt;Tnet,'2026'!Resal+('2026'!Salim-'2026'!Resal)*(1-EXP(('2026'!Tnet-t)/('2026'!Tau_j))),Resal+(Salim-Resal)*(1-EXP((Tnet-t)/(Tau_j))))*Salcycl</f>
        <v>5.9904995581498741E-2</v>
      </c>
      <c r="P95" s="169">
        <f>(INDEX(Models!$BJ95:$BT95,,T95)*(1-R95)+INDEX(Models!$BJ95:$BT95,,T95+1)*R95-ERP_i)*Q95*Ramure*Pc/MaxiM</f>
        <v>6.5399294874896421E-5</v>
      </c>
      <c r="Q95" s="304">
        <f t="shared" si="28"/>
        <v>0.6</v>
      </c>
      <c r="R95" s="177">
        <f t="shared" si="29"/>
        <v>0.99145745945027253</v>
      </c>
      <c r="S95" s="799">
        <f t="shared" si="30"/>
        <v>-2</v>
      </c>
      <c r="T95" s="176">
        <f t="shared" si="31"/>
        <v>4</v>
      </c>
      <c r="U95" s="250">
        <f t="shared" si="32"/>
        <v>-1.0085425405497275</v>
      </c>
      <c r="V95" s="382">
        <f t="shared" si="33"/>
        <v>46.45324670922674</v>
      </c>
      <c r="W95" s="400">
        <f t="shared" si="34"/>
        <v>41.235248053537354</v>
      </c>
      <c r="X95" s="157">
        <f t="shared" si="35"/>
        <v>46468</v>
      </c>
      <c r="Y95" s="383">
        <f t="shared" si="36"/>
        <v>40.02068237117868</v>
      </c>
      <c r="Z95" s="383">
        <f t="shared" si="37"/>
        <v>42.378539993138638</v>
      </c>
      <c r="AA95" s="384">
        <f t="shared" si="38"/>
        <v>46.38710922541631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8.6415586123252341E-2</v>
      </c>
      <c r="AD95" s="230">
        <f>(INDEX(Models!$BJ95:$BT95,,AH95)*(1-AF95)+INDEX(Models!$BJ95:$BT95,,AH95+1)*AF95-ERP_i)*AE95*Ramure*Pc/MaxiM</f>
        <v>1.6031391924390755E-3</v>
      </c>
      <c r="AE95" s="304">
        <f t="shared" si="40"/>
        <v>0.6</v>
      </c>
      <c r="AF95" s="177">
        <f t="shared" si="41"/>
        <v>0.51644502582425122</v>
      </c>
      <c r="AG95" s="799">
        <f t="shared" si="49"/>
        <v>2</v>
      </c>
      <c r="AH95" s="176">
        <f t="shared" si="42"/>
        <v>8</v>
      </c>
      <c r="AI95" s="224">
        <f t="shared" si="43"/>
        <v>2.5164450258242512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'2026'!Wh/'2026'!Env_an*'2027'!Env_an</f>
        <v>47.000842573704823</v>
      </c>
      <c r="C96" s="829"/>
      <c r="D96" s="391">
        <f t="shared" si="25"/>
        <v>49.770897004962691</v>
      </c>
      <c r="E96" s="383">
        <f t="shared" si="47"/>
        <v>52.945536069827973</v>
      </c>
      <c r="F96" s="383">
        <f t="shared" si="26"/>
        <v>52.948902458584222</v>
      </c>
      <c r="G96" s="110">
        <f t="shared" si="48"/>
        <v>1.0046718730909365</v>
      </c>
      <c r="H96" s="412" t="b">
        <f>Wh_hp&gt;='2026'!Maxi_hp</f>
        <v>0</v>
      </c>
      <c r="I96" s="388">
        <f>IF(H96,Wh_hp,'2026'!Maxi_hp)</f>
        <v>53.286062169656844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5.5656108246987523E-2</v>
      </c>
      <c r="M96" s="832"/>
      <c r="N96" s="832"/>
      <c r="O96" s="48">
        <f>IF(t&lt;Tnet,'2026'!Resal+('2026'!Salim-'2026'!Resal)*(1-EXP(('2026'!Tnet-t)/('2026'!Tau_j))),Resal+(Salim-Resal)*(1-EXP((Tnet-t)/(Tau_j))))*Salcycl</f>
        <v>5.9960466934896331E-2</v>
      </c>
      <c r="P96" s="169">
        <f>(INDEX(Models!$BJ96:$BT96,,T96)*(1-R96)+INDEX(Models!$BJ96:$BT96,,T96+1)*R96-ERP_i)*Q96*Ramure*Pc/MaxiM</f>
        <v>6.357806488774075E-5</v>
      </c>
      <c r="Q96" s="304">
        <f t="shared" si="28"/>
        <v>0.6</v>
      </c>
      <c r="R96" s="177">
        <f t="shared" si="29"/>
        <v>0.99218549915256715</v>
      </c>
      <c r="S96" s="799">
        <f t="shared" si="30"/>
        <v>-2</v>
      </c>
      <c r="T96" s="176">
        <f t="shared" si="31"/>
        <v>4</v>
      </c>
      <c r="U96" s="250">
        <f t="shared" si="32"/>
        <v>-1.0078145008474328</v>
      </c>
      <c r="V96" s="382">
        <f t="shared" si="33"/>
        <v>46.782281690741229</v>
      </c>
      <c r="W96" s="400">
        <f t="shared" si="34"/>
        <v>47.000842573704823</v>
      </c>
      <c r="X96" s="157">
        <f t="shared" si="35"/>
        <v>46469</v>
      </c>
      <c r="Y96" s="383">
        <f t="shared" si="36"/>
        <v>45.608770910583281</v>
      </c>
      <c r="Z96" s="383">
        <f t="shared" si="37"/>
        <v>48.29678182798262</v>
      </c>
      <c r="AA96" s="384">
        <f t="shared" si="38"/>
        <v>52.866890176744668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8.6445567981836183E-2</v>
      </c>
      <c r="AD96" s="230">
        <f>(INDEX(Models!$BJ96:$BT96,,AH96)*(1-AF96)+INDEX(Models!$BJ96:$BT96,,AH96+1)*AF96-ERP_i)*AE96*Ramure*Pc/MaxiM</f>
        <v>1.5488948407136932E-3</v>
      </c>
      <c r="AE96" s="304">
        <f t="shared" si="40"/>
        <v>0.6</v>
      </c>
      <c r="AF96" s="177">
        <f t="shared" si="41"/>
        <v>0.51717306552654607</v>
      </c>
      <c r="AG96" s="799">
        <f t="shared" si="49"/>
        <v>2</v>
      </c>
      <c r="AH96" s="176">
        <f t="shared" si="42"/>
        <v>8</v>
      </c>
      <c r="AI96" s="224">
        <f t="shared" si="43"/>
        <v>2.5171730655265461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'2026'!Wh/'2026'!Env_an*'2027'!Env_an</f>
        <v>46.228594835057102</v>
      </c>
      <c r="C97" s="829"/>
      <c r="D97" s="391">
        <f t="shared" si="25"/>
        <v>48.954074057378747</v>
      </c>
      <c r="E97" s="383">
        <f t="shared" si="47"/>
        <v>52.079703218645335</v>
      </c>
      <c r="F97" s="383">
        <f t="shared" si="26"/>
        <v>52.08283637646278</v>
      </c>
      <c r="G97" s="110">
        <f t="shared" si="48"/>
        <v>0.98128994443152273</v>
      </c>
      <c r="H97" s="412" t="b">
        <f>Wh_hp&gt;='2026'!Maxi_hp</f>
        <v>0</v>
      </c>
      <c r="I97" s="388">
        <f>IF(H97,Wh_hp,'2026'!Maxi_hp)</f>
        <v>52.432685420203406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5.5674206382233526E-2</v>
      </c>
      <c r="M97" s="832"/>
      <c r="N97" s="832"/>
      <c r="O97" s="48">
        <f>IF(t&lt;Tnet,'2026'!Resal+('2026'!Salim-'2026'!Resal)*(1-EXP(('2026'!Tnet-t)/('2026'!Tau_j))),Resal+(Salim-Resal)*(1-EXP((Tnet-t)/(Tau_j))))*Salcycl</f>
        <v>6.0016262921935515E-2</v>
      </c>
      <c r="P97" s="169">
        <f>(INDEX(Models!$BJ97:$BT97,,T97)*(1-R97)+INDEX(Models!$BJ97:$BT97,,T97+1)*R97-ERP_i)*Q97*Ramure*Pc/MaxiM</f>
        <v>6.1809135752466415E-5</v>
      </c>
      <c r="Q97" s="304">
        <f t="shared" si="28"/>
        <v>0.6</v>
      </c>
      <c r="R97" s="177">
        <f t="shared" si="29"/>
        <v>0.99294174960512693</v>
      </c>
      <c r="S97" s="799">
        <f t="shared" si="30"/>
        <v>-2</v>
      </c>
      <c r="T97" s="176">
        <f t="shared" si="31"/>
        <v>4</v>
      </c>
      <c r="U97" s="250">
        <f t="shared" si="32"/>
        <v>-1.0070582503948731</v>
      </c>
      <c r="V97" s="382">
        <f t="shared" si="33"/>
        <v>47.10994821287423</v>
      </c>
      <c r="W97" s="400">
        <f t="shared" si="34"/>
        <v>46.228594835057102</v>
      </c>
      <c r="X97" s="157">
        <f t="shared" si="35"/>
        <v>46470</v>
      </c>
      <c r="Y97" s="383">
        <f t="shared" si="36"/>
        <v>44.864542833063368</v>
      </c>
      <c r="Z97" s="383">
        <f t="shared" si="37"/>
        <v>47.509602232916592</v>
      </c>
      <c r="AA97" s="384">
        <f t="shared" si="38"/>
        <v>52.006959287215814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8.6476062356615216E-2</v>
      </c>
      <c r="AD97" s="230">
        <f>(INDEX(Models!$BJ97:$BT97,,AH97)*(1-AF97)+INDEX(Models!$BJ97:$BT97,,AH97+1)*AF97-ERP_i)*AE97*Ramure*Pc/MaxiM</f>
        <v>1.4968595848116352E-3</v>
      </c>
      <c r="AE97" s="304">
        <f t="shared" si="40"/>
        <v>0.6</v>
      </c>
      <c r="AF97" s="177">
        <f t="shared" si="41"/>
        <v>0.51792931597910563</v>
      </c>
      <c r="AG97" s="799">
        <f t="shared" si="49"/>
        <v>2</v>
      </c>
      <c r="AH97" s="176">
        <f t="shared" si="42"/>
        <v>8</v>
      </c>
      <c r="AI97" s="224">
        <f t="shared" si="43"/>
        <v>2.5179293159791056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'2026'!Wh/'2026'!Env_an*'2027'!Env_an</f>
        <v>41.139237483633806</v>
      </c>
      <c r="C98" s="829"/>
      <c r="D98" s="391">
        <f t="shared" si="25"/>
        <v>43.565500594064325</v>
      </c>
      <c r="E98" s="383">
        <f t="shared" si="47"/>
        <v>46.34984752906302</v>
      </c>
      <c r="F98" s="383">
        <f t="shared" si="26"/>
        <v>46.352104768587445</v>
      </c>
      <c r="G98" s="110">
        <f t="shared" si="48"/>
        <v>0.86725761340690655</v>
      </c>
      <c r="H98" s="412" t="b">
        <f>Wh_hp&gt;='2026'!Maxi_hp</f>
        <v>1</v>
      </c>
      <c r="I98" s="388">
        <f>IF(H98,Wh_hp,'2026'!Maxi_hp)</f>
        <v>46.352104768587445</v>
      </c>
      <c r="J98" s="85">
        <f>IF(H98,An,'2026'!An_max)</f>
        <v>2027</v>
      </c>
      <c r="K98" s="197">
        <f t="shared" si="27"/>
        <v>46471</v>
      </c>
      <c r="L98" s="147">
        <f>IF(t&lt;Tvie,1-EXP((T0-t)*PertePVj)+'2026'!Pspv,1-EXP((T0-t)*PertePVj)+Pspv)</f>
        <v>5.5692304170632867E-2</v>
      </c>
      <c r="M98" s="832"/>
      <c r="N98" s="832"/>
      <c r="O98" s="48">
        <f>IF(t&lt;Tnet,'2026'!Resal+('2026'!Salim-'2026'!Resal)*(1-EXP(('2026'!Tnet-t)/('2026'!Tau_j))),Resal+(Salim-Resal)*(1-EXP((Tnet-t)/(Tau_j))))*Salcycl</f>
        <v>6.0072407643904494E-2</v>
      </c>
      <c r="P98" s="169">
        <f>(INDEX(Models!$BJ98:$BT98,,T98)*(1-R98)+INDEX(Models!$BJ98:$BT98,,T98+1)*R98-ERP_i)*Q98*Ramure*Pc/MaxiM</f>
        <v>6.0092230879560634E-5</v>
      </c>
      <c r="Q98" s="304">
        <f t="shared" si="28"/>
        <v>0.6</v>
      </c>
      <c r="R98" s="177">
        <f t="shared" si="29"/>
        <v>0.99372720644037416</v>
      </c>
      <c r="S98" s="799">
        <f t="shared" si="30"/>
        <v>-2</v>
      </c>
      <c r="T98" s="176">
        <f t="shared" si="31"/>
        <v>4</v>
      </c>
      <c r="U98" s="250">
        <f t="shared" si="32"/>
        <v>-1.0062727935596258</v>
      </c>
      <c r="V98" s="382">
        <f t="shared" si="33"/>
        <v>47.435465611735381</v>
      </c>
      <c r="W98" s="400">
        <f t="shared" si="34"/>
        <v>41.139237483633806</v>
      </c>
      <c r="X98" s="157">
        <f t="shared" si="35"/>
        <v>46471</v>
      </c>
      <c r="Y98" s="383">
        <f t="shared" si="36"/>
        <v>39.937290565822501</v>
      </c>
      <c r="Z98" s="383">
        <f t="shared" si="37"/>
        <v>42.292666619375957</v>
      </c>
      <c r="AA98" s="384">
        <f t="shared" si="38"/>
        <v>46.297750926960354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8.6507102988714238E-2</v>
      </c>
      <c r="AD98" s="230">
        <f>(INDEX(Models!$BJ98:$BT98,,AH98)*(1-AF98)+INDEX(Models!$BJ98:$BT98,,AH98+1)*AF98-ERP_i)*AE98*Ramure*Pc/MaxiM</f>
        <v>1.4470079780637627E-3</v>
      </c>
      <c r="AE98" s="304">
        <f t="shared" si="40"/>
        <v>0.6</v>
      </c>
      <c r="AF98" s="177">
        <f t="shared" si="41"/>
        <v>0.51871477281435308</v>
      </c>
      <c r="AG98" s="799">
        <f t="shared" si="49"/>
        <v>2</v>
      </c>
      <c r="AH98" s="176">
        <f t="shared" si="42"/>
        <v>8</v>
      </c>
      <c r="AI98" s="224">
        <f t="shared" si="43"/>
        <v>2.5187147728143531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'2026'!Wh/'2026'!Env_an*'2027'!Env_an</f>
        <v>45.539835653880459</v>
      </c>
      <c r="C99" s="829"/>
      <c r="D99" s="391">
        <f t="shared" si="25"/>
        <v>48.226556483975827</v>
      </c>
      <c r="E99" s="383">
        <f t="shared" si="47"/>
        <v>51.311884980939425</v>
      </c>
      <c r="F99" s="383">
        <f t="shared" si="26"/>
        <v>51.314684205221802</v>
      </c>
      <c r="G99" s="110">
        <f t="shared" si="48"/>
        <v>0.9535493140330924</v>
      </c>
      <c r="H99" s="412" t="b">
        <f>Wh_hp&gt;='2026'!Maxi_hp</f>
        <v>0</v>
      </c>
      <c r="I99" s="388">
        <f>IF(H99,Wh_hp,'2026'!Maxi_hp)</f>
        <v>54.664172365947202</v>
      </c>
      <c r="J99" s="85">
        <f>IF(H99,An,'2026'!An_max)</f>
        <v>2018</v>
      </c>
      <c r="K99" s="197">
        <f t="shared" si="27"/>
        <v>46472</v>
      </c>
      <c r="L99" s="147">
        <f>IF(t&lt;Tvie,1-EXP((T0-t)*PertePVj)+'2026'!Pspv,1-EXP((T0-t)*PertePVj)+Pspv)</f>
        <v>5.5710401612192317E-2</v>
      </c>
      <c r="M99" s="832"/>
      <c r="N99" s="832"/>
      <c r="O99" s="48">
        <f>IF(t&lt;Tnet,'2026'!Resal+('2026'!Salim-'2026'!Resal)*(1-EXP(('2026'!Tnet-t)/('2026'!Tau_j))),Resal+(Salim-Resal)*(1-EXP((Tnet-t)/(Tau_j))))*Salcycl</f>
        <v>6.0128925259902148E-2</v>
      </c>
      <c r="P99" s="169">
        <f>(INDEX(Models!$BJ99:$BT99,,T99)*(1-R99)+INDEX(Models!$BJ99:$BT99,,T99+1)*R99-ERP_i)*Q99*Ramure*Pc/MaxiM</f>
        <v>5.8426955461572354E-5</v>
      </c>
      <c r="Q99" s="304">
        <f t="shared" si="28"/>
        <v>0.6</v>
      </c>
      <c r="R99" s="177">
        <f t="shared" si="29"/>
        <v>0.99454289244177785</v>
      </c>
      <c r="S99" s="799">
        <f t="shared" si="30"/>
        <v>-2</v>
      </c>
      <c r="T99" s="176">
        <f t="shared" si="31"/>
        <v>4</v>
      </c>
      <c r="U99" s="250">
        <f t="shared" si="32"/>
        <v>-1.0054571075582222</v>
      </c>
      <c r="V99" s="382">
        <f t="shared" si="33"/>
        <v>47.758053438318271</v>
      </c>
      <c r="W99" s="400">
        <f t="shared" si="34"/>
        <v>45.539835653880459</v>
      </c>
      <c r="X99" s="157">
        <f t="shared" si="35"/>
        <v>46472</v>
      </c>
      <c r="Y99" s="383">
        <f t="shared" si="36"/>
        <v>44.204781343030632</v>
      </c>
      <c r="Z99" s="383">
        <f t="shared" si="37"/>
        <v>46.812737764454646</v>
      </c>
      <c r="AA99" s="384">
        <f t="shared" si="38"/>
        <v>51.247643414481956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8.6538723627905587E-2</v>
      </c>
      <c r="AD99" s="230">
        <f>(INDEX(Models!$BJ99:$BT99,,AH99)*(1-AF99)+INDEX(Models!$BJ99:$BT99,,AH99+1)*AF99-ERP_i)*AE99*Ramure*Pc/MaxiM</f>
        <v>1.3993124164188057E-3</v>
      </c>
      <c r="AE99" s="304">
        <f t="shared" si="40"/>
        <v>0.6</v>
      </c>
      <c r="AF99" s="177">
        <f t="shared" si="41"/>
        <v>0.51953045881575655</v>
      </c>
      <c r="AG99" s="799">
        <f t="shared" si="49"/>
        <v>2</v>
      </c>
      <c r="AH99" s="176">
        <f t="shared" si="42"/>
        <v>8</v>
      </c>
      <c r="AI99" s="224">
        <f t="shared" si="43"/>
        <v>2.5195304588157565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'2026'!Wh/'2026'!Env_an*'2027'!Env_an</f>
        <v>44.027643220931083</v>
      </c>
      <c r="C100" s="829"/>
      <c r="D100" s="391">
        <f t="shared" si="25"/>
        <v>46.626042574238234</v>
      </c>
      <c r="E100" s="383">
        <f t="shared" si="47"/>
        <v>49.611981341437449</v>
      </c>
      <c r="F100" s="383">
        <f t="shared" si="26"/>
        <v>49.614461950129368</v>
      </c>
      <c r="G100" s="110">
        <f t="shared" si="48"/>
        <v>0.91576857780038312</v>
      </c>
      <c r="H100" s="412" t="b">
        <f>Wh_hp&gt;='2026'!Maxi_hp</f>
        <v>0</v>
      </c>
      <c r="I100" s="388">
        <f>IF(H100,Wh_hp,'2026'!Maxi_hp)</f>
        <v>53.82661692337178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5.5728498706918317E-2</v>
      </c>
      <c r="M100" s="832"/>
      <c r="N100" s="832"/>
      <c r="O100" s="48">
        <f>IF(t&lt;Tnet,'2026'!Resal+('2026'!Salim-'2026'!Resal)*(1-EXP(('2026'!Tnet-t)/('2026'!Tau_j))),Resal+(Salim-Resal)*(1-EXP((Tnet-t)/(Tau_j))))*Salcycl</f>
        <v>6.0185839921399559E-2</v>
      </c>
      <c r="P100" s="169">
        <f>(INDEX(Models!$BJ100:$BT100,,T100)*(1-R100)+INDEX(Models!$BJ100:$BT100,,T100+1)*R100-ERP_i)*Q100*Ramure*Pc/MaxiM</f>
        <v>5.6836336203448832E-5</v>
      </c>
      <c r="Q100" s="304">
        <f t="shared" si="28"/>
        <v>0.6</v>
      </c>
      <c r="R100" s="177">
        <f t="shared" si="29"/>
        <v>0.99538985760974241</v>
      </c>
      <c r="S100" s="799">
        <f t="shared" si="30"/>
        <v>-2</v>
      </c>
      <c r="T100" s="176">
        <f t="shared" si="31"/>
        <v>4</v>
      </c>
      <c r="U100" s="250">
        <f t="shared" si="32"/>
        <v>-1.0046101423902576</v>
      </c>
      <c r="V100" s="382">
        <f t="shared" si="33"/>
        <v>48.076930333570836</v>
      </c>
      <c r="W100" s="400">
        <f t="shared" si="34"/>
        <v>44.027643220931083</v>
      </c>
      <c r="X100" s="157">
        <f t="shared" si="35"/>
        <v>46473</v>
      </c>
      <c r="Y100" s="383">
        <f t="shared" si="36"/>
        <v>42.742731721834751</v>
      </c>
      <c r="Z100" s="383">
        <f t="shared" si="37"/>
        <v>45.265298871461248</v>
      </c>
      <c r="AA100" s="384">
        <f t="shared" si="38"/>
        <v>49.555353275516104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8.6570957938755147E-2</v>
      </c>
      <c r="AD100" s="230">
        <f>(INDEX(Models!$BJ100:$BT100,,AH100)*(1-AF100)+INDEX(Models!$BJ100:$BT100,,AH100+1)*AF100-ERP_i)*AE100*Ramure*Pc/MaxiM</f>
        <v>1.3543129610915237E-3</v>
      </c>
      <c r="AE100" s="304">
        <f t="shared" si="40"/>
        <v>0.6</v>
      </c>
      <c r="AF100" s="177">
        <f t="shared" si="41"/>
        <v>0.52037742398372133</v>
      </c>
      <c r="AG100" s="799">
        <f t="shared" si="49"/>
        <v>2</v>
      </c>
      <c r="AH100" s="176">
        <f t="shared" si="42"/>
        <v>8</v>
      </c>
      <c r="AI100" s="224">
        <f t="shared" si="43"/>
        <v>2.5203774239837213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'2026'!Wh/'2026'!Env_an*'2027'!Env_an</f>
        <v>14.177420792709484</v>
      </c>
      <c r="C101" s="829"/>
      <c r="D101" s="391">
        <f t="shared" si="25"/>
        <v>15.014423802409596</v>
      </c>
      <c r="E101" s="383">
        <f t="shared" si="47"/>
        <v>15.976924470578526</v>
      </c>
      <c r="F101" s="383">
        <f t="shared" si="26"/>
        <v>15.976924470578526</v>
      </c>
      <c r="G101" s="110">
        <f t="shared" si="48"/>
        <v>0.29295827415927572</v>
      </c>
      <c r="H101" s="412" t="b">
        <f>Wh_hp&gt;='2026'!Maxi_hp</f>
        <v>0</v>
      </c>
      <c r="I101" s="388">
        <f>IF(H101,Wh_hp,'2026'!Maxi_hp)</f>
        <v>53.283033319082513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5.5746595454817638E-2</v>
      </c>
      <c r="M101" s="832"/>
      <c r="N101" s="832"/>
      <c r="O101" s="48">
        <f>IF(t&lt;Tnet,'2026'!Resal+('2026'!Salim-'2026'!Resal)*(1-EXP(('2026'!Tnet-t)/('2026'!Tau_j))),Resal+(Salim-Resal)*(1-EXP((Tnet-t)/(Tau_j))))*Salcycl</f>
        <v>6.0243175708902752E-2</v>
      </c>
      <c r="P101" s="169">
        <f>(INDEX(Models!$BJ101:$BT101,,T101)*(1-R101)+INDEX(Models!$BJ101:$BT101,,T101+1)*R101-ERP_i)*Q101*Ramure*Pc/MaxiM</f>
        <v>5.5319764132979904E-5</v>
      </c>
      <c r="Q101" s="304">
        <f t="shared" si="28"/>
        <v>0.6</v>
      </c>
      <c r="R101" s="177">
        <f t="shared" si="29"/>
        <v>0.99626917915940671</v>
      </c>
      <c r="S101" s="799">
        <f t="shared" si="30"/>
        <v>-2</v>
      </c>
      <c r="T101" s="176">
        <f t="shared" si="31"/>
        <v>4</v>
      </c>
      <c r="U101" s="250">
        <f t="shared" si="32"/>
        <v>-1.0037308208405933</v>
      </c>
      <c r="V101" s="382">
        <f t="shared" si="33"/>
        <v>48.391316278125167</v>
      </c>
      <c r="W101" s="400">
        <f t="shared" si="34"/>
        <v>14.177420792709484</v>
      </c>
      <c r="X101" s="157">
        <f t="shared" si="35"/>
        <v>46474</v>
      </c>
      <c r="Y101" s="383">
        <f t="shared" si="36"/>
        <v>13.779736825956656</v>
      </c>
      <c r="Z101" s="383">
        <f t="shared" si="37"/>
        <v>14.59326146946108</v>
      </c>
      <c r="AA101" s="384">
        <f t="shared" si="38"/>
        <v>15.976924470578526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8.6603839410110378E-2</v>
      </c>
      <c r="AD101" s="230">
        <f>(INDEX(Models!$BJ101:$BT101,,AH101)*(1-AF101)+INDEX(Models!$BJ101:$BT101,,AH101+1)*AF101-ERP_i)*AE101*Ramure*Pc/MaxiM</f>
        <v>1.3112455965800492E-3</v>
      </c>
      <c r="AE101" s="304">
        <f t="shared" si="40"/>
        <v>0.6</v>
      </c>
      <c r="AF101" s="177">
        <f t="shared" si="41"/>
        <v>0.52125674553338541</v>
      </c>
      <c r="AG101" s="799">
        <f t="shared" si="49"/>
        <v>2</v>
      </c>
      <c r="AH101" s="176">
        <f t="shared" si="42"/>
        <v>8</v>
      </c>
      <c r="AI101" s="224">
        <f t="shared" si="43"/>
        <v>2.5212567455333854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'2026'!Wh/'2026'!Env_an*'2027'!Env_an</f>
        <v>27.210511080643823</v>
      </c>
      <c r="C102" s="829"/>
      <c r="D102" s="391">
        <f t="shared" si="25"/>
        <v>28.817510683990577</v>
      </c>
      <c r="E102" s="383">
        <f t="shared" si="47"/>
        <v>30.6667447258755</v>
      </c>
      <c r="F102" s="383">
        <f t="shared" si="26"/>
        <v>30.667355425714081</v>
      </c>
      <c r="G102" s="110">
        <f t="shared" si="48"/>
        <v>0.55871346689562984</v>
      </c>
      <c r="H102" s="412" t="b">
        <f>Wh_hp&gt;='2026'!Maxi_hp</f>
        <v>0</v>
      </c>
      <c r="I102" s="388">
        <f>IF(H102,Wh_hp,'2026'!Maxi_hp)</f>
        <v>55.473113479022246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5.5764691855896942E-2</v>
      </c>
      <c r="M102" s="832"/>
      <c r="N102" s="832"/>
      <c r="O102" s="48">
        <f>IF(t&lt;Tnet,'2026'!Resal+('2026'!Salim-'2026'!Resal)*(1-EXP(('2026'!Tnet-t)/('2026'!Tau_j))),Resal+(Salim-Resal)*(1-EXP((Tnet-t)/(Tau_j))))*Salcycl</f>
        <v>6.0300956570868328E-2</v>
      </c>
      <c r="P102" s="169">
        <f>(INDEX(Models!$BJ102:$BT102,,T102)*(1-R102)+INDEX(Models!$BJ102:$BT102,,T102+1)*R102-ERP_i)*Q102*Ramure*Pc/MaxiM</f>
        <v>5.3876407468672109E-5</v>
      </c>
      <c r="Q102" s="304">
        <f t="shared" si="28"/>
        <v>0.6</v>
      </c>
      <c r="R102" s="177">
        <f t="shared" si="29"/>
        <v>0.99718196144379312</v>
      </c>
      <c r="S102" s="799">
        <f t="shared" si="30"/>
        <v>-2</v>
      </c>
      <c r="T102" s="176">
        <f t="shared" si="31"/>
        <v>4</v>
      </c>
      <c r="U102" s="250">
        <f t="shared" si="32"/>
        <v>-1.0028180385562069</v>
      </c>
      <c r="V102" s="382">
        <f t="shared" si="33"/>
        <v>48.700431493437584</v>
      </c>
      <c r="W102" s="400">
        <f t="shared" si="34"/>
        <v>27.210511080643823</v>
      </c>
      <c r="X102" s="157">
        <f t="shared" si="35"/>
        <v>46475</v>
      </c>
      <c r="Y102" s="383">
        <f t="shared" si="36"/>
        <v>26.436007198604933</v>
      </c>
      <c r="Z102" s="383">
        <f t="shared" si="37"/>
        <v>27.997266116393142</v>
      </c>
      <c r="AA102" s="384">
        <f t="shared" si="38"/>
        <v>30.652958808763525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8.663740126813263E-2</v>
      </c>
      <c r="AD102" s="230">
        <f>(INDEX(Models!$BJ102:$BT102,,AH102)*(1-AF102)+INDEX(Models!$BJ102:$BT102,,AH102+1)*AF102-ERP_i)*AE102*Ramure*Pc/MaxiM</f>
        <v>1.2700805731368689E-3</v>
      </c>
      <c r="AE102" s="304">
        <f t="shared" si="40"/>
        <v>0.6</v>
      </c>
      <c r="AF102" s="177">
        <f t="shared" si="41"/>
        <v>0.52216952781777159</v>
      </c>
      <c r="AG102" s="799">
        <f t="shared" si="49"/>
        <v>2</v>
      </c>
      <c r="AH102" s="176">
        <f t="shared" si="42"/>
        <v>8</v>
      </c>
      <c r="AI102" s="224">
        <f t="shared" si="43"/>
        <v>2.5221695278177716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'2026'!Wh/'2026'!Env_an*'2027'!Env_an</f>
        <v>7.6295092661027484</v>
      </c>
      <c r="C103" s="829"/>
      <c r="D103" s="391">
        <f t="shared" si="25"/>
        <v>8.0802480281166922</v>
      </c>
      <c r="E103" s="383">
        <f t="shared" si="47"/>
        <v>8.5992946261922452</v>
      </c>
      <c r="F103" s="383">
        <f t="shared" si="26"/>
        <v>8.5992946261922452</v>
      </c>
      <c r="G103" s="110">
        <f t="shared" si="48"/>
        <v>0.15568498634977634</v>
      </c>
      <c r="H103" s="412" t="b">
        <f>Wh_hp&gt;='2026'!Maxi_hp</f>
        <v>0</v>
      </c>
      <c r="I103" s="388">
        <f>IF(H103,Wh_hp,'2026'!Maxi_hp)</f>
        <v>54.228775027955102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5.5782787910162779E-2</v>
      </c>
      <c r="M103" s="832"/>
      <c r="N103" s="832"/>
      <c r="O103" s="48">
        <f>IF(t&lt;Tnet,'2026'!Resal+('2026'!Salim-'2026'!Resal)*(1-EXP(('2026'!Tnet-t)/('2026'!Tau_j))),Resal+(Salim-Resal)*(1-EXP((Tnet-t)/(Tau_j))))*Salcycl</f>
        <v>6.0359206264966193E-2</v>
      </c>
      <c r="P103" s="169">
        <f>(INDEX(Models!$BJ103:$BT103,,T103)*(1-R103)+INDEX(Models!$BJ103:$BT103,,T103+1)*R103-ERP_i)*Q103*Ramure*Pc/MaxiM</f>
        <v>5.2505420236557602E-5</v>
      </c>
      <c r="Q103" s="304">
        <f t="shared" si="28"/>
        <v>0.6</v>
      </c>
      <c r="R103" s="177">
        <f t="shared" si="29"/>
        <v>0.9981293357954113</v>
      </c>
      <c r="S103" s="799">
        <f t="shared" si="30"/>
        <v>-2</v>
      </c>
      <c r="T103" s="176">
        <f t="shared" si="31"/>
        <v>4</v>
      </c>
      <c r="U103" s="250">
        <f t="shared" si="32"/>
        <v>-1.0018706642045887</v>
      </c>
      <c r="V103" s="382">
        <f t="shared" si="33"/>
        <v>49.003496447449784</v>
      </c>
      <c r="W103" s="400">
        <f t="shared" si="34"/>
        <v>7.6295092661027484</v>
      </c>
      <c r="X103" s="157">
        <f t="shared" si="35"/>
        <v>46476</v>
      </c>
      <c r="Y103" s="383">
        <f t="shared" si="36"/>
        <v>7.4158624810819944</v>
      </c>
      <c r="Z103" s="383">
        <f t="shared" si="37"/>
        <v>7.8539793451428999</v>
      </c>
      <c r="AA103" s="384">
        <f t="shared" si="38"/>
        <v>8.5992946261922452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8.6671676392993877E-2</v>
      </c>
      <c r="AD103" s="230">
        <f>(INDEX(Models!$BJ103:$BT103,,AH103)*(1-AF103)+INDEX(Models!$BJ103:$BT103,,AH103+1)*AF103-ERP_i)*AE103*Ramure*Pc/MaxiM</f>
        <v>1.230787436423077E-3</v>
      </c>
      <c r="AE103" s="304">
        <f t="shared" si="40"/>
        <v>0.6</v>
      </c>
      <c r="AF103" s="177">
        <f t="shared" si="41"/>
        <v>0.52311690216939022</v>
      </c>
      <c r="AG103" s="799">
        <f t="shared" si="49"/>
        <v>2</v>
      </c>
      <c r="AH103" s="176">
        <f t="shared" si="42"/>
        <v>8</v>
      </c>
      <c r="AI103" s="224">
        <f t="shared" si="43"/>
        <v>2.5231169021693902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'2026'!Wh/'2026'!Env_an*'2027'!Env_an</f>
        <v>27.175477772191829</v>
      </c>
      <c r="C104" s="829"/>
      <c r="D104" s="391">
        <f t="shared" si="25"/>
        <v>28.781511548445902</v>
      </c>
      <c r="E104" s="383">
        <f t="shared" si="47"/>
        <v>30.632249196782773</v>
      </c>
      <c r="F104" s="383">
        <f t="shared" si="26"/>
        <v>30.632812160416112</v>
      </c>
      <c r="G104" s="110">
        <f t="shared" si="48"/>
        <v>0.55121163162617903</v>
      </c>
      <c r="H104" s="412" t="b">
        <f>Wh_hp&gt;='2026'!Maxi_hp</f>
        <v>0</v>
      </c>
      <c r="I104" s="388">
        <f>IF(H104,Wh_hp,'2026'!Maxi_hp)</f>
        <v>49.948595361830613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5.5800883617621921E-2</v>
      </c>
      <c r="M104" s="832"/>
      <c r="N104" s="832"/>
      <c r="O104" s="48">
        <f>IF(t&lt;Tnet,'2026'!Resal+('2026'!Salim-'2026'!Resal)*(1-EXP(('2026'!Tnet-t)/('2026'!Tau_j))),Resal+(Salim-Resal)*(1-EXP((Tnet-t)/(Tau_j))))*Salcycl</f>
        <v>6.0417948301728003E-2</v>
      </c>
      <c r="P104" s="169">
        <f>(INDEX(Models!$BJ104:$BT104,,T104)*(1-R104)+INDEX(Models!$BJ104:$BT104,,T104+1)*R104-ERP_i)*Q104*Ramure*Pc/MaxiM</f>
        <v>5.120595677716556E-5</v>
      </c>
      <c r="Q104" s="304">
        <f t="shared" si="28"/>
        <v>0.6</v>
      </c>
      <c r="R104" s="177">
        <f t="shared" si="29"/>
        <v>0.99911246027907574</v>
      </c>
      <c r="S104" s="799">
        <f t="shared" si="30"/>
        <v>-2</v>
      </c>
      <c r="T104" s="176">
        <f t="shared" si="31"/>
        <v>4</v>
      </c>
      <c r="U104" s="250">
        <f t="shared" si="32"/>
        <v>-1.0008875397209243</v>
      </c>
      <c r="V104" s="382">
        <f t="shared" si="33"/>
        <v>49.299731855669179</v>
      </c>
      <c r="W104" s="400">
        <f t="shared" si="34"/>
        <v>27.175477772191829</v>
      </c>
      <c r="X104" s="157">
        <f t="shared" si="35"/>
        <v>46477</v>
      </c>
      <c r="Y104" s="383">
        <f t="shared" si="36"/>
        <v>26.404301775179519</v>
      </c>
      <c r="Z104" s="383">
        <f t="shared" si="37"/>
        <v>27.964760098850174</v>
      </c>
      <c r="AA104" s="384">
        <f t="shared" si="38"/>
        <v>30.619692506577746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8.6706697239276292E-2</v>
      </c>
      <c r="AD104" s="230">
        <f>(INDEX(Models!$BJ104:$BT104,,AH104)*(1-AF104)+INDEX(Models!$BJ104:$BT104,,AH104+1)*AF104-ERP_i)*AE104*Ramure*Pc/MaxiM</f>
        <v>1.1933353907623027E-3</v>
      </c>
      <c r="AE104" s="304">
        <f t="shared" si="40"/>
        <v>0.6</v>
      </c>
      <c r="AF104" s="177">
        <f t="shared" si="41"/>
        <v>0.52410002665305422</v>
      </c>
      <c r="AG104" s="799">
        <f t="shared" si="49"/>
        <v>2</v>
      </c>
      <c r="AH104" s="176">
        <f t="shared" si="42"/>
        <v>8</v>
      </c>
      <c r="AI104" s="224">
        <f t="shared" si="43"/>
        <v>2.5241000266530542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'2026'!Wh/'2026'!Env_an*'2027'!Env_an</f>
        <v>31.822652062864666</v>
      </c>
      <c r="C105" s="829"/>
      <c r="D105" s="391">
        <f t="shared" si="25"/>
        <v>33.703973448257493</v>
      </c>
      <c r="E105" s="383">
        <f t="shared" si="47"/>
        <v>35.873502654297155</v>
      </c>
      <c r="F105" s="383">
        <f t="shared" si="26"/>
        <v>35.874378100473955</v>
      </c>
      <c r="G105" s="110">
        <f t="shared" si="48"/>
        <v>0.64171993275915407</v>
      </c>
      <c r="H105" s="412" t="b">
        <f>Wh_hp&gt;='2026'!Maxi_hp</f>
        <v>0</v>
      </c>
      <c r="I105" s="388">
        <f>IF(H105,Wh_hp,'2026'!Maxi_hp)</f>
        <v>50.703405728850484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5.5818978978281031E-2</v>
      </c>
      <c r="M105" s="832"/>
      <c r="N105" s="832"/>
      <c r="O105" s="48">
        <f>IF(t&lt;Tnet,'2026'!Resal+('2026'!Salim-'2026'!Resal)*(1-EXP(('2026'!Tnet-t)/('2026'!Tau_j))),Resal+(Salim-Resal)*(1-EXP((Tnet-t)/(Tau_j))))*Salcycl</f>
        <v>6.0477205890565204E-2</v>
      </c>
      <c r="P105" s="169">
        <f>(INDEX(Models!$BJ105:$BT105,,T105)*(1-R105)+INDEX(Models!$BJ105:$BT105,,T105+1)*R105-ERP_i)*Q105*Ramure*Pc/MaxiM</f>
        <v>4.9986408229945831E-5</v>
      </c>
      <c r="Q105" s="304">
        <f t="shared" si="28"/>
        <v>0.6</v>
      </c>
      <c r="R105" s="177">
        <f t="shared" si="29"/>
        <v>1.325193483608933E-4</v>
      </c>
      <c r="S105" s="799">
        <f t="shared" si="30"/>
        <v>-1</v>
      </c>
      <c r="T105" s="176">
        <f t="shared" si="31"/>
        <v>5</v>
      </c>
      <c r="U105" s="250">
        <f t="shared" si="32"/>
        <v>-0.99986748065163911</v>
      </c>
      <c r="V105" s="382">
        <f t="shared" si="33"/>
        <v>49.588358238434751</v>
      </c>
      <c r="W105" s="400">
        <f t="shared" si="34"/>
        <v>31.822652062864666</v>
      </c>
      <c r="X105" s="157">
        <f t="shared" si="35"/>
        <v>46478</v>
      </c>
      <c r="Y105" s="383">
        <f t="shared" si="36"/>
        <v>30.916290049041343</v>
      </c>
      <c r="Z105" s="383">
        <f t="shared" si="37"/>
        <v>32.744028274987087</v>
      </c>
      <c r="AA105" s="384">
        <f t="shared" si="38"/>
        <v>35.854102619433164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8.674249576003594E-2</v>
      </c>
      <c r="AD105" s="230">
        <f>(INDEX(Models!$BJ105:$BT105,,AH105)*(1-AF105)+INDEX(Models!$BJ105:$BT105,,AH105+1)*AF105-ERP_i)*AE105*Ramure*Pc/MaxiM</f>
        <v>1.1576936415136419E-3</v>
      </c>
      <c r="AE105" s="304">
        <f t="shared" si="40"/>
        <v>0.6</v>
      </c>
      <c r="AF105" s="177">
        <f t="shared" si="41"/>
        <v>0.5251200857223397</v>
      </c>
      <c r="AG105" s="799">
        <f t="shared" si="49"/>
        <v>2</v>
      </c>
      <c r="AH105" s="176">
        <f t="shared" si="42"/>
        <v>8</v>
      </c>
      <c r="AI105" s="224">
        <f t="shared" si="43"/>
        <v>2.5251200857223397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'2026'!Wh/'2026'!Env_an*'2027'!Env_an</f>
        <v>19.865897662937048</v>
      </c>
      <c r="C106" s="829"/>
      <c r="D106" s="391">
        <f t="shared" si="25"/>
        <v>21.040751670831657</v>
      </c>
      <c r="E106" s="383">
        <f t="shared" si="47"/>
        <v>22.396573056222937</v>
      </c>
      <c r="F106" s="383">
        <f t="shared" si="26"/>
        <v>22.39672695134092</v>
      </c>
      <c r="G106" s="110">
        <f t="shared" si="48"/>
        <v>0.39834816006078927</v>
      </c>
      <c r="H106" s="412" t="b">
        <f>Wh_hp&gt;='2026'!Maxi_hp</f>
        <v>0</v>
      </c>
      <c r="I106" s="388">
        <f>IF(H106,Wh_hp,'2026'!Maxi_hp)</f>
        <v>45.942881049826532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5.5837073992146546E-2</v>
      </c>
      <c r="M106" s="832"/>
      <c r="N106" s="832"/>
      <c r="O106" s="48">
        <f>IF(t&lt;Tnet,'2026'!Resal+('2026'!Salim-'2026'!Resal)*(1-EXP(('2026'!Tnet-t)/('2026'!Tau_j))),Resal+(Salim-Resal)*(1-EXP((Tnet-t)/(Tau_j))))*Salcycl</f>
        <v>6.0537001888088575E-2</v>
      </c>
      <c r="P106" s="169">
        <f>(INDEX(Models!$BJ106:$BT106,,T106)*(1-R106)+INDEX(Models!$BJ106:$BT106,,T106+1)*R106-ERP_i)*Q106*Ramure*Pc/MaxiM</f>
        <v>4.8898795558116331E-5</v>
      </c>
      <c r="Q106" s="304">
        <f t="shared" si="28"/>
        <v>0.6</v>
      </c>
      <c r="R106" s="177">
        <f t="shared" si="29"/>
        <v>1.1907233978002418E-3</v>
      </c>
      <c r="S106" s="799">
        <f t="shared" si="30"/>
        <v>-1</v>
      </c>
      <c r="T106" s="176">
        <f t="shared" si="31"/>
        <v>5</v>
      </c>
      <c r="U106" s="250">
        <f t="shared" si="32"/>
        <v>-0.99880927660219976</v>
      </c>
      <c r="V106" s="382">
        <f t="shared" si="33"/>
        <v>49.868594198290545</v>
      </c>
      <c r="W106" s="400">
        <f t="shared" si="34"/>
        <v>19.865897662937048</v>
      </c>
      <c r="X106" s="157">
        <f t="shared" si="35"/>
        <v>46479</v>
      </c>
      <c r="Y106" s="383">
        <f t="shared" si="36"/>
        <v>19.308064857305727</v>
      </c>
      <c r="Z106" s="383">
        <f t="shared" si="37"/>
        <v>20.449929059325427</v>
      </c>
      <c r="AA106" s="384">
        <f t="shared" si="38"/>
        <v>22.393190009113514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8.6779103334416532E-2</v>
      </c>
      <c r="AD106" s="230">
        <f>(INDEX(Models!$BJ106:$BT106,,AH106)*(1-AF106)+INDEX(Models!$BJ106:$BT106,,AH106+1)*AF106-ERP_i)*AE106*Ramure*Pc/MaxiM</f>
        <v>1.1238317182820719E-3</v>
      </c>
      <c r="AE106" s="304">
        <f t="shared" si="40"/>
        <v>0.6</v>
      </c>
      <c r="AF106" s="177">
        <f t="shared" si="41"/>
        <v>0.52617828977177883</v>
      </c>
      <c r="AG106" s="799">
        <f t="shared" si="49"/>
        <v>2</v>
      </c>
      <c r="AH106" s="176">
        <f t="shared" si="42"/>
        <v>8</v>
      </c>
      <c r="AI106" s="224">
        <f t="shared" si="43"/>
        <v>2.5261782897717788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'2026'!Wh/'2026'!Env_an*'2027'!Env_an</f>
        <v>22.101085856511947</v>
      </c>
      <c r="C107" s="829"/>
      <c r="D107" s="391">
        <f t="shared" si="25"/>
        <v>23.408575806241849</v>
      </c>
      <c r="E107" s="383">
        <f t="shared" si="47"/>
        <v>24.918575675983874</v>
      </c>
      <c r="F107" s="383">
        <f t="shared" si="26"/>
        <v>24.918815597933218</v>
      </c>
      <c r="G107" s="110">
        <f t="shared" si="48"/>
        <v>0.44075463225588751</v>
      </c>
      <c r="H107" s="412" t="b">
        <f>Wh_hp&gt;='2026'!Maxi_hp</f>
        <v>0</v>
      </c>
      <c r="I107" s="388">
        <f>IF(H107,Wh_hp,'2026'!Maxi_hp)</f>
        <v>55.561785950469968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5.5855168659225352E-2</v>
      </c>
      <c r="M107" s="832"/>
      <c r="N107" s="832"/>
      <c r="O107" s="48">
        <f>IF(t&lt;Tnet,'2026'!Resal+('2026'!Salim-'2026'!Resal)*(1-EXP(('2026'!Tnet-t)/('2026'!Tau_j))),Resal+(Salim-Resal)*(1-EXP((Tnet-t)/(Tau_j))))*Salcycl</f>
        <v>6.0597358748611663E-2</v>
      </c>
      <c r="P107" s="169">
        <f>(INDEX(Models!$BJ107:$BT107,,T107)*(1-R107)+INDEX(Models!$BJ107:$BT107,,T107+1)*R107-ERP_i)*Q107*Ramure*Pc/MaxiM</f>
        <v>4.7876887993333386E-5</v>
      </c>
      <c r="Q107" s="304">
        <f t="shared" si="28"/>
        <v>0.6</v>
      </c>
      <c r="R107" s="177">
        <f t="shared" si="29"/>
        <v>2.2883082026138313E-3</v>
      </c>
      <c r="S107" s="799">
        <f t="shared" si="30"/>
        <v>-1</v>
      </c>
      <c r="T107" s="176">
        <f t="shared" si="31"/>
        <v>5</v>
      </c>
      <c r="U107" s="250">
        <f t="shared" si="32"/>
        <v>-0.99771169179738617</v>
      </c>
      <c r="V107" s="382">
        <f t="shared" si="33"/>
        <v>50.141822438683327</v>
      </c>
      <c r="W107" s="400">
        <f t="shared" si="34"/>
        <v>22.101085856511947</v>
      </c>
      <c r="X107" s="157">
        <f t="shared" si="35"/>
        <v>46480</v>
      </c>
      <c r="Y107" s="383">
        <f t="shared" si="36"/>
        <v>21.479723838475785</v>
      </c>
      <c r="Z107" s="383">
        <f t="shared" si="37"/>
        <v>22.750454300504462</v>
      </c>
      <c r="AA107" s="384">
        <f t="shared" si="38"/>
        <v>24.913344977846084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8.6816550698629633E-2</v>
      </c>
      <c r="AD107" s="230">
        <f>(INDEX(Models!$BJ107:$BT107,,AH107)*(1-AF107)+INDEX(Models!$BJ107:$BT107,,AH107+1)*AF107-ERP_i)*AE107*Ramure*Pc/MaxiM</f>
        <v>1.0916727956066965E-3</v>
      </c>
      <c r="AE107" s="304">
        <f t="shared" si="40"/>
        <v>0.6</v>
      </c>
      <c r="AF107" s="177">
        <f t="shared" si="41"/>
        <v>0.52727587457659242</v>
      </c>
      <c r="AG107" s="799">
        <f t="shared" si="49"/>
        <v>2</v>
      </c>
      <c r="AH107" s="176">
        <f t="shared" si="42"/>
        <v>8</v>
      </c>
      <c r="AI107" s="224">
        <f t="shared" si="43"/>
        <v>2.5272758745765924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'2026'!Wh/'2026'!Env_an*'2027'!Env_an</f>
        <v>44.489659959922776</v>
      </c>
      <c r="C108" s="829"/>
      <c r="D108" s="391">
        <f t="shared" si="25"/>
        <v>47.122550623156314</v>
      </c>
      <c r="E108" s="383">
        <f t="shared" si="47"/>
        <v>50.165504785679126</v>
      </c>
      <c r="F108" s="383">
        <f t="shared" si="26"/>
        <v>50.167463408720423</v>
      </c>
      <c r="G108" s="110">
        <f t="shared" si="48"/>
        <v>0.88255145092554532</v>
      </c>
      <c r="H108" s="412" t="b">
        <f>Wh_hp&gt;='2026'!Maxi_hp</f>
        <v>0</v>
      </c>
      <c r="I108" s="388">
        <f>IF(H108,Wh_hp,'2026'!Maxi_hp)</f>
        <v>57.558924699627966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5.5873262979523886E-2</v>
      </c>
      <c r="M108" s="832"/>
      <c r="N108" s="832"/>
      <c r="O108" s="48">
        <f>IF(t&lt;Tnet,'2026'!Resal+('2026'!Salim-'2026'!Resal)*(1-EXP(('2026'!Tnet-t)/('2026'!Tau_j))),Resal+(Salim-Resal)*(1-EXP((Tnet-t)/(Tau_j))))*Salcycl</f>
        <v>6.0658298476675372E-2</v>
      </c>
      <c r="P108" s="169">
        <f>(INDEX(Models!$BJ108:$BT108,,T108)*(1-R108)+INDEX(Models!$BJ108:$BT108,,T108+1)*R108-ERP_i)*Q108*Ramure*Pc/MaxiM</f>
        <v>4.6912360905129133E-5</v>
      </c>
      <c r="Q108" s="304">
        <f t="shared" si="28"/>
        <v>0.6</v>
      </c>
      <c r="R108" s="177">
        <f t="shared" si="29"/>
        <v>3.4265342374665275E-3</v>
      </c>
      <c r="S108" s="799">
        <f t="shared" si="30"/>
        <v>-1</v>
      </c>
      <c r="T108" s="176">
        <f t="shared" si="31"/>
        <v>5</v>
      </c>
      <c r="U108" s="250">
        <f t="shared" si="32"/>
        <v>-0.99657346576253347</v>
      </c>
      <c r="V108" s="382">
        <f t="shared" si="33"/>
        <v>50.409876655411018</v>
      </c>
      <c r="W108" s="400">
        <f t="shared" si="34"/>
        <v>44.489659959922776</v>
      </c>
      <c r="X108" s="157">
        <f t="shared" si="35"/>
        <v>46481</v>
      </c>
      <c r="Y108" s="383">
        <f t="shared" si="36"/>
        <v>43.212405091558651</v>
      </c>
      <c r="Z108" s="383">
        <f t="shared" si="37"/>
        <v>45.769708024508013</v>
      </c>
      <c r="AA108" s="384">
        <f t="shared" si="38"/>
        <v>50.123147366782341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8.6854867880053491E-2</v>
      </c>
      <c r="AD108" s="230">
        <f>(INDEX(Models!$BJ108:$BT108,,AH108)*(1-AF108)+INDEX(Models!$BJ108:$BT108,,AH108+1)*AF108-ERP_i)*AE108*Ramure*Pc/MaxiM</f>
        <v>1.0614447545307789E-3</v>
      </c>
      <c r="AE108" s="304">
        <f t="shared" si="40"/>
        <v>0.6</v>
      </c>
      <c r="AF108" s="177">
        <f t="shared" si="41"/>
        <v>0.52841410061144511</v>
      </c>
      <c r="AG108" s="799">
        <f t="shared" si="49"/>
        <v>2</v>
      </c>
      <c r="AH108" s="176">
        <f t="shared" si="42"/>
        <v>8</v>
      </c>
      <c r="AI108" s="224">
        <f t="shared" si="43"/>
        <v>2.5284141006114451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'2026'!Wh/'2026'!Env_an*'2027'!Env_an</f>
        <v>51.051798018680572</v>
      </c>
      <c r="C109" s="829"/>
      <c r="D109" s="391">
        <f t="shared" si="25"/>
        <v>54.074071236038606</v>
      </c>
      <c r="E109" s="383">
        <f t="shared" si="47"/>
        <v>57.569693992736369</v>
      </c>
      <c r="F109" s="383">
        <f t="shared" si="26"/>
        <v>57.572341328599009</v>
      </c>
      <c r="G109" s="110">
        <f t="shared" si="48"/>
        <v>1.007482097951178</v>
      </c>
      <c r="H109" s="412" t="b">
        <f>Wh_hp&gt;='2026'!Maxi_hp</f>
        <v>0</v>
      </c>
      <c r="I109" s="388">
        <f>IF(H109,Wh_hp,'2026'!Maxi_hp)</f>
        <v>59.132284614261103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5.5891356953049032E-2</v>
      </c>
      <c r="M109" s="832"/>
      <c r="N109" s="832"/>
      <c r="O109" s="48">
        <f>IF(t&lt;Tnet,'2026'!Resal+('2026'!Salim-'2026'!Resal)*(1-EXP(('2026'!Tnet-t)/('2026'!Tau_j))),Resal+(Salim-Resal)*(1-EXP((Tnet-t)/(Tau_j))))*Salcycl</f>
        <v>6.0719842581390272E-2</v>
      </c>
      <c r="P109" s="169">
        <f>(INDEX(Models!$BJ109:$BT109,,T109)*(1-R109)+INDEX(Models!$BJ109:$BT109,,T109+1)*R109-ERP_i)*Q109*Ramure*Pc/MaxiM</f>
        <v>4.5982772309548461E-5</v>
      </c>
      <c r="Q109" s="304">
        <f t="shared" si="28"/>
        <v>0.6</v>
      </c>
      <c r="R109" s="177">
        <f t="shared" si="29"/>
        <v>4.6066858654851828E-3</v>
      </c>
      <c r="S109" s="799">
        <f t="shared" si="30"/>
        <v>-1</v>
      </c>
      <c r="T109" s="176">
        <f t="shared" si="31"/>
        <v>5</v>
      </c>
      <c r="U109" s="250">
        <f t="shared" si="32"/>
        <v>-0.99539331413451482</v>
      </c>
      <c r="V109" s="382">
        <f t="shared" si="33"/>
        <v>50.672660211531131</v>
      </c>
      <c r="W109" s="400">
        <f t="shared" si="34"/>
        <v>51.051798018680572</v>
      </c>
      <c r="X109" s="157">
        <f t="shared" si="35"/>
        <v>46482</v>
      </c>
      <c r="Y109" s="383">
        <f t="shared" si="36"/>
        <v>49.580210692658326</v>
      </c>
      <c r="Z109" s="383">
        <f t="shared" si="37"/>
        <v>52.51536574503394</v>
      </c>
      <c r="AA109" s="384">
        <f t="shared" si="38"/>
        <v>57.512896184925232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8.6894084134145913E-2</v>
      </c>
      <c r="AD109" s="230">
        <f>(INDEX(Models!$BJ109:$BT109,,AH109)*(1-AF109)+INDEX(Models!$BJ109:$BT109,,AH109+1)*AF109-ERP_i)*AE109*Ramure*Pc/MaxiM</f>
        <v>1.0325295498143212E-3</v>
      </c>
      <c r="AE109" s="304">
        <f t="shared" si="40"/>
        <v>0.6</v>
      </c>
      <c r="AF109" s="177">
        <f t="shared" si="41"/>
        <v>0.52959425223946388</v>
      </c>
      <c r="AG109" s="799">
        <f t="shared" si="49"/>
        <v>2</v>
      </c>
      <c r="AH109" s="176">
        <f t="shared" si="42"/>
        <v>8</v>
      </c>
      <c r="AI109" s="224">
        <f t="shared" si="43"/>
        <v>2.5295942522394639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'2026'!Wh/'2026'!Env_an*'2027'!Env_an</f>
        <v>11.050493067077621</v>
      </c>
      <c r="C110" s="829"/>
      <c r="D110" s="391">
        <f t="shared" si="25"/>
        <v>11.704908044958412</v>
      </c>
      <c r="E110" s="383">
        <f t="shared" si="47"/>
        <v>12.462397648799772</v>
      </c>
      <c r="F110" s="383">
        <f t="shared" si="26"/>
        <v>12.462397648799772</v>
      </c>
      <c r="G110" s="110">
        <f t="shared" si="48"/>
        <v>0.21696403809365006</v>
      </c>
      <c r="H110" s="412" t="b">
        <f>Wh_hp&gt;='2026'!Maxi_hp</f>
        <v>0</v>
      </c>
      <c r="I110" s="388">
        <f>IF(H110,Wh_hp,'2026'!Maxi_hp)</f>
        <v>59.680123270108488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5.5909450579807229E-2</v>
      </c>
      <c r="M110" s="832"/>
      <c r="N110" s="832"/>
      <c r="O110" s="48">
        <f>IF(t&lt;Tnet,'2026'!Resal+('2026'!Salim-'2026'!Resal)*(1-EXP(('2026'!Tnet-t)/('2026'!Tau_j))),Resal+(Salim-Resal)*(1-EXP((Tnet-t)/(Tau_j))))*Salcycl</f>
        <v>6.0782012032356669E-2</v>
      </c>
      <c r="P110" s="169">
        <f>(INDEX(Models!$BJ110:$BT110,,T110)*(1-R110)+INDEX(Models!$BJ110:$BT110,,T110+1)*R110-ERP_i)*Q110*Ramure*Pc/MaxiM</f>
        <v>4.5087420538408984E-5</v>
      </c>
      <c r="Q110" s="304">
        <f t="shared" si="28"/>
        <v>0.6</v>
      </c>
      <c r="R110" s="177">
        <f t="shared" si="29"/>
        <v>5.8300703885254546E-3</v>
      </c>
      <c r="S110" s="799">
        <f t="shared" si="30"/>
        <v>-1</v>
      </c>
      <c r="T110" s="176">
        <f t="shared" si="31"/>
        <v>5</v>
      </c>
      <c r="U110" s="250">
        <f t="shared" si="32"/>
        <v>-0.99416992961147455</v>
      </c>
      <c r="V110" s="382">
        <f t="shared" si="33"/>
        <v>50.930075444484231</v>
      </c>
      <c r="W110" s="400">
        <f t="shared" si="34"/>
        <v>11.050493067077621</v>
      </c>
      <c r="X110" s="157">
        <f t="shared" si="35"/>
        <v>46483</v>
      </c>
      <c r="Y110" s="383">
        <f t="shared" si="36"/>
        <v>10.742795723481576</v>
      </c>
      <c r="Z110" s="383">
        <f t="shared" si="37"/>
        <v>11.378988731620284</v>
      </c>
      <c r="AA110" s="384">
        <f t="shared" si="38"/>
        <v>12.462397648799772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8.6934227883815662E-2</v>
      </c>
      <c r="AD110" s="230">
        <f>(INDEX(Models!$BJ110:$BT110,,AH110)*(1-AF110)+INDEX(Models!$BJ110:$BT110,,AH110+1)*AF110-ERP_i)*AE110*Ramure*Pc/MaxiM</f>
        <v>1.004898348691998E-3</v>
      </c>
      <c r="AE110" s="304">
        <f t="shared" si="40"/>
        <v>0.6</v>
      </c>
      <c r="AF110" s="177">
        <f t="shared" si="41"/>
        <v>0.53081763676250393</v>
      </c>
      <c r="AG110" s="799">
        <f t="shared" si="49"/>
        <v>2</v>
      </c>
      <c r="AH110" s="176">
        <f t="shared" si="42"/>
        <v>8</v>
      </c>
      <c r="AI110" s="224">
        <f t="shared" si="43"/>
        <v>2.5308176367625039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'2026'!Wh/'2026'!Env_an*'2027'!Env_an</f>
        <v>37.095718094004056</v>
      </c>
      <c r="C111" s="829"/>
      <c r="D111" s="391">
        <f t="shared" si="25"/>
        <v>39.29329560748814</v>
      </c>
      <c r="E111" s="383">
        <f t="shared" si="47"/>
        <v>41.838981188854859</v>
      </c>
      <c r="F111" s="383">
        <f t="shared" si="26"/>
        <v>41.840104068185589</v>
      </c>
      <c r="G111" s="110">
        <f t="shared" si="48"/>
        <v>0.7247675961513772</v>
      </c>
      <c r="H111" s="412" t="b">
        <f>Wh_hp&gt;='2026'!Maxi_hp</f>
        <v>0</v>
      </c>
      <c r="I111" s="388">
        <f>IF(H111,Wh_hp,'2026'!Maxi_hp)</f>
        <v>57.850737846912956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5.592754385980514E-2</v>
      </c>
      <c r="M111" s="832"/>
      <c r="N111" s="832"/>
      <c r="O111" s="48">
        <f>IF(t&lt;Tnet,'2026'!Resal+('2026'!Salim-'2026'!Resal)*(1-EXP(('2026'!Tnet-t)/('2026'!Tau_j))),Resal+(Salim-Resal)*(1-EXP((Tnet-t)/(Tau_j))))*Salcycl</f>
        <v>6.084482721689323E-2</v>
      </c>
      <c r="P111" s="169">
        <f>(INDEX(Models!$BJ111:$BT111,,T111)*(1-R111)+INDEX(Models!$BJ111:$BT111,,T111+1)*R111-ERP_i)*Q111*Ramure*Pc/MaxiM</f>
        <v>4.4225638068058612E-5</v>
      </c>
      <c r="Q111" s="304">
        <f t="shared" si="28"/>
        <v>0.6</v>
      </c>
      <c r="R111" s="177">
        <f t="shared" si="29"/>
        <v>7.0980169494744283E-3</v>
      </c>
      <c r="S111" s="799">
        <f t="shared" si="30"/>
        <v>-1</v>
      </c>
      <c r="T111" s="176">
        <f t="shared" si="31"/>
        <v>5</v>
      </c>
      <c r="U111" s="250">
        <f t="shared" si="32"/>
        <v>-0.99290198305052557</v>
      </c>
      <c r="V111" s="382">
        <f t="shared" si="33"/>
        <v>51.182024754209245</v>
      </c>
      <c r="W111" s="400">
        <f t="shared" si="34"/>
        <v>37.095718094004056</v>
      </c>
      <c r="X111" s="157">
        <f t="shared" si="35"/>
        <v>46484</v>
      </c>
      <c r="Y111" s="383">
        <f t="shared" si="36"/>
        <v>36.043141591973004</v>
      </c>
      <c r="Z111" s="383">
        <f t="shared" si="37"/>
        <v>38.17836370243662</v>
      </c>
      <c r="AA111" s="384">
        <f t="shared" si="38"/>
        <v>41.815259562273923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8.6975326660857111E-2</v>
      </c>
      <c r="AD111" s="230">
        <f>(INDEX(Models!$BJ111:$BT111,,AH111)*(1-AF111)+INDEX(Models!$BJ111:$BT111,,AH111+1)*AF111-ERP_i)*AE111*Ramure*Pc/MaxiM</f>
        <v>9.7852377931841711E-4</v>
      </c>
      <c r="AE111" s="304">
        <f t="shared" si="40"/>
        <v>0.6</v>
      </c>
      <c r="AF111" s="177">
        <f t="shared" si="41"/>
        <v>0.53208558332345302</v>
      </c>
      <c r="AG111" s="799">
        <f t="shared" si="49"/>
        <v>2</v>
      </c>
      <c r="AH111" s="176">
        <f t="shared" si="42"/>
        <v>8</v>
      </c>
      <c r="AI111" s="224">
        <f t="shared" si="43"/>
        <v>2.532085583323453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'2026'!Wh/'2026'!Env_an*'2027'!Env_an</f>
        <v>30.137686939680549</v>
      </c>
      <c r="C112" s="829"/>
      <c r="D112" s="391">
        <f t="shared" si="25"/>
        <v>31.923677400634954</v>
      </c>
      <c r="E112" s="383">
        <f t="shared" si="47"/>
        <v>33.994207029122627</v>
      </c>
      <c r="F112" s="383">
        <f t="shared" si="26"/>
        <v>33.994809806706776</v>
      </c>
      <c r="G112" s="110">
        <f t="shared" si="48"/>
        <v>0.58599737141682828</v>
      </c>
      <c r="H112" s="412" t="b">
        <f>Wh_hp&gt;='2026'!Maxi_hp</f>
        <v>0</v>
      </c>
      <c r="I112" s="388">
        <f>IF(H112,Wh_hp,'2026'!Maxi_hp)</f>
        <v>57.096062387011123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5.5945636793049536E-2</v>
      </c>
      <c r="M112" s="832"/>
      <c r="N112" s="832"/>
      <c r="O112" s="48">
        <f>IF(t&lt;Tnet,'2026'!Resal+('2026'!Salim-'2026'!Resal)*(1-EXP(('2026'!Tnet-t)/('2026'!Tau_j))),Resal+(Salim-Resal)*(1-EXP((Tnet-t)/(Tau_j))))*Salcycl</f>
        <v>6.0908307898279938E-2</v>
      </c>
      <c r="P112" s="169">
        <f>(INDEX(Models!$BJ112:$BT112,,T112)*(1-R112)+INDEX(Models!$BJ112:$BT112,,T112+1)*R112-ERP_i)*Q112*Ramure*Pc/MaxiM</f>
        <v>4.3396793095841492E-5</v>
      </c>
      <c r="Q112" s="304">
        <f t="shared" si="28"/>
        <v>0.6</v>
      </c>
      <c r="R112" s="177">
        <f t="shared" si="29"/>
        <v>8.4118752772179839E-3</v>
      </c>
      <c r="S112" s="799">
        <f t="shared" si="30"/>
        <v>-1</v>
      </c>
      <c r="T112" s="176">
        <f t="shared" si="31"/>
        <v>5</v>
      </c>
      <c r="U112" s="250">
        <f t="shared" si="32"/>
        <v>-0.99158812472278202</v>
      </c>
      <c r="V112" s="382">
        <f t="shared" si="33"/>
        <v>51.428410607547058</v>
      </c>
      <c r="W112" s="400">
        <f t="shared" si="34"/>
        <v>30.137686939680549</v>
      </c>
      <c r="X112" s="157">
        <f t="shared" si="35"/>
        <v>46485</v>
      </c>
      <c r="Y112" s="383">
        <f t="shared" si="36"/>
        <v>29.288889698132692</v>
      </c>
      <c r="Z112" s="383">
        <f t="shared" si="37"/>
        <v>31.024579557726319</v>
      </c>
      <c r="AA112" s="384">
        <f t="shared" si="38"/>
        <v>33.981567444180207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8.7017407049018017E-2</v>
      </c>
      <c r="AD112" s="230">
        <f>(INDEX(Models!$BJ112:$BT112,,AH112)*(1-AF112)+INDEX(Models!$BJ112:$BT112,,AH112+1)*AF112-ERP_i)*AE112*Ramure*Pc/MaxiM</f>
        <v>9.5337995602573814E-4</v>
      </c>
      <c r="AE112" s="304">
        <f t="shared" si="40"/>
        <v>0.6</v>
      </c>
      <c r="AF112" s="177">
        <f t="shared" si="41"/>
        <v>0.53339944165119668</v>
      </c>
      <c r="AG112" s="799">
        <f t="shared" si="49"/>
        <v>2</v>
      </c>
      <c r="AH112" s="176">
        <f t="shared" si="42"/>
        <v>8</v>
      </c>
      <c r="AI112" s="224">
        <f t="shared" si="43"/>
        <v>2.5333994416511967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'2026'!Wh/'2026'!Env_an*'2027'!Env_an</f>
        <v>35.357409366949284</v>
      </c>
      <c r="C113" s="829"/>
      <c r="D113" s="391">
        <f t="shared" si="25"/>
        <v>37.4534437577395</v>
      </c>
      <c r="E113" s="383">
        <f t="shared" si="47"/>
        <v>39.885352332922231</v>
      </c>
      <c r="F113" s="383">
        <f t="shared" si="26"/>
        <v>39.886285186137101</v>
      </c>
      <c r="G113" s="110">
        <f t="shared" si="48"/>
        <v>0.68429110876214705</v>
      </c>
      <c r="H113" s="412" t="b">
        <f>Wh_hp&gt;='2026'!Maxi_hp</f>
        <v>0</v>
      </c>
      <c r="I113" s="388">
        <f>IF(H113,Wh_hp,'2026'!Maxi_hp)</f>
        <v>45.048186570983958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5.5963729379546967E-2</v>
      </c>
      <c r="M113" s="832"/>
      <c r="N113" s="832"/>
      <c r="O113" s="48">
        <f>IF(t&lt;Tnet,'2026'!Resal+('2026'!Salim-'2026'!Resal)*(1-EXP(('2026'!Tnet-t)/('2026'!Tau_j))),Resal+(Salim-Resal)*(1-EXP((Tnet-t)/(Tau_j))))*Salcycl</f>
        <v>6.0972473174704306E-2</v>
      </c>
      <c r="P113" s="169">
        <f>(INDEX(Models!$BJ113:$BT113,,T113)*(1-R113)+INDEX(Models!$BJ113:$BT113,,T113+1)*R113-ERP_i)*Q113*Ramure*Pc/MaxiM</f>
        <v>4.260029122728814E-5</v>
      </c>
      <c r="Q113" s="304">
        <f t="shared" si="28"/>
        <v>0.6</v>
      </c>
      <c r="R113" s="177">
        <f t="shared" si="29"/>
        <v>9.7730142647840523E-3</v>
      </c>
      <c r="S113" s="799">
        <f t="shared" si="30"/>
        <v>-1</v>
      </c>
      <c r="T113" s="176">
        <f t="shared" si="31"/>
        <v>5</v>
      </c>
      <c r="U113" s="250">
        <f t="shared" si="32"/>
        <v>-0.99022698573521595</v>
      </c>
      <c r="V113" s="382">
        <f t="shared" si="33"/>
        <v>51.669135540532679</v>
      </c>
      <c r="W113" s="400">
        <f t="shared" si="34"/>
        <v>35.357409366949284</v>
      </c>
      <c r="X113" s="157">
        <f t="shared" si="35"/>
        <v>46486</v>
      </c>
      <c r="Y113" s="383">
        <f t="shared" si="36"/>
        <v>34.358374368438021</v>
      </c>
      <c r="Z113" s="383">
        <f t="shared" si="37"/>
        <v>36.3951846318961</v>
      </c>
      <c r="AA113" s="384">
        <f t="shared" si="38"/>
        <v>39.865932427884054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8.7060494628249524E-2</v>
      </c>
      <c r="AD113" s="230">
        <f>(INDEX(Models!$BJ113:$BT113,,AH113)*(1-AF113)+INDEX(Models!$BJ113:$BT113,,AH113+1)*AF113-ERP_i)*AE113*Ramure*Pc/MaxiM</f>
        <v>9.2944250503679748E-4</v>
      </c>
      <c r="AE113" s="304">
        <f t="shared" si="40"/>
        <v>0.6</v>
      </c>
      <c r="AF113" s="177">
        <f t="shared" si="41"/>
        <v>0.53476058063876275</v>
      </c>
      <c r="AG113" s="799">
        <f t="shared" si="49"/>
        <v>2</v>
      </c>
      <c r="AH113" s="176">
        <f t="shared" si="42"/>
        <v>8</v>
      </c>
      <c r="AI113" s="224">
        <f t="shared" si="43"/>
        <v>2.5347605806387628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'2026'!Wh/'2026'!Env_an*'2027'!Env_an</f>
        <v>51.701687813502353</v>
      </c>
      <c r="C114" s="829"/>
      <c r="D114" s="391">
        <f t="shared" si="25"/>
        <v>54.767682442501155</v>
      </c>
      <c r="E114" s="383">
        <f t="shared" si="47"/>
        <v>58.327859945368786</v>
      </c>
      <c r="F114" s="383">
        <f t="shared" si="26"/>
        <v>58.330287086673394</v>
      </c>
      <c r="G114" s="110">
        <f t="shared" si="48"/>
        <v>0.99609999989994447</v>
      </c>
      <c r="H114" s="412" t="b">
        <f>Wh_hp&gt;='2026'!Maxi_hp</f>
        <v>0</v>
      </c>
      <c r="I114" s="388">
        <f>IF(H114,Wh_hp,'2026'!Maxi_hp)</f>
        <v>58.330300369076909</v>
      </c>
      <c r="J114" s="85">
        <f>IF(H114,An,'2026'!An_max)</f>
        <v>2026</v>
      </c>
      <c r="K114" s="197">
        <f t="shared" si="27"/>
        <v>46487</v>
      </c>
      <c r="L114" s="147">
        <f>IF(t&lt;Tvie,1-EXP((T0-t)*PertePVj)+'2026'!Pspv,1-EXP((T0-t)*PertePVj)+Pspv)</f>
        <v>5.5981821619304206E-2</v>
      </c>
      <c r="M114" s="832"/>
      <c r="N114" s="832"/>
      <c r="O114" s="48">
        <f>IF(t&lt;Tnet,'2026'!Resal+('2026'!Salim-'2026'!Resal)*(1-EXP(('2026'!Tnet-t)/('2026'!Tau_j))),Resal+(Salim-Resal)*(1-EXP((Tnet-t)/(Tau_j))))*Salcycl</f>
        <v>6.1037341438588279E-2</v>
      </c>
      <c r="P114" s="169">
        <f>(INDEX(Models!$BJ114:$BT114,,T114)*(1-R114)+INDEX(Models!$BJ114:$BT114,,T114+1)*R114-ERP_i)*Q114*Ramure*Pc/MaxiM</f>
        <v>4.184342336738712E-5</v>
      </c>
      <c r="Q114" s="304">
        <f t="shared" si="28"/>
        <v>0.6</v>
      </c>
      <c r="R114" s="177">
        <f t="shared" si="29"/>
        <v>1.1182820371126612E-2</v>
      </c>
      <c r="S114" s="799">
        <f t="shared" si="30"/>
        <v>-1</v>
      </c>
      <c r="T114" s="176">
        <f t="shared" si="31"/>
        <v>5</v>
      </c>
      <c r="U114" s="250">
        <f t="shared" si="32"/>
        <v>-0.98881717962887339</v>
      </c>
      <c r="V114" s="382">
        <f t="shared" si="33"/>
        <v>51.904101762693287</v>
      </c>
      <c r="W114" s="400">
        <f t="shared" si="34"/>
        <v>51.701687813502353</v>
      </c>
      <c r="X114" s="157">
        <f t="shared" si="35"/>
        <v>46487</v>
      </c>
      <c r="Y114" s="383">
        <f t="shared" si="36"/>
        <v>50.223116615897695</v>
      </c>
      <c r="Z114" s="383">
        <f t="shared" si="37"/>
        <v>53.20142955514585</v>
      </c>
      <c r="AA114" s="384">
        <f t="shared" si="38"/>
        <v>58.277684788807264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8.7104613919672239E-2</v>
      </c>
      <c r="AD114" s="230">
        <f>(INDEX(Models!$BJ114:$BT114,,AH114)*(1-AF114)+INDEX(Models!$BJ114:$BT114,,AH114+1)*AF114-ERP_i)*AE114*Ramure*Pc/MaxiM</f>
        <v>9.0685293663418653E-4</v>
      </c>
      <c r="AE114" s="304">
        <f t="shared" si="40"/>
        <v>0.6</v>
      </c>
      <c r="AF114" s="177">
        <f t="shared" si="41"/>
        <v>0.53617038674510509</v>
      </c>
      <c r="AG114" s="799">
        <f t="shared" si="49"/>
        <v>2</v>
      </c>
      <c r="AH114" s="176">
        <f t="shared" si="42"/>
        <v>8</v>
      </c>
      <c r="AI114" s="224">
        <f t="shared" si="43"/>
        <v>2.5361703867451051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'2026'!Wh/'2026'!Env_an*'2027'!Env_an</f>
        <v>42.850767377547982</v>
      </c>
      <c r="C115" s="829"/>
      <c r="D115" s="391">
        <f t="shared" si="25"/>
        <v>45.392757893680098</v>
      </c>
      <c r="E115" s="383">
        <f t="shared" si="47"/>
        <v>48.346894841117354</v>
      </c>
      <c r="F115" s="383">
        <f t="shared" si="26"/>
        <v>48.348376574831256</v>
      </c>
      <c r="G115" s="110">
        <f t="shared" si="48"/>
        <v>0.82193896617924611</v>
      </c>
      <c r="H115" s="412" t="b">
        <f>Wh_hp&gt;='2026'!Maxi_hp</f>
        <v>0</v>
      </c>
      <c r="I115" s="388">
        <f>IF(H115,Wh_hp,'2026'!Maxi_hp)</f>
        <v>59.403908056990687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5.5999913512327693E-2</v>
      </c>
      <c r="M115" s="832"/>
      <c r="N115" s="832"/>
      <c r="O115" s="48">
        <f>IF(t&lt;Tnet,'2026'!Resal+('2026'!Salim-'2026'!Resal)*(1-EXP(('2026'!Tnet-t)/('2026'!Tau_j))),Resal+(Salim-Resal)*(1-EXP((Tnet-t)/(Tau_j))))*Salcycl</f>
        <v>6.1102930335969877E-2</v>
      </c>
      <c r="P115" s="169">
        <f>(INDEX(Models!$BJ115:$BT115,,T115)*(1-R115)+INDEX(Models!$BJ115:$BT115,,T115+1)*R115-ERP_i)*Q115*Ramure*Pc/MaxiM</f>
        <v>4.1101666880868512E-5</v>
      </c>
      <c r="Q115" s="304">
        <f t="shared" si="28"/>
        <v>0.6</v>
      </c>
      <c r="R115" s="177">
        <f t="shared" si="29"/>
        <v>1.264269583702371E-2</v>
      </c>
      <c r="S115" s="799">
        <f t="shared" si="30"/>
        <v>-1</v>
      </c>
      <c r="T115" s="176">
        <f t="shared" si="31"/>
        <v>5</v>
      </c>
      <c r="U115" s="250">
        <f t="shared" si="32"/>
        <v>-0.98735730416297629</v>
      </c>
      <c r="V115" s="382">
        <f t="shared" si="33"/>
        <v>52.133213215829201</v>
      </c>
      <c r="W115" s="400">
        <f t="shared" si="34"/>
        <v>42.850767377547982</v>
      </c>
      <c r="X115" s="157">
        <f t="shared" si="35"/>
        <v>46488</v>
      </c>
      <c r="Y115" s="383">
        <f t="shared" si="36"/>
        <v>41.635785012704453</v>
      </c>
      <c r="Z115" s="383">
        <f t="shared" si="37"/>
        <v>44.105700421721494</v>
      </c>
      <c r="AA115" s="384">
        <f t="shared" si="38"/>
        <v>48.316470608109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8.7149788330789346E-2</v>
      </c>
      <c r="AD115" s="230">
        <f>(INDEX(Models!$BJ115:$BT115,,AH115)*(1-AF115)+INDEX(Models!$BJ115:$BT115,,AH115+1)*AF115-ERP_i)*AE115*Ramure*Pc/MaxiM</f>
        <v>8.8503649706462835E-4</v>
      </c>
      <c r="AE115" s="304">
        <f t="shared" si="40"/>
        <v>0.6</v>
      </c>
      <c r="AF115" s="177">
        <f t="shared" si="41"/>
        <v>0.5376302622110023</v>
      </c>
      <c r="AG115" s="799">
        <f t="shared" si="49"/>
        <v>2</v>
      </c>
      <c r="AH115" s="176">
        <f t="shared" si="42"/>
        <v>8</v>
      </c>
      <c r="AI115" s="224">
        <f t="shared" si="43"/>
        <v>2.5376302622110023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'2026'!Wh/'2026'!Env_an*'2027'!Env_an</f>
        <v>36.597953155726117</v>
      </c>
      <c r="C116" s="829"/>
      <c r="D116" s="391">
        <f t="shared" si="25"/>
        <v>38.76975763504786</v>
      </c>
      <c r="E116" s="383">
        <f t="shared" si="47"/>
        <v>41.295790442300174</v>
      </c>
      <c r="F116" s="383">
        <f t="shared" si="26"/>
        <v>41.29674085413626</v>
      </c>
      <c r="G116" s="110">
        <f t="shared" si="48"/>
        <v>0.6990040735200399</v>
      </c>
      <c r="H116" s="412" t="b">
        <f>Wh_hp&gt;='2026'!Maxi_hp</f>
        <v>0</v>
      </c>
      <c r="I116" s="388">
        <f>IF(H116,Wh_hp,'2026'!Maxi_hp)</f>
        <v>58.857771528976158</v>
      </c>
      <c r="J116" s="85">
        <f>IF(H116,An,'2026'!An_max)</f>
        <v>2018</v>
      </c>
      <c r="K116" s="197">
        <f t="shared" si="27"/>
        <v>46489</v>
      </c>
      <c r="L116" s="147">
        <f>IF(t&lt;Tvie,1-EXP((T0-t)*PertePVj)+'2026'!Pspv,1-EXP((T0-t)*PertePVj)+Pspv)</f>
        <v>5.6018005058624198E-2</v>
      </c>
      <c r="M116" s="832"/>
      <c r="N116" s="832"/>
      <c r="O116" s="48">
        <f>IF(t&lt;Tnet,'2026'!Resal+('2026'!Salim-'2026'!Resal)*(1-EXP(('2026'!Tnet-t)/('2026'!Tau_j))),Resal+(Salim-Resal)*(1-EXP((Tnet-t)/(Tau_j))))*Salcycl</f>
        <v>6.1169256725616392E-2</v>
      </c>
      <c r="P116" s="169">
        <f>(INDEX(Models!$BJ116:$BT116,,T116)*(1-R116)+INDEX(Models!$BJ116:$BT116,,T116+1)*R116-ERP_i)*Q116*Ramure*Pc/MaxiM</f>
        <v>4.0374165601316978E-5</v>
      </c>
      <c r="Q116" s="304">
        <f t="shared" si="28"/>
        <v>0.6</v>
      </c>
      <c r="R116" s="177">
        <f t="shared" si="29"/>
        <v>1.4154056705652063E-2</v>
      </c>
      <c r="S116" s="799">
        <f t="shared" si="30"/>
        <v>-1</v>
      </c>
      <c r="T116" s="176">
        <f t="shared" si="31"/>
        <v>5</v>
      </c>
      <c r="U116" s="250">
        <f t="shared" si="32"/>
        <v>-0.98584594329434794</v>
      </c>
      <c r="V116" s="382">
        <f t="shared" si="33"/>
        <v>52.356372714594855</v>
      </c>
      <c r="W116" s="400">
        <f t="shared" si="34"/>
        <v>36.597953155726117</v>
      </c>
      <c r="X116" s="157">
        <f t="shared" si="35"/>
        <v>46489</v>
      </c>
      <c r="Y116" s="383">
        <f t="shared" si="36"/>
        <v>35.566658810105025</v>
      </c>
      <c r="Z116" s="383">
        <f t="shared" si="37"/>
        <v>37.677263973995423</v>
      </c>
      <c r="AA116" s="384">
        <f t="shared" si="38"/>
        <v>41.27640285230914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8.7196040100484914E-2</v>
      </c>
      <c r="AD116" s="230">
        <f>(INDEX(Models!$BJ116:$BT116,,AH116)*(1-AF116)+INDEX(Models!$BJ116:$BT116,,AH116+1)*AF116-ERP_i)*AE116*Ramure*Pc/MaxiM</f>
        <v>8.6397267225937779E-4</v>
      </c>
      <c r="AE116" s="304">
        <f t="shared" si="40"/>
        <v>0.6</v>
      </c>
      <c r="AF116" s="177">
        <f t="shared" si="41"/>
        <v>0.53914162307963087</v>
      </c>
      <c r="AG116" s="799">
        <f t="shared" si="49"/>
        <v>2</v>
      </c>
      <c r="AH116" s="176">
        <f t="shared" si="42"/>
        <v>8</v>
      </c>
      <c r="AI116" s="224">
        <f t="shared" si="43"/>
        <v>2.5391416230796309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'2026'!Wh/'2026'!Env_an*'2027'!Env_an</f>
        <v>7.8209945305676074</v>
      </c>
      <c r="C117" s="829"/>
      <c r="D117" s="391">
        <f t="shared" si="25"/>
        <v>8.2852686416988952</v>
      </c>
      <c r="E117" s="383">
        <f t="shared" si="47"/>
        <v>8.825723624647873</v>
      </c>
      <c r="F117" s="383">
        <f t="shared" si="26"/>
        <v>8.825723624647873</v>
      </c>
      <c r="G117" s="110">
        <f t="shared" si="48"/>
        <v>0.14875720380079741</v>
      </c>
      <c r="H117" s="412" t="b">
        <f>Wh_hp&gt;='2026'!Maxi_hp</f>
        <v>0</v>
      </c>
      <c r="I117" s="388">
        <f>IF(H117,Wh_hp,'2026'!Maxi_hp)</f>
        <v>58.816606841862637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5.6036096258200385E-2</v>
      </c>
      <c r="M117" s="832"/>
      <c r="N117" s="832"/>
      <c r="O117" s="48">
        <f>IF(t&lt;Tnet,'2026'!Resal+('2026'!Salim-'2026'!Resal)*(1-EXP(('2026'!Tnet-t)/('2026'!Tau_j))),Resal+(Salim-Resal)*(1-EXP((Tnet-t)/(Tau_j))))*Salcycl</f>
        <v>6.1236336637556954E-2</v>
      </c>
      <c r="P117" s="169">
        <f>(INDEX(Models!$BJ117:$BT117,,T117)*(1-R117)+INDEX(Models!$BJ117:$BT117,,T117+1)*R117-ERP_i)*Q117*Ramure*Pc/MaxiM</f>
        <v>3.9660048291776993E-5</v>
      </c>
      <c r="Q117" s="304">
        <f t="shared" si="28"/>
        <v>0.6</v>
      </c>
      <c r="R117" s="177">
        <f t="shared" si="29"/>
        <v>1.571833063857353E-2</v>
      </c>
      <c r="S117" s="799">
        <f t="shared" si="30"/>
        <v>-1</v>
      </c>
      <c r="T117" s="176">
        <f t="shared" si="31"/>
        <v>5</v>
      </c>
      <c r="U117" s="250">
        <f t="shared" si="32"/>
        <v>-0.98428166936142647</v>
      </c>
      <c r="V117" s="382">
        <f t="shared" si="33"/>
        <v>52.573483164012742</v>
      </c>
      <c r="W117" s="400">
        <f t="shared" si="34"/>
        <v>7.8209945305676074</v>
      </c>
      <c r="X117" s="157">
        <f t="shared" si="35"/>
        <v>46490</v>
      </c>
      <c r="Y117" s="383">
        <f t="shared" si="36"/>
        <v>7.6043254881393558</v>
      </c>
      <c r="Z117" s="383">
        <f t="shared" si="37"/>
        <v>8.0557375742826611</v>
      </c>
      <c r="AA117" s="384">
        <f t="shared" si="38"/>
        <v>8.825723624647873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8.7243390243361835E-2</v>
      </c>
      <c r="AD117" s="230">
        <f>(INDEX(Models!$BJ117:$BT117,,AH117)*(1-AF117)+INDEX(Models!$BJ117:$BT117,,AH117+1)*AF117-ERP_i)*AE117*Ramure*Pc/MaxiM</f>
        <v>8.4364172637305579E-4</v>
      </c>
      <c r="AE117" s="304">
        <f t="shared" si="40"/>
        <v>0.6</v>
      </c>
      <c r="AF117" s="177">
        <f t="shared" si="41"/>
        <v>0.54070589701255223</v>
      </c>
      <c r="AG117" s="799">
        <f t="shared" si="49"/>
        <v>2</v>
      </c>
      <c r="AH117" s="176">
        <f t="shared" si="42"/>
        <v>8</v>
      </c>
      <c r="AI117" s="224">
        <f t="shared" si="43"/>
        <v>2.5407058970125522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'2026'!Wh/'2026'!Env_an*'2027'!Env_an</f>
        <v>39.585566376839687</v>
      </c>
      <c r="C118" s="829"/>
      <c r="D118" s="391">
        <f t="shared" si="25"/>
        <v>41.936269896349707</v>
      </c>
      <c r="E118" s="383">
        <f t="shared" si="47"/>
        <v>44.675036616263128</v>
      </c>
      <c r="F118" s="383">
        <f t="shared" si="26"/>
        <v>44.676155386888944</v>
      </c>
      <c r="G118" s="110">
        <f t="shared" si="48"/>
        <v>0.74993709861608426</v>
      </c>
      <c r="H118" s="412" t="b">
        <f>Wh_hp&gt;='2026'!Maxi_hp</f>
        <v>0</v>
      </c>
      <c r="I118" s="388">
        <f>IF(H118,Wh_hp,'2026'!Maxi_hp)</f>
        <v>59.036177217934771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5.6054187111062803E-2</v>
      </c>
      <c r="M118" s="832"/>
      <c r="N118" s="832"/>
      <c r="O118" s="48">
        <f>IF(t&lt;Tnet,'2026'!Resal+('2026'!Salim-'2026'!Resal)*(1-EXP(('2026'!Tnet-t)/('2026'!Tau_j))),Resal+(Salim-Resal)*(1-EXP((Tnet-t)/(Tau_j))))*Salcycl</f>
        <v>6.1304185230738599E-2</v>
      </c>
      <c r="P118" s="169">
        <f>(INDEX(Models!$BJ118:$BT118,,T118)*(1-R118)+INDEX(Models!$BJ118:$BT118,,T118+1)*R118-ERP_i)*Q118*Ramure*Pc/MaxiM</f>
        <v>3.8958428032265985E-5</v>
      </c>
      <c r="Q118" s="304">
        <f t="shared" si="28"/>
        <v>0.6</v>
      </c>
      <c r="R118" s="177">
        <f t="shared" si="29"/>
        <v>1.7336954518137104E-2</v>
      </c>
      <c r="S118" s="799">
        <f t="shared" si="30"/>
        <v>-1</v>
      </c>
      <c r="T118" s="176">
        <f t="shared" si="31"/>
        <v>5</v>
      </c>
      <c r="U118" s="250">
        <f t="shared" si="32"/>
        <v>-0.9826630454818629</v>
      </c>
      <c r="V118" s="382">
        <f t="shared" si="33"/>
        <v>52.784447572803792</v>
      </c>
      <c r="W118" s="400">
        <f t="shared" si="34"/>
        <v>39.585566376839687</v>
      </c>
      <c r="X118" s="157">
        <f t="shared" si="35"/>
        <v>46491</v>
      </c>
      <c r="Y118" s="383">
        <f t="shared" si="36"/>
        <v>38.470221661442729</v>
      </c>
      <c r="Z118" s="383">
        <f t="shared" si="37"/>
        <v>40.754692839523258</v>
      </c>
      <c r="AA118" s="384">
        <f t="shared" si="38"/>
        <v>44.652491838444604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8.7291858493000002E-2</v>
      </c>
      <c r="AD118" s="230">
        <f>(INDEX(Models!$BJ118:$BT118,,AH118)*(1-AF118)+INDEX(Models!$BJ118:$BT118,,AH118+1)*AF118-ERP_i)*AE118*Ramure*Pc/MaxiM</f>
        <v>8.2402471765118742E-4</v>
      </c>
      <c r="AE118" s="304">
        <f t="shared" si="40"/>
        <v>0.6</v>
      </c>
      <c r="AF118" s="177">
        <f t="shared" si="41"/>
        <v>0.54232452089211591</v>
      </c>
      <c r="AG118" s="799">
        <f t="shared" si="49"/>
        <v>2</v>
      </c>
      <c r="AH118" s="176">
        <f t="shared" si="42"/>
        <v>8</v>
      </c>
      <c r="AI118" s="224">
        <f t="shared" si="43"/>
        <v>2.5423245208921159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'2026'!Wh/'2026'!Env_an*'2027'!Env_an</f>
        <v>43.196086250419427</v>
      </c>
      <c r="C119" s="829"/>
      <c r="D119" s="391">
        <f t="shared" si="25"/>
        <v>45.762069728578787</v>
      </c>
      <c r="E119" s="383">
        <f t="shared" si="47"/>
        <v>48.754255731338191</v>
      </c>
      <c r="F119" s="383">
        <f t="shared" si="26"/>
        <v>48.755628925704691</v>
      </c>
      <c r="G119" s="110">
        <f t="shared" si="48"/>
        <v>0.8151788483768444</v>
      </c>
      <c r="H119" s="412" t="b">
        <f>Wh_hp&gt;='2026'!Maxi_hp</f>
        <v>0</v>
      </c>
      <c r="I119" s="388">
        <f>IF(H119,Wh_hp,'2026'!Maxi_hp)</f>
        <v>59.816550107721071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5.6072277617218114E-2</v>
      </c>
      <c r="M119" s="832"/>
      <c r="N119" s="832"/>
      <c r="O119" s="48">
        <f>IF(t&lt;Tnet,'2026'!Resal+('2026'!Salim-'2026'!Resal)*(1-EXP(('2026'!Tnet-t)/('2026'!Tau_j))),Resal+(Salim-Resal)*(1-EXP((Tnet-t)/(Tau_j))))*Salcycl</f>
        <v>6.1372816749535319E-2</v>
      </c>
      <c r="P119" s="169">
        <f>(INDEX(Models!$BJ119:$BT119,,T119)*(1-R119)+INDEX(Models!$BJ119:$BT119,,T119+1)*R119-ERP_i)*Q119*Ramure*Pc/MaxiM</f>
        <v>3.8268401588948151E-5</v>
      </c>
      <c r="Q119" s="304">
        <f t="shared" si="28"/>
        <v>0.6</v>
      </c>
      <c r="R119" s="177">
        <f t="shared" si="29"/>
        <v>1.9011371827668655E-2</v>
      </c>
      <c r="S119" s="799">
        <f t="shared" si="30"/>
        <v>-1</v>
      </c>
      <c r="T119" s="176">
        <f t="shared" si="31"/>
        <v>5</v>
      </c>
      <c r="U119" s="250">
        <f t="shared" si="32"/>
        <v>-0.98098862817233135</v>
      </c>
      <c r="V119" s="382">
        <f t="shared" si="33"/>
        <v>52.989169051320879</v>
      </c>
      <c r="W119" s="400">
        <f t="shared" si="34"/>
        <v>43.196086250419427</v>
      </c>
      <c r="X119" s="157">
        <f t="shared" si="35"/>
        <v>46492</v>
      </c>
      <c r="Y119" s="383">
        <f t="shared" si="36"/>
        <v>41.977291278703767</v>
      </c>
      <c r="Z119" s="383">
        <f t="shared" si="37"/>
        <v>44.470874499521393</v>
      </c>
      <c r="AA119" s="384">
        <f t="shared" si="38"/>
        <v>48.726739200379271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8.7341463243753192E-2</v>
      </c>
      <c r="AD119" s="230">
        <f>(INDEX(Models!$BJ119:$BT119,,AH119)*(1-AF119)+INDEX(Models!$BJ119:$BT119,,AH119+1)*AF119-ERP_i)*AE119*Ramure*Pc/MaxiM</f>
        <v>8.0510351449190887E-4</v>
      </c>
      <c r="AE119" s="304">
        <f t="shared" si="40"/>
        <v>0.6</v>
      </c>
      <c r="AF119" s="177">
        <f t="shared" si="41"/>
        <v>0.54399893820164724</v>
      </c>
      <c r="AG119" s="799">
        <f t="shared" si="49"/>
        <v>2</v>
      </c>
      <c r="AH119" s="176">
        <f t="shared" si="42"/>
        <v>8</v>
      </c>
      <c r="AI119" s="224">
        <f t="shared" si="43"/>
        <v>2.5439989382016472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'2026'!Wh/'2026'!Env_an*'2027'!Env_an</f>
        <v>44.818745711573989</v>
      </c>
      <c r="C120" s="829"/>
      <c r="D120" s="391">
        <f t="shared" si="25"/>
        <v>47.482030251143762</v>
      </c>
      <c r="E120" s="383">
        <f t="shared" si="47"/>
        <v>50.590419153032883</v>
      </c>
      <c r="F120" s="383">
        <f t="shared" si="26"/>
        <v>50.591893392005467</v>
      </c>
      <c r="G120" s="110">
        <f t="shared" si="48"/>
        <v>0.84264769337768541</v>
      </c>
      <c r="H120" s="412" t="b">
        <f>Wh_hp&gt;='2026'!Maxi_hp</f>
        <v>0</v>
      </c>
      <c r="I120" s="388">
        <f>IF(H120,Wh_hp,'2026'!Maxi_hp)</f>
        <v>51.884062779817704</v>
      </c>
      <c r="J120" s="85">
        <f>IF(H120,An,'2026'!An_max)</f>
        <v>2021</v>
      </c>
      <c r="K120" s="197">
        <f t="shared" si="27"/>
        <v>46493</v>
      </c>
      <c r="L120" s="147">
        <f>IF(t&lt;Tvie,1-EXP((T0-t)*PertePVj)+'2026'!Pspv,1-EXP((T0-t)*PertePVj)+Pspv)</f>
        <v>5.6090367776673089E-2</v>
      </c>
      <c r="M120" s="832"/>
      <c r="N120" s="832"/>
      <c r="O120" s="48">
        <f>IF(t&lt;Tnet,'2026'!Resal+('2026'!Salim-'2026'!Resal)*(1-EXP(('2026'!Tnet-t)/('2026'!Tau_j))),Resal+(Salim-Resal)*(1-EXP((Tnet-t)/(Tau_j))))*Salcycl</f>
        <v>6.1442244478869389E-2</v>
      </c>
      <c r="P120" s="169">
        <f>(INDEX(Models!$BJ120:$BT120,,T120)*(1-R120)+INDEX(Models!$BJ120:$BT120,,T120+1)*R120-ERP_i)*Q120*Ramure*Pc/MaxiM</f>
        <v>3.75890487417819E-5</v>
      </c>
      <c r="Q120" s="304">
        <f t="shared" si="28"/>
        <v>0.6</v>
      </c>
      <c r="R120" s="177">
        <f t="shared" si="29"/>
        <v>2.0743029801311041E-2</v>
      </c>
      <c r="S120" s="799">
        <f t="shared" si="30"/>
        <v>-1</v>
      </c>
      <c r="T120" s="176">
        <f t="shared" si="31"/>
        <v>5</v>
      </c>
      <c r="U120" s="250">
        <f t="shared" si="32"/>
        <v>-0.97925697019868896</v>
      </c>
      <c r="V120" s="382">
        <f t="shared" si="33"/>
        <v>53.187550822484837</v>
      </c>
      <c r="W120" s="400">
        <f t="shared" si="34"/>
        <v>44.818745711573989</v>
      </c>
      <c r="X120" s="157">
        <f t="shared" si="35"/>
        <v>46493</v>
      </c>
      <c r="Y120" s="383">
        <f t="shared" si="36"/>
        <v>43.554248082091682</v>
      </c>
      <c r="Z120" s="383">
        <f t="shared" si="37"/>
        <v>46.142391808739212</v>
      </c>
      <c r="AA120" s="384">
        <f t="shared" si="38"/>
        <v>50.561032784656838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8.7392221490746463E-2</v>
      </c>
      <c r="AD120" s="230">
        <f>(INDEX(Models!$BJ120:$BT120,,AH120)*(1-AF120)+INDEX(Models!$BJ120:$BT120,,AH120+1)*AF120-ERP_i)*AE120*Ramure*Pc/MaxiM</f>
        <v>7.8686081117194766E-4</v>
      </c>
      <c r="AE120" s="304">
        <f t="shared" si="40"/>
        <v>0.6</v>
      </c>
      <c r="AF120" s="177">
        <f t="shared" si="41"/>
        <v>0.54573059617528985</v>
      </c>
      <c r="AG120" s="799">
        <f t="shared" si="49"/>
        <v>2</v>
      </c>
      <c r="AH120" s="176">
        <f t="shared" si="42"/>
        <v>8</v>
      </c>
      <c r="AI120" s="224">
        <f t="shared" si="43"/>
        <v>2.5457305961752899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'2026'!Wh/'2026'!Env_an*'2027'!Env_an</f>
        <v>52.604521928143171</v>
      </c>
      <c r="C121" s="829"/>
      <c r="D121" s="391">
        <f t="shared" si="25"/>
        <v>55.73153224129824</v>
      </c>
      <c r="E121" s="383">
        <f t="shared" si="47"/>
        <v>59.384414917667989</v>
      </c>
      <c r="F121" s="383">
        <f t="shared" si="26"/>
        <v>59.386561938487958</v>
      </c>
      <c r="G121" s="110">
        <f t="shared" si="48"/>
        <v>0.98547655563177328</v>
      </c>
      <c r="H121" s="412" t="b">
        <f>Wh_hp&gt;='2026'!Maxi_hp</f>
        <v>0</v>
      </c>
      <c r="I121" s="388">
        <f>IF(H121,Wh_hp,'2026'!Maxi_hp)</f>
        <v>59.386605451986881</v>
      </c>
      <c r="J121" s="85">
        <f>IF(H121,An,'2026'!An_max)</f>
        <v>2026</v>
      </c>
      <c r="K121" s="197">
        <f t="shared" si="27"/>
        <v>46494</v>
      </c>
      <c r="L121" s="147">
        <f>IF(t&lt;Tvie,1-EXP((T0-t)*PertePVj)+'2026'!Pspv,1-EXP((T0-t)*PertePVj)+Pspv)</f>
        <v>5.610845758943428E-2</v>
      </c>
      <c r="M121" s="832"/>
      <c r="N121" s="832"/>
      <c r="O121" s="48">
        <f>IF(t&lt;Tnet,'2026'!Resal+('2026'!Salim-'2026'!Resal)*(1-EXP(('2026'!Tnet-t)/('2026'!Tau_j))),Resal+(Salim-Resal)*(1-EXP((Tnet-t)/(Tau_j))))*Salcycl</f>
        <v>6.1512480697741997E-2</v>
      </c>
      <c r="P121" s="169">
        <f>(INDEX(Models!$BJ121:$BT121,,T121)*(1-R121)+INDEX(Models!$BJ121:$BT121,,T121+1)*R121-ERP_i)*Q121*Ramure*Pc/MaxiM</f>
        <v>3.691926347010917E-5</v>
      </c>
      <c r="Q121" s="304">
        <f t="shared" si="28"/>
        <v>0.6</v>
      </c>
      <c r="R121" s="177">
        <f t="shared" si="29"/>
        <v>2.2533376335987843E-2</v>
      </c>
      <c r="S121" s="799">
        <f t="shared" si="30"/>
        <v>-1</v>
      </c>
      <c r="T121" s="176">
        <f t="shared" si="31"/>
        <v>5</v>
      </c>
      <c r="U121" s="250">
        <f t="shared" si="32"/>
        <v>-0.97746662366401216</v>
      </c>
      <c r="V121" s="382">
        <f t="shared" si="33"/>
        <v>53.379739308337591</v>
      </c>
      <c r="W121" s="400">
        <f t="shared" si="34"/>
        <v>52.604521928143171</v>
      </c>
      <c r="X121" s="157">
        <f t="shared" si="35"/>
        <v>46494</v>
      </c>
      <c r="Y121" s="383">
        <f t="shared" si="36"/>
        <v>51.114303536230921</v>
      </c>
      <c r="Z121" s="383">
        <f t="shared" si="37"/>
        <v>54.152729672407283</v>
      </c>
      <c r="AA121" s="384">
        <f t="shared" si="38"/>
        <v>59.341825050253966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8.7444148767791843E-2</v>
      </c>
      <c r="AD121" s="230">
        <f>(INDEX(Models!$BJ121:$BT121,,AH121)*(1-AF121)+INDEX(Models!$BJ121:$BT121,,AH121+1)*AF121-ERP_i)*AE121*Ramure*Pc/MaxiM</f>
        <v>7.6927664053559391E-4</v>
      </c>
      <c r="AE121" s="304">
        <f t="shared" si="40"/>
        <v>0.6</v>
      </c>
      <c r="AF121" s="177">
        <f t="shared" si="41"/>
        <v>0.54752094270996654</v>
      </c>
      <c r="AG121" s="799">
        <f t="shared" si="49"/>
        <v>2</v>
      </c>
      <c r="AH121" s="176">
        <f t="shared" si="42"/>
        <v>8</v>
      </c>
      <c r="AI121" s="224">
        <f t="shared" si="43"/>
        <v>2.5475209427099665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'2026'!Wh/'2026'!Env_an*'2027'!Env_an</f>
        <v>38.914569975232844</v>
      </c>
      <c r="C122" s="829"/>
      <c r="D122" s="391">
        <f t="shared" si="25"/>
        <v>41.228588275086672</v>
      </c>
      <c r="E122" s="383">
        <f t="shared" si="47"/>
        <v>43.934212457305847</v>
      </c>
      <c r="F122" s="383">
        <f t="shared" si="26"/>
        <v>43.935183481040724</v>
      </c>
      <c r="G122" s="110">
        <f t="shared" si="48"/>
        <v>0.72646937340609752</v>
      </c>
      <c r="H122" s="412" t="b">
        <f>Wh_hp&gt;='2026'!Maxi_hp</f>
        <v>0</v>
      </c>
      <c r="I122" s="388">
        <f>IF(H122,Wh_hp,'2026'!Maxi_hp)</f>
        <v>43.935777254192551</v>
      </c>
      <c r="J122" s="85">
        <f>IF(H122,An,'2026'!An_max)</f>
        <v>2026</v>
      </c>
      <c r="K122" s="197">
        <f t="shared" si="27"/>
        <v>46495</v>
      </c>
      <c r="L122" s="147">
        <f>IF(t&lt;Tvie,1-EXP((T0-t)*PertePVj)+'2026'!Pspv,1-EXP((T0-t)*PertePVj)+Pspv)</f>
        <v>5.6126547055508236E-2</v>
      </c>
      <c r="M122" s="832"/>
      <c r="N122" s="832"/>
      <c r="O122" s="48">
        <f>IF(t&lt;Tnet,'2026'!Resal+('2026'!Salim-'2026'!Resal)*(1-EXP(('2026'!Tnet-t)/('2026'!Tau_j))),Resal+(Salim-Resal)*(1-EXP((Tnet-t)/(Tau_j))))*Salcycl</f>
        <v>6.1583536631012313E-2</v>
      </c>
      <c r="P122" s="169">
        <f>(INDEX(Models!$BJ122:$BT122,,T122)*(1-R122)+INDEX(Models!$BJ122:$BT122,,T122+1)*R122-ERP_i)*Q122*Ramure*Pc/MaxiM</f>
        <v>3.6275808994595226E-5</v>
      </c>
      <c r="Q122" s="304">
        <f t="shared" si="28"/>
        <v>0.6</v>
      </c>
      <c r="R122" s="177">
        <f t="shared" si="29"/>
        <v>2.4383856658710679E-2</v>
      </c>
      <c r="S122" s="799">
        <f t="shared" si="30"/>
        <v>-1</v>
      </c>
      <c r="T122" s="176">
        <f t="shared" si="31"/>
        <v>5</v>
      </c>
      <c r="U122" s="250">
        <f t="shared" si="32"/>
        <v>-0.97561614334128932</v>
      </c>
      <c r="V122" s="382">
        <f t="shared" si="33"/>
        <v>53.565944817246432</v>
      </c>
      <c r="W122" s="400">
        <f t="shared" si="34"/>
        <v>38.914569975232844</v>
      </c>
      <c r="X122" s="157">
        <f t="shared" si="35"/>
        <v>46495</v>
      </c>
      <c r="Y122" s="383">
        <f t="shared" si="36"/>
        <v>37.823458020703796</v>
      </c>
      <c r="Z122" s="383">
        <f t="shared" si="37"/>
        <v>40.07259437450049</v>
      </c>
      <c r="AA122" s="384">
        <f t="shared" si="38"/>
        <v>43.915040007694031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8.7497259083000656E-2</v>
      </c>
      <c r="AD122" s="230">
        <f>(INDEX(Models!$BJ122:$BT122,,AH122)*(1-AF122)+INDEX(Models!$BJ122:$BT122,,AH122+1)*AF122-ERP_i)*AE122*Ramure*Pc/MaxiM</f>
        <v>7.5252619000637565E-4</v>
      </c>
      <c r="AE122" s="304">
        <f t="shared" si="40"/>
        <v>0.6</v>
      </c>
      <c r="AF122" s="177">
        <f t="shared" si="41"/>
        <v>0.5493714230326896</v>
      </c>
      <c r="AG122" s="799">
        <f t="shared" si="49"/>
        <v>2</v>
      </c>
      <c r="AH122" s="176">
        <f t="shared" si="42"/>
        <v>8</v>
      </c>
      <c r="AI122" s="224">
        <f t="shared" si="43"/>
        <v>2.5493714230326896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'2026'!Wh/'2026'!Env_an*'2027'!Env_an</f>
        <v>9.0964728129586128</v>
      </c>
      <c r="C123" s="829"/>
      <c r="D123" s="391">
        <f t="shared" si="25"/>
        <v>9.6375707143242355</v>
      </c>
      <c r="E123" s="383">
        <f t="shared" si="47"/>
        <v>10.270822621437373</v>
      </c>
      <c r="F123" s="383">
        <f t="shared" si="26"/>
        <v>10.270822621437373</v>
      </c>
      <c r="G123" s="110">
        <f t="shared" si="48"/>
        <v>0.16924273479939581</v>
      </c>
      <c r="H123" s="412" t="b">
        <f>Wh_hp&gt;='2026'!Maxi_hp</f>
        <v>0</v>
      </c>
      <c r="I123" s="388">
        <f>IF(H123,Wh_hp,'2026'!Maxi_hp)</f>
        <v>59.533076172726751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5.6144636174901841E-2</v>
      </c>
      <c r="M123" s="832"/>
      <c r="N123" s="832"/>
      <c r="O123" s="48">
        <f>IF(t&lt;Tnet,'2026'!Resal+('2026'!Salim-'2026'!Resal)*(1-EXP(('2026'!Tnet-t)/('2026'!Tau_j))),Resal+(Salim-Resal)*(1-EXP((Tnet-t)/(Tau_j))))*Salcycl</f>
        <v>6.1655422399312737E-2</v>
      </c>
      <c r="P123" s="169">
        <f>(INDEX(Models!$BJ123:$BT123,,T123)*(1-R123)+INDEX(Models!$BJ123:$BT123,,T123+1)*R123-ERP_i)*Q123*Ramure*Pc/MaxiM</f>
        <v>3.5663254363552337E-5</v>
      </c>
      <c r="Q123" s="304">
        <f t="shared" si="28"/>
        <v>0.6</v>
      </c>
      <c r="R123" s="177">
        <f t="shared" si="29"/>
        <v>2.6295909743347612E-2</v>
      </c>
      <c r="S123" s="799">
        <f t="shared" si="30"/>
        <v>-1</v>
      </c>
      <c r="T123" s="176">
        <f t="shared" si="31"/>
        <v>5</v>
      </c>
      <c r="U123" s="250">
        <f t="shared" si="32"/>
        <v>-0.97370409025665239</v>
      </c>
      <c r="V123" s="382">
        <f t="shared" si="33"/>
        <v>53.74616767991003</v>
      </c>
      <c r="W123" s="400">
        <f t="shared" si="34"/>
        <v>9.0964728129586128</v>
      </c>
      <c r="X123" s="157">
        <f t="shared" si="35"/>
        <v>46496</v>
      </c>
      <c r="Y123" s="383">
        <f t="shared" si="36"/>
        <v>8.8454311792091413</v>
      </c>
      <c r="Z123" s="383">
        <f t="shared" si="37"/>
        <v>9.3715960286138191</v>
      </c>
      <c r="AA123" s="384">
        <f t="shared" si="38"/>
        <v>10.270822621437373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8.7551564851940697E-2</v>
      </c>
      <c r="AD123" s="230">
        <f>(INDEX(Models!$BJ123:$BT123,,AH123)*(1-AF123)+INDEX(Models!$BJ123:$BT123,,AH123+1)*AF123-ERP_i)*AE123*Ramure*Pc/MaxiM</f>
        <v>7.3628299281341492E-4</v>
      </c>
      <c r="AE123" s="304">
        <f t="shared" si="40"/>
        <v>0.6</v>
      </c>
      <c r="AF123" s="177">
        <f t="shared" si="41"/>
        <v>0.5512834761173262</v>
      </c>
      <c r="AG123" s="799">
        <f t="shared" si="49"/>
        <v>2</v>
      </c>
      <c r="AH123" s="176">
        <f t="shared" si="42"/>
        <v>8</v>
      </c>
      <c r="AI123" s="224">
        <f t="shared" si="43"/>
        <v>2.5512834761173262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'2026'!Wh/'2026'!Env_an*'2027'!Env_an</f>
        <v>9.4905256869606056</v>
      </c>
      <c r="C124" s="829"/>
      <c r="D124" s="391">
        <f t="shared" si="25"/>
        <v>10.055256279673767</v>
      </c>
      <c r="E124" s="383">
        <f t="shared" si="47"/>
        <v>10.716783464376761</v>
      </c>
      <c r="F124" s="383">
        <f t="shared" si="26"/>
        <v>10.716783464376761</v>
      </c>
      <c r="G124" s="110">
        <f t="shared" si="48"/>
        <v>0.17600372469695802</v>
      </c>
      <c r="H124" s="412" t="b">
        <f>Wh_hp&gt;='2026'!Maxi_hp</f>
        <v>0</v>
      </c>
      <c r="I124" s="388">
        <f>IF(H124,Wh_hp,'2026'!Maxi_hp)</f>
        <v>52.580415314681325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5.6162724947621534E-2</v>
      </c>
      <c r="M124" s="832"/>
      <c r="N124" s="832"/>
      <c r="O124" s="48">
        <f>IF(t&lt;Tnet,'2026'!Resal+('2026'!Salim-'2026'!Resal)*(1-EXP(('2026'!Tnet-t)/('2026'!Tau_j))),Resal+(Salim-Resal)*(1-EXP((Tnet-t)/(Tau_j))))*Salcycl</f>
        <v>6.1728146967040126E-2</v>
      </c>
      <c r="P124" s="169">
        <f>(INDEX(Models!$BJ124:$BT124,,T124)*(1-R124)+INDEX(Models!$BJ124:$BT124,,T124+1)*R124-ERP_i)*Q124*Ramure*Pc/MaxiM</f>
        <v>3.5080913600056531E-5</v>
      </c>
      <c r="Q124" s="304">
        <f t="shared" si="28"/>
        <v>0.6</v>
      </c>
      <c r="R124" s="177">
        <f t="shared" si="29"/>
        <v>2.8270964472016824E-2</v>
      </c>
      <c r="S124" s="799">
        <f t="shared" si="30"/>
        <v>-1</v>
      </c>
      <c r="T124" s="176">
        <f t="shared" si="31"/>
        <v>5</v>
      </c>
      <c r="U124" s="250">
        <f t="shared" si="32"/>
        <v>-0.97172903552798318</v>
      </c>
      <c r="V124" s="382">
        <f t="shared" si="33"/>
        <v>53.920408599244752</v>
      </c>
      <c r="W124" s="400">
        <f t="shared" si="34"/>
        <v>9.4905256869606056</v>
      </c>
      <c r="X124" s="157">
        <f t="shared" si="35"/>
        <v>46497</v>
      </c>
      <c r="Y124" s="383">
        <f t="shared" si="36"/>
        <v>9.2287629070103634</v>
      </c>
      <c r="Z124" s="383">
        <f t="shared" si="37"/>
        <v>9.7779173920612656</v>
      </c>
      <c r="AA124" s="384">
        <f t="shared" si="38"/>
        <v>10.716783464376761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8.7607076828261243E-2</v>
      </c>
      <c r="AD124" s="230">
        <f>(INDEX(Models!$BJ124:$BT124,,AH124)*(1-AF124)+INDEX(Models!$BJ124:$BT124,,AH124+1)*AF124-ERP_i)*AE124*Ramure*Pc/MaxiM</f>
        <v>7.2053103143335717E-4</v>
      </c>
      <c r="AE124" s="304">
        <f t="shared" si="40"/>
        <v>0.6</v>
      </c>
      <c r="AF124" s="177">
        <f t="shared" si="41"/>
        <v>0.55325853084599563</v>
      </c>
      <c r="AG124" s="799">
        <f t="shared" si="49"/>
        <v>2</v>
      </c>
      <c r="AH124" s="176">
        <f t="shared" si="42"/>
        <v>8</v>
      </c>
      <c r="AI124" s="224">
        <f t="shared" si="43"/>
        <v>2.5532585308459956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'2026'!Wh/'2026'!Env_an*'2027'!Env_an</f>
        <v>9.1354354754216605</v>
      </c>
      <c r="C125" s="829"/>
      <c r="D125" s="391">
        <f t="shared" si="25"/>
        <v>9.6792220425992817</v>
      </c>
      <c r="E125" s="383">
        <f t="shared" si="47"/>
        <v>10.316819193995808</v>
      </c>
      <c r="F125" s="383">
        <f t="shared" si="26"/>
        <v>10.316819193995808</v>
      </c>
      <c r="G125" s="110">
        <f t="shared" si="48"/>
        <v>0.16889156862263693</v>
      </c>
      <c r="H125" s="412" t="b">
        <f>Wh_hp&gt;='2026'!Maxi_hp</f>
        <v>0</v>
      </c>
      <c r="I125" s="388">
        <f>IF(H125,Wh_hp,'2026'!Maxi_hp)</f>
        <v>55.246951602065522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5.6180813373673977E-2</v>
      </c>
      <c r="M125" s="832"/>
      <c r="N125" s="832"/>
      <c r="O125" s="48">
        <f>IF(t&lt;Tnet,'2026'!Resal+('2026'!Salim-'2026'!Resal)*(1-EXP(('2026'!Tnet-t)/('2026'!Tau_j))),Resal+(Salim-Resal)*(1-EXP((Tnet-t)/(Tau_j))))*Salcycl</f>
        <v>6.1801718088419742E-2</v>
      </c>
      <c r="P125" s="169">
        <f>(INDEX(Models!$BJ125:$BT125,,T125)*(1-R125)+INDEX(Models!$BJ125:$BT125,,T125+1)*R125-ERP_i)*Q125*Ramure*Pc/MaxiM</f>
        <v>3.4528237747952319E-5</v>
      </c>
      <c r="Q125" s="304">
        <f t="shared" si="28"/>
        <v>0.6</v>
      </c>
      <c r="R125" s="177">
        <f t="shared" si="29"/>
        <v>3.031043553748991E-2</v>
      </c>
      <c r="S125" s="799">
        <f t="shared" si="30"/>
        <v>-1</v>
      </c>
      <c r="T125" s="176">
        <f t="shared" si="31"/>
        <v>5</v>
      </c>
      <c r="U125" s="250">
        <f t="shared" si="32"/>
        <v>-0.96968956446251009</v>
      </c>
      <c r="V125" s="382">
        <f t="shared" si="33"/>
        <v>54.088668365350429</v>
      </c>
      <c r="W125" s="400">
        <f t="shared" si="34"/>
        <v>9.1354354754216605</v>
      </c>
      <c r="X125" s="157">
        <f t="shared" si="35"/>
        <v>46498</v>
      </c>
      <c r="Y125" s="383">
        <f t="shared" si="36"/>
        <v>8.8836108644086398</v>
      </c>
      <c r="Z125" s="383">
        <f t="shared" si="37"/>
        <v>9.412407577941952</v>
      </c>
      <c r="AA125" s="384">
        <f t="shared" si="38"/>
        <v>10.316819193995808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8.7663804031789777E-2</v>
      </c>
      <c r="AD125" s="230">
        <f>(INDEX(Models!$BJ125:$BT125,,AH125)*(1-AF125)+INDEX(Models!$BJ125:$BT125,,AH125+1)*AF125-ERP_i)*AE125*Ramure*Pc/MaxiM</f>
        <v>7.0525698809769126E-4</v>
      </c>
      <c r="AE125" s="304">
        <f t="shared" si="40"/>
        <v>0.6</v>
      </c>
      <c r="AF125" s="177">
        <f t="shared" si="41"/>
        <v>0.55529800191146839</v>
      </c>
      <c r="AG125" s="799">
        <f t="shared" si="49"/>
        <v>2</v>
      </c>
      <c r="AH125" s="176">
        <f t="shared" si="42"/>
        <v>8</v>
      </c>
      <c r="AI125" s="224">
        <f t="shared" si="43"/>
        <v>2.5552980019114684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'2026'!Wh/'2026'!Env_an*'2027'!Env_an</f>
        <v>26.551803234652446</v>
      </c>
      <c r="C126" s="829"/>
      <c r="D126" s="391">
        <f t="shared" si="25"/>
        <v>28.132837814589656</v>
      </c>
      <c r="E126" s="383">
        <f t="shared" si="47"/>
        <v>29.988404603752954</v>
      </c>
      <c r="F126" s="383">
        <f t="shared" si="26"/>
        <v>29.988680558023969</v>
      </c>
      <c r="G126" s="110">
        <f t="shared" si="48"/>
        <v>0.48941347045457723</v>
      </c>
      <c r="H126" s="412" t="b">
        <f>Wh_hp&gt;='2026'!Maxi_hp</f>
        <v>0</v>
      </c>
      <c r="I126" s="388">
        <f>IF(H126,Wh_hp,'2026'!Maxi_hp)</f>
        <v>61.484611749803321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5.6198901453065941E-2</v>
      </c>
      <c r="M126" s="832"/>
      <c r="N126" s="832"/>
      <c r="O126" s="48">
        <f>IF(t&lt;Tnet,'2026'!Resal+('2026'!Salim-'2026'!Resal)*(1-EXP(('2026'!Tnet-t)/('2026'!Tau_j))),Resal+(Salim-Resal)*(1-EXP((Tnet-t)/(Tau_j))))*Salcycl</f>
        <v>6.1876142251698178E-2</v>
      </c>
      <c r="P126" s="169">
        <f>(INDEX(Models!$BJ126:$BT126,,T126)*(1-R126)+INDEX(Models!$BJ126:$BT126,,T126+1)*R126-ERP_i)*Q126*Ramure*Pc/MaxiM</f>
        <v>3.4004712576533493E-5</v>
      </c>
      <c r="Q126" s="304">
        <f t="shared" si="28"/>
        <v>0.6</v>
      </c>
      <c r="R126" s="177">
        <f t="shared" si="29"/>
        <v>3.2415719084372352E-2</v>
      </c>
      <c r="S126" s="799">
        <f t="shared" si="30"/>
        <v>-1</v>
      </c>
      <c r="T126" s="176">
        <f t="shared" si="31"/>
        <v>5</v>
      </c>
      <c r="U126" s="250">
        <f t="shared" si="32"/>
        <v>-0.96758428091562765</v>
      </c>
      <c r="V126" s="382">
        <f t="shared" si="33"/>
        <v>54.250947865818389</v>
      </c>
      <c r="W126" s="400">
        <f t="shared" si="34"/>
        <v>26.551803234652446</v>
      </c>
      <c r="X126" s="157">
        <f t="shared" si="35"/>
        <v>46499</v>
      </c>
      <c r="Y126" s="383">
        <f t="shared" si="36"/>
        <v>25.815705859720769</v>
      </c>
      <c r="Z126" s="383">
        <f t="shared" si="37"/>
        <v>27.352909314755355</v>
      </c>
      <c r="AA126" s="384">
        <f t="shared" si="38"/>
        <v>29.98307744914322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8.772175367418876E-2</v>
      </c>
      <c r="AD126" s="230">
        <f>(INDEX(Models!$BJ126:$BT126,,AH126)*(1-AF126)+INDEX(Models!$BJ126:$BT126,,AH126+1)*AF126-ERP_i)*AE126*Ramure*Pc/MaxiM</f>
        <v>6.9044811781837385E-4</v>
      </c>
      <c r="AE126" s="304">
        <f t="shared" si="40"/>
        <v>0.6</v>
      </c>
      <c r="AF126" s="177">
        <f t="shared" si="41"/>
        <v>0.55740328545835105</v>
      </c>
      <c r="AG126" s="799">
        <f t="shared" si="49"/>
        <v>2</v>
      </c>
      <c r="AH126" s="176">
        <f t="shared" si="42"/>
        <v>8</v>
      </c>
      <c r="AI126" s="224">
        <f t="shared" si="43"/>
        <v>2.557403285458351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'2026'!Wh/'2026'!Env_an*'2027'!Env_an</f>
        <v>8.8428715097589947</v>
      </c>
      <c r="C127" s="829"/>
      <c r="D127" s="391">
        <f t="shared" si="25"/>
        <v>9.3696023433716</v>
      </c>
      <c r="E127" s="383">
        <f t="shared" si="47"/>
        <v>9.9883978178761481</v>
      </c>
      <c r="F127" s="383">
        <f t="shared" si="26"/>
        <v>9.9883978178761481</v>
      </c>
      <c r="G127" s="110">
        <f t="shared" si="48"/>
        <v>0.16252568355026148</v>
      </c>
      <c r="H127" s="412" t="b">
        <f>Wh_hp&gt;='2026'!Maxi_hp</f>
        <v>0</v>
      </c>
      <c r="I127" s="388">
        <f>IF(H127,Wh_hp,'2026'!Maxi_hp)</f>
        <v>61.411826255045938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5.6216989185803978E-2</v>
      </c>
      <c r="M127" s="832"/>
      <c r="N127" s="832"/>
      <c r="O127" s="48">
        <f>IF(t&lt;Tnet,'2026'!Resal+('2026'!Salim-'2026'!Resal)*(1-EXP(('2026'!Tnet-t)/('2026'!Tau_j))),Resal+(Salim-Resal)*(1-EXP((Tnet-t)/(Tau_j))))*Salcycl</f>
        <v>6.1951424621583949E-2</v>
      </c>
      <c r="P127" s="169">
        <f>(INDEX(Models!$BJ127:$BT127,,T127)*(1-R127)+INDEX(Models!$BJ127:$BT127,,T127+1)*R127-ERP_i)*Q127*Ramure*Pc/MaxiM</f>
        <v>3.3509762222940568E-5</v>
      </c>
      <c r="Q127" s="304">
        <f t="shared" si="28"/>
        <v>0.6</v>
      </c>
      <c r="R127" s="177">
        <f t="shared" si="29"/>
        <v>3.4588188088405691E-2</v>
      </c>
      <c r="S127" s="799">
        <f t="shared" si="30"/>
        <v>-1</v>
      </c>
      <c r="T127" s="176">
        <f t="shared" si="31"/>
        <v>5</v>
      </c>
      <c r="U127" s="250">
        <f t="shared" si="32"/>
        <v>-0.96541181191159431</v>
      </c>
      <c r="V127" s="382">
        <f t="shared" si="33"/>
        <v>54.407248098130573</v>
      </c>
      <c r="W127" s="400">
        <f t="shared" si="34"/>
        <v>8.8428715097589947</v>
      </c>
      <c r="X127" s="157">
        <f t="shared" si="35"/>
        <v>46500</v>
      </c>
      <c r="Y127" s="383">
        <f t="shared" si="36"/>
        <v>8.5993798476125143</v>
      </c>
      <c r="Z127" s="383">
        <f t="shared" si="37"/>
        <v>9.111606957402083</v>
      </c>
      <c r="AA127" s="384">
        <f t="shared" si="38"/>
        <v>9.9883978178761481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8.7780931082348385E-2</v>
      </c>
      <c r="AD127" s="230">
        <f>(INDEX(Models!$BJ127:$BT127,,AH127)*(1-AF127)+INDEX(Models!$BJ127:$BT127,,AH127+1)*AF127-ERP_i)*AE127*Ramure*Pc/MaxiM</f>
        <v>6.7609030884418077E-4</v>
      </c>
      <c r="AE127" s="304">
        <f t="shared" si="40"/>
        <v>0.6</v>
      </c>
      <c r="AF127" s="177">
        <f t="shared" si="41"/>
        <v>0.55957575446238428</v>
      </c>
      <c r="AG127" s="799">
        <f t="shared" si="49"/>
        <v>2</v>
      </c>
      <c r="AH127" s="176">
        <f t="shared" si="42"/>
        <v>8</v>
      </c>
      <c r="AI127" s="224">
        <f t="shared" si="43"/>
        <v>2.5595757544623843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'2026'!Wh/'2026'!Env_an*'2027'!Env_an</f>
        <v>30.556322777790122</v>
      </c>
      <c r="C128" s="829"/>
      <c r="D128" s="391">
        <f t="shared" si="25"/>
        <v>32.377048584088286</v>
      </c>
      <c r="E128" s="383">
        <f t="shared" si="47"/>
        <v>34.518123895052931</v>
      </c>
      <c r="F128" s="383">
        <f t="shared" si="26"/>
        <v>34.51854776123546</v>
      </c>
      <c r="G128" s="110">
        <f t="shared" si="48"/>
        <v>0.56006321797932934</v>
      </c>
      <c r="H128" s="412" t="b">
        <f>Wh_hp&gt;='2026'!Maxi_hp</f>
        <v>0</v>
      </c>
      <c r="I128" s="388">
        <f>IF(H128,Wh_hp,'2026'!Maxi_hp)</f>
        <v>58.10105142457774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5.6235076571894749E-2</v>
      </c>
      <c r="M128" s="832"/>
      <c r="N128" s="832"/>
      <c r="O128" s="48">
        <f>IF(t&lt;Tnet,'2026'!Resal+('2026'!Salim-'2026'!Resal)*(1-EXP(('2026'!Tnet-t)/('2026'!Tau_j))),Resal+(Salim-Resal)*(1-EXP((Tnet-t)/(Tau_j))))*Salcycl</f>
        <v>6.2027568980117707E-2</v>
      </c>
      <c r="P128" s="169">
        <f>(INDEX(Models!$BJ128:$BT128,,T128)*(1-R128)+INDEX(Models!$BJ128:$BT128,,T128+1)*R128-ERP_i)*Q128*Ramure*Pc/MaxiM</f>
        <v>3.3050340133747153E-5</v>
      </c>
      <c r="Q128" s="304">
        <f t="shared" si="28"/>
        <v>0.6</v>
      </c>
      <c r="R128" s="177">
        <f t="shared" si="29"/>
        <v>3.6829187474987202E-2</v>
      </c>
      <c r="S128" s="799">
        <f t="shared" si="30"/>
        <v>-1</v>
      </c>
      <c r="T128" s="176">
        <f t="shared" si="31"/>
        <v>5</v>
      </c>
      <c r="U128" s="250">
        <f t="shared" si="32"/>
        <v>-0.9631708125250128</v>
      </c>
      <c r="V128" s="382">
        <f t="shared" si="33"/>
        <v>54.557569761348716</v>
      </c>
      <c r="W128" s="400">
        <f t="shared" si="34"/>
        <v>30.556322777790122</v>
      </c>
      <c r="X128" s="157">
        <f t="shared" si="35"/>
        <v>46501</v>
      </c>
      <c r="Y128" s="383">
        <f t="shared" si="36"/>
        <v>29.708438690103627</v>
      </c>
      <c r="Z128" s="383">
        <f t="shared" si="37"/>
        <v>31.478642565133196</v>
      </c>
      <c r="AA128" s="384">
        <f t="shared" si="38"/>
        <v>34.510051740353816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8.7841339619780634E-2</v>
      </c>
      <c r="AD128" s="230">
        <f>(INDEX(Models!$BJ128:$BT128,,AH128)*(1-AF128)+INDEX(Models!$BJ128:$BT128,,AH128+1)*AF128-ERP_i)*AE128*Ramure*Pc/MaxiM</f>
        <v>6.6246469167184207E-4</v>
      </c>
      <c r="AE128" s="304">
        <f t="shared" si="40"/>
        <v>0.6</v>
      </c>
      <c r="AF128" s="177">
        <f t="shared" si="41"/>
        <v>0.56181675384896579</v>
      </c>
      <c r="AG128" s="799">
        <f t="shared" si="49"/>
        <v>2</v>
      </c>
      <c r="AH128" s="176">
        <f t="shared" si="42"/>
        <v>8</v>
      </c>
      <c r="AI128" s="224">
        <f t="shared" si="43"/>
        <v>2.5618167538489658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'2026'!Wh/'2026'!Env_an*'2027'!Env_an</f>
        <v>46.245250550959568</v>
      </c>
      <c r="C129" s="829"/>
      <c r="D129" s="391">
        <f t="shared" si="25"/>
        <v>49.001754250029379</v>
      </c>
      <c r="E129" s="383">
        <f t="shared" si="47"/>
        <v>52.246501137725446</v>
      </c>
      <c r="F129" s="383">
        <f t="shared" si="26"/>
        <v>52.247828983828455</v>
      </c>
      <c r="G129" s="110">
        <f t="shared" si="48"/>
        <v>0.84539851714763148</v>
      </c>
      <c r="H129" s="412" t="b">
        <f>Wh_hp&gt;='2026'!Maxi_hp</f>
        <v>0</v>
      </c>
      <c r="I129" s="388">
        <f>IF(H129,Wh_hp,'2026'!Maxi_hp)</f>
        <v>57.415722541484826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5.6253163611344803E-2</v>
      </c>
      <c r="M129" s="832"/>
      <c r="N129" s="832"/>
      <c r="O129" s="48">
        <f>IF(t&lt;Tnet,'2026'!Resal+('2026'!Salim-'2026'!Resal)*(1-EXP(('2026'!Tnet-t)/('2026'!Tau_j))),Resal+(Salim-Resal)*(1-EXP((Tnet-t)/(Tau_j))))*Salcycl</f>
        <v>6.2104577666218914E-2</v>
      </c>
      <c r="P129" s="169">
        <f>(INDEX(Models!$BJ129:$BT129,,T129)*(1-R129)+INDEX(Models!$BJ129:$BT129,,T129+1)*R129-ERP_i)*Q129*Ramure*Pc/MaxiM</f>
        <v>3.2618105400291249E-5</v>
      </c>
      <c r="Q129" s="304">
        <f t="shared" si="28"/>
        <v>0.6</v>
      </c>
      <c r="R129" s="177">
        <f t="shared" si="29"/>
        <v>3.9140028979953057E-2</v>
      </c>
      <c r="S129" s="799">
        <f t="shared" si="30"/>
        <v>-1</v>
      </c>
      <c r="T129" s="176">
        <f t="shared" si="31"/>
        <v>5</v>
      </c>
      <c r="U129" s="250">
        <f t="shared" si="32"/>
        <v>-0.96085997102004694</v>
      </c>
      <c r="V129" s="382">
        <f t="shared" si="33"/>
        <v>54.701914501067151</v>
      </c>
      <c r="W129" s="400">
        <f t="shared" si="34"/>
        <v>46.245250550959568</v>
      </c>
      <c r="X129" s="157">
        <f t="shared" si="35"/>
        <v>46502</v>
      </c>
      <c r="Y129" s="383">
        <f t="shared" si="36"/>
        <v>44.951583805398684</v>
      </c>
      <c r="Z129" s="383">
        <f t="shared" si="37"/>
        <v>47.630976944421413</v>
      </c>
      <c r="AA129" s="384">
        <f t="shared" si="38"/>
        <v>52.221393044444888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8.7902980606370223E-2</v>
      </c>
      <c r="AD129" s="230">
        <f>(INDEX(Models!$BJ129:$BT129,,AH129)*(1-AF129)+INDEX(Models!$BJ129:$BT129,,AH129+1)*AF129-ERP_i)*AE129*Ramure*Pc/MaxiM</f>
        <v>6.4939020810921488E-4</v>
      </c>
      <c r="AE129" s="304">
        <f t="shared" si="40"/>
        <v>0.6</v>
      </c>
      <c r="AF129" s="177">
        <f t="shared" si="41"/>
        <v>0.56412759535393153</v>
      </c>
      <c r="AG129" s="799">
        <f t="shared" si="49"/>
        <v>2</v>
      </c>
      <c r="AH129" s="176">
        <f t="shared" si="42"/>
        <v>8</v>
      </c>
      <c r="AI129" s="224">
        <f t="shared" si="43"/>
        <v>2.5641275953539315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'2026'!Wh/'2026'!Env_an*'2027'!Env_an</f>
        <v>53.021171118707613</v>
      </c>
      <c r="C130" s="829"/>
      <c r="D130" s="391">
        <f t="shared" si="25"/>
        <v>56.182638428463882</v>
      </c>
      <c r="E130" s="383">
        <f t="shared" si="47"/>
        <v>59.907855764884708</v>
      </c>
      <c r="F130" s="383">
        <f t="shared" si="26"/>
        <v>59.909694177648724</v>
      </c>
      <c r="G130" s="110">
        <f t="shared" si="48"/>
        <v>0.96682742434758406</v>
      </c>
      <c r="H130" s="412" t="b">
        <f>Wh_hp&gt;='2026'!Maxi_hp</f>
        <v>0</v>
      </c>
      <c r="I130" s="388">
        <f>IF(H130,Wh_hp,'2026'!Maxi_hp)</f>
        <v>59.909778849647175</v>
      </c>
      <c r="J130" s="85">
        <f>IF(H130,An,'2026'!An_max)</f>
        <v>2026</v>
      </c>
      <c r="K130" s="197">
        <f t="shared" si="27"/>
        <v>46503</v>
      </c>
      <c r="L130" s="147">
        <f>IF(t&lt;Tvie,1-EXP((T0-t)*PertePVj)+'2026'!Pspv,1-EXP((T0-t)*PertePVj)+Pspv)</f>
        <v>5.6271250304161025E-2</v>
      </c>
      <c r="M130" s="832"/>
      <c r="N130" s="832"/>
      <c r="O130" s="48">
        <f>IF(t&lt;Tnet,'2026'!Resal+('2026'!Salim-'2026'!Resal)*(1-EXP(('2026'!Tnet-t)/('2026'!Tau_j))),Resal+(Salim-Resal)*(1-EXP((Tnet-t)/(Tau_j))))*Salcycl</f>
        <v>6.2182451514219944E-2</v>
      </c>
      <c r="P130" s="169">
        <f>(INDEX(Models!$BJ130:$BT130,,T130)*(1-R130)+INDEX(Models!$BJ130:$BT130,,T130+1)*R130-ERP_i)*Q130*Ramure*Pc/MaxiM</f>
        <v>3.2212879662751592E-5</v>
      </c>
      <c r="Q130" s="304">
        <f t="shared" si="28"/>
        <v>0.6</v>
      </c>
      <c r="R130" s="177">
        <f t="shared" si="29"/>
        <v>4.1521985757811963E-2</v>
      </c>
      <c r="S130" s="799">
        <f t="shared" si="30"/>
        <v>-1</v>
      </c>
      <c r="T130" s="176">
        <f t="shared" si="31"/>
        <v>5</v>
      </c>
      <c r="U130" s="250">
        <f t="shared" si="32"/>
        <v>-0.95847801424218804</v>
      </c>
      <c r="V130" s="382">
        <f t="shared" si="33"/>
        <v>54.840283638206117</v>
      </c>
      <c r="W130" s="400">
        <f t="shared" si="34"/>
        <v>53.021171118707613</v>
      </c>
      <c r="X130" s="157">
        <f t="shared" si="35"/>
        <v>46503</v>
      </c>
      <c r="Y130" s="383">
        <f t="shared" si="36"/>
        <v>51.533759931843534</v>
      </c>
      <c r="Z130" s="383">
        <f t="shared" si="37"/>
        <v>54.606538105841018</v>
      </c>
      <c r="AA130" s="384">
        <f t="shared" si="38"/>
        <v>59.873348272810489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8.79658532369271E-2</v>
      </c>
      <c r="AD130" s="230">
        <f>(INDEX(Models!$BJ130:$BT130,,AH130)*(1-AF130)+INDEX(Models!$BJ130:$BT130,,AH130+1)*AF130-ERP_i)*AE130*Ramure*Pc/MaxiM</f>
        <v>6.3685712028593877E-4</v>
      </c>
      <c r="AE130" s="304">
        <f t="shared" si="40"/>
        <v>0.6</v>
      </c>
      <c r="AF130" s="177">
        <f t="shared" si="41"/>
        <v>0.56650955213179088</v>
      </c>
      <c r="AG130" s="799">
        <f t="shared" si="49"/>
        <v>2</v>
      </c>
      <c r="AH130" s="176">
        <f t="shared" si="42"/>
        <v>8</v>
      </c>
      <c r="AI130" s="224">
        <f t="shared" si="43"/>
        <v>2.5665095521317909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'2026'!Wh/'2026'!Env_an*'2027'!Env_an</f>
        <v>38.488500308410281</v>
      </c>
      <c r="C131" s="829"/>
      <c r="D131" s="391">
        <f t="shared" si="25"/>
        <v>40.78421681895319</v>
      </c>
      <c r="E131" s="383">
        <f t="shared" si="47"/>
        <v>43.492085829204889</v>
      </c>
      <c r="F131" s="383">
        <f t="shared" si="26"/>
        <v>43.492877289801996</v>
      </c>
      <c r="G131" s="110">
        <f t="shared" si="48"/>
        <v>0.70012916228183775</v>
      </c>
      <c r="H131" s="412" t="b">
        <f>Wh_hp&gt;='2026'!Maxi_hp</f>
        <v>0</v>
      </c>
      <c r="I131" s="388">
        <f>IF(H131,Wh_hp,'2026'!Maxi_hp)</f>
        <v>43.493424228291971</v>
      </c>
      <c r="J131" s="85">
        <f>IF(H131,An,'2026'!An_max)</f>
        <v>2026</v>
      </c>
      <c r="K131" s="197">
        <f t="shared" si="27"/>
        <v>46504</v>
      </c>
      <c r="L131" s="147">
        <f>IF(t&lt;Tvie,1-EXP((T0-t)*PertePVj)+'2026'!Pspv,1-EXP((T0-t)*PertePVj)+Pspv)</f>
        <v>5.6289336650349742E-2</v>
      </c>
      <c r="M131" s="832"/>
      <c r="N131" s="832"/>
      <c r="O131" s="48">
        <f>IF(t&lt;Tnet,'2026'!Resal+('2026'!Salim-'2026'!Resal)*(1-EXP(('2026'!Tnet-t)/('2026'!Tau_j))),Resal+(Salim-Resal)*(1-EXP((Tnet-t)/(Tau_j))))*Salcycl</f>
        <v>6.2261189791761325E-2</v>
      </c>
      <c r="P131" s="169">
        <f>(INDEX(Models!$BJ131:$BT131,,T131)*(1-R131)+INDEX(Models!$BJ131:$BT131,,T131+1)*R131-ERP_i)*Q131*Ramure*Pc/MaxiM</f>
        <v>3.18345438123016E-5</v>
      </c>
      <c r="Q131" s="304">
        <f t="shared" si="28"/>
        <v>0.6</v>
      </c>
      <c r="R131" s="177">
        <f t="shared" si="29"/>
        <v>4.3976286744946913E-2</v>
      </c>
      <c r="S131" s="799">
        <f t="shared" si="30"/>
        <v>-1</v>
      </c>
      <c r="T131" s="176">
        <f t="shared" si="31"/>
        <v>5</v>
      </c>
      <c r="U131" s="250">
        <f t="shared" si="32"/>
        <v>-0.95602371325505309</v>
      </c>
      <c r="V131" s="382">
        <f t="shared" si="33"/>
        <v>54.972678617095553</v>
      </c>
      <c r="W131" s="400">
        <f t="shared" si="34"/>
        <v>38.488500308410281</v>
      </c>
      <c r="X131" s="157">
        <f t="shared" si="35"/>
        <v>46504</v>
      </c>
      <c r="Y131" s="383">
        <f t="shared" si="36"/>
        <v>37.418159729976857</v>
      </c>
      <c r="Z131" s="383">
        <f t="shared" si="37"/>
        <v>39.650033832576511</v>
      </c>
      <c r="AA131" s="384">
        <f t="shared" si="38"/>
        <v>43.477342296695184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8.8029954499072416E-2</v>
      </c>
      <c r="AD131" s="230">
        <f>(INDEX(Models!$BJ131:$BT131,,AH131)*(1-AF131)+INDEX(Models!$BJ131:$BT131,,AH131+1)*AF131-ERP_i)*AE131*Ramure*Pc/MaxiM</f>
        <v>6.2485665172866639E-4</v>
      </c>
      <c r="AE131" s="304">
        <f t="shared" si="40"/>
        <v>0.6</v>
      </c>
      <c r="AF131" s="177">
        <f t="shared" si="41"/>
        <v>0.56896385311892583</v>
      </c>
      <c r="AG131" s="799">
        <f t="shared" si="49"/>
        <v>2</v>
      </c>
      <c r="AH131" s="176">
        <f t="shared" si="42"/>
        <v>8</v>
      </c>
      <c r="AI131" s="224">
        <f t="shared" si="43"/>
        <v>2.5689638531189258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'2026'!Wh/'2026'!Env_an*'2027'!Env_an</f>
        <v>23.19104173281481</v>
      </c>
      <c r="C132" s="829"/>
      <c r="D132" s="391">
        <f t="shared" si="25"/>
        <v>24.574784510794785</v>
      </c>
      <c r="E132" s="383">
        <f t="shared" si="47"/>
        <v>26.208652623801402</v>
      </c>
      <c r="F132" s="383">
        <f t="shared" si="26"/>
        <v>26.208795132343237</v>
      </c>
      <c r="G132" s="110">
        <f t="shared" si="48"/>
        <v>0.42088595422817843</v>
      </c>
      <c r="H132" s="412" t="b">
        <f>Wh_hp&gt;='2026'!Maxi_hp</f>
        <v>0</v>
      </c>
      <c r="I132" s="388">
        <f>IF(H132,Wh_hp,'2026'!Maxi_hp)</f>
        <v>46.721279625112096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5.6307422649917838E-2</v>
      </c>
      <c r="M132" s="832"/>
      <c r="N132" s="832"/>
      <c r="O132" s="48">
        <f>IF(t&lt;Tnet,'2026'!Resal+('2026'!Salim-'2026'!Resal)*(1-EXP(('2026'!Tnet-t)/('2026'!Tau_j))),Resal+(Salim-Resal)*(1-EXP((Tnet-t)/(Tau_j))))*Salcycl</f>
        <v>6.234079013748367E-2</v>
      </c>
      <c r="P132" s="169">
        <f>(INDEX(Models!$BJ132:$BT132,,T132)*(1-R132)+INDEX(Models!$BJ132:$BT132,,T132+1)*R132-ERP_i)*Q132*Ramure*Pc/MaxiM</f>
        <v>3.1483039551518476E-5</v>
      </c>
      <c r="Q132" s="304">
        <f t="shared" si="28"/>
        <v>0.6</v>
      </c>
      <c r="R132" s="177">
        <f t="shared" si="29"/>
        <v>4.6504110787824238E-2</v>
      </c>
      <c r="S132" s="799">
        <f t="shared" si="30"/>
        <v>-1</v>
      </c>
      <c r="T132" s="176">
        <f t="shared" si="31"/>
        <v>5</v>
      </c>
      <c r="U132" s="250">
        <f t="shared" si="32"/>
        <v>-0.95349588921217576</v>
      </c>
      <c r="V132" s="382">
        <f t="shared" si="33"/>
        <v>55.099101007744203</v>
      </c>
      <c r="W132" s="400">
        <f t="shared" si="34"/>
        <v>23.19104173281481</v>
      </c>
      <c r="X132" s="157">
        <f t="shared" si="35"/>
        <v>46505</v>
      </c>
      <c r="Y132" s="383">
        <f t="shared" si="36"/>
        <v>22.551791566647108</v>
      </c>
      <c r="Z132" s="383">
        <f t="shared" si="37"/>
        <v>23.897392125275832</v>
      </c>
      <c r="AA132" s="384">
        <f t="shared" si="38"/>
        <v>26.206018652317653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8.8095279091074188E-2</v>
      </c>
      <c r="AD132" s="230">
        <f>(INDEX(Models!$BJ132:$BT132,,AH132)*(1-AF132)+INDEX(Models!$BJ132:$BT132,,AH132+1)*AF132-ERP_i)*AE132*Ramure*Pc/MaxiM</f>
        <v>6.1338098989511115E-4</v>
      </c>
      <c r="AE132" s="304">
        <f t="shared" si="40"/>
        <v>0.6</v>
      </c>
      <c r="AF132" s="177">
        <f t="shared" si="41"/>
        <v>0.57149167716180305</v>
      </c>
      <c r="AG132" s="799">
        <f t="shared" si="49"/>
        <v>2</v>
      </c>
      <c r="AH132" s="176">
        <f t="shared" si="42"/>
        <v>8</v>
      </c>
      <c r="AI132" s="224">
        <f t="shared" si="43"/>
        <v>2.571491677161803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'2026'!Wh/'2026'!Env_an*'2027'!Env_an</f>
        <v>42.414001637549404</v>
      </c>
      <c r="C133" s="829"/>
      <c r="D133" s="391">
        <f t="shared" si="25"/>
        <v>44.945584532300948</v>
      </c>
      <c r="E133" s="383">
        <f t="shared" si="47"/>
        <v>47.937929971585376</v>
      </c>
      <c r="F133" s="383">
        <f t="shared" si="26"/>
        <v>47.938928824118761</v>
      </c>
      <c r="G133" s="110">
        <f t="shared" si="48"/>
        <v>0.7680895965541592</v>
      </c>
      <c r="H133" s="412" t="b">
        <f>Wh_hp&gt;='2026'!Maxi_hp</f>
        <v>0</v>
      </c>
      <c r="I133" s="388">
        <f>IF(H133,Wh_hp,'2026'!Maxi_hp)</f>
        <v>51.783140656081144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5.6325508302871863E-2</v>
      </c>
      <c r="M133" s="832"/>
      <c r="N133" s="832"/>
      <c r="O133" s="48">
        <f>IF(t&lt;Tnet,'2026'!Resal+('2026'!Salim-'2026'!Resal)*(1-EXP(('2026'!Tnet-t)/('2026'!Tau_j))),Resal+(Salim-Resal)*(1-EXP((Tnet-t)/(Tau_j))))*Salcycl</f>
        <v>6.2421248499009131E-2</v>
      </c>
      <c r="P133" s="169">
        <f>(INDEX(Models!$BJ133:$BT133,,T133)*(1-R133)+INDEX(Models!$BJ133:$BT133,,T133+1)*R133-ERP_i)*Q133*Ramure*Pc/MaxiM</f>
        <v>3.1158371034561665E-5</v>
      </c>
      <c r="Q133" s="304">
        <f t="shared" si="28"/>
        <v>0.6</v>
      </c>
      <c r="R133" s="177">
        <f t="shared" si="29"/>
        <v>4.9106580548956336E-2</v>
      </c>
      <c r="S133" s="799">
        <f t="shared" si="30"/>
        <v>-1</v>
      </c>
      <c r="T133" s="176">
        <f t="shared" si="31"/>
        <v>5</v>
      </c>
      <c r="U133" s="250">
        <f t="shared" si="32"/>
        <v>-0.95089341945104366</v>
      </c>
      <c r="V133" s="382">
        <f t="shared" si="33"/>
        <v>55.219552514445539</v>
      </c>
      <c r="W133" s="400">
        <f t="shared" si="34"/>
        <v>42.414001637549404</v>
      </c>
      <c r="X133" s="157">
        <f t="shared" si="35"/>
        <v>46506</v>
      </c>
      <c r="Y133" s="383">
        <f t="shared" si="36"/>
        <v>41.233796686536692</v>
      </c>
      <c r="Z133" s="383">
        <f t="shared" si="37"/>
        <v>43.69493617696584</v>
      </c>
      <c r="AA133" s="384">
        <f t="shared" si="38"/>
        <v>47.919616773838769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8.8161819340328046E-2</v>
      </c>
      <c r="AD133" s="230">
        <f>(INDEX(Models!$BJ133:$BT133,,AH133)*(1-AF133)+INDEX(Models!$BJ133:$BT133,,AH133+1)*AF133-ERP_i)*AE133*Ramure*Pc/MaxiM</f>
        <v>6.0242328867591384E-4</v>
      </c>
      <c r="AE133" s="304">
        <f t="shared" si="40"/>
        <v>0.6</v>
      </c>
      <c r="AF133" s="177">
        <f t="shared" si="41"/>
        <v>0.57409414692293526</v>
      </c>
      <c r="AG133" s="799">
        <f t="shared" si="49"/>
        <v>2</v>
      </c>
      <c r="AH133" s="176">
        <f t="shared" si="42"/>
        <v>8</v>
      </c>
      <c r="AI133" s="224">
        <f t="shared" si="43"/>
        <v>2.5740941469229353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'2026'!Wh/'2026'!Env_an*'2027'!Env_an</f>
        <v>47.503521294613087</v>
      </c>
      <c r="C134" s="829"/>
      <c r="D134" s="391">
        <f t="shared" si="25"/>
        <v>50.339849306275156</v>
      </c>
      <c r="E134" s="383">
        <f t="shared" si="47"/>
        <v>50.750343982820205</v>
      </c>
      <c r="F134" s="383">
        <f t="shared" si="26"/>
        <v>50.751488201386394</v>
      </c>
      <c r="G134" s="110">
        <f t="shared" si="48"/>
        <v>0.81138508888191685</v>
      </c>
      <c r="H134" s="412" t="b">
        <f>Wh_hp&gt;='2026'!Maxi_hp</f>
        <v>0</v>
      </c>
      <c r="I134" s="388">
        <f>IF(H134,Wh_hp,'2026'!Maxi_hp)</f>
        <v>61.648626642094747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5.6343593609218479E-2</v>
      </c>
      <c r="M134" s="832"/>
      <c r="N134" s="832"/>
      <c r="O134" s="48">
        <f>IF(t&lt;Tnet,'2026'!Resal+('2026'!Salim-'2026'!Resal)*(1-EXP(('2026'!Tnet-t)/('2026'!Tau_j))),Resal+(Salim-Resal)*(1-EXP((Tnet-t)/(Tau_j))))*Salcycl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3.0860606594068154E-5</v>
      </c>
      <c r="Q134" s="304">
        <f t="shared" si="28"/>
        <v>0.6</v>
      </c>
      <c r="R134" s="177">
        <f t="shared" si="29"/>
        <v>5.178475620623546E-2</v>
      </c>
      <c r="S134" s="799">
        <f t="shared" si="30"/>
        <v>-1</v>
      </c>
      <c r="T134" s="176">
        <f t="shared" si="31"/>
        <v>5</v>
      </c>
      <c r="U134" s="250">
        <f t="shared" si="32"/>
        <v>-0.94821524379376454</v>
      </c>
      <c r="V134" s="382">
        <f t="shared" si="33"/>
        <v>58.545722543601812</v>
      </c>
      <c r="W134" s="400">
        <f t="shared" si="34"/>
        <v>47.503521294613087</v>
      </c>
      <c r="X134" s="157">
        <f t="shared" si="35"/>
        <v>46507</v>
      </c>
      <c r="Y134" s="383">
        <f t="shared" si="36"/>
        <v>44.879178956591879</v>
      </c>
      <c r="Z134" s="383">
        <f t="shared" si="37"/>
        <v>47.558813412015105</v>
      </c>
      <c r="AA134" s="384">
        <f t="shared" si="38"/>
        <v>50.729539448050062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6.2502559071760527E-2</v>
      </c>
      <c r="AD134" s="230">
        <f>(INDEX(Models!$BJ134:$BT134,,AH134)*(1-AF134)+INDEX(Models!$BJ134:$BT134,,AH134+1)*AF134-ERP_i)*AE134*Ramure*Pc/MaxiM</f>
        <v>5.9197767101311176E-4</v>
      </c>
      <c r="AE134" s="304">
        <f t="shared" si="40"/>
        <v>0.6</v>
      </c>
      <c r="AF134" s="177">
        <f t="shared" si="41"/>
        <v>0.57677232258021416</v>
      </c>
      <c r="AG134" s="799">
        <f t="shared" si="49"/>
        <v>2</v>
      </c>
      <c r="AH134" s="176">
        <f t="shared" si="42"/>
        <v>8</v>
      </c>
      <c r="AI134" s="224">
        <f t="shared" si="43"/>
        <v>2.5767723225802142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'2026'!Wh/'2026'!Env_an*'2027'!Env_an</f>
        <v>48.063905502399216</v>
      </c>
      <c r="C135" s="829"/>
      <c r="D135" s="391">
        <f t="shared" si="25"/>
        <v>50.934668941284507</v>
      </c>
      <c r="E135" s="383">
        <f t="shared" si="47"/>
        <v>51.355714883049664</v>
      </c>
      <c r="F135" s="383">
        <f t="shared" si="26"/>
        <v>51.356880557163578</v>
      </c>
      <c r="G135" s="110">
        <f t="shared" si="48"/>
        <v>0.81938185764634175</v>
      </c>
      <c r="H135" s="412" t="b">
        <f>Wh_hp&gt;='2026'!Maxi_hp</f>
        <v>0</v>
      </c>
      <c r="I135" s="388">
        <f>IF(H135,Wh_hp,'2026'!Maxi_hp)</f>
        <v>57.098058064772587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5.6361678568964346E-2</v>
      </c>
      <c r="M135" s="832"/>
      <c r="N135" s="832"/>
      <c r="O135" s="48">
        <f>IF(t&lt;Tnet,'2026'!Resal+('2026'!Salim-'2026'!Resal)*(1-EXP(('2026'!Tnet-t)/('2026'!Tau_j))),Resal+(Salim-Resal)*(1-EXP((Tnet-t)/(Tau_j))))*Salcycl</f>
        <v>8.1986190382898338E-3</v>
      </c>
      <c r="P135" s="169">
        <f>(INDEX(Models!$BJ135:$BT135,,T135)*(1-R135)+INDEX(Models!$BJ135:$BT135,,T135+1)*R135-ERP_i)*Q135*Ramure*Pc/MaxiM</f>
        <v>3.0590344815412778E-5</v>
      </c>
      <c r="Q135" s="304">
        <f t="shared" si="28"/>
        <v>0.6</v>
      </c>
      <c r="R135" s="177">
        <f t="shared" si="29"/>
        <v>5.4539628964295428E-2</v>
      </c>
      <c r="S135" s="799">
        <f t="shared" si="30"/>
        <v>-1</v>
      </c>
      <c r="T135" s="176">
        <f t="shared" si="31"/>
        <v>5</v>
      </c>
      <c r="U135" s="250">
        <f t="shared" si="32"/>
        <v>-0.94546037103570457</v>
      </c>
      <c r="V135" s="382">
        <f t="shared" si="33"/>
        <v>58.658274753770684</v>
      </c>
      <c r="W135" s="400">
        <f t="shared" si="34"/>
        <v>48.063905502399216</v>
      </c>
      <c r="X135" s="157">
        <f t="shared" si="35"/>
        <v>46508</v>
      </c>
      <c r="Y135" s="383">
        <f t="shared" si="36"/>
        <v>45.409700520601014</v>
      </c>
      <c r="Z135" s="383">
        <f t="shared" si="37"/>
        <v>48.121933466772326</v>
      </c>
      <c r="AA135" s="384">
        <f t="shared" si="38"/>
        <v>51.334701063379477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6.2584714239215453E-2</v>
      </c>
      <c r="AD135" s="230">
        <f>(INDEX(Models!$BJ135:$BT135,,AH135)*(1-AF135)+INDEX(Models!$BJ135:$BT135,,AH135+1)*AF135-ERP_i)*AE135*Ramure*Pc/MaxiM</f>
        <v>5.8204806522641091E-4</v>
      </c>
      <c r="AE135" s="304">
        <f t="shared" si="40"/>
        <v>0.6</v>
      </c>
      <c r="AF135" s="177">
        <f t="shared" si="41"/>
        <v>0.57952719533827413</v>
      </c>
      <c r="AG135" s="799">
        <f t="shared" si="49"/>
        <v>2</v>
      </c>
      <c r="AH135" s="176">
        <f t="shared" si="42"/>
        <v>8</v>
      </c>
      <c r="AI135" s="224">
        <f t="shared" si="43"/>
        <v>2.5795271953382741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'2026'!Wh/'2026'!Env_an*'2027'!Env_an</f>
        <v>28.496519604191803</v>
      </c>
      <c r="C136" s="829"/>
      <c r="D136" s="391">
        <f t="shared" si="25"/>
        <v>30.199139963645727</v>
      </c>
      <c r="E136" s="383">
        <f t="shared" si="47"/>
        <v>30.452162060545604</v>
      </c>
      <c r="F136" s="383">
        <f t="shared" si="26"/>
        <v>30.452406366361924</v>
      </c>
      <c r="G136" s="110">
        <f t="shared" si="48"/>
        <v>0.48492859723005788</v>
      </c>
      <c r="H136" s="412" t="b">
        <f>Wh_hp&gt;='2026'!Maxi_hp</f>
        <v>0</v>
      </c>
      <c r="I136" s="388">
        <f>IF(H136,Wh_hp,'2026'!Maxi_hp)</f>
        <v>49.564429764978506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5.6379763182116127E-2</v>
      </c>
      <c r="M136" s="832"/>
      <c r="N136" s="832"/>
      <c r="O136" s="48">
        <f>IF(t&lt;Tnet,'2026'!Resal+('2026'!Salim-'2026'!Resal)*(1-EXP(('2026'!Tnet-t)/('2026'!Tau_j))),Resal+(Salim-Resal)*(1-EXP((Tnet-t)/(Tau_j))))*Salcycl</f>
        <v>8.3088385119195127E-3</v>
      </c>
      <c r="P136" s="169">
        <f>(INDEX(Models!$BJ136:$BT136,,T136)*(1-R136)+INDEX(Models!$BJ136:$BT136,,T136+1)*R136-ERP_i)*Q136*Ramure*Pc/MaxiM</f>
        <v>3.0365519106334871E-5</v>
      </c>
      <c r="Q136" s="304">
        <f t="shared" si="28"/>
        <v>0.6</v>
      </c>
      <c r="R136" s="177">
        <f t="shared" si="29"/>
        <v>5.7372114399730556E-2</v>
      </c>
      <c r="S136" s="799">
        <f t="shared" si="30"/>
        <v>-1</v>
      </c>
      <c r="T136" s="176">
        <f t="shared" si="31"/>
        <v>5</v>
      </c>
      <c r="U136" s="250">
        <f t="shared" si="32"/>
        <v>-0.94262788560026944</v>
      </c>
      <c r="V136" s="382">
        <f t="shared" si="33"/>
        <v>58.76304896199008</v>
      </c>
      <c r="W136" s="400">
        <f t="shared" si="34"/>
        <v>28.496519604191803</v>
      </c>
      <c r="X136" s="157">
        <f t="shared" si="35"/>
        <v>46509</v>
      </c>
      <c r="Y136" s="383">
        <f t="shared" si="36"/>
        <v>26.930641551172926</v>
      </c>
      <c r="Z136" s="383">
        <f t="shared" si="37"/>
        <v>28.5397032623946</v>
      </c>
      <c r="AA136" s="384">
        <f t="shared" si="38"/>
        <v>30.447796795089236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6.2667704515237024E-2</v>
      </c>
      <c r="AD136" s="230">
        <f>(INDEX(Models!$BJ136:$BT136,,AH136)*(1-AF136)+INDEX(Models!$BJ136:$BT136,,AH136+1)*AF136-ERP_i)*AE136*Ramure*Pc/MaxiM</f>
        <v>5.7293774933919869E-4</v>
      </c>
      <c r="AE136" s="304">
        <f t="shared" si="40"/>
        <v>0.6</v>
      </c>
      <c r="AF136" s="177">
        <f t="shared" si="41"/>
        <v>0.58235968077370925</v>
      </c>
      <c r="AG136" s="799">
        <f t="shared" si="49"/>
        <v>2</v>
      </c>
      <c r="AH136" s="176">
        <f t="shared" si="42"/>
        <v>8</v>
      </c>
      <c r="AI136" s="224">
        <f t="shared" si="43"/>
        <v>2.5823596807737093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'2026'!Wh/'2026'!Env_an*'2027'!Env_an</f>
        <v>39.774142408085524</v>
      </c>
      <c r="C137" s="829"/>
      <c r="D137" s="391">
        <f t="shared" si="25"/>
        <v>42.151390075302238</v>
      </c>
      <c r="E137" s="383">
        <f t="shared" si="47"/>
        <v>42.509282999255127</v>
      </c>
      <c r="F137" s="383">
        <f t="shared" si="26"/>
        <v>42.509971332292878</v>
      </c>
      <c r="G137" s="110">
        <f t="shared" si="48"/>
        <v>0.67572673766088343</v>
      </c>
      <c r="H137" s="412" t="b">
        <f>Wh_hp&gt;='2026'!Maxi_hp</f>
        <v>0</v>
      </c>
      <c r="I137" s="388">
        <f>IF(H137,Wh_hp,'2026'!Maxi_hp)</f>
        <v>61.404519088032231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5.6397847448680372E-2</v>
      </c>
      <c r="M137" s="832"/>
      <c r="N137" s="832"/>
      <c r="O137" s="48">
        <f>IF(t&lt;Tnet,'2026'!Resal+('2026'!Salim-'2026'!Resal)*(1-EXP(('2026'!Tnet-t)/('2026'!Tau_j))),Resal+(Salim-Resal)*(1-EXP((Tnet-t)/(Tau_j))))*Salcycl</f>
        <v>8.419171030458578E-3</v>
      </c>
      <c r="P137" s="169">
        <f>(INDEX(Models!$BJ137:$BT137,,T137)*(1-R137)+INDEX(Models!$BJ137:$BT137,,T137+1)*R137-ERP_i)*Q137*Ramure*Pc/MaxiM</f>
        <v>3.0166354217732944E-5</v>
      </c>
      <c r="Q137" s="304">
        <f t="shared" si="28"/>
        <v>0.6</v>
      </c>
      <c r="R137" s="177">
        <f t="shared" si="29"/>
        <v>6.0283045665294299E-2</v>
      </c>
      <c r="S137" s="799">
        <f t="shared" si="30"/>
        <v>-1</v>
      </c>
      <c r="T137" s="176">
        <f t="shared" si="31"/>
        <v>5</v>
      </c>
      <c r="U137" s="250">
        <f t="shared" si="32"/>
        <v>-0.9397169543347057</v>
      </c>
      <c r="V137" s="382">
        <f t="shared" si="33"/>
        <v>58.860459968846143</v>
      </c>
      <c r="W137" s="400">
        <f t="shared" si="34"/>
        <v>39.774142408085524</v>
      </c>
      <c r="X137" s="157">
        <f t="shared" si="35"/>
        <v>46510</v>
      </c>
      <c r="Y137" s="383">
        <f t="shared" si="36"/>
        <v>37.583989912727418</v>
      </c>
      <c r="Z137" s="383">
        <f t="shared" si="37"/>
        <v>39.830335074064322</v>
      </c>
      <c r="AA137" s="384">
        <f t="shared" si="38"/>
        <v>42.497092137037221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6.2751518489161551E-2</v>
      </c>
      <c r="AD137" s="230">
        <f>(INDEX(Models!$BJ137:$BT137,,AH137)*(1-AF137)+INDEX(Models!$BJ137:$BT137,,AH137+1)*AF137-ERP_i)*AE137*Ramure*Pc/MaxiM</f>
        <v>5.6443370405542944E-4</v>
      </c>
      <c r="AE137" s="304">
        <f t="shared" si="40"/>
        <v>0.6</v>
      </c>
      <c r="AF137" s="177">
        <f t="shared" si="41"/>
        <v>0.585270612039273</v>
      </c>
      <c r="AG137" s="799">
        <f t="shared" si="49"/>
        <v>2</v>
      </c>
      <c r="AH137" s="176">
        <f t="shared" si="42"/>
        <v>8</v>
      </c>
      <c r="AI137" s="224">
        <f t="shared" si="43"/>
        <v>2.585270612039273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'2026'!Wh/'2026'!Env_an*'2027'!Env_an</f>
        <v>21.537891177763782</v>
      </c>
      <c r="C138" s="829"/>
      <c r="D138" s="391">
        <f t="shared" si="25"/>
        <v>22.825619776523336</v>
      </c>
      <c r="E138" s="383">
        <f t="shared" si="47"/>
        <v>23.021988558607763</v>
      </c>
      <c r="F138" s="383">
        <f t="shared" si="26"/>
        <v>23.022053024761519</v>
      </c>
      <c r="G138" s="110">
        <f t="shared" si="48"/>
        <v>0.36534298459640857</v>
      </c>
      <c r="H138" s="412" t="b">
        <f>Wh_hp&gt;='2026'!Maxi_hp</f>
        <v>0</v>
      </c>
      <c r="I138" s="388">
        <f>IF(H138,Wh_hp,'2026'!Maxi_hp)</f>
        <v>54.000058250195806</v>
      </c>
      <c r="J138" s="85">
        <f>IF(H138,An,'2026'!An_max)</f>
        <v>2021</v>
      </c>
      <c r="K138" s="197">
        <f t="shared" si="27"/>
        <v>46511</v>
      </c>
      <c r="L138" s="147">
        <f>IF(t&lt;Tvie,1-EXP((T0-t)*PertePVj)+'2026'!Pspv,1-EXP((T0-t)*PertePVj)+Pspv)</f>
        <v>5.6415931368663741E-2</v>
      </c>
      <c r="M138" s="832"/>
      <c r="N138" s="832"/>
      <c r="O138" s="48">
        <f>IF(t&lt;Tnet,'2026'!Resal+('2026'!Salim-'2026'!Resal)*(1-EXP(('2026'!Tnet-t)/('2026'!Tau_j))),Resal+(Salim-Resal)*(1-EXP((Tnet-t)/(Tau_j))))*Salcycl</f>
        <v>8.529618611551569E-3</v>
      </c>
      <c r="P138" s="169">
        <f>(INDEX(Models!$BJ138:$BT138,,T138)*(1-R138)+INDEX(Models!$BJ138:$BT138,,T138+1)*R138-ERP_i)*Q138*Ramure*Pc/MaxiM</f>
        <v>2.9993058565038922E-5</v>
      </c>
      <c r="Q138" s="304">
        <f t="shared" si="28"/>
        <v>0.6</v>
      </c>
      <c r="R138" s="177">
        <f t="shared" si="29"/>
        <v>6.3273166581584772E-2</v>
      </c>
      <c r="S138" s="799">
        <f t="shared" si="30"/>
        <v>-1</v>
      </c>
      <c r="T138" s="176">
        <f t="shared" si="31"/>
        <v>5</v>
      </c>
      <c r="U138" s="250">
        <f t="shared" si="32"/>
        <v>-0.93672683341841523</v>
      </c>
      <c r="V138" s="382">
        <f t="shared" si="33"/>
        <v>58.950921208740276</v>
      </c>
      <c r="W138" s="400">
        <f t="shared" si="34"/>
        <v>21.537891177763782</v>
      </c>
      <c r="X138" s="157">
        <f t="shared" si="35"/>
        <v>46511</v>
      </c>
      <c r="Y138" s="383">
        <f t="shared" si="36"/>
        <v>20.357179911716781</v>
      </c>
      <c r="Z138" s="383">
        <f t="shared" si="37"/>
        <v>21.574314985250613</v>
      </c>
      <c r="AA138" s="384">
        <f t="shared" si="38"/>
        <v>23.020856831929709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6.2836142774353884E-2</v>
      </c>
      <c r="AD138" s="230">
        <f>(INDEX(Models!$BJ138:$BT138,,AH138)*(1-AF138)+INDEX(Models!$BJ138:$BT138,,AH138+1)*AF138-ERP_i)*AE138*Ramure*Pc/MaxiM</f>
        <v>5.5653206480664095E-4</v>
      </c>
      <c r="AE138" s="304">
        <f t="shared" si="40"/>
        <v>0.6</v>
      </c>
      <c r="AF138" s="177">
        <f t="shared" si="41"/>
        <v>0.58826073295556336</v>
      </c>
      <c r="AG138" s="799">
        <f t="shared" si="49"/>
        <v>2</v>
      </c>
      <c r="AH138" s="176">
        <f t="shared" si="42"/>
        <v>8</v>
      </c>
      <c r="AI138" s="224">
        <f t="shared" si="43"/>
        <v>2.5882607329555634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'2026'!Wh/'2026'!Env_an*'2027'!Env_an</f>
        <v>44.180928892199269</v>
      </c>
      <c r="C139" s="829"/>
      <c r="D139" s="391">
        <f t="shared" si="25"/>
        <v>46.8233590356555</v>
      </c>
      <c r="E139" s="383">
        <f t="shared" si="47"/>
        <v>47.231447379206642</v>
      </c>
      <c r="F139" s="383">
        <f t="shared" si="26"/>
        <v>47.232350362897471</v>
      </c>
      <c r="G139" s="110">
        <f t="shared" si="48"/>
        <v>0.74837927010808525</v>
      </c>
      <c r="H139" s="412" t="b">
        <f>Wh_hp&gt;='2026'!Maxi_hp</f>
        <v>0</v>
      </c>
      <c r="I139" s="388">
        <f>IF(H139,Wh_hp,'2026'!Maxi_hp)</f>
        <v>59.96671405061354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5.6434014942073008E-2</v>
      </c>
      <c r="M139" s="832"/>
      <c r="N139" s="832"/>
      <c r="O139" s="48">
        <f>IF(t&lt;Tnet,'2026'!Resal+('2026'!Salim-'2026'!Resal)*(1-EXP(('2026'!Tnet-t)/('2026'!Tau_j))),Resal+(Salim-Resal)*(1-EXP((Tnet-t)/(Tau_j))))*Salcycl</f>
        <v>8.6401828907491391E-3</v>
      </c>
      <c r="P139" s="169">
        <f>(INDEX(Models!$BJ139:$BT139,,T139)*(1-R139)+INDEX(Models!$BJ139:$BT139,,T139+1)*R139-ERP_i)*Q139*Ramure*Pc/MaxiM</f>
        <v>2.9845927988832272E-5</v>
      </c>
      <c r="Q139" s="304">
        <f t="shared" si="28"/>
        <v>0.6</v>
      </c>
      <c r="R139" s="177">
        <f t="shared" si="29"/>
        <v>6.6343124648161167E-2</v>
      </c>
      <c r="S139" s="799">
        <f t="shared" si="30"/>
        <v>-1</v>
      </c>
      <c r="T139" s="176">
        <f t="shared" si="31"/>
        <v>5</v>
      </c>
      <c r="U139" s="250">
        <f t="shared" si="32"/>
        <v>-0.93365687535183883</v>
      </c>
      <c r="V139" s="382">
        <f t="shared" si="33"/>
        <v>59.034845931572981</v>
      </c>
      <c r="W139" s="400">
        <f t="shared" si="34"/>
        <v>44.180928892199269</v>
      </c>
      <c r="X139" s="157">
        <f t="shared" si="35"/>
        <v>46512</v>
      </c>
      <c r="Y139" s="383">
        <f t="shared" si="36"/>
        <v>41.747931497925016</v>
      </c>
      <c r="Z139" s="383">
        <f t="shared" si="37"/>
        <v>44.244845786129147</v>
      </c>
      <c r="AA139" s="384">
        <f t="shared" si="38"/>
        <v>47.215733486214432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6.2921561960965655E-2</v>
      </c>
      <c r="AD139" s="230">
        <f>(INDEX(Models!$BJ139:$BT139,,AH139)*(1-AF139)+INDEX(Models!$BJ139:$BT139,,AH139+1)*AF139-ERP_i)*AE139*Ramure*Pc/MaxiM</f>
        <v>5.4923041237415549E-4</v>
      </c>
      <c r="AE139" s="304">
        <f t="shared" si="40"/>
        <v>0.6</v>
      </c>
      <c r="AF139" s="177">
        <f t="shared" si="41"/>
        <v>0.59133069102213964</v>
      </c>
      <c r="AG139" s="799">
        <f t="shared" si="49"/>
        <v>2</v>
      </c>
      <c r="AH139" s="176">
        <f t="shared" si="42"/>
        <v>8</v>
      </c>
      <c r="AI139" s="224">
        <f t="shared" si="43"/>
        <v>2.5913306910221396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'2026'!Wh/'2026'!Env_an*'2027'!Env_an</f>
        <v>38.770144211064093</v>
      </c>
      <c r="C140" s="829"/>
      <c r="D140" s="391">
        <f t="shared" si="25"/>
        <v>41.089746621051518</v>
      </c>
      <c r="E140" s="383">
        <f t="shared" si="47"/>
        <v>41.452491784736793</v>
      </c>
      <c r="F140" s="383">
        <f t="shared" si="26"/>
        <v>41.453118219816297</v>
      </c>
      <c r="G140" s="110">
        <f t="shared" si="48"/>
        <v>0.65585927001671329</v>
      </c>
      <c r="H140" s="412" t="b">
        <f>Wh_hp&gt;='2026'!Maxi_hp</f>
        <v>0</v>
      </c>
      <c r="I140" s="388">
        <f>IF(H140,Wh_hp,'2026'!Maxi_hp)</f>
        <v>63.959766591204975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5.6452098168914611E-2</v>
      </c>
      <c r="M140" s="832"/>
      <c r="N140" s="832"/>
      <c r="O140" s="48">
        <f>IF(t&lt;Tnet,'2026'!Resal+('2026'!Salim-'2026'!Resal)*(1-EXP(('2026'!Tnet-t)/('2026'!Tau_j))),Resal+(Salim-Resal)*(1-EXP((Tnet-t)/(Tau_j))))*Salcycl</f>
        <v>8.7508651004386401E-3</v>
      </c>
      <c r="P140" s="169">
        <f>(INDEX(Models!$BJ140:$BT140,,T140)*(1-R140)+INDEX(Models!$BJ140:$BT140,,T140+1)*R140-ERP_i)*Q140*Ramure*Pc/MaxiM</f>
        <v>2.9725346384505826E-5</v>
      </c>
      <c r="Q140" s="304">
        <f t="shared" si="28"/>
        <v>0.6</v>
      </c>
      <c r="R140" s="177">
        <f t="shared" si="29"/>
        <v>6.9493464009502515E-2</v>
      </c>
      <c r="S140" s="799">
        <f t="shared" si="30"/>
        <v>-1</v>
      </c>
      <c r="T140" s="176">
        <f t="shared" si="31"/>
        <v>5</v>
      </c>
      <c r="U140" s="250">
        <f t="shared" si="32"/>
        <v>-0.93050653599049749</v>
      </c>
      <c r="V140" s="382">
        <f t="shared" si="33"/>
        <v>59.112647193066152</v>
      </c>
      <c r="W140" s="400">
        <f t="shared" si="34"/>
        <v>38.770144211064093</v>
      </c>
      <c r="X140" s="157">
        <f t="shared" si="35"/>
        <v>46513</v>
      </c>
      <c r="Y140" s="383">
        <f t="shared" si="36"/>
        <v>36.63847195329506</v>
      </c>
      <c r="Z140" s="383">
        <f t="shared" si="37"/>
        <v>38.830537254328085</v>
      </c>
      <c r="AA140" s="384">
        <f t="shared" si="38"/>
        <v>41.441684933503396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6.3007758573646544E-2</v>
      </c>
      <c r="AD140" s="230">
        <f>(INDEX(Models!$BJ140:$BT140,,AH140)*(1-AF140)+INDEX(Models!$BJ140:$BT140,,AH140+1)*AF140-ERP_i)*AE140*Ramure*Pc/MaxiM</f>
        <v>5.4252772088071494E-4</v>
      </c>
      <c r="AE140" s="304">
        <f t="shared" si="40"/>
        <v>0.6</v>
      </c>
      <c r="AF140" s="177">
        <f t="shared" si="41"/>
        <v>0.5944810303834811</v>
      </c>
      <c r="AG140" s="799">
        <f t="shared" si="49"/>
        <v>2</v>
      </c>
      <c r="AH140" s="176">
        <f t="shared" si="42"/>
        <v>8</v>
      </c>
      <c r="AI140" s="224">
        <f t="shared" si="43"/>
        <v>2.5944810303834811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'2026'!Wh/'2026'!Env_an*'2027'!Env_an</f>
        <v>53.040284692267818</v>
      </c>
      <c r="C141" s="829"/>
      <c r="D141" s="391">
        <f t="shared" si="25"/>
        <v>56.21474131177758</v>
      </c>
      <c r="E141" s="383">
        <f t="shared" si="47"/>
        <v>56.717351540328671</v>
      </c>
      <c r="F141" s="383">
        <f t="shared" si="26"/>
        <v>56.71878295481384</v>
      </c>
      <c r="G141" s="110">
        <f t="shared" si="48"/>
        <v>0.89617785773683012</v>
      </c>
      <c r="H141" s="412" t="b">
        <f>Wh_hp&gt;='2026'!Maxi_hp</f>
        <v>0</v>
      </c>
      <c r="I141" s="388">
        <f>IF(H141,Wh_hp,'2026'!Maxi_hp)</f>
        <v>60.392486037860046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5.6470181049195323E-2</v>
      </c>
      <c r="M141" s="832"/>
      <c r="N141" s="832"/>
      <c r="O141" s="48">
        <f>IF(t&lt;Tnet,'2026'!Resal+('2026'!Salim-'2026'!Resal)*(1-EXP(('2026'!Tnet-t)/('2026'!Tau_j))),Resal+(Salim-Resal)*(1-EXP((Tnet-t)/(Tau_j))))*Salcycl</f>
        <v>8.8616660492990603E-3</v>
      </c>
      <c r="P141" s="169">
        <f>(INDEX(Models!$BJ141:$BT141,,T141)*(1-R141)+INDEX(Models!$BJ141:$BT141,,T141+1)*R141-ERP_i)*Q141*Ramure*Pc/MaxiM</f>
        <v>2.9631786311200645E-5</v>
      </c>
      <c r="Q141" s="304">
        <f t="shared" si="28"/>
        <v>0.6</v>
      </c>
      <c r="R141" s="177">
        <f t="shared" si="29"/>
        <v>7.2724618414654829E-2</v>
      </c>
      <c r="S141" s="799">
        <f t="shared" si="30"/>
        <v>-1</v>
      </c>
      <c r="T141" s="176">
        <f t="shared" si="31"/>
        <v>5</v>
      </c>
      <c r="U141" s="250">
        <f t="shared" si="32"/>
        <v>-0.92727538158534517</v>
      </c>
      <c r="V141" s="382">
        <f t="shared" si="33"/>
        <v>59.184737862199242</v>
      </c>
      <c r="W141" s="400">
        <f t="shared" si="34"/>
        <v>53.040284692267818</v>
      </c>
      <c r="X141" s="157">
        <f t="shared" si="35"/>
        <v>46514</v>
      </c>
      <c r="Y141" s="383">
        <f t="shared" si="36"/>
        <v>50.116388038975991</v>
      </c>
      <c r="Z141" s="383">
        <f t="shared" si="37"/>
        <v>53.115849687405635</v>
      </c>
      <c r="AA141" s="384">
        <f t="shared" si="38"/>
        <v>56.69287005463125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6.3094713034966707E-2</v>
      </c>
      <c r="AD141" s="230">
        <f>(INDEX(Models!$BJ141:$BT141,,AH141)*(1-AF141)+INDEX(Models!$BJ141:$BT141,,AH141+1)*AF141-ERP_i)*AE141*Ramure*Pc/MaxiM</f>
        <v>5.3642430537630364E-4</v>
      </c>
      <c r="AE141" s="304">
        <f t="shared" si="40"/>
        <v>0.6</v>
      </c>
      <c r="AF141" s="177">
        <f t="shared" si="41"/>
        <v>0.59771218478863375</v>
      </c>
      <c r="AG141" s="799">
        <f t="shared" si="49"/>
        <v>2</v>
      </c>
      <c r="AH141" s="176">
        <f t="shared" si="42"/>
        <v>8</v>
      </c>
      <c r="AI141" s="224">
        <f t="shared" si="43"/>
        <v>2.5977121847886337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'2026'!Wh/'2026'!Env_an*'2027'!Env_an</f>
        <v>48.908740841290467</v>
      </c>
      <c r="C142" s="829"/>
      <c r="D142" s="391">
        <f t="shared" si="25"/>
        <v>51.836918348274175</v>
      </c>
      <c r="E142" s="383">
        <f t="shared" si="47"/>
        <v>52.306240595714826</v>
      </c>
      <c r="F142" s="383">
        <f t="shared" si="26"/>
        <v>52.307401182502751</v>
      </c>
      <c r="G142" s="110">
        <f t="shared" si="48"/>
        <v>0.82543656643988905</v>
      </c>
      <c r="H142" s="412" t="b">
        <f>Wh_hp&gt;='2026'!Maxi_hp</f>
        <v>0</v>
      </c>
      <c r="I142" s="388">
        <f>IF(H142,Wh_hp,'2026'!Maxi_hp)</f>
        <v>59.443974291396984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5.6488263582921805E-2</v>
      </c>
      <c r="M142" s="832"/>
      <c r="N142" s="832"/>
      <c r="O142" s="48">
        <f>IF(t&lt;Tnet,'2026'!Resal+('2026'!Salim-'2026'!Resal)*(1-EXP(('2026'!Tnet-t)/('2026'!Tau_j))),Resal+(Salim-Resal)*(1-EXP((Tnet-t)/(Tau_j))))*Salcycl</f>
        <v>8.9725861024525094E-3</v>
      </c>
      <c r="P142" s="169">
        <f>(INDEX(Models!$BJ142:$BT142,,T142)*(1-R142)+INDEX(Models!$BJ142:$BT142,,T142+1)*R142-ERP_i)*Q142*Ramure*Pc/MaxiM</f>
        <v>2.9558827076518306E-5</v>
      </c>
      <c r="Q142" s="304">
        <f t="shared" si="28"/>
        <v>0.6</v>
      </c>
      <c r="R142" s="177">
        <f t="shared" si="29"/>
        <v>7.6036904212787748E-2</v>
      </c>
      <c r="S142" s="799">
        <f t="shared" si="30"/>
        <v>-1</v>
      </c>
      <c r="T142" s="176">
        <f t="shared" si="31"/>
        <v>5</v>
      </c>
      <c r="U142" s="250">
        <f t="shared" si="32"/>
        <v>-0.92396309578721225</v>
      </c>
      <c r="V142" s="382">
        <f t="shared" si="33"/>
        <v>59.251531025783528</v>
      </c>
      <c r="W142" s="400">
        <f t="shared" si="34"/>
        <v>48.908740841290467</v>
      </c>
      <c r="X142" s="157">
        <f t="shared" si="35"/>
        <v>46515</v>
      </c>
      <c r="Y142" s="383">
        <f t="shared" si="36"/>
        <v>46.216002198722784</v>
      </c>
      <c r="Z142" s="383">
        <f t="shared" si="37"/>
        <v>48.982964826939956</v>
      </c>
      <c r="AA142" s="384">
        <f t="shared" si="38"/>
        <v>52.286555052998125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6.3182403635305778E-2</v>
      </c>
      <c r="AD142" s="230">
        <f>(INDEX(Models!$BJ142:$BT142,,AH142)*(1-AF142)+INDEX(Models!$BJ142:$BT142,,AH142+1)*AF142-ERP_i)*AE142*Ramure*Pc/MaxiM</f>
        <v>5.3092723754107074E-4</v>
      </c>
      <c r="AE142" s="304">
        <f t="shared" si="40"/>
        <v>0.6</v>
      </c>
      <c r="AF142" s="177">
        <f t="shared" si="41"/>
        <v>0.60102447058676667</v>
      </c>
      <c r="AG142" s="799">
        <f t="shared" si="49"/>
        <v>2</v>
      </c>
      <c r="AH142" s="176">
        <f t="shared" si="42"/>
        <v>8</v>
      </c>
      <c r="AI142" s="224">
        <f t="shared" si="43"/>
        <v>2.6010244705867667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'2026'!Wh/'2026'!Env_an*'2027'!Env_an</f>
        <v>56.161763122346137</v>
      </c>
      <c r="C143" s="829"/>
      <c r="D143" s="391">
        <f t="shared" ref="D143:D206" si="50">Wh/(1-Ppv)</f>
        <v>59.525321522365324</v>
      </c>
      <c r="E143" s="383">
        <f t="shared" si="47"/>
        <v>60.07098382255149</v>
      </c>
      <c r="F143" s="383">
        <f t="shared" ref="F143:F206" si="51">Wh_sa/(1-Pvg*MEDIAN((-Sdif+Wh/Env_an)/Csdif,0,1))</f>
        <v>60.072621258186544</v>
      </c>
      <c r="G143" s="110">
        <f t="shared" si="48"/>
        <v>0.94686191798901287</v>
      </c>
      <c r="H143" s="412" t="b">
        <f>Wh_hp&gt;='2026'!Maxi_hp</f>
        <v>0</v>
      </c>
      <c r="I143" s="388">
        <f>IF(H143,Wh_hp,'2026'!Maxi_hp)</f>
        <v>60.072738793091652</v>
      </c>
      <c r="J143" s="85">
        <f>IF(H143,An,'2026'!An_max)</f>
        <v>2026</v>
      </c>
      <c r="K143" s="197">
        <f t="shared" ref="K143:K206" si="52">t</f>
        <v>46516</v>
      </c>
      <c r="L143" s="147">
        <f>IF(t&lt;Tvie,1-EXP((T0-t)*PertePVj)+'2026'!Pspv,1-EXP((T0-t)*PertePVj)+Pspv)</f>
        <v>5.6506345770100608E-2</v>
      </c>
      <c r="M143" s="832"/>
      <c r="N143" s="832"/>
      <c r="O143" s="48">
        <f>IF(t&lt;Tnet,'2026'!Resal+('2026'!Salim-'2026'!Resal)*(1-EXP(('2026'!Tnet-t)/('2026'!Tau_j))),Resal+(Salim-Resal)*(1-EXP((Tnet-t)/(Tau_j))))*Salcycl</f>
        <v>9.083625162491794E-3</v>
      </c>
      <c r="P143" s="169">
        <f>(INDEX(Models!$BJ143:$BT143,,T143)*(1-R143)+INDEX(Models!$BJ143:$BT143,,T143+1)*R143-ERP_i)*Q143*Ramure*Pc/MaxiM</f>
        <v>2.9496649478636366E-5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7.9430513430133187E-2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-0.92056948656986681</v>
      </c>
      <c r="V143" s="382">
        <f t="shared" ref="V143:V206" si="58">MaxiM*(1-Ppv)*(1-Pvg)*(1-Psa)</f>
        <v>59.313439798460152</v>
      </c>
      <c r="W143" s="400">
        <f t="shared" ref="W143:W206" si="59">Wh*(A143&gt;Tmaj)</f>
        <v>56.161763122346137</v>
      </c>
      <c r="X143" s="157">
        <f t="shared" ref="X143:X206" si="60">t</f>
        <v>46516</v>
      </c>
      <c r="Y143" s="383">
        <f t="shared" ref="Y143:Y206" si="61">Wh_pvt_s*(1-Ppv)</f>
        <v>53.066273207044574</v>
      </c>
      <c r="Z143" s="383">
        <f t="shared" ref="Z143:Z206" si="62">Wh_sa_s*(1-Psa_s)</f>
        <v>56.24444104010265</v>
      </c>
      <c r="AA143" s="384">
        <f t="shared" ref="AA143:AA206" si="63">Wh_hp*(1-Pvg_s*MEDIAN((-Sdif+Wh/Env_an)/Csdif,0,1))</f>
        <v>60.043437773673183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6.3270806509953884E-2</v>
      </c>
      <c r="AD143" s="230">
        <f>(INDEX(Models!$BJ143:$BT143,,AH143)*(1-AF143)+INDEX(Models!$BJ143:$BT143,,AH143+1)*AF143-ERP_i)*AE143*Ramure*Pc/MaxiM</f>
        <v>5.2570922167898763E-4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0.60441807980411166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2.6044180798041117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'2026'!Wh/'2026'!Env_an*'2027'!Env_an</f>
        <v>52.460841014345405</v>
      </c>
      <c r="C144" s="829"/>
      <c r="D144" s="391">
        <f t="shared" si="50"/>
        <v>55.60381482002056</v>
      </c>
      <c r="E144" s="383">
        <f t="shared" ref="E144:E169" si="72">Wh_pvt/(1-Psa)</f>
        <v>56.119824407895386</v>
      </c>
      <c r="F144" s="383">
        <f t="shared" si="51"/>
        <v>56.121202139993194</v>
      </c>
      <c r="G144" s="110">
        <f t="shared" ref="G144:G169" si="73">+Wh_hp/MaxiM</f>
        <v>0.88360804532432491</v>
      </c>
      <c r="H144" s="412" t="b">
        <f>Wh_hp&gt;='2026'!Maxi_hp</f>
        <v>0</v>
      </c>
      <c r="I144" s="388">
        <f>IF(H144,Wh_hp,'2026'!Maxi_hp)</f>
        <v>56.121441075742069</v>
      </c>
      <c r="J144" s="85">
        <f>IF(H144,An,'2026'!An_max)</f>
        <v>2026</v>
      </c>
      <c r="K144" s="197">
        <f t="shared" si="52"/>
        <v>46517</v>
      </c>
      <c r="L144" s="147">
        <f>IF(t&lt;Tvie,1-EXP((T0-t)*PertePVj)+'2026'!Pspv,1-EXP((T0-t)*PertePVj)+Pspv)</f>
        <v>5.6524427610738393E-2</v>
      </c>
      <c r="M144" s="832"/>
      <c r="N144" s="832"/>
      <c r="O144" s="48">
        <f>IF(t&lt;Tnet,'2026'!Resal+('2026'!Salim-'2026'!Resal)*(1-EXP(('2026'!Tnet-t)/('2026'!Tau_j))),Resal+(Salim-Resal)*(1-EXP((Tnet-t)/(Tau_j))))*Salcycl</f>
        <v>9.1947826515691618E-3</v>
      </c>
      <c r="P144" s="169">
        <f>(INDEX(Models!$BJ144:$BT144,,T144)*(1-R144)+INDEX(Models!$BJ144:$BT144,,T144+1)*R144-ERP_i)*Q144*Ramure*Pc/MaxiM</f>
        <v>2.9444986656314259E-5</v>
      </c>
      <c r="Q144" s="304">
        <f t="shared" si="53"/>
        <v>0.6</v>
      </c>
      <c r="R144" s="177">
        <f t="shared" si="54"/>
        <v>8.2905506976851395E-2</v>
      </c>
      <c r="S144" s="799">
        <f t="shared" si="55"/>
        <v>-1</v>
      </c>
      <c r="T144" s="176">
        <f t="shared" si="56"/>
        <v>5</v>
      </c>
      <c r="U144" s="250">
        <f t="shared" si="57"/>
        <v>-0.9170944930231486</v>
      </c>
      <c r="V144" s="382">
        <f t="shared" si="58"/>
        <v>59.370876544118403</v>
      </c>
      <c r="W144" s="400">
        <f t="shared" si="59"/>
        <v>52.460841014345405</v>
      </c>
      <c r="X144" s="157">
        <f t="shared" si="60"/>
        <v>46517</v>
      </c>
      <c r="Y144" s="383">
        <f t="shared" si="61"/>
        <v>49.572608549614912</v>
      </c>
      <c r="Z144" s="383">
        <f t="shared" si="62"/>
        <v>52.542545880734387</v>
      </c>
      <c r="AA144" s="384">
        <f t="shared" si="63"/>
        <v>56.096835524405833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6.335989562414962E-2</v>
      </c>
      <c r="AD144" s="230">
        <f>(INDEX(Models!$BJ144:$BT144,,AH144)*(1-AF144)+INDEX(Models!$BJ144:$BT144,,AH144+1)*AF144-ERP_i)*AE144*Ramure*Pc/MaxiM</f>
        <v>5.2076501082566411E-4</v>
      </c>
      <c r="AE144" s="304">
        <f t="shared" si="65"/>
        <v>0.6</v>
      </c>
      <c r="AF144" s="177">
        <f t="shared" si="66"/>
        <v>0.60789307335083009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2.6078930733508301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'2026'!Wh/'2026'!Env_an*'2027'!Env_an</f>
        <v>56.569329859153918</v>
      </c>
      <c r="C145" s="829"/>
      <c r="D145" s="391">
        <f t="shared" si="50"/>
        <v>59.959595853630461</v>
      </c>
      <c r="E145" s="383">
        <f t="shared" si="72"/>
        <v>60.522824740408481</v>
      </c>
      <c r="F145" s="383">
        <f t="shared" si="51"/>
        <v>60.524482236022273</v>
      </c>
      <c r="G145" s="110">
        <f t="shared" si="73"/>
        <v>0.95195500859197335</v>
      </c>
      <c r="H145" s="412" t="b">
        <f>Wh_hp&gt;='2026'!Maxi_hp</f>
        <v>0</v>
      </c>
      <c r="I145" s="388">
        <f>IF(H145,Wh_hp,'2026'!Maxi_hp)</f>
        <v>60.524587940264638</v>
      </c>
      <c r="J145" s="85">
        <f>IF(H145,An,'2026'!An_max)</f>
        <v>2026</v>
      </c>
      <c r="K145" s="197">
        <f t="shared" si="52"/>
        <v>46518</v>
      </c>
      <c r="L145" s="147">
        <f>IF(t&lt;Tvie,1-EXP((T0-t)*PertePVj)+'2026'!Pspv,1-EXP((T0-t)*PertePVj)+Pspv)</f>
        <v>5.6542509104841931E-2</v>
      </c>
      <c r="M145" s="832"/>
      <c r="N145" s="832"/>
      <c r="O145" s="48">
        <f>IF(t&lt;Tnet,'2026'!Resal+('2026'!Salim-'2026'!Resal)*(1-EXP(('2026'!Tnet-t)/('2026'!Tau_j))),Resal+(Salim-Resal)*(1-EXP((Tnet-t)/(Tau_j))))*Salcycl</f>
        <v>9.306057494735169E-3</v>
      </c>
      <c r="P145" s="169">
        <f>(INDEX(Models!$BJ145:$BT145,,T145)*(1-R145)+INDEX(Models!$BJ145:$BT145,,T145+1)*R145-ERP_i)*Q145*Ramure*Pc/MaxiM</f>
        <v>2.940359546239796E-5</v>
      </c>
      <c r="Q145" s="304">
        <f t="shared" si="53"/>
        <v>0.6</v>
      </c>
      <c r="R145" s="177">
        <f t="shared" si="54"/>
        <v>8.6461808035215637E-2</v>
      </c>
      <c r="S145" s="799">
        <f t="shared" si="55"/>
        <v>-1</v>
      </c>
      <c r="T145" s="176">
        <f t="shared" si="56"/>
        <v>5</v>
      </c>
      <c r="U145" s="250">
        <f t="shared" si="57"/>
        <v>-0.91353819196478436</v>
      </c>
      <c r="V145" s="382">
        <f t="shared" si="58"/>
        <v>59.42425344201807</v>
      </c>
      <c r="W145" s="400">
        <f t="shared" si="59"/>
        <v>56.569329859153918</v>
      </c>
      <c r="X145" s="157">
        <f t="shared" si="60"/>
        <v>46518</v>
      </c>
      <c r="Y145" s="383">
        <f t="shared" si="61"/>
        <v>53.453451341371988</v>
      </c>
      <c r="Z145" s="383">
        <f t="shared" si="62"/>
        <v>56.656979097865907</v>
      </c>
      <c r="AA145" s="384">
        <f t="shared" si="63"/>
        <v>60.495389981208831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6.3449642766749942E-2</v>
      </c>
      <c r="AD145" s="230">
        <f>(INDEX(Models!$BJ145:$BT145,,AH145)*(1-AF145)+INDEX(Models!$BJ145:$BT145,,AH145+1)*AF145-ERP_i)*AE145*Ramure*Pc/MaxiM</f>
        <v>5.1608998811547493E-4</v>
      </c>
      <c r="AE145" s="304">
        <f t="shared" si="65"/>
        <v>0.6</v>
      </c>
      <c r="AF145" s="177">
        <f t="shared" si="66"/>
        <v>0.61144937440919422</v>
      </c>
      <c r="AG145" s="799">
        <f t="shared" si="74"/>
        <v>2</v>
      </c>
      <c r="AH145" s="176">
        <f t="shared" si="67"/>
        <v>8</v>
      </c>
      <c r="AI145" s="224">
        <f t="shared" si="68"/>
        <v>2.6114493744091942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'2026'!Wh/'2026'!Env_an*'2027'!Env_an</f>
        <v>42.175440266792918</v>
      </c>
      <c r="C146" s="829"/>
      <c r="D146" s="391">
        <f t="shared" si="50"/>
        <v>44.70392039068728</v>
      </c>
      <c r="E146" s="383">
        <f t="shared" si="72"/>
        <v>45.128919649508532</v>
      </c>
      <c r="F146" s="383">
        <f t="shared" si="51"/>
        <v>45.129694422878657</v>
      </c>
      <c r="G146" s="110">
        <f t="shared" si="73"/>
        <v>0.70913235938212671</v>
      </c>
      <c r="H146" s="412" t="b">
        <f>Wh_hp&gt;='2026'!Maxi_hp</f>
        <v>0</v>
      </c>
      <c r="I146" s="388">
        <f>IF(H146,Wh_hp,'2026'!Maxi_hp)</f>
        <v>56.127004376201441</v>
      </c>
      <c r="J146" s="85">
        <f>IF(H146,An,'2026'!An_max)</f>
        <v>2018</v>
      </c>
      <c r="K146" s="197">
        <f t="shared" si="52"/>
        <v>46519</v>
      </c>
      <c r="L146" s="147">
        <f>IF(t&lt;Tvie,1-EXP((T0-t)*PertePVj)+'2026'!Pspv,1-EXP((T0-t)*PertePVj)+Pspv)</f>
        <v>5.6560590252417664E-2</v>
      </c>
      <c r="M146" s="832"/>
      <c r="N146" s="832"/>
      <c r="O146" s="48">
        <f>IF(t&lt;Tnet,'2026'!Resal+('2026'!Salim-'2026'!Resal)*(1-EXP(('2026'!Tnet-t)/('2026'!Tau_j))),Resal+(Salim-Resal)*(1-EXP((Tnet-t)/(Tau_j))))*Salcycl</f>
        <v>9.4174481047183747E-3</v>
      </c>
      <c r="P146" s="169">
        <f>(INDEX(Models!$BJ146:$BT146,,T146)*(1-R146)+INDEX(Models!$BJ146:$BT146,,T146+1)*R146-ERP_i)*Q146*Ramure*Pc/MaxiM</f>
        <v>2.9372256677734151E-5</v>
      </c>
      <c r="Q146" s="304">
        <f t="shared" si="53"/>
        <v>0.6</v>
      </c>
      <c r="R146" s="177">
        <f t="shared" si="54"/>
        <v>9.0099195683044364E-2</v>
      </c>
      <c r="S146" s="799">
        <f t="shared" si="55"/>
        <v>-1</v>
      </c>
      <c r="T146" s="176">
        <f t="shared" si="56"/>
        <v>5</v>
      </c>
      <c r="U146" s="250">
        <f t="shared" si="57"/>
        <v>-0.90990080431695564</v>
      </c>
      <c r="V146" s="382">
        <f t="shared" si="58"/>
        <v>59.473982491007447</v>
      </c>
      <c r="W146" s="400">
        <f t="shared" si="59"/>
        <v>42.175440266792918</v>
      </c>
      <c r="X146" s="157">
        <f t="shared" si="60"/>
        <v>46519</v>
      </c>
      <c r="Y146" s="383">
        <f t="shared" si="61"/>
        <v>39.859856064288259</v>
      </c>
      <c r="Z146" s="383">
        <f t="shared" si="62"/>
        <v>42.249513484869986</v>
      </c>
      <c r="AA146" s="384">
        <f t="shared" si="63"/>
        <v>45.116197463643019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6.3540017553189235E-2</v>
      </c>
      <c r="AD146" s="230">
        <f>(INDEX(Models!$BJ146:$BT146,,AH146)*(1-AF146)+INDEX(Models!$BJ146:$BT146,,AH146+1)*AF146-ERP_i)*AE146*Ramure*Pc/MaxiM</f>
        <v>5.1168014586455007E-4</v>
      </c>
      <c r="AE146" s="304">
        <f t="shared" si="65"/>
        <v>0.6</v>
      </c>
      <c r="AF146" s="177">
        <f t="shared" si="66"/>
        <v>0.61508676205702306</v>
      </c>
      <c r="AG146" s="799">
        <f t="shared" si="74"/>
        <v>2</v>
      </c>
      <c r="AH146" s="176">
        <f t="shared" si="67"/>
        <v>8</v>
      </c>
      <c r="AI146" s="224">
        <f t="shared" si="68"/>
        <v>2.6150867620570231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'2026'!Wh/'2026'!Env_an*'2027'!Env_an</f>
        <v>44.175476689580016</v>
      </c>
      <c r="C147" s="829"/>
      <c r="D147" s="391">
        <f t="shared" si="50"/>
        <v>46.824759345761883</v>
      </c>
      <c r="E147" s="383">
        <f t="shared" si="72"/>
        <v>47.275242883399351</v>
      </c>
      <c r="F147" s="383">
        <f t="shared" si="51"/>
        <v>47.276119423647479</v>
      </c>
      <c r="G147" s="110">
        <f t="shared" si="73"/>
        <v>0.74218155639263739</v>
      </c>
      <c r="H147" s="412" t="b">
        <f>Wh_hp&gt;='2026'!Maxi_hp</f>
        <v>0</v>
      </c>
      <c r="I147" s="388">
        <f>IF(H147,Wh_hp,'2026'!Maxi_hp)</f>
        <v>64.735176440204555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5.6578671053472362E-2</v>
      </c>
      <c r="M147" s="832"/>
      <c r="N147" s="832"/>
      <c r="O147" s="48">
        <f>IF(t&lt;Tnet,'2026'!Resal+('2026'!Salim-'2026'!Resal)*(1-EXP(('2026'!Tnet-t)/('2026'!Tau_j))),Resal+(Salim-Resal)*(1-EXP((Tnet-t)/(Tau_j))))*Salcycl</f>
        <v>9.528952368336896E-3</v>
      </c>
      <c r="P147" s="169">
        <f>(INDEX(Models!$BJ147:$BT147,,T147)*(1-R147)+INDEX(Models!$BJ147:$BT147,,T147+1)*R147-ERP_i)*Q147*Ramure*Pc/MaxiM</f>
        <v>2.9350775286544905E-5</v>
      </c>
      <c r="Q147" s="304">
        <f t="shared" si="53"/>
        <v>0.6</v>
      </c>
      <c r="R147" s="177">
        <f t="shared" si="54"/>
        <v>9.3817298808496541E-2</v>
      </c>
      <c r="S147" s="799">
        <f t="shared" si="55"/>
        <v>-1</v>
      </c>
      <c r="T147" s="176">
        <f t="shared" si="56"/>
        <v>5</v>
      </c>
      <c r="U147" s="250">
        <f t="shared" si="57"/>
        <v>-0.90618270119150346</v>
      </c>
      <c r="V147" s="382">
        <f t="shared" si="58"/>
        <v>59.520475505470166</v>
      </c>
      <c r="W147" s="400">
        <f t="shared" si="59"/>
        <v>44.175476689580016</v>
      </c>
      <c r="X147" s="157">
        <f t="shared" si="60"/>
        <v>46520</v>
      </c>
      <c r="Y147" s="383">
        <f t="shared" si="61"/>
        <v>41.749885063879248</v>
      </c>
      <c r="Z147" s="383">
        <f t="shared" si="62"/>
        <v>44.253700635006098</v>
      </c>
      <c r="AA147" s="384">
        <f t="shared" si="63"/>
        <v>47.260962335713536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6.3630987438335632E-2</v>
      </c>
      <c r="AD147" s="230">
        <f>(INDEX(Models!$BJ147:$BT147,,AH147)*(1-AF147)+INDEX(Models!$BJ147:$BT147,,AH147+1)*AF147-ERP_i)*AE147*Ramure*Pc/MaxiM</f>
        <v>5.0753206472465466E-4</v>
      </c>
      <c r="AE147" s="304">
        <f t="shared" si="65"/>
        <v>0.6</v>
      </c>
      <c r="AF147" s="177">
        <f t="shared" si="66"/>
        <v>0.61880486518247535</v>
      </c>
      <c r="AG147" s="799">
        <f t="shared" si="74"/>
        <v>2</v>
      </c>
      <c r="AH147" s="176">
        <f t="shared" si="67"/>
        <v>8</v>
      </c>
      <c r="AI147" s="224">
        <f t="shared" si="68"/>
        <v>2.6188048651824753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'2026'!Wh/'2026'!Env_an*'2027'!Env_an</f>
        <v>50.338325191358891</v>
      </c>
      <c r="C148" s="829"/>
      <c r="D148" s="391">
        <f t="shared" si="50"/>
        <v>53.358227536129192</v>
      </c>
      <c r="E148" s="383">
        <f t="shared" si="72"/>
        <v>53.877638554614499</v>
      </c>
      <c r="F148" s="383">
        <f t="shared" si="51"/>
        <v>53.878869533379891</v>
      </c>
      <c r="G148" s="110">
        <f t="shared" si="73"/>
        <v>0.84510571153896941</v>
      </c>
      <c r="H148" s="412" t="b">
        <f>Wh_hp&gt;='2026'!Maxi_hp</f>
        <v>0</v>
      </c>
      <c r="I148" s="388">
        <f>IF(H148,Wh_hp,'2026'!Maxi_hp)</f>
        <v>63.17753058579234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5.6596751508012577E-2</v>
      </c>
      <c r="M148" s="832"/>
      <c r="N148" s="832"/>
      <c r="O148" s="48">
        <f>IF(t&lt;Tnet,'2026'!Resal+('2026'!Salim-'2026'!Resal)*(1-EXP(('2026'!Tnet-t)/('2026'!Tau_j))),Resal+(Salim-Resal)*(1-EXP((Tnet-t)/(Tau_j))))*Salcycl</f>
        <v>9.6405676347301565E-3</v>
      </c>
      <c r="P148" s="169">
        <f>(INDEX(Models!$BJ148:$BT148,,T148)*(1-R148)+INDEX(Models!$BJ148:$BT148,,T148+1)*R148-ERP_i)*Q148*Ramure*Pc/MaxiM</f>
        <v>2.9338980790292169E-5</v>
      </c>
      <c r="Q148" s="304">
        <f t="shared" si="53"/>
        <v>0.6</v>
      </c>
      <c r="R148" s="177">
        <f t="shared" si="54"/>
        <v>9.7615590374098948E-2</v>
      </c>
      <c r="S148" s="799">
        <f t="shared" si="55"/>
        <v>-1</v>
      </c>
      <c r="T148" s="176">
        <f t="shared" si="56"/>
        <v>5</v>
      </c>
      <c r="U148" s="250">
        <f t="shared" si="57"/>
        <v>-0.90238440962590105</v>
      </c>
      <c r="V148" s="382">
        <f t="shared" si="58"/>
        <v>59.564144116926087</v>
      </c>
      <c r="W148" s="400">
        <f t="shared" si="59"/>
        <v>50.338325191358891</v>
      </c>
      <c r="X148" s="157">
        <f t="shared" si="60"/>
        <v>46521</v>
      </c>
      <c r="Y148" s="383">
        <f t="shared" si="61"/>
        <v>47.571851698277484</v>
      </c>
      <c r="Z148" s="383">
        <f t="shared" si="62"/>
        <v>50.425787460791774</v>
      </c>
      <c r="AA148" s="384">
        <f t="shared" si="63"/>
        <v>53.857738134492301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6.3722517739796952E-2</v>
      </c>
      <c r="AD148" s="230">
        <f>(INDEX(Models!$BJ148:$BT148,,AH148)*(1-AF148)+INDEX(Models!$BJ148:$BT148,,AH148+1)*AF148-ERP_i)*AE148*Ramure*Pc/MaxiM</f>
        <v>5.0364289252175203E-4</v>
      </c>
      <c r="AE148" s="304">
        <f t="shared" si="65"/>
        <v>0.6</v>
      </c>
      <c r="AF148" s="177">
        <f t="shared" si="66"/>
        <v>0.62260315674807742</v>
      </c>
      <c r="AG148" s="799">
        <f t="shared" si="74"/>
        <v>2</v>
      </c>
      <c r="AH148" s="176">
        <f t="shared" si="67"/>
        <v>8</v>
      </c>
      <c r="AI148" s="224">
        <f t="shared" si="68"/>
        <v>2.6226031567480774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'2026'!Wh/'2026'!Env_an*'2027'!Env_an</f>
        <v>52.972542425037304</v>
      </c>
      <c r="C149" s="829"/>
      <c r="D149" s="391">
        <f t="shared" si="50"/>
        <v>56.15155315170022</v>
      </c>
      <c r="E149" s="383">
        <f t="shared" si="72"/>
        <v>56.704552431341348</v>
      </c>
      <c r="F149" s="383">
        <f t="shared" si="51"/>
        <v>56.705951626603195</v>
      </c>
      <c r="G149" s="110">
        <f t="shared" si="73"/>
        <v>0.88873829984930797</v>
      </c>
      <c r="H149" s="412" t="b">
        <f>Wh_hp&gt;='2026'!Maxi_hp</f>
        <v>0</v>
      </c>
      <c r="I149" s="388">
        <f>IF(H149,Wh_hp,'2026'!Maxi_hp)</f>
        <v>63.749746861981109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5.661483161604508E-2</v>
      </c>
      <c r="M149" s="832"/>
      <c r="N149" s="832"/>
      <c r="O149" s="48">
        <f>IF(t&lt;Tnet,'2026'!Resal+('2026'!Salim-'2026'!Resal)*(1-EXP(('2026'!Tnet-t)/('2026'!Tau_j))),Resal+(Salim-Resal)*(1-EXP((Tnet-t)/(Tau_j))))*Salcycl</f>
        <v>9.7522907055955441E-3</v>
      </c>
      <c r="P149" s="169">
        <f>(INDEX(Models!$BJ149:$BT149,,T149)*(1-R149)+INDEX(Models!$BJ149:$BT149,,T149+1)*R149-ERP_i)*Q149*Ramure*Pc/MaxiM</f>
        <v>2.9337450938675076E-5</v>
      </c>
      <c r="Q149" s="304">
        <f t="shared" si="53"/>
        <v>0.6</v>
      </c>
      <c r="R149" s="177">
        <f t="shared" si="54"/>
        <v>0.1014933820891385</v>
      </c>
      <c r="S149" s="799">
        <f t="shared" si="55"/>
        <v>-1</v>
      </c>
      <c r="T149" s="176">
        <f t="shared" si="56"/>
        <v>5</v>
      </c>
      <c r="U149" s="250">
        <f t="shared" si="57"/>
        <v>-0.8985066179108615</v>
      </c>
      <c r="V149" s="382">
        <f t="shared" si="58"/>
        <v>59.603930002269408</v>
      </c>
      <c r="W149" s="400">
        <f t="shared" si="59"/>
        <v>52.972542425037304</v>
      </c>
      <c r="X149" s="157">
        <f t="shared" si="60"/>
        <v>46522</v>
      </c>
      <c r="Y149" s="383">
        <f t="shared" si="61"/>
        <v>50.060696024730447</v>
      </c>
      <c r="Z149" s="383">
        <f t="shared" si="62"/>
        <v>53.064959787830688</v>
      </c>
      <c r="AA149" s="384">
        <f t="shared" si="63"/>
        <v>56.682103974436323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6.3814571672162521E-2</v>
      </c>
      <c r="AD149" s="230">
        <f>(INDEX(Models!$BJ149:$BT149,,AH149)*(1-AF149)+INDEX(Models!$BJ149:$BT149,,AH149+1)*AF149-ERP_i)*AE149*Ramure*Pc/MaxiM</f>
        <v>5.0002265196752134E-4</v>
      </c>
      <c r="AE149" s="304">
        <f t="shared" si="65"/>
        <v>0.6</v>
      </c>
      <c r="AF149" s="177">
        <f t="shared" si="66"/>
        <v>0.6264809484631173</v>
      </c>
      <c r="AG149" s="799">
        <f t="shared" si="74"/>
        <v>2</v>
      </c>
      <c r="AH149" s="176">
        <f t="shared" si="67"/>
        <v>8</v>
      </c>
      <c r="AI149" s="224">
        <f t="shared" si="68"/>
        <v>2.6264809484631173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'2026'!Wh/'2026'!Env_an*'2027'!Env_an</f>
        <v>51.386981785935305</v>
      </c>
      <c r="C150" s="829"/>
      <c r="D150" s="391">
        <f t="shared" si="50"/>
        <v>54.47188311495421</v>
      </c>
      <c r="E150" s="383">
        <f t="shared" si="72"/>
        <v>55.014553149453597</v>
      </c>
      <c r="F150" s="383">
        <f t="shared" si="51"/>
        <v>55.015848093397643</v>
      </c>
      <c r="G150" s="110">
        <f t="shared" si="73"/>
        <v>0.86163407414563886</v>
      </c>
      <c r="H150" s="412" t="b">
        <f>Wh_hp&gt;='2026'!Maxi_hp</f>
        <v>0</v>
      </c>
      <c r="I150" s="388">
        <f>IF(H150,Wh_hp,'2026'!Maxi_hp)</f>
        <v>55.016117502770236</v>
      </c>
      <c r="J150" s="85">
        <f>IF(H150,An,'2026'!An_max)</f>
        <v>2026</v>
      </c>
      <c r="K150" s="197">
        <f t="shared" si="52"/>
        <v>46523</v>
      </c>
      <c r="L150" s="147">
        <f>IF(t&lt;Tvie,1-EXP((T0-t)*PertePVj)+'2026'!Pspv,1-EXP((T0-t)*PertePVj)+Pspv)</f>
        <v>5.6632911377576423E-2</v>
      </c>
      <c r="M150" s="832"/>
      <c r="N150" s="832"/>
      <c r="O150" s="48">
        <f>IF(t&lt;Tnet,'2026'!Resal+('2026'!Salim-'2026'!Resal)*(1-EXP(('2026'!Tnet-t)/('2026'!Tau_j))),Resal+(Salim-Resal)*(1-EXP((Tnet-t)/(Tau_j))))*Salcycl</f>
        <v>9.8641178276075072E-3</v>
      </c>
      <c r="P150" s="169">
        <f>(INDEX(Models!$BJ150:$BT150,,T150)*(1-R150)+INDEX(Models!$BJ150:$BT150,,T150+1)*R150-ERP_i)*Q150*Ramure*Pc/MaxiM</f>
        <v>2.9336201827624758E-5</v>
      </c>
      <c r="Q150" s="304">
        <f t="shared" si="53"/>
        <v>0.6</v>
      </c>
      <c r="R150" s="177">
        <f t="shared" si="54"/>
        <v>0.10544981955026467</v>
      </c>
      <c r="S150" s="799">
        <f t="shared" si="55"/>
        <v>-1</v>
      </c>
      <c r="T150" s="176">
        <f t="shared" si="56"/>
        <v>5</v>
      </c>
      <c r="U150" s="250">
        <f t="shared" si="57"/>
        <v>-0.89455018044973533</v>
      </c>
      <c r="V150" s="382">
        <f t="shared" si="58"/>
        <v>59.63863936086041</v>
      </c>
      <c r="W150" s="400">
        <f t="shared" si="59"/>
        <v>51.386981785935305</v>
      </c>
      <c r="X150" s="157">
        <f t="shared" si="60"/>
        <v>46523</v>
      </c>
      <c r="Y150" s="383">
        <f t="shared" si="61"/>
        <v>48.563990660729139</v>
      </c>
      <c r="Z150" s="383">
        <f t="shared" si="62"/>
        <v>51.479420096842659</v>
      </c>
      <c r="AA150" s="384">
        <f t="shared" si="63"/>
        <v>54.993922791607758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6.3907110392594599E-2</v>
      </c>
      <c r="AD150" s="230">
        <f>(INDEX(Models!$BJ150:$BT150,,AH150)*(1-AF150)+INDEX(Models!$BJ150:$BT150,,AH150+1)*AF150-ERP_i)*AE150*Ramure*Pc/MaxiM</f>
        <v>4.9670495884859877E-4</v>
      </c>
      <c r="AE150" s="304">
        <f t="shared" si="65"/>
        <v>0.6</v>
      </c>
      <c r="AF150" s="177">
        <f t="shared" si="66"/>
        <v>0.63043738592424337</v>
      </c>
      <c r="AG150" s="799">
        <f t="shared" si="74"/>
        <v>2</v>
      </c>
      <c r="AH150" s="176">
        <f t="shared" si="67"/>
        <v>8</v>
      </c>
      <c r="AI150" s="224">
        <f t="shared" si="68"/>
        <v>2.6304373859242434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'2026'!Wh/'2026'!Env_an*'2027'!Env_an</f>
        <v>54.805043409540552</v>
      </c>
      <c r="C151" s="829"/>
      <c r="D151" s="391">
        <f t="shared" si="50"/>
        <v>58.096253745565932</v>
      </c>
      <c r="E151" s="383">
        <f t="shared" si="72"/>
        <v>58.681664654477601</v>
      </c>
      <c r="F151" s="383">
        <f t="shared" si="51"/>
        <v>58.683184496801431</v>
      </c>
      <c r="G151" s="110">
        <f t="shared" si="73"/>
        <v>0.91848921871642164</v>
      </c>
      <c r="H151" s="412" t="b">
        <f>Wh_hp&gt;='2026'!Maxi_hp</f>
        <v>0</v>
      </c>
      <c r="I151" s="388">
        <f>IF(H151,Wh_hp,'2026'!Maxi_hp)</f>
        <v>58.683352824859902</v>
      </c>
      <c r="J151" s="85">
        <f>IF(H151,An,'2026'!An_max)</f>
        <v>2026</v>
      </c>
      <c r="K151" s="197">
        <f t="shared" si="52"/>
        <v>46524</v>
      </c>
      <c r="L151" s="147">
        <f>IF(t&lt;Tvie,1-EXP((T0-t)*PertePVj)+'2026'!Pspv,1-EXP((T0-t)*PertePVj)+Pspv)</f>
        <v>5.6650990792613265E-2</v>
      </c>
      <c r="M151" s="832"/>
      <c r="N151" s="832"/>
      <c r="O151" s="48">
        <f>IF(t&lt;Tnet,'2026'!Resal+('2026'!Salim-'2026'!Resal)*(1-EXP(('2026'!Tnet-t)/('2026'!Tau_j))),Resal+(Salim-Resal)*(1-EXP((Tnet-t)/(Tau_j))))*Salcycl</f>
        <v>9.9760446871884345E-3</v>
      </c>
      <c r="P151" s="169">
        <f>(INDEX(Models!$BJ151:$BT151,,T151)*(1-R151)+INDEX(Models!$BJ151:$BT151,,T151+1)*R151-ERP_i)*Q151*Ramure*Pc/MaxiM</f>
        <v>2.9312210194587277E-5</v>
      </c>
      <c r="Q151" s="304">
        <f t="shared" si="53"/>
        <v>0.6</v>
      </c>
      <c r="R151" s="177">
        <f t="shared" si="54"/>
        <v>0.1094838779102385</v>
      </c>
      <c r="S151" s="799">
        <f t="shared" si="55"/>
        <v>-1</v>
      </c>
      <c r="T151" s="176">
        <f t="shared" si="56"/>
        <v>5</v>
      </c>
      <c r="U151" s="250">
        <f t="shared" si="57"/>
        <v>-0.8905161220897615</v>
      </c>
      <c r="V151" s="382">
        <f t="shared" si="58"/>
        <v>59.668480841015494</v>
      </c>
      <c r="W151" s="400">
        <f t="shared" si="59"/>
        <v>54.805043409540552</v>
      </c>
      <c r="X151" s="157">
        <f t="shared" si="60"/>
        <v>46524</v>
      </c>
      <c r="Y151" s="383">
        <f t="shared" si="61"/>
        <v>51.793173996578588</v>
      </c>
      <c r="Z151" s="383">
        <f t="shared" si="62"/>
        <v>54.903512370353617</v>
      </c>
      <c r="AA151" s="384">
        <f t="shared" si="63"/>
        <v>58.6576045180758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6.4000093058101726E-2</v>
      </c>
      <c r="AD151" s="230">
        <f>(INDEX(Models!$BJ151:$BT151,,AH151)*(1-AF151)+INDEX(Models!$BJ151:$BT151,,AH151+1)*AF151-ERP_i)*AE151*Ramure*Pc/MaxiM</f>
        <v>4.9334440910318552E-4</v>
      </c>
      <c r="AE151" s="304">
        <f t="shared" si="65"/>
        <v>0.6</v>
      </c>
      <c r="AF151" s="177">
        <f t="shared" si="66"/>
        <v>0.63447144428421698</v>
      </c>
      <c r="AG151" s="799">
        <f t="shared" si="74"/>
        <v>2</v>
      </c>
      <c r="AH151" s="176">
        <f t="shared" si="67"/>
        <v>8</v>
      </c>
      <c r="AI151" s="224">
        <f t="shared" si="68"/>
        <v>2.634471444284217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'2026'!Wh/'2026'!Env_an*'2027'!Env_an</f>
        <v>53.007101059780069</v>
      </c>
      <c r="C152" s="829"/>
      <c r="D152" s="391">
        <f t="shared" si="50"/>
        <v>56.19141635902745</v>
      </c>
      <c r="E152" s="383">
        <f t="shared" si="72"/>
        <v>56.764055924772023</v>
      </c>
      <c r="F152" s="383">
        <f t="shared" si="51"/>
        <v>56.765451271927169</v>
      </c>
      <c r="G152" s="110">
        <f t="shared" si="73"/>
        <v>0.88798125749137591</v>
      </c>
      <c r="H152" s="412" t="b">
        <f>Wh_hp&gt;='2026'!Maxi_hp</f>
        <v>0</v>
      </c>
      <c r="I152" s="388">
        <f>IF(H152,Wh_hp,'2026'!Maxi_hp)</f>
        <v>65.112138934007149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5.6669069861162269E-2</v>
      </c>
      <c r="M152" s="832"/>
      <c r="N152" s="832"/>
      <c r="O152" s="48">
        <f>IF(t&lt;Tnet,'2026'!Resal+('2026'!Salim-'2026'!Resal)*(1-EXP(('2026'!Tnet-t)/('2026'!Tau_j))),Resal+(Salim-Resal)*(1-EXP((Tnet-t)/(Tau_j))))*Salcycl</f>
        <v>1.0088066407789517E-2</v>
      </c>
      <c r="P152" s="169">
        <f>(INDEX(Models!$BJ152:$BT152,,T152)*(1-R152)+INDEX(Models!$BJ152:$BT152,,T152+1)*R152-ERP_i)*Q152*Ramure*Pc/MaxiM</f>
        <v>2.9263728735400414E-5</v>
      </c>
      <c r="Q152" s="304">
        <f t="shared" si="53"/>
        <v>0.6</v>
      </c>
      <c r="R152" s="177">
        <f t="shared" si="54"/>
        <v>0.11359435813419561</v>
      </c>
      <c r="S152" s="799">
        <f t="shared" si="55"/>
        <v>-1</v>
      </c>
      <c r="T152" s="176">
        <f t="shared" si="56"/>
        <v>5</v>
      </c>
      <c r="U152" s="250">
        <f t="shared" si="57"/>
        <v>-0.88640564186580439</v>
      </c>
      <c r="V152" s="382">
        <f t="shared" si="58"/>
        <v>59.693661757502582</v>
      </c>
      <c r="W152" s="400">
        <f t="shared" si="59"/>
        <v>53.007101059780069</v>
      </c>
      <c r="X152" s="157">
        <f t="shared" si="60"/>
        <v>46525</v>
      </c>
      <c r="Y152" s="383">
        <f t="shared" si="61"/>
        <v>50.095865042772232</v>
      </c>
      <c r="Z152" s="383">
        <f t="shared" si="62"/>
        <v>53.105292577864709</v>
      </c>
      <c r="AA152" s="384">
        <f t="shared" si="63"/>
        <v>56.742090440470214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6.4093476894739654E-2</v>
      </c>
      <c r="AD152" s="230">
        <f>(INDEX(Models!$BJ152:$BT152,,AH152)*(1-AF152)+INDEX(Models!$BJ152:$BT152,,AH152+1)*AF152-ERP_i)*AE152*Ramure*Pc/MaxiM</f>
        <v>4.8993186553337065E-4</v>
      </c>
      <c r="AE152" s="304">
        <f t="shared" si="65"/>
        <v>0.6</v>
      </c>
      <c r="AF152" s="177">
        <f t="shared" si="66"/>
        <v>0.6385819245081743</v>
      </c>
      <c r="AG152" s="799">
        <f t="shared" si="74"/>
        <v>2</v>
      </c>
      <c r="AH152" s="176">
        <f t="shared" si="67"/>
        <v>8</v>
      </c>
      <c r="AI152" s="224">
        <f t="shared" si="68"/>
        <v>2.6385819245081743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'2026'!Wh/'2026'!Env_an*'2027'!Env_an</f>
        <v>55.722300548083354</v>
      </c>
      <c r="C153" s="829"/>
      <c r="D153" s="391">
        <f t="shared" si="50"/>
        <v>59.070859115714931</v>
      </c>
      <c r="E153" s="383">
        <f t="shared" si="72"/>
        <v>59.679601648633927</v>
      </c>
      <c r="F153" s="383">
        <f t="shared" si="51"/>
        <v>59.681177308085687</v>
      </c>
      <c r="G153" s="110">
        <f t="shared" si="73"/>
        <v>0.93314435285159802</v>
      </c>
      <c r="H153" s="412" t="b">
        <f>Wh_hp&gt;='2026'!Maxi_hp</f>
        <v>0</v>
      </c>
      <c r="I153" s="388">
        <f>IF(H153,Wh_hp,'2026'!Maxi_hp)</f>
        <v>63.796579298765408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5.6687148583229985E-2</v>
      </c>
      <c r="M153" s="832"/>
      <c r="N153" s="832"/>
      <c r="O153" s="48">
        <f>IF(t&lt;Tnet,'2026'!Resal+('2026'!Salim-'2026'!Resal)*(1-EXP(('2026'!Tnet-t)/('2026'!Tau_j))),Resal+(Salim-Resal)*(1-EXP((Tnet-t)/(Tau_j))))*Salcycl</f>
        <v>1.0200177549826755E-2</v>
      </c>
      <c r="P153" s="169">
        <f>(INDEX(Models!$BJ153:$BT153,,T153)*(1-R153)+INDEX(Models!$BJ153:$BT153,,T153+1)*R153-ERP_i)*Q153*Ramure*Pc/MaxiM</f>
        <v>2.9188951521184926E-5</v>
      </c>
      <c r="Q153" s="304">
        <f t="shared" si="53"/>
        <v>0.6</v>
      </c>
      <c r="R153" s="177">
        <f t="shared" si="54"/>
        <v>0.11777988390149208</v>
      </c>
      <c r="S153" s="799">
        <f t="shared" si="55"/>
        <v>-1</v>
      </c>
      <c r="T153" s="176">
        <f t="shared" si="56"/>
        <v>5</v>
      </c>
      <c r="U153" s="250">
        <f t="shared" si="57"/>
        <v>-0.88222011609850792</v>
      </c>
      <c r="V153" s="382">
        <f t="shared" si="58"/>
        <v>59.714389352741343</v>
      </c>
      <c r="W153" s="400">
        <f t="shared" si="59"/>
        <v>55.722300548083354</v>
      </c>
      <c r="X153" s="157">
        <f t="shared" si="60"/>
        <v>46526</v>
      </c>
      <c r="Y153" s="383">
        <f t="shared" si="61"/>
        <v>52.661227088645454</v>
      </c>
      <c r="Z153" s="383">
        <f t="shared" si="62"/>
        <v>55.825834461550144</v>
      </c>
      <c r="AA153" s="384">
        <f t="shared" si="63"/>
        <v>59.654917620619216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6.4187217278891803E-2</v>
      </c>
      <c r="AD153" s="230">
        <f>(INDEX(Models!$BJ153:$BT153,,AH153)*(1-AF153)+INDEX(Models!$BJ153:$BT153,,AH153+1)*AF153-ERP_i)*AE153*Ramure*Pc/MaxiM</f>
        <v>4.8645838005430698E-4</v>
      </c>
      <c r="AE153" s="304">
        <f t="shared" si="65"/>
        <v>0.6</v>
      </c>
      <c r="AF153" s="177">
        <f t="shared" si="66"/>
        <v>0.64276745027547078</v>
      </c>
      <c r="AG153" s="799">
        <f t="shared" si="74"/>
        <v>2</v>
      </c>
      <c r="AH153" s="176">
        <f t="shared" si="67"/>
        <v>8</v>
      </c>
      <c r="AI153" s="224">
        <f t="shared" si="68"/>
        <v>2.6427674502754708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'2026'!Wh/'2026'!Env_an*'2027'!Env_an</f>
        <v>49.722132304295577</v>
      </c>
      <c r="C154" s="829"/>
      <c r="D154" s="391">
        <f t="shared" si="50"/>
        <v>52.711128827727634</v>
      </c>
      <c r="E154" s="383">
        <f t="shared" si="72"/>
        <v>53.260369577710293</v>
      </c>
      <c r="F154" s="383">
        <f t="shared" si="51"/>
        <v>53.26154790921013</v>
      </c>
      <c r="G154" s="110">
        <f t="shared" si="73"/>
        <v>0.83243029004594726</v>
      </c>
      <c r="H154" s="412" t="b">
        <f>Wh_hp&gt;='2026'!Maxi_hp</f>
        <v>0</v>
      </c>
      <c r="I154" s="388">
        <f>IF(H154,Wh_hp,'2026'!Maxi_hp)</f>
        <v>63.305602398396879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5.6705226958823074E-2</v>
      </c>
      <c r="M154" s="832"/>
      <c r="N154" s="832"/>
      <c r="O154" s="48">
        <f>IF(t&lt;Tnet,'2026'!Resal+('2026'!Salim-'2026'!Resal)*(1-EXP(('2026'!Tnet-t)/('2026'!Tau_j))),Resal+(Salim-Resal)*(1-EXP((Tnet-t)/(Tau_j))))*Salcycl</f>
        <v>1.0312372113401887E-2</v>
      </c>
      <c r="P154" s="169">
        <f>(INDEX(Models!$BJ154:$BT154,,T154)*(1-R154)+INDEX(Models!$BJ154:$BT154,,T154+1)*R154-ERP_i)*Q154*Ramure*Pc/MaxiM</f>
        <v>2.9086017526373171E-5</v>
      </c>
      <c r="Q154" s="304">
        <f t="shared" si="53"/>
        <v>0.6</v>
      </c>
      <c r="R154" s="177">
        <f t="shared" si="54"/>
        <v>0.12203889920915267</v>
      </c>
      <c r="S154" s="799">
        <f t="shared" si="55"/>
        <v>-1</v>
      </c>
      <c r="T154" s="176">
        <f t="shared" si="56"/>
        <v>5</v>
      </c>
      <c r="U154" s="250">
        <f t="shared" si="57"/>
        <v>-0.87796110079084733</v>
      </c>
      <c r="V154" s="382">
        <f t="shared" si="58"/>
        <v>59.730870800415772</v>
      </c>
      <c r="W154" s="400">
        <f t="shared" si="59"/>
        <v>49.722132304295577</v>
      </c>
      <c r="X154" s="157">
        <f t="shared" si="60"/>
        <v>46527</v>
      </c>
      <c r="Y154" s="383">
        <f t="shared" si="61"/>
        <v>46.994494538501222</v>
      </c>
      <c r="Z154" s="383">
        <f t="shared" si="62"/>
        <v>49.819521830902595</v>
      </c>
      <c r="AA154" s="384">
        <f t="shared" si="63"/>
        <v>53.241984068656862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6.4281267830682512E-2</v>
      </c>
      <c r="AD154" s="230">
        <f>(INDEX(Models!$BJ154:$BT154,,AH154)*(1-AF154)+INDEX(Models!$BJ154:$BT154,,AH154+1)*AF154-ERP_i)*AE154*Ramure*Pc/MaxiM</f>
        <v>4.8291521468707502E-4</v>
      </c>
      <c r="AE154" s="304">
        <f t="shared" si="65"/>
        <v>0.6</v>
      </c>
      <c r="AF154" s="177">
        <f t="shared" si="66"/>
        <v>0.64702646558313148</v>
      </c>
      <c r="AG154" s="799">
        <f t="shared" si="74"/>
        <v>2</v>
      </c>
      <c r="AH154" s="176">
        <f t="shared" si="67"/>
        <v>8</v>
      </c>
      <c r="AI154" s="224">
        <f t="shared" si="68"/>
        <v>2.6470264655831315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'2026'!Wh/'2026'!Env_an*'2027'!Env_an</f>
        <v>49.818289736362658</v>
      </c>
      <c r="C155" s="829"/>
      <c r="D155" s="391">
        <f t="shared" si="50"/>
        <v>52.814078837944955</v>
      </c>
      <c r="E155" s="383">
        <f t="shared" si="72"/>
        <v>53.370446720789019</v>
      </c>
      <c r="F155" s="383">
        <f t="shared" si="51"/>
        <v>53.371625258569374</v>
      </c>
      <c r="G155" s="110">
        <f t="shared" si="73"/>
        <v>0.8338664988463802</v>
      </c>
      <c r="H155" s="412" t="b">
        <f>Wh_hp&gt;='2026'!Maxi_hp</f>
        <v>0</v>
      </c>
      <c r="I155" s="388">
        <f>IF(H155,Wh_hp,'2026'!Maxi_hp)</f>
        <v>61.653025263591708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5.6723304987948309E-2</v>
      </c>
      <c r="M155" s="832"/>
      <c r="N155" s="832"/>
      <c r="O155" s="48">
        <f>IF(t&lt;Tnet,'2026'!Resal+('2026'!Salim-'2026'!Resal)*(1-EXP(('2026'!Tnet-t)/('2026'!Tau_j))),Resal+(Salim-Resal)*(1-EXP((Tnet-t)/(Tau_j))))*Salcycl</f>
        <v>1.0424643543921273E-2</v>
      </c>
      <c r="P155" s="169">
        <f>(INDEX(Models!$BJ155:$BT155,,T155)*(1-R155)+INDEX(Models!$BJ155:$BT155,,T155+1)*R155-ERP_i)*Q155*Ramure*Pc/MaxiM</f>
        <v>2.8953014721196568E-5</v>
      </c>
      <c r="Q155" s="304">
        <f t="shared" si="53"/>
        <v>0.6</v>
      </c>
      <c r="R155" s="177">
        <f t="shared" si="54"/>
        <v>0.12636966673009553</v>
      </c>
      <c r="S155" s="799">
        <f t="shared" si="55"/>
        <v>-1</v>
      </c>
      <c r="T155" s="176">
        <f t="shared" si="56"/>
        <v>5</v>
      </c>
      <c r="U155" s="250">
        <f t="shared" si="57"/>
        <v>-0.87363033326990447</v>
      </c>
      <c r="V155" s="382">
        <f t="shared" si="58"/>
        <v>59.743313206653362</v>
      </c>
      <c r="W155" s="400">
        <f t="shared" si="59"/>
        <v>49.818289736362658</v>
      </c>
      <c r="X155" s="157">
        <f t="shared" si="60"/>
        <v>46528</v>
      </c>
      <c r="Y155" s="383">
        <f t="shared" si="61"/>
        <v>47.086054140592516</v>
      </c>
      <c r="Z155" s="383">
        <f t="shared" si="62"/>
        <v>49.917542105703063</v>
      </c>
      <c r="AA155" s="384">
        <f t="shared" si="63"/>
        <v>53.352115513849164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6.4375580519474437E-2</v>
      </c>
      <c r="AD155" s="230">
        <f>(INDEX(Models!$BJ155:$BT155,,AH155)*(1-AF155)+INDEX(Models!$BJ155:$BT155,,AH155+1)*AF155-ERP_i)*AE155*Ramure*Pc/MaxiM</f>
        <v>4.7929386355325429E-4</v>
      </c>
      <c r="AE155" s="304">
        <f t="shared" si="65"/>
        <v>0.6</v>
      </c>
      <c r="AF155" s="177">
        <f t="shared" si="66"/>
        <v>0.65135723310407423</v>
      </c>
      <c r="AG155" s="799">
        <f t="shared" si="74"/>
        <v>2</v>
      </c>
      <c r="AH155" s="176">
        <f t="shared" si="67"/>
        <v>8</v>
      </c>
      <c r="AI155" s="224">
        <f t="shared" si="68"/>
        <v>2.6513572331040742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'2026'!Wh/'2026'!Env_an*'2027'!Env_an</f>
        <v>37.841762582729238</v>
      </c>
      <c r="C156" s="829"/>
      <c r="D156" s="391">
        <f t="shared" si="50"/>
        <v>40.118120192603364</v>
      </c>
      <c r="E156" s="383">
        <f t="shared" si="72"/>
        <v>40.545345883484288</v>
      </c>
      <c r="F156" s="383">
        <f t="shared" si="51"/>
        <v>40.545902070657256</v>
      </c>
      <c r="G156" s="110">
        <f t="shared" si="73"/>
        <v>0.63330500504837262</v>
      </c>
      <c r="H156" s="412" t="b">
        <f>Wh_hp&gt;='2026'!Maxi_hp</f>
        <v>0</v>
      </c>
      <c r="I156" s="388">
        <f>IF(H156,Wh_hp,'2026'!Maxi_hp)</f>
        <v>60.757180610940942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5.6741382670612239E-2</v>
      </c>
      <c r="M156" s="832"/>
      <c r="N156" s="832"/>
      <c r="O156" s="48">
        <f>IF(t&lt;Tnet,'2026'!Resal+('2026'!Salim-'2026'!Resal)*(1-EXP(('2026'!Tnet-t)/('2026'!Tau_j))),Resal+(Salim-Resal)*(1-EXP((Tnet-t)/(Tau_j))))*Salcycl</f>
        <v>1.0536984740706029E-2</v>
      </c>
      <c r="P156" s="169">
        <f>(INDEX(Models!$BJ156:$BT156,,T156)*(1-R156)+INDEX(Models!$BJ156:$BT156,,T156+1)*R156-ERP_i)*Q156*Ramure*Pc/MaxiM</f>
        <v>2.88083081186379E-5</v>
      </c>
      <c r="Q156" s="304">
        <f t="shared" si="53"/>
        <v>0.6</v>
      </c>
      <c r="R156" s="177">
        <f t="shared" si="54"/>
        <v>0.13077026697565119</v>
      </c>
      <c r="S156" s="799">
        <f t="shared" si="55"/>
        <v>-1</v>
      </c>
      <c r="T156" s="176">
        <f t="shared" si="56"/>
        <v>5</v>
      </c>
      <c r="U156" s="250">
        <f t="shared" si="57"/>
        <v>-0.86922973302434881</v>
      </c>
      <c r="V156" s="382">
        <f t="shared" si="58"/>
        <v>59.751922390177761</v>
      </c>
      <c r="W156" s="400">
        <f t="shared" si="59"/>
        <v>37.841762582729238</v>
      </c>
      <c r="X156" s="157">
        <f t="shared" si="60"/>
        <v>46529</v>
      </c>
      <c r="Y156" s="383">
        <f t="shared" si="61"/>
        <v>35.771489259370107</v>
      </c>
      <c r="Z156" s="383">
        <f t="shared" si="62"/>
        <v>37.923310322516386</v>
      </c>
      <c r="AA156" s="384">
        <f t="shared" si="63"/>
        <v>40.536716738685847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6.447010578129482E-2</v>
      </c>
      <c r="AD156" s="230">
        <f>(INDEX(Models!$BJ156:$BT156,,AH156)*(1-AF156)+INDEX(Models!$BJ156:$BT156,,AH156+1)*AF156-ERP_i)*AE156*Ramure*Pc/MaxiM</f>
        <v>4.757640709196844E-4</v>
      </c>
      <c r="AE156" s="304">
        <f t="shared" si="65"/>
        <v>0.6</v>
      </c>
      <c r="AF156" s="177">
        <f t="shared" si="66"/>
        <v>0.65575783334962967</v>
      </c>
      <c r="AG156" s="799">
        <f t="shared" si="74"/>
        <v>2</v>
      </c>
      <c r="AH156" s="176">
        <f t="shared" si="67"/>
        <v>8</v>
      </c>
      <c r="AI156" s="224">
        <f t="shared" si="68"/>
        <v>2.6557578333496297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'2026'!Wh/'2026'!Env_an*'2027'!Env_an</f>
        <v>19.979717596561109</v>
      </c>
      <c r="C157" s="829"/>
      <c r="D157" s="391">
        <f t="shared" si="50"/>
        <v>21.181996266515011</v>
      </c>
      <c r="E157" s="383">
        <f t="shared" si="72"/>
        <v>21.40999966145991</v>
      </c>
      <c r="F157" s="383">
        <f t="shared" si="51"/>
        <v>21.410029771380692</v>
      </c>
      <c r="G157" s="110">
        <f t="shared" si="73"/>
        <v>0.33434082928949654</v>
      </c>
      <c r="H157" s="412" t="b">
        <f>Wh_hp&gt;='2026'!Maxi_hp</f>
        <v>0</v>
      </c>
      <c r="I157" s="388">
        <f>IF(H157,Wh_hp,'2026'!Maxi_hp)</f>
        <v>57.940082195716684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5.6759460006821527E-2</v>
      </c>
      <c r="M157" s="832"/>
      <c r="N157" s="832"/>
      <c r="O157" s="48">
        <f>IF(t&lt;Tnet,'2026'!Resal+('2026'!Salim-'2026'!Resal)*(1-EXP(('2026'!Tnet-t)/('2026'!Tau_j))),Resal+(Salim-Resal)*(1-EXP((Tnet-t)/(Tau_j))))*Salcycl</f>
        <v>1.0649388068666246E-2</v>
      </c>
      <c r="P157" s="169">
        <f>(INDEX(Models!$BJ157:$BT157,,T157)*(1-R157)+INDEX(Models!$BJ157:$BT157,,T157+1)*R157-ERP_i)*Q157*Ramure*Pc/MaxiM</f>
        <v>2.8659221069156577E-5</v>
      </c>
      <c r="Q157" s="304">
        <f t="shared" si="53"/>
        <v>0.6</v>
      </c>
      <c r="R157" s="177">
        <f t="shared" si="54"/>
        <v>0.13523859830742346</v>
      </c>
      <c r="S157" s="799">
        <f t="shared" si="55"/>
        <v>-1</v>
      </c>
      <c r="T157" s="176">
        <f t="shared" si="56"/>
        <v>5</v>
      </c>
      <c r="U157" s="250">
        <f t="shared" si="57"/>
        <v>-0.86476140169257654</v>
      </c>
      <c r="V157" s="382">
        <f t="shared" si="58"/>
        <v>59.756904753498311</v>
      </c>
      <c r="W157" s="400">
        <f t="shared" si="59"/>
        <v>19.979717596561109</v>
      </c>
      <c r="X157" s="157">
        <f t="shared" si="60"/>
        <v>46530</v>
      </c>
      <c r="Y157" s="383">
        <f t="shared" si="61"/>
        <v>18.890496612861092</v>
      </c>
      <c r="Z157" s="383">
        <f t="shared" si="62"/>
        <v>20.027231455719352</v>
      </c>
      <c r="AA157" s="384">
        <f t="shared" si="63"/>
        <v>21.409533550068375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6.4564792647927971E-2</v>
      </c>
      <c r="AD157" s="230">
        <f>(INDEX(Models!$BJ157:$BT157,,AH157)*(1-AF157)+INDEX(Models!$BJ157:$BT157,,AH157+1)*AF157-ERP_i)*AE157*Ramure*Pc/MaxiM</f>
        <v>4.7231330801101657E-4</v>
      </c>
      <c r="AE157" s="304">
        <f t="shared" si="65"/>
        <v>0.6</v>
      </c>
      <c r="AF157" s="177">
        <f t="shared" si="66"/>
        <v>0.66022616468140205</v>
      </c>
      <c r="AG157" s="799">
        <f t="shared" si="74"/>
        <v>2</v>
      </c>
      <c r="AH157" s="176">
        <f t="shared" si="67"/>
        <v>8</v>
      </c>
      <c r="AI157" s="224">
        <f t="shared" si="68"/>
        <v>2.6602261646814021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'2026'!Wh/'2026'!Env_an*'2027'!Env_an</f>
        <v>16.516902064100471</v>
      </c>
      <c r="C158" s="829"/>
      <c r="D158" s="391">
        <f t="shared" si="50"/>
        <v>17.511141551386729</v>
      </c>
      <c r="E158" s="383">
        <f t="shared" si="72"/>
        <v>17.701643905952078</v>
      </c>
      <c r="F158" s="383">
        <f t="shared" si="51"/>
        <v>17.701643905952078</v>
      </c>
      <c r="G158" s="110">
        <f t="shared" si="73"/>
        <v>0.27638646118062993</v>
      </c>
      <c r="H158" s="412" t="b">
        <f>Wh_hp&gt;='2026'!Maxi_hp</f>
        <v>0</v>
      </c>
      <c r="I158" s="388">
        <f>IF(H158,Wh_hp,'2026'!Maxi_hp)</f>
        <v>27.39141049073487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5.6777536996582723E-2</v>
      </c>
      <c r="M158" s="832"/>
      <c r="N158" s="832"/>
      <c r="O158" s="48">
        <f>IF(t&lt;Tnet,'2026'!Resal+('2026'!Salim-'2026'!Resal)*(1-EXP(('2026'!Tnet-t)/('2026'!Tau_j))),Resal+(Salim-Resal)*(1-EXP((Tnet-t)/(Tau_j))))*Salcycl</f>
        <v>1.0761845373089499E-2</v>
      </c>
      <c r="P158" s="169">
        <f>(INDEX(Models!$BJ158:$BT158,,T158)*(1-R158)+INDEX(Models!$BJ158:$BT158,,T158+1)*R158-ERP_i)*Q158*Ramure*Pc/MaxiM</f>
        <v>2.8504939248080177E-5</v>
      </c>
      <c r="Q158" s="304">
        <f t="shared" si="53"/>
        <v>0.6</v>
      </c>
      <c r="R158" s="177">
        <f t="shared" si="54"/>
        <v>0.13977237783825303</v>
      </c>
      <c r="S158" s="799">
        <f t="shared" si="55"/>
        <v>-1</v>
      </c>
      <c r="T158" s="176">
        <f t="shared" si="56"/>
        <v>5</v>
      </c>
      <c r="U158" s="250">
        <f t="shared" si="57"/>
        <v>-0.86022762216174697</v>
      </c>
      <c r="V158" s="382">
        <f t="shared" si="58"/>
        <v>59.758467112527626</v>
      </c>
      <c r="W158" s="400">
        <f t="shared" si="59"/>
        <v>16.516902064100471</v>
      </c>
      <c r="X158" s="157">
        <f t="shared" si="60"/>
        <v>46531</v>
      </c>
      <c r="Y158" s="383">
        <f t="shared" si="61"/>
        <v>15.616993637664979</v>
      </c>
      <c r="Z158" s="383">
        <f t="shared" si="62"/>
        <v>16.557062888363802</v>
      </c>
      <c r="AA158" s="384">
        <f t="shared" si="63"/>
        <v>17.701643905952078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6.4659588887302027E-2</v>
      </c>
      <c r="AD158" s="230">
        <f>(INDEX(Models!$BJ158:$BT158,,AH158)*(1-AF158)+INDEX(Models!$BJ158:$BT158,,AH158+1)*AF158-ERP_i)*AE158*Ramure*Pc/MaxiM</f>
        <v>4.689370849328921E-4</v>
      </c>
      <c r="AE158" s="304">
        <f t="shared" si="65"/>
        <v>0.6</v>
      </c>
      <c r="AF158" s="177">
        <f t="shared" si="66"/>
        <v>0.66475994421223161</v>
      </c>
      <c r="AG158" s="799">
        <f t="shared" si="74"/>
        <v>2</v>
      </c>
      <c r="AH158" s="176">
        <f t="shared" si="67"/>
        <v>8</v>
      </c>
      <c r="AI158" s="224">
        <f t="shared" si="68"/>
        <v>2.6647599442122316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'2026'!Wh/'2026'!Env_an*'2027'!Env_an</f>
        <v>41.547745959170157</v>
      </c>
      <c r="C159" s="829"/>
      <c r="D159" s="391">
        <f t="shared" si="50"/>
        <v>44.049568216604989</v>
      </c>
      <c r="E159" s="383">
        <f t="shared" si="72"/>
        <v>44.533844741999239</v>
      </c>
      <c r="F159" s="383">
        <f t="shared" si="51"/>
        <v>44.534557559500946</v>
      </c>
      <c r="G159" s="110">
        <f t="shared" si="73"/>
        <v>0.69527186931841622</v>
      </c>
      <c r="H159" s="412" t="b">
        <f>Wh_hp&gt;='2026'!Maxi_hp</f>
        <v>0</v>
      </c>
      <c r="I159" s="388">
        <f>IF(H159,Wh_hp,'2026'!Maxi_hp)</f>
        <v>59.825577923222795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5.6795613639902598E-2</v>
      </c>
      <c r="M159" s="832"/>
      <c r="N159" s="832"/>
      <c r="O159" s="48">
        <f>IF(t&lt;Tnet,'2026'!Resal+('2026'!Salim-'2026'!Resal)*(1-EXP(('2026'!Tnet-t)/('2026'!Tau_j))),Resal+(Salim-Resal)*(1-EXP((Tnet-t)/(Tau_j))))*Salcycl</f>
        <v>1.087434799756995E-2</v>
      </c>
      <c r="P159" s="169">
        <f>(INDEX(Models!$BJ159:$BT159,,T159)*(1-R159)+INDEX(Models!$BJ159:$BT159,,T159+1)*R159-ERP_i)*Q159*Ramure*Pc/MaxiM</f>
        <v>2.8344834051114776E-5</v>
      </c>
      <c r="Q159" s="304">
        <f t="shared" si="53"/>
        <v>0.6</v>
      </c>
      <c r="R159" s="177">
        <f t="shared" si="54"/>
        <v>0.14436914325597006</v>
      </c>
      <c r="S159" s="799">
        <f t="shared" si="55"/>
        <v>-1</v>
      </c>
      <c r="T159" s="176">
        <f t="shared" si="56"/>
        <v>5</v>
      </c>
      <c r="U159" s="250">
        <f t="shared" si="57"/>
        <v>-0.85563085674402994</v>
      </c>
      <c r="V159" s="382">
        <f t="shared" si="58"/>
        <v>59.756816191198396</v>
      </c>
      <c r="W159" s="400">
        <f t="shared" si="59"/>
        <v>41.547745959170157</v>
      </c>
      <c r="X159" s="157">
        <f t="shared" si="60"/>
        <v>46532</v>
      </c>
      <c r="Y159" s="383">
        <f t="shared" si="61"/>
        <v>39.27483789412004</v>
      </c>
      <c r="Z159" s="383">
        <f t="shared" si="62"/>
        <v>41.639795639293872</v>
      </c>
      <c r="AA159" s="384">
        <f t="shared" si="63"/>
        <v>44.522847764927022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6.4754441154689077E-2</v>
      </c>
      <c r="AD159" s="230">
        <f>(INDEX(Models!$BJ159:$BT159,,AH159)*(1-AF159)+INDEX(Models!$BJ159:$BT159,,AH159+1)*AF159-ERP_i)*AE159*Ramure*Pc/MaxiM</f>
        <v>4.6563416747878874E-4</v>
      </c>
      <c r="AE159" s="304">
        <f t="shared" si="65"/>
        <v>0.6</v>
      </c>
      <c r="AF159" s="177">
        <f t="shared" si="66"/>
        <v>0.66935670962994864</v>
      </c>
      <c r="AG159" s="799">
        <f t="shared" si="74"/>
        <v>2</v>
      </c>
      <c r="AH159" s="176">
        <f t="shared" si="67"/>
        <v>8</v>
      </c>
      <c r="AI159" s="224">
        <f t="shared" si="68"/>
        <v>2.6693567096299486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'2026'!Wh/'2026'!Env_an*'2027'!Env_an</f>
        <v>25.255696450065756</v>
      </c>
      <c r="C160" s="829"/>
      <c r="D160" s="391">
        <f t="shared" si="50"/>
        <v>26.776996422237211</v>
      </c>
      <c r="E160" s="383">
        <f t="shared" si="72"/>
        <v>27.074460454560054</v>
      </c>
      <c r="F160" s="383">
        <f t="shared" si="51"/>
        <v>27.074594154690651</v>
      </c>
      <c r="G160" s="110">
        <f t="shared" si="73"/>
        <v>0.42266438700995229</v>
      </c>
      <c r="H160" s="412" t="b">
        <f>Wh_hp&gt;='2026'!Maxi_hp</f>
        <v>0</v>
      </c>
      <c r="I160" s="388">
        <f>IF(H160,Wh_hp,'2026'!Maxi_hp)</f>
        <v>62.596709791929555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5.6813689936787592E-2</v>
      </c>
      <c r="M160" s="832"/>
      <c r="N160" s="832"/>
      <c r="O160" s="48">
        <f>IF(t&lt;Tnet,'2026'!Resal+('2026'!Salim-'2026'!Resal)*(1-EXP(('2026'!Tnet-t)/('2026'!Tau_j))),Resal+(Salim-Resal)*(1-EXP((Tnet-t)/(Tau_j))))*Salcycl</f>
        <v>1.0986886805079242E-2</v>
      </c>
      <c r="P160" s="169">
        <f>(INDEX(Models!$BJ160:$BT160,,T160)*(1-R160)+INDEX(Models!$BJ160:$BT160,,T160+1)*R160-ERP_i)*Q160*Ramure*Pc/MaxiM</f>
        <v>2.8178290761948586E-5</v>
      </c>
      <c r="Q160" s="304">
        <f t="shared" si="53"/>
        <v>0.6</v>
      </c>
      <c r="R160" s="177">
        <f t="shared" si="54"/>
        <v>0.14902625559680238</v>
      </c>
      <c r="S160" s="799">
        <f t="shared" si="55"/>
        <v>-1</v>
      </c>
      <c r="T160" s="176">
        <f t="shared" si="56"/>
        <v>5</v>
      </c>
      <c r="U160" s="250">
        <f t="shared" si="57"/>
        <v>-0.85097374440319762</v>
      </c>
      <c r="V160" s="382">
        <f t="shared" si="58"/>
        <v>59.752158637012776</v>
      </c>
      <c r="W160" s="400">
        <f t="shared" si="59"/>
        <v>25.255696450065756</v>
      </c>
      <c r="X160" s="157">
        <f t="shared" si="60"/>
        <v>46533</v>
      </c>
      <c r="Y160" s="383">
        <f t="shared" si="61"/>
        <v>23.878434725110367</v>
      </c>
      <c r="Z160" s="383">
        <f t="shared" si="62"/>
        <v>25.316774077764162</v>
      </c>
      <c r="AA160" s="384">
        <f t="shared" si="63"/>
        <v>27.072400145318642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6.4849295154129946E-2</v>
      </c>
      <c r="AD160" s="230">
        <f>(INDEX(Models!$BJ160:$BT160,,AH160)*(1-AF160)+INDEX(Models!$BJ160:$BT160,,AH160+1)*AF160-ERP_i)*AE160*Ramure*Pc/MaxiM</f>
        <v>4.624036920759436E-4</v>
      </c>
      <c r="AE160" s="304">
        <f t="shared" si="65"/>
        <v>0.6</v>
      </c>
      <c r="AF160" s="177">
        <f t="shared" si="66"/>
        <v>0.67401382197078119</v>
      </c>
      <c r="AG160" s="799">
        <f t="shared" si="74"/>
        <v>2</v>
      </c>
      <c r="AH160" s="176">
        <f t="shared" si="67"/>
        <v>8</v>
      </c>
      <c r="AI160" s="224">
        <f t="shared" si="68"/>
        <v>2.6740138219707812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'2026'!Wh/'2026'!Env_an*'2027'!Env_an</f>
        <v>46.498187428582504</v>
      </c>
      <c r="C161" s="829"/>
      <c r="D161" s="391">
        <f t="shared" si="50"/>
        <v>49.299993094364183</v>
      </c>
      <c r="E161" s="383">
        <f t="shared" si="72"/>
        <v>49.853337834779168</v>
      </c>
      <c r="F161" s="383">
        <f t="shared" si="51"/>
        <v>49.854291770405268</v>
      </c>
      <c r="G161" s="110">
        <f t="shared" si="73"/>
        <v>0.77827446084891694</v>
      </c>
      <c r="H161" s="412" t="b">
        <f>Wh_hp&gt;='2026'!Maxi_hp</f>
        <v>0</v>
      </c>
      <c r="I161" s="388">
        <f>IF(H161,Wh_hp,'2026'!Maxi_hp)</f>
        <v>62.270971233570506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5.683176588724459E-2</v>
      </c>
      <c r="M161" s="832"/>
      <c r="N161" s="832"/>
      <c r="O161" s="48">
        <f>IF(t&lt;Tnet,'2026'!Resal+('2026'!Salim-'2026'!Resal)*(1-EXP(('2026'!Tnet-t)/('2026'!Tau_j))),Resal+(Salim-Resal)*(1-EXP((Tnet-t)/(Tau_j))))*Salcycl</f>
        <v>1.1099452202154353E-2</v>
      </c>
      <c r="P161" s="169">
        <f>(INDEX(Models!$BJ161:$BT161,,T161)*(1-R161)+INDEX(Models!$BJ161:$BT161,,T161+1)*R161-ERP_i)*Q161*Ramure*Pc/MaxiM</f>
        <v>2.8004711165176737E-5</v>
      </c>
      <c r="Q161" s="304">
        <f t="shared" si="53"/>
        <v>0.6</v>
      </c>
      <c r="R161" s="177">
        <f t="shared" si="54"/>
        <v>0.15374090298777832</v>
      </c>
      <c r="S161" s="799">
        <f t="shared" si="55"/>
        <v>-1</v>
      </c>
      <c r="T161" s="176">
        <f t="shared" si="56"/>
        <v>5</v>
      </c>
      <c r="U161" s="250">
        <f t="shared" si="57"/>
        <v>-0.84625909701222168</v>
      </c>
      <c r="V161" s="382">
        <f t="shared" si="58"/>
        <v>59.744701014600722</v>
      </c>
      <c r="W161" s="400">
        <f t="shared" si="59"/>
        <v>46.498187428582504</v>
      </c>
      <c r="X161" s="157">
        <f t="shared" si="60"/>
        <v>46534</v>
      </c>
      <c r="Y161" s="383">
        <f t="shared" si="61"/>
        <v>43.95345282610149</v>
      </c>
      <c r="Z161" s="383">
        <f t="shared" si="62"/>
        <v>46.601922368016126</v>
      </c>
      <c r="AA161" s="384">
        <f t="shared" si="63"/>
        <v>49.838648319487383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6.4944095809389479E-2</v>
      </c>
      <c r="AD161" s="230">
        <f>(INDEX(Models!$BJ161:$BT161,,AH161)*(1-AF161)+INDEX(Models!$BJ161:$BT161,,AH161+1)*AF161-ERP_i)*AE161*Ramure*Pc/MaxiM</f>
        <v>4.5924516560053713E-4</v>
      </c>
      <c r="AE161" s="304">
        <f t="shared" si="65"/>
        <v>0.6</v>
      </c>
      <c r="AF161" s="177">
        <f t="shared" si="66"/>
        <v>0.67872846936175701</v>
      </c>
      <c r="AG161" s="799">
        <f t="shared" si="74"/>
        <v>2</v>
      </c>
      <c r="AH161" s="176">
        <f t="shared" si="67"/>
        <v>8</v>
      </c>
      <c r="AI161" s="224">
        <f t="shared" si="68"/>
        <v>2.678728469361757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'2026'!Wh/'2026'!Env_an*'2027'!Env_an</f>
        <v>55.92692804056918</v>
      </c>
      <c r="C162" s="829"/>
      <c r="D162" s="391">
        <f t="shared" si="50"/>
        <v>59.298010540547565</v>
      </c>
      <c r="E162" s="383">
        <f t="shared" si="72"/>
        <v>59.970400722404925</v>
      </c>
      <c r="F162" s="383">
        <f t="shared" si="51"/>
        <v>59.971917401992329</v>
      </c>
      <c r="G162" s="110">
        <f t="shared" si="73"/>
        <v>0.93625369059642116</v>
      </c>
      <c r="H162" s="412" t="b">
        <f>Wh_hp&gt;='2026'!Maxi_hp</f>
        <v>0</v>
      </c>
      <c r="I162" s="388">
        <f>IF(H162,Wh_hp,'2026'!Maxi_hp)</f>
        <v>61.405954695216622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5.684984149128014E-2</v>
      </c>
      <c r="M162" s="832"/>
      <c r="N162" s="832"/>
      <c r="O162" s="48">
        <f>IF(t&lt;Tnet,'2026'!Resal+('2026'!Salim-'2026'!Resal)*(1-EXP(('2026'!Tnet-t)/('2026'!Tau_j))),Resal+(Salim-Resal)*(1-EXP((Tnet-t)/(Tau_j))))*Salcycl</f>
        <v>1.1212034166150752E-2</v>
      </c>
      <c r="P162" s="169">
        <f>(INDEX(Models!$BJ162:$BT162,,T162)*(1-R162)+INDEX(Models!$BJ162:$BT162,,T162+1)*R162-ERP_i)*Q162*Ramure*Pc/MaxiM</f>
        <v>2.7823516246406756E-5</v>
      </c>
      <c r="Q162" s="304">
        <f t="shared" si="53"/>
        <v>0.6</v>
      </c>
      <c r="R162" s="177">
        <f t="shared" si="54"/>
        <v>0.15851010536932064</v>
      </c>
      <c r="S162" s="799">
        <f t="shared" si="55"/>
        <v>-1</v>
      </c>
      <c r="T162" s="176">
        <f t="shared" si="56"/>
        <v>5</v>
      </c>
      <c r="U162" s="250">
        <f t="shared" si="57"/>
        <v>-0.84148989463067936</v>
      </c>
      <c r="V162" s="382">
        <f t="shared" si="58"/>
        <v>59.734649804223686</v>
      </c>
      <c r="W162" s="400">
        <f t="shared" si="59"/>
        <v>55.92692804056918</v>
      </c>
      <c r="X162" s="157">
        <f t="shared" si="60"/>
        <v>46535</v>
      </c>
      <c r="Y162" s="383">
        <f t="shared" si="61"/>
        <v>52.86183883109365</v>
      </c>
      <c r="Z162" s="383">
        <f t="shared" si="62"/>
        <v>56.048168315718854</v>
      </c>
      <c r="AA162" s="384">
        <f t="shared" si="63"/>
        <v>59.947051880872131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6.5038787443646273E-2</v>
      </c>
      <c r="AD162" s="230">
        <f>(INDEX(Models!$BJ162:$BT162,,AH162)*(1-AF162)+INDEX(Models!$BJ162:$BT162,,AH162+1)*AF162-ERP_i)*AE162*Ramure*Pc/MaxiM</f>
        <v>4.5615846392919293E-4</v>
      </c>
      <c r="AE162" s="304">
        <f t="shared" si="65"/>
        <v>0.6</v>
      </c>
      <c r="AF162" s="177">
        <f t="shared" si="66"/>
        <v>0.68349767174329923</v>
      </c>
      <c r="AG162" s="799">
        <f t="shared" si="74"/>
        <v>2</v>
      </c>
      <c r="AH162" s="176">
        <f t="shared" si="67"/>
        <v>8</v>
      </c>
      <c r="AI162" s="224">
        <f t="shared" si="68"/>
        <v>2.6834976717432992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'2026'!Wh/'2026'!Env_an*'2027'!Env_an</f>
        <v>60.470142776431686</v>
      </c>
      <c r="C163" s="829"/>
      <c r="D163" s="391">
        <f t="shared" si="50"/>
        <v>64.116303379250155</v>
      </c>
      <c r="E163" s="383">
        <f t="shared" si="72"/>
        <v>64.850713210656451</v>
      </c>
      <c r="F163" s="383">
        <f t="shared" si="51"/>
        <v>64.852505396426309</v>
      </c>
      <c r="G163" s="110">
        <f t="shared" si="73"/>
        <v>1.0125472202397048</v>
      </c>
      <c r="H163" s="412" t="b">
        <f>Wh_hp&gt;='2026'!Maxi_hp</f>
        <v>1</v>
      </c>
      <c r="I163" s="388">
        <f>IF(H163,Wh_hp,'2026'!Maxi_hp)</f>
        <v>64.852505396426309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5.6867916748900793E-2</v>
      </c>
      <c r="M163" s="832"/>
      <c r="N163" s="832"/>
      <c r="O163" s="48">
        <f>IF(t&lt;Tnet,'2026'!Resal+('2026'!Salim-'2026'!Resal)*(1-EXP(('2026'!Tnet-t)/('2026'!Tau_j))),Resal+(Salim-Resal)*(1-EXP((Tnet-t)/(Tau_j))))*Salcycl</f>
        <v>1.1324622275482048E-2</v>
      </c>
      <c r="P163" s="169">
        <f>(INDEX(Models!$BJ163:$BT163,,T163)*(1-R163)+INDEX(Models!$BJ163:$BT163,,T163+1)*R163-ERP_i)*Q163*Ramure*Pc/MaxiM</f>
        <v>2.76347962026481E-5</v>
      </c>
      <c r="Q163" s="304">
        <f t="shared" si="53"/>
        <v>0.6</v>
      </c>
      <c r="R163" s="177">
        <f t="shared" si="54"/>
        <v>0.16333072020054262</v>
      </c>
      <c r="S163" s="799">
        <f t="shared" si="55"/>
        <v>-1</v>
      </c>
      <c r="T163" s="176">
        <f t="shared" si="56"/>
        <v>5</v>
      </c>
      <c r="U163" s="250">
        <f t="shared" si="57"/>
        <v>-0.83666927979945738</v>
      </c>
      <c r="V163" s="382">
        <f t="shared" si="58"/>
        <v>59.720812587995965</v>
      </c>
      <c r="W163" s="400">
        <f t="shared" si="59"/>
        <v>60.470142776431686</v>
      </c>
      <c r="X163" s="157">
        <f t="shared" si="60"/>
        <v>46536</v>
      </c>
      <c r="Y163" s="383">
        <f t="shared" si="61"/>
        <v>57.154721677575616</v>
      </c>
      <c r="Z163" s="383">
        <f t="shared" si="62"/>
        <v>60.600972750874767</v>
      </c>
      <c r="AA163" s="384">
        <f t="shared" si="63"/>
        <v>64.823117195489715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6.5133313967022863E-2</v>
      </c>
      <c r="AD163" s="230">
        <f>(INDEX(Models!$BJ163:$BT163,,AH163)*(1-AF163)+INDEX(Models!$BJ163:$BT163,,AH163+1)*AF163-ERP_i)*AE163*Ramure*Pc/MaxiM</f>
        <v>4.5315444263796528E-4</v>
      </c>
      <c r="AE163" s="304">
        <f t="shared" si="65"/>
        <v>0.6</v>
      </c>
      <c r="AF163" s="177">
        <f t="shared" si="66"/>
        <v>0.68831828657452121</v>
      </c>
      <c r="AG163" s="799">
        <f t="shared" si="74"/>
        <v>2</v>
      </c>
      <c r="AH163" s="176">
        <f t="shared" si="67"/>
        <v>8</v>
      </c>
      <c r="AI163" s="224">
        <f t="shared" si="68"/>
        <v>2.6883182865745212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'2026'!Wh/'2026'!Env_an*'2027'!Env_an</f>
        <v>51.30808835390166</v>
      </c>
      <c r="C164" s="829"/>
      <c r="D164" s="391">
        <f t="shared" si="50"/>
        <v>54.402848330305851</v>
      </c>
      <c r="E164" s="383">
        <f t="shared" si="72"/>
        <v>55.032263652184582</v>
      </c>
      <c r="F164" s="383">
        <f t="shared" si="51"/>
        <v>55.033470588871772</v>
      </c>
      <c r="G164" s="110">
        <f t="shared" si="73"/>
        <v>0.85939651194674049</v>
      </c>
      <c r="H164" s="412" t="b">
        <f>Wh_hp&gt;='2026'!Maxi_hp</f>
        <v>0</v>
      </c>
      <c r="I164" s="388">
        <f>IF(H164,Wh_hp,'2026'!Maxi_hp)</f>
        <v>59.25879141798292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5.6885991660113322E-2</v>
      </c>
      <c r="M164" s="832"/>
      <c r="N164" s="832"/>
      <c r="O164" s="48">
        <f>IF(t&lt;Tnet,'2026'!Resal+('2026'!Salim-'2026'!Resal)*(1-EXP(('2026'!Tnet-t)/('2026'!Tau_j))),Resal+(Salim-Resal)*(1-EXP((Tnet-t)/(Tau_j))))*Salcycl</f>
        <v>1.1437205742739752E-2</v>
      </c>
      <c r="P164" s="169">
        <f>(INDEX(Models!$BJ164:$BT164,,T164)*(1-R164)+INDEX(Models!$BJ164:$BT164,,T164+1)*R164-ERP_i)*Q164*Ramure*Pc/MaxiM</f>
        <v>2.7443038521442263E-5</v>
      </c>
      <c r="Q164" s="304">
        <f t="shared" si="53"/>
        <v>0.6</v>
      </c>
      <c r="R164" s="177">
        <f t="shared" si="54"/>
        <v>0.16819944914063023</v>
      </c>
      <c r="S164" s="799">
        <f t="shared" si="55"/>
        <v>-1</v>
      </c>
      <c r="T164" s="176">
        <f t="shared" si="56"/>
        <v>5</v>
      </c>
      <c r="U164" s="250">
        <f t="shared" si="57"/>
        <v>-0.83180055085936977</v>
      </c>
      <c r="V164" s="382">
        <f t="shared" si="58"/>
        <v>59.702133788183886</v>
      </c>
      <c r="W164" s="400">
        <f t="shared" si="59"/>
        <v>51.30808835390166</v>
      </c>
      <c r="X164" s="157">
        <f t="shared" si="60"/>
        <v>46537</v>
      </c>
      <c r="Y164" s="383">
        <f t="shared" si="61"/>
        <v>48.499878982143585</v>
      </c>
      <c r="Z164" s="383">
        <f t="shared" si="62"/>
        <v>51.425255645937582</v>
      </c>
      <c r="AA164" s="384">
        <f t="shared" si="63"/>
        <v>55.013666102145969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6.522761907097134E-2</v>
      </c>
      <c r="AD164" s="230">
        <f>(INDEX(Models!$BJ164:$BT164,,AH164)*(1-AF164)+INDEX(Models!$BJ164:$BT164,,AH164+1)*AF164-ERP_i)*AE164*Ramure*Pc/MaxiM</f>
        <v>4.5030969551251832E-4</v>
      </c>
      <c r="AE164" s="304">
        <f t="shared" si="65"/>
        <v>0.6</v>
      </c>
      <c r="AF164" s="177">
        <f t="shared" si="66"/>
        <v>0.69318701551460871</v>
      </c>
      <c r="AG164" s="799">
        <f t="shared" si="74"/>
        <v>2</v>
      </c>
      <c r="AH164" s="176">
        <f t="shared" si="67"/>
        <v>8</v>
      </c>
      <c r="AI164" s="224">
        <f t="shared" si="68"/>
        <v>2.6931870155146087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'2026'!Wh/'2026'!Env_an*'2027'!Env_an</f>
        <v>55.619597159550672</v>
      </c>
      <c r="C165" s="829"/>
      <c r="D165" s="391">
        <f t="shared" si="50"/>
        <v>58.975545506715868</v>
      </c>
      <c r="E165" s="383">
        <f t="shared" si="72"/>
        <v>59.664658798847505</v>
      </c>
      <c r="F165" s="383">
        <f t="shared" si="51"/>
        <v>59.666127306620581</v>
      </c>
      <c r="G165" s="110">
        <f t="shared" si="73"/>
        <v>0.93197652370487838</v>
      </c>
      <c r="H165" s="412" t="b">
        <f>Wh_hp&gt;='2026'!Maxi_hp</f>
        <v>0</v>
      </c>
      <c r="I165" s="388">
        <f>IF(H165,Wh_hp,'2026'!Maxi_hp)</f>
        <v>62.682352866116169</v>
      </c>
      <c r="J165" s="85">
        <f>IF(H165,An,'2026'!An_max)</f>
        <v>2018</v>
      </c>
      <c r="K165" s="197">
        <f t="shared" si="52"/>
        <v>46538</v>
      </c>
      <c r="L165" s="147">
        <f>IF(t&lt;Tvie,1-EXP((T0-t)*PertePVj)+'2026'!Pspv,1-EXP((T0-t)*PertePVj)+Pspv)</f>
        <v>5.6904066224924277E-2</v>
      </c>
      <c r="M165" s="832"/>
      <c r="N165" s="832"/>
      <c r="O165" s="48">
        <f>IF(t&lt;Tnet,'2026'!Resal+('2026'!Salim-'2026'!Resal)*(1-EXP(('2026'!Tnet-t)/('2026'!Tau_j))),Resal+(Salim-Resal)*(1-EXP((Tnet-t)/(Tau_j))))*Salcycl</f>
        <v>1.154977345055969E-2</v>
      </c>
      <c r="P165" s="169">
        <f>(INDEX(Models!$BJ165:$BT165,,T165)*(1-R165)+INDEX(Models!$BJ165:$BT165,,T165+1)*R165-ERP_i)*Q165*Ramure*Pc/MaxiM</f>
        <v>2.7261126432679774E-5</v>
      </c>
      <c r="Q165" s="304">
        <f t="shared" si="53"/>
        <v>0.6</v>
      </c>
      <c r="R165" s="177">
        <f t="shared" si="54"/>
        <v>0.17311284569025687</v>
      </c>
      <c r="S165" s="799">
        <f t="shared" si="55"/>
        <v>-1</v>
      </c>
      <c r="T165" s="176">
        <f t="shared" si="56"/>
        <v>5</v>
      </c>
      <c r="U165" s="250">
        <f t="shared" si="57"/>
        <v>-0.82688715430974313</v>
      </c>
      <c r="V165" s="382">
        <f t="shared" si="58"/>
        <v>59.679024527550546</v>
      </c>
      <c r="W165" s="400">
        <f t="shared" si="59"/>
        <v>55.619597159550672</v>
      </c>
      <c r="X165" s="157">
        <f t="shared" si="60"/>
        <v>46538</v>
      </c>
      <c r="Y165" s="383">
        <f t="shared" si="61"/>
        <v>52.57392154910287</v>
      </c>
      <c r="Z165" s="383">
        <f t="shared" si="62"/>
        <v>55.746101394645095</v>
      </c>
      <c r="AA165" s="384">
        <f t="shared" si="63"/>
        <v>59.642016081393436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6.5321646428443889E-2</v>
      </c>
      <c r="AD165" s="230">
        <f>(INDEX(Models!$BJ165:$BT165,,AH165)*(1-AF165)+INDEX(Models!$BJ165:$BT165,,AH165+1)*AF165-ERP_i)*AE165*Ramure*Pc/MaxiM</f>
        <v>4.4759664975420853E-4</v>
      </c>
      <c r="AE165" s="304">
        <f t="shared" si="65"/>
        <v>0.6</v>
      </c>
      <c r="AF165" s="177">
        <f t="shared" si="66"/>
        <v>0.69810041206423534</v>
      </c>
      <c r="AG165" s="799">
        <f t="shared" si="74"/>
        <v>2</v>
      </c>
      <c r="AH165" s="176">
        <f t="shared" si="67"/>
        <v>8</v>
      </c>
      <c r="AI165" s="224">
        <f t="shared" si="68"/>
        <v>2.6981004120642353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'2026'!Wh/'2026'!Env_an*'2027'!Env_an</f>
        <v>56.675163263920638</v>
      </c>
      <c r="C166" s="829"/>
      <c r="D166" s="391">
        <f t="shared" si="50"/>
        <v>60.095953573296271</v>
      </c>
      <c r="E166" s="383">
        <f t="shared" si="72"/>
        <v>60.805081526247434</v>
      </c>
      <c r="F166" s="383">
        <f t="shared" si="51"/>
        <v>60.806611306676693</v>
      </c>
      <c r="G166" s="110">
        <f t="shared" si="73"/>
        <v>0.95009642870177402</v>
      </c>
      <c r="H166" s="412" t="b">
        <f>Wh_hp&gt;='2026'!Maxi_hp</f>
        <v>0</v>
      </c>
      <c r="I166" s="388">
        <f>IF(H166,Wh_hp,'2026'!Maxi_hp)</f>
        <v>63.124729427681508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5.6922140443340319E-2</v>
      </c>
      <c r="M166" s="832"/>
      <c r="N166" s="832"/>
      <c r="O166" s="48">
        <f>IF(t&lt;Tnet,'2026'!Resal+('2026'!Salim-'2026'!Resal)*(1-EXP(('2026'!Tnet-t)/('2026'!Tau_j))),Resal+(Salim-Resal)*(1-EXP((Tnet-t)/(Tau_j))))*Salcycl</f>
        <v>1.1662313990074362E-2</v>
      </c>
      <c r="P166" s="169">
        <f>(INDEX(Models!$BJ166:$BT166,,T166)*(1-R166)+INDEX(Models!$BJ166:$BT166,,T166+1)*R166-ERP_i)*Q166*Ramure*Pc/MaxiM</f>
        <v>2.7089271965135706E-5</v>
      </c>
      <c r="Q166" s="304">
        <f t="shared" si="53"/>
        <v>0.6</v>
      </c>
      <c r="R166" s="177">
        <f t="shared" si="54"/>
        <v>0.17806732376733914</v>
      </c>
      <c r="S166" s="799">
        <f t="shared" si="55"/>
        <v>-1</v>
      </c>
      <c r="T166" s="176">
        <f t="shared" si="56"/>
        <v>5</v>
      </c>
      <c r="U166" s="250">
        <f t="shared" si="57"/>
        <v>-0.82193267623266086</v>
      </c>
      <c r="V166" s="382">
        <f t="shared" si="58"/>
        <v>59.651896482374397</v>
      </c>
      <c r="W166" s="400">
        <f t="shared" si="59"/>
        <v>56.675163263920638</v>
      </c>
      <c r="X166" s="157">
        <f t="shared" si="60"/>
        <v>46539</v>
      </c>
      <c r="Y166" s="383">
        <f t="shared" si="61"/>
        <v>53.57195207481886</v>
      </c>
      <c r="Z166" s="383">
        <f t="shared" si="62"/>
        <v>56.805439266703814</v>
      </c>
      <c r="AA166" s="384">
        <f t="shared" si="63"/>
        <v>60.781480471278712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6.5415339898700076E-2</v>
      </c>
      <c r="AD166" s="230">
        <f>(INDEX(Models!$BJ166:$BT166,,AH166)*(1-AF166)+INDEX(Models!$BJ166:$BT166,,AH166+1)*AF166-ERP_i)*AE166*Ramure*Pc/MaxiM</f>
        <v>4.4501552104363412E-4</v>
      </c>
      <c r="AE166" s="304">
        <f t="shared" si="65"/>
        <v>0.6</v>
      </c>
      <c r="AF166" s="177">
        <f t="shared" si="66"/>
        <v>0.70305489014131783</v>
      </c>
      <c r="AG166" s="799">
        <f t="shared" si="74"/>
        <v>2</v>
      </c>
      <c r="AH166" s="176">
        <f t="shared" si="67"/>
        <v>8</v>
      </c>
      <c r="AI166" s="224">
        <f t="shared" si="68"/>
        <v>2.7030548901413178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'2026'!Wh/'2026'!Env_an*'2027'!Env_an</f>
        <v>45.200575765121854</v>
      </c>
      <c r="C167" s="829"/>
      <c r="D167" s="391">
        <f t="shared" si="50"/>
        <v>47.929703345697909</v>
      </c>
      <c r="E167" s="383">
        <f t="shared" si="72"/>
        <v>48.500791223747299</v>
      </c>
      <c r="F167" s="383">
        <f t="shared" si="51"/>
        <v>48.501645988780602</v>
      </c>
      <c r="G167" s="110">
        <f t="shared" si="73"/>
        <v>0.75812269244237873</v>
      </c>
      <c r="H167" s="412" t="b">
        <f>Wh_hp&gt;='2026'!Maxi_hp</f>
        <v>0</v>
      </c>
      <c r="I167" s="388">
        <f>IF(H167,Wh_hp,'2026'!Maxi_hp)</f>
        <v>62.353294055215706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5.694021431536811E-2</v>
      </c>
      <c r="M167" s="832"/>
      <c r="N167" s="832"/>
      <c r="O167" s="48">
        <f>IF(t&lt;Tnet,'2026'!Resal+('2026'!Salim-'2026'!Resal)*(1-EXP(('2026'!Tnet-t)/('2026'!Tau_j))),Resal+(Salim-Resal)*(1-EXP((Tnet-t)/(Tau_j))))*Salcycl</f>
        <v>1.1774815701764644E-2</v>
      </c>
      <c r="P167" s="169">
        <f>(INDEX(Models!$BJ167:$BT167,,T167)*(1-R167)+INDEX(Models!$BJ167:$BT167,,T167+1)*R167-ERP_i)*Q167*Ramure*Pc/MaxiM</f>
        <v>2.692773463835878E-5</v>
      </c>
      <c r="Q167" s="304">
        <f t="shared" si="53"/>
        <v>0.6</v>
      </c>
      <c r="R167" s="177">
        <f t="shared" si="54"/>
        <v>0.18305916718175175</v>
      </c>
      <c r="S167" s="799">
        <f t="shared" si="55"/>
        <v>-1</v>
      </c>
      <c r="T167" s="176">
        <f t="shared" si="56"/>
        <v>5</v>
      </c>
      <c r="U167" s="250">
        <f t="shared" si="57"/>
        <v>-0.81694083281824825</v>
      </c>
      <c r="V167" s="382">
        <f t="shared" si="58"/>
        <v>59.621161123483311</v>
      </c>
      <c r="W167" s="400">
        <f t="shared" si="59"/>
        <v>45.200575765121854</v>
      </c>
      <c r="X167" s="157">
        <f t="shared" si="60"/>
        <v>46540</v>
      </c>
      <c r="Y167" s="383">
        <f t="shared" si="61"/>
        <v>42.731209097438821</v>
      </c>
      <c r="Z167" s="383">
        <f t="shared" si="62"/>
        <v>45.311240863077735</v>
      </c>
      <c r="AA167" s="384">
        <f t="shared" si="63"/>
        <v>48.487597621239487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6.5508643735535027E-2</v>
      </c>
      <c r="AD167" s="230">
        <f>(INDEX(Models!$BJ167:$BT167,,AH167)*(1-AF167)+INDEX(Models!$BJ167:$BT167,,AH167+1)*AF167-ERP_i)*AE167*Ramure*Pc/MaxiM</f>
        <v>4.4256690261044768E-4</v>
      </c>
      <c r="AE167" s="304">
        <f t="shared" si="65"/>
        <v>0.6</v>
      </c>
      <c r="AF167" s="177">
        <f t="shared" si="66"/>
        <v>0.70804673355573033</v>
      </c>
      <c r="AG167" s="799">
        <f t="shared" si="74"/>
        <v>2</v>
      </c>
      <c r="AH167" s="176">
        <f t="shared" si="67"/>
        <v>8</v>
      </c>
      <c r="AI167" s="224">
        <f t="shared" si="68"/>
        <v>2.7080467335557303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'2026'!Wh/'2026'!Env_an*'2027'!Env_an</f>
        <v>55.286210936881652</v>
      </c>
      <c r="C168" s="829"/>
      <c r="D168" s="391">
        <f t="shared" si="50"/>
        <v>58.625414150886513</v>
      </c>
      <c r="E168" s="383">
        <f t="shared" si="72"/>
        <v>59.330693934276873</v>
      </c>
      <c r="F168" s="383">
        <f t="shared" si="51"/>
        <v>59.332118839012374</v>
      </c>
      <c r="G168" s="110">
        <f t="shared" si="73"/>
        <v>0.92781722778717579</v>
      </c>
      <c r="H168" s="412" t="b">
        <f>Wh_hp&gt;='2026'!Maxi_hp</f>
        <v>0</v>
      </c>
      <c r="I168" s="388">
        <f>IF(H168,Wh_hp,'2026'!Maxi_hp)</f>
        <v>59.332247089379663</v>
      </c>
      <c r="J168" s="85">
        <f>IF(H168,An,'2026'!An_max)</f>
        <v>2026</v>
      </c>
      <c r="K168" s="197">
        <f t="shared" si="52"/>
        <v>46541</v>
      </c>
      <c r="L168" s="147">
        <f>IF(t&lt;Tvie,1-EXP((T0-t)*PertePVj)+'2026'!Pspv,1-EXP((T0-t)*PertePVj)+Pspv)</f>
        <v>5.6958287841014199E-2</v>
      </c>
      <c r="M168" s="832"/>
      <c r="N168" s="832"/>
      <c r="O168" s="48">
        <f>IF(t&lt;Tnet,'2026'!Resal+('2026'!Salim-'2026'!Resal)*(1-EXP(('2026'!Tnet-t)/('2026'!Tau_j))),Resal+(Salim-Resal)*(1-EXP((Tnet-t)/(Tau_j))))*Salcycl</f>
        <v>1.1887266718498582E-2</v>
      </c>
      <c r="P168" s="169">
        <f>(INDEX(Models!$BJ168:$BT168,,T168)*(1-R168)+INDEX(Models!$BJ168:$BT168,,T168+1)*R168-ERP_i)*Q168*Ramure*Pc/MaxiM</f>
        <v>2.677682071865502E-5</v>
      </c>
      <c r="Q168" s="304">
        <f t="shared" si="53"/>
        <v>0.6</v>
      </c>
      <c r="R168" s="177">
        <f t="shared" si="54"/>
        <v>0.18808453996402363</v>
      </c>
      <c r="S168" s="799">
        <f t="shared" si="55"/>
        <v>-1</v>
      </c>
      <c r="T168" s="176">
        <f t="shared" si="56"/>
        <v>5</v>
      </c>
      <c r="U168" s="250">
        <f t="shared" si="57"/>
        <v>-0.81191546003597637</v>
      </c>
      <c r="V168" s="382">
        <f t="shared" si="58"/>
        <v>59.587229712663031</v>
      </c>
      <c r="W168" s="400">
        <f t="shared" si="59"/>
        <v>55.286210936881652</v>
      </c>
      <c r="X168" s="157">
        <f t="shared" si="60"/>
        <v>46541</v>
      </c>
      <c r="Y168" s="383">
        <f t="shared" si="61"/>
        <v>52.261440300178094</v>
      </c>
      <c r="Z168" s="383">
        <f t="shared" si="62"/>
        <v>55.417951959443577</v>
      </c>
      <c r="AA168" s="384">
        <f t="shared" si="63"/>
        <v>59.308691233310697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6.5601502797652048E-2</v>
      </c>
      <c r="AD168" s="230">
        <f>(INDEX(Models!$BJ168:$BT168,,AH168)*(1-AF168)+INDEX(Models!$BJ168:$BT168,,AH168+1)*AF168-ERP_i)*AE168*Ramure*Pc/MaxiM</f>
        <v>4.4025174603627378E-4</v>
      </c>
      <c r="AE168" s="304">
        <f t="shared" si="65"/>
        <v>0.6</v>
      </c>
      <c r="AF168" s="177">
        <f t="shared" si="66"/>
        <v>0.71307210633800233</v>
      </c>
      <c r="AG168" s="799">
        <f t="shared" si="74"/>
        <v>2</v>
      </c>
      <c r="AH168" s="176">
        <f t="shared" si="67"/>
        <v>8</v>
      </c>
      <c r="AI168" s="224">
        <f t="shared" si="68"/>
        <v>2.7130721063380023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'2026'!Wh/'2026'!Env_an*'2027'!Env_an</f>
        <v>26.356202516306528</v>
      </c>
      <c r="C169" s="829"/>
      <c r="D169" s="391">
        <f t="shared" si="50"/>
        <v>27.948612767355534</v>
      </c>
      <c r="E169" s="383">
        <f t="shared" si="72"/>
        <v>28.288059724972229</v>
      </c>
      <c r="F169" s="383">
        <f t="shared" si="51"/>
        <v>28.288213210234712</v>
      </c>
      <c r="G169" s="110">
        <f t="shared" si="73"/>
        <v>0.44257626021108237</v>
      </c>
      <c r="H169" s="412" t="b">
        <f>Wh_hp&gt;='2026'!Maxi_hp</f>
        <v>0</v>
      </c>
      <c r="I169" s="388">
        <f>IF(H169,Wh_hp,'2026'!Maxi_hp)</f>
        <v>57.206955445857666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5.697636102028536E-2</v>
      </c>
      <c r="M169" s="832"/>
      <c r="N169" s="832"/>
      <c r="O169" s="48">
        <f>IF(t&lt;Tnet,'2026'!Resal+('2026'!Salim-'2026'!Resal)*(1-EXP(('2026'!Tnet-t)/('2026'!Tau_j))),Resal+(Salim-Resal)*(1-EXP((Tnet-t)/(Tau_j))))*Salcycl</f>
        <v>1.1999655010521524E-2</v>
      </c>
      <c r="P169" s="169">
        <f>(INDEX(Models!$BJ169:$BT169,,T169)*(1-R169)+INDEX(Models!$BJ169:$BT169,,T169+1)*R169-ERP_i)*Q169*Ramure*Pc/MaxiM</f>
        <v>2.6636882253965285E-5</v>
      </c>
      <c r="Q169" s="304">
        <f t="shared" si="53"/>
        <v>0.6</v>
      </c>
      <c r="R169" s="177">
        <f t="shared" si="54"/>
        <v>0.19313949749368342</v>
      </c>
      <c r="S169" s="799">
        <f t="shared" si="55"/>
        <v>-1</v>
      </c>
      <c r="T169" s="176">
        <f t="shared" si="56"/>
        <v>5</v>
      </c>
      <c r="U169" s="250">
        <f t="shared" si="57"/>
        <v>-0.80686050250631658</v>
      </c>
      <c r="V169" s="382">
        <f t="shared" si="58"/>
        <v>59.550513297441974</v>
      </c>
      <c r="W169" s="400">
        <f t="shared" si="59"/>
        <v>26.356202516306528</v>
      </c>
      <c r="X169" s="157">
        <f t="shared" si="60"/>
        <v>46542</v>
      </c>
      <c r="Y169" s="383">
        <f t="shared" si="61"/>
        <v>24.92175044313149</v>
      </c>
      <c r="Z169" s="383">
        <f t="shared" si="62"/>
        <v>26.427492814596963</v>
      </c>
      <c r="AA169" s="384">
        <f t="shared" si="63"/>
        <v>28.285688984834653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6.5693862759855712E-2</v>
      </c>
      <c r="AD169" s="230">
        <f>(INDEX(Models!$BJ169:$BT169,,AH169)*(1-AF169)+INDEX(Models!$BJ169:$BT169,,AH169+1)*AF169-ERP_i)*AE169*Ramure*Pc/MaxiM</f>
        <v>4.3807134101707645E-4</v>
      </c>
      <c r="AE169" s="304">
        <f t="shared" si="65"/>
        <v>0.6</v>
      </c>
      <c r="AF169" s="177">
        <f t="shared" si="66"/>
        <v>0.71812706386766223</v>
      </c>
      <c r="AG169" s="799">
        <f t="shared" si="74"/>
        <v>2</v>
      </c>
      <c r="AH169" s="176">
        <f t="shared" si="67"/>
        <v>8</v>
      </c>
      <c r="AI169" s="224">
        <f t="shared" si="68"/>
        <v>2.7181270638676622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'2026'!Wh/'2026'!Env_an*'2027'!Env_an</f>
        <v>36.317311270169753</v>
      </c>
      <c r="C170" s="829"/>
      <c r="D170" s="391">
        <f t="shared" si="50"/>
        <v>38.512297884481086</v>
      </c>
      <c r="E170" s="383">
        <f t="shared" ref="E170:E232" si="75">Wh_pvt/(1-Psa)</f>
        <v>38.984476634825548</v>
      </c>
      <c r="F170" s="383">
        <f t="shared" si="51"/>
        <v>38.984935057289498</v>
      </c>
      <c r="G170" s="110">
        <f t="shared" ref="G170:G232" si="76">+Wh_hp/MaxiM</f>
        <v>0.61024882201358976</v>
      </c>
      <c r="H170" s="412" t="b">
        <f>Wh_hp&gt;='2026'!Maxi_hp</f>
        <v>0</v>
      </c>
      <c r="I170" s="388">
        <f>IF(H170,Wh_hp,'2026'!Maxi_hp)</f>
        <v>45.501902889660293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5.6994433853188142E-2</v>
      </c>
      <c r="M170" s="832"/>
      <c r="N170" s="832"/>
      <c r="O170" s="48">
        <f>IF(t&lt;Tnet,'2026'!Resal+('2026'!Salim-'2026'!Resal)*(1-EXP(('2026'!Tnet-t)/('2026'!Tau_j))),Resal+(Salim-Resal)*(1-EXP((Tnet-t)/(Tau_j))))*Salcycl</f>
        <v>1.2111968432138789E-2</v>
      </c>
      <c r="P170" s="169">
        <f>(INDEX(Models!$BJ170:$BT170,,T170)*(1-R170)+INDEX(Models!$BJ170:$BT170,,T170+1)*R170-ERP_i)*Q170*Ramure*Pc/MaxiM</f>
        <v>2.6530434108438251E-5</v>
      </c>
      <c r="Q170" s="304">
        <f t="shared" si="53"/>
        <v>0.6</v>
      </c>
      <c r="R170" s="177">
        <f t="shared" si="54"/>
        <v>0.19821999836395543</v>
      </c>
      <c r="S170" s="799">
        <f t="shared" si="55"/>
        <v>-1</v>
      </c>
      <c r="T170" s="176">
        <f t="shared" si="56"/>
        <v>5</v>
      </c>
      <c r="U170" s="250">
        <f t="shared" si="57"/>
        <v>-0.80178000163604457</v>
      </c>
      <c r="V170" s="382">
        <f t="shared" si="58"/>
        <v>59.511421396877097</v>
      </c>
      <c r="W170" s="400">
        <f t="shared" si="59"/>
        <v>36.317311270169753</v>
      </c>
      <c r="X170" s="157">
        <f t="shared" si="60"/>
        <v>46543</v>
      </c>
      <c r="Y170" s="383">
        <f t="shared" si="61"/>
        <v>34.337890704538289</v>
      </c>
      <c r="Z170" s="383">
        <f t="shared" si="62"/>
        <v>36.413242866471471</v>
      </c>
      <c r="AA170" s="384">
        <f t="shared" si="63"/>
        <v>38.977397059504035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6.5785670323702083E-2</v>
      </c>
      <c r="AD170" s="230">
        <f>(INDEX(Models!$BJ170:$BT170,,AH170)*(1-AF170)+INDEX(Models!$BJ170:$BT170,,AH170+1)*AF170-ERP_i)*AE170*Ramure*Pc/MaxiM</f>
        <v>4.3624902635247195E-4</v>
      </c>
      <c r="AE170" s="304">
        <f t="shared" si="65"/>
        <v>0.6</v>
      </c>
      <c r="AF170" s="177">
        <f t="shared" si="66"/>
        <v>0.72320756473793413</v>
      </c>
      <c r="AG170" s="799">
        <f t="shared" si="74"/>
        <v>2</v>
      </c>
      <c r="AH170" s="176">
        <f t="shared" si="67"/>
        <v>8</v>
      </c>
      <c r="AI170" s="224">
        <f t="shared" si="68"/>
        <v>2.7232075647379341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'2026'!Wh/'2026'!Env_an*'2027'!Env_an</f>
        <v>47.371873461506212</v>
      </c>
      <c r="C171" s="829"/>
      <c r="D171" s="391">
        <f t="shared" si="50"/>
        <v>50.23595093252937</v>
      </c>
      <c r="E171" s="383">
        <f t="shared" si="75"/>
        <v>50.857644686713641</v>
      </c>
      <c r="F171" s="383">
        <f t="shared" si="51"/>
        <v>50.858598354338717</v>
      </c>
      <c r="G171" s="110">
        <f t="shared" si="76"/>
        <v>0.79655654840512269</v>
      </c>
      <c r="H171" s="412" t="b">
        <f>Wh_hp&gt;='2026'!Maxi_hp</f>
        <v>0</v>
      </c>
      <c r="I171" s="388">
        <f>IF(H171,Wh_hp,'2026'!Maxi_hp)</f>
        <v>58.87079114151684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5.7012506339729208E-2</v>
      </c>
      <c r="M171" s="832"/>
      <c r="N171" s="832"/>
      <c r="O171" s="48">
        <f>IF(t&lt;Tnet,'2026'!Resal+('2026'!Salim-'2026'!Resal)*(1-EXP(('2026'!Tnet-t)/('2026'!Tau_j))),Resal+(Salim-Resal)*(1-EXP((Tnet-t)/(Tau_j))))*Salcycl</f>
        <v>1.2224194769811842E-2</v>
      </c>
      <c r="P171" s="169">
        <f>(INDEX(Models!$BJ171:$BT171,,T171)*(1-R171)+INDEX(Models!$BJ171:$BT171,,T171+1)*R171-ERP_i)*Q171*Ramure*Pc/MaxiM</f>
        <v>2.6433619047695547E-5</v>
      </c>
      <c r="Q171" s="304">
        <f t="shared" si="53"/>
        <v>0.6</v>
      </c>
      <c r="R171" s="177">
        <f t="shared" si="54"/>
        <v>0.20332191691109536</v>
      </c>
      <c r="S171" s="799">
        <f t="shared" si="55"/>
        <v>-1</v>
      </c>
      <c r="T171" s="176">
        <f t="shared" si="56"/>
        <v>5</v>
      </c>
      <c r="U171" s="250">
        <f t="shared" si="57"/>
        <v>-0.79667808308890464</v>
      </c>
      <c r="V171" s="382">
        <f t="shared" si="58"/>
        <v>59.470366072920548</v>
      </c>
      <c r="W171" s="400">
        <f t="shared" si="59"/>
        <v>47.371873461506212</v>
      </c>
      <c r="X171" s="157">
        <f t="shared" si="60"/>
        <v>46544</v>
      </c>
      <c r="Y171" s="383">
        <f t="shared" si="61"/>
        <v>44.785820730892006</v>
      </c>
      <c r="Z171" s="383">
        <f t="shared" si="62"/>
        <v>47.493546873090295</v>
      </c>
      <c r="AA171" s="384">
        <f t="shared" si="63"/>
        <v>50.8429194417755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6.58768734262173E-2</v>
      </c>
      <c r="AD171" s="230">
        <f>(INDEX(Models!$BJ171:$BT171,,AH171)*(1-AF171)+INDEX(Models!$BJ171:$BT171,,AH171+1)*AF171-ERP_i)*AE171*Ramure*Pc/MaxiM</f>
        <v>4.3458579370807791E-4</v>
      </c>
      <c r="AE171" s="304">
        <f t="shared" si="65"/>
        <v>0.6</v>
      </c>
      <c r="AF171" s="177">
        <f t="shared" si="66"/>
        <v>0.72830948328507406</v>
      </c>
      <c r="AG171" s="799">
        <f t="shared" si="74"/>
        <v>2</v>
      </c>
      <c r="AH171" s="176">
        <f t="shared" si="67"/>
        <v>8</v>
      </c>
      <c r="AI171" s="224">
        <f t="shared" si="68"/>
        <v>2.7283094832850741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'2026'!Wh/'2026'!Env_an*'2027'!Env_an</f>
        <v>28.735823790225638</v>
      </c>
      <c r="C172" s="829"/>
      <c r="D172" s="391">
        <f t="shared" si="50"/>
        <v>30.473759948549485</v>
      </c>
      <c r="E172" s="383">
        <f t="shared" si="75"/>
        <v>30.854389627672774</v>
      </c>
      <c r="F172" s="383">
        <f t="shared" si="51"/>
        <v>30.854602779690008</v>
      </c>
      <c r="G172" s="110">
        <f t="shared" si="76"/>
        <v>0.48353271775727147</v>
      </c>
      <c r="H172" s="412" t="b">
        <f>Wh_hp&gt;='2026'!Maxi_hp</f>
        <v>0</v>
      </c>
      <c r="I172" s="388">
        <f>IF(H172,Wh_hp,'2026'!Maxi_hp)</f>
        <v>52.613805955532094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5.7030578479915217E-2</v>
      </c>
      <c r="M172" s="832"/>
      <c r="N172" s="832"/>
      <c r="O172" s="48">
        <f>IF(t&lt;Tnet,'2026'!Resal+('2026'!Salim-'2026'!Resal)*(1-EXP(('2026'!Tnet-t)/('2026'!Tau_j))),Resal+(Salim-Resal)*(1-EXP((Tnet-t)/(Tau_j))))*Salcycl</f>
        <v>1.2336321791370257E-2</v>
      </c>
      <c r="P172" s="169">
        <f>(INDEX(Models!$BJ172:$BT172,,T172)*(1-R172)+INDEX(Models!$BJ172:$BT172,,T172+1)*R172-ERP_i)*Q172*Ramure*Pc/MaxiM</f>
        <v>2.6347037533169888E-5</v>
      </c>
      <c r="Q172" s="304">
        <f t="shared" si="53"/>
        <v>0.6</v>
      </c>
      <c r="R172" s="177">
        <f t="shared" si="54"/>
        <v>0.2084410563289214</v>
      </c>
      <c r="S172" s="799">
        <f t="shared" si="55"/>
        <v>-1</v>
      </c>
      <c r="T172" s="176">
        <f t="shared" si="56"/>
        <v>5</v>
      </c>
      <c r="U172" s="250">
        <f t="shared" si="57"/>
        <v>-0.7915589436710786</v>
      </c>
      <c r="V172" s="382">
        <f t="shared" si="58"/>
        <v>59.427757713547905</v>
      </c>
      <c r="W172" s="400">
        <f t="shared" si="59"/>
        <v>28.735823790225638</v>
      </c>
      <c r="X172" s="157">
        <f t="shared" si="60"/>
        <v>46545</v>
      </c>
      <c r="Y172" s="383">
        <f t="shared" si="61"/>
        <v>27.172542353289685</v>
      </c>
      <c r="Z172" s="383">
        <f t="shared" si="62"/>
        <v>28.815931601988776</v>
      </c>
      <c r="AA172" s="384">
        <f t="shared" si="63"/>
        <v>30.851099055428296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6.5967421445280103E-2</v>
      </c>
      <c r="AD172" s="230">
        <f>(INDEX(Models!$BJ172:$BT172,,AH172)*(1-AF172)+INDEX(Models!$BJ172:$BT172,,AH172+1)*AF172-ERP_i)*AE172*Ramure*Pc/MaxiM</f>
        <v>4.330841238379762E-4</v>
      </c>
      <c r="AE172" s="304">
        <f t="shared" si="65"/>
        <v>0.6</v>
      </c>
      <c r="AF172" s="177">
        <f t="shared" si="66"/>
        <v>0.73342862270289988</v>
      </c>
      <c r="AG172" s="799">
        <f t="shared" si="74"/>
        <v>2</v>
      </c>
      <c r="AH172" s="176">
        <f t="shared" si="67"/>
        <v>8</v>
      </c>
      <c r="AI172" s="224">
        <f t="shared" si="68"/>
        <v>2.7334286227028999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'2026'!Wh/'2026'!Env_an*'2027'!Env_an</f>
        <v>21.423079737446137</v>
      </c>
      <c r="C173" s="829"/>
      <c r="D173" s="391">
        <f t="shared" si="50"/>
        <v>22.719178188424646</v>
      </c>
      <c r="E173" s="383">
        <f t="shared" si="75"/>
        <v>23.005559148387434</v>
      </c>
      <c r="F173" s="383">
        <f t="shared" si="51"/>
        <v>23.00561160499694</v>
      </c>
      <c r="G173" s="110">
        <f t="shared" si="76"/>
        <v>0.36074638679534959</v>
      </c>
      <c r="H173" s="412" t="b">
        <f>Wh_hp&gt;='2026'!Maxi_hp</f>
        <v>0</v>
      </c>
      <c r="I173" s="388">
        <f>IF(H173,Wh_hp,'2026'!Maxi_hp)</f>
        <v>63.747853574878313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5.7048650273752721E-2</v>
      </c>
      <c r="M173" s="832"/>
      <c r="N173" s="832"/>
      <c r="O173" s="48">
        <f>IF(t&lt;Tnet,'2026'!Resal+('2026'!Salim-'2026'!Resal)*(1-EXP(('2026'!Tnet-t)/('2026'!Tau_j))),Resal+(Salim-Resal)*(1-EXP((Tnet-t)/(Tau_j))))*Salcycl</f>
        <v>1.244833729602538E-2</v>
      </c>
      <c r="P173" s="169">
        <f>(INDEX(Models!$BJ173:$BT173,,T173)*(1-R173)+INDEX(Models!$BJ173:$BT173,,T173+1)*R173-ERP_i)*Q173*Ramure*Pc/MaxiM</f>
        <v>2.627133544523825E-5</v>
      </c>
      <c r="Q173" s="304">
        <f t="shared" si="53"/>
        <v>0.6</v>
      </c>
      <c r="R173" s="177">
        <f t="shared" si="54"/>
        <v>0.21357316228218781</v>
      </c>
      <c r="S173" s="799">
        <f t="shared" si="55"/>
        <v>-1</v>
      </c>
      <c r="T173" s="176">
        <f t="shared" si="56"/>
        <v>5</v>
      </c>
      <c r="U173" s="250">
        <f t="shared" si="57"/>
        <v>-0.78642683771781219</v>
      </c>
      <c r="V173" s="382">
        <f t="shared" si="58"/>
        <v>59.384006481227864</v>
      </c>
      <c r="W173" s="400">
        <f t="shared" si="59"/>
        <v>21.423079737446137</v>
      </c>
      <c r="X173" s="157">
        <f t="shared" si="60"/>
        <v>46546</v>
      </c>
      <c r="Y173" s="383">
        <f t="shared" si="61"/>
        <v>20.259421659283241</v>
      </c>
      <c r="Z173" s="383">
        <f t="shared" si="62"/>
        <v>21.485118681006025</v>
      </c>
      <c r="AA173" s="384">
        <f t="shared" si="63"/>
        <v>23.004749525905321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6.6057265400262757E-2</v>
      </c>
      <c r="AD173" s="230">
        <f>(INDEX(Models!$BJ173:$BT173,,AH173)*(1-AF173)+INDEX(Models!$BJ173:$BT173,,AH173+1)*AF173-ERP_i)*AE173*Ramure*Pc/MaxiM</f>
        <v>4.3174671808088089E-4</v>
      </c>
      <c r="AE173" s="304">
        <f t="shared" si="65"/>
        <v>0.6</v>
      </c>
      <c r="AF173" s="177">
        <f t="shared" si="66"/>
        <v>0.73856072865616662</v>
      </c>
      <c r="AG173" s="799">
        <f t="shared" si="74"/>
        <v>2</v>
      </c>
      <c r="AH173" s="176">
        <f t="shared" si="67"/>
        <v>8</v>
      </c>
      <c r="AI173" s="224">
        <f t="shared" si="68"/>
        <v>2.7385607286561666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'2026'!Wh/'2026'!Env_an*'2027'!Env_an</f>
        <v>46.673852661708487</v>
      </c>
      <c r="C174" s="829"/>
      <c r="D174" s="391">
        <f t="shared" si="50"/>
        <v>49.498574010356101</v>
      </c>
      <c r="E174" s="383">
        <f t="shared" si="75"/>
        <v>50.128195635154469</v>
      </c>
      <c r="F174" s="383">
        <f t="shared" si="51"/>
        <v>50.129108791945029</v>
      </c>
      <c r="G174" s="110">
        <f t="shared" si="76"/>
        <v>0.78654963606256023</v>
      </c>
      <c r="H174" s="412" t="b">
        <f>Wh_hp&gt;='2026'!Maxi_hp</f>
        <v>0</v>
      </c>
      <c r="I174" s="388">
        <f>IF(H174,Wh_hp,'2026'!Maxi_hp)</f>
        <v>60.451525350346095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5.7066721721248492E-2</v>
      </c>
      <c r="M174" s="832"/>
      <c r="N174" s="832"/>
      <c r="O174" s="48">
        <f>IF(t&lt;Tnet,'2026'!Resal+('2026'!Salim-'2026'!Resal)*(1-EXP(('2026'!Tnet-t)/('2026'!Tau_j))),Resal+(Salim-Resal)*(1-EXP((Tnet-t)/(Tau_j))))*Salcycl</f>
        <v>1.2560229164857878E-2</v>
      </c>
      <c r="P174" s="169">
        <f>(INDEX(Models!$BJ174:$BT174,,T174)*(1-R174)+INDEX(Models!$BJ174:$BT174,,T174+1)*R174-ERP_i)*Q174*Ramure*Pc/MaxiM</f>
        <v>2.6207201438063494E-5</v>
      </c>
      <c r="Q174" s="304">
        <f t="shared" si="53"/>
        <v>0.6</v>
      </c>
      <c r="R174" s="177">
        <f t="shared" si="54"/>
        <v>0.21871393692649366</v>
      </c>
      <c r="S174" s="799">
        <f t="shared" si="55"/>
        <v>-1</v>
      </c>
      <c r="T174" s="176">
        <f t="shared" si="56"/>
        <v>5</v>
      </c>
      <c r="U174" s="250">
        <f t="shared" si="57"/>
        <v>-0.78128606307350634</v>
      </c>
      <c r="V174" s="382">
        <f t="shared" si="58"/>
        <v>59.339522312927976</v>
      </c>
      <c r="W174" s="400">
        <f t="shared" si="59"/>
        <v>46.673852661708487</v>
      </c>
      <c r="X174" s="157">
        <f t="shared" si="60"/>
        <v>46547</v>
      </c>
      <c r="Y174" s="383">
        <f t="shared" si="61"/>
        <v>44.128561079245387</v>
      </c>
      <c r="Z174" s="383">
        <f t="shared" si="62"/>
        <v>46.799240302345154</v>
      </c>
      <c r="AA174" s="384">
        <f t="shared" si="63"/>
        <v>50.114105899357362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6.6146358146533663E-2</v>
      </c>
      <c r="AD174" s="230">
        <f>(INDEX(Models!$BJ174:$BT174,,AH174)*(1-AF174)+INDEX(Models!$BJ174:$BT174,,AH174+1)*AF174-ERP_i)*AE174*Ramure*Pc/MaxiM</f>
        <v>4.3057647083680293E-4</v>
      </c>
      <c r="AE174" s="304">
        <f t="shared" si="65"/>
        <v>0.6</v>
      </c>
      <c r="AF174" s="177">
        <f t="shared" si="66"/>
        <v>0.74370150330047258</v>
      </c>
      <c r="AG174" s="799">
        <f t="shared" si="74"/>
        <v>2</v>
      </c>
      <c r="AH174" s="176">
        <f t="shared" si="67"/>
        <v>8</v>
      </c>
      <c r="AI174" s="224">
        <f t="shared" si="68"/>
        <v>2.7437015033004726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'2026'!Wh/'2026'!Env_an*'2027'!Env_an</f>
        <v>58.226024872589889</v>
      </c>
      <c r="C175" s="829"/>
      <c r="D175" s="391">
        <f t="shared" si="50"/>
        <v>61.751072025740967</v>
      </c>
      <c r="E175" s="383">
        <f t="shared" si="75"/>
        <v>62.543623915577783</v>
      </c>
      <c r="F175" s="383">
        <f t="shared" si="51"/>
        <v>62.545217688097424</v>
      </c>
      <c r="G175" s="110">
        <f t="shared" si="76"/>
        <v>0.98197597783353696</v>
      </c>
      <c r="H175" s="412" t="b">
        <f>Wh_hp&gt;='2026'!Maxi_hp</f>
        <v>0</v>
      </c>
      <c r="I175" s="388">
        <f>IF(H175,Wh_hp,'2026'!Maxi_hp)</f>
        <v>62.545249956191086</v>
      </c>
      <c r="J175" s="85">
        <f>IF(H175,An,'2026'!An_max)</f>
        <v>2026</v>
      </c>
      <c r="K175" s="197">
        <f t="shared" si="52"/>
        <v>46548</v>
      </c>
      <c r="L175" s="147">
        <f>IF(t&lt;Tvie,1-EXP((T0-t)*PertePVj)+'2026'!Pspv,1-EXP((T0-t)*PertePVj)+Pspv)</f>
        <v>5.708479282240897E-2</v>
      </c>
      <c r="M175" s="832"/>
      <c r="N175" s="832"/>
      <c r="O175" s="48">
        <f>IF(t&lt;Tnet,'2026'!Resal+('2026'!Salim-'2026'!Resal)*(1-EXP(('2026'!Tnet-t)/('2026'!Tau_j))),Resal+(Salim-Resal)*(1-EXP((Tnet-t)/(Tau_j))))*Salcycl</f>
        <v>1.2671985411440458E-2</v>
      </c>
      <c r="P175" s="169">
        <f>(INDEX(Models!$BJ175:$BT175,,T175)*(1-R175)+INDEX(Models!$BJ175:$BT175,,T175+1)*R175-ERP_i)*Q175*Ramure*Pc/MaxiM</f>
        <v>2.6155363949799734E-5</v>
      </c>
      <c r="Q175" s="304">
        <f t="shared" si="53"/>
        <v>0.6</v>
      </c>
      <c r="R175" s="177">
        <f t="shared" si="54"/>
        <v>0.22385905323750521</v>
      </c>
      <c r="S175" s="799">
        <f t="shared" si="55"/>
        <v>-1</v>
      </c>
      <c r="T175" s="176">
        <f t="shared" si="56"/>
        <v>5</v>
      </c>
      <c r="U175" s="250">
        <f t="shared" si="57"/>
        <v>-0.77614094676249479</v>
      </c>
      <c r="V175" s="382">
        <f t="shared" si="58"/>
        <v>59.294714915890992</v>
      </c>
      <c r="W175" s="400">
        <f t="shared" si="59"/>
        <v>58.226024872589889</v>
      </c>
      <c r="X175" s="157">
        <f t="shared" si="60"/>
        <v>46548</v>
      </c>
      <c r="Y175" s="383">
        <f t="shared" si="61"/>
        <v>55.045611837945451</v>
      </c>
      <c r="Z175" s="383">
        <f t="shared" si="62"/>
        <v>58.378114404064355</v>
      </c>
      <c r="AA175" s="384">
        <f t="shared" si="63"/>
        <v>62.519041522909674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6.6234654562448855E-2</v>
      </c>
      <c r="AD175" s="230">
        <f>(INDEX(Models!$BJ175:$BT175,,AH175)*(1-AF175)+INDEX(Models!$BJ175:$BT175,,AH175+1)*AF175-ERP_i)*AE175*Ramure*Pc/MaxiM</f>
        <v>4.2957644134316008E-4</v>
      </c>
      <c r="AE175" s="304">
        <f t="shared" si="65"/>
        <v>0.6</v>
      </c>
      <c r="AF175" s="177">
        <f t="shared" si="66"/>
        <v>0.7488466196114838</v>
      </c>
      <c r="AG175" s="799">
        <f t="shared" si="74"/>
        <v>2</v>
      </c>
      <c r="AH175" s="176">
        <f t="shared" si="67"/>
        <v>8</v>
      </c>
      <c r="AI175" s="224">
        <f t="shared" si="68"/>
        <v>2.7488466196114838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'2026'!Wh/'2026'!Env_an*'2027'!Env_an</f>
        <v>56.267173413603246</v>
      </c>
      <c r="C176" s="829"/>
      <c r="D176" s="391">
        <f t="shared" si="50"/>
        <v>59.674773885807198</v>
      </c>
      <c r="E176" s="383">
        <f t="shared" si="75"/>
        <v>60.447510330218364</v>
      </c>
      <c r="F176" s="383">
        <f t="shared" si="51"/>
        <v>60.448975511920857</v>
      </c>
      <c r="G176" s="110">
        <f t="shared" si="76"/>
        <v>0.94965525141883966</v>
      </c>
      <c r="H176" s="412" t="b">
        <f>Wh_hp&gt;='2026'!Maxi_hp</f>
        <v>0</v>
      </c>
      <c r="I176" s="388">
        <f>IF(H176,Wh_hp,'2026'!Maxi_hp)</f>
        <v>60.44906226365989</v>
      </c>
      <c r="J176" s="85">
        <f>IF(H176,An,'2026'!An_max)</f>
        <v>2026</v>
      </c>
      <c r="K176" s="197">
        <f t="shared" si="52"/>
        <v>46549</v>
      </c>
      <c r="L176" s="147">
        <f>IF(t&lt;Tvie,1-EXP((T0-t)*PertePVj)+'2026'!Pspv,1-EXP((T0-t)*PertePVj)+Pspv)</f>
        <v>5.7102863577241036E-2</v>
      </c>
      <c r="M176" s="832"/>
      <c r="N176" s="832"/>
      <c r="O176" s="48">
        <f>IF(t&lt;Tnet,'2026'!Resal+('2026'!Salim-'2026'!Resal)*(1-EXP(('2026'!Tnet-t)/('2026'!Tau_j))),Resal+(Salim-Resal)*(1-EXP((Tnet-t)/(Tau_j))))*Salcycl</f>
        <v>1.2783594232248671E-2</v>
      </c>
      <c r="P176" s="169">
        <f>(INDEX(Models!$BJ176:$BT176,,T176)*(1-R176)+INDEX(Models!$BJ176:$BT176,,T176+1)*R176-ERP_i)*Q176*Ramure*Pc/MaxiM</f>
        <v>2.6116587873058686E-5</v>
      </c>
      <c r="Q176" s="304">
        <f t="shared" si="53"/>
        <v>0.6</v>
      </c>
      <c r="R176" s="177">
        <f t="shared" si="54"/>
        <v>0.22900416954851677</v>
      </c>
      <c r="S176" s="799">
        <f t="shared" si="55"/>
        <v>-1</v>
      </c>
      <c r="T176" s="176">
        <f t="shared" si="56"/>
        <v>5</v>
      </c>
      <c r="U176" s="250">
        <f t="shared" si="57"/>
        <v>-0.77099583045148323</v>
      </c>
      <c r="V176" s="382">
        <f t="shared" si="58"/>
        <v>59.249993765880092</v>
      </c>
      <c r="W176" s="400">
        <f t="shared" si="59"/>
        <v>56.267173413603246</v>
      </c>
      <c r="X176" s="157">
        <f t="shared" si="60"/>
        <v>46549</v>
      </c>
      <c r="Y176" s="383">
        <f t="shared" si="61"/>
        <v>53.195817676447099</v>
      </c>
      <c r="Z176" s="383">
        <f t="shared" si="62"/>
        <v>56.417413545517583</v>
      </c>
      <c r="AA176" s="384">
        <f t="shared" si="63"/>
        <v>60.424921971646235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6.6322111727494387E-2</v>
      </c>
      <c r="AD176" s="230">
        <f>(INDEX(Models!$BJ176:$BT176,,AH176)*(1-AF176)+INDEX(Models!$BJ176:$BT176,,AH176+1)*AF176-ERP_i)*AE176*Ramure*Pc/MaxiM</f>
        <v>4.2874982479771203E-4</v>
      </c>
      <c r="AE176" s="304">
        <f t="shared" si="65"/>
        <v>0.6</v>
      </c>
      <c r="AF176" s="177">
        <f t="shared" si="66"/>
        <v>0.75399173592249547</v>
      </c>
      <c r="AG176" s="799">
        <f t="shared" si="74"/>
        <v>2</v>
      </c>
      <c r="AH176" s="176">
        <f t="shared" si="67"/>
        <v>8</v>
      </c>
      <c r="AI176" s="224">
        <f t="shared" si="68"/>
        <v>2.7539917359224955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'2026'!Wh/'2026'!Env_an*'2027'!Env_an</f>
        <v>43.676784264748854</v>
      </c>
      <c r="C177" s="829"/>
      <c r="D177" s="391">
        <f t="shared" si="50"/>
        <v>46.322785009301292</v>
      </c>
      <c r="E177" s="383">
        <f t="shared" si="75"/>
        <v>46.927922639214351</v>
      </c>
      <c r="F177" s="383">
        <f t="shared" si="51"/>
        <v>46.928688324827981</v>
      </c>
      <c r="G177" s="110">
        <f t="shared" si="76"/>
        <v>0.73771715716110786</v>
      </c>
      <c r="H177" s="412" t="b">
        <f>Wh_hp&gt;='2026'!Maxi_hp</f>
        <v>0</v>
      </c>
      <c r="I177" s="388">
        <f>IF(H177,Wh_hp,'2026'!Maxi_hp)</f>
        <v>56.41651381708197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5.7120933985751132E-2</v>
      </c>
      <c r="M177" s="832"/>
      <c r="N177" s="832"/>
      <c r="O177" s="48">
        <f>IF(t&lt;Tnet,'2026'!Resal+('2026'!Salim-'2026'!Resal)*(1-EXP(('2026'!Tnet-t)/('2026'!Tau_j))),Resal+(Salim-Resal)*(1-EXP((Tnet-t)/(Tau_j))))*Salcycl</f>
        <v>1.2895044056507767E-2</v>
      </c>
      <c r="P177" s="169">
        <f>(INDEX(Models!$BJ177:$BT177,,T177)*(1-R177)+INDEX(Models!$BJ177:$BT177,,T177+1)*R177-ERP_i)*Q177*Ramure*Pc/MaxiM</f>
        <v>2.6092121120148274E-5</v>
      </c>
      <c r="Q177" s="304">
        <f t="shared" si="53"/>
        <v>0.6</v>
      </c>
      <c r="R177" s="177">
        <f t="shared" si="54"/>
        <v>0.23414494419282272</v>
      </c>
      <c r="S177" s="799">
        <f t="shared" si="55"/>
        <v>-1</v>
      </c>
      <c r="T177" s="176">
        <f t="shared" si="56"/>
        <v>5</v>
      </c>
      <c r="U177" s="250">
        <f t="shared" si="57"/>
        <v>-0.76585505580717728</v>
      </c>
      <c r="V177" s="382">
        <f t="shared" si="58"/>
        <v>59.20474648259259</v>
      </c>
      <c r="W177" s="400">
        <f t="shared" si="59"/>
        <v>43.676784264748854</v>
      </c>
      <c r="X177" s="157">
        <f t="shared" si="60"/>
        <v>46550</v>
      </c>
      <c r="Y177" s="383">
        <f t="shared" si="61"/>
        <v>41.298562211684832</v>
      </c>
      <c r="Z177" s="383">
        <f t="shared" si="62"/>
        <v>43.800486934408958</v>
      </c>
      <c r="AA177" s="384">
        <f t="shared" si="63"/>
        <v>46.916125313686614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6.6408689090289116E-2</v>
      </c>
      <c r="AD177" s="230">
        <f>(INDEX(Models!$BJ177:$BT177,,AH177)*(1-AF177)+INDEX(Models!$BJ177:$BT177,,AH177+1)*AF177-ERP_i)*AE177*Ramure*Pc/MaxiM</f>
        <v>4.281073099701697E-4</v>
      </c>
      <c r="AE177" s="304">
        <f t="shared" si="65"/>
        <v>0.6</v>
      </c>
      <c r="AF177" s="177">
        <f t="shared" si="66"/>
        <v>0.75913251056680142</v>
      </c>
      <c r="AG177" s="799">
        <f t="shared" si="74"/>
        <v>2</v>
      </c>
      <c r="AH177" s="176">
        <f t="shared" si="67"/>
        <v>8</v>
      </c>
      <c r="AI177" s="224">
        <f t="shared" si="68"/>
        <v>2.7591325105668014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'2026'!Wh/'2026'!Env_an*'2027'!Env_an</f>
        <v>54.926604845197559</v>
      </c>
      <c r="C178" s="829"/>
      <c r="D178" s="391">
        <f t="shared" si="50"/>
        <v>58.255251920496953</v>
      </c>
      <c r="E178" s="383">
        <f t="shared" si="75"/>
        <v>59.022923158628053</v>
      </c>
      <c r="F178" s="383">
        <f t="shared" si="51"/>
        <v>59.024306482053724</v>
      </c>
      <c r="G178" s="110">
        <f t="shared" si="76"/>
        <v>0.92846913692871114</v>
      </c>
      <c r="H178" s="412" t="b">
        <f>Wh_hp&gt;='2026'!Maxi_hp</f>
        <v>0</v>
      </c>
      <c r="I178" s="388">
        <f>IF(H178,Wh_hp,'2026'!Maxi_hp)</f>
        <v>64.279104061315721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5.7139004047946029E-2</v>
      </c>
      <c r="M178" s="832"/>
      <c r="N178" s="832"/>
      <c r="O178" s="48">
        <f>IF(t&lt;Tnet,'2026'!Resal+('2026'!Salim-'2026'!Resal)*(1-EXP(('2026'!Tnet-t)/('2026'!Tau_j))),Resal+(Salim-Resal)*(1-EXP((Tnet-t)/(Tau_j))))*Salcycl</f>
        <v>1.3006323595121477E-2</v>
      </c>
      <c r="P178" s="169">
        <f>(INDEX(Models!$BJ178:$BT178,,T178)*(1-R178)+INDEX(Models!$BJ178:$BT178,,T178+1)*R178-ERP_i)*Q178*Ramure*Pc/MaxiM</f>
        <v>2.6103888878536315E-5</v>
      </c>
      <c r="Q178" s="304">
        <f t="shared" si="53"/>
        <v>0.6</v>
      </c>
      <c r="R178" s="177">
        <f t="shared" si="54"/>
        <v>0.23927705014608924</v>
      </c>
      <c r="S178" s="799">
        <f t="shared" si="55"/>
        <v>-1</v>
      </c>
      <c r="T178" s="176">
        <f t="shared" si="56"/>
        <v>5</v>
      </c>
      <c r="U178" s="250">
        <f t="shared" si="57"/>
        <v>-0.76072294985391076</v>
      </c>
      <c r="V178" s="382">
        <f t="shared" si="58"/>
        <v>59.158087379284083</v>
      </c>
      <c r="W178" s="400">
        <f t="shared" si="59"/>
        <v>54.926604845197559</v>
      </c>
      <c r="X178" s="157">
        <f t="shared" si="60"/>
        <v>46551</v>
      </c>
      <c r="Y178" s="383">
        <f t="shared" si="61"/>
        <v>51.931236113253675</v>
      </c>
      <c r="Z178" s="383">
        <f t="shared" si="62"/>
        <v>55.07835867238957</v>
      </c>
      <c r="AA178" s="384">
        <f t="shared" si="63"/>
        <v>59.001633885424447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6.6494348625217789E-2</v>
      </c>
      <c r="AD178" s="230">
        <f>(INDEX(Models!$BJ178:$BT178,,AH178)*(1-AF178)+INDEX(Models!$BJ178:$BT178,,AH178+1)*AF178-ERP_i)*AE178*Ramure*Pc/MaxiM</f>
        <v>4.2784133631846303E-4</v>
      </c>
      <c r="AE178" s="304">
        <f t="shared" si="65"/>
        <v>0.6</v>
      </c>
      <c r="AF178" s="177">
        <f t="shared" si="66"/>
        <v>0.76426461652006772</v>
      </c>
      <c r="AG178" s="799">
        <f t="shared" si="74"/>
        <v>2</v>
      </c>
      <c r="AH178" s="176">
        <f t="shared" si="67"/>
        <v>8</v>
      </c>
      <c r="AI178" s="224">
        <f t="shared" si="68"/>
        <v>2.7642646165200677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'2026'!Wh/'2026'!Env_an*'2027'!Env_an</f>
        <v>48.827231368992059</v>
      </c>
      <c r="C179" s="829"/>
      <c r="D179" s="391">
        <f t="shared" si="50"/>
        <v>51.787238372684769</v>
      </c>
      <c r="E179" s="383">
        <f t="shared" si="75"/>
        <v>52.47558273019267</v>
      </c>
      <c r="F179" s="383">
        <f t="shared" si="51"/>
        <v>52.476613897960711</v>
      </c>
      <c r="G179" s="110">
        <f t="shared" si="76"/>
        <v>0.82603450019290015</v>
      </c>
      <c r="H179" s="412" t="b">
        <f>Wh_hp&gt;='2026'!Maxi_hp</f>
        <v>0</v>
      </c>
      <c r="I179" s="388">
        <f>IF(H179,Wh_hp,'2026'!Maxi_hp)</f>
        <v>56.161235442538548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5.7157073763832278E-2</v>
      </c>
      <c r="M179" s="832"/>
      <c r="N179" s="832"/>
      <c r="O179" s="48">
        <f>IF(t&lt;Tnet,'2026'!Resal+('2026'!Salim-'2026'!Resal)*(1-EXP(('2026'!Tnet-t)/('2026'!Tau_j))),Resal+(Salim-Resal)*(1-EXP((Tnet-t)/(Tau_j))))*Salcycl</f>
        <v>1.311742188833E-2</v>
      </c>
      <c r="P179" s="169">
        <f>(INDEX(Models!$BJ179:$BT179,,T179)*(1-R179)+INDEX(Models!$BJ179:$BT179,,T179+1)*R179-ERP_i)*Q179*Ramure*Pc/MaxiM</f>
        <v>2.6148266663152495E-5</v>
      </c>
      <c r="Q179" s="304">
        <f t="shared" si="53"/>
        <v>0.6</v>
      </c>
      <c r="R179" s="177">
        <f t="shared" si="54"/>
        <v>0.24439618956391507</v>
      </c>
      <c r="S179" s="799">
        <f t="shared" si="55"/>
        <v>-1</v>
      </c>
      <c r="T179" s="176">
        <f t="shared" si="56"/>
        <v>5</v>
      </c>
      <c r="U179" s="250">
        <f t="shared" si="57"/>
        <v>-0.75560381043608493</v>
      </c>
      <c r="V179" s="382">
        <f t="shared" si="58"/>
        <v>59.110017875923624</v>
      </c>
      <c r="W179" s="400">
        <f t="shared" si="59"/>
        <v>48.827231368992059</v>
      </c>
      <c r="X179" s="157">
        <f t="shared" si="60"/>
        <v>46552</v>
      </c>
      <c r="Y179" s="383">
        <f t="shared" si="61"/>
        <v>46.168208570895906</v>
      </c>
      <c r="Z179" s="383">
        <f t="shared" si="62"/>
        <v>48.967020153823029</v>
      </c>
      <c r="AA179" s="384">
        <f t="shared" si="63"/>
        <v>52.459740072140853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6.6579054976535504E-2</v>
      </c>
      <c r="AD179" s="230">
        <f>(INDEX(Models!$BJ179:$BT179,,AH179)*(1-AF179)+INDEX(Models!$BJ179:$BT179,,AH179+1)*AF179-ERP_i)*AE179*Ramure*Pc/MaxiM</f>
        <v>4.2788507441922743E-4</v>
      </c>
      <c r="AE179" s="304">
        <f t="shared" si="65"/>
        <v>0.6</v>
      </c>
      <c r="AF179" s="177">
        <f t="shared" si="66"/>
        <v>0.76938375593789399</v>
      </c>
      <c r="AG179" s="799">
        <f t="shared" si="74"/>
        <v>2</v>
      </c>
      <c r="AH179" s="176">
        <f t="shared" si="67"/>
        <v>8</v>
      </c>
      <c r="AI179" s="224">
        <f t="shared" si="68"/>
        <v>2.769383755937894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'2026'!Wh/'2026'!Env_an*'2027'!Env_an</f>
        <v>55.043490612443179</v>
      </c>
      <c r="C180" s="829"/>
      <c r="D180" s="391">
        <f t="shared" si="50"/>
        <v>58.381458880259707</v>
      </c>
      <c r="E180" s="383">
        <f t="shared" si="75"/>
        <v>59.164101035391901</v>
      </c>
      <c r="F180" s="383">
        <f t="shared" si="51"/>
        <v>59.165501993620033</v>
      </c>
      <c r="G180" s="110">
        <f t="shared" si="76"/>
        <v>0.93198184818938867</v>
      </c>
      <c r="H180" s="412" t="b">
        <f>Wh_hp&gt;='2026'!Maxi_hp</f>
        <v>0</v>
      </c>
      <c r="I180" s="388">
        <f>IF(H180,Wh_hp,'2026'!Maxi_hp)</f>
        <v>59.165616067593504</v>
      </c>
      <c r="J180" s="85">
        <f>IF(H180,An,'2026'!An_max)</f>
        <v>2026</v>
      </c>
      <c r="K180" s="197">
        <f t="shared" si="52"/>
        <v>46553</v>
      </c>
      <c r="L180" s="147">
        <f>IF(t&lt;Tvie,1-EXP((T0-t)*PertePVj)+'2026'!Pspv,1-EXP((T0-t)*PertePVj)+Pspv)</f>
        <v>5.717514313341665E-2</v>
      </c>
      <c r="M180" s="832"/>
      <c r="N180" s="832"/>
      <c r="O180" s="48">
        <f>IF(t&lt;Tnet,'2026'!Resal+('2026'!Salim-'2026'!Resal)*(1-EXP(('2026'!Tnet-t)/('2026'!Tau_j))),Resal+(Salim-Resal)*(1-EXP((Tnet-t)/(Tau_j))))*Salcycl</f>
        <v>1.3228328351748626E-2</v>
      </c>
      <c r="P180" s="169">
        <f>(INDEX(Models!$BJ180:$BT180,,T180)*(1-R180)+INDEX(Models!$BJ180:$BT180,,T180+1)*R180-ERP_i)*Q180*Ramure*Pc/MaxiM</f>
        <v>2.6226989105389081E-5</v>
      </c>
      <c r="Q180" s="304">
        <f t="shared" si="53"/>
        <v>0.6</v>
      </c>
      <c r="R180" s="177">
        <f t="shared" si="54"/>
        <v>0.24949810811105522</v>
      </c>
      <c r="S180" s="799">
        <f t="shared" si="55"/>
        <v>-1</v>
      </c>
      <c r="T180" s="176">
        <f t="shared" si="56"/>
        <v>5</v>
      </c>
      <c r="U180" s="250">
        <f t="shared" si="57"/>
        <v>-0.75050189188894478</v>
      </c>
      <c r="V180" s="382">
        <f t="shared" si="58"/>
        <v>59.060539049833181</v>
      </c>
      <c r="W180" s="400">
        <f t="shared" si="59"/>
        <v>55.043490612443179</v>
      </c>
      <c r="X180" s="157">
        <f t="shared" si="60"/>
        <v>46553</v>
      </c>
      <c r="Y180" s="383">
        <f t="shared" si="61"/>
        <v>52.043946078728275</v>
      </c>
      <c r="Z180" s="383">
        <f t="shared" si="62"/>
        <v>55.200014827454723</v>
      </c>
      <c r="AA180" s="384">
        <f t="shared" si="63"/>
        <v>59.142626463100576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6.6662775588866907E-2</v>
      </c>
      <c r="AD180" s="230">
        <f>(INDEX(Models!$BJ180:$BT180,,AH180)*(1-AF180)+INDEX(Models!$BJ180:$BT180,,AH180+1)*AF180-ERP_i)*AE180*Ramure*Pc/MaxiM</f>
        <v>4.28247093786826E-4</v>
      </c>
      <c r="AE180" s="304">
        <f t="shared" si="65"/>
        <v>0.6</v>
      </c>
      <c r="AF180" s="177">
        <f t="shared" si="66"/>
        <v>0.77448567448503391</v>
      </c>
      <c r="AG180" s="799">
        <f t="shared" si="74"/>
        <v>2</v>
      </c>
      <c r="AH180" s="176">
        <f t="shared" si="67"/>
        <v>8</v>
      </c>
      <c r="AI180" s="224">
        <f t="shared" si="68"/>
        <v>2.7744856744850339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'2026'!Wh/'2026'!Env_an*'2027'!Env_an</f>
        <v>52.866625739536936</v>
      </c>
      <c r="C181" s="829"/>
      <c r="D181" s="391">
        <f t="shared" si="50"/>
        <v>56.073658379646702</v>
      </c>
      <c r="E181" s="383">
        <f t="shared" si="75"/>
        <v>56.831738808861161</v>
      </c>
      <c r="F181" s="383">
        <f t="shared" si="51"/>
        <v>56.833013250817153</v>
      </c>
      <c r="G181" s="110">
        <f t="shared" si="76"/>
        <v>0.89589443223841858</v>
      </c>
      <c r="H181" s="412" t="b">
        <f>Wh_hp&gt;='2026'!Maxi_hp</f>
        <v>0</v>
      </c>
      <c r="I181" s="388">
        <f>IF(H181,Wh_hp,'2026'!Maxi_hp)</f>
        <v>63.760579589282713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5.7193212156705586E-2</v>
      </c>
      <c r="M181" s="832"/>
      <c r="N181" s="832"/>
      <c r="O181" s="48">
        <f>IF(t&lt;Tnet,'2026'!Resal+('2026'!Salim-'2026'!Resal)*(1-EXP(('2026'!Tnet-t)/('2026'!Tau_j))),Resal+(Salim-Resal)*(1-EXP((Tnet-t)/(Tau_j))))*Salcycl</f>
        <v>1.3339032820446814E-2</v>
      </c>
      <c r="P181" s="169">
        <f>(INDEX(Models!$BJ181:$BT181,,T181)*(1-R181)+INDEX(Models!$BJ181:$BT181,,T181+1)*R181-ERP_i)*Q181*Ramure*Pc/MaxiM</f>
        <v>2.6341805108672646E-5</v>
      </c>
      <c r="Q181" s="304">
        <f t="shared" si="53"/>
        <v>0.6</v>
      </c>
      <c r="R181" s="177">
        <f t="shared" si="54"/>
        <v>0.25457860898132711</v>
      </c>
      <c r="S181" s="799">
        <f t="shared" si="55"/>
        <v>-1</v>
      </c>
      <c r="T181" s="176">
        <f t="shared" si="56"/>
        <v>5</v>
      </c>
      <c r="U181" s="250">
        <f t="shared" si="57"/>
        <v>-0.74542139101867289</v>
      </c>
      <c r="V181" s="382">
        <f t="shared" si="58"/>
        <v>59.009651950672371</v>
      </c>
      <c r="W181" s="400">
        <f t="shared" si="59"/>
        <v>52.866625739536936</v>
      </c>
      <c r="X181" s="157">
        <f t="shared" si="60"/>
        <v>46554</v>
      </c>
      <c r="Y181" s="383">
        <f t="shared" si="61"/>
        <v>49.987898021570267</v>
      </c>
      <c r="Z181" s="383">
        <f t="shared" si="62"/>
        <v>53.020299244895597</v>
      </c>
      <c r="AA181" s="384">
        <f t="shared" si="63"/>
        <v>56.812260916409777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6.6745480823117653E-2</v>
      </c>
      <c r="AD181" s="230">
        <f>(INDEX(Models!$BJ181:$BT181,,AH181)*(1-AF181)+INDEX(Models!$BJ181:$BT181,,AH181+1)*AF181-ERP_i)*AE181*Ramure*Pc/MaxiM</f>
        <v>4.2893593226366988E-4</v>
      </c>
      <c r="AE181" s="304">
        <f t="shared" si="65"/>
        <v>0.6</v>
      </c>
      <c r="AF181" s="177">
        <f t="shared" si="66"/>
        <v>0.77956617535530581</v>
      </c>
      <c r="AG181" s="799">
        <f t="shared" si="74"/>
        <v>2</v>
      </c>
      <c r="AH181" s="176">
        <f t="shared" si="67"/>
        <v>8</v>
      </c>
      <c r="AI181" s="224">
        <f t="shared" si="68"/>
        <v>2.7795661753553058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'2026'!Wh/'2026'!Env_an*'2027'!Env_an</f>
        <v>53.0080929652012</v>
      </c>
      <c r="C182" s="829"/>
      <c r="D182" s="391">
        <f t="shared" si="50"/>
        <v>56.224784925381933</v>
      </c>
      <c r="E182" s="383">
        <f t="shared" si="75"/>
        <v>56.991290748756512</v>
      </c>
      <c r="F182" s="383">
        <f t="shared" si="51"/>
        <v>56.992583066045817</v>
      </c>
      <c r="G182" s="110">
        <f t="shared" si="76"/>
        <v>0.89908864082849627</v>
      </c>
      <c r="H182" s="412" t="b">
        <f>Wh_hp&gt;='2026'!Maxi_hp</f>
        <v>0</v>
      </c>
      <c r="I182" s="388">
        <f>IF(H182,Wh_hp,'2026'!Maxi_hp)</f>
        <v>62.238525909161851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5.7211280833705747E-2</v>
      </c>
      <c r="M182" s="832"/>
      <c r="N182" s="832"/>
      <c r="O182" s="48">
        <f>IF(t&lt;Tnet,'2026'!Resal+('2026'!Salim-'2026'!Resal)*(1-EXP(('2026'!Tnet-t)/('2026'!Tau_j))),Resal+(Salim-Resal)*(1-EXP((Tnet-t)/(Tau_j))))*Salcycl</f>
        <v>1.3449525590737794E-2</v>
      </c>
      <c r="P182" s="169">
        <f>(INDEX(Models!$BJ182:$BT182,,T182)*(1-R182)+INDEX(Models!$BJ182:$BT182,,T182+1)*R182-ERP_i)*Q182*Ramure*Pc/MaxiM</f>
        <v>2.649447262334238E-5</v>
      </c>
      <c r="Q182" s="304">
        <f t="shared" si="53"/>
        <v>0.6</v>
      </c>
      <c r="R182" s="177">
        <f t="shared" si="54"/>
        <v>0.25963356651098679</v>
      </c>
      <c r="S182" s="799">
        <f t="shared" si="55"/>
        <v>-1</v>
      </c>
      <c r="T182" s="176">
        <f t="shared" si="56"/>
        <v>5</v>
      </c>
      <c r="U182" s="250">
        <f t="shared" si="57"/>
        <v>-0.74036643348901321</v>
      </c>
      <c r="V182" s="382">
        <f t="shared" si="58"/>
        <v>58.957357595510281</v>
      </c>
      <c r="W182" s="400">
        <f t="shared" si="59"/>
        <v>53.0080929652012</v>
      </c>
      <c r="X182" s="157">
        <f t="shared" si="60"/>
        <v>46555</v>
      </c>
      <c r="Y182" s="383">
        <f t="shared" si="61"/>
        <v>50.122759726524855</v>
      </c>
      <c r="Z182" s="383">
        <f t="shared" si="62"/>
        <v>53.164360908824079</v>
      </c>
      <c r="AA182" s="384">
        <f t="shared" si="63"/>
        <v>56.971610961717396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6.6827144056916948E-2</v>
      </c>
      <c r="AD182" s="230">
        <f>(INDEX(Models!$BJ182:$BT182,,AH182)*(1-AF182)+INDEX(Models!$BJ182:$BT182,,AH182+1)*AF182-ERP_i)*AE182*Ramure*Pc/MaxiM</f>
        <v>4.2996007913883352E-4</v>
      </c>
      <c r="AE182" s="304">
        <f t="shared" si="65"/>
        <v>0.6</v>
      </c>
      <c r="AF182" s="177">
        <f t="shared" si="66"/>
        <v>0.78462113288496571</v>
      </c>
      <c r="AG182" s="799">
        <f t="shared" si="74"/>
        <v>2</v>
      </c>
      <c r="AH182" s="176">
        <f t="shared" si="67"/>
        <v>8</v>
      </c>
      <c r="AI182" s="224">
        <f t="shared" si="68"/>
        <v>2.7846211328849657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'2026'!Wh/'2026'!Env_an*'2027'!Env_an</f>
        <v>55.426337237620828</v>
      </c>
      <c r="C183" s="829"/>
      <c r="D183" s="391">
        <f t="shared" si="50"/>
        <v>58.790902313830578</v>
      </c>
      <c r="E183" s="383">
        <f t="shared" si="75"/>
        <v>59.599053406796543</v>
      </c>
      <c r="F183" s="383">
        <f t="shared" si="51"/>
        <v>59.600509813461883</v>
      </c>
      <c r="G183" s="110">
        <f t="shared" si="76"/>
        <v>0.94096386103614016</v>
      </c>
      <c r="H183" s="412" t="b">
        <f>Wh_hp&gt;='2026'!Maxi_hp</f>
        <v>0</v>
      </c>
      <c r="I183" s="388">
        <f>IF(H183,Wh_hp,'2026'!Maxi_hp)</f>
        <v>59.600610591533282</v>
      </c>
      <c r="J183" s="85">
        <f>IF(H183,An,'2026'!An_max)</f>
        <v>2026</v>
      </c>
      <c r="K183" s="197">
        <f t="shared" si="52"/>
        <v>46556</v>
      </c>
      <c r="L183" s="147">
        <f>IF(t&lt;Tvie,1-EXP((T0-t)*PertePVj)+'2026'!Pspv,1-EXP((T0-t)*PertePVj)+Pspv)</f>
        <v>5.7229349164423904E-2</v>
      </c>
      <c r="M183" s="832"/>
      <c r="N183" s="832"/>
      <c r="O183" s="48">
        <f>IF(t&lt;Tnet,'2026'!Resal+('2026'!Salim-'2026'!Resal)*(1-EXP(('2026'!Tnet-t)/('2026'!Tau_j))),Resal+(Salim-Resal)*(1-EXP((Tnet-t)/(Tau_j))))*Salcycl</f>
        <v>1.355979745936378E-2</v>
      </c>
      <c r="P183" s="169">
        <f>(INDEX(Models!$BJ183:$BT183,,T183)*(1-R183)+INDEX(Models!$BJ183:$BT183,,T183+1)*R183-ERP_i)*Q183*Ramure*Pc/MaxiM</f>
        <v>2.6686753523989931E-5</v>
      </c>
      <c r="Q183" s="304">
        <f t="shared" si="53"/>
        <v>0.6</v>
      </c>
      <c r="R183" s="177">
        <f t="shared" si="54"/>
        <v>0.26465893929325879</v>
      </c>
      <c r="S183" s="799">
        <f t="shared" si="55"/>
        <v>-1</v>
      </c>
      <c r="T183" s="176">
        <f t="shared" si="56"/>
        <v>5</v>
      </c>
      <c r="U183" s="250">
        <f t="shared" si="57"/>
        <v>-0.73534106070674121</v>
      </c>
      <c r="V183" s="382">
        <f t="shared" si="58"/>
        <v>58.903656969908404</v>
      </c>
      <c r="W183" s="400">
        <f t="shared" si="59"/>
        <v>55.426337237620828</v>
      </c>
      <c r="X183" s="157">
        <f t="shared" si="60"/>
        <v>46556</v>
      </c>
      <c r="Y183" s="383">
        <f t="shared" si="61"/>
        <v>52.409384034967111</v>
      </c>
      <c r="Z183" s="383">
        <f t="shared" si="62"/>
        <v>55.590809905374925</v>
      </c>
      <c r="AA183" s="384">
        <f t="shared" si="63"/>
        <v>59.576970460301595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6.6907741768823178E-2</v>
      </c>
      <c r="AD183" s="230">
        <f>(INDEX(Models!$BJ183:$BT183,,AH183)*(1-AF183)+INDEX(Models!$BJ183:$BT183,,AH183+1)*AF183-ERP_i)*AE183*Ramure*Pc/MaxiM</f>
        <v>4.3132796000691192E-4</v>
      </c>
      <c r="AE183" s="304">
        <f t="shared" si="65"/>
        <v>0.6</v>
      </c>
      <c r="AF183" s="177">
        <f t="shared" si="66"/>
        <v>0.78964650566723726</v>
      </c>
      <c r="AG183" s="799">
        <f t="shared" si="74"/>
        <v>2</v>
      </c>
      <c r="AH183" s="176">
        <f t="shared" si="67"/>
        <v>8</v>
      </c>
      <c r="AI183" s="224">
        <f t="shared" si="68"/>
        <v>2.7896465056672373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'2026'!Wh/'2026'!Env_an*'2027'!Env_an</f>
        <v>56.773246726619689</v>
      </c>
      <c r="C184" s="829"/>
      <c r="D184" s="391">
        <f t="shared" si="50"/>
        <v>60.220727855151942</v>
      </c>
      <c r="E184" s="383">
        <f t="shared" si="75"/>
        <v>61.055344632759834</v>
      </c>
      <c r="F184" s="383">
        <f t="shared" si="51"/>
        <v>61.056906796523471</v>
      </c>
      <c r="G184" s="110">
        <f t="shared" si="76"/>
        <v>0.96473353962559982</v>
      </c>
      <c r="H184" s="412" t="b">
        <f>Wh_hp&gt;='2026'!Maxi_hp</f>
        <v>0</v>
      </c>
      <c r="I184" s="388">
        <f>IF(H184,Wh_hp,'2026'!Maxi_hp)</f>
        <v>61.056968911946178</v>
      </c>
      <c r="J184" s="85">
        <f>IF(H184,An,'2026'!An_max)</f>
        <v>2026</v>
      </c>
      <c r="K184" s="197">
        <f t="shared" si="52"/>
        <v>46557</v>
      </c>
      <c r="L184" s="147">
        <f>IF(t&lt;Tvie,1-EXP((T0-t)*PertePVj)+'2026'!Pspv,1-EXP((T0-t)*PertePVj)+Pspv)</f>
        <v>5.7247417148866608E-2</v>
      </c>
      <c r="M184" s="832"/>
      <c r="N184" s="832"/>
      <c r="O184" s="48">
        <f>IF(t&lt;Tnet,'2026'!Resal+('2026'!Salim-'2026'!Resal)*(1-EXP(('2026'!Tnet-t)/('2026'!Tau_j))),Resal+(Salim-Resal)*(1-EXP((Tnet-t)/(Tau_j))))*Salcycl</f>
        <v>1.3669839759778771E-2</v>
      </c>
      <c r="P184" s="169">
        <f>(INDEX(Models!$BJ184:$BT184,,T184)*(1-R184)+INDEX(Models!$BJ184:$BT184,,T184+1)*R184-ERP_i)*Q184*Ramure*Pc/MaxiM</f>
        <v>2.6942714762191786E-5</v>
      </c>
      <c r="Q184" s="304">
        <f t="shared" si="53"/>
        <v>0.6</v>
      </c>
      <c r="R184" s="177">
        <f t="shared" si="54"/>
        <v>0.26965078270767129</v>
      </c>
      <c r="S184" s="799">
        <f t="shared" si="55"/>
        <v>-1</v>
      </c>
      <c r="T184" s="176">
        <f t="shared" si="56"/>
        <v>5</v>
      </c>
      <c r="U184" s="250">
        <f t="shared" si="57"/>
        <v>-0.73034921729232871</v>
      </c>
      <c r="V184" s="382">
        <f t="shared" si="58"/>
        <v>58.848549710430028</v>
      </c>
      <c r="W184" s="400">
        <f t="shared" si="59"/>
        <v>56.773246726619689</v>
      </c>
      <c r="X184" s="157">
        <f t="shared" si="60"/>
        <v>46557</v>
      </c>
      <c r="Y184" s="383">
        <f t="shared" si="61"/>
        <v>53.68357095143373</v>
      </c>
      <c r="Z184" s="383">
        <f t="shared" si="62"/>
        <v>56.94343556087685</v>
      </c>
      <c r="AA184" s="384">
        <f t="shared" si="63"/>
        <v>61.031787380114267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6.6987253605643268E-2</v>
      </c>
      <c r="AD184" s="230">
        <f>(INDEX(Models!$BJ184:$BT184,,AH184)*(1-AF184)+INDEX(Models!$BJ184:$BT184,,AH184+1)*AF184-ERP_i)*AE184*Ramure*Pc/MaxiM</f>
        <v>4.3323580220010552E-4</v>
      </c>
      <c r="AE184" s="304">
        <f t="shared" si="65"/>
        <v>0.6</v>
      </c>
      <c r="AF184" s="177">
        <f t="shared" si="66"/>
        <v>0.79463834908164976</v>
      </c>
      <c r="AG184" s="799">
        <f t="shared" si="74"/>
        <v>2</v>
      </c>
      <c r="AH184" s="176">
        <f t="shared" si="67"/>
        <v>8</v>
      </c>
      <c r="AI184" s="224">
        <f t="shared" si="68"/>
        <v>2.7946383490816498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'2026'!Wh/'2026'!Env_an*'2027'!Env_an</f>
        <v>32.026879052044428</v>
      </c>
      <c r="C185" s="829"/>
      <c r="D185" s="391">
        <f t="shared" si="50"/>
        <v>33.972320452073085</v>
      </c>
      <c r="E185" s="383">
        <f t="shared" si="75"/>
        <v>34.446987692969806</v>
      </c>
      <c r="F185" s="383">
        <f t="shared" si="51"/>
        <v>34.4473157382482</v>
      </c>
      <c r="G185" s="110">
        <f t="shared" si="76"/>
        <v>0.54473892446387129</v>
      </c>
      <c r="H185" s="412" t="b">
        <f>Wh_hp&gt;='2026'!Maxi_hp</f>
        <v>0</v>
      </c>
      <c r="I185" s="388">
        <f>IF(H185,Wh_hp,'2026'!Maxi_hp)</f>
        <v>56.990075158502776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5.7265484787040521E-2</v>
      </c>
      <c r="M185" s="832"/>
      <c r="N185" s="832"/>
      <c r="O185" s="48">
        <f>IF(t&lt;Tnet,'2026'!Resal+('2026'!Salim-'2026'!Resal)*(1-EXP(('2026'!Tnet-t)/('2026'!Tau_j))),Resal+(Salim-Resal)*(1-EXP((Tnet-t)/(Tau_j))))*Salcycl</f>
        <v>1.3779644395251246E-2</v>
      </c>
      <c r="P185" s="169">
        <f>(INDEX(Models!$BJ185:$BT185,,T185)*(1-R185)+INDEX(Models!$BJ185:$BT185,,T185+1)*R185-ERP_i)*Q185*Ramure*Pc/MaxiM</f>
        <v>2.7236812135701203E-5</v>
      </c>
      <c r="Q185" s="304">
        <f t="shared" si="53"/>
        <v>0.6</v>
      </c>
      <c r="R185" s="177">
        <f t="shared" si="54"/>
        <v>0.27460526078475356</v>
      </c>
      <c r="S185" s="799">
        <f t="shared" si="55"/>
        <v>-1</v>
      </c>
      <c r="T185" s="176">
        <f t="shared" si="56"/>
        <v>5</v>
      </c>
      <c r="U185" s="250">
        <f t="shared" si="57"/>
        <v>-0.72539473921524644</v>
      </c>
      <c r="V185" s="382">
        <f t="shared" si="58"/>
        <v>58.792038338894933</v>
      </c>
      <c r="W185" s="400">
        <f t="shared" si="59"/>
        <v>32.026879052044428</v>
      </c>
      <c r="X185" s="157">
        <f t="shared" si="60"/>
        <v>46558</v>
      </c>
      <c r="Y185" s="383">
        <f t="shared" si="61"/>
        <v>30.29212534826322</v>
      </c>
      <c r="Z185" s="383">
        <f t="shared" si="62"/>
        <v>32.132190833620179</v>
      </c>
      <c r="AA185" s="384">
        <f t="shared" si="63"/>
        <v>34.442071150896957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6.7065662432342507E-2</v>
      </c>
      <c r="AD185" s="230">
        <f>(INDEX(Models!$BJ185:$BT185,,AH185)*(1-AF185)+INDEX(Models!$BJ185:$BT185,,AH185+1)*AF185-ERP_i)*AE185*Ramure*Pc/MaxiM</f>
        <v>4.3544550042793717E-4</v>
      </c>
      <c r="AE185" s="304">
        <f t="shared" si="65"/>
        <v>0.6</v>
      </c>
      <c r="AF185" s="177">
        <f t="shared" si="66"/>
        <v>0.79959282715873226</v>
      </c>
      <c r="AG185" s="799">
        <f t="shared" si="74"/>
        <v>2</v>
      </c>
      <c r="AH185" s="176">
        <f t="shared" si="67"/>
        <v>8</v>
      </c>
      <c r="AI185" s="224">
        <f t="shared" si="68"/>
        <v>2.7995928271587323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'2026'!Wh/'2026'!Env_an*'2027'!Env_an</f>
        <v>23.04809937344805</v>
      </c>
      <c r="C186" s="829"/>
      <c r="D186" s="391">
        <f t="shared" si="50"/>
        <v>24.448602147841516</v>
      </c>
      <c r="E186" s="383">
        <f t="shared" si="75"/>
        <v>24.792956576232484</v>
      </c>
      <c r="F186" s="383">
        <f t="shared" si="51"/>
        <v>24.79304681941878</v>
      </c>
      <c r="G186" s="110">
        <f t="shared" si="76"/>
        <v>0.39240472735830834</v>
      </c>
      <c r="H186" s="412" t="b">
        <f>Wh_hp&gt;='2026'!Maxi_hp</f>
        <v>0</v>
      </c>
      <c r="I186" s="388">
        <f>IF(H186,Wh_hp,'2026'!Maxi_hp)</f>
        <v>52.195932812822107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5.7283552078952304E-2</v>
      </c>
      <c r="M186" s="832"/>
      <c r="N186" s="832"/>
      <c r="O186" s="48">
        <f>IF(t&lt;Tnet,'2026'!Resal+('2026'!Salim-'2026'!Resal)*(1-EXP(('2026'!Tnet-t)/('2026'!Tau_j))),Resal+(Salim-Resal)*(1-EXP((Tnet-t)/(Tau_j))))*Salcycl</f>
        <v>1.3889203868532514E-2</v>
      </c>
      <c r="P186" s="169">
        <f>(INDEX(Models!$BJ186:$BT186,,T186)*(1-R186)+INDEX(Models!$BJ186:$BT186,,T186+1)*R186-ERP_i)*Q186*Ramure*Pc/MaxiM</f>
        <v>2.7570474270883256E-5</v>
      </c>
      <c r="Q186" s="304">
        <f t="shared" si="53"/>
        <v>0.6</v>
      </c>
      <c r="R186" s="177">
        <f t="shared" si="54"/>
        <v>0.2795186573343803</v>
      </c>
      <c r="S186" s="799">
        <f t="shared" si="55"/>
        <v>-1</v>
      </c>
      <c r="T186" s="176">
        <f t="shared" si="56"/>
        <v>5</v>
      </c>
      <c r="U186" s="250">
        <f t="shared" si="57"/>
        <v>-0.7204813426656197</v>
      </c>
      <c r="V186" s="382">
        <f t="shared" si="58"/>
        <v>58.734123748690159</v>
      </c>
      <c r="W186" s="400">
        <f t="shared" si="59"/>
        <v>23.04809937344805</v>
      </c>
      <c r="X186" s="157">
        <f t="shared" si="60"/>
        <v>46559</v>
      </c>
      <c r="Y186" s="383">
        <f t="shared" si="61"/>
        <v>21.802232632508655</v>
      </c>
      <c r="Z186" s="383">
        <f t="shared" si="62"/>
        <v>23.127031124352026</v>
      </c>
      <c r="AA186" s="384">
        <f t="shared" si="63"/>
        <v>24.791613283671335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6.7142954364154378E-2</v>
      </c>
      <c r="AD186" s="230">
        <f>(INDEX(Models!$BJ186:$BT186,,AH186)*(1-AF186)+INDEX(Models!$BJ186:$BT186,,AH186+1)*AF186-ERP_i)*AE186*Ramure*Pc/MaxiM</f>
        <v>4.3796392906434936E-4</v>
      </c>
      <c r="AE186" s="304">
        <f t="shared" si="65"/>
        <v>0.6</v>
      </c>
      <c r="AF186" s="177">
        <f t="shared" si="66"/>
        <v>0.80450622370835889</v>
      </c>
      <c r="AG186" s="799">
        <f t="shared" si="74"/>
        <v>2</v>
      </c>
      <c r="AH186" s="176">
        <f t="shared" si="67"/>
        <v>8</v>
      </c>
      <c r="AI186" s="224">
        <f t="shared" si="68"/>
        <v>2.8045062237083589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'2026'!Wh/'2026'!Env_an*'2027'!Env_an</f>
        <v>44.640458597053325</v>
      </c>
      <c r="C187" s="829"/>
      <c r="D187" s="391">
        <f t="shared" si="50"/>
        <v>47.353914569010634</v>
      </c>
      <c r="E187" s="383">
        <f t="shared" si="75"/>
        <v>48.026210012950671</v>
      </c>
      <c r="F187" s="383">
        <f t="shared" si="51"/>
        <v>48.027093534993739</v>
      </c>
      <c r="G187" s="110">
        <f t="shared" si="76"/>
        <v>0.76080407873328937</v>
      </c>
      <c r="H187" s="412" t="b">
        <f>Wh_hp&gt;='2026'!Maxi_hp</f>
        <v>0</v>
      </c>
      <c r="I187" s="388">
        <f>IF(H187,Wh_hp,'2026'!Maxi_hp)</f>
        <v>63.676809848065162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5.7301619024608508E-2</v>
      </c>
      <c r="M187" s="832"/>
      <c r="N187" s="832"/>
      <c r="O187" s="48">
        <f>IF(t&lt;Tnet,'2026'!Resal+('2026'!Salim-'2026'!Resal)*(1-EXP(('2026'!Tnet-t)/('2026'!Tau_j))),Resal+(Salim-Resal)*(1-EXP((Tnet-t)/(Tau_j))))*Salcycl</f>
        <v>1.3998511307861831E-2</v>
      </c>
      <c r="P187" s="169">
        <f>(INDEX(Models!$BJ187:$BT187,,T187)*(1-R187)+INDEX(Models!$BJ187:$BT187,,T187+1)*R187-ERP_i)*Q187*Ramure*Pc/MaxiM</f>
        <v>2.7945118953535675E-5</v>
      </c>
      <c r="Q187" s="304">
        <f t="shared" si="53"/>
        <v>0.6</v>
      </c>
      <c r="R187" s="177">
        <f t="shared" si="54"/>
        <v>0.28438738627446791</v>
      </c>
      <c r="S187" s="799">
        <f t="shared" si="55"/>
        <v>-1</v>
      </c>
      <c r="T187" s="176">
        <f t="shared" si="56"/>
        <v>5</v>
      </c>
      <c r="U187" s="250">
        <f t="shared" si="57"/>
        <v>-0.71561261372553209</v>
      </c>
      <c r="V187" s="382">
        <f t="shared" si="58"/>
        <v>58.67480679259036</v>
      </c>
      <c r="W187" s="400">
        <f t="shared" si="59"/>
        <v>44.640458597053325</v>
      </c>
      <c r="X187" s="157">
        <f t="shared" si="60"/>
        <v>46560</v>
      </c>
      <c r="Y187" s="383">
        <f t="shared" si="61"/>
        <v>42.21945874062957</v>
      </c>
      <c r="Z187" s="383">
        <f t="shared" si="62"/>
        <v>44.785755012060086</v>
      </c>
      <c r="AA187" s="384">
        <f t="shared" si="63"/>
        <v>48.013157123797974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6.7219118780635453E-2</v>
      </c>
      <c r="AD187" s="230">
        <f>(INDEX(Models!$BJ187:$BT187,,AH187)*(1-AF187)+INDEX(Models!$BJ187:$BT187,,AH187+1)*AF187-ERP_i)*AE187*Ramure*Pc/MaxiM</f>
        <v>4.4079790844541415E-4</v>
      </c>
      <c r="AE187" s="304">
        <f t="shared" si="65"/>
        <v>0.6</v>
      </c>
      <c r="AF187" s="177">
        <f t="shared" si="66"/>
        <v>0.80937495264844639</v>
      </c>
      <c r="AG187" s="799">
        <f t="shared" si="74"/>
        <v>2</v>
      </c>
      <c r="AH187" s="176">
        <f t="shared" si="67"/>
        <v>8</v>
      </c>
      <c r="AI187" s="224">
        <f t="shared" si="68"/>
        <v>2.8093749526484464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'2026'!Wh/'2026'!Env_an*'2027'!Env_an</f>
        <v>42.106716003460491</v>
      </c>
      <c r="C188" s="829"/>
      <c r="D188" s="391">
        <f t="shared" si="50"/>
        <v>44.667015276895242</v>
      </c>
      <c r="E188" s="383">
        <f t="shared" si="75"/>
        <v>45.306174879538439</v>
      </c>
      <c r="F188" s="383">
        <f t="shared" si="51"/>
        <v>45.306942884410134</v>
      </c>
      <c r="G188" s="110">
        <f t="shared" si="76"/>
        <v>0.71836373726073754</v>
      </c>
      <c r="H188" s="412" t="b">
        <f>Wh_hp&gt;='2026'!Maxi_hp</f>
        <v>0</v>
      </c>
      <c r="I188" s="388">
        <f>IF(H188,Wh_hp,'2026'!Maxi_hp)</f>
        <v>54.409239843799597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5.7319685624015904E-2</v>
      </c>
      <c r="M188" s="832"/>
      <c r="N188" s="832"/>
      <c r="O188" s="48">
        <f>IF(t&lt;Tnet,'2026'!Resal+('2026'!Salim-'2026'!Resal)*(1-EXP(('2026'!Tnet-t)/('2026'!Tau_j))),Resal+(Salim-Resal)*(1-EXP((Tnet-t)/(Tau_j))))*Salcycl</f>
        <v>1.4107560489108001E-2</v>
      </c>
      <c r="P188" s="169">
        <f>(INDEX(Models!$BJ188:$BT188,,T188)*(1-R188)+INDEX(Models!$BJ188:$BT188,,T188+1)*R188-ERP_i)*Q188*Ramure*Pc/MaxiM</f>
        <v>2.8361860253946035E-5</v>
      </c>
      <c r="Q188" s="304">
        <f t="shared" si="53"/>
        <v>0.6</v>
      </c>
      <c r="R188" s="177">
        <f t="shared" si="54"/>
        <v>0.28920800110568989</v>
      </c>
      <c r="S188" s="799">
        <f t="shared" si="55"/>
        <v>-1</v>
      </c>
      <c r="T188" s="176">
        <f t="shared" si="56"/>
        <v>5</v>
      </c>
      <c r="U188" s="250">
        <f t="shared" si="57"/>
        <v>-0.71079199889431011</v>
      </c>
      <c r="V188" s="382">
        <f t="shared" si="58"/>
        <v>58.614088300753991</v>
      </c>
      <c r="W188" s="400">
        <f t="shared" si="59"/>
        <v>42.106716003460491</v>
      </c>
      <c r="X188" s="157">
        <f t="shared" si="60"/>
        <v>46561</v>
      </c>
      <c r="Y188" s="383">
        <f t="shared" si="61"/>
        <v>39.825262635402019</v>
      </c>
      <c r="Z188" s="383">
        <f t="shared" si="62"/>
        <v>42.246838114748073</v>
      </c>
      <c r="AA188" s="384">
        <f t="shared" si="63"/>
        <v>45.294921264536768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6.7294148321550534E-2</v>
      </c>
      <c r="AD188" s="230">
        <f>(INDEX(Models!$BJ188:$BT188,,AH188)*(1-AF188)+INDEX(Models!$BJ188:$BT188,,AH188+1)*AF188-ERP_i)*AE188*Ramure*Pc/MaxiM</f>
        <v>4.4394966157203767E-4</v>
      </c>
      <c r="AE188" s="304">
        <f t="shared" si="65"/>
        <v>0.6</v>
      </c>
      <c r="AF188" s="177">
        <f t="shared" si="66"/>
        <v>0.81419556747966837</v>
      </c>
      <c r="AG188" s="799">
        <f t="shared" si="74"/>
        <v>2</v>
      </c>
      <c r="AH188" s="176">
        <f t="shared" si="67"/>
        <v>8</v>
      </c>
      <c r="AI188" s="224">
        <f t="shared" si="68"/>
        <v>2.8141955674796684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'2026'!Wh/'2026'!Env_an*'2027'!Env_an</f>
        <v>39.715847914390778</v>
      </c>
      <c r="C189" s="829"/>
      <c r="D189" s="391">
        <f t="shared" si="50"/>
        <v>42.131577872646723</v>
      </c>
      <c r="E189" s="383">
        <f t="shared" si="75"/>
        <v>42.739172733738137</v>
      </c>
      <c r="F189" s="383">
        <f t="shared" si="51"/>
        <v>42.739838455304778</v>
      </c>
      <c r="G189" s="110">
        <f t="shared" si="76"/>
        <v>0.67829182315317826</v>
      </c>
      <c r="H189" s="412" t="b">
        <f>Wh_hp&gt;='2026'!Maxi_hp</f>
        <v>0</v>
      </c>
      <c r="I189" s="388">
        <f>IF(H189,Wh_hp,'2026'!Maxi_hp)</f>
        <v>62.441537989908561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5.7337751877180931E-2</v>
      </c>
      <c r="M189" s="832"/>
      <c r="N189" s="832"/>
      <c r="O189" s="48">
        <f>IF(t&lt;Tnet,'2026'!Resal+('2026'!Salim-'2026'!Resal)*(1-EXP(('2026'!Tnet-t)/('2026'!Tau_j))),Resal+(Salim-Resal)*(1-EXP((Tnet-t)/(Tau_j))))*Salcycl</f>
        <v>1.4216345853877101E-2</v>
      </c>
      <c r="P189" s="169">
        <f>(INDEX(Models!$BJ189:$BT189,,T189)*(1-R189)+INDEX(Models!$BJ189:$BT189,,T189+1)*R189-ERP_i)*Q189*Ramure*Pc/MaxiM</f>
        <v>2.8821761598745861E-5</v>
      </c>
      <c r="Q189" s="304">
        <f t="shared" si="53"/>
        <v>0.6</v>
      </c>
      <c r="R189" s="177">
        <f t="shared" si="54"/>
        <v>0.29397720348723222</v>
      </c>
      <c r="S189" s="799">
        <f t="shared" si="55"/>
        <v>-1</v>
      </c>
      <c r="T189" s="176">
        <f t="shared" si="56"/>
        <v>5</v>
      </c>
      <c r="U189" s="250">
        <f t="shared" si="57"/>
        <v>-0.70602279651276778</v>
      </c>
      <c r="V189" s="382">
        <f t="shared" si="58"/>
        <v>58.551969063032693</v>
      </c>
      <c r="W189" s="400">
        <f t="shared" si="59"/>
        <v>39.715847914390778</v>
      </c>
      <c r="X189" s="157">
        <f t="shared" si="60"/>
        <v>46562</v>
      </c>
      <c r="Y189" s="383">
        <f t="shared" si="61"/>
        <v>37.565940016005719</v>
      </c>
      <c r="Z189" s="383">
        <f t="shared" si="62"/>
        <v>39.85090109507734</v>
      </c>
      <c r="AA189" s="384">
        <f t="shared" si="63"/>
        <v>42.729503979858116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6.7368038864614288E-2</v>
      </c>
      <c r="AD189" s="230">
        <f>(INDEX(Models!$BJ189:$BT189,,AH189)*(1-AF189)+INDEX(Models!$BJ189:$BT189,,AH189+1)*AF189-ERP_i)*AE189*Ramure*Pc/MaxiM</f>
        <v>4.4742096770897759E-4</v>
      </c>
      <c r="AE189" s="304">
        <f t="shared" si="65"/>
        <v>0.6</v>
      </c>
      <c r="AF189" s="177">
        <f t="shared" si="66"/>
        <v>0.81896476986121103</v>
      </c>
      <c r="AG189" s="799">
        <f t="shared" si="74"/>
        <v>2</v>
      </c>
      <c r="AH189" s="176">
        <f t="shared" si="67"/>
        <v>8</v>
      </c>
      <c r="AI189" s="224">
        <f t="shared" si="68"/>
        <v>2.818964769861211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'2026'!Wh/'2026'!Env_an*'2027'!Env_an</f>
        <v>34.46544293609962</v>
      </c>
      <c r="C190" s="829"/>
      <c r="D190" s="391">
        <f t="shared" si="50"/>
        <v>36.562515937966246</v>
      </c>
      <c r="E190" s="383">
        <f t="shared" si="75"/>
        <v>37.093880679156364</v>
      </c>
      <c r="F190" s="383">
        <f t="shared" si="51"/>
        <v>37.094330217300708</v>
      </c>
      <c r="G190" s="110">
        <f t="shared" si="76"/>
        <v>0.58925907561846635</v>
      </c>
      <c r="H190" s="412" t="b">
        <f>Wh_hp&gt;='2026'!Maxi_hp</f>
        <v>0</v>
      </c>
      <c r="I190" s="388">
        <f>IF(H190,Wh_hp,'2026'!Maxi_hp)</f>
        <v>58.359170518097258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5.7355817784110363E-2</v>
      </c>
      <c r="M190" s="832"/>
      <c r="N190" s="832"/>
      <c r="O190" s="48">
        <f>IF(t&lt;Tnet,'2026'!Resal+('2026'!Salim-'2026'!Resal)*(1-EXP(('2026'!Tnet-t)/('2026'!Tau_j))),Resal+(Salim-Resal)*(1-EXP((Tnet-t)/(Tau_j))))*Salcycl</f>
        <v>1.4324862523448448E-2</v>
      </c>
      <c r="P190" s="169">
        <f>(INDEX(Models!$BJ190:$BT190,,T190)*(1-R190)+INDEX(Models!$BJ190:$BT190,,T190+1)*R190-ERP_i)*Q190*Ramure*Pc/MaxiM</f>
        <v>2.9326135505638957E-5</v>
      </c>
      <c r="Q190" s="304">
        <f t="shared" si="53"/>
        <v>0.6</v>
      </c>
      <c r="R190" s="177">
        <f t="shared" si="54"/>
        <v>0.29869185087820815</v>
      </c>
      <c r="S190" s="799">
        <f t="shared" si="55"/>
        <v>-1</v>
      </c>
      <c r="T190" s="176">
        <f t="shared" si="56"/>
        <v>5</v>
      </c>
      <c r="U190" s="250">
        <f t="shared" si="57"/>
        <v>-0.70130814912179185</v>
      </c>
      <c r="V190" s="382">
        <f t="shared" si="58"/>
        <v>58.488449810838922</v>
      </c>
      <c r="W190" s="400">
        <f t="shared" si="59"/>
        <v>34.46544293609962</v>
      </c>
      <c r="X190" s="157">
        <f t="shared" si="60"/>
        <v>46563</v>
      </c>
      <c r="Y190" s="383">
        <f t="shared" si="61"/>
        <v>32.602488777796609</v>
      </c>
      <c r="Z190" s="383">
        <f t="shared" si="62"/>
        <v>34.586209083853234</v>
      </c>
      <c r="AA190" s="384">
        <f t="shared" si="63"/>
        <v>37.087413532447741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6.7440789485257807E-2</v>
      </c>
      <c r="AD190" s="230">
        <f>(INDEX(Models!$BJ190:$BT190,,AH190)*(1-AF190)+INDEX(Models!$BJ190:$BT190,,AH190+1)*AF190-ERP_i)*AE190*Ramure*Pc/MaxiM</f>
        <v>4.5121785503851418E-4</v>
      </c>
      <c r="AE190" s="304">
        <f t="shared" si="65"/>
        <v>0.6</v>
      </c>
      <c r="AF190" s="177">
        <f t="shared" si="66"/>
        <v>0.82367941725218685</v>
      </c>
      <c r="AG190" s="799">
        <f t="shared" si="74"/>
        <v>2</v>
      </c>
      <c r="AH190" s="176">
        <f t="shared" si="67"/>
        <v>8</v>
      </c>
      <c r="AI190" s="224">
        <f t="shared" si="68"/>
        <v>2.8236794172521869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'2026'!Wh/'2026'!Env_an*'2027'!Env_an</f>
        <v>12.236339344181077</v>
      </c>
      <c r="C191" s="829"/>
      <c r="D191" s="391">
        <f t="shared" si="50"/>
        <v>12.981116402333999</v>
      </c>
      <c r="E191" s="383">
        <f t="shared" si="75"/>
        <v>13.171217991821525</v>
      </c>
      <c r="F191" s="383">
        <f t="shared" si="51"/>
        <v>13.171217991821525</v>
      </c>
      <c r="G191" s="110">
        <f t="shared" si="76"/>
        <v>0.20943571039435074</v>
      </c>
      <c r="H191" s="412" t="b">
        <f>Wh_hp&gt;='2026'!Maxi_hp</f>
        <v>0</v>
      </c>
      <c r="I191" s="388">
        <f>IF(H191,Wh_hp,'2026'!Maxi_hp)</f>
        <v>60.460509614669505</v>
      </c>
      <c r="J191" s="85">
        <f>IF(H191,An,'2026'!An_max)</f>
        <v>2021</v>
      </c>
      <c r="K191" s="197">
        <f t="shared" si="52"/>
        <v>46564</v>
      </c>
      <c r="L191" s="147">
        <f>IF(t&lt;Tvie,1-EXP((T0-t)*PertePVj)+'2026'!Pspv,1-EXP((T0-t)*PertePVj)+Pspv)</f>
        <v>5.7373883344810861E-2</v>
      </c>
      <c r="M191" s="832"/>
      <c r="N191" s="832"/>
      <c r="O191" s="48">
        <f>IF(t&lt;Tnet,'2026'!Resal+('2026'!Salim-'2026'!Resal)*(1-EXP(('2026'!Tnet-t)/('2026'!Tau_j))),Resal+(Salim-Resal)*(1-EXP((Tnet-t)/(Tau_j))))*Salcycl</f>
        <v>1.4433106308434546E-2</v>
      </c>
      <c r="P191" s="169">
        <f>(INDEX(Models!$BJ191:$BT191,,T191)*(1-R191)+INDEX(Models!$BJ191:$BT191,,T191+1)*R191-ERP_i)*Q191*Ramure*Pc/MaxiM</f>
        <v>2.9876266693393159E-5</v>
      </c>
      <c r="Q191" s="304">
        <f t="shared" si="53"/>
        <v>0.6</v>
      </c>
      <c r="R191" s="177">
        <f t="shared" si="54"/>
        <v>0.30334896321904037</v>
      </c>
      <c r="S191" s="799">
        <f t="shared" si="55"/>
        <v>-1</v>
      </c>
      <c r="T191" s="176">
        <f t="shared" si="56"/>
        <v>5</v>
      </c>
      <c r="U191" s="250">
        <f t="shared" si="57"/>
        <v>-0.69665103678095963</v>
      </c>
      <c r="V191" s="382">
        <f t="shared" si="58"/>
        <v>58.423531235452245</v>
      </c>
      <c r="W191" s="400">
        <f t="shared" si="59"/>
        <v>12.236339344181077</v>
      </c>
      <c r="X191" s="157">
        <f t="shared" si="60"/>
        <v>46564</v>
      </c>
      <c r="Y191" s="383">
        <f t="shared" si="61"/>
        <v>11.577331535306387</v>
      </c>
      <c r="Z191" s="383">
        <f t="shared" si="62"/>
        <v>12.281997422676284</v>
      </c>
      <c r="AA191" s="384">
        <f t="shared" si="63"/>
        <v>13.171217991821525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6.751240239872959E-2</v>
      </c>
      <c r="AD191" s="230">
        <f>(INDEX(Models!$BJ191:$BT191,,AH191)*(1-AF191)+INDEX(Models!$BJ191:$BT191,,AH191+1)*AF191-ERP_i)*AE191*Ramure*Pc/MaxiM</f>
        <v>4.5534623874005277E-4</v>
      </c>
      <c r="AE191" s="304">
        <f t="shared" si="65"/>
        <v>0.6</v>
      </c>
      <c r="AF191" s="177">
        <f t="shared" si="66"/>
        <v>0.82833652959301896</v>
      </c>
      <c r="AG191" s="799">
        <f t="shared" si="74"/>
        <v>2</v>
      </c>
      <c r="AH191" s="176">
        <f t="shared" si="67"/>
        <v>8</v>
      </c>
      <c r="AI191" s="224">
        <f t="shared" si="68"/>
        <v>2.828336529593019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'2026'!Wh/'2026'!Env_an*'2027'!Env_an</f>
        <v>14.868024493585356</v>
      </c>
      <c r="C192" s="829"/>
      <c r="D192" s="391">
        <f t="shared" si="50"/>
        <v>15.773283997373682</v>
      </c>
      <c r="E192" s="383">
        <f t="shared" si="75"/>
        <v>16.006028842644518</v>
      </c>
      <c r="F192" s="383">
        <f t="shared" si="51"/>
        <v>16.006028842644518</v>
      </c>
      <c r="G192" s="110">
        <f t="shared" si="76"/>
        <v>0.2547683550881002</v>
      </c>
      <c r="H192" s="412" t="b">
        <f>Wh_hp&gt;='2026'!Maxi_hp</f>
        <v>0</v>
      </c>
      <c r="I192" s="388">
        <f>IF(H192,Wh_hp,'2026'!Maxi_hp)</f>
        <v>59.284461981263078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5.7391948559288974E-2</v>
      </c>
      <c r="M192" s="832"/>
      <c r="N192" s="832"/>
      <c r="O192" s="48">
        <f>IF(t&lt;Tnet,'2026'!Resal+('2026'!Salim-'2026'!Resal)*(1-EXP(('2026'!Tnet-t)/('2026'!Tau_j))),Resal+(Salim-Resal)*(1-EXP((Tnet-t)/(Tau_j))))*Salcycl</f>
        <v>1.4541073714095697E-2</v>
      </c>
      <c r="P192" s="169">
        <f>(INDEX(Models!$BJ192:$BT192,,T192)*(1-R192)+INDEX(Models!$BJ192:$BT192,,T192+1)*R192-ERP_i)*Q192*Ramure*Pc/MaxiM</f>
        <v>3.0504196805967774E-5</v>
      </c>
      <c r="Q192" s="304">
        <f t="shared" si="53"/>
        <v>0.6</v>
      </c>
      <c r="R192" s="177">
        <f t="shared" si="54"/>
        <v>0.30794572863675751</v>
      </c>
      <c r="S192" s="799">
        <f t="shared" si="55"/>
        <v>-1</v>
      </c>
      <c r="T192" s="176">
        <f t="shared" si="56"/>
        <v>5</v>
      </c>
      <c r="U192" s="250">
        <f t="shared" si="57"/>
        <v>-0.69205427136324249</v>
      </c>
      <c r="V192" s="382">
        <f t="shared" si="58"/>
        <v>58.357212187121142</v>
      </c>
      <c r="W192" s="400">
        <f t="shared" si="59"/>
        <v>14.868024493585356</v>
      </c>
      <c r="X192" s="157">
        <f t="shared" si="60"/>
        <v>46565</v>
      </c>
      <c r="Y192" s="383">
        <f t="shared" si="61"/>
        <v>14.067760883503668</v>
      </c>
      <c r="Z192" s="383">
        <f t="shared" si="62"/>
        <v>14.924295269918469</v>
      </c>
      <c r="AA192" s="384">
        <f t="shared" si="63"/>
        <v>16.006028842644518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6.7582882884979545E-2</v>
      </c>
      <c r="AD192" s="230">
        <f>(INDEX(Models!$BJ192:$BT192,,AH192)*(1-AF192)+INDEX(Models!$BJ192:$BT192,,AH192+1)*AF192-ERP_i)*AE192*Ramure*Pc/MaxiM</f>
        <v>4.600728665581145E-4</v>
      </c>
      <c r="AE192" s="304">
        <f t="shared" si="65"/>
        <v>0.6</v>
      </c>
      <c r="AF192" s="177">
        <f t="shared" si="66"/>
        <v>0.83293329501073643</v>
      </c>
      <c r="AG192" s="799">
        <f t="shared" si="74"/>
        <v>2</v>
      </c>
      <c r="AH192" s="176">
        <f t="shared" si="67"/>
        <v>8</v>
      </c>
      <c r="AI192" s="224">
        <f t="shared" si="68"/>
        <v>2.8329332950107364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'2026'!Wh/'2026'!Env_an*'2027'!Env_an</f>
        <v>58.982380206058856</v>
      </c>
      <c r="C193" s="829"/>
      <c r="D193" s="391">
        <f t="shared" si="50"/>
        <v>62.574800333427262</v>
      </c>
      <c r="E193" s="383">
        <f t="shared" si="75"/>
        <v>63.505071000578575</v>
      </c>
      <c r="F193" s="383">
        <f t="shared" si="51"/>
        <v>63.507051622398627</v>
      </c>
      <c r="G193" s="110">
        <f t="shared" si="76"/>
        <v>1.0118869712014775</v>
      </c>
      <c r="H193" s="412" t="b">
        <f>Wh_hp&gt;='2026'!Maxi_hp</f>
        <v>1</v>
      </c>
      <c r="I193" s="388">
        <f>IF(H193,Wh_hp,'2026'!Maxi_hp)</f>
        <v>63.507051622398627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5.7410013427551365E-2</v>
      </c>
      <c r="M193" s="832"/>
      <c r="N193" s="832"/>
      <c r="O193" s="48">
        <f>IF(t&lt;Tnet,'2026'!Resal+('2026'!Salim-'2026'!Resal)*(1-EXP(('2026'!Tnet-t)/('2026'!Tau_j))),Resal+(Salim-Resal)*(1-EXP((Tnet-t)/(Tau_j))))*Salcycl</f>
        <v>1.4648761941276098E-2</v>
      </c>
      <c r="P193" s="169">
        <f>(INDEX(Models!$BJ193:$BT193,,T193)*(1-R193)+INDEX(Models!$BJ193:$BT193,,T193+1)*R193-ERP_i)*Q193*Ramure*Pc/MaxiM</f>
        <v>3.1187431465556633E-5</v>
      </c>
      <c r="Q193" s="304">
        <f t="shared" si="53"/>
        <v>0.6</v>
      </c>
      <c r="R193" s="177">
        <f t="shared" si="54"/>
        <v>0.31247950816758707</v>
      </c>
      <c r="S193" s="799">
        <f t="shared" si="55"/>
        <v>-1</v>
      </c>
      <c r="T193" s="176">
        <f t="shared" si="56"/>
        <v>5</v>
      </c>
      <c r="U193" s="250">
        <f t="shared" si="57"/>
        <v>-0.68752049183241293</v>
      </c>
      <c r="V193" s="382">
        <f t="shared" si="58"/>
        <v>58.289494661666943</v>
      </c>
      <c r="W193" s="400">
        <f t="shared" si="59"/>
        <v>58.982380206058856</v>
      </c>
      <c r="X193" s="157">
        <f t="shared" si="60"/>
        <v>46566</v>
      </c>
      <c r="Y193" s="383">
        <f t="shared" si="61"/>
        <v>55.785408774260681</v>
      </c>
      <c r="Z193" s="383">
        <f t="shared" si="62"/>
        <v>59.183112030623022</v>
      </c>
      <c r="AA193" s="384">
        <f t="shared" si="63"/>
        <v>63.47750755538349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6.7652239196909991E-2</v>
      </c>
      <c r="AD193" s="230">
        <f>(INDEX(Models!$BJ193:$BT193,,AH193)*(1-AF193)+INDEX(Models!$BJ193:$BT193,,AH193+1)*AF193-ERP_i)*AE193*Ramure*Pc/MaxiM</f>
        <v>4.6520923677589388E-4</v>
      </c>
      <c r="AE193" s="304">
        <f t="shared" si="65"/>
        <v>0.6</v>
      </c>
      <c r="AF193" s="177">
        <f t="shared" si="66"/>
        <v>0.83746707454156555</v>
      </c>
      <c r="AG193" s="799">
        <f t="shared" si="74"/>
        <v>2</v>
      </c>
      <c r="AH193" s="176">
        <f t="shared" si="67"/>
        <v>8</v>
      </c>
      <c r="AI193" s="224">
        <f t="shared" si="68"/>
        <v>2.8374670745415655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'2026'!Wh/'2026'!Env_an*'2027'!Env_an</f>
        <v>57.290200593554303</v>
      </c>
      <c r="C194" s="829"/>
      <c r="D194" s="391">
        <f t="shared" si="50"/>
        <v>60.780720551201867</v>
      </c>
      <c r="E194" s="383">
        <f t="shared" si="75"/>
        <v>61.691044015257397</v>
      </c>
      <c r="F194" s="383">
        <f t="shared" si="51"/>
        <v>61.692968756275995</v>
      </c>
      <c r="G194" s="110">
        <f t="shared" si="76"/>
        <v>0.98402242687988273</v>
      </c>
      <c r="H194" s="412" t="b">
        <f>Wh_hp&gt;='2026'!Maxi_hp</f>
        <v>0</v>
      </c>
      <c r="I194" s="388">
        <f>IF(H194,Wh_hp,'2026'!Maxi_hp)</f>
        <v>61.693001513826836</v>
      </c>
      <c r="J194" s="85">
        <f>IF(H194,An,'2026'!An_max)</f>
        <v>2026</v>
      </c>
      <c r="K194" s="197">
        <f t="shared" si="52"/>
        <v>46567</v>
      </c>
      <c r="L194" s="147">
        <f>IF(t&lt;Tvie,1-EXP((T0-t)*PertePVj)+'2026'!Pspv,1-EXP((T0-t)*PertePVj)+Pspv)</f>
        <v>5.7428077949604694E-2</v>
      </c>
      <c r="M194" s="832"/>
      <c r="N194" s="832"/>
      <c r="O194" s="48">
        <f>IF(t&lt;Tnet,'2026'!Resal+('2026'!Salim-'2026'!Resal)*(1-EXP(('2026'!Tnet-t)/('2026'!Tau_j))),Resal+(Salim-Resal)*(1-EXP((Tnet-t)/(Tau_j))))*Salcycl</f>
        <v>1.4756168882964346E-2</v>
      </c>
      <c r="P194" s="169">
        <f>(INDEX(Models!$BJ194:$BT194,,T194)*(1-R194)+INDEX(Models!$BJ194:$BT194,,T194+1)*R194-ERP_i)*Q194*Ramure*Pc/MaxiM</f>
        <v>3.1927423706557342E-5</v>
      </c>
      <c r="Q194" s="304">
        <f t="shared" si="53"/>
        <v>0.6</v>
      </c>
      <c r="R194" s="177">
        <f t="shared" si="54"/>
        <v>0.31694783949935934</v>
      </c>
      <c r="S194" s="799">
        <f t="shared" si="55"/>
        <v>-1</v>
      </c>
      <c r="T194" s="176">
        <f t="shared" si="56"/>
        <v>5</v>
      </c>
      <c r="U194" s="250">
        <f t="shared" si="57"/>
        <v>-0.68305216050064066</v>
      </c>
      <c r="V194" s="382">
        <f t="shared" si="58"/>
        <v>58.220379209984792</v>
      </c>
      <c r="W194" s="400">
        <f t="shared" si="59"/>
        <v>57.290200593554303</v>
      </c>
      <c r="X194" s="157">
        <f t="shared" si="60"/>
        <v>46567</v>
      </c>
      <c r="Y194" s="383">
        <f t="shared" si="61"/>
        <v>54.187171513580786</v>
      </c>
      <c r="Z194" s="383">
        <f t="shared" si="62"/>
        <v>57.488633223559603</v>
      </c>
      <c r="AA194" s="384">
        <f t="shared" si="63"/>
        <v>61.664588936593681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6.7720482452708522E-2</v>
      </c>
      <c r="AD194" s="230">
        <f>(INDEX(Models!$BJ194:$BT194,,AH194)*(1-AF194)+INDEX(Models!$BJ194:$BT194,,AH194+1)*AF194-ERP_i)*AE194*Ramure*Pc/MaxiM</f>
        <v>4.707617902668134E-4</v>
      </c>
      <c r="AE194" s="304">
        <f t="shared" si="65"/>
        <v>0.6</v>
      </c>
      <c r="AF194" s="177">
        <f t="shared" si="66"/>
        <v>0.84193540587333793</v>
      </c>
      <c r="AG194" s="799">
        <f t="shared" si="74"/>
        <v>2</v>
      </c>
      <c r="AH194" s="176">
        <f t="shared" si="67"/>
        <v>8</v>
      </c>
      <c r="AI194" s="224">
        <f t="shared" si="68"/>
        <v>2.8419354058733379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'2026'!Wh/'2026'!Env_an*'2027'!Env_an</f>
        <v>14.128472569005938</v>
      </c>
      <c r="C195" s="829"/>
      <c r="D195" s="391">
        <f t="shared" si="50"/>
        <v>14.989565265655582</v>
      </c>
      <c r="E195" s="383">
        <f t="shared" si="75"/>
        <v>15.215720986659461</v>
      </c>
      <c r="F195" s="383">
        <f t="shared" si="51"/>
        <v>15.215720986659461</v>
      </c>
      <c r="G195" s="110">
        <f t="shared" si="76"/>
        <v>0.24295860154295712</v>
      </c>
      <c r="H195" s="412" t="b">
        <f>Wh_hp&gt;='2026'!Maxi_hp</f>
        <v>0</v>
      </c>
      <c r="I195" s="388">
        <f>IF(H195,Wh_hp,'2026'!Maxi_hp)</f>
        <v>52.702185547178217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5.7446142125455624E-2</v>
      </c>
      <c r="M195" s="832"/>
      <c r="N195" s="832"/>
      <c r="O195" s="48">
        <f>IF(t&lt;Tnet,'2026'!Resal+('2026'!Salim-'2026'!Resal)*(1-EXP(('2026'!Tnet-t)/('2026'!Tau_j))),Resal+(Salim-Resal)*(1-EXP((Tnet-t)/(Tau_j))))*Salcycl</f>
        <v>1.4863293116518322E-2</v>
      </c>
      <c r="P195" s="169">
        <f>(INDEX(Models!$BJ195:$BT195,,T195)*(1-R195)+INDEX(Models!$BJ195:$BT195,,T195+1)*R195-ERP_i)*Q195*Ramure*Pc/MaxiM</f>
        <v>3.2725583593233224E-5</v>
      </c>
      <c r="Q195" s="304">
        <f t="shared" si="53"/>
        <v>0.6</v>
      </c>
      <c r="R195" s="177">
        <f t="shared" si="54"/>
        <v>0.32134843974491489</v>
      </c>
      <c r="S195" s="799">
        <f t="shared" si="55"/>
        <v>-1</v>
      </c>
      <c r="T195" s="176">
        <f t="shared" si="56"/>
        <v>5</v>
      </c>
      <c r="U195" s="250">
        <f t="shared" si="57"/>
        <v>-0.67865156025508511</v>
      </c>
      <c r="V195" s="382">
        <f t="shared" si="58"/>
        <v>58.149866342550069</v>
      </c>
      <c r="W195" s="400">
        <f t="shared" si="59"/>
        <v>14.128472569005938</v>
      </c>
      <c r="X195" s="157">
        <f t="shared" si="60"/>
        <v>46568</v>
      </c>
      <c r="Y195" s="383">
        <f t="shared" si="61"/>
        <v>13.369451016563676</v>
      </c>
      <c r="Z195" s="383">
        <f t="shared" si="62"/>
        <v>14.184283375288221</v>
      </c>
      <c r="AA195" s="384">
        <f t="shared" si="63"/>
        <v>15.215720986659461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6.7787626513102162E-2</v>
      </c>
      <c r="AD195" s="230">
        <f>(INDEX(Models!$BJ195:$BT195,,AH195)*(1-AF195)+INDEX(Models!$BJ195:$BT195,,AH195+1)*AF195-ERP_i)*AE195*Ramure*Pc/MaxiM</f>
        <v>4.7673680722678553E-4</v>
      </c>
      <c r="AE195" s="304">
        <f t="shared" si="65"/>
        <v>0.6</v>
      </c>
      <c r="AF195" s="177">
        <f t="shared" si="66"/>
        <v>0.84633600611889381</v>
      </c>
      <c r="AG195" s="799">
        <f t="shared" si="74"/>
        <v>2</v>
      </c>
      <c r="AH195" s="176">
        <f t="shared" si="67"/>
        <v>8</v>
      </c>
      <c r="AI195" s="224">
        <f t="shared" si="68"/>
        <v>2.8463360061188938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'2026'!Wh/'2026'!Env_an*'2027'!Env_an</f>
        <v>50.959617818818096</v>
      </c>
      <c r="C196" s="829"/>
      <c r="D196" s="391">
        <f t="shared" si="50"/>
        <v>54.066506694801546</v>
      </c>
      <c r="E196" s="383">
        <f t="shared" si="75"/>
        <v>54.888190251942412</v>
      </c>
      <c r="F196" s="383">
        <f t="shared" si="51"/>
        <v>54.889710865657165</v>
      </c>
      <c r="G196" s="110">
        <f t="shared" si="76"/>
        <v>0.87742959980859392</v>
      </c>
      <c r="H196" s="412" t="b">
        <f>Wh_hp&gt;='2026'!Maxi_hp</f>
        <v>0</v>
      </c>
      <c r="I196" s="388">
        <f>IF(H196,Wh_hp,'2026'!Maxi_hp)</f>
        <v>60.959454139649438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5.7464205955110703E-2</v>
      </c>
      <c r="M196" s="832"/>
      <c r="N196" s="832"/>
      <c r="O196" s="48">
        <f>IF(t&lt;Tnet,'2026'!Resal+('2026'!Salim-'2026'!Resal)*(1-EXP(('2026'!Tnet-t)/('2026'!Tau_j))),Resal+(Salim-Resal)*(1-EXP((Tnet-t)/(Tau_j))))*Salcycl</f>
        <v>1.4970133891630526E-2</v>
      </c>
      <c r="P196" s="169">
        <f>(INDEX(Models!$BJ196:$BT196,,T196)*(1-R196)+INDEX(Models!$BJ196:$BT196,,T196+1)*R196-ERP_i)*Q196*Ramure*Pc/MaxiM</f>
        <v>3.3583277402363226E-5</v>
      </c>
      <c r="Q196" s="304">
        <f t="shared" si="53"/>
        <v>0.6</v>
      </c>
      <c r="R196" s="177">
        <f t="shared" si="54"/>
        <v>0.32567920726585786</v>
      </c>
      <c r="S196" s="799">
        <f t="shared" si="55"/>
        <v>-1</v>
      </c>
      <c r="T196" s="176">
        <f t="shared" si="56"/>
        <v>5</v>
      </c>
      <c r="U196" s="250">
        <f t="shared" si="57"/>
        <v>-0.67432079273414214</v>
      </c>
      <c r="V196" s="382">
        <f t="shared" si="58"/>
        <v>58.07795653202065</v>
      </c>
      <c r="W196" s="400">
        <f t="shared" si="59"/>
        <v>50.959617818818096</v>
      </c>
      <c r="X196" s="157">
        <f t="shared" si="60"/>
        <v>46569</v>
      </c>
      <c r="Y196" s="383">
        <f t="shared" si="61"/>
        <v>48.205851679655915</v>
      </c>
      <c r="Z196" s="383">
        <f t="shared" si="62"/>
        <v>51.144849865892795</v>
      </c>
      <c r="AA196" s="384">
        <f t="shared" si="63"/>
        <v>54.867834801196189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6.7853687844489655E-2</v>
      </c>
      <c r="AD196" s="230">
        <f>(INDEX(Models!$BJ196:$BT196,,AH196)*(1-AF196)+INDEX(Models!$BJ196:$BT196,,AH196+1)*AF196-ERP_i)*AE196*Ramure*Pc/MaxiM</f>
        <v>4.8314041504134316E-4</v>
      </c>
      <c r="AE196" s="304">
        <f t="shared" si="65"/>
        <v>0.6</v>
      </c>
      <c r="AF196" s="177">
        <f t="shared" si="66"/>
        <v>0.85066677363983656</v>
      </c>
      <c r="AG196" s="799">
        <f t="shared" si="74"/>
        <v>2</v>
      </c>
      <c r="AH196" s="176">
        <f t="shared" si="67"/>
        <v>8</v>
      </c>
      <c r="AI196" s="224">
        <f t="shared" si="68"/>
        <v>2.8506667736398366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'2026'!Wh/'2026'!Env_an*'2027'!Env_an</f>
        <v>56.292112459372618</v>
      </c>
      <c r="C197" s="829"/>
      <c r="D197" s="391">
        <f t="shared" si="50"/>
        <v>59.725255699796186</v>
      </c>
      <c r="E197" s="383">
        <f t="shared" si="75"/>
        <v>60.639498690875179</v>
      </c>
      <c r="F197" s="383">
        <f t="shared" si="51"/>
        <v>60.641502688274677</v>
      </c>
      <c r="G197" s="110">
        <f t="shared" si="76"/>
        <v>0.97047444187261922</v>
      </c>
      <c r="H197" s="412" t="b">
        <f>Wh_hp&gt;='2026'!Maxi_hp</f>
        <v>0</v>
      </c>
      <c r="I197" s="388">
        <f>IF(H197,Wh_hp,'2026'!Maxi_hp)</f>
        <v>60.641566347052844</v>
      </c>
      <c r="J197" s="85">
        <f>IF(H197,An,'2026'!An_max)</f>
        <v>2026</v>
      </c>
      <c r="K197" s="197">
        <f t="shared" si="52"/>
        <v>46570</v>
      </c>
      <c r="L197" s="147">
        <f>IF(t&lt;Tvie,1-EXP((T0-t)*PertePVj)+'2026'!Pspv,1-EXP((T0-t)*PertePVj)+Pspv)</f>
        <v>5.7482269438576594E-2</v>
      </c>
      <c r="M197" s="832"/>
      <c r="N197" s="832"/>
      <c r="O197" s="48">
        <f>IF(t&lt;Tnet,'2026'!Resal+('2026'!Salim-'2026'!Resal)*(1-EXP(('2026'!Tnet-t)/('2026'!Tau_j))),Resal+(Salim-Resal)*(1-EXP((Tnet-t)/(Tau_j))))*Salcycl</f>
        <v>1.5076691114146095E-2</v>
      </c>
      <c r="P197" s="169">
        <f>(INDEX(Models!$BJ197:$BT197,,T197)*(1-R197)+INDEX(Models!$BJ197:$BT197,,T197+1)*R197-ERP_i)*Q197*Ramure*Pc/MaxiM</f>
        <v>3.4501827295327655E-5</v>
      </c>
      <c r="Q197" s="304">
        <f t="shared" si="53"/>
        <v>0.6</v>
      </c>
      <c r="R197" s="177">
        <f t="shared" si="54"/>
        <v>0.32993822257351846</v>
      </c>
      <c r="S197" s="799">
        <f t="shared" si="55"/>
        <v>-1</v>
      </c>
      <c r="T197" s="176">
        <f t="shared" si="56"/>
        <v>5</v>
      </c>
      <c r="U197" s="250">
        <f t="shared" si="57"/>
        <v>-0.67006177742648154</v>
      </c>
      <c r="V197" s="382">
        <f t="shared" si="58"/>
        <v>58.00465021212262</v>
      </c>
      <c r="W197" s="400">
        <f t="shared" si="59"/>
        <v>56.292112459372618</v>
      </c>
      <c r="X197" s="157">
        <f t="shared" si="60"/>
        <v>46570</v>
      </c>
      <c r="Y197" s="383">
        <f t="shared" si="61"/>
        <v>53.248750021112023</v>
      </c>
      <c r="Z197" s="383">
        <f t="shared" si="62"/>
        <v>56.496284679327665</v>
      </c>
      <c r="AA197" s="384">
        <f t="shared" si="63"/>
        <v>60.613042867075343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6.7918685369017837E-2</v>
      </c>
      <c r="AD197" s="230">
        <f>(INDEX(Models!$BJ197:$BT197,,AH197)*(1-AF197)+INDEX(Models!$BJ197:$BT197,,AH197+1)*AF197-ERP_i)*AE197*Ramure*Pc/MaxiM</f>
        <v>4.8997859783729059E-4</v>
      </c>
      <c r="AE197" s="304">
        <f t="shared" si="65"/>
        <v>0.6</v>
      </c>
      <c r="AF197" s="177">
        <f t="shared" si="66"/>
        <v>0.85492578894749727</v>
      </c>
      <c r="AG197" s="799">
        <f t="shared" si="74"/>
        <v>2</v>
      </c>
      <c r="AH197" s="176">
        <f t="shared" si="67"/>
        <v>8</v>
      </c>
      <c r="AI197" s="224">
        <f t="shared" si="68"/>
        <v>2.8549257889474973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'2026'!Wh/'2026'!Env_an*'2027'!Env_an</f>
        <v>46.371121481940392</v>
      </c>
      <c r="C198" s="829"/>
      <c r="D198" s="391">
        <f t="shared" si="50"/>
        <v>49.200146254346251</v>
      </c>
      <c r="E198" s="383">
        <f t="shared" si="75"/>
        <v>49.958666962566106</v>
      </c>
      <c r="F198" s="383">
        <f t="shared" si="51"/>
        <v>49.959934610451683</v>
      </c>
      <c r="G198" s="110">
        <f t="shared" si="76"/>
        <v>0.80046080603737213</v>
      </c>
      <c r="H198" s="412" t="b">
        <f>Wh_hp&gt;='2026'!Maxi_hp</f>
        <v>0</v>
      </c>
      <c r="I198" s="388">
        <f>IF(H198,Wh_hp,'2026'!Maxi_hp)</f>
        <v>49.96029793398943</v>
      </c>
      <c r="J198" s="85">
        <f>IF(H198,An,'2026'!An_max)</f>
        <v>2026</v>
      </c>
      <c r="K198" s="197">
        <f t="shared" si="52"/>
        <v>46571</v>
      </c>
      <c r="L198" s="147">
        <f>IF(t&lt;Tvie,1-EXP((T0-t)*PertePVj)+'2026'!Pspv,1-EXP((T0-t)*PertePVj)+Pspv)</f>
        <v>5.7500332575859958E-2</v>
      </c>
      <c r="M198" s="832"/>
      <c r="N198" s="832"/>
      <c r="O198" s="48">
        <f>IF(t&lt;Tnet,'2026'!Resal+('2026'!Salim-'2026'!Resal)*(1-EXP(('2026'!Tnet-t)/('2026'!Tau_j))),Resal+(Salim-Resal)*(1-EXP((Tnet-t)/(Tau_j))))*Salcycl</f>
        <v>1.5182965325880576E-2</v>
      </c>
      <c r="P198" s="169">
        <f>(INDEX(Models!$BJ198:$BT198,,T198)*(1-R198)+INDEX(Models!$BJ198:$BT198,,T198+1)*R198-ERP_i)*Q198*Ramure*Pc/MaxiM</f>
        <v>3.5489323178642544E-5</v>
      </c>
      <c r="Q198" s="304">
        <f t="shared" si="53"/>
        <v>0.6</v>
      </c>
      <c r="R198" s="177">
        <f t="shared" si="54"/>
        <v>0.33412374834081493</v>
      </c>
      <c r="S198" s="799">
        <f t="shared" si="55"/>
        <v>-1</v>
      </c>
      <c r="T198" s="176">
        <f t="shared" si="56"/>
        <v>5</v>
      </c>
      <c r="U198" s="250">
        <f t="shared" si="57"/>
        <v>-0.66587625165918507</v>
      </c>
      <c r="V198" s="382">
        <f t="shared" si="58"/>
        <v>57.929947385890252</v>
      </c>
      <c r="W198" s="400">
        <f t="shared" si="59"/>
        <v>46.371121481940392</v>
      </c>
      <c r="X198" s="157">
        <f t="shared" si="60"/>
        <v>46571</v>
      </c>
      <c r="Y198" s="383">
        <f t="shared" si="61"/>
        <v>43.870503077208753</v>
      </c>
      <c r="Z198" s="383">
        <f t="shared" si="62"/>
        <v>46.546969291890818</v>
      </c>
      <c r="AA198" s="384">
        <f t="shared" si="63"/>
        <v>49.942169861526679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6.7982640302767045E-2</v>
      </c>
      <c r="AD198" s="230">
        <f>(INDEX(Models!$BJ198:$BT198,,AH198)*(1-AF198)+INDEX(Models!$BJ198:$BT198,,AH198+1)*AF198-ERP_i)*AE198*Ramure*Pc/MaxiM</f>
        <v>4.9734545606863029E-4</v>
      </c>
      <c r="AE198" s="304">
        <f t="shared" si="65"/>
        <v>0.6</v>
      </c>
      <c r="AF198" s="177">
        <f t="shared" si="66"/>
        <v>0.85911131471479374</v>
      </c>
      <c r="AG198" s="799">
        <f t="shared" si="74"/>
        <v>2</v>
      </c>
      <c r="AH198" s="176">
        <f t="shared" si="67"/>
        <v>8</v>
      </c>
      <c r="AI198" s="224">
        <f t="shared" si="68"/>
        <v>2.8591113147147937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'2026'!Wh/'2026'!Env_an*'2027'!Env_an</f>
        <v>44.862460994663479</v>
      </c>
      <c r="C199" s="829"/>
      <c r="D199" s="391">
        <f t="shared" si="50"/>
        <v>47.600357157242613</v>
      </c>
      <c r="E199" s="383">
        <f t="shared" si="75"/>
        <v>48.339416449647061</v>
      </c>
      <c r="F199" s="383">
        <f t="shared" si="51"/>
        <v>48.340615551591839</v>
      </c>
      <c r="G199" s="110">
        <f t="shared" si="76"/>
        <v>0.77543560965454494</v>
      </c>
      <c r="H199" s="412" t="b">
        <f>Wh_hp&gt;='2026'!Maxi_hp</f>
        <v>0</v>
      </c>
      <c r="I199" s="388">
        <f>IF(H199,Wh_hp,'2026'!Maxi_hp)</f>
        <v>58.082093863284776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5.7518395366967345E-2</v>
      </c>
      <c r="M199" s="832"/>
      <c r="N199" s="832"/>
      <c r="O199" s="48">
        <f>IF(t&lt;Tnet,'2026'!Resal+('2026'!Salim-'2026'!Resal)*(1-EXP(('2026'!Tnet-t)/('2026'!Tau_j))),Resal+(Salim-Resal)*(1-EXP((Tnet-t)/(Tau_j))))*Salcycl</f>
        <v>1.5288957680618467E-2</v>
      </c>
      <c r="P199" s="169">
        <f>(INDEX(Models!$BJ199:$BT199,,T199)*(1-R199)+INDEX(Models!$BJ199:$BT199,,T199+1)*R199-ERP_i)*Q199*Ramure*Pc/MaxiM</f>
        <v>3.6520941536411956E-5</v>
      </c>
      <c r="Q199" s="304">
        <f t="shared" si="53"/>
        <v>0.6</v>
      </c>
      <c r="R199" s="177">
        <f t="shared" si="54"/>
        <v>0.33823422856477203</v>
      </c>
      <c r="S199" s="799">
        <f t="shared" si="55"/>
        <v>-1</v>
      </c>
      <c r="T199" s="176">
        <f t="shared" si="56"/>
        <v>5</v>
      </c>
      <c r="U199" s="250">
        <f t="shared" si="57"/>
        <v>-0.66176577143522797</v>
      </c>
      <c r="V199" s="382">
        <f t="shared" si="58"/>
        <v>57.853849925313277</v>
      </c>
      <c r="W199" s="400">
        <f t="shared" si="59"/>
        <v>44.862460994663479</v>
      </c>
      <c r="X199" s="157">
        <f t="shared" si="60"/>
        <v>46572</v>
      </c>
      <c r="Y199" s="383">
        <f t="shared" si="61"/>
        <v>42.445409866460913</v>
      </c>
      <c r="Z199" s="383">
        <f t="shared" si="62"/>
        <v>45.035796622245563</v>
      </c>
      <c r="AA199" s="384">
        <f t="shared" si="63"/>
        <v>48.324033302124846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6.8045575983300466E-2</v>
      </c>
      <c r="AD199" s="230">
        <f>(INDEX(Models!$BJ199:$BT199,,AH199)*(1-AF199)+INDEX(Models!$BJ199:$BT199,,AH199+1)*AF199-ERP_i)*AE199*Ramure*Pc/MaxiM</f>
        <v>5.0504410068179977E-4</v>
      </c>
      <c r="AE199" s="304">
        <f t="shared" si="65"/>
        <v>0.6</v>
      </c>
      <c r="AF199" s="177">
        <f t="shared" si="66"/>
        <v>0.86322179493875062</v>
      </c>
      <c r="AG199" s="799">
        <f t="shared" si="74"/>
        <v>2</v>
      </c>
      <c r="AH199" s="176">
        <f t="shared" si="67"/>
        <v>8</v>
      </c>
      <c r="AI199" s="224">
        <f t="shared" si="68"/>
        <v>2.8632217949387506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'2026'!Wh/'2026'!Env_an*'2027'!Env_an</f>
        <v>56.236928649948069</v>
      </c>
      <c r="C200" s="829"/>
      <c r="D200" s="391">
        <f t="shared" si="50"/>
        <v>59.670136968252557</v>
      </c>
      <c r="E200" s="383">
        <f t="shared" si="75"/>
        <v>60.603101715072476</v>
      </c>
      <c r="F200" s="383">
        <f t="shared" si="51"/>
        <v>60.605293582109482</v>
      </c>
      <c r="G200" s="110">
        <f t="shared" si="76"/>
        <v>0.97335397961052095</v>
      </c>
      <c r="H200" s="412" t="b">
        <f>Wh_hp&gt;='2026'!Maxi_hp</f>
        <v>0</v>
      </c>
      <c r="I200" s="388">
        <f>IF(H200,Wh_hp,'2026'!Maxi_hp)</f>
        <v>61.390169549077257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5.7536457811905528E-2</v>
      </c>
      <c r="M200" s="832"/>
      <c r="N200" s="832"/>
      <c r="O200" s="48">
        <f>IF(t&lt;Tnet,'2026'!Resal+('2026'!Salim-'2026'!Resal)*(1-EXP(('2026'!Tnet-t)/('2026'!Tau_j))),Resal+(Salim-Resal)*(1-EXP((Tnet-t)/(Tau_j))))*Salcycl</f>
        <v>1.5394669916505106E-2</v>
      </c>
      <c r="P200" s="169">
        <f>(INDEX(Models!$BJ200:$BT200,,T200)*(1-R200)+INDEX(Models!$BJ200:$BT200,,T200+1)*R200-ERP_i)*Q200*Ramure*Pc/MaxiM</f>
        <v>3.7597360484658196E-5</v>
      </c>
      <c r="Q200" s="304">
        <f t="shared" si="53"/>
        <v>0.6</v>
      </c>
      <c r="R200" s="177">
        <f t="shared" si="54"/>
        <v>0.34226828692474587</v>
      </c>
      <c r="S200" s="799">
        <f t="shared" si="55"/>
        <v>-1</v>
      </c>
      <c r="T200" s="176">
        <f t="shared" si="56"/>
        <v>5</v>
      </c>
      <c r="U200" s="250">
        <f t="shared" si="57"/>
        <v>-0.65773171307525413</v>
      </c>
      <c r="V200" s="382">
        <f t="shared" si="58"/>
        <v>57.776358184778097</v>
      </c>
      <c r="W200" s="400">
        <f t="shared" si="59"/>
        <v>56.236928649948069</v>
      </c>
      <c r="X200" s="157">
        <f t="shared" si="60"/>
        <v>46573</v>
      </c>
      <c r="Y200" s="383">
        <f t="shared" si="61"/>
        <v>53.20182473957675</v>
      </c>
      <c r="Z200" s="383">
        <f t="shared" si="62"/>
        <v>56.449742995956512</v>
      </c>
      <c r="AA200" s="384">
        <f t="shared" si="63"/>
        <v>60.575381889443619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6.8107517687908667E-2</v>
      </c>
      <c r="AD200" s="230">
        <f>(INDEX(Models!$BJ200:$BT200,,AH200)*(1-AF200)+INDEX(Models!$BJ200:$BT200,,AH200+1)*AF200-ERP_i)*AE200*Ramure*Pc/MaxiM</f>
        <v>5.130788833802995E-4</v>
      </c>
      <c r="AE200" s="304">
        <f t="shared" si="65"/>
        <v>0.6</v>
      </c>
      <c r="AF200" s="177">
        <f t="shared" si="66"/>
        <v>0.86725585329872468</v>
      </c>
      <c r="AG200" s="799">
        <f t="shared" si="74"/>
        <v>2</v>
      </c>
      <c r="AH200" s="176">
        <f t="shared" si="67"/>
        <v>8</v>
      </c>
      <c r="AI200" s="224">
        <f t="shared" si="68"/>
        <v>2.8672558532987247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'2026'!Wh/'2026'!Env_an*'2027'!Env_an</f>
        <v>47.80131128672501</v>
      </c>
      <c r="C201" s="829"/>
      <c r="D201" s="391">
        <f t="shared" si="50"/>
        <v>50.720505638368294</v>
      </c>
      <c r="E201" s="383">
        <f t="shared" si="75"/>
        <v>51.519056387097756</v>
      </c>
      <c r="F201" s="383">
        <f t="shared" si="51"/>
        <v>51.520562437435039</v>
      </c>
      <c r="G201" s="110">
        <f t="shared" si="76"/>
        <v>0.82847403381078599</v>
      </c>
      <c r="H201" s="412" t="b">
        <f>Wh_hp&gt;='2026'!Maxi_hp</f>
        <v>0</v>
      </c>
      <c r="I201" s="388">
        <f>IF(H201,Wh_hp,'2026'!Maxi_hp)</f>
        <v>60.936475957669771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5.7554519910681168E-2</v>
      </c>
      <c r="M201" s="832"/>
      <c r="N201" s="832"/>
      <c r="O201" s="48">
        <f>IF(t&lt;Tnet,'2026'!Resal+('2026'!Salim-'2026'!Resal)*(1-EXP(('2026'!Tnet-t)/('2026'!Tau_j))),Resal+(Salim-Resal)*(1-EXP((Tnet-t)/(Tau_j))))*Salcycl</f>
        <v>1.5500104325075429E-2</v>
      </c>
      <c r="P201" s="169">
        <f>(INDEX(Models!$BJ201:$BT201,,T201)*(1-R201)+INDEX(Models!$BJ201:$BT201,,T201+1)*R201-ERP_i)*Q201*Ramure*Pc/MaxiM</f>
        <v>3.8719239576221451E-5</v>
      </c>
      <c r="Q201" s="304">
        <f t="shared" si="53"/>
        <v>0.6</v>
      </c>
      <c r="R201" s="177">
        <f t="shared" si="54"/>
        <v>0.34622472438587204</v>
      </c>
      <c r="S201" s="799">
        <f t="shared" si="55"/>
        <v>-1</v>
      </c>
      <c r="T201" s="176">
        <f t="shared" si="56"/>
        <v>5</v>
      </c>
      <c r="U201" s="250">
        <f t="shared" si="57"/>
        <v>-0.65377527561412796</v>
      </c>
      <c r="V201" s="382">
        <f t="shared" si="58"/>
        <v>57.697472487180249</v>
      </c>
      <c r="W201" s="400">
        <f t="shared" si="59"/>
        <v>47.80131128672501</v>
      </c>
      <c r="X201" s="157">
        <f t="shared" si="60"/>
        <v>46574</v>
      </c>
      <c r="Y201" s="383">
        <f t="shared" si="61"/>
        <v>45.227565755144283</v>
      </c>
      <c r="Z201" s="383">
        <f t="shared" si="62"/>
        <v>47.989583175525347</v>
      </c>
      <c r="AA201" s="384">
        <f t="shared" si="63"/>
        <v>51.500279596028392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6.8168492443947515E-2</v>
      </c>
      <c r="AD201" s="230">
        <f>(INDEX(Models!$BJ201:$BT201,,AH201)*(1-AF201)+INDEX(Models!$BJ201:$BT201,,AH201+1)*AF201-ERP_i)*AE201*Ramure*Pc/MaxiM</f>
        <v>5.2145414815866846E-4</v>
      </c>
      <c r="AE201" s="304">
        <f t="shared" si="65"/>
        <v>0.6</v>
      </c>
      <c r="AF201" s="177">
        <f t="shared" si="66"/>
        <v>0.87121229075985074</v>
      </c>
      <c r="AG201" s="799">
        <f t="shared" si="74"/>
        <v>2</v>
      </c>
      <c r="AH201" s="176">
        <f t="shared" si="67"/>
        <v>8</v>
      </c>
      <c r="AI201" s="224">
        <f t="shared" si="68"/>
        <v>2.8712122907598507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'2026'!Wh/'2026'!Env_an*'2027'!Env_an</f>
        <v>55.677436736973497</v>
      </c>
      <c r="C202" s="829"/>
      <c r="D202" s="391">
        <f t="shared" si="50"/>
        <v>59.078753072824675</v>
      </c>
      <c r="E202" s="383">
        <f t="shared" si="75"/>
        <v>60.015307777765017</v>
      </c>
      <c r="F202" s="383">
        <f t="shared" si="51"/>
        <v>60.017586576996059</v>
      </c>
      <c r="G202" s="110">
        <f t="shared" si="76"/>
        <v>0.96633186910580093</v>
      </c>
      <c r="H202" s="412" t="b">
        <f>Wh_hp&gt;='2026'!Maxi_hp</f>
        <v>0</v>
      </c>
      <c r="I202" s="388">
        <f>IF(H202,Wh_hp,'2026'!Maxi_hp)</f>
        <v>60.017668218312338</v>
      </c>
      <c r="J202" s="85">
        <f>IF(H202,An,'2026'!An_max)</f>
        <v>2026</v>
      </c>
      <c r="K202" s="197">
        <f t="shared" si="52"/>
        <v>46575</v>
      </c>
      <c r="L202" s="147">
        <f>IF(t&lt;Tvie,1-EXP((T0-t)*PertePVj)+'2026'!Pspv,1-EXP((T0-t)*PertePVj)+Pspv)</f>
        <v>5.7572581663300704E-2</v>
      </c>
      <c r="M202" s="832"/>
      <c r="N202" s="832"/>
      <c r="O202" s="48">
        <f>IF(t&lt;Tnet,'2026'!Resal+('2026'!Salim-'2026'!Resal)*(1-EXP(('2026'!Tnet-t)/('2026'!Tau_j))),Resal+(Salim-Resal)*(1-EXP((Tnet-t)/(Tau_j))))*Salcycl</f>
        <v>1.5605263717189947E-2</v>
      </c>
      <c r="P202" s="169">
        <f>(INDEX(Models!$BJ202:$BT202,,T202)*(1-R202)+INDEX(Models!$BJ202:$BT202,,T202+1)*R202-ERP_i)*Q202*Ramure*Pc/MaxiM</f>
        <v>3.9887221353142683E-5</v>
      </c>
      <c r="Q202" s="304">
        <f t="shared" si="53"/>
        <v>0.6</v>
      </c>
      <c r="R202" s="177">
        <f t="shared" si="54"/>
        <v>0.35010251610091159</v>
      </c>
      <c r="S202" s="799">
        <f t="shared" si="55"/>
        <v>-1</v>
      </c>
      <c r="T202" s="176">
        <f t="shared" si="56"/>
        <v>5</v>
      </c>
      <c r="U202" s="250">
        <f t="shared" si="57"/>
        <v>-0.64989748389908841</v>
      </c>
      <c r="V202" s="382">
        <f t="shared" si="58"/>
        <v>57.617193123200082</v>
      </c>
      <c r="W202" s="400">
        <f t="shared" si="59"/>
        <v>55.677436736973497</v>
      </c>
      <c r="X202" s="157">
        <f t="shared" si="60"/>
        <v>46575</v>
      </c>
      <c r="Y202" s="383">
        <f t="shared" si="61"/>
        <v>52.676464217187686</v>
      </c>
      <c r="Z202" s="383">
        <f t="shared" si="62"/>
        <v>55.894452126782312</v>
      </c>
      <c r="AA202" s="384">
        <f t="shared" si="63"/>
        <v>59.987297160708628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6.8228528832719501E-2</v>
      </c>
      <c r="AD202" s="230">
        <f>(INDEX(Models!$BJ202:$BT202,,AH202)*(1-AF202)+INDEX(Models!$BJ202:$BT202,,AH202+1)*AF202-ERP_i)*AE202*Ramure*Pc/MaxiM</f>
        <v>5.301742407395159E-4</v>
      </c>
      <c r="AE202" s="304">
        <f t="shared" si="65"/>
        <v>0.6</v>
      </c>
      <c r="AF202" s="177">
        <f t="shared" si="66"/>
        <v>0.87509008247489017</v>
      </c>
      <c r="AG202" s="799">
        <f t="shared" si="74"/>
        <v>2</v>
      </c>
      <c r="AH202" s="176">
        <f t="shared" si="67"/>
        <v>8</v>
      </c>
      <c r="AI202" s="224">
        <f t="shared" si="68"/>
        <v>2.8750900824748902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'2026'!Wh/'2026'!Env_an*'2027'!Env_an</f>
        <v>58.075113138589586</v>
      </c>
      <c r="C203" s="829"/>
      <c r="D203" s="391">
        <f t="shared" si="50"/>
        <v>61.624083750358125</v>
      </c>
      <c r="E203" s="383">
        <f t="shared" si="75"/>
        <v>62.607659559979467</v>
      </c>
      <c r="F203" s="383">
        <f t="shared" si="51"/>
        <v>62.610232961581055</v>
      </c>
      <c r="G203" s="110">
        <f t="shared" si="76"/>
        <v>1.0093784288127614</v>
      </c>
      <c r="H203" s="412" t="b">
        <f>Wh_hp&gt;='2026'!Maxi_hp</f>
        <v>0</v>
      </c>
      <c r="I203" s="388">
        <f>IF(H203,Wh_hp,'2026'!Maxi_hp)</f>
        <v>63.179240618782657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5.7590643069770797E-2</v>
      </c>
      <c r="M203" s="832"/>
      <c r="N203" s="832"/>
      <c r="O203" s="48">
        <f>IF(t&lt;Tnet,'2026'!Resal+('2026'!Salim-'2026'!Resal)*(1-EXP(('2026'!Tnet-t)/('2026'!Tau_j))),Resal+(Salim-Resal)*(1-EXP((Tnet-t)/(Tau_j))))*Salcycl</f>
        <v>1.5710151386174334E-2</v>
      </c>
      <c r="P203" s="169">
        <f>(INDEX(Models!$BJ203:$BT203,,T203)*(1-R203)+INDEX(Models!$BJ203:$BT203,,T203+1)*R203-ERP_i)*Q203*Ramure*Pc/MaxiM</f>
        <v>4.1101933020574095E-5</v>
      </c>
      <c r="Q203" s="304">
        <f t="shared" si="53"/>
        <v>0.6</v>
      </c>
      <c r="R203" s="177">
        <f t="shared" si="54"/>
        <v>0.35390080766651399</v>
      </c>
      <c r="S203" s="799">
        <f t="shared" si="55"/>
        <v>-1</v>
      </c>
      <c r="T203" s="176">
        <f t="shared" si="56"/>
        <v>5</v>
      </c>
      <c r="U203" s="250">
        <f t="shared" si="57"/>
        <v>-0.64609919233348601</v>
      </c>
      <c r="V203" s="382">
        <f t="shared" si="58"/>
        <v>57.535520356718912</v>
      </c>
      <c r="W203" s="400">
        <f t="shared" si="59"/>
        <v>58.075113138589586</v>
      </c>
      <c r="X203" s="157">
        <f t="shared" si="60"/>
        <v>46576</v>
      </c>
      <c r="Y203" s="383">
        <f t="shared" si="61"/>
        <v>54.945547412232287</v>
      </c>
      <c r="Z203" s="383">
        <f t="shared" si="62"/>
        <v>58.303270238328238</v>
      </c>
      <c r="AA203" s="384">
        <f t="shared" si="63"/>
        <v>62.576470799299393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6.828765678838819E-2</v>
      </c>
      <c r="AD203" s="230">
        <f>(INDEX(Models!$BJ203:$BT203,,AH203)*(1-AF203)+INDEX(Models!$BJ203:$BT203,,AH203+1)*AF203-ERP_i)*AE203*Ramure*Pc/MaxiM</f>
        <v>5.3924351794659817E-4</v>
      </c>
      <c r="AE203" s="304">
        <f t="shared" si="65"/>
        <v>0.6</v>
      </c>
      <c r="AF203" s="177">
        <f t="shared" si="66"/>
        <v>0.87888837404049269</v>
      </c>
      <c r="AG203" s="799">
        <f t="shared" si="74"/>
        <v>2</v>
      </c>
      <c r="AH203" s="176">
        <f t="shared" si="67"/>
        <v>8</v>
      </c>
      <c r="AI203" s="224">
        <f t="shared" si="68"/>
        <v>2.8788883740404927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'2026'!Wh/'2026'!Env_an*'2027'!Env_an</f>
        <v>57.39537200427943</v>
      </c>
      <c r="C204" s="829"/>
      <c r="D204" s="391">
        <f t="shared" si="50"/>
        <v>60.903970840794919</v>
      </c>
      <c r="E204" s="383">
        <f t="shared" si="75"/>
        <v>61.882630474870396</v>
      </c>
      <c r="F204" s="383">
        <f t="shared" si="51"/>
        <v>61.885248459635235</v>
      </c>
      <c r="G204" s="110">
        <f t="shared" si="76"/>
        <v>0.99900638062984681</v>
      </c>
      <c r="H204" s="412" t="b">
        <f>Wh_hp&gt;='2026'!Maxi_hp</f>
        <v>0</v>
      </c>
      <c r="I204" s="388">
        <f>IF(H204,Wh_hp,'2026'!Maxi_hp)</f>
        <v>61.885251080603396</v>
      </c>
      <c r="J204" s="85">
        <f>IF(H204,An,'2026'!An_max)</f>
        <v>2026</v>
      </c>
      <c r="K204" s="197">
        <f t="shared" si="52"/>
        <v>46577</v>
      </c>
      <c r="L204" s="147">
        <f>IF(t&lt;Tvie,1-EXP((T0-t)*PertePVj)+'2026'!Pspv,1-EXP((T0-t)*PertePVj)+Pspv)</f>
        <v>5.7608704130098332E-2</v>
      </c>
      <c r="M204" s="832"/>
      <c r="N204" s="832"/>
      <c r="O204" s="48">
        <f>IF(t&lt;Tnet,'2026'!Resal+('2026'!Salim-'2026'!Resal)*(1-EXP(('2026'!Tnet-t)/('2026'!Tau_j))),Resal+(Salim-Resal)*(1-EXP((Tnet-t)/(Tau_j))))*Salcycl</f>
        <v>1.5814771068480983E-2</v>
      </c>
      <c r="P204" s="169">
        <f>(INDEX(Models!$BJ204:$BT204,,T204)*(1-R204)+INDEX(Models!$BJ204:$BT204,,T204+1)*R204-ERP_i)*Q204*Ramure*Pc/MaxiM</f>
        <v>4.2363988219568901E-5</v>
      </c>
      <c r="Q204" s="304">
        <f t="shared" si="53"/>
        <v>0.6</v>
      </c>
      <c r="R204" s="177">
        <f t="shared" si="54"/>
        <v>0.35761891079196606</v>
      </c>
      <c r="S204" s="799">
        <f t="shared" si="55"/>
        <v>-1</v>
      </c>
      <c r="T204" s="176">
        <f t="shared" si="56"/>
        <v>5</v>
      </c>
      <c r="U204" s="250">
        <f t="shared" si="57"/>
        <v>-0.64238108920803394</v>
      </c>
      <c r="V204" s="382">
        <f t="shared" si="58"/>
        <v>57.452454424517732</v>
      </c>
      <c r="W204" s="400">
        <f t="shared" si="59"/>
        <v>57.39537200427943</v>
      </c>
      <c r="X204" s="157">
        <f t="shared" si="60"/>
        <v>46577</v>
      </c>
      <c r="Y204" s="383">
        <f t="shared" si="61"/>
        <v>54.304408983016401</v>
      </c>
      <c r="Z204" s="383">
        <f t="shared" si="62"/>
        <v>57.624056186649241</v>
      </c>
      <c r="AA204" s="384">
        <f t="shared" si="63"/>
        <v>61.851342299619091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6.8345907393442054E-2</v>
      </c>
      <c r="AD204" s="230">
        <f>(INDEX(Models!$BJ204:$BT204,,AH204)*(1-AF204)+INDEX(Models!$BJ204:$BT204,,AH204+1)*AF204-ERP_i)*AE204*Ramure*Pc/MaxiM</f>
        <v>5.4866635695724746E-4</v>
      </c>
      <c r="AE204" s="304">
        <f t="shared" si="65"/>
        <v>0.6</v>
      </c>
      <c r="AF204" s="177">
        <f t="shared" si="66"/>
        <v>0.88260647716594498</v>
      </c>
      <c r="AG204" s="799">
        <f t="shared" si="74"/>
        <v>2</v>
      </c>
      <c r="AH204" s="176">
        <f t="shared" si="67"/>
        <v>8</v>
      </c>
      <c r="AI204" s="224">
        <f t="shared" si="68"/>
        <v>2.882606477165945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'2026'!Wh/'2026'!Env_an*'2027'!Env_an</f>
        <v>56.848811564089189</v>
      </c>
      <c r="C205" s="829"/>
      <c r="D205" s="391">
        <f t="shared" si="50"/>
        <v>60.325155090696029</v>
      </c>
      <c r="E205" s="383">
        <f t="shared" si="75"/>
        <v>61.301013707134011</v>
      </c>
      <c r="F205" s="383">
        <f t="shared" si="51"/>
        <v>61.30365641800163</v>
      </c>
      <c r="G205" s="110">
        <f t="shared" si="76"/>
        <v>0.99094175744572788</v>
      </c>
      <c r="H205" s="412" t="b">
        <f>Wh_hp&gt;='2026'!Maxi_hp</f>
        <v>0</v>
      </c>
      <c r="I205" s="388">
        <f>IF(H205,Wh_hp,'2026'!Maxi_hp)</f>
        <v>61.303680738337384</v>
      </c>
      <c r="J205" s="85">
        <f>IF(H205,An,'2026'!An_max)</f>
        <v>2026</v>
      </c>
      <c r="K205" s="197">
        <f t="shared" si="52"/>
        <v>46578</v>
      </c>
      <c r="L205" s="147">
        <f>IF(t&lt;Tvie,1-EXP((T0-t)*PertePVj)+'2026'!Pspv,1-EXP((T0-t)*PertePVj)+Pspv)</f>
        <v>5.7626764844289635E-2</v>
      </c>
      <c r="M205" s="832"/>
      <c r="N205" s="832"/>
      <c r="O205" s="48">
        <f>IF(t&lt;Tnet,'2026'!Resal+('2026'!Salim-'2026'!Resal)*(1-EXP(('2026'!Tnet-t)/('2026'!Tau_j))),Resal+(Salim-Resal)*(1-EXP((Tnet-t)/(Tau_j))))*Salcycl</f>
        <v>1.591912690221001E-2</v>
      </c>
      <c r="P205" s="169">
        <f>(INDEX(Models!$BJ205:$BT205,,T205)*(1-R205)+INDEX(Models!$BJ205:$BT205,,T205+1)*R205-ERP_i)*Q205*Ramure*Pc/MaxiM</f>
        <v>4.3673653067628967E-5</v>
      </c>
      <c r="Q205" s="304">
        <f t="shared" si="53"/>
        <v>0.6</v>
      </c>
      <c r="R205" s="177">
        <f t="shared" si="54"/>
        <v>0.36125629843979479</v>
      </c>
      <c r="S205" s="799">
        <f t="shared" si="55"/>
        <v>-1</v>
      </c>
      <c r="T205" s="176">
        <f t="shared" si="56"/>
        <v>5</v>
      </c>
      <c r="U205" s="250">
        <f t="shared" si="57"/>
        <v>-0.63874370156020521</v>
      </c>
      <c r="V205" s="382">
        <f t="shared" si="58"/>
        <v>57.368436650599918</v>
      </c>
      <c r="W205" s="400">
        <f t="shared" si="59"/>
        <v>56.848811564089189</v>
      </c>
      <c r="X205" s="157">
        <f t="shared" si="60"/>
        <v>46578</v>
      </c>
      <c r="Y205" s="383">
        <f t="shared" si="61"/>
        <v>53.789536325179711</v>
      </c>
      <c r="Z205" s="383">
        <f t="shared" si="62"/>
        <v>57.078803088345296</v>
      </c>
      <c r="AA205" s="384">
        <f t="shared" si="63"/>
        <v>61.269864808206606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6.8403312672234776E-2</v>
      </c>
      <c r="AD205" s="230">
        <f>(INDEX(Models!$BJ205:$BT205,,AH205)*(1-AF205)+INDEX(Models!$BJ205:$BT205,,AH205+1)*AF205-ERP_i)*AE205*Ramure*Pc/MaxiM</f>
        <v>5.5844287048901825E-4</v>
      </c>
      <c r="AE205" s="304">
        <f t="shared" si="65"/>
        <v>0.6</v>
      </c>
      <c r="AF205" s="177">
        <f t="shared" si="66"/>
        <v>0.88624386481377337</v>
      </c>
      <c r="AG205" s="799">
        <f t="shared" si="74"/>
        <v>2</v>
      </c>
      <c r="AH205" s="176">
        <f t="shared" si="67"/>
        <v>8</v>
      </c>
      <c r="AI205" s="224">
        <f t="shared" si="68"/>
        <v>2.8862438648137734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'2026'!Wh/'2026'!Env_an*'2027'!Env_an</f>
        <v>55.354644553477712</v>
      </c>
      <c r="C206" s="829"/>
      <c r="D206" s="391">
        <f t="shared" si="50"/>
        <v>58.740744503208568</v>
      </c>
      <c r="E206" s="383">
        <f t="shared" si="75"/>
        <v>59.697287475843538</v>
      </c>
      <c r="F206" s="383">
        <f t="shared" si="51"/>
        <v>59.699848569451319</v>
      </c>
      <c r="G206" s="110">
        <f t="shared" si="76"/>
        <v>0.96632124979493439</v>
      </c>
      <c r="H206" s="412" t="b">
        <f>Wh_hp&gt;='2026'!Maxi_hp</f>
        <v>0</v>
      </c>
      <c r="I206" s="388">
        <f>IF(H206,Wh_hp,'2026'!Maxi_hp)</f>
        <v>60.983970970198122</v>
      </c>
      <c r="J206" s="85">
        <f>IF(H206,An,'2026'!An_max)</f>
        <v>2018</v>
      </c>
      <c r="K206" s="197">
        <f t="shared" si="52"/>
        <v>46579</v>
      </c>
      <c r="L206" s="147">
        <f>IF(t&lt;Tvie,1-EXP((T0-t)*PertePVj)+'2026'!Pspv,1-EXP((T0-t)*PertePVj)+Pspv)</f>
        <v>5.764482521235148E-2</v>
      </c>
      <c r="M206" s="832"/>
      <c r="N206" s="832"/>
      <c r="O206" s="48">
        <f>IF(t&lt;Tnet,'2026'!Resal+('2026'!Salim-'2026'!Resal)*(1-EXP(('2026'!Tnet-t)/('2026'!Tau_j))),Resal+(Salim-Resal)*(1-EXP((Tnet-t)/(Tau_j))))*Salcycl</f>
        <v>1.6023223383843641E-2</v>
      </c>
      <c r="P206" s="169">
        <f>(INDEX(Models!$BJ206:$BT206,,T206)*(1-R206)+INDEX(Models!$BJ206:$BT206,,T206+1)*R206-ERP_i)*Q206*Ramure*Pc/MaxiM</f>
        <v>4.5067683256997225E-5</v>
      </c>
      <c r="Q206" s="304">
        <f t="shared" si="53"/>
        <v>0.6</v>
      </c>
      <c r="R206" s="177">
        <f t="shared" si="54"/>
        <v>0.36481259949815903</v>
      </c>
      <c r="S206" s="799">
        <f t="shared" si="55"/>
        <v>-1</v>
      </c>
      <c r="T206" s="176">
        <f t="shared" si="56"/>
        <v>5</v>
      </c>
      <c r="U206" s="250">
        <f t="shared" si="57"/>
        <v>-0.63518740050184097</v>
      </c>
      <c r="V206" s="382">
        <f t="shared" si="58"/>
        <v>57.283770320708115</v>
      </c>
      <c r="W206" s="400">
        <f t="shared" si="59"/>
        <v>55.354644553477712</v>
      </c>
      <c r="X206" s="157">
        <f t="shared" si="60"/>
        <v>46579</v>
      </c>
      <c r="Y206" s="383">
        <f t="shared" si="61"/>
        <v>52.378635711940085</v>
      </c>
      <c r="Z206" s="383">
        <f t="shared" si="62"/>
        <v>55.582690171721239</v>
      </c>
      <c r="AA206" s="384">
        <f t="shared" si="63"/>
        <v>59.667523161889477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6.8459905384128286E-2</v>
      </c>
      <c r="AD206" s="230">
        <f>(INDEX(Models!$BJ206:$BT206,,AH206)*(1-AF206)+INDEX(Models!$BJ206:$BT206,,AH206+1)*AF206-ERP_i)*AE206*Ramure*Pc/MaxiM</f>
        <v>5.6883169936625035E-4</v>
      </c>
      <c r="AE206" s="304">
        <f t="shared" si="65"/>
        <v>0.6</v>
      </c>
      <c r="AF206" s="177">
        <f t="shared" si="66"/>
        <v>0.88980016587213795</v>
      </c>
      <c r="AG206" s="799">
        <f t="shared" si="74"/>
        <v>2</v>
      </c>
      <c r="AH206" s="176">
        <f t="shared" si="67"/>
        <v>8</v>
      </c>
      <c r="AI206" s="224">
        <f t="shared" si="68"/>
        <v>2.8898001658721379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'2026'!Wh/'2026'!Env_an*'2027'!Env_an</f>
        <v>55.114010943151968</v>
      </c>
      <c r="C207" s="829"/>
      <c r="D207" s="391">
        <f t="shared" ref="D207:D270" si="77">Wh/(1-Ppv)</f>
        <v>58.486511970670712</v>
      </c>
      <c r="E207" s="383">
        <f t="shared" si="75"/>
        <v>59.445188407286331</v>
      </c>
      <c r="F207" s="383">
        <f t="shared" ref="F207:F270" si="78">Wh_sa/(1-Pvg*MEDIAN((-Sdif+Wh/Env_an)/Csdif,0,1))</f>
        <v>59.447809509078219</v>
      </c>
      <c r="G207" s="110">
        <f t="shared" si="76"/>
        <v>0.96355874248139006</v>
      </c>
      <c r="H207" s="412" t="b">
        <f>Wh_hp&gt;='2026'!Maxi_hp</f>
        <v>0</v>
      </c>
      <c r="I207" s="388">
        <f>IF(H207,Wh_hp,'2026'!Maxi_hp)</f>
        <v>61.397076269848142</v>
      </c>
      <c r="J207" s="85">
        <f>IF(H207,An,'2026'!An_max)</f>
        <v>2018</v>
      </c>
      <c r="K207" s="197">
        <f t="shared" ref="K207:K270" si="79">t</f>
        <v>46580</v>
      </c>
      <c r="L207" s="147">
        <f>IF(t&lt;Tvie,1-EXP((T0-t)*PertePVj)+'2026'!Pspv,1-EXP((T0-t)*PertePVj)+Pspv)</f>
        <v>5.7662885234290528E-2</v>
      </c>
      <c r="M207" s="832"/>
      <c r="N207" s="832"/>
      <c r="O207" s="48">
        <f>IF(t&lt;Tnet,'2026'!Resal+('2026'!Salim-'2026'!Resal)*(1-EXP(('2026'!Tnet-t)/('2026'!Tau_j))),Resal+(Salim-Resal)*(1-EXP((Tnet-t)/(Tau_j))))*Salcycl</f>
        <v>1.6127065323559665E-2</v>
      </c>
      <c r="P207" s="169">
        <f>(INDEX(Models!$BJ207:$BT207,,T207)*(1-R207)+INDEX(Models!$BJ207:$BT207,,T207+1)*R207-ERP_i)*Q207*Ramure*Pc/MaxiM</f>
        <v>4.6512016473927743E-5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0.36828759304487724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-0.63171240695512276</v>
      </c>
      <c r="V207" s="382">
        <f t="shared" ref="V207:V270" si="85">MaxiM*(1-Ppv)*(1-Pvg)*(1-Psa)</f>
        <v>57.198253790604724</v>
      </c>
      <c r="W207" s="400">
        <f t="shared" ref="W207:W270" si="86">Wh*(A207&gt;Tmaj)</f>
        <v>55.114010943151968</v>
      </c>
      <c r="X207" s="157">
        <f t="shared" ref="X207:X270" si="87">t</f>
        <v>46580</v>
      </c>
      <c r="Y207" s="383">
        <f t="shared" ref="Y207:Y270" si="88">Wh_pvt_s*(1-Ppv)</f>
        <v>52.152966841479085</v>
      </c>
      <c r="Z207" s="383">
        <f t="shared" ref="Z207:Z270" si="89">Wh_sa_s*(1-Psa_s)</f>
        <v>55.344277567211947</v>
      </c>
      <c r="AA207" s="384">
        <f t="shared" ref="AA207:AA270" si="90">Wh_hp*(1-Pvg_s*MEDIAN((-Sdif+Wh/Env_an)/Csdif,0,1))</f>
        <v>59.415149225028514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6.8515718817747553E-2</v>
      </c>
      <c r="AD207" s="230">
        <f>(INDEX(Models!$BJ207:$BT207,,AH207)*(1-AF207)+INDEX(Models!$BJ207:$BT207,,AH207+1)*AF207-ERP_i)*AE207*Ramure*Pc/MaxiM</f>
        <v>5.7956378285844382E-4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0.89327515941885594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2.8932751594188559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'2026'!Wh/'2026'!Env_an*'2027'!Env_an</f>
        <v>54.832853438840637</v>
      </c>
      <c r="C208" s="829"/>
      <c r="D208" s="391">
        <f t="shared" si="77"/>
        <v>58.189265241601419</v>
      </c>
      <c r="E208" s="383">
        <f t="shared" si="75"/>
        <v>59.149297244253752</v>
      </c>
      <c r="F208" s="383">
        <f t="shared" si="78"/>
        <v>59.15197509595572</v>
      </c>
      <c r="G208" s="110">
        <f t="shared" si="76"/>
        <v>0.96009607855936607</v>
      </c>
      <c r="H208" s="412" t="b">
        <f>Wh_hp&gt;='2026'!Maxi_hp</f>
        <v>0</v>
      </c>
      <c r="I208" s="388">
        <f>IF(H208,Wh_hp,'2026'!Maxi_hp)</f>
        <v>59.152087540114273</v>
      </c>
      <c r="J208" s="85">
        <f>IF(H208,An,'2026'!An_max)</f>
        <v>2026</v>
      </c>
      <c r="K208" s="197">
        <f t="shared" si="79"/>
        <v>46581</v>
      </c>
      <c r="L208" s="147">
        <f>IF(t&lt;Tvie,1-EXP((T0-t)*PertePVj)+'2026'!Pspv,1-EXP((T0-t)*PertePVj)+Pspv)</f>
        <v>5.768094491011333E-2</v>
      </c>
      <c r="M208" s="832"/>
      <c r="N208" s="832"/>
      <c r="O208" s="48">
        <f>IF(t&lt;Tnet,'2026'!Resal+('2026'!Salim-'2026'!Resal)*(1-EXP(('2026'!Tnet-t)/('2026'!Tau_j))),Resal+(Salim-Resal)*(1-EXP((Tnet-t)/(Tau_j))))*Salcycl</f>
        <v>1.6230657799499112E-2</v>
      </c>
      <c r="P208" s="169">
        <f>(INDEX(Models!$BJ208:$BT208,,T208)*(1-R208)+INDEX(Models!$BJ208:$BT208,,T208+1)*R208-ERP_i)*Q208*Ramure*Pc/MaxiM</f>
        <v>4.8007205960059706E-5</v>
      </c>
      <c r="Q208" s="304">
        <f t="shared" si="80"/>
        <v>0.6</v>
      </c>
      <c r="R208" s="177">
        <f t="shared" si="81"/>
        <v>0.37168120226222268</v>
      </c>
      <c r="S208" s="799">
        <f t="shared" si="82"/>
        <v>-1</v>
      </c>
      <c r="T208" s="176">
        <f t="shared" si="83"/>
        <v>5</v>
      </c>
      <c r="U208" s="250">
        <f t="shared" si="84"/>
        <v>-0.62831879773777732</v>
      </c>
      <c r="V208" s="382">
        <f t="shared" si="85"/>
        <v>57.111683514267938</v>
      </c>
      <c r="W208" s="400">
        <f t="shared" si="86"/>
        <v>54.832853438840637</v>
      </c>
      <c r="X208" s="157">
        <f t="shared" si="87"/>
        <v>46581</v>
      </c>
      <c r="Y208" s="383">
        <f t="shared" si="88"/>
        <v>51.888978260479362</v>
      </c>
      <c r="Z208" s="383">
        <f t="shared" si="89"/>
        <v>55.06519047896122</v>
      </c>
      <c r="AA208" s="384">
        <f t="shared" si="90"/>
        <v>59.119028785061275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6.8570786587827282E-2</v>
      </c>
      <c r="AD208" s="230">
        <f>(INDEX(Models!$BJ208:$BT208,,AH208)*(1-AF208)+INDEX(Models!$BJ208:$BT208,,AH208+1)*AF208-ERP_i)*AE208*Ramure*Pc/MaxiM</f>
        <v>5.906452293715221E-4</v>
      </c>
      <c r="AE208" s="304">
        <f t="shared" si="92"/>
        <v>0.6</v>
      </c>
      <c r="AF208" s="177">
        <f t="shared" si="93"/>
        <v>0.89666876863620137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2.8966687686362014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'2026'!Wh/'2026'!Env_an*'2027'!Env_an</f>
        <v>54.25835060954401</v>
      </c>
      <c r="C209" s="829"/>
      <c r="D209" s="391">
        <f t="shared" si="77"/>
        <v>57.580699642339546</v>
      </c>
      <c r="E209" s="383">
        <f t="shared" si="75"/>
        <v>58.536840757004626</v>
      </c>
      <c r="F209" s="383">
        <f t="shared" si="78"/>
        <v>58.539540638213069</v>
      </c>
      <c r="G209" s="110">
        <f t="shared" si="76"/>
        <v>0.95149939156560981</v>
      </c>
      <c r="H209" s="412" t="b">
        <f>Wh_hp&gt;='2026'!Maxi_hp</f>
        <v>0</v>
      </c>
      <c r="I209" s="388">
        <f>IF(H209,Wh_hp,'2026'!Maxi_hp)</f>
        <v>61.162094530225126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5.7699004239826657E-2</v>
      </c>
      <c r="M209" s="832"/>
      <c r="N209" s="832"/>
      <c r="O209" s="48">
        <f>IF(t&lt;Tnet,'2026'!Resal+('2026'!Salim-'2026'!Resal)*(1-EXP(('2026'!Tnet-t)/('2026'!Tau_j))),Resal+(Salim-Resal)*(1-EXP((Tnet-t)/(Tau_j))))*Salcycl</f>
        <v>1.6334006111367854E-2</v>
      </c>
      <c r="P209" s="169">
        <f>(INDEX(Models!$BJ209:$BT209,,T209)*(1-R209)+INDEX(Models!$BJ209:$BT209,,T209+1)*R209-ERP_i)*Q209*Ramure*Pc/MaxiM</f>
        <v>4.9553826258613109E-5</v>
      </c>
      <c r="Q209" s="304">
        <f t="shared" si="80"/>
        <v>0.6</v>
      </c>
      <c r="R209" s="177">
        <f t="shared" si="81"/>
        <v>0.3749934880603556</v>
      </c>
      <c r="S209" s="799">
        <f t="shared" si="82"/>
        <v>-1</v>
      </c>
      <c r="T209" s="176">
        <f t="shared" si="83"/>
        <v>5</v>
      </c>
      <c r="U209" s="250">
        <f t="shared" si="84"/>
        <v>-0.6250065119396444</v>
      </c>
      <c r="V209" s="382">
        <f t="shared" si="85"/>
        <v>57.023856035021694</v>
      </c>
      <c r="W209" s="400">
        <f t="shared" si="86"/>
        <v>54.25835060954401</v>
      </c>
      <c r="X209" s="157">
        <f t="shared" si="87"/>
        <v>46582</v>
      </c>
      <c r="Y209" s="383">
        <f t="shared" si="88"/>
        <v>51.347586698846754</v>
      </c>
      <c r="Z209" s="383">
        <f t="shared" si="89"/>
        <v>54.491703744219876</v>
      </c>
      <c r="AA209" s="384">
        <f t="shared" si="90"/>
        <v>58.506736897265363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6.8625142436086792E-2</v>
      </c>
      <c r="AD209" s="230">
        <f>(INDEX(Models!$BJ209:$BT209,,AH209)*(1-AF209)+INDEX(Models!$BJ209:$BT209,,AH209+1)*AF209-ERP_i)*AE209*Ramure*Pc/MaxiM</f>
        <v>6.0208237105839352E-4</v>
      </c>
      <c r="AE209" s="304">
        <f t="shared" si="92"/>
        <v>0.6</v>
      </c>
      <c r="AF209" s="177">
        <f t="shared" si="93"/>
        <v>0.89998105443433429</v>
      </c>
      <c r="AG209" s="799">
        <f t="shared" si="99"/>
        <v>2</v>
      </c>
      <c r="AH209" s="176">
        <f t="shared" si="94"/>
        <v>8</v>
      </c>
      <c r="AI209" s="224">
        <f t="shared" si="95"/>
        <v>2.8999810544343343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'2026'!Wh/'2026'!Env_an*'2027'!Env_an</f>
        <v>52.467037181874467</v>
      </c>
      <c r="C210" s="829"/>
      <c r="D210" s="391">
        <f t="shared" si="77"/>
        <v>55.680767563676689</v>
      </c>
      <c r="E210" s="383">
        <f t="shared" si="75"/>
        <v>56.611293954240061</v>
      </c>
      <c r="F210" s="383">
        <f t="shared" si="78"/>
        <v>56.613865267943474</v>
      </c>
      <c r="G210" s="110">
        <f t="shared" si="76"/>
        <v>0.92152690667902071</v>
      </c>
      <c r="H210" s="412" t="b">
        <f>Wh_hp&gt;='2026'!Maxi_hp</f>
        <v>0</v>
      </c>
      <c r="I210" s="388">
        <f>IF(H210,Wh_hp,'2026'!Maxi_hp)</f>
        <v>62.506291921724774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5.7717063223436949E-2</v>
      </c>
      <c r="M210" s="832"/>
      <c r="N210" s="832"/>
      <c r="O210" s="48">
        <f>IF(t&lt;Tnet,'2026'!Resal+('2026'!Salim-'2026'!Resal)*(1-EXP(('2026'!Tnet-t)/('2026'!Tau_j))),Resal+(Salim-Resal)*(1-EXP((Tnet-t)/(Tau_j))))*Salcycl</f>
        <v>1.6437115733753269E-2</v>
      </c>
      <c r="P210" s="169">
        <f>(INDEX(Models!$BJ210:$BT210,,T210)*(1-R210)+INDEX(Models!$BJ210:$BT210,,T210+1)*R210-ERP_i)*Q210*Ramure*Pc/MaxiM</f>
        <v>5.1152477186921597E-5</v>
      </c>
      <c r="Q210" s="304">
        <f t="shared" si="80"/>
        <v>0.6</v>
      </c>
      <c r="R210" s="177">
        <f t="shared" si="81"/>
        <v>0.37822464246550802</v>
      </c>
      <c r="S210" s="799">
        <f t="shared" si="82"/>
        <v>-1</v>
      </c>
      <c r="T210" s="176">
        <f t="shared" si="83"/>
        <v>5</v>
      </c>
      <c r="U210" s="250">
        <f t="shared" si="84"/>
        <v>-0.62177535753449198</v>
      </c>
      <c r="V210" s="382">
        <f t="shared" si="85"/>
        <v>56.934567987371665</v>
      </c>
      <c r="W210" s="400">
        <f t="shared" si="86"/>
        <v>52.467037181874467</v>
      </c>
      <c r="X210" s="157">
        <f t="shared" si="87"/>
        <v>46583</v>
      </c>
      <c r="Y210" s="383">
        <f t="shared" si="88"/>
        <v>49.655439386654514</v>
      </c>
      <c r="Z210" s="383">
        <f t="shared" si="89"/>
        <v>52.696952739608996</v>
      </c>
      <c r="AA210" s="384">
        <f t="shared" si="90"/>
        <v>56.58300688676659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6.8678820037512883E-2</v>
      </c>
      <c r="AD210" s="230">
        <f>(INDEX(Models!$BJ210:$BT210,,AH210)*(1-AF210)+INDEX(Models!$BJ210:$BT210,,AH210+1)*AF210-ERP_i)*AE210*Ramure*Pc/MaxiM</f>
        <v>6.1388178232870143E-4</v>
      </c>
      <c r="AE210" s="304">
        <f t="shared" si="92"/>
        <v>0.6</v>
      </c>
      <c r="AF210" s="177">
        <f t="shared" si="93"/>
        <v>0.90321220883948694</v>
      </c>
      <c r="AG210" s="799">
        <f t="shared" si="99"/>
        <v>2</v>
      </c>
      <c r="AH210" s="176">
        <f t="shared" si="94"/>
        <v>8</v>
      </c>
      <c r="AI210" s="224">
        <f t="shared" si="95"/>
        <v>2.9032122088394869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'2026'!Wh/'2026'!Env_an*'2027'!Env_an</f>
        <v>53.992309780229093</v>
      </c>
      <c r="C211" s="829"/>
      <c r="D211" s="391">
        <f t="shared" si="77"/>
        <v>57.300564876049123</v>
      </c>
      <c r="E211" s="383">
        <f t="shared" si="75"/>
        <v>58.26425520675911</v>
      </c>
      <c r="F211" s="383">
        <f t="shared" si="78"/>
        <v>58.267111459318429</v>
      </c>
      <c r="G211" s="110">
        <f t="shared" si="76"/>
        <v>0.94983586862831182</v>
      </c>
      <c r="H211" s="412" t="b">
        <f>Wh_hp&gt;='2026'!Maxi_hp</f>
        <v>0</v>
      </c>
      <c r="I211" s="388">
        <f>IF(H211,Wh_hp,'2026'!Maxi_hp)</f>
        <v>60.8270261955942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5.7735121860951089E-2</v>
      </c>
      <c r="M211" s="832"/>
      <c r="N211" s="832"/>
      <c r="O211" s="48">
        <f>IF(t&lt;Tnet,'2026'!Resal+('2026'!Salim-'2026'!Resal)*(1-EXP(('2026'!Tnet-t)/('2026'!Tau_j))),Resal+(Salim-Resal)*(1-EXP((Tnet-t)/(Tau_j))))*Salcycl</f>
        <v>1.6539992269534658E-2</v>
      </c>
      <c r="P211" s="169">
        <f>(INDEX(Models!$BJ211:$BT211,,T211)*(1-R211)+INDEX(Models!$BJ211:$BT211,,T211+1)*R211-ERP_i)*Q211*Ramure*Pc/MaxiM</f>
        <v>5.2803787725313603E-5</v>
      </c>
      <c r="Q211" s="304">
        <f t="shared" si="80"/>
        <v>0.6</v>
      </c>
      <c r="R211" s="177">
        <f t="shared" si="81"/>
        <v>0.38137498182684948</v>
      </c>
      <c r="S211" s="799">
        <f t="shared" si="82"/>
        <v>-1</v>
      </c>
      <c r="T211" s="176">
        <f t="shared" si="83"/>
        <v>5</v>
      </c>
      <c r="U211" s="250">
        <f t="shared" si="84"/>
        <v>-0.61862501817315052</v>
      </c>
      <c r="V211" s="382">
        <f t="shared" si="85"/>
        <v>56.843616099267315</v>
      </c>
      <c r="W211" s="400">
        <f t="shared" si="86"/>
        <v>53.992309780229093</v>
      </c>
      <c r="X211" s="157">
        <f t="shared" si="87"/>
        <v>46584</v>
      </c>
      <c r="Y211" s="383">
        <f t="shared" si="88"/>
        <v>51.099748268955146</v>
      </c>
      <c r="Z211" s="383">
        <f t="shared" si="89"/>
        <v>54.230768284472148</v>
      </c>
      <c r="AA211" s="384">
        <f t="shared" si="90"/>
        <v>58.233247264285097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6.873185281336186E-2</v>
      </c>
      <c r="AD211" s="230">
        <f>(INDEX(Models!$BJ211:$BT211,,AH211)*(1-AF211)+INDEX(Models!$BJ211:$BT211,,AH211+1)*AF211-ERP_i)*AE211*Ramure*Pc/MaxiM</f>
        <v>6.2605029803593129E-4</v>
      </c>
      <c r="AE211" s="304">
        <f t="shared" si="92"/>
        <v>0.6</v>
      </c>
      <c r="AF211" s="177">
        <f t="shared" si="93"/>
        <v>0.90636254820082796</v>
      </c>
      <c r="AG211" s="799">
        <f t="shared" si="99"/>
        <v>2</v>
      </c>
      <c r="AH211" s="176">
        <f t="shared" si="94"/>
        <v>8</v>
      </c>
      <c r="AI211" s="224">
        <f t="shared" si="95"/>
        <v>2.906362548200828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'2026'!Wh/'2026'!Env_an*'2027'!Env_an</f>
        <v>53.516254139837031</v>
      </c>
      <c r="C212" s="829"/>
      <c r="D212" s="391">
        <f t="shared" si="77"/>
        <v>56.796428507438648</v>
      </c>
      <c r="E212" s="383">
        <f t="shared" si="75"/>
        <v>57.757668675522531</v>
      </c>
      <c r="F212" s="383">
        <f t="shared" si="78"/>
        <v>57.760559639863068</v>
      </c>
      <c r="G212" s="110">
        <f t="shared" si="76"/>
        <v>0.94300024350912359</v>
      </c>
      <c r="H212" s="412" t="b">
        <f>Wh_hp&gt;='2026'!Maxi_hp</f>
        <v>0</v>
      </c>
      <c r="I212" s="388">
        <f>IF(H212,Wh_hp,'2026'!Maxi_hp)</f>
        <v>61.26677577265081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5.7753180152375405E-2</v>
      </c>
      <c r="M212" s="832"/>
      <c r="N212" s="832"/>
      <c r="O212" s="48">
        <f>IF(t&lt;Tnet,'2026'!Resal+('2026'!Salim-'2026'!Resal)*(1-EXP(('2026'!Tnet-t)/('2026'!Tau_j))),Resal+(Salim-Resal)*(1-EXP((Tnet-t)/(Tau_j))))*Salcycl</f>
        <v>1.664264140375956E-2</v>
      </c>
      <c r="P212" s="169">
        <f>(INDEX(Models!$BJ212:$BT212,,T212)*(1-R212)+INDEX(Models!$BJ212:$BT212,,T212+1)*R212-ERP_i)*Q212*Ramure*Pc/MaxiM</f>
        <v>5.4487316460404961E-5</v>
      </c>
      <c r="Q212" s="304">
        <f t="shared" si="80"/>
        <v>0.6</v>
      </c>
      <c r="R212" s="177">
        <f t="shared" si="81"/>
        <v>0.38444493989342576</v>
      </c>
      <c r="S212" s="799">
        <f t="shared" si="82"/>
        <v>-1</v>
      </c>
      <c r="T212" s="176">
        <f t="shared" si="83"/>
        <v>5</v>
      </c>
      <c r="U212" s="250">
        <f t="shared" si="84"/>
        <v>-0.61555506010657424</v>
      </c>
      <c r="V212" s="382">
        <f t="shared" si="85"/>
        <v>56.750798393255344</v>
      </c>
      <c r="W212" s="400">
        <f t="shared" si="86"/>
        <v>53.516254139837031</v>
      </c>
      <c r="X212" s="157">
        <f t="shared" si="87"/>
        <v>46585</v>
      </c>
      <c r="Y212" s="383">
        <f t="shared" si="88"/>
        <v>50.651408107203906</v>
      </c>
      <c r="Z212" s="383">
        <f t="shared" si="89"/>
        <v>53.755987327603819</v>
      </c>
      <c r="AA212" s="384">
        <f t="shared" si="90"/>
        <v>57.726674724664214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6.8784273752111491E-2</v>
      </c>
      <c r="AD212" s="230">
        <f>(INDEX(Models!$BJ212:$BT212,,AH212)*(1-AF212)+INDEX(Models!$BJ212:$BT212,,AH212+1)*AF212-ERP_i)*AE212*Ramure*Pc/MaxiM</f>
        <v>6.3864436921204891E-4</v>
      </c>
      <c r="AE212" s="304">
        <f t="shared" si="92"/>
        <v>0.6</v>
      </c>
      <c r="AF212" s="177">
        <f t="shared" si="93"/>
        <v>0.90943250626740468</v>
      </c>
      <c r="AG212" s="799">
        <f t="shared" si="99"/>
        <v>2</v>
      </c>
      <c r="AH212" s="176">
        <f t="shared" si="94"/>
        <v>8</v>
      </c>
      <c r="AI212" s="224">
        <f t="shared" si="95"/>
        <v>2.9094325062674047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'2026'!Wh/'2026'!Env_an*'2027'!Env_an</f>
        <v>54.479905583311982</v>
      </c>
      <c r="C213" s="829"/>
      <c r="D213" s="391">
        <f t="shared" si="77"/>
        <v>57.820253197664528</v>
      </c>
      <c r="E213" s="383">
        <f t="shared" si="75"/>
        <v>58.804946068797996</v>
      </c>
      <c r="F213" s="383">
        <f t="shared" si="78"/>
        <v>58.808069518360455</v>
      </c>
      <c r="G213" s="110">
        <f t="shared" si="76"/>
        <v>0.96158962856852004</v>
      </c>
      <c r="H213" s="412" t="b">
        <f>Wh_hp&gt;='2026'!Maxi_hp</f>
        <v>0</v>
      </c>
      <c r="I213" s="388">
        <f>IF(H213,Wh_hp,'2026'!Maxi_hp)</f>
        <v>58.808193172739628</v>
      </c>
      <c r="J213" s="85">
        <f>IF(H213,An,'2026'!An_max)</f>
        <v>2026</v>
      </c>
      <c r="K213" s="197">
        <f t="shared" si="79"/>
        <v>46586</v>
      </c>
      <c r="L213" s="147">
        <f>IF(t&lt;Tvie,1-EXP((T0-t)*PertePVj)+'2026'!Pspv,1-EXP((T0-t)*PertePVj)+Pspv)</f>
        <v>5.7771238097716782E-2</v>
      </c>
      <c r="M213" s="832"/>
      <c r="N213" s="832"/>
      <c r="O213" s="48">
        <f>IF(t&lt;Tnet,'2026'!Resal+('2026'!Salim-'2026'!Resal)*(1-EXP(('2026'!Tnet-t)/('2026'!Tau_j))),Resal+(Salim-Resal)*(1-EXP((Tnet-t)/(Tau_j))))*Salcycl</f>
        <v>1.6745068858348023E-2</v>
      </c>
      <c r="P213" s="169">
        <f>(INDEX(Models!$BJ213:$BT213,,T213)*(1-R213)+INDEX(Models!$BJ213:$BT213,,T213+1)*R213-ERP_i)*Q213*Ramure*Pc/MaxiM</f>
        <v>5.6195945088738158E-5</v>
      </c>
      <c r="Q213" s="304">
        <f t="shared" si="80"/>
        <v>0.6</v>
      </c>
      <c r="R213" s="177">
        <f t="shared" si="81"/>
        <v>0.38743506080971613</v>
      </c>
      <c r="S213" s="799">
        <f t="shared" si="82"/>
        <v>-1</v>
      </c>
      <c r="T213" s="176">
        <f t="shared" si="83"/>
        <v>5</v>
      </c>
      <c r="U213" s="250">
        <f t="shared" si="84"/>
        <v>-0.61256493919028387</v>
      </c>
      <c r="V213" s="382">
        <f t="shared" si="85"/>
        <v>56.655912226533587</v>
      </c>
      <c r="W213" s="400">
        <f t="shared" si="86"/>
        <v>54.479905583311982</v>
      </c>
      <c r="X213" s="157">
        <f t="shared" si="87"/>
        <v>46586</v>
      </c>
      <c r="Y213" s="383">
        <f t="shared" si="88"/>
        <v>51.564625826158036</v>
      </c>
      <c r="Z213" s="383">
        <f t="shared" si="89"/>
        <v>54.726227760287479</v>
      </c>
      <c r="AA213" s="384">
        <f t="shared" si="90"/>
        <v>58.77185386583524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6.8836115239501255E-2</v>
      </c>
      <c r="AD213" s="230">
        <f>(INDEX(Models!$BJ213:$BT213,,AH213)*(1-AF213)+INDEX(Models!$BJ213:$BT213,,AH213+1)*AF213-ERP_i)*AE213*Ramure*Pc/MaxiM</f>
        <v>6.5157857681438813E-4</v>
      </c>
      <c r="AE213" s="304">
        <f t="shared" si="92"/>
        <v>0.6</v>
      </c>
      <c r="AF213" s="177">
        <f t="shared" si="93"/>
        <v>0.91242262718369505</v>
      </c>
      <c r="AG213" s="799">
        <f t="shared" si="99"/>
        <v>2</v>
      </c>
      <c r="AH213" s="176">
        <f t="shared" si="94"/>
        <v>8</v>
      </c>
      <c r="AI213" s="224">
        <f t="shared" si="95"/>
        <v>2.912422627183695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'2026'!Wh/'2026'!Env_an*'2027'!Env_an</f>
        <v>45.019295188276679</v>
      </c>
      <c r="C214" s="829"/>
      <c r="D214" s="391">
        <f t="shared" si="77"/>
        <v>47.780496424712993</v>
      </c>
      <c r="E214" s="383">
        <f t="shared" si="75"/>
        <v>48.599261813184249</v>
      </c>
      <c r="F214" s="383">
        <f t="shared" si="78"/>
        <v>48.601256670593891</v>
      </c>
      <c r="G214" s="110">
        <f t="shared" si="76"/>
        <v>0.79596050713870159</v>
      </c>
      <c r="H214" s="412" t="b">
        <f>Wh_hp&gt;='2026'!Maxi_hp</f>
        <v>0</v>
      </c>
      <c r="I214" s="388">
        <f>IF(H214,Wh_hp,'2026'!Maxi_hp)</f>
        <v>60.996282625351171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5.7789295696981657E-2</v>
      </c>
      <c r="M214" s="832"/>
      <c r="N214" s="832"/>
      <c r="O214" s="48">
        <f>IF(t&lt;Tnet,'2026'!Resal+('2026'!Salim-'2026'!Resal)*(1-EXP(('2026'!Tnet-t)/('2026'!Tau_j))),Resal+(Salim-Resal)*(1-EXP((Tnet-t)/(Tau_j))))*Salcycl</f>
        <v>1.6847280347973084E-2</v>
      </c>
      <c r="P214" s="169">
        <f>(INDEX(Models!$BJ214:$BT214,,T214)*(1-R214)+INDEX(Models!$BJ214:$BT214,,T214+1)*R214-ERP_i)*Q214*Ramure*Pc/MaxiM</f>
        <v>5.7930000863386012E-5</v>
      </c>
      <c r="Q214" s="304">
        <f t="shared" si="80"/>
        <v>0.6</v>
      </c>
      <c r="R214" s="177">
        <f t="shared" si="81"/>
        <v>0.39034599207527987</v>
      </c>
      <c r="S214" s="799">
        <f t="shared" si="82"/>
        <v>-1</v>
      </c>
      <c r="T214" s="176">
        <f t="shared" si="83"/>
        <v>5</v>
      </c>
      <c r="U214" s="250">
        <f t="shared" si="84"/>
        <v>-0.60965400792472013</v>
      </c>
      <c r="V214" s="382">
        <f t="shared" si="85"/>
        <v>56.558754636597001</v>
      </c>
      <c r="W214" s="400">
        <f t="shared" si="86"/>
        <v>45.019295188276679</v>
      </c>
      <c r="X214" s="157">
        <f t="shared" si="87"/>
        <v>46587</v>
      </c>
      <c r="Y214" s="383">
        <f t="shared" si="88"/>
        <v>42.618003244696723</v>
      </c>
      <c r="Z214" s="383">
        <f t="shared" si="89"/>
        <v>45.231924292584367</v>
      </c>
      <c r="AA214" s="384">
        <f t="shared" si="90"/>
        <v>48.578361762979675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6.8887408898699029E-2</v>
      </c>
      <c r="AD214" s="230">
        <f>(INDEX(Models!$BJ214:$BT214,,AH214)*(1-AF214)+INDEX(Models!$BJ214:$BT214,,AH214+1)*AF214-ERP_i)*AE214*Ramure*Pc/MaxiM</f>
        <v>6.6486056168451647E-4</v>
      </c>
      <c r="AE214" s="304">
        <f t="shared" si="92"/>
        <v>0.6</v>
      </c>
      <c r="AF214" s="177">
        <f t="shared" si="93"/>
        <v>0.91533355844925879</v>
      </c>
      <c r="AG214" s="799">
        <f t="shared" si="99"/>
        <v>2</v>
      </c>
      <c r="AH214" s="176">
        <f t="shared" si="94"/>
        <v>8</v>
      </c>
      <c r="AI214" s="224">
        <f t="shared" si="95"/>
        <v>2.9153335584492588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'2026'!Wh/'2026'!Env_an*'2027'!Env_an</f>
        <v>44.579009783169482</v>
      </c>
      <c r="C215" s="829"/>
      <c r="D215" s="391">
        <f t="shared" si="77"/>
        <v>47.314113438217205</v>
      </c>
      <c r="E215" s="383">
        <f t="shared" si="75"/>
        <v>48.129880330299159</v>
      </c>
      <c r="F215" s="383">
        <f t="shared" si="78"/>
        <v>48.131889697928585</v>
      </c>
      <c r="G215" s="110">
        <f t="shared" si="76"/>
        <v>0.78956610906374114</v>
      </c>
      <c r="H215" s="412" t="b">
        <f>Wh_hp&gt;='2026'!Maxi_hp</f>
        <v>0</v>
      </c>
      <c r="I215" s="388">
        <f>IF(H215,Wh_hp,'2026'!Maxi_hp)</f>
        <v>59.776097909915435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5.7807352950176805E-2</v>
      </c>
      <c r="M215" s="832"/>
      <c r="N215" s="832"/>
      <c r="O215" s="48">
        <f>IF(t&lt;Tnet,'2026'!Resal+('2026'!Salim-'2026'!Resal)*(1-EXP(('2026'!Tnet-t)/('2026'!Tau_j))),Resal+(Salim-Resal)*(1-EXP((Tnet-t)/(Tau_j))))*Salcycl</f>
        <v>1.6949281537448697E-2</v>
      </c>
      <c r="P215" s="169">
        <f>(INDEX(Models!$BJ215:$BT215,,T215)*(1-R215)+INDEX(Models!$BJ215:$BT215,,T215+1)*R215-ERP_i)*Q215*Ramure*Pc/MaxiM</f>
        <v>5.9689867548247133E-5</v>
      </c>
      <c r="Q215" s="304">
        <f t="shared" si="80"/>
        <v>0.6</v>
      </c>
      <c r="R215" s="177">
        <f t="shared" si="81"/>
        <v>0.393178477510715</v>
      </c>
      <c r="S215" s="799">
        <f t="shared" si="82"/>
        <v>-1</v>
      </c>
      <c r="T215" s="176">
        <f t="shared" si="83"/>
        <v>5</v>
      </c>
      <c r="U215" s="250">
        <f t="shared" si="84"/>
        <v>-0.606821522489285</v>
      </c>
      <c r="V215" s="382">
        <f t="shared" si="85"/>
        <v>56.459122761212249</v>
      </c>
      <c r="W215" s="400">
        <f t="shared" si="86"/>
        <v>44.579009783169482</v>
      </c>
      <c r="X215" s="157">
        <f t="shared" si="87"/>
        <v>46588</v>
      </c>
      <c r="Y215" s="383">
        <f t="shared" si="88"/>
        <v>42.203162774930583</v>
      </c>
      <c r="Z215" s="383">
        <f t="shared" si="89"/>
        <v>44.792498548016027</v>
      </c>
      <c r="AA215" s="384">
        <f t="shared" si="90"/>
        <v>48.109049096012136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6.8938185441520708E-2</v>
      </c>
      <c r="AD215" s="230">
        <f>(INDEX(Models!$BJ215:$BT215,,AH215)*(1-AF215)+INDEX(Models!$BJ215:$BT215,,AH215+1)*AF215-ERP_i)*AE215*Ramure*Pc/MaxiM</f>
        <v>6.7849829127722536E-4</v>
      </c>
      <c r="AE215" s="304">
        <f t="shared" si="92"/>
        <v>0.6</v>
      </c>
      <c r="AF215" s="177">
        <f t="shared" si="93"/>
        <v>0.91816604388469392</v>
      </c>
      <c r="AG215" s="799">
        <f t="shared" si="99"/>
        <v>2</v>
      </c>
      <c r="AH215" s="176">
        <f t="shared" si="94"/>
        <v>8</v>
      </c>
      <c r="AI215" s="224">
        <f t="shared" si="95"/>
        <v>2.9181660438846939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'2026'!Wh/'2026'!Env_an*'2027'!Env_an</f>
        <v>52.716946629422985</v>
      </c>
      <c r="C216" s="829"/>
      <c r="D216" s="391">
        <f t="shared" si="77"/>
        <v>55.952418140929773</v>
      </c>
      <c r="E216" s="383">
        <f t="shared" si="75"/>
        <v>56.923016942871229</v>
      </c>
      <c r="F216" s="383">
        <f t="shared" si="78"/>
        <v>56.926193643691981</v>
      </c>
      <c r="G216" s="110">
        <f t="shared" si="76"/>
        <v>0.93540858689380901</v>
      </c>
      <c r="H216" s="412" t="b">
        <f>Wh_hp&gt;='2026'!Maxi_hp</f>
        <v>0</v>
      </c>
      <c r="I216" s="388">
        <f>IF(H216,Wh_hp,'2026'!Maxi_hp)</f>
        <v>56.926411535570587</v>
      </c>
      <c r="J216" s="85">
        <f>IF(H216,An,'2026'!An_max)</f>
        <v>2026</v>
      </c>
      <c r="K216" s="197">
        <f t="shared" si="79"/>
        <v>46589</v>
      </c>
      <c r="L216" s="147">
        <f>IF(t&lt;Tvie,1-EXP((T0-t)*PertePVj)+'2026'!Pspv,1-EXP((T0-t)*PertePVj)+Pspv)</f>
        <v>5.7825409857308885E-2</v>
      </c>
      <c r="M216" s="832"/>
      <c r="N216" s="832"/>
      <c r="O216" s="48">
        <f>IF(t&lt;Tnet,'2026'!Resal+('2026'!Salim-'2026'!Resal)*(1-EXP(('2026'!Tnet-t)/('2026'!Tau_j))),Resal+(Salim-Resal)*(1-EXP((Tnet-t)/(Tau_j))))*Salcycl</f>
        <v>1.705107800093527E-2</v>
      </c>
      <c r="P216" s="169">
        <f>(INDEX(Models!$BJ216:$BT216,,T216)*(1-R216)+INDEX(Models!$BJ216:$BT216,,T216+1)*R216-ERP_i)*Q216*Ramure*Pc/MaxiM</f>
        <v>6.1475986032288754E-5</v>
      </c>
      <c r="Q216" s="304">
        <f t="shared" si="80"/>
        <v>0.6</v>
      </c>
      <c r="R216" s="177">
        <f t="shared" si="81"/>
        <v>0.39593335026877496</v>
      </c>
      <c r="S216" s="799">
        <f t="shared" si="82"/>
        <v>-1</v>
      </c>
      <c r="T216" s="176">
        <f t="shared" si="83"/>
        <v>5</v>
      </c>
      <c r="U216" s="250">
        <f t="shared" si="84"/>
        <v>-0.60406664973122504</v>
      </c>
      <c r="V216" s="382">
        <f t="shared" si="85"/>
        <v>56.356813839120484</v>
      </c>
      <c r="W216" s="400">
        <f t="shared" si="86"/>
        <v>52.716946629422985</v>
      </c>
      <c r="X216" s="157">
        <f t="shared" si="87"/>
        <v>46589</v>
      </c>
      <c r="Y216" s="383">
        <f t="shared" si="88"/>
        <v>49.902867846900719</v>
      </c>
      <c r="Z216" s="383">
        <f t="shared" si="89"/>
        <v>52.965626932629327</v>
      </c>
      <c r="AA216" s="384">
        <f t="shared" si="90"/>
        <v>56.890409499470877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6.8988474531512273E-2</v>
      </c>
      <c r="AD216" s="230">
        <f>(INDEX(Models!$BJ216:$BT216,,AH216)*(1-AF216)+INDEX(Models!$BJ216:$BT216,,AH216+1)*AF216-ERP_i)*AE216*Ramure*Pc/MaxiM</f>
        <v>6.9250007301330263E-4</v>
      </c>
      <c r="AE216" s="304">
        <f t="shared" si="92"/>
        <v>0.6</v>
      </c>
      <c r="AF216" s="177">
        <f t="shared" si="93"/>
        <v>0.92092091664275388</v>
      </c>
      <c r="AG216" s="799">
        <f t="shared" si="99"/>
        <v>2</v>
      </c>
      <c r="AH216" s="176">
        <f t="shared" si="94"/>
        <v>8</v>
      </c>
      <c r="AI216" s="224">
        <f t="shared" si="95"/>
        <v>2.9209209166427539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'2026'!Wh/'2026'!Env_an*'2027'!Env_an</f>
        <v>42.564674519517027</v>
      </c>
      <c r="C217" s="829"/>
      <c r="D217" s="391">
        <f t="shared" si="77"/>
        <v>45.177922141777302</v>
      </c>
      <c r="E217" s="383">
        <f t="shared" si="75"/>
        <v>45.966368327044734</v>
      </c>
      <c r="F217" s="383">
        <f t="shared" si="78"/>
        <v>45.968266355011401</v>
      </c>
      <c r="G217" s="110">
        <f t="shared" si="76"/>
        <v>0.75666681525217128</v>
      </c>
      <c r="H217" s="412" t="b">
        <f>Wh_hp&gt;='2026'!Maxi_hp</f>
        <v>0</v>
      </c>
      <c r="I217" s="388">
        <f>IF(H217,Wh_hp,'2026'!Maxi_hp)</f>
        <v>55.348148280408218</v>
      </c>
      <c r="J217" s="85">
        <f>IF(H217,An,'2026'!An_max)</f>
        <v>2020</v>
      </c>
      <c r="K217" s="197">
        <f t="shared" si="79"/>
        <v>46590</v>
      </c>
      <c r="L217" s="147">
        <f>IF(t&lt;Tvie,1-EXP((T0-t)*PertePVj)+'2026'!Pspv,1-EXP((T0-t)*PertePVj)+Pspv)</f>
        <v>5.7843466418384337E-2</v>
      </c>
      <c r="M217" s="832"/>
      <c r="N217" s="832"/>
      <c r="O217" s="48">
        <f>IF(t&lt;Tnet,'2026'!Resal+('2026'!Salim-'2026'!Resal)*(1-EXP(('2026'!Tnet-t)/('2026'!Tau_j))),Resal+(Salim-Resal)*(1-EXP((Tnet-t)/(Tau_j))))*Salcycl</f>
        <v>1.7152675183250029E-2</v>
      </c>
      <c r="P217" s="169">
        <f>(INDEX(Models!$BJ217:$BT217,,T217)*(1-R217)+INDEX(Models!$BJ217:$BT217,,T217+1)*R217-ERP_i)*Q217*Ramure*Pc/MaxiM</f>
        <v>6.3288854819988849E-5</v>
      </c>
      <c r="Q217" s="304">
        <f t="shared" si="80"/>
        <v>0.6</v>
      </c>
      <c r="R217" s="177">
        <f t="shared" si="81"/>
        <v>0.39861152592605409</v>
      </c>
      <c r="S217" s="799">
        <f t="shared" si="82"/>
        <v>-1</v>
      </c>
      <c r="T217" s="176">
        <f t="shared" si="83"/>
        <v>5</v>
      </c>
      <c r="U217" s="250">
        <f t="shared" si="84"/>
        <v>-0.60138847407394591</v>
      </c>
      <c r="V217" s="382">
        <f t="shared" si="85"/>
        <v>56.25162521624631</v>
      </c>
      <c r="W217" s="400">
        <f t="shared" si="86"/>
        <v>42.564674519517027</v>
      </c>
      <c r="X217" s="157">
        <f t="shared" si="87"/>
        <v>46590</v>
      </c>
      <c r="Y217" s="383">
        <f t="shared" si="88"/>
        <v>40.3007076738999</v>
      </c>
      <c r="Z217" s="383">
        <f t="shared" si="89"/>
        <v>42.774959613872689</v>
      </c>
      <c r="AA217" s="384">
        <f t="shared" si="90"/>
        <v>45.947067240216896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6.9038304659577956E-2</v>
      </c>
      <c r="AD217" s="230">
        <f>(INDEX(Models!$BJ217:$BT217,,AH217)*(1-AF217)+INDEX(Models!$BJ217:$BT217,,AH217+1)*AF217-ERP_i)*AE217*Ramure*Pc/MaxiM</f>
        <v>7.0687456776438815E-4</v>
      </c>
      <c r="AE217" s="304">
        <f t="shared" si="92"/>
        <v>0.6</v>
      </c>
      <c r="AF217" s="177">
        <f t="shared" si="93"/>
        <v>0.92359909230003279</v>
      </c>
      <c r="AG217" s="799">
        <f t="shared" si="99"/>
        <v>2</v>
      </c>
      <c r="AH217" s="176">
        <f t="shared" si="94"/>
        <v>8</v>
      </c>
      <c r="AI217" s="224">
        <f t="shared" si="95"/>
        <v>2.9235990923000328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'2026'!Wh/'2026'!Env_an*'2027'!Env_an</f>
        <v>48.910676984755582</v>
      </c>
      <c r="C218" s="829"/>
      <c r="D218" s="391">
        <f t="shared" si="77"/>
        <v>51.91453078263806</v>
      </c>
      <c r="E218" s="383">
        <f t="shared" si="75"/>
        <v>52.82599463367962</v>
      </c>
      <c r="F218" s="383">
        <f t="shared" si="78"/>
        <v>52.82880211189287</v>
      </c>
      <c r="G218" s="110">
        <f t="shared" si="76"/>
        <v>0.8711643840551494</v>
      </c>
      <c r="H218" s="412" t="b">
        <f>Wh_hp&gt;='2026'!Maxi_hp</f>
        <v>0</v>
      </c>
      <c r="I218" s="388">
        <f>IF(H218,Wh_hp,'2026'!Maxi_hp)</f>
        <v>56.109961045476417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5.7861522633410045E-2</v>
      </c>
      <c r="M218" s="832"/>
      <c r="N218" s="832"/>
      <c r="O218" s="48">
        <f>IF(t&lt;Tnet,'2026'!Resal+('2026'!Salim-'2026'!Resal)*(1-EXP(('2026'!Tnet-t)/('2026'!Tau_j))),Resal+(Salim-Resal)*(1-EXP((Tnet-t)/(Tau_j))))*Salcycl</f>
        <v>1.7254078363542102E-2</v>
      </c>
      <c r="P218" s="169">
        <f>(INDEX(Models!$BJ218:$BT218,,T218)*(1-R218)+INDEX(Models!$BJ218:$BT218,,T218+1)*R218-ERP_i)*Q218*Ramure*Pc/MaxiM</f>
        <v>6.5129030442645576E-5</v>
      </c>
      <c r="Q218" s="304">
        <f t="shared" si="80"/>
        <v>0.6</v>
      </c>
      <c r="R218" s="177">
        <f t="shared" si="81"/>
        <v>0.4012139956871863</v>
      </c>
      <c r="S218" s="799">
        <f t="shared" si="82"/>
        <v>-1</v>
      </c>
      <c r="T218" s="176">
        <f t="shared" si="83"/>
        <v>5</v>
      </c>
      <c r="U218" s="250">
        <f t="shared" si="84"/>
        <v>-0.5987860043128137</v>
      </c>
      <c r="V218" s="382">
        <f t="shared" si="85"/>
        <v>56.143354344282976</v>
      </c>
      <c r="W218" s="400">
        <f t="shared" si="86"/>
        <v>48.910676984755582</v>
      </c>
      <c r="X218" s="157">
        <f t="shared" si="87"/>
        <v>46591</v>
      </c>
      <c r="Y218" s="383">
        <f t="shared" si="88"/>
        <v>46.306128507090122</v>
      </c>
      <c r="Z218" s="383">
        <f t="shared" si="89"/>
        <v>49.150023716813145</v>
      </c>
      <c r="AA218" s="384">
        <f t="shared" si="90"/>
        <v>52.797695203869608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6.9087703032709599E-2</v>
      </c>
      <c r="AD218" s="230">
        <f>(INDEX(Models!$BJ218:$BT218,,AH218)*(1-AF218)+INDEX(Models!$BJ218:$BT218,,AH218+1)*AF218-ERP_i)*AE218*Ramure*Pc/MaxiM</f>
        <v>7.2163080378047362E-4</v>
      </c>
      <c r="AE218" s="304">
        <f t="shared" si="92"/>
        <v>0.6</v>
      </c>
      <c r="AF218" s="177">
        <f t="shared" si="93"/>
        <v>0.926201562061165</v>
      </c>
      <c r="AG218" s="799">
        <f t="shared" si="99"/>
        <v>2</v>
      </c>
      <c r="AH218" s="176">
        <f t="shared" si="94"/>
        <v>8</v>
      </c>
      <c r="AI218" s="224">
        <f t="shared" si="95"/>
        <v>2.926201562061165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'2026'!Wh/'2026'!Env_an*'2027'!Env_an</f>
        <v>52.947572166741978</v>
      </c>
      <c r="C219" s="829"/>
      <c r="D219" s="391">
        <f t="shared" si="77"/>
        <v>56.200429327893978</v>
      </c>
      <c r="E219" s="383">
        <f t="shared" si="75"/>
        <v>57.193031118876277</v>
      </c>
      <c r="F219" s="383">
        <f t="shared" si="78"/>
        <v>57.196561711404378</v>
      </c>
      <c r="G219" s="110">
        <f t="shared" si="76"/>
        <v>0.94494223263389299</v>
      </c>
      <c r="H219" s="412" t="b">
        <f>Wh_hp&gt;='2026'!Maxi_hp</f>
        <v>0</v>
      </c>
      <c r="I219" s="388">
        <f>IF(H219,Wh_hp,'2026'!Maxi_hp)</f>
        <v>57.196763072187998</v>
      </c>
      <c r="J219" s="85">
        <f>IF(H219,An,'2026'!An_max)</f>
        <v>2026</v>
      </c>
      <c r="K219" s="197">
        <f t="shared" si="79"/>
        <v>46592</v>
      </c>
      <c r="L219" s="147">
        <f>IF(t&lt;Tvie,1-EXP((T0-t)*PertePVj)+'2026'!Pspv,1-EXP((T0-t)*PertePVj)+Pspv)</f>
        <v>5.7879578502392448E-2</v>
      </c>
      <c r="M219" s="832"/>
      <c r="N219" s="832"/>
      <c r="O219" s="48">
        <f>IF(t&lt;Tnet,'2026'!Resal+('2026'!Salim-'2026'!Resal)*(1-EXP(('2026'!Tnet-t)/('2026'!Tau_j))),Resal+(Salim-Resal)*(1-EXP((Tnet-t)/(Tau_j))))*Salcycl</f>
        <v>1.7355292621563788E-2</v>
      </c>
      <c r="P219" s="169">
        <f>(INDEX(Models!$BJ219:$BT219,,T219)*(1-R219)+INDEX(Models!$BJ219:$BT219,,T219+1)*R219-ERP_i)*Q219*Ramure*Pc/MaxiM</f>
        <v>6.6996412137309368E-5</v>
      </c>
      <c r="Q219" s="304">
        <f t="shared" si="80"/>
        <v>0.6</v>
      </c>
      <c r="R219" s="177">
        <f t="shared" si="81"/>
        <v>0.40374181973006351</v>
      </c>
      <c r="S219" s="799">
        <f t="shared" si="82"/>
        <v>-1</v>
      </c>
      <c r="T219" s="176">
        <f t="shared" si="83"/>
        <v>5</v>
      </c>
      <c r="U219" s="250">
        <f t="shared" si="84"/>
        <v>-0.59625818026993649</v>
      </c>
      <c r="V219" s="382">
        <f t="shared" si="85"/>
        <v>56.032306883149957</v>
      </c>
      <c r="W219" s="400">
        <f t="shared" si="86"/>
        <v>52.947572166741978</v>
      </c>
      <c r="X219" s="157">
        <f t="shared" si="87"/>
        <v>46592</v>
      </c>
      <c r="Y219" s="383">
        <f t="shared" si="88"/>
        <v>50.126495213992911</v>
      </c>
      <c r="Z219" s="383">
        <f t="shared" si="89"/>
        <v>53.206038283631671</v>
      </c>
      <c r="AA219" s="384">
        <f t="shared" si="90"/>
        <v>57.157735217473522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6.9136695476236854E-2</v>
      </c>
      <c r="AD219" s="230">
        <f>(INDEX(Models!$BJ219:$BT219,,AH219)*(1-AF219)+INDEX(Models!$BJ219:$BT219,,AH219+1)*AF219-ERP_i)*AE219*Ramure*Pc/MaxiM</f>
        <v>7.3677032071428421E-4</v>
      </c>
      <c r="AE219" s="304">
        <f t="shared" si="92"/>
        <v>0.6</v>
      </c>
      <c r="AF219" s="177">
        <f t="shared" si="93"/>
        <v>0.92872938610404221</v>
      </c>
      <c r="AG219" s="799">
        <f t="shared" si="99"/>
        <v>2</v>
      </c>
      <c r="AH219" s="176">
        <f t="shared" si="94"/>
        <v>8</v>
      </c>
      <c r="AI219" s="224">
        <f t="shared" si="95"/>
        <v>2.9287293861040422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'2026'!Wh/'2026'!Env_an*'2027'!Env_an</f>
        <v>26.981650577246821</v>
      </c>
      <c r="C220" s="829"/>
      <c r="D220" s="391">
        <f t="shared" si="77"/>
        <v>28.639828910027919</v>
      </c>
      <c r="E220" s="383">
        <f t="shared" si="75"/>
        <v>29.148657280906395</v>
      </c>
      <c r="F220" s="383">
        <f t="shared" si="78"/>
        <v>29.149180746366483</v>
      </c>
      <c r="G220" s="110">
        <f t="shared" si="76"/>
        <v>0.48248919079372976</v>
      </c>
      <c r="H220" s="412" t="b">
        <f>Wh_hp&gt;='2026'!Maxi_hp</f>
        <v>0</v>
      </c>
      <c r="I220" s="388">
        <f>IF(H220,Wh_hp,'2026'!Maxi_hp)</f>
        <v>59.315557328001788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5.7897634025338207E-2</v>
      </c>
      <c r="M220" s="832"/>
      <c r="N220" s="832"/>
      <c r="O220" s="48">
        <f>IF(t&lt;Tnet,'2026'!Resal+('2026'!Salim-'2026'!Resal)*(1-EXP(('2026'!Tnet-t)/('2026'!Tau_j))),Resal+(Salim-Resal)*(1-EXP((Tnet-t)/(Tau_j))))*Salcycl</f>
        <v>1.7456322806738079E-2</v>
      </c>
      <c r="P220" s="169">
        <f>(INDEX(Models!$BJ220:$BT220,,T220)*(1-R220)+INDEX(Models!$BJ220:$BT220,,T220+1)*R220-ERP_i)*Q220*Ramure*Pc/MaxiM</f>
        <v>6.8875395654510233E-5</v>
      </c>
      <c r="Q220" s="304">
        <f t="shared" si="80"/>
        <v>0.6</v>
      </c>
      <c r="R220" s="177">
        <f t="shared" si="81"/>
        <v>0.40619612071719846</v>
      </c>
      <c r="S220" s="799">
        <f t="shared" si="82"/>
        <v>-1</v>
      </c>
      <c r="T220" s="176">
        <f t="shared" si="83"/>
        <v>5</v>
      </c>
      <c r="U220" s="250">
        <f t="shared" si="84"/>
        <v>-0.59380387928280154</v>
      </c>
      <c r="V220" s="382">
        <f t="shared" si="85"/>
        <v>55.918924685032266</v>
      </c>
      <c r="W220" s="400">
        <f t="shared" si="86"/>
        <v>26.981650577246821</v>
      </c>
      <c r="X220" s="157">
        <f t="shared" si="87"/>
        <v>46593</v>
      </c>
      <c r="Y220" s="383">
        <f t="shared" si="88"/>
        <v>25.556565037180484</v>
      </c>
      <c r="Z220" s="383">
        <f t="shared" si="89"/>
        <v>27.127163629125029</v>
      </c>
      <c r="AA220" s="384">
        <f t="shared" si="90"/>
        <v>29.143463048212084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6.9185306349883235E-2</v>
      </c>
      <c r="AD220" s="230">
        <f>(INDEX(Models!$BJ220:$BT220,,AH220)*(1-AF220)+INDEX(Models!$BJ220:$BT220,,AH220+1)*AF220-ERP_i)*AE220*Ramure*Pc/MaxiM</f>
        <v>7.5231080681046919E-4</v>
      </c>
      <c r="AE220" s="304">
        <f t="shared" si="92"/>
        <v>0.6</v>
      </c>
      <c r="AF220" s="177">
        <f t="shared" si="93"/>
        <v>0.93118368709117716</v>
      </c>
      <c r="AG220" s="799">
        <f t="shared" si="99"/>
        <v>2</v>
      </c>
      <c r="AH220" s="176">
        <f t="shared" si="94"/>
        <v>8</v>
      </c>
      <c r="AI220" s="224">
        <f t="shared" si="95"/>
        <v>2.9311836870911772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'2026'!Wh/'2026'!Env_an*'2027'!Env_an</f>
        <v>57.216618636865597</v>
      </c>
      <c r="C221" s="829"/>
      <c r="D221" s="391">
        <f t="shared" si="77"/>
        <v>60.734074414651104</v>
      </c>
      <c r="E221" s="383">
        <f t="shared" si="75"/>
        <v>61.81944921074853</v>
      </c>
      <c r="F221" s="383">
        <f t="shared" si="78"/>
        <v>61.823821811123068</v>
      </c>
      <c r="G221" s="110">
        <f t="shared" si="76"/>
        <v>1.0253284376351128</v>
      </c>
      <c r="H221" s="412" t="b">
        <f>Wh_hp&gt;='2026'!Maxi_hp</f>
        <v>1</v>
      </c>
      <c r="I221" s="388">
        <f>IF(H221,Wh_hp,'2026'!Maxi_hp)</f>
        <v>61.823821811123068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5.7915689202254095E-2</v>
      </c>
      <c r="M221" s="832"/>
      <c r="N221" s="832"/>
      <c r="O221" s="48">
        <f>IF(t&lt;Tnet,'2026'!Resal+('2026'!Salim-'2026'!Resal)*(1-EXP(('2026'!Tnet-t)/('2026'!Tau_j))),Resal+(Salim-Resal)*(1-EXP((Tnet-t)/(Tau_j))))*Salcycl</f>
        <v>1.7557173510188925E-2</v>
      </c>
      <c r="P221" s="169">
        <f>(INDEX(Models!$BJ221:$BT221,,T221)*(1-R221)+INDEX(Models!$BJ221:$BT221,,T221+1)*R221-ERP_i)*Q221*Ramure*Pc/MaxiM</f>
        <v>7.0726788581503076E-5</v>
      </c>
      <c r="Q221" s="304">
        <f t="shared" si="80"/>
        <v>0.6</v>
      </c>
      <c r="R221" s="177">
        <f t="shared" si="81"/>
        <v>0.40857807749505737</v>
      </c>
      <c r="S221" s="799">
        <f t="shared" si="82"/>
        <v>-1</v>
      </c>
      <c r="T221" s="176">
        <f t="shared" si="83"/>
        <v>5</v>
      </c>
      <c r="U221" s="250">
        <f t="shared" si="84"/>
        <v>-0.59142192250494263</v>
      </c>
      <c r="V221" s="382">
        <f t="shared" si="85"/>
        <v>55.803210499880315</v>
      </c>
      <c r="W221" s="400">
        <f t="shared" si="86"/>
        <v>57.216618636865597</v>
      </c>
      <c r="X221" s="157">
        <f t="shared" si="87"/>
        <v>46594</v>
      </c>
      <c r="Y221" s="383">
        <f t="shared" si="88"/>
        <v>54.169231563112042</v>
      </c>
      <c r="Z221" s="383">
        <f t="shared" si="89"/>
        <v>57.49934580403125</v>
      </c>
      <c r="AA221" s="384">
        <f t="shared" si="90"/>
        <v>61.776341774842805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6.9233558477774362E-2</v>
      </c>
      <c r="AD221" s="230">
        <f>(INDEX(Models!$BJ221:$BT221,,AH221)*(1-AF221)+INDEX(Models!$BJ221:$BT221,,AH221+1)*AF221-ERP_i)*AE221*Ramure*Pc/MaxiM</f>
        <v>7.6798934277013341E-4</v>
      </c>
      <c r="AE221" s="304">
        <f t="shared" si="92"/>
        <v>0.6</v>
      </c>
      <c r="AF221" s="177">
        <f t="shared" si="93"/>
        <v>0.93356564386903607</v>
      </c>
      <c r="AG221" s="799">
        <f t="shared" si="99"/>
        <v>2</v>
      </c>
      <c r="AH221" s="176">
        <f t="shared" si="94"/>
        <v>8</v>
      </c>
      <c r="AI221" s="224">
        <f t="shared" si="95"/>
        <v>2.9335656438690361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'2026'!Wh/'2026'!Env_an*'2027'!Env_an</f>
        <v>57.254869103110096</v>
      </c>
      <c r="C222" s="829"/>
      <c r="D222" s="391">
        <f t="shared" si="77"/>
        <v>60.775841126321595</v>
      </c>
      <c r="E222" s="383">
        <f t="shared" si="75"/>
        <v>61.868302268124985</v>
      </c>
      <c r="F222" s="383">
        <f t="shared" si="78"/>
        <v>61.872791150508753</v>
      </c>
      <c r="G222" s="110">
        <f t="shared" si="76"/>
        <v>1.0281889115450082</v>
      </c>
      <c r="H222" s="412" t="b">
        <f>Wh_hp&gt;='2026'!Maxi_hp</f>
        <v>1</v>
      </c>
      <c r="I222" s="388">
        <f>IF(H222,Wh_hp,'2026'!Maxi_hp)</f>
        <v>61.872791150508753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5.793374403314655E-2</v>
      </c>
      <c r="M222" s="832"/>
      <c r="N222" s="832"/>
      <c r="O222" s="48">
        <f>IF(t&lt;Tnet,'2026'!Resal+('2026'!Salim-'2026'!Resal)*(1-EXP(('2026'!Tnet-t)/('2026'!Tau_j))),Resal+(Salim-Resal)*(1-EXP((Tnet-t)/(Tau_j))))*Salcycl</f>
        <v>1.7657849039866721E-2</v>
      </c>
      <c r="P222" s="169">
        <f>(INDEX(Models!$BJ222:$BT222,,T222)*(1-R222)+INDEX(Models!$BJ222:$BT222,,T222+1)*R222-ERP_i)*Q222*Ramure*Pc/MaxiM</f>
        <v>7.2550184019475332E-5</v>
      </c>
      <c r="Q222" s="304">
        <f t="shared" si="80"/>
        <v>0.6</v>
      </c>
      <c r="R222" s="177">
        <f t="shared" si="81"/>
        <v>0.41088891900002333</v>
      </c>
      <c r="S222" s="799">
        <f t="shared" si="82"/>
        <v>-1</v>
      </c>
      <c r="T222" s="176">
        <f t="shared" si="83"/>
        <v>5</v>
      </c>
      <c r="U222" s="250">
        <f t="shared" si="84"/>
        <v>-0.58911108099997667</v>
      </c>
      <c r="V222" s="382">
        <f t="shared" si="85"/>
        <v>55.685164914953269</v>
      </c>
      <c r="W222" s="400">
        <f t="shared" si="86"/>
        <v>57.254869103110096</v>
      </c>
      <c r="X222" s="157">
        <f t="shared" si="87"/>
        <v>46595</v>
      </c>
      <c r="Y222" s="383">
        <f t="shared" si="88"/>
        <v>54.207449936143391</v>
      </c>
      <c r="Z222" s="383">
        <f t="shared" si="89"/>
        <v>57.541016454845483</v>
      </c>
      <c r="AA222" s="384">
        <f t="shared" si="90"/>
        <v>61.824294661922586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6.9281473092408216E-2</v>
      </c>
      <c r="AD222" s="230">
        <f>(INDEX(Models!$BJ222:$BT222,,AH222)*(1-AF222)+INDEX(Models!$BJ222:$BT222,,AH222+1)*AF222-ERP_i)*AE222*Ramure*Pc/MaxiM</f>
        <v>7.8380961460426733E-4</v>
      </c>
      <c r="AE222" s="304">
        <f t="shared" si="92"/>
        <v>0.6</v>
      </c>
      <c r="AF222" s="177">
        <f t="shared" si="93"/>
        <v>0.93587648537400181</v>
      </c>
      <c r="AG222" s="799">
        <f t="shared" si="99"/>
        <v>2</v>
      </c>
      <c r="AH222" s="176">
        <f t="shared" si="94"/>
        <v>8</v>
      </c>
      <c r="AI222" s="224">
        <f t="shared" si="95"/>
        <v>2.9358764853740018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'2026'!Wh/'2026'!Env_an*'2027'!Env_an</f>
        <v>44.639576727772507</v>
      </c>
      <c r="C223" s="829"/>
      <c r="D223" s="391">
        <f t="shared" si="77"/>
        <v>47.385661007099223</v>
      </c>
      <c r="E223" s="383">
        <f t="shared" si="75"/>
        <v>48.242365991167773</v>
      </c>
      <c r="F223" s="383">
        <f t="shared" si="78"/>
        <v>48.244945290229815</v>
      </c>
      <c r="G223" s="110">
        <f t="shared" si="76"/>
        <v>0.80336208716293556</v>
      </c>
      <c r="H223" s="412" t="b">
        <f>Wh_hp&gt;='2026'!Maxi_hp</f>
        <v>0</v>
      </c>
      <c r="I223" s="388">
        <f>IF(H223,Wh_hp,'2026'!Maxi_hp)</f>
        <v>56.218409152668862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5.7951798518022235E-2</v>
      </c>
      <c r="M223" s="832"/>
      <c r="N223" s="832"/>
      <c r="O223" s="48">
        <f>IF(t&lt;Tnet,'2026'!Resal+('2026'!Salim-'2026'!Resal)*(1-EXP(('2026'!Tnet-t)/('2026'!Tau_j))),Resal+(Salim-Resal)*(1-EXP((Tnet-t)/(Tau_j))))*Salcycl</f>
        <v>1.7758353398865109E-2</v>
      </c>
      <c r="P223" s="169">
        <f>(INDEX(Models!$BJ223:$BT223,,T223)*(1-R223)+INDEX(Models!$BJ223:$BT223,,T223+1)*R223-ERP_i)*Q223*Ramure*Pc/MaxiM</f>
        <v>7.4345201868417484E-5</v>
      </c>
      <c r="Q223" s="304">
        <f t="shared" si="80"/>
        <v>0.6</v>
      </c>
      <c r="R223" s="177">
        <f t="shared" si="81"/>
        <v>0.41312991838660484</v>
      </c>
      <c r="S223" s="799">
        <f t="shared" si="82"/>
        <v>-1</v>
      </c>
      <c r="T223" s="176">
        <f t="shared" si="83"/>
        <v>5</v>
      </c>
      <c r="U223" s="250">
        <f t="shared" si="84"/>
        <v>-0.58687008161339516</v>
      </c>
      <c r="V223" s="382">
        <f t="shared" si="85"/>
        <v>55.564788530164392</v>
      </c>
      <c r="W223" s="400">
        <f t="shared" si="86"/>
        <v>44.639576727772507</v>
      </c>
      <c r="X223" s="157">
        <f t="shared" si="87"/>
        <v>46596</v>
      </c>
      <c r="Y223" s="383">
        <f t="shared" si="88"/>
        <v>42.273795756834112</v>
      </c>
      <c r="Z223" s="383">
        <f t="shared" si="89"/>
        <v>44.874344741947738</v>
      </c>
      <c r="AA223" s="384">
        <f t="shared" si="90"/>
        <v>48.217198244218103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6.9329069792461923E-2</v>
      </c>
      <c r="AD223" s="230">
        <f>(INDEX(Models!$BJ223:$BT223,,AH223)*(1-AF223)+INDEX(Models!$BJ223:$BT223,,AH223+1)*AF223-ERP_i)*AE223*Ramure*Pc/MaxiM</f>
        <v>7.9977532165546449E-4</v>
      </c>
      <c r="AE223" s="304">
        <f t="shared" si="92"/>
        <v>0.6</v>
      </c>
      <c r="AF223" s="177">
        <f t="shared" si="93"/>
        <v>0.93811748476058332</v>
      </c>
      <c r="AG223" s="799">
        <f t="shared" si="99"/>
        <v>2</v>
      </c>
      <c r="AH223" s="176">
        <f t="shared" si="94"/>
        <v>8</v>
      </c>
      <c r="AI223" s="224">
        <f t="shared" si="95"/>
        <v>2.9381174847605833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'2026'!Wh/'2026'!Env_an*'2027'!Env_an</f>
        <v>31.882598766529579</v>
      </c>
      <c r="C224" s="829"/>
      <c r="D224" s="391">
        <f t="shared" si="77"/>
        <v>33.844563102837832</v>
      </c>
      <c r="E224" s="383">
        <f t="shared" si="75"/>
        <v>34.459973088840208</v>
      </c>
      <c r="F224" s="383">
        <f t="shared" si="78"/>
        <v>34.461003735157867</v>
      </c>
      <c r="G224" s="110">
        <f t="shared" si="76"/>
        <v>0.57503478394500052</v>
      </c>
      <c r="H224" s="412" t="b">
        <f>Wh_hp&gt;='2026'!Maxi_hp</f>
        <v>0</v>
      </c>
      <c r="I224" s="388">
        <f>IF(H224,Wh_hp,'2026'!Maxi_hp)</f>
        <v>59.204840320642759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5.7969852656887921E-2</v>
      </c>
      <c r="M224" s="832"/>
      <c r="N224" s="832"/>
      <c r="O224" s="48">
        <f>IF(t&lt;Tnet,'2026'!Resal+('2026'!Salim-'2026'!Resal)*(1-EXP(('2026'!Tnet-t)/('2026'!Tau_j))),Resal+(Salim-Resal)*(1-EXP((Tnet-t)/(Tau_j))))*Salcycl</f>
        <v>1.7858690266989132E-2</v>
      </c>
      <c r="P224" s="169">
        <f>(INDEX(Models!$BJ224:$BT224,,T224)*(1-R224)+INDEX(Models!$BJ224:$BT224,,T224+1)*R224-ERP_i)*Q224*Ramure*Pc/MaxiM</f>
        <v>7.6111484973805408E-5</v>
      </c>
      <c r="Q224" s="304">
        <f t="shared" si="80"/>
        <v>0.6</v>
      </c>
      <c r="R224" s="177">
        <f t="shared" si="81"/>
        <v>0.41530238739063818</v>
      </c>
      <c r="S224" s="799">
        <f t="shared" si="82"/>
        <v>-1</v>
      </c>
      <c r="T224" s="176">
        <f t="shared" si="83"/>
        <v>5</v>
      </c>
      <c r="U224" s="250">
        <f t="shared" si="84"/>
        <v>-0.58469761260936182</v>
      </c>
      <c r="V224" s="382">
        <f t="shared" si="85"/>
        <v>55.442081962761449</v>
      </c>
      <c r="W224" s="400">
        <f t="shared" si="86"/>
        <v>31.882598766529579</v>
      </c>
      <c r="X224" s="157">
        <f t="shared" si="87"/>
        <v>46597</v>
      </c>
      <c r="Y224" s="383">
        <f t="shared" si="88"/>
        <v>30.201432641910106</v>
      </c>
      <c r="Z224" s="383">
        <f t="shared" si="89"/>
        <v>32.059942802350626</v>
      </c>
      <c r="AA224" s="384">
        <f t="shared" si="90"/>
        <v>34.449955544610653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6.9376366514177307E-2</v>
      </c>
      <c r="AD224" s="230">
        <f>(INDEX(Models!$BJ224:$BT224,,AH224)*(1-AF224)+INDEX(Models!$BJ224:$BT224,,AH224+1)*AF224-ERP_i)*AE224*Ramure*Pc/MaxiM</f>
        <v>8.1589015980928061E-4</v>
      </c>
      <c r="AE224" s="304">
        <f t="shared" si="92"/>
        <v>0.6</v>
      </c>
      <c r="AF224" s="177">
        <f t="shared" si="93"/>
        <v>0.94028995376461699</v>
      </c>
      <c r="AG224" s="799">
        <f t="shared" si="99"/>
        <v>2</v>
      </c>
      <c r="AH224" s="176">
        <f t="shared" si="94"/>
        <v>8</v>
      </c>
      <c r="AI224" s="224">
        <f t="shared" si="95"/>
        <v>2.940289953764617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'2026'!Wh/'2026'!Env_an*'2027'!Env_an</f>
        <v>49.30999729951246</v>
      </c>
      <c r="C225" s="829"/>
      <c r="D225" s="391">
        <f t="shared" si="77"/>
        <v>52.345397301294959</v>
      </c>
      <c r="E225" s="383">
        <f t="shared" si="75"/>
        <v>53.302652331281379</v>
      </c>
      <c r="F225" s="383">
        <f t="shared" si="78"/>
        <v>53.306158373037228</v>
      </c>
      <c r="G225" s="110">
        <f t="shared" si="76"/>
        <v>0.89139615094029312</v>
      </c>
      <c r="H225" s="412" t="b">
        <f>Wh_hp&gt;='2026'!Maxi_hp</f>
        <v>0</v>
      </c>
      <c r="I225" s="388">
        <f>IF(H225,Wh_hp,'2026'!Maxi_hp)</f>
        <v>53.306581898235017</v>
      </c>
      <c r="J225" s="85">
        <f>IF(H225,An,'2026'!An_max)</f>
        <v>2026</v>
      </c>
      <c r="K225" s="197">
        <f t="shared" si="79"/>
        <v>46598</v>
      </c>
      <c r="L225" s="147">
        <f>IF(t&lt;Tvie,1-EXP((T0-t)*PertePVj)+'2026'!Pspv,1-EXP((T0-t)*PertePVj)+Pspv)</f>
        <v>5.798790644975016E-2</v>
      </c>
      <c r="M225" s="832"/>
      <c r="N225" s="832"/>
      <c r="O225" s="48">
        <f>IF(t&lt;Tnet,'2026'!Resal+('2026'!Salim-'2026'!Resal)*(1-EXP(('2026'!Tnet-t)/('2026'!Tau_j))),Resal+(Salim-Resal)*(1-EXP((Tnet-t)/(Tau_j))))*Salcycl</f>
        <v>1.7958862985597488E-2</v>
      </c>
      <c r="P225" s="169">
        <f>(INDEX(Models!$BJ225:$BT225,,T225)*(1-R225)+INDEX(Models!$BJ225:$BT225,,T225+1)*R225-ERP_i)*Q225*Ramure*Pc/MaxiM</f>
        <v>7.7848695426495704E-5</v>
      </c>
      <c r="Q225" s="304">
        <f t="shared" si="80"/>
        <v>0.6</v>
      </c>
      <c r="R225" s="177">
        <f t="shared" si="81"/>
        <v>0.41740767093752063</v>
      </c>
      <c r="S225" s="799">
        <f t="shared" si="82"/>
        <v>-1</v>
      </c>
      <c r="T225" s="176">
        <f t="shared" si="83"/>
        <v>5</v>
      </c>
      <c r="U225" s="250">
        <f t="shared" si="84"/>
        <v>-0.58259232906247937</v>
      </c>
      <c r="V225" s="382">
        <f t="shared" si="85"/>
        <v>55.317045845926991</v>
      </c>
      <c r="W225" s="400">
        <f t="shared" si="86"/>
        <v>49.30999729951246</v>
      </c>
      <c r="X225" s="157">
        <f t="shared" si="87"/>
        <v>46598</v>
      </c>
      <c r="Y225" s="383">
        <f t="shared" si="88"/>
        <v>46.696094283180351</v>
      </c>
      <c r="Z225" s="383">
        <f t="shared" si="89"/>
        <v>49.570588958356552</v>
      </c>
      <c r="AA225" s="384">
        <f t="shared" si="90"/>
        <v>53.268680801986314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6.9423379515939951E-2</v>
      </c>
      <c r="AD225" s="230">
        <f>(INDEX(Models!$BJ225:$BT225,,AH225)*(1-AF225)+INDEX(Models!$BJ225:$BT225,,AH225+1)*AF225-ERP_i)*AE225*Ramure*Pc/MaxiM</f>
        <v>8.3215780565092893E-4</v>
      </c>
      <c r="AE225" s="304">
        <f t="shared" si="92"/>
        <v>0.6</v>
      </c>
      <c r="AF225" s="177">
        <f t="shared" si="93"/>
        <v>0.94239523731149921</v>
      </c>
      <c r="AG225" s="799">
        <f t="shared" si="99"/>
        <v>2</v>
      </c>
      <c r="AH225" s="176">
        <f t="shared" si="94"/>
        <v>8</v>
      </c>
      <c r="AI225" s="224">
        <f t="shared" si="95"/>
        <v>2.9423952373114992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'2026'!Wh/'2026'!Env_an*'2027'!Env_an</f>
        <v>54.74963806585329</v>
      </c>
      <c r="C226" s="829"/>
      <c r="D226" s="391">
        <f t="shared" si="77"/>
        <v>58.121002612547827</v>
      </c>
      <c r="E226" s="383">
        <f t="shared" si="75"/>
        <v>59.189905693845112</v>
      </c>
      <c r="F226" s="383">
        <f t="shared" si="78"/>
        <v>59.194564756758446</v>
      </c>
      <c r="G226" s="110">
        <f t="shared" si="76"/>
        <v>0.99202587804505071</v>
      </c>
      <c r="H226" s="412" t="b">
        <f>Wh_hp&gt;='2026'!Maxi_hp</f>
        <v>0</v>
      </c>
      <c r="I226" s="388">
        <f>IF(H226,Wh_hp,'2026'!Maxi_hp)</f>
        <v>59.194600004868803</v>
      </c>
      <c r="J226" s="85">
        <f>IF(H226,An,'2026'!An_max)</f>
        <v>2026</v>
      </c>
      <c r="K226" s="197">
        <f t="shared" si="79"/>
        <v>46599</v>
      </c>
      <c r="L226" s="147">
        <f>IF(t&lt;Tvie,1-EXP((T0-t)*PertePVj)+'2026'!Pspv,1-EXP((T0-t)*PertePVj)+Pspv)</f>
        <v>5.80059598966155E-2</v>
      </c>
      <c r="M226" s="832"/>
      <c r="N226" s="832"/>
      <c r="O226" s="48">
        <f>IF(t&lt;Tnet,'2026'!Resal+('2026'!Salim-'2026'!Resal)*(1-EXP(('2026'!Tnet-t)/('2026'!Tau_j))),Resal+(Salim-Resal)*(1-EXP((Tnet-t)/(Tau_j))))*Salcycl</f>
        <v>1.805887454570539E-2</v>
      </c>
      <c r="P226" s="169">
        <f>(INDEX(Models!$BJ226:$BT226,,T226)*(1-R226)+INDEX(Models!$BJ226:$BT226,,T226+1)*R226-ERP_i)*Q226*Ramure*Pc/MaxiM</f>
        <v>7.9614447150950558E-5</v>
      </c>
      <c r="Q226" s="304">
        <f t="shared" si="80"/>
        <v>0.6</v>
      </c>
      <c r="R226" s="177">
        <f t="shared" si="81"/>
        <v>0.41944714200299371</v>
      </c>
      <c r="S226" s="799">
        <f t="shared" si="82"/>
        <v>-1</v>
      </c>
      <c r="T226" s="176">
        <f t="shared" si="83"/>
        <v>5</v>
      </c>
      <c r="U226" s="250">
        <f t="shared" si="84"/>
        <v>-0.58055285799700629</v>
      </c>
      <c r="V226" s="382">
        <f t="shared" si="85"/>
        <v>55.189677633222693</v>
      </c>
      <c r="W226" s="400">
        <f t="shared" si="86"/>
        <v>54.74963806585329</v>
      </c>
      <c r="X226" s="157">
        <f t="shared" si="87"/>
        <v>46599</v>
      </c>
      <c r="Y226" s="383">
        <f t="shared" si="88"/>
        <v>51.843651035626067</v>
      </c>
      <c r="Z226" s="383">
        <f t="shared" si="89"/>
        <v>55.036071172951573</v>
      </c>
      <c r="AA226" s="384">
        <f t="shared" si="90"/>
        <v>59.144872782159055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6.9470123375544715E-2</v>
      </c>
      <c r="AD226" s="230">
        <f>(INDEX(Models!$BJ226:$BT226,,AH226)*(1-AF226)+INDEX(Models!$BJ226:$BT226,,AH226+1)*AF226-ERP_i)*AE226*Ramure*Pc/MaxiM</f>
        <v>8.4914051584236098E-4</v>
      </c>
      <c r="AE226" s="304">
        <f t="shared" si="92"/>
        <v>0.6</v>
      </c>
      <c r="AF226" s="177">
        <f t="shared" si="93"/>
        <v>0.94443470837697241</v>
      </c>
      <c r="AG226" s="799">
        <f t="shared" si="99"/>
        <v>2</v>
      </c>
      <c r="AH226" s="176">
        <f t="shared" si="94"/>
        <v>8</v>
      </c>
      <c r="AI226" s="224">
        <f t="shared" si="95"/>
        <v>2.9444347083769724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'2026'!Wh/'2026'!Env_an*'2027'!Env_an</f>
        <v>54.377838395146355</v>
      </c>
      <c r="C227" s="829"/>
      <c r="D227" s="391">
        <f t="shared" si="77"/>
        <v>57.727414653301032</v>
      </c>
      <c r="E227" s="383">
        <f t="shared" si="75"/>
        <v>58.795058096280393</v>
      </c>
      <c r="F227" s="383">
        <f t="shared" si="78"/>
        <v>58.799761520914458</v>
      </c>
      <c r="G227" s="110">
        <f t="shared" si="76"/>
        <v>0.9876095713678289</v>
      </c>
      <c r="H227" s="412" t="b">
        <f>Wh_hp&gt;='2026'!Maxi_hp</f>
        <v>0</v>
      </c>
      <c r="I227" s="388">
        <f>IF(H227,Wh_hp,'2026'!Maxi_hp)</f>
        <v>58.799817068025227</v>
      </c>
      <c r="J227" s="85">
        <f>IF(H227,An,'2026'!An_max)</f>
        <v>2026</v>
      </c>
      <c r="K227" s="197">
        <f t="shared" si="79"/>
        <v>46600</v>
      </c>
      <c r="L227" s="147">
        <f>IF(t&lt;Tvie,1-EXP((T0-t)*PertePVj)+'2026'!Pspv,1-EXP((T0-t)*PertePVj)+Pspv)</f>
        <v>5.8024012997490715E-2</v>
      </c>
      <c r="M227" s="832"/>
      <c r="N227" s="832"/>
      <c r="O227" s="48">
        <f>IF(t&lt;Tnet,'2026'!Resal+('2026'!Salim-'2026'!Resal)*(1-EXP(('2026'!Tnet-t)/('2026'!Tau_j))),Resal+(Salim-Resal)*(1-EXP((Tnet-t)/(Tau_j))))*Salcycl</f>
        <v>1.8158727579298067E-2</v>
      </c>
      <c r="P227" s="169">
        <f>(INDEX(Models!$BJ227:$BT227,,T227)*(1-R227)+INDEX(Models!$BJ227:$BT227,,T227+1)*R227-ERP_i)*Q227*Ramure*Pc/MaxiM</f>
        <v>8.1431765810485298E-5</v>
      </c>
      <c r="Q227" s="304">
        <f t="shared" si="80"/>
        <v>0.6</v>
      </c>
      <c r="R227" s="177">
        <f t="shared" si="81"/>
        <v>0.42142219673166292</v>
      </c>
      <c r="S227" s="799">
        <f t="shared" si="82"/>
        <v>-1</v>
      </c>
      <c r="T227" s="176">
        <f t="shared" si="83"/>
        <v>5</v>
      </c>
      <c r="U227" s="250">
        <f t="shared" si="84"/>
        <v>-0.57857780326833708</v>
      </c>
      <c r="V227" s="382">
        <f t="shared" si="85"/>
        <v>55.059976730259287</v>
      </c>
      <c r="W227" s="400">
        <f t="shared" si="86"/>
        <v>54.377838395146355</v>
      </c>
      <c r="X227" s="157">
        <f t="shared" si="87"/>
        <v>46600</v>
      </c>
      <c r="Y227" s="383">
        <f t="shared" si="88"/>
        <v>51.493698104685777</v>
      </c>
      <c r="Z227" s="383">
        <f t="shared" si="89"/>
        <v>54.66561654989259</v>
      </c>
      <c r="AA227" s="384">
        <f t="shared" si="90"/>
        <v>58.749696336454164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6.9516610999526246E-2</v>
      </c>
      <c r="AD227" s="230">
        <f>(INDEX(Models!$BJ227:$BT227,,AH227)*(1-AF227)+INDEX(Models!$BJ227:$BT227,,AH227+1)*AF227-ERP_i)*AE227*Ramure*Pc/MaxiM</f>
        <v>8.6679317591383833E-4</v>
      </c>
      <c r="AE227" s="304">
        <f t="shared" si="92"/>
        <v>0.6</v>
      </c>
      <c r="AF227" s="177">
        <f t="shared" si="93"/>
        <v>0.94640976310564184</v>
      </c>
      <c r="AG227" s="799">
        <f t="shared" si="99"/>
        <v>2</v>
      </c>
      <c r="AH227" s="176">
        <f t="shared" si="94"/>
        <v>8</v>
      </c>
      <c r="AI227" s="224">
        <f t="shared" si="95"/>
        <v>2.9464097631056418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'2026'!Wh/'2026'!Env_an*'2027'!Env_an</f>
        <v>54.365939877349163</v>
      </c>
      <c r="C228" s="829"/>
      <c r="D228" s="391">
        <f t="shared" si="77"/>
        <v>57.715889320231248</v>
      </c>
      <c r="E228" s="383">
        <f t="shared" si="75"/>
        <v>58.789289108225674</v>
      </c>
      <c r="F228" s="383">
        <f t="shared" si="78"/>
        <v>58.794115154811912</v>
      </c>
      <c r="G228" s="110">
        <f t="shared" si="76"/>
        <v>0.98976713703253427</v>
      </c>
      <c r="H228" s="412" t="b">
        <f>Wh_hp&gt;='2026'!Maxi_hp</f>
        <v>0</v>
      </c>
      <c r="I228" s="388">
        <f>IF(H228,Wh_hp,'2026'!Maxi_hp)</f>
        <v>58.794161999837499</v>
      </c>
      <c r="J228" s="85">
        <f>IF(H228,An,'2026'!An_max)</f>
        <v>2026</v>
      </c>
      <c r="K228" s="197">
        <f t="shared" si="79"/>
        <v>46601</v>
      </c>
      <c r="L228" s="147">
        <f>IF(t&lt;Tvie,1-EXP((T0-t)*PertePVj)+'2026'!Pspv,1-EXP((T0-t)*PertePVj)+Pspv)</f>
        <v>5.8042065752382355E-2</v>
      </c>
      <c r="M228" s="832"/>
      <c r="N228" s="832"/>
      <c r="O228" s="48">
        <f>IF(t&lt;Tnet,'2026'!Resal+('2026'!Salim-'2026'!Resal)*(1-EXP(('2026'!Tnet-t)/('2026'!Tau_j))),Resal+(Salim-Resal)*(1-EXP((Tnet-t)/(Tau_j))))*Salcycl</f>
        <v>1.8258424353769606E-2</v>
      </c>
      <c r="P228" s="169">
        <f>(INDEX(Models!$BJ228:$BT228,,T228)*(1-R228)+INDEX(Models!$BJ228:$BT228,,T228+1)*R228-ERP_i)*Q228*Ramure*Pc/MaxiM</f>
        <v>8.33014254689391E-5</v>
      </c>
      <c r="Q228" s="304">
        <f t="shared" si="80"/>
        <v>0.6</v>
      </c>
      <c r="R228" s="177">
        <f t="shared" si="81"/>
        <v>0.42333424981629975</v>
      </c>
      <c r="S228" s="799">
        <f t="shared" si="82"/>
        <v>-1</v>
      </c>
      <c r="T228" s="176">
        <f t="shared" si="83"/>
        <v>5</v>
      </c>
      <c r="U228" s="250">
        <f t="shared" si="84"/>
        <v>-0.57666575018370025</v>
      </c>
      <c r="V228" s="382">
        <f t="shared" si="85"/>
        <v>54.927943798568776</v>
      </c>
      <c r="W228" s="400">
        <f t="shared" si="86"/>
        <v>54.365939877349163</v>
      </c>
      <c r="X228" s="157">
        <f t="shared" si="87"/>
        <v>46601</v>
      </c>
      <c r="Y228" s="383">
        <f t="shared" si="88"/>
        <v>51.484139365085646</v>
      </c>
      <c r="Z228" s="383">
        <f t="shared" si="89"/>
        <v>54.656516488932432</v>
      </c>
      <c r="AA228" s="384">
        <f t="shared" si="90"/>
        <v>58.74283577668961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6.9562853643826181E-2</v>
      </c>
      <c r="AD228" s="230">
        <f>(INDEX(Models!$BJ228:$BT228,,AH228)*(1-AF228)+INDEX(Models!$BJ228:$BT228,,AH228+1)*AF228-ERP_i)*AE228*Ramure*Pc/MaxiM</f>
        <v>8.8512309577132525E-4</v>
      </c>
      <c r="AE228" s="304">
        <f t="shared" si="92"/>
        <v>0.6</v>
      </c>
      <c r="AF228" s="177">
        <f t="shared" si="93"/>
        <v>0.94832181619027844</v>
      </c>
      <c r="AG228" s="799">
        <f t="shared" si="99"/>
        <v>2</v>
      </c>
      <c r="AH228" s="176">
        <f t="shared" si="94"/>
        <v>8</v>
      </c>
      <c r="AI228" s="224">
        <f t="shared" si="95"/>
        <v>2.9483218161902784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'2026'!Wh/'2026'!Env_an*'2027'!Env_an</f>
        <v>51.338879362347576</v>
      </c>
      <c r="C229" s="829"/>
      <c r="D229" s="391">
        <f t="shared" si="77"/>
        <v>54.503350322243612</v>
      </c>
      <c r="E229" s="383">
        <f t="shared" si="75"/>
        <v>55.522632973315588</v>
      </c>
      <c r="F229" s="383">
        <f t="shared" si="78"/>
        <v>55.526938976624152</v>
      </c>
      <c r="G229" s="110">
        <f t="shared" si="76"/>
        <v>0.93694344657750583</v>
      </c>
      <c r="H229" s="412" t="b">
        <f>Wh_hp&gt;='2026'!Maxi_hp</f>
        <v>0</v>
      </c>
      <c r="I229" s="388">
        <f>IF(H229,Wh_hp,'2026'!Maxi_hp)</f>
        <v>56.932913500318811</v>
      </c>
      <c r="J229" s="85">
        <f>IF(H229,An,'2026'!An_max)</f>
        <v>2018</v>
      </c>
      <c r="K229" s="197">
        <f t="shared" si="79"/>
        <v>46602</v>
      </c>
      <c r="L229" s="147">
        <f>IF(t&lt;Tvie,1-EXP((T0-t)*PertePVj)+'2026'!Pspv,1-EXP((T0-t)*PertePVj)+Pspv)</f>
        <v>5.8060118161297081E-2</v>
      </c>
      <c r="M229" s="832"/>
      <c r="N229" s="832"/>
      <c r="O229" s="48">
        <f>IF(t&lt;Tnet,'2026'!Resal+('2026'!Salim-'2026'!Resal)*(1-EXP(('2026'!Tnet-t)/('2026'!Tau_j))),Resal+(Salim-Resal)*(1-EXP((Tnet-t)/(Tau_j))))*Salcycl</f>
        <v>1.8357966769368475E-2</v>
      </c>
      <c r="P229" s="169">
        <f>(INDEX(Models!$BJ229:$BT229,,T229)*(1-R229)+INDEX(Models!$BJ229:$BT229,,T229+1)*R229-ERP_i)*Q229*Ramure*Pc/MaxiM</f>
        <v>8.5224191221551447E-5</v>
      </c>
      <c r="Q229" s="304">
        <f t="shared" si="80"/>
        <v>0.6</v>
      </c>
      <c r="R229" s="177">
        <f t="shared" si="81"/>
        <v>0.42518473013902269</v>
      </c>
      <c r="S229" s="799">
        <f t="shared" si="82"/>
        <v>-1</v>
      </c>
      <c r="T229" s="176">
        <f t="shared" si="83"/>
        <v>5</v>
      </c>
      <c r="U229" s="250">
        <f t="shared" si="84"/>
        <v>-0.57481526986097731</v>
      </c>
      <c r="V229" s="382">
        <f t="shared" si="85"/>
        <v>54.793579519112413</v>
      </c>
      <c r="W229" s="400">
        <f t="shared" si="86"/>
        <v>51.338879362347576</v>
      </c>
      <c r="X229" s="157">
        <f t="shared" si="87"/>
        <v>46602</v>
      </c>
      <c r="Y229" s="383">
        <f t="shared" si="88"/>
        <v>48.622248884695743</v>
      </c>
      <c r="Z229" s="383">
        <f t="shared" si="89"/>
        <v>51.619269787986084</v>
      </c>
      <c r="AA229" s="384">
        <f t="shared" si="90"/>
        <v>55.481256883437602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6.9608860944972789E-2</v>
      </c>
      <c r="AD229" s="230">
        <f>(INDEX(Models!$BJ229:$BT229,,AH229)*(1-AF229)+INDEX(Models!$BJ229:$BT229,,AH229+1)*AF229-ERP_i)*AE229*Ramure*Pc/MaxiM</f>
        <v>9.0413758795557827E-4</v>
      </c>
      <c r="AE229" s="304">
        <f t="shared" si="92"/>
        <v>0.6</v>
      </c>
      <c r="AF229" s="177">
        <f t="shared" si="93"/>
        <v>0.9501722965130015</v>
      </c>
      <c r="AG229" s="799">
        <f t="shared" si="99"/>
        <v>2</v>
      </c>
      <c r="AH229" s="176">
        <f t="shared" si="94"/>
        <v>8</v>
      </c>
      <c r="AI229" s="224">
        <f t="shared" si="95"/>
        <v>2.9501722965130015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'2026'!Wh/'2026'!Env_an*'2027'!Env_an</f>
        <v>50.577320584476396</v>
      </c>
      <c r="C230" s="829"/>
      <c r="D230" s="391">
        <f t="shared" si="77"/>
        <v>53.695878984477133</v>
      </c>
      <c r="E230" s="383">
        <f t="shared" si="75"/>
        <v>54.705599733620637</v>
      </c>
      <c r="F230" s="383">
        <f t="shared" si="78"/>
        <v>54.709861783903634</v>
      </c>
      <c r="G230" s="110">
        <f t="shared" si="76"/>
        <v>0.92535186836747096</v>
      </c>
      <c r="H230" s="412" t="b">
        <f>Wh_hp&gt;='2026'!Maxi_hp</f>
        <v>0</v>
      </c>
      <c r="I230" s="388">
        <f>IF(H230,Wh_hp,'2026'!Maxi_hp)</f>
        <v>54.710193659523242</v>
      </c>
      <c r="J230" s="85">
        <f>IF(H230,An,'2026'!An_max)</f>
        <v>2026</v>
      </c>
      <c r="K230" s="197">
        <f t="shared" si="79"/>
        <v>46603</v>
      </c>
      <c r="L230" s="147">
        <f>IF(t&lt;Tvie,1-EXP((T0-t)*PertePVj)+'2026'!Pspv,1-EXP((T0-t)*PertePVj)+Pspv)</f>
        <v>5.8078170224241554E-2</v>
      </c>
      <c r="M230" s="832"/>
      <c r="N230" s="832"/>
      <c r="O230" s="48">
        <f>IF(t&lt;Tnet,'2026'!Resal+('2026'!Salim-'2026'!Resal)*(1-EXP(('2026'!Tnet-t)/('2026'!Tau_j))),Resal+(Salim-Resal)*(1-EXP((Tnet-t)/(Tau_j))))*Salcycl</f>
        <v>1.845735635949821E-2</v>
      </c>
      <c r="P230" s="169">
        <f>(INDEX(Models!$BJ230:$BT230,,T230)*(1-R230)+INDEX(Models!$BJ230:$BT230,,T230+1)*R230-ERP_i)*Q230*Ramure*Pc/MaxiM</f>
        <v>8.7200819035897567E-5</v>
      </c>
      <c r="Q230" s="304">
        <f t="shared" si="80"/>
        <v>0.6</v>
      </c>
      <c r="R230" s="177">
        <f t="shared" si="81"/>
        <v>0.42697507667369949</v>
      </c>
      <c r="S230" s="799">
        <f t="shared" si="82"/>
        <v>-1</v>
      </c>
      <c r="T230" s="176">
        <f t="shared" si="83"/>
        <v>5</v>
      </c>
      <c r="U230" s="250">
        <f t="shared" si="84"/>
        <v>-0.57302492332630051</v>
      </c>
      <c r="V230" s="382">
        <f t="shared" si="85"/>
        <v>54.65688459366914</v>
      </c>
      <c r="W230" s="400">
        <f t="shared" si="86"/>
        <v>50.577320584476396</v>
      </c>
      <c r="X230" s="157">
        <f t="shared" si="87"/>
        <v>46603</v>
      </c>
      <c r="Y230" s="383">
        <f t="shared" si="88"/>
        <v>47.903372328687226</v>
      </c>
      <c r="Z230" s="383">
        <f t="shared" si="89"/>
        <v>50.857057151007417</v>
      </c>
      <c r="AA230" s="384">
        <f t="shared" si="90"/>
        <v>54.664707742007359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6.9654640960861408E-2</v>
      </c>
      <c r="AD230" s="230">
        <f>(INDEX(Models!$BJ230:$BT230,,AH230)*(1-AF230)+INDEX(Models!$BJ230:$BT230,,AH230+1)*AF230-ERP_i)*AE230*Ramure*Pc/MaxiM</f>
        <v>9.2384396585897053E-4</v>
      </c>
      <c r="AE230" s="304">
        <f t="shared" si="92"/>
        <v>0.6</v>
      </c>
      <c r="AF230" s="177">
        <f t="shared" si="93"/>
        <v>0.95196264304767819</v>
      </c>
      <c r="AG230" s="799">
        <f t="shared" si="99"/>
        <v>2</v>
      </c>
      <c r="AH230" s="176">
        <f t="shared" si="94"/>
        <v>8</v>
      </c>
      <c r="AI230" s="224">
        <f t="shared" si="95"/>
        <v>2.9519626430476782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'2026'!Wh/'2026'!Env_an*'2027'!Env_an</f>
        <v>45.930354611859968</v>
      </c>
      <c r="C231" s="829"/>
      <c r="D231" s="391">
        <f t="shared" si="77"/>
        <v>48.763319228340301</v>
      </c>
      <c r="E231" s="383">
        <f t="shared" si="75"/>
        <v>49.685309356424057</v>
      </c>
      <c r="F231" s="383">
        <f t="shared" si="78"/>
        <v>49.688745464350021</v>
      </c>
      <c r="G231" s="110">
        <f t="shared" si="76"/>
        <v>0.84246579941573074</v>
      </c>
      <c r="H231" s="412" t="b">
        <f>Wh_hp&gt;='2026'!Maxi_hp</f>
        <v>0</v>
      </c>
      <c r="I231" s="388">
        <f>IF(H231,Wh_hp,'2026'!Maxi_hp)</f>
        <v>57.498472641811972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5.8096221941222326E-2</v>
      </c>
      <c r="M231" s="832"/>
      <c r="N231" s="832"/>
      <c r="O231" s="48">
        <f>IF(t&lt;Tnet,'2026'!Resal+('2026'!Salim-'2026'!Resal)*(1-EXP(('2026'!Tnet-t)/('2026'!Tau_j))),Resal+(Salim-Resal)*(1-EXP((Tnet-t)/(Tau_j))))*Salcycl</f>
        <v>1.8556594293692288E-2</v>
      </c>
      <c r="P231" s="169">
        <f>(INDEX(Models!$BJ231:$BT231,,T231)*(1-R231)+INDEX(Models!$BJ231:$BT231,,T231+1)*R231-ERP_i)*Q231*Ramure*Pc/MaxiM</f>
        <v>8.9232055609086836E-5</v>
      </c>
      <c r="Q231" s="304">
        <f t="shared" si="80"/>
        <v>0.6</v>
      </c>
      <c r="R231" s="177">
        <f t="shared" si="81"/>
        <v>0.42870673464734188</v>
      </c>
      <c r="S231" s="799">
        <f t="shared" si="82"/>
        <v>-1</v>
      </c>
      <c r="T231" s="176">
        <f t="shared" si="83"/>
        <v>5</v>
      </c>
      <c r="U231" s="250">
        <f t="shared" si="84"/>
        <v>-0.57129326535265812</v>
      </c>
      <c r="V231" s="382">
        <f t="shared" si="85"/>
        <v>54.517859746059607</v>
      </c>
      <c r="W231" s="400">
        <f t="shared" si="86"/>
        <v>45.930354611859968</v>
      </c>
      <c r="X231" s="157">
        <f t="shared" si="87"/>
        <v>46604</v>
      </c>
      <c r="Y231" s="383">
        <f t="shared" si="88"/>
        <v>43.508045917319826</v>
      </c>
      <c r="Z231" s="383">
        <f t="shared" si="89"/>
        <v>46.191603570152353</v>
      </c>
      <c r="AA231" s="384">
        <f t="shared" si="90"/>
        <v>49.65238472703453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6.9700200220149153E-2</v>
      </c>
      <c r="AD231" s="230">
        <f>(INDEX(Models!$BJ231:$BT231,,AH231)*(1-AF231)+INDEX(Models!$BJ231:$BT231,,AH231+1)*AF231-ERP_i)*AE231*Ramure*Pc/MaxiM</f>
        <v>9.4424954164099213E-4</v>
      </c>
      <c r="AE231" s="304">
        <f t="shared" si="92"/>
        <v>0.6</v>
      </c>
      <c r="AF231" s="177">
        <f t="shared" si="93"/>
        <v>0.95369430102132036</v>
      </c>
      <c r="AG231" s="799">
        <f t="shared" si="99"/>
        <v>2</v>
      </c>
      <c r="AH231" s="176">
        <f t="shared" si="94"/>
        <v>8</v>
      </c>
      <c r="AI231" s="224">
        <f t="shared" si="95"/>
        <v>2.9536943010213204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'2026'!Wh/'2026'!Env_an*'2027'!Env_an</f>
        <v>50.433958461366103</v>
      </c>
      <c r="C232" s="829"/>
      <c r="D232" s="391">
        <f t="shared" si="77"/>
        <v>53.545729627651042</v>
      </c>
      <c r="E232" s="383">
        <f t="shared" si="75"/>
        <v>54.563651729410893</v>
      </c>
      <c r="F232" s="383">
        <f t="shared" si="78"/>
        <v>54.568118677528524</v>
      </c>
      <c r="G232" s="110">
        <f t="shared" si="76"/>
        <v>0.92748661799605414</v>
      </c>
      <c r="H232" s="412" t="b">
        <f>Wh_hp&gt;='2026'!Maxi_hp</f>
        <v>0</v>
      </c>
      <c r="I232" s="388">
        <f>IF(H232,Wh_hp,'2026'!Maxi_hp)</f>
        <v>58.413322100606401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5.8114273312245945E-2</v>
      </c>
      <c r="M232" s="832"/>
      <c r="N232" s="832"/>
      <c r="O232" s="48">
        <f>IF(t&lt;Tnet,'2026'!Resal+('2026'!Salim-'2026'!Resal)*(1-EXP(('2026'!Tnet-t)/('2026'!Tau_j))),Resal+(Salim-Resal)*(1-EXP((Tnet-t)/(Tau_j))))*Salcycl</f>
        <v>1.8655681383054734E-2</v>
      </c>
      <c r="P232" s="169">
        <f>(INDEX(Models!$BJ232:$BT232,,T232)*(1-R232)+INDEX(Models!$BJ232:$BT232,,T232+1)*R232-ERP_i)*Q232*Ramure*Pc/MaxiM</f>
        <v>9.1318638253361264E-5</v>
      </c>
      <c r="Q232" s="304">
        <f t="shared" si="80"/>
        <v>0.6</v>
      </c>
      <c r="R232" s="177">
        <f t="shared" si="81"/>
        <v>0.43038115195687343</v>
      </c>
      <c r="S232" s="799">
        <f t="shared" si="82"/>
        <v>-1</v>
      </c>
      <c r="T232" s="176">
        <f t="shared" si="83"/>
        <v>5</v>
      </c>
      <c r="U232" s="250">
        <f t="shared" si="84"/>
        <v>-0.56961884804312657</v>
      </c>
      <c r="V232" s="382">
        <f t="shared" si="85"/>
        <v>54.376505718744106</v>
      </c>
      <c r="W232" s="400">
        <f t="shared" si="86"/>
        <v>50.433958461366103</v>
      </c>
      <c r="X232" s="157">
        <f t="shared" si="87"/>
        <v>46605</v>
      </c>
      <c r="Y232" s="383">
        <f t="shared" si="88"/>
        <v>47.770849804118974</v>
      </c>
      <c r="Z232" s="383">
        <f t="shared" si="89"/>
        <v>50.718307381204809</v>
      </c>
      <c r="AA232" s="384">
        <f t="shared" si="90"/>
        <v>54.520896989035641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6.974554377921463E-2</v>
      </c>
      <c r="AD232" s="230">
        <f>(INDEX(Models!$BJ232:$BT232,,AH232)*(1-AF232)+INDEX(Models!$BJ232:$BT232,,AH232+1)*AF232-ERP_i)*AE232*Ramure*Pc/MaxiM</f>
        <v>9.6536162400665784E-4</v>
      </c>
      <c r="AE232" s="304">
        <f t="shared" si="92"/>
        <v>0.6</v>
      </c>
      <c r="AF232" s="177">
        <f t="shared" si="93"/>
        <v>0.95536871833085213</v>
      </c>
      <c r="AG232" s="799">
        <f t="shared" si="99"/>
        <v>2</v>
      </c>
      <c r="AH232" s="176">
        <f t="shared" si="94"/>
        <v>8</v>
      </c>
      <c r="AI232" s="224">
        <f t="shared" si="95"/>
        <v>2.9553687183308521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'2026'!Wh/'2026'!Env_an*'2027'!Env_an</f>
        <v>53.071532432748057</v>
      </c>
      <c r="C233" s="829"/>
      <c r="D233" s="391">
        <f t="shared" si="77"/>
        <v>56.347121579905483</v>
      </c>
      <c r="E233" s="383">
        <f t="shared" ref="E233:E296" si="100">Wh_pvt/(1-Psa)</f>
        <v>57.424088427409217</v>
      </c>
      <c r="F233" s="383">
        <f t="shared" si="78"/>
        <v>57.429291550629181</v>
      </c>
      <c r="G233" s="110">
        <f t="shared" ref="G233:G296" si="101">+Wh_hp/MaxiM</f>
        <v>0.97857620616630936</v>
      </c>
      <c r="H233" s="412" t="b">
        <f>Wh_hp&gt;='2026'!Maxi_hp</f>
        <v>0</v>
      </c>
      <c r="I233" s="388">
        <f>IF(H233,Wh_hp,'2026'!Maxi_hp)</f>
        <v>57.429398305158223</v>
      </c>
      <c r="J233" s="85">
        <f>IF(H233,An,'2026'!An_max)</f>
        <v>2026</v>
      </c>
      <c r="K233" s="197">
        <f t="shared" si="79"/>
        <v>46606</v>
      </c>
      <c r="L233" s="147">
        <f>IF(t&lt;Tvie,1-EXP((T0-t)*PertePVj)+'2026'!Pspv,1-EXP((T0-t)*PertePVj)+Pspv)</f>
        <v>5.8132324337319297E-2</v>
      </c>
      <c r="M233" s="832"/>
      <c r="N233" s="832"/>
      <c r="O233" s="48">
        <f>IF(t&lt;Tnet,'2026'!Resal+('2026'!Salim-'2026'!Resal)*(1-EXP(('2026'!Tnet-t)/('2026'!Tau_j))),Resal+(Salim-Resal)*(1-EXP((Tnet-t)/(Tau_j))))*Salcycl</f>
        <v>1.8754618087932644E-2</v>
      </c>
      <c r="P233" s="169">
        <f>(INDEX(Models!$BJ233:$BT233,,T233)*(1-R233)+INDEX(Models!$BJ233:$BT233,,T233+1)*R233-ERP_i)*Q233*Ramure*Pc/MaxiM</f>
        <v>9.3460537293807905E-5</v>
      </c>
      <c r="Q233" s="304">
        <f t="shared" si="80"/>
        <v>0.6</v>
      </c>
      <c r="R233" s="177">
        <f t="shared" si="81"/>
        <v>0.43199977583643689</v>
      </c>
      <c r="S233" s="799">
        <f t="shared" si="82"/>
        <v>-1</v>
      </c>
      <c r="T233" s="176">
        <f t="shared" si="83"/>
        <v>5</v>
      </c>
      <c r="U233" s="250">
        <f t="shared" si="84"/>
        <v>-0.56800022416356311</v>
      </c>
      <c r="V233" s="382">
        <f t="shared" si="85"/>
        <v>54.233262875851942</v>
      </c>
      <c r="W233" s="400">
        <f t="shared" si="86"/>
        <v>53.071532432748057</v>
      </c>
      <c r="X233" s="157">
        <f t="shared" si="87"/>
        <v>46606</v>
      </c>
      <c r="Y233" s="383">
        <f t="shared" si="88"/>
        <v>50.267609659031059</v>
      </c>
      <c r="Z233" s="383">
        <f t="shared" si="89"/>
        <v>53.370139944195131</v>
      </c>
      <c r="AA233" s="384">
        <f t="shared" si="90"/>
        <v>57.374333417459788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6.9790675285582193E-2</v>
      </c>
      <c r="AD233" s="230">
        <f>(INDEX(Models!$BJ233:$BT233,,AH233)*(1-AF233)+INDEX(Models!$BJ233:$BT233,,AH233+1)*AF233-ERP_i)*AE233*Ramure*Pc/MaxiM</f>
        <v>9.8717951459773284E-4</v>
      </c>
      <c r="AE233" s="304">
        <f t="shared" si="92"/>
        <v>0.6</v>
      </c>
      <c r="AF233" s="177">
        <f t="shared" si="93"/>
        <v>0.95698734221041581</v>
      </c>
      <c r="AG233" s="799">
        <f t="shared" si="99"/>
        <v>2</v>
      </c>
      <c r="AH233" s="176">
        <f t="shared" si="94"/>
        <v>8</v>
      </c>
      <c r="AI233" s="224">
        <f t="shared" si="95"/>
        <v>2.9569873422104158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'2026'!Wh/'2026'!Env_an*'2027'!Env_an</f>
        <v>53.517966295032593</v>
      </c>
      <c r="C234" s="829"/>
      <c r="D234" s="391">
        <f t="shared" si="77"/>
        <v>56.822198443798555</v>
      </c>
      <c r="E234" s="383">
        <f t="shared" si="100"/>
        <v>57.914075945438093</v>
      </c>
      <c r="F234" s="383">
        <f t="shared" si="78"/>
        <v>57.919535313643145</v>
      </c>
      <c r="G234" s="110">
        <f t="shared" si="101"/>
        <v>0.98945163096531419</v>
      </c>
      <c r="H234" s="412" t="b">
        <f>Wh_hp&gt;='2026'!Maxi_hp</f>
        <v>0</v>
      </c>
      <c r="I234" s="388">
        <f>IF(H234,Wh_hp,'2026'!Maxi_hp)</f>
        <v>57.919589541729216</v>
      </c>
      <c r="J234" s="85">
        <f>IF(H234,An,'2026'!An_max)</f>
        <v>2026</v>
      </c>
      <c r="K234" s="197">
        <f t="shared" si="79"/>
        <v>46607</v>
      </c>
      <c r="L234" s="147">
        <f>IF(t&lt;Tvie,1-EXP((T0-t)*PertePVj)+'2026'!Pspv,1-EXP((T0-t)*PertePVj)+Pspv)</f>
        <v>5.8150375016448819E-2</v>
      </c>
      <c r="M234" s="832"/>
      <c r="N234" s="832"/>
      <c r="O234" s="48">
        <f>IF(t&lt;Tnet,'2026'!Resal+('2026'!Salim-'2026'!Resal)*(1-EXP(('2026'!Tnet-t)/('2026'!Tau_j))),Resal+(Salim-Resal)*(1-EXP((Tnet-t)/(Tau_j))))*Salcycl</f>
        <v>1.8853404527566259E-2</v>
      </c>
      <c r="P234" s="169">
        <f>(INDEX(Models!$BJ234:$BT234,,T234)*(1-R234)+INDEX(Models!$BJ234:$BT234,,T234+1)*R234-ERP_i)*Q234*Ramure*Pc/MaxiM</f>
        <v>9.5699717370303453E-5</v>
      </c>
      <c r="Q234" s="304">
        <f t="shared" si="80"/>
        <v>0.6</v>
      </c>
      <c r="R234" s="177">
        <f t="shared" si="81"/>
        <v>0.43356404976935847</v>
      </c>
      <c r="S234" s="799">
        <f t="shared" si="82"/>
        <v>-1</v>
      </c>
      <c r="T234" s="176">
        <f t="shared" si="83"/>
        <v>5</v>
      </c>
      <c r="U234" s="250">
        <f t="shared" si="84"/>
        <v>-0.56643595023064153</v>
      </c>
      <c r="V234" s="382">
        <f t="shared" si="85"/>
        <v>54.088433880565312</v>
      </c>
      <c r="W234" s="400">
        <f t="shared" si="86"/>
        <v>53.517966295032593</v>
      </c>
      <c r="X234" s="157">
        <f t="shared" si="87"/>
        <v>46607</v>
      </c>
      <c r="Y234" s="383">
        <f t="shared" si="88"/>
        <v>50.691364045391651</v>
      </c>
      <c r="Z234" s="383">
        <f t="shared" si="89"/>
        <v>53.821080033107137</v>
      </c>
      <c r="AA234" s="384">
        <f t="shared" si="90"/>
        <v>57.861900393330536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6.9835597046673609E-2</v>
      </c>
      <c r="AD234" s="230">
        <f>(INDEX(Models!$BJ234:$BT234,,AH234)*(1-AF234)+INDEX(Models!$BJ234:$BT234,,AH234+1)*AF234-ERP_i)*AE234*Ramure*Pc/MaxiM</f>
        <v>1.0103084051870073E-3</v>
      </c>
      <c r="AE234" s="304">
        <f t="shared" si="92"/>
        <v>0.6</v>
      </c>
      <c r="AF234" s="177">
        <f t="shared" si="93"/>
        <v>0.95855161614333717</v>
      </c>
      <c r="AG234" s="799">
        <f t="shared" si="99"/>
        <v>2</v>
      </c>
      <c r="AH234" s="176">
        <f t="shared" si="94"/>
        <v>8</v>
      </c>
      <c r="AI234" s="224">
        <f t="shared" si="95"/>
        <v>2.9585516161433372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'2026'!Wh/'2026'!Env_an*'2027'!Env_an</f>
        <v>51.508934644475197</v>
      </c>
      <c r="C235" s="829"/>
      <c r="D235" s="391">
        <f t="shared" si="77"/>
        <v>54.690176068472894</v>
      </c>
      <c r="E235" s="383">
        <f t="shared" si="100"/>
        <v>55.746689586785557</v>
      </c>
      <c r="F235" s="383">
        <f t="shared" si="78"/>
        <v>55.751804042979629</v>
      </c>
      <c r="G235" s="110">
        <f t="shared" si="101"/>
        <v>0.95489201993836736</v>
      </c>
      <c r="H235" s="412" t="b">
        <f>Wh_hp&gt;='2026'!Maxi_hp</f>
        <v>0</v>
      </c>
      <c r="I235" s="388">
        <f>IF(H235,Wh_hp,'2026'!Maxi_hp)</f>
        <v>56.144783633335642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5.8168425349641173E-2</v>
      </c>
      <c r="M235" s="832"/>
      <c r="N235" s="832"/>
      <c r="O235" s="48">
        <f>IF(t&lt;Tnet,'2026'!Resal+('2026'!Salim-'2026'!Resal)*(1-EXP(('2026'!Tnet-t)/('2026'!Tau_j))),Resal+(Salim-Resal)*(1-EXP((Tnet-t)/(Tau_j))))*Salcycl</f>
        <v>1.8952040491442914E-2</v>
      </c>
      <c r="P235" s="169">
        <f>(INDEX(Models!$BJ235:$BT235,,T235)*(1-R235)+INDEX(Models!$BJ235:$BT235,,T235+1)*R235-ERP_i)*Q235*Ramure*Pc/MaxiM</f>
        <v>9.8053901505443963E-5</v>
      </c>
      <c r="Q235" s="304">
        <f t="shared" si="80"/>
        <v>0.6</v>
      </c>
      <c r="R235" s="177">
        <f t="shared" si="81"/>
        <v>0.43507541063798683</v>
      </c>
      <c r="S235" s="799">
        <f t="shared" si="82"/>
        <v>-1</v>
      </c>
      <c r="T235" s="176">
        <f t="shared" si="83"/>
        <v>5</v>
      </c>
      <c r="U235" s="250">
        <f t="shared" si="84"/>
        <v>-0.56492458936201317</v>
      </c>
      <c r="V235" s="382">
        <f t="shared" si="85"/>
        <v>53.941815533870425</v>
      </c>
      <c r="W235" s="400">
        <f t="shared" si="86"/>
        <v>51.508934644475197</v>
      </c>
      <c r="X235" s="157">
        <f t="shared" si="87"/>
        <v>46608</v>
      </c>
      <c r="Y235" s="383">
        <f t="shared" si="88"/>
        <v>48.792197312946826</v>
      </c>
      <c r="Z235" s="383">
        <f t="shared" si="89"/>
        <v>51.805650422221419</v>
      </c>
      <c r="AA235" s="384">
        <f t="shared" si="90"/>
        <v>55.69783220903863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6.9880310102725857E-2</v>
      </c>
      <c r="AD235" s="230">
        <f>(INDEX(Models!$BJ235:$BT235,,AH235)*(1-AF235)+INDEX(Models!$BJ235:$BT235,,AH235+1)*AF235-ERP_i)*AE235*Ramure*Pc/MaxiM</f>
        <v>1.0347432236201123E-3</v>
      </c>
      <c r="AE235" s="304">
        <f t="shared" si="92"/>
        <v>0.6</v>
      </c>
      <c r="AF235" s="177">
        <f t="shared" si="93"/>
        <v>0.9600629770119653</v>
      </c>
      <c r="AG235" s="799">
        <f t="shared" si="99"/>
        <v>2</v>
      </c>
      <c r="AH235" s="176">
        <f t="shared" si="94"/>
        <v>8</v>
      </c>
      <c r="AI235" s="224">
        <f t="shared" si="95"/>
        <v>2.9600629770119653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'2026'!Wh/'2026'!Env_an*'2027'!Env_an</f>
        <v>48.674049824848581</v>
      </c>
      <c r="C236" s="829"/>
      <c r="D236" s="391">
        <f t="shared" si="77"/>
        <v>51.681196489782977</v>
      </c>
      <c r="E236" s="383">
        <f t="shared" si="100"/>
        <v>52.684870965041391</v>
      </c>
      <c r="F236" s="383">
        <f t="shared" si="78"/>
        <v>52.689447501866923</v>
      </c>
      <c r="G236" s="110">
        <f t="shared" si="101"/>
        <v>0.90482402037570342</v>
      </c>
      <c r="H236" s="412" t="b">
        <f>Wh_hp&gt;='2026'!Maxi_hp</f>
        <v>0</v>
      </c>
      <c r="I236" s="388">
        <f>IF(H236,Wh_hp,'2026'!Maxi_hp)</f>
        <v>53.37794367209424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5.8186475336903021E-2</v>
      </c>
      <c r="M236" s="832"/>
      <c r="N236" s="832"/>
      <c r="O236" s="48">
        <f>IF(t&lt;Tnet,'2026'!Resal+('2026'!Salim-'2026'!Resal)*(1-EXP(('2026'!Tnet-t)/('2026'!Tau_j))),Resal+(Salim-Resal)*(1-EXP((Tnet-t)/(Tau_j))))*Salcycl</f>
        <v>1.9050525452067521E-2</v>
      </c>
      <c r="P236" s="169">
        <f>(INDEX(Models!$BJ236:$BT236,,T236)*(1-R236)+INDEX(Models!$BJ236:$BT236,,T236+1)*R236-ERP_i)*Q236*Ramure*Pc/MaxiM</f>
        <v>1.0052485288030822E-4</v>
      </c>
      <c r="Q236" s="304">
        <f t="shared" si="80"/>
        <v>0.6</v>
      </c>
      <c r="R236" s="177">
        <f t="shared" si="81"/>
        <v>0.43653528610388392</v>
      </c>
      <c r="S236" s="799">
        <f t="shared" si="82"/>
        <v>-1</v>
      </c>
      <c r="T236" s="176">
        <f t="shared" si="83"/>
        <v>5</v>
      </c>
      <c r="U236" s="250">
        <f t="shared" si="84"/>
        <v>-0.56346471389611608</v>
      </c>
      <c r="V236" s="382">
        <f t="shared" si="85"/>
        <v>53.793205622202983</v>
      </c>
      <c r="W236" s="400">
        <f t="shared" si="86"/>
        <v>48.674049824848581</v>
      </c>
      <c r="X236" s="157">
        <f t="shared" si="87"/>
        <v>46609</v>
      </c>
      <c r="Y236" s="383">
        <f t="shared" si="88"/>
        <v>46.111418986175302</v>
      </c>
      <c r="Z236" s="383">
        <f t="shared" si="89"/>
        <v>48.960242955387749</v>
      </c>
      <c r="AA236" s="384">
        <f t="shared" si="90"/>
        <v>52.641166766191354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6.992481430270403E-2</v>
      </c>
      <c r="AD236" s="230">
        <f>(INDEX(Models!$BJ236:$BT236,,AH236)*(1-AF236)+INDEX(Models!$BJ236:$BT236,,AH236+1)*AF236-ERP_i)*AE236*Ramure*Pc/MaxiM</f>
        <v>1.0604992455568042E-3</v>
      </c>
      <c r="AE236" s="304">
        <f t="shared" si="92"/>
        <v>0.6</v>
      </c>
      <c r="AF236" s="177">
        <f t="shared" si="93"/>
        <v>0.96152285247786251</v>
      </c>
      <c r="AG236" s="799">
        <f t="shared" si="99"/>
        <v>2</v>
      </c>
      <c r="AH236" s="176">
        <f t="shared" si="94"/>
        <v>8</v>
      </c>
      <c r="AI236" s="224">
        <f t="shared" si="95"/>
        <v>2.9615228524778625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'2026'!Wh/'2026'!Env_an*'2027'!Env_an</f>
        <v>47.066443237710139</v>
      </c>
      <c r="C237" s="829"/>
      <c r="D237" s="391">
        <f t="shared" si="77"/>
        <v>49.975227622136039</v>
      </c>
      <c r="E237" s="383">
        <f t="shared" si="100"/>
        <v>50.950878794642826</v>
      </c>
      <c r="F237" s="383">
        <f t="shared" si="78"/>
        <v>50.955212854299226</v>
      </c>
      <c r="G237" s="110">
        <f t="shared" si="101"/>
        <v>0.8773953335578436</v>
      </c>
      <c r="H237" s="412" t="b">
        <f>Wh_hp&gt;='2026'!Maxi_hp</f>
        <v>0</v>
      </c>
      <c r="I237" s="388">
        <f>IF(H237,Wh_hp,'2026'!Maxi_hp)</f>
        <v>51.914944304147305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5.8204524978241023E-2</v>
      </c>
      <c r="M237" s="832"/>
      <c r="N237" s="832"/>
      <c r="O237" s="48">
        <f>IF(t&lt;Tnet,'2026'!Resal+('2026'!Salim-'2026'!Resal)*(1-EXP(('2026'!Tnet-t)/('2026'!Tau_j))),Resal+(Salim-Resal)*(1-EXP((Tnet-t)/(Tau_j))))*Salcycl</f>
        <v>1.9148858578850795E-2</v>
      </c>
      <c r="P237" s="169">
        <f>(INDEX(Models!$BJ237:$BT237,,T237)*(1-R237)+INDEX(Models!$BJ237:$BT237,,T237+1)*R237-ERP_i)*Q237*Ramure*Pc/MaxiM</f>
        <v>1.0311435197634317E-4</v>
      </c>
      <c r="Q237" s="304">
        <f t="shared" si="80"/>
        <v>0.6</v>
      </c>
      <c r="R237" s="177">
        <f t="shared" si="81"/>
        <v>0.43794509221022637</v>
      </c>
      <c r="S237" s="799">
        <f t="shared" si="82"/>
        <v>-1</v>
      </c>
      <c r="T237" s="176">
        <f t="shared" si="83"/>
        <v>5</v>
      </c>
      <c r="U237" s="250">
        <f t="shared" si="84"/>
        <v>-0.56205490778977363</v>
      </c>
      <c r="V237" s="382">
        <f t="shared" si="85"/>
        <v>53.642402044967369</v>
      </c>
      <c r="W237" s="400">
        <f t="shared" si="86"/>
        <v>47.066443237710139</v>
      </c>
      <c r="X237" s="157">
        <f t="shared" si="87"/>
        <v>46610</v>
      </c>
      <c r="Y237" s="383">
        <f t="shared" si="88"/>
        <v>44.591573980820392</v>
      </c>
      <c r="Z237" s="383">
        <f t="shared" si="89"/>
        <v>47.347407333625341</v>
      </c>
      <c r="AA237" s="384">
        <f t="shared" si="90"/>
        <v>50.909499630980982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6.9969108382042025E-2</v>
      </c>
      <c r="AD237" s="230">
        <f>(INDEX(Models!$BJ237:$BT237,,AH237)*(1-AF237)+INDEX(Models!$BJ237:$BT237,,AH237+1)*AF237-ERP_i)*AE237*Ramure*Pc/MaxiM</f>
        <v>1.087592182136755E-3</v>
      </c>
      <c r="AE237" s="304">
        <f t="shared" si="92"/>
        <v>0.6</v>
      </c>
      <c r="AF237" s="177">
        <f t="shared" si="93"/>
        <v>0.96293265858420529</v>
      </c>
      <c r="AG237" s="799">
        <f t="shared" si="99"/>
        <v>2</v>
      </c>
      <c r="AH237" s="176">
        <f t="shared" si="94"/>
        <v>8</v>
      </c>
      <c r="AI237" s="224">
        <f t="shared" si="95"/>
        <v>2.9629326585842053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'2026'!Wh/'2026'!Env_an*'2027'!Env_an</f>
        <v>48.002094909440856</v>
      </c>
      <c r="C238" s="829"/>
      <c r="D238" s="391">
        <f t="shared" si="77"/>
        <v>50.969680943902034</v>
      </c>
      <c r="E238" s="383">
        <f t="shared" si="100"/>
        <v>51.969948557775069</v>
      </c>
      <c r="F238" s="383">
        <f t="shared" si="78"/>
        <v>51.974642694271957</v>
      </c>
      <c r="G238" s="110">
        <f t="shared" si="101"/>
        <v>0.89740261367427521</v>
      </c>
      <c r="H238" s="412" t="b">
        <f>Wh_hp&gt;='2026'!Maxi_hp</f>
        <v>0</v>
      </c>
      <c r="I238" s="388">
        <f>IF(H238,Wh_hp,'2026'!Maxi_hp)</f>
        <v>51.975164680858448</v>
      </c>
      <c r="J238" s="85">
        <f>IF(H238,An,'2026'!An_max)</f>
        <v>2026</v>
      </c>
      <c r="K238" s="197">
        <f t="shared" si="79"/>
        <v>46611</v>
      </c>
      <c r="L238" s="147">
        <f>IF(t&lt;Tvie,1-EXP((T0-t)*PertePVj)+'2026'!Pspv,1-EXP((T0-t)*PertePVj)+Pspv)</f>
        <v>5.8222574273661731E-2</v>
      </c>
      <c r="M238" s="832"/>
      <c r="N238" s="832"/>
      <c r="O238" s="48">
        <f>IF(t&lt;Tnet,'2026'!Resal+('2026'!Salim-'2026'!Resal)*(1-EXP(('2026'!Tnet-t)/('2026'!Tau_j))),Resal+(Salim-Resal)*(1-EXP((Tnet-t)/(Tau_j))))*Salcycl</f>
        <v>1.9247038752809885E-2</v>
      </c>
      <c r="P238" s="169">
        <f>(INDEX(Models!$BJ238:$BT238,,T238)*(1-R238)+INDEX(Models!$BJ238:$BT238,,T238+1)*R238-ERP_i)*Q238*Ramure*Pc/MaxiM</f>
        <v>1.0582420263972483E-4</v>
      </c>
      <c r="Q238" s="304">
        <f t="shared" si="80"/>
        <v>0.6</v>
      </c>
      <c r="R238" s="177">
        <f t="shared" si="81"/>
        <v>0.43930623119779244</v>
      </c>
      <c r="S238" s="799">
        <f t="shared" si="82"/>
        <v>-1</v>
      </c>
      <c r="T238" s="176">
        <f t="shared" si="83"/>
        <v>5</v>
      </c>
      <c r="U238" s="250">
        <f t="shared" si="84"/>
        <v>-0.56069376880220756</v>
      </c>
      <c r="V238" s="382">
        <f t="shared" si="85"/>
        <v>53.489202816700839</v>
      </c>
      <c r="W238" s="400">
        <f t="shared" si="86"/>
        <v>48.002094909440856</v>
      </c>
      <c r="X238" s="157">
        <f t="shared" si="87"/>
        <v>46611</v>
      </c>
      <c r="Y238" s="383">
        <f t="shared" si="88"/>
        <v>45.478142842570684</v>
      </c>
      <c r="Z238" s="383">
        <f t="shared" si="89"/>
        <v>48.289693084856047</v>
      </c>
      <c r="AA238" s="384">
        <f t="shared" si="90"/>
        <v>51.925137612422851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7.0013190041060977E-2</v>
      </c>
      <c r="AD238" s="230">
        <f>(INDEX(Models!$BJ238:$BT238,,AH238)*(1-AF238)+INDEX(Models!$BJ238:$BT238,,AH238+1)*AF238-ERP_i)*AE238*Ramure*Pc/MaxiM</f>
        <v>1.1160382355245985E-3</v>
      </c>
      <c r="AE238" s="304">
        <f t="shared" si="92"/>
        <v>0.6</v>
      </c>
      <c r="AF238" s="177">
        <f t="shared" si="93"/>
        <v>0.96429379757177136</v>
      </c>
      <c r="AG238" s="799">
        <f t="shared" si="99"/>
        <v>2</v>
      </c>
      <c r="AH238" s="176">
        <f t="shared" si="94"/>
        <v>8</v>
      </c>
      <c r="AI238" s="224">
        <f t="shared" si="95"/>
        <v>2.9642937975717714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'2026'!Wh/'2026'!Env_an*'2027'!Env_an</f>
        <v>36.125152331462324</v>
      </c>
      <c r="C239" s="829"/>
      <c r="D239" s="391">
        <f t="shared" si="77"/>
        <v>38.359217038115055</v>
      </c>
      <c r="E239" s="383">
        <f t="shared" si="100"/>
        <v>39.115916978234274</v>
      </c>
      <c r="F239" s="383">
        <f t="shared" si="78"/>
        <v>39.118208241355603</v>
      </c>
      <c r="G239" s="110">
        <f t="shared" si="101"/>
        <v>0.67731175673962152</v>
      </c>
      <c r="H239" s="412" t="b">
        <f>Wh_hp&gt;='2026'!Maxi_hp</f>
        <v>0</v>
      </c>
      <c r="I239" s="388">
        <f>IF(H239,Wh_hp,'2026'!Maxi_hp)</f>
        <v>49.870847104426645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5.8240623223171806E-2</v>
      </c>
      <c r="M239" s="832"/>
      <c r="N239" s="832"/>
      <c r="O239" s="48">
        <f>IF(t&lt;Tnet,'2026'!Resal+('2026'!Salim-'2026'!Resal)*(1-EXP(('2026'!Tnet-t)/('2026'!Tau_j))),Resal+(Salim-Resal)*(1-EXP((Tnet-t)/(Tau_j))))*Salcycl</f>
        <v>1.9345064581773125E-2</v>
      </c>
      <c r="P239" s="169">
        <f>(INDEX(Models!$BJ239:$BT239,,T239)*(1-R239)+INDEX(Models!$BJ239:$BT239,,T239+1)*R239-ERP_i)*Q239*Ramure*Pc/MaxiM</f>
        <v>1.0865623827259238E-4</v>
      </c>
      <c r="Q239" s="304">
        <f t="shared" si="80"/>
        <v>0.6</v>
      </c>
      <c r="R239" s="177">
        <f t="shared" si="81"/>
        <v>0.44062008952553611</v>
      </c>
      <c r="S239" s="799">
        <f t="shared" si="82"/>
        <v>-1</v>
      </c>
      <c r="T239" s="176">
        <f t="shared" si="83"/>
        <v>5</v>
      </c>
      <c r="U239" s="250">
        <f t="shared" si="84"/>
        <v>-0.55937991047446389</v>
      </c>
      <c r="V239" s="382">
        <f t="shared" si="85"/>
        <v>53.333406063487864</v>
      </c>
      <c r="W239" s="400">
        <f t="shared" si="86"/>
        <v>36.125152331462324</v>
      </c>
      <c r="X239" s="157">
        <f t="shared" si="87"/>
        <v>46612</v>
      </c>
      <c r="Y239" s="383">
        <f t="shared" si="88"/>
        <v>34.237880241322543</v>
      </c>
      <c r="Z239" s="383">
        <f t="shared" si="89"/>
        <v>36.355231586333339</v>
      </c>
      <c r="AA239" s="384">
        <f t="shared" si="90"/>
        <v>39.094045308687697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7.0057056022946887E-2</v>
      </c>
      <c r="AD239" s="230">
        <f>(INDEX(Models!$BJ239:$BT239,,AH239)*(1-AF239)+INDEX(Models!$BJ239:$BT239,,AH239+1)*AF239-ERP_i)*AE239*Ramure*Pc/MaxiM</f>
        <v>1.14585415567918E-3</v>
      </c>
      <c r="AE239" s="304">
        <f t="shared" si="92"/>
        <v>0.6</v>
      </c>
      <c r="AF239" s="177">
        <f t="shared" si="93"/>
        <v>0.96560765589951458</v>
      </c>
      <c r="AG239" s="799">
        <f t="shared" si="99"/>
        <v>2</v>
      </c>
      <c r="AH239" s="176">
        <f t="shared" si="94"/>
        <v>8</v>
      </c>
      <c r="AI239" s="224">
        <f t="shared" si="95"/>
        <v>2.9656076558995146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'2026'!Wh/'2026'!Env_an*'2027'!Env_an</f>
        <v>34.289957098426903</v>
      </c>
      <c r="C240" s="829"/>
      <c r="D240" s="391">
        <f t="shared" si="77"/>
        <v>36.41122681208239</v>
      </c>
      <c r="E240" s="383">
        <f t="shared" si="100"/>
        <v>37.13320528712778</v>
      </c>
      <c r="F240" s="383">
        <f t="shared" si="78"/>
        <v>37.135248263765142</v>
      </c>
      <c r="G240" s="110">
        <f t="shared" si="101"/>
        <v>0.6448169018298886</v>
      </c>
      <c r="H240" s="412" t="b">
        <f>Wh_hp&gt;='2026'!Maxi_hp</f>
        <v>0</v>
      </c>
      <c r="I240" s="388">
        <f>IF(H240,Wh_hp,'2026'!Maxi_hp)</f>
        <v>56.99494858795164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5.8258671826777908E-2</v>
      </c>
      <c r="M240" s="832"/>
      <c r="N240" s="832"/>
      <c r="O240" s="48">
        <f>IF(t&lt;Tnet,'2026'!Resal+('2026'!Salim-'2026'!Resal)*(1-EXP(('2026'!Tnet-t)/('2026'!Tau_j))),Resal+(Salim-Resal)*(1-EXP((Tnet-t)/(Tau_j))))*Salcycl</f>
        <v>1.9442934415781817E-2</v>
      </c>
      <c r="P240" s="169">
        <f>(INDEX(Models!$BJ240:$BT240,,T240)*(1-R240)+INDEX(Models!$BJ240:$BT240,,T240+1)*R240-ERP_i)*Q240*Ramure*Pc/MaxiM</f>
        <v>1.1167103652942846E-4</v>
      </c>
      <c r="Q240" s="304">
        <f t="shared" si="80"/>
        <v>0.6</v>
      </c>
      <c r="R240" s="177">
        <f t="shared" si="81"/>
        <v>0.44188803608648497</v>
      </c>
      <c r="S240" s="799">
        <f t="shared" si="82"/>
        <v>-1</v>
      </c>
      <c r="T240" s="176">
        <f t="shared" si="83"/>
        <v>5</v>
      </c>
      <c r="U240" s="250">
        <f t="shared" si="84"/>
        <v>-0.55811196391351503</v>
      </c>
      <c r="V240" s="382">
        <f t="shared" si="85"/>
        <v>53.174806900360522</v>
      </c>
      <c r="W240" s="400">
        <f t="shared" si="86"/>
        <v>34.289957098426903</v>
      </c>
      <c r="X240" s="157">
        <f t="shared" si="87"/>
        <v>46613</v>
      </c>
      <c r="Y240" s="383">
        <f t="shared" si="88"/>
        <v>32.501386145305204</v>
      </c>
      <c r="Z240" s="383">
        <f t="shared" si="89"/>
        <v>34.512010010594928</v>
      </c>
      <c r="AA240" s="384">
        <f t="shared" si="90"/>
        <v>37.113706927063852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7.0100702190212402E-2</v>
      </c>
      <c r="AD240" s="230">
        <f>(INDEX(Models!$BJ240:$BT240,,AH240)*(1-AF240)+INDEX(Models!$BJ240:$BT240,,AH240+1)*AF240-ERP_i)*AE240*Ramure*Pc/MaxiM</f>
        <v>1.1774698514268867E-3</v>
      </c>
      <c r="AE240" s="304">
        <f t="shared" si="92"/>
        <v>0.6</v>
      </c>
      <c r="AF240" s="177">
        <f t="shared" si="93"/>
        <v>0.96687560246046367</v>
      </c>
      <c r="AG240" s="799">
        <f t="shared" si="99"/>
        <v>2</v>
      </c>
      <c r="AH240" s="176">
        <f t="shared" si="94"/>
        <v>8</v>
      </c>
      <c r="AI240" s="224">
        <f t="shared" si="95"/>
        <v>2.9668756024604637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'2026'!Wh/'2026'!Env_an*'2027'!Env_an</f>
        <v>38.843663389963638</v>
      </c>
      <c r="C241" s="829"/>
      <c r="D241" s="391">
        <f t="shared" si="77"/>
        <v>41.247428218455525</v>
      </c>
      <c r="E241" s="383">
        <f t="shared" si="100"/>
        <v>42.069493309868491</v>
      </c>
      <c r="F241" s="383">
        <f t="shared" si="78"/>
        <v>42.072479248145896</v>
      </c>
      <c r="G241" s="110">
        <f t="shared" si="101"/>
        <v>0.73268460216228237</v>
      </c>
      <c r="H241" s="412" t="b">
        <f>Wh_hp&gt;='2026'!Maxi_hp</f>
        <v>0</v>
      </c>
      <c r="I241" s="388">
        <f>IF(H241,Wh_hp,'2026'!Maxi_hp)</f>
        <v>50.673625731633024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5.8276720084486699E-2</v>
      </c>
      <c r="M241" s="832"/>
      <c r="N241" s="832"/>
      <c r="O241" s="48">
        <f>IF(t&lt;Tnet,'2026'!Resal+('2026'!Salim-'2026'!Resal)*(1-EXP(('2026'!Tnet-t)/('2026'!Tau_j))),Resal+(Salim-Resal)*(1-EXP((Tnet-t)/(Tau_j))))*Salcycl</f>
        <v>1.9540646362387459E-2</v>
      </c>
      <c r="P241" s="169">
        <f>(INDEX(Models!$BJ241:$BT241,,T241)*(1-R241)+INDEX(Models!$BJ241:$BT241,,T241+1)*R241-ERP_i)*Q241*Ramure*Pc/MaxiM</f>
        <v>1.1480930276211263E-4</v>
      </c>
      <c r="Q241" s="304">
        <f t="shared" si="80"/>
        <v>0.6</v>
      </c>
      <c r="R241" s="177">
        <f t="shared" si="81"/>
        <v>0.44311142060952524</v>
      </c>
      <c r="S241" s="799">
        <f t="shared" si="82"/>
        <v>-1</v>
      </c>
      <c r="T241" s="176">
        <f t="shared" si="83"/>
        <v>5</v>
      </c>
      <c r="U241" s="250">
        <f t="shared" si="84"/>
        <v>-0.55688857939047476</v>
      </c>
      <c r="V241" s="382">
        <f t="shared" si="85"/>
        <v>53.013206945529056</v>
      </c>
      <c r="W241" s="400">
        <f t="shared" si="86"/>
        <v>38.843663389963638</v>
      </c>
      <c r="X241" s="157">
        <f t="shared" si="87"/>
        <v>46614</v>
      </c>
      <c r="Y241" s="383">
        <f t="shared" si="88"/>
        <v>36.813914405469028</v>
      </c>
      <c r="Z241" s="383">
        <f t="shared" si="89"/>
        <v>39.092072151780918</v>
      </c>
      <c r="AA241" s="384">
        <f t="shared" si="90"/>
        <v>42.041001346435202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7.0144123598624361E-2</v>
      </c>
      <c r="AD241" s="230">
        <f>(INDEX(Models!$BJ241:$BT241,,AH241)*(1-AF241)+INDEX(Models!$BJ241:$BT241,,AH241+1)*AF241-ERP_i)*AE241*Ramure*Pc/MaxiM</f>
        <v>1.2103250677231319E-3</v>
      </c>
      <c r="AE241" s="304">
        <f t="shared" si="92"/>
        <v>0.6</v>
      </c>
      <c r="AF241" s="177">
        <f t="shared" si="93"/>
        <v>0.96809898698350416</v>
      </c>
      <c r="AG241" s="799">
        <f t="shared" si="99"/>
        <v>2</v>
      </c>
      <c r="AH241" s="176">
        <f t="shared" si="94"/>
        <v>8</v>
      </c>
      <c r="AI241" s="224">
        <f t="shared" si="95"/>
        <v>2.9680989869835042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'2026'!Wh/'2026'!Env_an*'2027'!Env_an</f>
        <v>35.926952124719726</v>
      </c>
      <c r="C242" s="829"/>
      <c r="D242" s="391">
        <f t="shared" si="77"/>
        <v>38.150953083563991</v>
      </c>
      <c r="E242" s="383">
        <f t="shared" si="100"/>
        <v>38.915177047360054</v>
      </c>
      <c r="F242" s="383">
        <f t="shared" si="78"/>
        <v>38.917670304848485</v>
      </c>
      <c r="G242" s="110">
        <f t="shared" si="101"/>
        <v>0.67977476124185221</v>
      </c>
      <c r="H242" s="412" t="b">
        <f>Wh_hp&gt;='2026'!Maxi_hp</f>
        <v>0</v>
      </c>
      <c r="I242" s="388">
        <f>IF(H242,Wh_hp,'2026'!Maxi_hp)</f>
        <v>55.891220971481495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5.8294767996304619E-2</v>
      </c>
      <c r="M242" s="832"/>
      <c r="N242" s="832"/>
      <c r="O242" s="48">
        <f>IF(t&lt;Tnet,'2026'!Resal+('2026'!Salim-'2026'!Resal)*(1-EXP(('2026'!Tnet-t)/('2026'!Tau_j))),Resal+(Salim-Resal)*(1-EXP((Tnet-t)/(Tau_j))))*Salcycl</f>
        <v>1.9638198301552102E-2</v>
      </c>
      <c r="P242" s="169">
        <f>(INDEX(Models!$BJ242:$BT242,,T242)*(1-R242)+INDEX(Models!$BJ242:$BT242,,T242+1)*R242-ERP_i)*Q242*Ramure*Pc/MaxiM</f>
        <v>1.1807290581061859E-4</v>
      </c>
      <c r="Q242" s="304">
        <f t="shared" si="80"/>
        <v>0.6</v>
      </c>
      <c r="R242" s="177">
        <f t="shared" si="81"/>
        <v>0.44429157223754401</v>
      </c>
      <c r="S242" s="799">
        <f t="shared" si="82"/>
        <v>-1</v>
      </c>
      <c r="T242" s="176">
        <f t="shared" si="83"/>
        <v>5</v>
      </c>
      <c r="U242" s="250">
        <f t="shared" si="84"/>
        <v>-0.55570842776245599</v>
      </c>
      <c r="V242" s="382">
        <f t="shared" si="85"/>
        <v>52.84840465760017</v>
      </c>
      <c r="W242" s="400">
        <f t="shared" si="86"/>
        <v>35.926952124719726</v>
      </c>
      <c r="X242" s="157">
        <f t="shared" si="87"/>
        <v>46615</v>
      </c>
      <c r="Y242" s="383">
        <f t="shared" si="88"/>
        <v>34.053671558399316</v>
      </c>
      <c r="Z242" s="383">
        <f t="shared" si="89"/>
        <v>36.161710056492161</v>
      </c>
      <c r="AA242" s="384">
        <f t="shared" si="90"/>
        <v>38.891392452531861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7.0187314567647943E-2</v>
      </c>
      <c r="AD242" s="230">
        <f>(INDEX(Models!$BJ242:$BT242,,AH242)*(1-AF242)+INDEX(Models!$BJ242:$BT242,,AH242+1)*AF242-ERP_i)*AE242*Ramure*Pc/MaxiM</f>
        <v>1.244437205495148E-3</v>
      </c>
      <c r="AE242" s="304">
        <f t="shared" si="92"/>
        <v>0.6</v>
      </c>
      <c r="AF242" s="177">
        <f t="shared" si="93"/>
        <v>0.96927913861152248</v>
      </c>
      <c r="AG242" s="799">
        <f t="shared" si="99"/>
        <v>2</v>
      </c>
      <c r="AH242" s="176">
        <f t="shared" si="94"/>
        <v>8</v>
      </c>
      <c r="AI242" s="224">
        <f t="shared" si="95"/>
        <v>2.9692791386115225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'2026'!Wh/'2026'!Env_an*'2027'!Env_an</f>
        <v>28.824047227248531</v>
      </c>
      <c r="C243" s="829"/>
      <c r="D243" s="391">
        <f t="shared" si="77"/>
        <v>30.608940743372283</v>
      </c>
      <c r="E243" s="383">
        <f t="shared" si="100"/>
        <v>31.225188189577764</v>
      </c>
      <c r="F243" s="383">
        <f t="shared" si="78"/>
        <v>31.22652735920953</v>
      </c>
      <c r="G243" s="110">
        <f t="shared" si="101"/>
        <v>0.54710845736852987</v>
      </c>
      <c r="H243" s="412" t="b">
        <f>Wh_hp&gt;='2026'!Maxi_hp</f>
        <v>0</v>
      </c>
      <c r="I243" s="388">
        <f>IF(H243,Wh_hp,'2026'!Maxi_hp)</f>
        <v>54.973908818601828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5.831281556223844E-2</v>
      </c>
      <c r="M243" s="832"/>
      <c r="N243" s="832"/>
      <c r="O243" s="48">
        <f>IF(t&lt;Tnet,'2026'!Resal+('2026'!Salim-'2026'!Resal)*(1-EXP(('2026'!Tnet-t)/('2026'!Tau_j))),Resal+(Salim-Resal)*(1-EXP((Tnet-t)/(Tau_j))))*Salcycl</f>
        <v>1.9735587899872752E-2</v>
      </c>
      <c r="P243" s="169">
        <f>(INDEX(Models!$BJ243:$BT243,,T243)*(1-R243)+INDEX(Models!$BJ243:$BT243,,T243+1)*R243-ERP_i)*Q243*Ramure*Pc/MaxiM</f>
        <v>1.214637747957844E-4</v>
      </c>
      <c r="Q243" s="304">
        <f t="shared" si="80"/>
        <v>0.6</v>
      </c>
      <c r="R243" s="177">
        <f t="shared" si="81"/>
        <v>0.4454297982723967</v>
      </c>
      <c r="S243" s="799">
        <f t="shared" si="82"/>
        <v>-1</v>
      </c>
      <c r="T243" s="176">
        <f t="shared" si="83"/>
        <v>5</v>
      </c>
      <c r="U243" s="250">
        <f t="shared" si="84"/>
        <v>-0.5545702017276033</v>
      </c>
      <c r="V243" s="382">
        <f t="shared" si="85"/>
        <v>52.680198600636395</v>
      </c>
      <c r="W243" s="400">
        <f t="shared" si="86"/>
        <v>28.824047227248531</v>
      </c>
      <c r="X243" s="157">
        <f t="shared" si="87"/>
        <v>46616</v>
      </c>
      <c r="Y243" s="383">
        <f t="shared" si="88"/>
        <v>27.328101600256058</v>
      </c>
      <c r="Z243" s="383">
        <f t="shared" si="89"/>
        <v>29.020360531477788</v>
      </c>
      <c r="AA243" s="384">
        <f t="shared" si="90"/>
        <v>31.212416963019599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7.0230268746536095E-2</v>
      </c>
      <c r="AD243" s="230">
        <f>(INDEX(Models!$BJ243:$BT243,,AH243)*(1-AF243)+INDEX(Models!$BJ243:$BT243,,AH243+1)*AF243-ERP_i)*AE243*Ramure*Pc/MaxiM</f>
        <v>1.2798244109177594E-3</v>
      </c>
      <c r="AE243" s="304">
        <f t="shared" si="92"/>
        <v>0.6</v>
      </c>
      <c r="AF243" s="177">
        <f t="shared" si="93"/>
        <v>0.97041736464637518</v>
      </c>
      <c r="AG243" s="799">
        <f t="shared" si="99"/>
        <v>2</v>
      </c>
      <c r="AH243" s="176">
        <f t="shared" si="94"/>
        <v>8</v>
      </c>
      <c r="AI243" s="224">
        <f t="shared" si="95"/>
        <v>2.9704173646463752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'2026'!Wh/'2026'!Env_an*'2027'!Env_an</f>
        <v>36.570220043820818</v>
      </c>
      <c r="C244" s="829"/>
      <c r="D244" s="391">
        <f t="shared" si="77"/>
        <v>38.835530016278021</v>
      </c>
      <c r="E244" s="383">
        <f t="shared" si="100"/>
        <v>39.621332479246917</v>
      </c>
      <c r="F244" s="383">
        <f t="shared" si="78"/>
        <v>39.624137396263876</v>
      </c>
      <c r="G244" s="110">
        <f t="shared" si="101"/>
        <v>0.69642660404767065</v>
      </c>
      <c r="H244" s="412" t="b">
        <f>Wh_hp&gt;='2026'!Maxi_hp</f>
        <v>0</v>
      </c>
      <c r="I244" s="388">
        <f>IF(H244,Wh_hp,'2026'!Maxi_hp)</f>
        <v>54.287330596628593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5.8330862782294823E-2</v>
      </c>
      <c r="M244" s="832"/>
      <c r="N244" s="832"/>
      <c r="O244" s="48">
        <f>IF(t&lt;Tnet,'2026'!Resal+('2026'!Salim-'2026'!Resal)*(1-EXP(('2026'!Tnet-t)/('2026'!Tau_j))),Resal+(Salim-Resal)*(1-EXP((Tnet-t)/(Tau_j))))*Salcycl</f>
        <v>1.9832812623868438E-2</v>
      </c>
      <c r="P244" s="169">
        <f>(INDEX(Models!$BJ244:$BT244,,T244)*(1-R244)+INDEX(Models!$BJ244:$BT244,,T244+1)*R244-ERP_i)*Q244*Ramure*Pc/MaxiM</f>
        <v>1.2498390575133749E-4</v>
      </c>
      <c r="Q244" s="304">
        <f t="shared" si="80"/>
        <v>0.6</v>
      </c>
      <c r="R244" s="177">
        <f t="shared" si="81"/>
        <v>0.44652738307721029</v>
      </c>
      <c r="S244" s="799">
        <f t="shared" si="82"/>
        <v>-1</v>
      </c>
      <c r="T244" s="176">
        <f t="shared" si="83"/>
        <v>5</v>
      </c>
      <c r="U244" s="250">
        <f t="shared" si="84"/>
        <v>-0.55347261692278971</v>
      </c>
      <c r="V244" s="382">
        <f t="shared" si="85"/>
        <v>52.508387442524274</v>
      </c>
      <c r="W244" s="400">
        <f t="shared" si="86"/>
        <v>36.570220043820818</v>
      </c>
      <c r="X244" s="157">
        <f t="shared" si="87"/>
        <v>46617</v>
      </c>
      <c r="Y244" s="383">
        <f t="shared" si="88"/>
        <v>34.664876956835556</v>
      </c>
      <c r="Z244" s="383">
        <f t="shared" si="89"/>
        <v>36.81216213505504</v>
      </c>
      <c r="AA244" s="384">
        <f t="shared" si="90"/>
        <v>39.59459207972764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7.027297917528498E-2</v>
      </c>
      <c r="AD244" s="230">
        <f>(INDEX(Models!$BJ244:$BT244,,AH244)*(1-AF244)+INDEX(Models!$BJ244:$BT244,,AH244+1)*AF244-ERP_i)*AE244*Ramure*Pc/MaxiM</f>
        <v>1.3165056345802392E-3</v>
      </c>
      <c r="AE244" s="304">
        <f t="shared" si="92"/>
        <v>0.6</v>
      </c>
      <c r="AF244" s="177">
        <f t="shared" si="93"/>
        <v>0.97151494945118877</v>
      </c>
      <c r="AG244" s="799">
        <f t="shared" si="99"/>
        <v>2</v>
      </c>
      <c r="AH244" s="176">
        <f t="shared" si="94"/>
        <v>8</v>
      </c>
      <c r="AI244" s="224">
        <f t="shared" si="95"/>
        <v>2.9715149494511888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'2026'!Wh/'2026'!Env_an*'2027'!Env_an</f>
        <v>41.656442742822172</v>
      </c>
      <c r="C245" s="829"/>
      <c r="D245" s="391">
        <f t="shared" si="77"/>
        <v>44.237662091620017</v>
      </c>
      <c r="E245" s="383">
        <f t="shared" si="100"/>
        <v>45.137241434375696</v>
      </c>
      <c r="F245" s="383">
        <f t="shared" si="78"/>
        <v>45.14135587910922</v>
      </c>
      <c r="G245" s="110">
        <f t="shared" si="101"/>
        <v>0.79596170720206716</v>
      </c>
      <c r="H245" s="412" t="b">
        <f>Wh_hp&gt;='2026'!Maxi_hp</f>
        <v>0</v>
      </c>
      <c r="I245" s="388">
        <f>IF(H245,Wh_hp,'2026'!Maxi_hp)</f>
        <v>46.197672752985881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5.834890965648043E-2</v>
      </c>
      <c r="M245" s="832"/>
      <c r="N245" s="832"/>
      <c r="O245" s="48">
        <f>IF(t&lt;Tnet,'2026'!Resal+('2026'!Salim-'2026'!Resal)*(1-EXP(('2026'!Tnet-t)/('2026'!Tau_j))),Resal+(Salim-Resal)*(1-EXP((Tnet-t)/(Tau_j))))*Salcycl</f>
        <v>1.9929869752088512E-2</v>
      </c>
      <c r="P245" s="169">
        <f>(INDEX(Models!$BJ245:$BT245,,T245)*(1-R245)+INDEX(Models!$BJ245:$BT245,,T245+1)*R245-ERP_i)*Q245*Ramure*Pc/MaxiM</f>
        <v>1.2863536844963231E-4</v>
      </c>
      <c r="Q245" s="304">
        <f t="shared" si="80"/>
        <v>0.6</v>
      </c>
      <c r="R245" s="177">
        <f t="shared" si="81"/>
        <v>0.44758558712664964</v>
      </c>
      <c r="S245" s="799">
        <f t="shared" si="82"/>
        <v>-1</v>
      </c>
      <c r="T245" s="176">
        <f t="shared" si="83"/>
        <v>5</v>
      </c>
      <c r="U245" s="250">
        <f t="shared" si="84"/>
        <v>-0.55241441287335036</v>
      </c>
      <c r="V245" s="382">
        <f t="shared" si="85"/>
        <v>52.332769957727514</v>
      </c>
      <c r="W245" s="400">
        <f t="shared" si="86"/>
        <v>41.656442742822172</v>
      </c>
      <c r="X245" s="157">
        <f t="shared" si="87"/>
        <v>46618</v>
      </c>
      <c r="Y245" s="383">
        <f t="shared" si="88"/>
        <v>39.480552398703878</v>
      </c>
      <c r="Z245" s="383">
        <f t="shared" si="89"/>
        <v>41.92694385804954</v>
      </c>
      <c r="AA245" s="384">
        <f t="shared" si="90"/>
        <v>45.098031727209211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7.0315438339772274E-2</v>
      </c>
      <c r="AD245" s="230">
        <f>(INDEX(Models!$BJ245:$BT245,,AH245)*(1-AF245)+INDEX(Models!$BJ245:$BT245,,AH245+1)*AF245-ERP_i)*AE245*Ramure*Pc/MaxiM</f>
        <v>1.3545006928919277E-3</v>
      </c>
      <c r="AE245" s="304">
        <f t="shared" si="92"/>
        <v>0.6</v>
      </c>
      <c r="AF245" s="177">
        <f t="shared" si="93"/>
        <v>0.97257315350062834</v>
      </c>
      <c r="AG245" s="799">
        <f t="shared" si="99"/>
        <v>2</v>
      </c>
      <c r="AH245" s="176">
        <f t="shared" si="94"/>
        <v>8</v>
      </c>
      <c r="AI245" s="224">
        <f t="shared" si="95"/>
        <v>2.9725731535006283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'2026'!Wh/'2026'!Env_an*'2027'!Env_an</f>
        <v>50.024825370731385</v>
      </c>
      <c r="C246" s="829"/>
      <c r="D246" s="391">
        <f t="shared" si="77"/>
        <v>53.125605244317541</v>
      </c>
      <c r="E246" s="383">
        <f t="shared" si="100"/>
        <v>54.211281369671418</v>
      </c>
      <c r="F246" s="383">
        <f t="shared" si="78"/>
        <v>54.218042380770775</v>
      </c>
      <c r="G246" s="110">
        <f t="shared" si="101"/>
        <v>0.95918355674657141</v>
      </c>
      <c r="H246" s="412" t="b">
        <f>Wh_hp&gt;='2026'!Maxi_hp</f>
        <v>0</v>
      </c>
      <c r="I246" s="388">
        <f>IF(H246,Wh_hp,'2026'!Maxi_hp)</f>
        <v>54.218312684414222</v>
      </c>
      <c r="J246" s="85">
        <f>IF(H246,An,'2026'!An_max)</f>
        <v>2026</v>
      </c>
      <c r="K246" s="197">
        <f t="shared" si="79"/>
        <v>46619</v>
      </c>
      <c r="L246" s="147">
        <f>IF(t&lt;Tvie,1-EXP((T0-t)*PertePVj)+'2026'!Pspv,1-EXP((T0-t)*PertePVj)+Pspv)</f>
        <v>5.8366956184801699E-2</v>
      </c>
      <c r="M246" s="832"/>
      <c r="N246" s="832"/>
      <c r="O246" s="48">
        <f>IF(t&lt;Tnet,'2026'!Resal+('2026'!Salim-'2026'!Resal)*(1-EXP(('2026'!Tnet-t)/('2026'!Tau_j))),Resal+(Salim-Resal)*(1-EXP((Tnet-t)/(Tau_j))))*Salcycl</f>
        <v>2.0026756385825954E-2</v>
      </c>
      <c r="P246" s="169">
        <f>(INDEX(Models!$BJ246:$BT246,,T246)*(1-R246)+INDEX(Models!$BJ246:$BT246,,T246+1)*R246-ERP_i)*Q246*Ramure*Pc/MaxiM</f>
        <v>1.3242031346860129E-4</v>
      </c>
      <c r="Q246" s="304">
        <f t="shared" si="80"/>
        <v>0.6</v>
      </c>
      <c r="R246" s="177">
        <f t="shared" si="81"/>
        <v>0.4486056461959349</v>
      </c>
      <c r="S246" s="799">
        <f t="shared" si="82"/>
        <v>-1</v>
      </c>
      <c r="T246" s="176">
        <f t="shared" si="83"/>
        <v>5</v>
      </c>
      <c r="U246" s="250">
        <f t="shared" si="84"/>
        <v>-0.5513943538040651</v>
      </c>
      <c r="V246" s="382">
        <f t="shared" si="85"/>
        <v>52.153145018962611</v>
      </c>
      <c r="W246" s="400">
        <f t="shared" si="86"/>
        <v>50.024825370731385</v>
      </c>
      <c r="X246" s="157">
        <f t="shared" si="87"/>
        <v>46619</v>
      </c>
      <c r="Y246" s="383">
        <f t="shared" si="88"/>
        <v>47.399199945691464</v>
      </c>
      <c r="Z246" s="383">
        <f t="shared" si="89"/>
        <v>50.33723089585402</v>
      </c>
      <c r="AA246" s="384">
        <f t="shared" si="90"/>
        <v>54.146877299674557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7.0357638220504198E-2</v>
      </c>
      <c r="AD246" s="230">
        <f>(INDEX(Models!$BJ246:$BT246,,AH246)*(1-AF246)+INDEX(Models!$BJ246:$BT246,,AH246+1)*AF246-ERP_i)*AE246*Ramure*Pc/MaxiM</f>
        <v>1.3938303322230667E-3</v>
      </c>
      <c r="AE246" s="304">
        <f t="shared" si="92"/>
        <v>0.6</v>
      </c>
      <c r="AF246" s="177">
        <f t="shared" si="93"/>
        <v>0.97359321256991338</v>
      </c>
      <c r="AG246" s="799">
        <f t="shared" si="99"/>
        <v>2</v>
      </c>
      <c r="AH246" s="176">
        <f t="shared" si="94"/>
        <v>8</v>
      </c>
      <c r="AI246" s="224">
        <f t="shared" si="95"/>
        <v>2.9735932125699134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'2026'!Wh/'2026'!Env_an*'2027'!Env_an</f>
        <v>33.79133891939091</v>
      </c>
      <c r="C247" s="829"/>
      <c r="D247" s="391">
        <f t="shared" si="77"/>
        <v>35.886576790242259</v>
      </c>
      <c r="E247" s="383">
        <f t="shared" si="100"/>
        <v>36.623570084285305</v>
      </c>
      <c r="F247" s="383">
        <f t="shared" si="78"/>
        <v>36.626068381032972</v>
      </c>
      <c r="G247" s="110">
        <f t="shared" si="101"/>
        <v>0.65016653711362959</v>
      </c>
      <c r="H247" s="412" t="b">
        <f>Wh_hp&gt;='2026'!Maxi_hp</f>
        <v>0</v>
      </c>
      <c r="I247" s="388">
        <f>IF(H247,Wh_hp,'2026'!Maxi_hp)</f>
        <v>54.553633144965026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5.8385002367265404E-2</v>
      </c>
      <c r="M247" s="832"/>
      <c r="N247" s="832"/>
      <c r="O247" s="48">
        <f>IF(t&lt;Tnet,'2026'!Resal+('2026'!Salim-'2026'!Resal)*(1-EXP(('2026'!Tnet-t)/('2026'!Tau_j))),Resal+(Salim-Resal)*(1-EXP((Tnet-t)/(Tau_j))))*Salcycl</f>
        <v>2.0123469458246095E-2</v>
      </c>
      <c r="P247" s="169">
        <f>(INDEX(Models!$BJ247:$BT247,,T247)*(1-R247)+INDEX(Models!$BJ247:$BT247,,T247+1)*R247-ERP_i)*Q247*Ramure*Pc/MaxiM</f>
        <v>1.3633965112804652E-4</v>
      </c>
      <c r="Q247" s="304">
        <f t="shared" si="80"/>
        <v>0.6</v>
      </c>
      <c r="R247" s="177">
        <f t="shared" si="81"/>
        <v>0.44958877067959913</v>
      </c>
      <c r="S247" s="799">
        <f t="shared" si="82"/>
        <v>-1</v>
      </c>
      <c r="T247" s="176">
        <f t="shared" si="83"/>
        <v>5</v>
      </c>
      <c r="U247" s="250">
        <f t="shared" si="84"/>
        <v>-0.55041122932040087</v>
      </c>
      <c r="V247" s="382">
        <f t="shared" si="85"/>
        <v>51.969817995122526</v>
      </c>
      <c r="W247" s="400">
        <f t="shared" si="86"/>
        <v>33.79133891939091</v>
      </c>
      <c r="X247" s="157">
        <f t="shared" si="87"/>
        <v>46620</v>
      </c>
      <c r="Y247" s="383">
        <f t="shared" si="88"/>
        <v>32.036730440405456</v>
      </c>
      <c r="Z247" s="383">
        <f t="shared" si="89"/>
        <v>34.023173506101045</v>
      </c>
      <c r="AA247" s="384">
        <f t="shared" si="90"/>
        <v>36.599782466047273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7.0399570334509026E-2</v>
      </c>
      <c r="AD247" s="230">
        <f>(INDEX(Models!$BJ247:$BT247,,AH247)*(1-AF247)+INDEX(Models!$BJ247:$BT247,,AH247+1)*AF247-ERP_i)*AE247*Ramure*Pc/MaxiM</f>
        <v>1.4345023192630726E-3</v>
      </c>
      <c r="AE247" s="304">
        <f t="shared" si="92"/>
        <v>0.6</v>
      </c>
      <c r="AF247" s="177">
        <f t="shared" si="93"/>
        <v>0.97457633705357782</v>
      </c>
      <c r="AG247" s="799">
        <f t="shared" si="99"/>
        <v>2</v>
      </c>
      <c r="AH247" s="176">
        <f t="shared" si="94"/>
        <v>8</v>
      </c>
      <c r="AI247" s="224">
        <f t="shared" si="95"/>
        <v>2.9745763370535778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'2026'!Wh/'2026'!Env_an*'2027'!Env_an</f>
        <v>26.930737237734181</v>
      </c>
      <c r="C248" s="829"/>
      <c r="D248" s="391">
        <f t="shared" si="77"/>
        <v>28.601130437352271</v>
      </c>
      <c r="E248" s="383">
        <f t="shared" si="100"/>
        <v>29.191380314930406</v>
      </c>
      <c r="F248" s="383">
        <f t="shared" si="78"/>
        <v>29.192668960112208</v>
      </c>
      <c r="G248" s="110">
        <f t="shared" si="101"/>
        <v>0.52001672085942208</v>
      </c>
      <c r="H248" s="412" t="b">
        <f>Wh_hp&gt;='2026'!Maxi_hp</f>
        <v>0</v>
      </c>
      <c r="I248" s="388">
        <f>IF(H248,Wh_hp,'2026'!Maxi_hp)</f>
        <v>56.59830554422004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5.8403048203878094E-2</v>
      </c>
      <c r="M248" s="832"/>
      <c r="N248" s="832"/>
      <c r="O248" s="48">
        <f>IF(t&lt;Tnet,'2026'!Resal+('2026'!Salim-'2026'!Resal)*(1-EXP(('2026'!Tnet-t)/('2026'!Tau_j))),Resal+(Salim-Resal)*(1-EXP((Tnet-t)/(Tau_j))))*Salcycl</f>
        <v>2.0220005741771688E-2</v>
      </c>
      <c r="P248" s="169">
        <f>(INDEX(Models!$BJ248:$BT248,,T248)*(1-R248)+INDEX(Models!$BJ248:$BT248,,T248+1)*R248-ERP_i)*Q248*Ramure*Pc/MaxiM</f>
        <v>1.4041163114178094E-4</v>
      </c>
      <c r="Q248" s="304">
        <f t="shared" si="80"/>
        <v>0.6</v>
      </c>
      <c r="R248" s="177">
        <f t="shared" si="81"/>
        <v>0.45053614503121753</v>
      </c>
      <c r="S248" s="799">
        <f t="shared" si="82"/>
        <v>-1</v>
      </c>
      <c r="T248" s="176">
        <f t="shared" si="83"/>
        <v>5</v>
      </c>
      <c r="U248" s="250">
        <f t="shared" si="84"/>
        <v>-0.54946385496878247</v>
      </c>
      <c r="V248" s="382">
        <f t="shared" si="85"/>
        <v>51.783228214844513</v>
      </c>
      <c r="W248" s="400">
        <f t="shared" si="86"/>
        <v>26.930737237734181</v>
      </c>
      <c r="X248" s="157">
        <f t="shared" si="87"/>
        <v>46621</v>
      </c>
      <c r="Y248" s="383">
        <f t="shared" si="88"/>
        <v>25.539594943510323</v>
      </c>
      <c r="Z248" s="383">
        <f t="shared" si="89"/>
        <v>27.123701807650129</v>
      </c>
      <c r="AA248" s="384">
        <f t="shared" si="90"/>
        <v>29.179114392329897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7.0441225770034324E-2</v>
      </c>
      <c r="AD248" s="230">
        <f>(INDEX(Models!$BJ248:$BT248,,AH248)*(1-AF248)+INDEX(Models!$BJ248:$BT248,,AH248+1)*AF248-ERP_i)*AE248*Ramure*Pc/MaxiM</f>
        <v>1.4769146686860984E-3</v>
      </c>
      <c r="AE248" s="304">
        <f t="shared" si="92"/>
        <v>0.6</v>
      </c>
      <c r="AF248" s="177">
        <f t="shared" si="93"/>
        <v>0.975523711405196</v>
      </c>
      <c r="AG248" s="799">
        <f t="shared" si="99"/>
        <v>2</v>
      </c>
      <c r="AH248" s="176">
        <f t="shared" si="94"/>
        <v>8</v>
      </c>
      <c r="AI248" s="224">
        <f t="shared" si="95"/>
        <v>2.975523711405196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'2026'!Wh/'2026'!Env_an*'2027'!Env_an</f>
        <v>48.839703460180026</v>
      </c>
      <c r="C249" s="829"/>
      <c r="D249" s="391">
        <f t="shared" si="77"/>
        <v>51.870005936965349</v>
      </c>
      <c r="E249" s="383">
        <f t="shared" si="100"/>
        <v>52.945669313315605</v>
      </c>
      <c r="F249" s="383">
        <f t="shared" si="78"/>
        <v>52.952742127719993</v>
      </c>
      <c r="G249" s="110">
        <f t="shared" si="101"/>
        <v>0.9466169038011174</v>
      </c>
      <c r="H249" s="412" t="b">
        <f>Wh_hp&gt;='2026'!Maxi_hp</f>
        <v>0</v>
      </c>
      <c r="I249" s="388">
        <f>IF(H249,Wh_hp,'2026'!Maxi_hp)</f>
        <v>53.920594526150673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5.8421093694646542E-2</v>
      </c>
      <c r="M249" s="832"/>
      <c r="N249" s="832"/>
      <c r="O249" s="48">
        <f>IF(t&lt;Tnet,'2026'!Resal+('2026'!Salim-'2026'!Resal)*(1-EXP(('2026'!Tnet-t)/('2026'!Tau_j))),Resal+(Salim-Resal)*(1-EXP((Tnet-t)/(Tau_j))))*Salcycl</f>
        <v>2.0316361853597989E-2</v>
      </c>
      <c r="P249" s="169">
        <f>(INDEX(Models!$BJ249:$BT249,,T249)*(1-R249)+INDEX(Models!$BJ249:$BT249,,T249+1)*R249-ERP_i)*Q249*Ramure*Pc/MaxiM</f>
        <v>1.445931713854608E-4</v>
      </c>
      <c r="Q249" s="304">
        <f t="shared" si="80"/>
        <v>0.6</v>
      </c>
      <c r="R249" s="177">
        <f t="shared" si="81"/>
        <v>0.45144892731560371</v>
      </c>
      <c r="S249" s="799">
        <f t="shared" si="82"/>
        <v>-1</v>
      </c>
      <c r="T249" s="176">
        <f t="shared" si="83"/>
        <v>5</v>
      </c>
      <c r="U249" s="250">
        <f t="shared" si="84"/>
        <v>-0.54855107268439629</v>
      </c>
      <c r="V249" s="382">
        <f t="shared" si="85"/>
        <v>51.59337927183676</v>
      </c>
      <c r="W249" s="400">
        <f t="shared" si="86"/>
        <v>48.839703460180026</v>
      </c>
      <c r="X249" s="157">
        <f t="shared" si="87"/>
        <v>46622</v>
      </c>
      <c r="Y249" s="383">
        <f t="shared" si="88"/>
        <v>46.279887597979261</v>
      </c>
      <c r="Z249" s="383">
        <f t="shared" si="89"/>
        <v>49.151364041890211</v>
      </c>
      <c r="AA249" s="384">
        <f t="shared" si="90"/>
        <v>52.878368698429142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7.048259521382795E-2</v>
      </c>
      <c r="AD249" s="230">
        <f>(INDEX(Models!$BJ249:$BT249,,AH249)*(1-AF249)+INDEX(Models!$BJ249:$BT249,,AH249+1)*AF249-ERP_i)*AE249*Ramure*Pc/MaxiM</f>
        <v>1.5204541492416714E-3</v>
      </c>
      <c r="AE249" s="304">
        <f t="shared" si="92"/>
        <v>0.6</v>
      </c>
      <c r="AF249" s="177">
        <f t="shared" si="93"/>
        <v>0.97643649368958263</v>
      </c>
      <c r="AG249" s="799">
        <f t="shared" si="99"/>
        <v>2</v>
      </c>
      <c r="AH249" s="176">
        <f t="shared" si="94"/>
        <v>8</v>
      </c>
      <c r="AI249" s="224">
        <f t="shared" si="95"/>
        <v>2.9764364936895826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'2026'!Wh/'2026'!Env_an*'2027'!Env_an</f>
        <v>46.560805839573916</v>
      </c>
      <c r="C250" s="829"/>
      <c r="D250" s="391">
        <f t="shared" si="77"/>
        <v>49.450659814162456</v>
      </c>
      <c r="E250" s="383">
        <f t="shared" si="100"/>
        <v>50.481107143167023</v>
      </c>
      <c r="F250" s="383">
        <f t="shared" si="78"/>
        <v>50.487612971495828</v>
      </c>
      <c r="G250" s="110">
        <f t="shared" si="101"/>
        <v>0.90582930962669539</v>
      </c>
      <c r="H250" s="412" t="b">
        <f>Wh_hp&gt;='2026'!Maxi_hp</f>
        <v>0</v>
      </c>
      <c r="I250" s="388">
        <f>IF(H250,Wh_hp,'2026'!Maxi_hp)</f>
        <v>53.710943273979339</v>
      </c>
      <c r="J250" s="85">
        <f>IF(H250,An,'2026'!An_max)</f>
        <v>2018</v>
      </c>
      <c r="K250" s="197">
        <f t="shared" si="79"/>
        <v>46623</v>
      </c>
      <c r="L250" s="147">
        <f>IF(t&lt;Tvie,1-EXP((T0-t)*PertePVj)+'2026'!Pspv,1-EXP((T0-t)*PertePVj)+Pspv)</f>
        <v>5.8439138839577187E-2</v>
      </c>
      <c r="M250" s="832"/>
      <c r="N250" s="832"/>
      <c r="O250" s="48">
        <f>IF(t&lt;Tnet,'2026'!Resal+('2026'!Salim-'2026'!Resal)*(1-EXP(('2026'!Tnet-t)/('2026'!Tau_j))),Resal+(Salim-Resal)*(1-EXP((Tnet-t)/(Tau_j))))*Salcycl</f>
        <v>2.0412534259246089E-2</v>
      </c>
      <c r="P250" s="169">
        <f>(INDEX(Models!$BJ250:$BT250,,T250)*(1-R250)+INDEX(Models!$BJ250:$BT250,,T250+1)*R250-ERP_i)*Q250*Ramure*Pc/MaxiM</f>
        <v>1.4888553829770678E-4</v>
      </c>
      <c r="Q250" s="304">
        <f t="shared" si="80"/>
        <v>0.6</v>
      </c>
      <c r="R250" s="177">
        <f t="shared" si="81"/>
        <v>0.45232824886526801</v>
      </c>
      <c r="S250" s="799">
        <f t="shared" si="82"/>
        <v>-1</v>
      </c>
      <c r="T250" s="176">
        <f t="shared" si="83"/>
        <v>5</v>
      </c>
      <c r="U250" s="250">
        <f t="shared" si="84"/>
        <v>-0.54767175113473199</v>
      </c>
      <c r="V250" s="382">
        <f t="shared" si="85"/>
        <v>51.400272451266801</v>
      </c>
      <c r="W250" s="400">
        <f t="shared" si="86"/>
        <v>46.560805839573916</v>
      </c>
      <c r="X250" s="157">
        <f t="shared" si="87"/>
        <v>46623</v>
      </c>
      <c r="Y250" s="383">
        <f t="shared" si="88"/>
        <v>44.124812025599901</v>
      </c>
      <c r="Z250" s="383">
        <f t="shared" si="89"/>
        <v>46.863473032660316</v>
      </c>
      <c r="AA250" s="384">
        <f t="shared" si="90"/>
        <v>50.419221520976549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7.0523668970908088E-2</v>
      </c>
      <c r="AD250" s="230">
        <f>(INDEX(Models!$BJ250:$BT250,,AH250)*(1-AF250)+INDEX(Models!$BJ250:$BT250,,AH250+1)*AF250-ERP_i)*AE250*Ramure*Pc/MaxiM</f>
        <v>1.5651347393283407E-3</v>
      </c>
      <c r="AE250" s="304">
        <f t="shared" si="92"/>
        <v>0.6</v>
      </c>
      <c r="AF250" s="177">
        <f t="shared" si="93"/>
        <v>0.97731581523924671</v>
      </c>
      <c r="AG250" s="799">
        <f t="shared" si="99"/>
        <v>2</v>
      </c>
      <c r="AH250" s="176">
        <f t="shared" si="94"/>
        <v>8</v>
      </c>
      <c r="AI250" s="224">
        <f t="shared" si="95"/>
        <v>2.9773158152392467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'2026'!Wh/'2026'!Env_an*'2027'!Env_an</f>
        <v>32.643918217559282</v>
      </c>
      <c r="C251" s="829"/>
      <c r="D251" s="391">
        <f t="shared" si="77"/>
        <v>34.670667812765686</v>
      </c>
      <c r="E251" s="383">
        <f t="shared" si="100"/>
        <v>35.396599659112169</v>
      </c>
      <c r="F251" s="383">
        <f t="shared" si="78"/>
        <v>35.399216150181097</v>
      </c>
      <c r="G251" s="110">
        <f t="shared" si="101"/>
        <v>0.63747724512738901</v>
      </c>
      <c r="H251" s="412" t="b">
        <f>Wh_hp&gt;='2026'!Maxi_hp</f>
        <v>0</v>
      </c>
      <c r="I251" s="388">
        <f>IF(H251,Wh_hp,'2026'!Maxi_hp)</f>
        <v>50.59926404911738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5.8457183638676802E-2</v>
      </c>
      <c r="M251" s="832"/>
      <c r="N251" s="832"/>
      <c r="O251" s="48">
        <f>IF(t&lt;Tnet,'2026'!Resal+('2026'!Salim-'2026'!Resal)*(1-EXP(('2026'!Tnet-t)/('2026'!Tau_j))),Resal+(Salim-Resal)*(1-EXP((Tnet-t)/(Tau_j))))*Salcycl</f>
        <v>2.0508519274099357E-2</v>
      </c>
      <c r="P251" s="169">
        <f>(INDEX(Models!$BJ251:$BT251,,T251)*(1-R251)+INDEX(Models!$BJ251:$BT251,,T251+1)*R251-ERP_i)*Q251*Ramure*Pc/MaxiM</f>
        <v>1.5329007395155093E-4</v>
      </c>
      <c r="Q251" s="304">
        <f t="shared" si="80"/>
        <v>0.6</v>
      </c>
      <c r="R251" s="177">
        <f t="shared" si="81"/>
        <v>0.45317521403323258</v>
      </c>
      <c r="S251" s="799">
        <f t="shared" si="82"/>
        <v>-1</v>
      </c>
      <c r="T251" s="176">
        <f t="shared" si="83"/>
        <v>5</v>
      </c>
      <c r="U251" s="250">
        <f t="shared" si="84"/>
        <v>-0.54682478596676742</v>
      </c>
      <c r="V251" s="382">
        <f t="shared" si="85"/>
        <v>51.203909038907703</v>
      </c>
      <c r="W251" s="400">
        <f t="shared" si="86"/>
        <v>32.643918217559282</v>
      </c>
      <c r="X251" s="157">
        <f t="shared" si="87"/>
        <v>46624</v>
      </c>
      <c r="Y251" s="383">
        <f t="shared" si="88"/>
        <v>30.953910475634068</v>
      </c>
      <c r="Z251" s="383">
        <f t="shared" si="89"/>
        <v>32.875733251577699</v>
      </c>
      <c r="AA251" s="384">
        <f t="shared" si="90"/>
        <v>35.371718664007041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7.0564436976854189E-2</v>
      </c>
      <c r="AD251" s="230">
        <f>(INDEX(Models!$BJ251:$BT251,,AH251)*(1-AF251)+INDEX(Models!$BJ251:$BT251,,AH251+1)*AF251-ERP_i)*AE251*Ramure*Pc/MaxiM</f>
        <v>1.6109711740119397E-3</v>
      </c>
      <c r="AE251" s="304">
        <f t="shared" si="92"/>
        <v>0.6</v>
      </c>
      <c r="AF251" s="177">
        <f t="shared" si="93"/>
        <v>0.9781627804072115</v>
      </c>
      <c r="AG251" s="799">
        <f t="shared" si="99"/>
        <v>2</v>
      </c>
      <c r="AH251" s="176">
        <f t="shared" si="94"/>
        <v>8</v>
      </c>
      <c r="AI251" s="224">
        <f t="shared" si="95"/>
        <v>2.9781627804072115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'2026'!Wh/'2026'!Env_an*'2027'!Env_an</f>
        <v>43.35083844488279</v>
      </c>
      <c r="C252" s="829"/>
      <c r="D252" s="391">
        <f t="shared" si="77"/>
        <v>46.043226623798866</v>
      </c>
      <c r="E252" s="383">
        <f t="shared" si="100"/>
        <v>47.011873993229237</v>
      </c>
      <c r="F252" s="383">
        <f t="shared" si="78"/>
        <v>47.017703230512254</v>
      </c>
      <c r="G252" s="110">
        <f t="shared" si="101"/>
        <v>0.84991618336950969</v>
      </c>
      <c r="H252" s="412" t="b">
        <f>Wh_hp&gt;='2026'!Maxi_hp</f>
        <v>0</v>
      </c>
      <c r="I252" s="388">
        <f>IF(H252,Wh_hp,'2026'!Maxi_hp)</f>
        <v>53.844483293966427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5.8475228091951936E-2</v>
      </c>
      <c r="M252" s="832"/>
      <c r="N252" s="832"/>
      <c r="O252" s="48">
        <f>IF(t&lt;Tnet,'2026'!Resal+('2026'!Salim-'2026'!Resal)*(1-EXP(('2026'!Tnet-t)/('2026'!Tau_j))),Resal+(Salim-Resal)*(1-EXP((Tnet-t)/(Tau_j))))*Salcycl</f>
        <v>2.0604313062905683E-2</v>
      </c>
      <c r="P252" s="169">
        <f>(INDEX(Models!$BJ252:$BT252,,T252)*(1-R252)+INDEX(Models!$BJ252:$BT252,,T252+1)*R252-ERP_i)*Q252*Ramure*Pc/MaxiM</f>
        <v>1.5780805008517134E-4</v>
      </c>
      <c r="Q252" s="304">
        <f t="shared" si="80"/>
        <v>0.6</v>
      </c>
      <c r="R252" s="177">
        <f t="shared" si="81"/>
        <v>0.45399090003463627</v>
      </c>
      <c r="S252" s="799">
        <f t="shared" si="82"/>
        <v>-1</v>
      </c>
      <c r="T252" s="176">
        <f t="shared" si="83"/>
        <v>5</v>
      </c>
      <c r="U252" s="250">
        <f t="shared" si="84"/>
        <v>-0.54600909996536373</v>
      </c>
      <c r="V252" s="382">
        <f t="shared" si="85"/>
        <v>51.004290329733415</v>
      </c>
      <c r="W252" s="400">
        <f t="shared" si="86"/>
        <v>43.35083844488279</v>
      </c>
      <c r="X252" s="157">
        <f t="shared" si="87"/>
        <v>46625</v>
      </c>
      <c r="Y252" s="383">
        <f t="shared" si="88"/>
        <v>41.089180448966935</v>
      </c>
      <c r="Z252" s="383">
        <f t="shared" si="89"/>
        <v>43.641103957039398</v>
      </c>
      <c r="AA252" s="384">
        <f t="shared" si="90"/>
        <v>46.956459563061458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7.0604888802777252E-2</v>
      </c>
      <c r="AD252" s="230">
        <f>(INDEX(Models!$BJ252:$BT252,,AH252)*(1-AF252)+INDEX(Models!$BJ252:$BT252,,AH252+1)*AF252-ERP_i)*AE252*Ramure*Pc/MaxiM</f>
        <v>1.6579774113211576E-3</v>
      </c>
      <c r="AE252" s="304">
        <f t="shared" si="92"/>
        <v>0.6</v>
      </c>
      <c r="AF252" s="177">
        <f t="shared" si="93"/>
        <v>0.97897846640861497</v>
      </c>
      <c r="AG252" s="799">
        <f t="shared" si="99"/>
        <v>2</v>
      </c>
      <c r="AH252" s="176">
        <f t="shared" si="94"/>
        <v>8</v>
      </c>
      <c r="AI252" s="224">
        <f t="shared" si="95"/>
        <v>2.978978466408615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'2026'!Wh/'2026'!Env_an*'2027'!Env_an</f>
        <v>49.299502868528755</v>
      </c>
      <c r="C253" s="829"/>
      <c r="D253" s="391">
        <f t="shared" si="77"/>
        <v>52.362347939557459</v>
      </c>
      <c r="E253" s="383">
        <f t="shared" si="100"/>
        <v>53.469154717529648</v>
      </c>
      <c r="F253" s="383">
        <f t="shared" si="78"/>
        <v>53.477474747836268</v>
      </c>
      <c r="G253" s="110">
        <f t="shared" si="101"/>
        <v>0.97042891513352669</v>
      </c>
      <c r="H253" s="412" t="b">
        <f>Wh_hp&gt;='2026'!Maxi_hp</f>
        <v>0</v>
      </c>
      <c r="I253" s="388">
        <f>IF(H253,Wh_hp,'2026'!Maxi_hp)</f>
        <v>53.47771066244259</v>
      </c>
      <c r="J253" s="85">
        <f>IF(H253,An,'2026'!An_max)</f>
        <v>2026</v>
      </c>
      <c r="K253" s="197">
        <f t="shared" si="79"/>
        <v>46626</v>
      </c>
      <c r="L253" s="147">
        <f>IF(t&lt;Tvie,1-EXP((T0-t)*PertePVj)+'2026'!Pspv,1-EXP((T0-t)*PertePVj)+Pspv)</f>
        <v>5.8493272199409141E-2</v>
      </c>
      <c r="M253" s="832"/>
      <c r="N253" s="832"/>
      <c r="O253" s="48">
        <f>IF(t&lt;Tnet,'2026'!Resal+('2026'!Salim-'2026'!Resal)*(1-EXP(('2026'!Tnet-t)/('2026'!Tau_j))),Resal+(Salim-Resal)*(1-EXP((Tnet-t)/(Tau_j))))*Salcycl</f>
        <v>2.0699911637266359E-2</v>
      </c>
      <c r="P253" s="169">
        <f>(INDEX(Models!$BJ253:$BT253,,T253)*(1-R253)+INDEX(Models!$BJ253:$BT253,,T253+1)*R253-ERP_i)*Q253*Ramure*Pc/MaxiM</f>
        <v>1.6244075771186967E-4</v>
      </c>
      <c r="Q253" s="304">
        <f t="shared" si="80"/>
        <v>0.6</v>
      </c>
      <c r="R253" s="177">
        <f t="shared" si="81"/>
        <v>0.45477635686988349</v>
      </c>
      <c r="S253" s="799">
        <f t="shared" si="82"/>
        <v>-1</v>
      </c>
      <c r="T253" s="176">
        <f t="shared" si="83"/>
        <v>5</v>
      </c>
      <c r="U253" s="250">
        <f t="shared" si="84"/>
        <v>-0.54522364313011651</v>
      </c>
      <c r="V253" s="382">
        <f t="shared" si="85"/>
        <v>50.801417620148655</v>
      </c>
      <c r="W253" s="400">
        <f t="shared" si="86"/>
        <v>49.299502868528755</v>
      </c>
      <c r="X253" s="157">
        <f t="shared" si="87"/>
        <v>46626</v>
      </c>
      <c r="Y253" s="383">
        <f t="shared" si="88"/>
        <v>46.716004115176595</v>
      </c>
      <c r="Z253" s="383">
        <f t="shared" si="89"/>
        <v>49.618343380623138</v>
      </c>
      <c r="AA253" s="384">
        <f t="shared" si="90"/>
        <v>53.390086790915653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7.0645013653251543E-2</v>
      </c>
      <c r="AD253" s="230">
        <f>(INDEX(Models!$BJ253:$BT253,,AH253)*(1-AF253)+INDEX(Models!$BJ253:$BT253,,AH253+1)*AF253-ERP_i)*AE253*Ramure*Pc/MaxiM</f>
        <v>1.7061675755882086E-3</v>
      </c>
      <c r="AE253" s="304">
        <f t="shared" si="92"/>
        <v>0.6</v>
      </c>
      <c r="AF253" s="177">
        <f t="shared" si="93"/>
        <v>0.97976392324386197</v>
      </c>
      <c r="AG253" s="799">
        <f t="shared" si="99"/>
        <v>2</v>
      </c>
      <c r="AH253" s="176">
        <f t="shared" si="94"/>
        <v>8</v>
      </c>
      <c r="AI253" s="224">
        <f t="shared" si="95"/>
        <v>2.979763923243862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'2026'!Wh/'2026'!Env_an*'2027'!Env_an</f>
        <v>48.226608383621922</v>
      </c>
      <c r="C254" s="829"/>
      <c r="D254" s="391">
        <f t="shared" si="77"/>
        <v>51.223779107712595</v>
      </c>
      <c r="E254" s="383">
        <f t="shared" si="100"/>
        <v>52.311615411317902</v>
      </c>
      <c r="F254" s="383">
        <f t="shared" si="78"/>
        <v>52.319777872392919</v>
      </c>
      <c r="G254" s="110">
        <f t="shared" si="101"/>
        <v>0.95317305408928832</v>
      </c>
      <c r="H254" s="412" t="b">
        <f>Wh_hp&gt;='2026'!Maxi_hp</f>
        <v>0</v>
      </c>
      <c r="I254" s="388">
        <f>IF(H254,Wh_hp,'2026'!Maxi_hp)</f>
        <v>54.734917062438733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5.8511315961055299E-2</v>
      </c>
      <c r="M254" s="832"/>
      <c r="N254" s="832"/>
      <c r="O254" s="48">
        <f>IF(t&lt;Tnet,'2026'!Resal+('2026'!Salim-'2026'!Resal)*(1-EXP(('2026'!Tnet-t)/('2026'!Tau_j))),Resal+(Salim-Resal)*(1-EXP((Tnet-t)/(Tau_j))))*Salcycl</f>
        <v>2.0795310851171828E-2</v>
      </c>
      <c r="P254" s="169">
        <f>(INDEX(Models!$BJ254:$BT254,,T254)*(1-R254)+INDEX(Models!$BJ254:$BT254,,T254+1)*R254-ERP_i)*Q254*Ramure*Pc/MaxiM</f>
        <v>1.6719293581438316E-4</v>
      </c>
      <c r="Q254" s="304">
        <f t="shared" si="80"/>
        <v>0.6</v>
      </c>
      <c r="R254" s="177">
        <f t="shared" si="81"/>
        <v>0.45553260732244327</v>
      </c>
      <c r="S254" s="799">
        <f t="shared" si="82"/>
        <v>-1</v>
      </c>
      <c r="T254" s="176">
        <f t="shared" si="83"/>
        <v>5</v>
      </c>
      <c r="U254" s="250">
        <f t="shared" si="84"/>
        <v>-0.54446739267755673</v>
      </c>
      <c r="V254" s="382">
        <f t="shared" si="85"/>
        <v>50.595292036353761</v>
      </c>
      <c r="W254" s="400">
        <f t="shared" si="86"/>
        <v>48.226608383621922</v>
      </c>
      <c r="X254" s="157">
        <f t="shared" si="87"/>
        <v>46627</v>
      </c>
      <c r="Y254" s="383">
        <f t="shared" si="88"/>
        <v>45.701632812438099</v>
      </c>
      <c r="Z254" s="383">
        <f t="shared" si="89"/>
        <v>48.54188222037903</v>
      </c>
      <c r="AA254" s="384">
        <f t="shared" si="90"/>
        <v>52.234034522472591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7.068480035761153E-2</v>
      </c>
      <c r="AD254" s="230">
        <f>(INDEX(Models!$BJ254:$BT254,,AH254)*(1-AF254)+INDEX(Models!$BJ254:$BT254,,AH254+1)*AF254-ERP_i)*AE254*Ramure*Pc/MaxiM</f>
        <v>1.7562941210974305E-3</v>
      </c>
      <c r="AE254" s="304">
        <f t="shared" si="92"/>
        <v>0.6</v>
      </c>
      <c r="AF254" s="177">
        <f t="shared" si="93"/>
        <v>0.98052017369642197</v>
      </c>
      <c r="AG254" s="799">
        <f t="shared" si="99"/>
        <v>2</v>
      </c>
      <c r="AH254" s="176">
        <f t="shared" si="94"/>
        <v>8</v>
      </c>
      <c r="AI254" s="224">
        <f t="shared" si="95"/>
        <v>2.980520173696422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'2026'!Wh/'2026'!Env_an*'2027'!Env_an</f>
        <v>32.999696468581917</v>
      </c>
      <c r="C255" s="829"/>
      <c r="D255" s="391">
        <f t="shared" si="77"/>
        <v>35.051222039958027</v>
      </c>
      <c r="E255" s="383">
        <f t="shared" si="100"/>
        <v>35.799083012555599</v>
      </c>
      <c r="F255" s="383">
        <f t="shared" si="78"/>
        <v>35.802205519298774</v>
      </c>
      <c r="G255" s="110">
        <f t="shared" si="101"/>
        <v>0.65488333913305419</v>
      </c>
      <c r="H255" s="412" t="b">
        <f>Wh_hp&gt;='2026'!Maxi_hp</f>
        <v>0</v>
      </c>
      <c r="I255" s="388">
        <f>IF(H255,Wh_hp,'2026'!Maxi_hp)</f>
        <v>54.247939934538053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5.852935937689685E-2</v>
      </c>
      <c r="M255" s="832"/>
      <c r="N255" s="832"/>
      <c r="O255" s="48">
        <f>IF(t&lt;Tnet,'2026'!Resal+('2026'!Salim-'2026'!Resal)*(1-EXP(('2026'!Tnet-t)/('2026'!Tau_j))),Resal+(Salim-Resal)*(1-EXP((Tnet-t)/(Tau_j))))*Salcycl</f>
        <v>2.0890506394682838E-2</v>
      </c>
      <c r="P255" s="169">
        <f>(INDEX(Models!$BJ255:$BT255,,T255)*(1-R255)+INDEX(Models!$BJ255:$BT255,,T255+1)*R255-ERP_i)*Q255*Ramure*Pc/MaxiM</f>
        <v>1.7200381321474598E-4</v>
      </c>
      <c r="Q255" s="304">
        <f t="shared" si="80"/>
        <v>0.6</v>
      </c>
      <c r="R255" s="177">
        <f t="shared" si="81"/>
        <v>0.4562606470247379</v>
      </c>
      <c r="S255" s="799">
        <f t="shared" si="82"/>
        <v>-1</v>
      </c>
      <c r="T255" s="176">
        <f t="shared" si="83"/>
        <v>5</v>
      </c>
      <c r="U255" s="250">
        <f t="shared" si="84"/>
        <v>-0.5437393529752621</v>
      </c>
      <c r="V255" s="382">
        <f t="shared" si="85"/>
        <v>50.38591801578302</v>
      </c>
      <c r="W255" s="400">
        <f t="shared" si="86"/>
        <v>32.999696468581917</v>
      </c>
      <c r="X255" s="157">
        <f t="shared" si="87"/>
        <v>46628</v>
      </c>
      <c r="Y255" s="383">
        <f t="shared" si="88"/>
        <v>31.294128351551272</v>
      </c>
      <c r="Z255" s="383">
        <f t="shared" si="89"/>
        <v>33.239622141418621</v>
      </c>
      <c r="AA255" s="384">
        <f t="shared" si="90"/>
        <v>35.769384586996424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7.0724237355133807E-2</v>
      </c>
      <c r="AD255" s="230">
        <f>(INDEX(Models!$BJ255:$BT255,,AH255)*(1-AF255)+INDEX(Models!$BJ255:$BT255,,AH255+1)*AF255-ERP_i)*AE255*Ramure*Pc/MaxiM</f>
        <v>1.8079466190448381E-3</v>
      </c>
      <c r="AE255" s="304">
        <f t="shared" si="92"/>
        <v>0.6</v>
      </c>
      <c r="AF255" s="177">
        <f t="shared" si="93"/>
        <v>0.98124821339871682</v>
      </c>
      <c r="AG255" s="799">
        <f t="shared" si="99"/>
        <v>2</v>
      </c>
      <c r="AH255" s="176">
        <f t="shared" si="94"/>
        <v>8</v>
      </c>
      <c r="AI255" s="224">
        <f t="shared" si="95"/>
        <v>2.9812482133987168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'2026'!Wh/'2026'!Env_an*'2027'!Env_an</f>
        <v>47.907145291916621</v>
      </c>
      <c r="C256" s="829"/>
      <c r="D256" s="391">
        <f t="shared" si="77"/>
        <v>50.886412567592501</v>
      </c>
      <c r="E256" s="383">
        <f t="shared" si="100"/>
        <v>51.977179341675509</v>
      </c>
      <c r="F256" s="383">
        <f t="shared" si="78"/>
        <v>51.985780989347113</v>
      </c>
      <c r="G256" s="110">
        <f t="shared" si="101"/>
        <v>0.95482261398772261</v>
      </c>
      <c r="H256" s="412" t="b">
        <f>Wh_hp&gt;='2026'!Maxi_hp</f>
        <v>0</v>
      </c>
      <c r="I256" s="388">
        <f>IF(H256,Wh_hp,'2026'!Maxi_hp)</f>
        <v>52.905760781813107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5.8547402446940344E-2</v>
      </c>
      <c r="M256" s="832"/>
      <c r="N256" s="832"/>
      <c r="O256" s="48">
        <f>IF(t&lt;Tnet,'2026'!Resal+('2026'!Salim-'2026'!Resal)*(1-EXP(('2026'!Tnet-t)/('2026'!Tau_j))),Resal+(Salim-Resal)*(1-EXP((Tnet-t)/(Tau_j))))*Salcycl</f>
        <v>2.0985493785893618E-2</v>
      </c>
      <c r="P256" s="169">
        <f>(INDEX(Models!$BJ256:$BT256,,T256)*(1-R256)+INDEX(Models!$BJ256:$BT256,,T256+1)*R256-ERP_i)*Q256*Ramure*Pc/MaxiM</f>
        <v>1.7687409034798958E-4</v>
      </c>
      <c r="Q256" s="304">
        <f t="shared" si="80"/>
        <v>0.6</v>
      </c>
      <c r="R256" s="177">
        <f t="shared" si="81"/>
        <v>0.4569614445859127</v>
      </c>
      <c r="S256" s="799">
        <f t="shared" si="82"/>
        <v>-1</v>
      </c>
      <c r="T256" s="176">
        <f t="shared" si="83"/>
        <v>5</v>
      </c>
      <c r="U256" s="250">
        <f t="shared" si="84"/>
        <v>-0.5430385554140873</v>
      </c>
      <c r="V256" s="382">
        <f t="shared" si="85"/>
        <v>50.173296858690968</v>
      </c>
      <c r="W256" s="400">
        <f t="shared" si="86"/>
        <v>47.907145291916621</v>
      </c>
      <c r="X256" s="157">
        <f t="shared" si="87"/>
        <v>46629</v>
      </c>
      <c r="Y256" s="383">
        <f t="shared" si="88"/>
        <v>45.399658801633073</v>
      </c>
      <c r="Z256" s="383">
        <f t="shared" si="89"/>
        <v>48.222989579753509</v>
      </c>
      <c r="AA256" s="384">
        <f t="shared" si="90"/>
        <v>51.89527085780432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7.0763312674733764E-2</v>
      </c>
      <c r="AD256" s="230">
        <f>(INDEX(Models!$BJ256:$BT256,,AH256)*(1-AF256)+INDEX(Models!$BJ256:$BT256,,AH256+1)*AF256-ERP_i)*AE256*Ramure*Pc/MaxiM</f>
        <v>1.8611430966591935E-3</v>
      </c>
      <c r="AE256" s="304">
        <f t="shared" si="92"/>
        <v>0.6</v>
      </c>
      <c r="AF256" s="177">
        <f t="shared" si="93"/>
        <v>0.9819490109598914</v>
      </c>
      <c r="AG256" s="799">
        <f t="shared" si="99"/>
        <v>2</v>
      </c>
      <c r="AH256" s="176">
        <f t="shared" si="94"/>
        <v>8</v>
      </c>
      <c r="AI256" s="224">
        <f t="shared" si="95"/>
        <v>2.9819490109598914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'2026'!Wh/'2026'!Env_an*'2027'!Env_an</f>
        <v>24.745132852975129</v>
      </c>
      <c r="C257" s="829"/>
      <c r="D257" s="391">
        <f t="shared" si="77"/>
        <v>26.284496066192133</v>
      </c>
      <c r="E257" s="383">
        <f t="shared" si="100"/>
        <v>26.850512066187051</v>
      </c>
      <c r="F257" s="383">
        <f t="shared" si="78"/>
        <v>26.851874255795764</v>
      </c>
      <c r="G257" s="110">
        <f t="shared" si="101"/>
        <v>0.49525944972492431</v>
      </c>
      <c r="H257" s="412" t="b">
        <f>Wh_hp&gt;='2026'!Maxi_hp</f>
        <v>0</v>
      </c>
      <c r="I257" s="388">
        <f>IF(H257,Wh_hp,'2026'!Maxi_hp)</f>
        <v>52.429420207764473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5.8565445171192665E-2</v>
      </c>
      <c r="M257" s="832"/>
      <c r="N257" s="832"/>
      <c r="O257" s="48">
        <f>IF(t&lt;Tnet,'2026'!Resal+('2026'!Salim-'2026'!Resal)*(1-EXP(('2026'!Tnet-t)/('2026'!Tau_j))),Resal+(Salim-Resal)*(1-EXP((Tnet-t)/(Tau_j))))*Salcycl</f>
        <v>2.1080268361350966E-2</v>
      </c>
      <c r="P257" s="169">
        <f>(INDEX(Models!$BJ257:$BT257,,T257)*(1-R257)+INDEX(Models!$BJ257:$BT257,,T257+1)*R257-ERP_i)*Q257*Ramure*Pc/MaxiM</f>
        <v>1.8180446681584207E-4</v>
      </c>
      <c r="Q257" s="304">
        <f t="shared" si="80"/>
        <v>0.6</v>
      </c>
      <c r="R257" s="177">
        <f t="shared" si="81"/>
        <v>0.45763594177561284</v>
      </c>
      <c r="S257" s="799">
        <f t="shared" si="82"/>
        <v>-1</v>
      </c>
      <c r="T257" s="176">
        <f t="shared" si="83"/>
        <v>5</v>
      </c>
      <c r="U257" s="250">
        <f t="shared" si="84"/>
        <v>-0.54236405822438716</v>
      </c>
      <c r="V257" s="382">
        <f t="shared" si="85"/>
        <v>49.957429871494874</v>
      </c>
      <c r="W257" s="400">
        <f t="shared" si="86"/>
        <v>24.745132852975129</v>
      </c>
      <c r="X257" s="157">
        <f t="shared" si="87"/>
        <v>46630</v>
      </c>
      <c r="Y257" s="383">
        <f t="shared" si="88"/>
        <v>23.476900648152785</v>
      </c>
      <c r="Z257" s="383">
        <f t="shared" si="89"/>
        <v>24.937368750419278</v>
      </c>
      <c r="AA257" s="384">
        <f t="shared" si="90"/>
        <v>26.837519154934416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7.0802013909909825E-2</v>
      </c>
      <c r="AD257" s="230">
        <f>(INDEX(Models!$BJ257:$BT257,,AH257)*(1-AF257)+INDEX(Models!$BJ257:$BT257,,AH257+1)*AF257-ERP_i)*AE257*Ramure*Pc/MaxiM</f>
        <v>1.9159017522157192E-3</v>
      </c>
      <c r="AE257" s="304">
        <f t="shared" si="92"/>
        <v>0.6</v>
      </c>
      <c r="AF257" s="177">
        <f t="shared" si="93"/>
        <v>0.98262350814959154</v>
      </c>
      <c r="AG257" s="799">
        <f t="shared" si="99"/>
        <v>2</v>
      </c>
      <c r="AH257" s="176">
        <f t="shared" si="94"/>
        <v>8</v>
      </c>
      <c r="AI257" s="224">
        <f t="shared" si="95"/>
        <v>2.9826235081495915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'2026'!Wh/'2026'!Env_an*'2027'!Env_an</f>
        <v>40.505418427743969</v>
      </c>
      <c r="C258" s="829"/>
      <c r="D258" s="391">
        <f t="shared" si="77"/>
        <v>43.0260335271957</v>
      </c>
      <c r="E258" s="383">
        <f t="shared" si="100"/>
        <v>43.956811326241514</v>
      </c>
      <c r="F258" s="383">
        <f t="shared" si="78"/>
        <v>43.962845676696517</v>
      </c>
      <c r="G258" s="110">
        <f t="shared" si="101"/>
        <v>0.8143301388905626</v>
      </c>
      <c r="H258" s="412" t="b">
        <f>Wh_hp&gt;='2026'!Maxi_hp</f>
        <v>0</v>
      </c>
      <c r="I258" s="388">
        <f>IF(H258,Wh_hp,'2026'!Maxi_hp)</f>
        <v>47.872949450269061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5.858348754966014E-2</v>
      </c>
      <c r="M258" s="832"/>
      <c r="N258" s="832"/>
      <c r="O258" s="48">
        <f>IF(t&lt;Tnet,'2026'!Resal+('2026'!Salim-'2026'!Resal)*(1-EXP(('2026'!Tnet-t)/('2026'!Tau_j))),Resal+(Salim-Resal)*(1-EXP((Tnet-t)/(Tau_j))))*Salcycl</f>
        <v>2.1174825265138267E-2</v>
      </c>
      <c r="P258" s="169">
        <f>(INDEX(Models!$BJ258:$BT258,,T258)*(1-R258)+INDEX(Models!$BJ258:$BT258,,T258+1)*R258-ERP_i)*Q258*Ramure*Pc/MaxiM</f>
        <v>1.8679563894264699E-4</v>
      </c>
      <c r="Q258" s="304">
        <f t="shared" si="80"/>
        <v>0.6</v>
      </c>
      <c r="R258" s="177">
        <f t="shared" si="81"/>
        <v>0.45828505375823436</v>
      </c>
      <c r="S258" s="799">
        <f t="shared" si="82"/>
        <v>-1</v>
      </c>
      <c r="T258" s="176">
        <f t="shared" si="83"/>
        <v>5</v>
      </c>
      <c r="U258" s="250">
        <f t="shared" si="84"/>
        <v>-0.54171494624176564</v>
      </c>
      <c r="V258" s="382">
        <f t="shared" si="85"/>
        <v>49.738318362071027</v>
      </c>
      <c r="W258" s="400">
        <f t="shared" si="86"/>
        <v>40.505418427743969</v>
      </c>
      <c r="X258" s="157">
        <f t="shared" si="87"/>
        <v>46631</v>
      </c>
      <c r="Y258" s="383">
        <f t="shared" si="88"/>
        <v>38.399724595174909</v>
      </c>
      <c r="Z258" s="383">
        <f t="shared" si="89"/>
        <v>40.78930429553148</v>
      </c>
      <c r="AA258" s="384">
        <f t="shared" si="90"/>
        <v>43.899133306187927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7.0840328189761631E-2</v>
      </c>
      <c r="AD258" s="230">
        <f>(INDEX(Models!$BJ258:$BT258,,AH258)*(1-AF258)+INDEX(Models!$BJ258:$BT258,,AH258+1)*AF258-ERP_i)*AE258*Ramure*Pc/MaxiM</f>
        <v>1.9722409307241723E-3</v>
      </c>
      <c r="AE258" s="304">
        <f t="shared" si="92"/>
        <v>0.6</v>
      </c>
      <c r="AF258" s="177">
        <f t="shared" si="93"/>
        <v>0.98327262013221306</v>
      </c>
      <c r="AG258" s="799">
        <f t="shared" si="99"/>
        <v>2</v>
      </c>
      <c r="AH258" s="176">
        <f t="shared" si="94"/>
        <v>8</v>
      </c>
      <c r="AI258" s="224">
        <f t="shared" si="95"/>
        <v>2.9832726201322131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'2026'!Wh/'2026'!Env_an*'2027'!Env_an</f>
        <v>38.983000413265344</v>
      </c>
      <c r="C259" s="829"/>
      <c r="D259" s="391">
        <f t="shared" si="77"/>
        <v>41.409670440584613</v>
      </c>
      <c r="E259" s="383">
        <f t="shared" si="100"/>
        <v>42.309559200932796</v>
      </c>
      <c r="F259" s="383">
        <f t="shared" si="78"/>
        <v>42.315210344034917</v>
      </c>
      <c r="G259" s="110">
        <f t="shared" si="101"/>
        <v>0.78723556102461389</v>
      </c>
      <c r="H259" s="412" t="b">
        <f>Wh_hp&gt;='2026'!Maxi_hp</f>
        <v>0</v>
      </c>
      <c r="I259" s="388">
        <f>IF(H259,Wh_hp,'2026'!Maxi_hp)</f>
        <v>52.448101483562709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5.8601529582349654E-2</v>
      </c>
      <c r="M259" s="832"/>
      <c r="N259" s="832"/>
      <c r="O259" s="48">
        <f>IF(t&lt;Tnet,'2026'!Resal+('2026'!Salim-'2026'!Resal)*(1-EXP(('2026'!Tnet-t)/('2026'!Tau_j))),Resal+(Salim-Resal)*(1-EXP((Tnet-t)/(Tau_j))))*Salcycl</f>
        <v>2.1269159436866532E-2</v>
      </c>
      <c r="P259" s="169">
        <f>(INDEX(Models!$BJ259:$BT259,,T259)*(1-R259)+INDEX(Models!$BJ259:$BT259,,T259+1)*R259-ERP_i)*Q259*Ramure*Pc/MaxiM</f>
        <v>1.9184829701523077E-4</v>
      </c>
      <c r="Q259" s="304">
        <f t="shared" si="80"/>
        <v>0.6</v>
      </c>
      <c r="R259" s="177">
        <f t="shared" si="81"/>
        <v>0.45890966937244093</v>
      </c>
      <c r="S259" s="799">
        <f t="shared" si="82"/>
        <v>-1</v>
      </c>
      <c r="T259" s="176">
        <f t="shared" si="83"/>
        <v>5</v>
      </c>
      <c r="U259" s="250">
        <f t="shared" si="84"/>
        <v>-0.54109033062755907</v>
      </c>
      <c r="V259" s="382">
        <f t="shared" si="85"/>
        <v>49.515963642942459</v>
      </c>
      <c r="W259" s="400">
        <f t="shared" si="86"/>
        <v>38.983000413265344</v>
      </c>
      <c r="X259" s="157">
        <f t="shared" si="87"/>
        <v>46632</v>
      </c>
      <c r="Y259" s="383">
        <f t="shared" si="88"/>
        <v>36.959699018986761</v>
      </c>
      <c r="Z259" s="383">
        <f t="shared" si="89"/>
        <v>39.260419663301164</v>
      </c>
      <c r="AA259" s="384">
        <f t="shared" si="90"/>
        <v>42.2554087572152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7.0878242146992204E-2</v>
      </c>
      <c r="AD259" s="230">
        <f>(INDEX(Models!$BJ259:$BT259,,AH259)*(1-AF259)+INDEX(Models!$BJ259:$BT259,,AH259+1)*AF259-ERP_i)*AE259*Ramure*Pc/MaxiM</f>
        <v>2.0301790952469362E-3</v>
      </c>
      <c r="AE259" s="304">
        <f t="shared" si="92"/>
        <v>0.6</v>
      </c>
      <c r="AF259" s="177">
        <f t="shared" si="93"/>
        <v>0.98389723574641952</v>
      </c>
      <c r="AG259" s="799">
        <f t="shared" si="99"/>
        <v>2</v>
      </c>
      <c r="AH259" s="176">
        <f t="shared" si="94"/>
        <v>8</v>
      </c>
      <c r="AI259" s="224">
        <f t="shared" si="95"/>
        <v>2.9838972357464195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'2026'!Wh/'2026'!Env_an*'2027'!Env_an</f>
        <v>38.059706039580249</v>
      </c>
      <c r="C260" s="829"/>
      <c r="D260" s="391">
        <f t="shared" si="77"/>
        <v>40.429676332762021</v>
      </c>
      <c r="E260" s="383">
        <f t="shared" si="100"/>
        <v>41.312240703392035</v>
      </c>
      <c r="F260" s="383">
        <f t="shared" si="78"/>
        <v>41.31772986616194</v>
      </c>
      <c r="G260" s="110">
        <f t="shared" si="101"/>
        <v>0.77210351589500215</v>
      </c>
      <c r="H260" s="412" t="b">
        <f>Wh_hp&gt;='2026'!Maxi_hp</f>
        <v>0</v>
      </c>
      <c r="I260" s="388">
        <f>IF(H260,Wh_hp,'2026'!Maxi_hp)</f>
        <v>55.043508007448153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5.8619571269267756E-2</v>
      </c>
      <c r="M260" s="832"/>
      <c r="N260" s="832"/>
      <c r="O260" s="48">
        <f>IF(t&lt;Tnet,'2026'!Resal+('2026'!Salim-'2026'!Resal)*(1-EXP(('2026'!Tnet-t)/('2026'!Tau_j))),Resal+(Salim-Resal)*(1-EXP((Tnet-t)/(Tau_j))))*Salcycl</f>
        <v>2.1363265598845875E-2</v>
      </c>
      <c r="P260" s="169">
        <f>(INDEX(Models!$BJ260:$BT260,,T260)*(1-R260)+INDEX(Models!$BJ260:$BT260,,T260+1)*R260-ERP_i)*Q260*Ramure*Pc/MaxiM</f>
        <v>1.9696312225251977E-4</v>
      </c>
      <c r="Q260" s="304">
        <f t="shared" si="80"/>
        <v>0.6</v>
      </c>
      <c r="R260" s="177">
        <f t="shared" si="81"/>
        <v>0.4595106514510664</v>
      </c>
      <c r="S260" s="799">
        <f t="shared" si="82"/>
        <v>-1</v>
      </c>
      <c r="T260" s="176">
        <f t="shared" si="83"/>
        <v>5</v>
      </c>
      <c r="U260" s="250">
        <f t="shared" si="84"/>
        <v>-0.5404893485489336</v>
      </c>
      <c r="V260" s="382">
        <f t="shared" si="85"/>
        <v>49.290367029293563</v>
      </c>
      <c r="W260" s="400">
        <f t="shared" si="86"/>
        <v>38.059706039580249</v>
      </c>
      <c r="X260" s="157">
        <f t="shared" si="87"/>
        <v>46633</v>
      </c>
      <c r="Y260" s="383">
        <f t="shared" si="88"/>
        <v>36.086447760060345</v>
      </c>
      <c r="Z260" s="383">
        <f t="shared" si="89"/>
        <v>38.333543654307618</v>
      </c>
      <c r="AA260" s="384">
        <f t="shared" si="90"/>
        <v>41.259491073538875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7.0915741883878058E-2</v>
      </c>
      <c r="AD260" s="230">
        <f>(INDEX(Models!$BJ260:$BT260,,AH260)*(1-AF260)+INDEX(Models!$BJ260:$BT260,,AH260+1)*AF260-ERP_i)*AE260*Ramure*Pc/MaxiM</f>
        <v>2.0897347941938901E-3</v>
      </c>
      <c r="AE260" s="304">
        <f t="shared" si="92"/>
        <v>0.6</v>
      </c>
      <c r="AF260" s="177">
        <f t="shared" si="93"/>
        <v>0.98449821782504499</v>
      </c>
      <c r="AG260" s="799">
        <f t="shared" si="99"/>
        <v>2</v>
      </c>
      <c r="AH260" s="176">
        <f t="shared" si="94"/>
        <v>8</v>
      </c>
      <c r="AI260" s="224">
        <f t="shared" si="95"/>
        <v>2.984498217825045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'2026'!Wh/'2026'!Env_an*'2027'!Env_an</f>
        <v>45.998683935050032</v>
      </c>
      <c r="C261" s="829"/>
      <c r="D261" s="391">
        <f t="shared" si="77"/>
        <v>48.863949262521004</v>
      </c>
      <c r="E261" s="383">
        <f t="shared" si="100"/>
        <v>49.935420483034733</v>
      </c>
      <c r="F261" s="383">
        <f t="shared" si="78"/>
        <v>49.944615941016075</v>
      </c>
      <c r="G261" s="110">
        <f t="shared" si="101"/>
        <v>0.93755442764578378</v>
      </c>
      <c r="H261" s="412" t="b">
        <f>Wh_hp&gt;='2026'!Maxi_hp</f>
        <v>0</v>
      </c>
      <c r="I261" s="388">
        <f>IF(H261,Wh_hp,'2026'!Maxi_hp)</f>
        <v>53.392231312994895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5.8637612610420997E-2</v>
      </c>
      <c r="M261" s="832"/>
      <c r="N261" s="832"/>
      <c r="O261" s="48">
        <f>IF(t&lt;Tnet,'2026'!Resal+('2026'!Salim-'2026'!Resal)*(1-EXP(('2026'!Tnet-t)/('2026'!Tau_j))),Resal+(Salim-Resal)*(1-EXP((Tnet-t)/(Tau_j))))*Salcycl</f>
        <v>2.1457138242738066E-2</v>
      </c>
      <c r="P261" s="169">
        <f>(INDEX(Models!$BJ261:$BT261,,T261)*(1-R261)+INDEX(Models!$BJ261:$BT261,,T261+1)*R261-ERP_i)*Q261*Ramure*Pc/MaxiM</f>
        <v>2.0214078346681943E-4</v>
      </c>
      <c r="Q261" s="304">
        <f t="shared" si="80"/>
        <v>0.6</v>
      </c>
      <c r="R261" s="177">
        <f t="shared" si="81"/>
        <v>0.46008883717683058</v>
      </c>
      <c r="S261" s="799">
        <f t="shared" si="82"/>
        <v>-1</v>
      </c>
      <c r="T261" s="176">
        <f t="shared" si="83"/>
        <v>5</v>
      </c>
      <c r="U261" s="250">
        <f t="shared" si="84"/>
        <v>-0.53991116282316942</v>
      </c>
      <c r="V261" s="382">
        <f t="shared" si="85"/>
        <v>49.061529844248959</v>
      </c>
      <c r="W261" s="400">
        <f t="shared" si="86"/>
        <v>45.998683935050032</v>
      </c>
      <c r="X261" s="157">
        <f t="shared" si="87"/>
        <v>46634</v>
      </c>
      <c r="Y261" s="383">
        <f t="shared" si="88"/>
        <v>43.594493093904639</v>
      </c>
      <c r="Z261" s="383">
        <f t="shared" si="89"/>
        <v>46.310000992065596</v>
      </c>
      <c r="AA261" s="384">
        <f t="shared" si="90"/>
        <v>49.846769504225151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7.0952812937251031E-2</v>
      </c>
      <c r="AD261" s="230">
        <f>(INDEX(Models!$BJ261:$BT261,,AH261)*(1-AF261)+INDEX(Models!$BJ261:$BT261,,AH261+1)*AF261-ERP_i)*AE261*Ramure*Pc/MaxiM</f>
        <v>2.1509266240457739E-3</v>
      </c>
      <c r="AE261" s="304">
        <f t="shared" si="92"/>
        <v>0.6</v>
      </c>
      <c r="AF261" s="177">
        <f t="shared" si="93"/>
        <v>0.9850764035508095</v>
      </c>
      <c r="AG261" s="799">
        <f t="shared" si="99"/>
        <v>2</v>
      </c>
      <c r="AH261" s="176">
        <f t="shared" si="94"/>
        <v>8</v>
      </c>
      <c r="AI261" s="224">
        <f t="shared" si="95"/>
        <v>2.9850764035508095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'2026'!Wh/'2026'!Env_an*'2027'!Env_an</f>
        <v>40.206279304779763</v>
      </c>
      <c r="C262" s="829"/>
      <c r="D262" s="391">
        <f t="shared" si="77"/>
        <v>42.711553385102661</v>
      </c>
      <c r="E262" s="383">
        <f t="shared" si="100"/>
        <v>43.652294003691388</v>
      </c>
      <c r="F262" s="383">
        <f t="shared" si="78"/>
        <v>43.659067904333483</v>
      </c>
      <c r="G262" s="110">
        <f t="shared" si="101"/>
        <v>0.82335918790526097</v>
      </c>
      <c r="H262" s="412" t="b">
        <f>Wh_hp&gt;='2026'!Maxi_hp</f>
        <v>0</v>
      </c>
      <c r="I262" s="388">
        <f>IF(H262,Wh_hp,'2026'!Maxi_hp)</f>
        <v>53.427461866974461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5.8655653605816038E-2</v>
      </c>
      <c r="M262" s="832"/>
      <c r="N262" s="832"/>
      <c r="O262" s="48">
        <f>IF(t&lt;Tnet,'2026'!Resal+('2026'!Salim-'2026'!Resal)*(1-EXP(('2026'!Tnet-t)/('2026'!Tau_j))),Resal+(Salim-Resal)*(1-EXP((Tnet-t)/(Tau_j))))*Salcycl</f>
        <v>2.1550771616015842E-2</v>
      </c>
      <c r="P262" s="169">
        <f>(INDEX(Models!$BJ262:$BT262,,T262)*(1-R262)+INDEX(Models!$BJ262:$BT262,,T262+1)*R262-ERP_i)*Q262*Ramure*Pc/MaxiM</f>
        <v>2.0750414503149911E-4</v>
      </c>
      <c r="Q262" s="304">
        <f t="shared" si="80"/>
        <v>0.6</v>
      </c>
      <c r="R262" s="177">
        <f t="shared" si="81"/>
        <v>0.46064503846960259</v>
      </c>
      <c r="S262" s="799">
        <f t="shared" si="82"/>
        <v>-1</v>
      </c>
      <c r="T262" s="176">
        <f t="shared" si="83"/>
        <v>5</v>
      </c>
      <c r="U262" s="250">
        <f t="shared" si="84"/>
        <v>-0.53935496153039741</v>
      </c>
      <c r="V262" s="382">
        <f t="shared" si="85"/>
        <v>48.829447444201186</v>
      </c>
      <c r="W262" s="400">
        <f t="shared" si="86"/>
        <v>40.206279304779763</v>
      </c>
      <c r="X262" s="157">
        <f t="shared" si="87"/>
        <v>46635</v>
      </c>
      <c r="Y262" s="383">
        <f t="shared" si="88"/>
        <v>38.11744075055104</v>
      </c>
      <c r="Z262" s="383">
        <f t="shared" si="89"/>
        <v>40.492558219061657</v>
      </c>
      <c r="AA262" s="384">
        <f t="shared" si="90"/>
        <v>43.58675775405473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7.0989440243584778E-2</v>
      </c>
      <c r="AD262" s="230">
        <f>(INDEX(Models!$BJ262:$BT262,,AH262)*(1-AF262)+INDEX(Models!$BJ262:$BT262,,AH262+1)*AF262-ERP_i)*AE262*Ramure*Pc/MaxiM</f>
        <v>2.2150687917469633E-3</v>
      </c>
      <c r="AE262" s="304">
        <f t="shared" si="92"/>
        <v>0.6</v>
      </c>
      <c r="AF262" s="177">
        <f t="shared" si="93"/>
        <v>0.98563260484358128</v>
      </c>
      <c r="AG262" s="799">
        <f t="shared" si="99"/>
        <v>2</v>
      </c>
      <c r="AH262" s="176">
        <f t="shared" si="94"/>
        <v>8</v>
      </c>
      <c r="AI262" s="224">
        <f t="shared" si="95"/>
        <v>2.9856326048435813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'2026'!Wh/'2026'!Env_an*'2027'!Env_an</f>
        <v>45.49895666388548</v>
      </c>
      <c r="C263" s="829"/>
      <c r="D263" s="391">
        <f t="shared" si="77"/>
        <v>48.334946538966797</v>
      </c>
      <c r="E263" s="383">
        <f t="shared" si="100"/>
        <v>49.404260237838571</v>
      </c>
      <c r="F263" s="383">
        <f t="shared" si="78"/>
        <v>49.413829327856035</v>
      </c>
      <c r="G263" s="110">
        <f t="shared" si="101"/>
        <v>0.93628761184696907</v>
      </c>
      <c r="H263" s="412" t="b">
        <f>Wh_hp&gt;='2026'!Maxi_hp</f>
        <v>0</v>
      </c>
      <c r="I263" s="388">
        <f>IF(H263,Wh_hp,'2026'!Maxi_hp)</f>
        <v>54.427802265876565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5.8673694255459541E-2</v>
      </c>
      <c r="M263" s="832"/>
      <c r="N263" s="832"/>
      <c r="O263" s="48">
        <f>IF(t&lt;Tnet,'2026'!Resal+('2026'!Salim-'2026'!Resal)*(1-EXP(('2026'!Tnet-t)/('2026'!Tau_j))),Resal+(Salim-Resal)*(1-EXP((Tnet-t)/(Tau_j))))*Salcycl</f>
        <v>2.1644159708574893E-2</v>
      </c>
      <c r="P263" s="169">
        <f>(INDEX(Models!$BJ263:$BT263,,T263)*(1-R263)+INDEX(Models!$BJ263:$BT263,,T263+1)*R263-ERP_i)*Q263*Ramure*Pc/MaxiM</f>
        <v>2.1303664352852582E-4</v>
      </c>
      <c r="Q263" s="304">
        <f t="shared" si="80"/>
        <v>0.6</v>
      </c>
      <c r="R263" s="177">
        <f t="shared" si="81"/>
        <v>0.46118004240123422</v>
      </c>
      <c r="S263" s="799">
        <f t="shared" si="82"/>
        <v>-1</v>
      </c>
      <c r="T263" s="176">
        <f t="shared" si="83"/>
        <v>5</v>
      </c>
      <c r="U263" s="250">
        <f t="shared" si="84"/>
        <v>-0.53881995759876578</v>
      </c>
      <c r="V263" s="382">
        <f t="shared" si="85"/>
        <v>48.594122082999128</v>
      </c>
      <c r="W263" s="400">
        <f t="shared" si="86"/>
        <v>45.49895666388548</v>
      </c>
      <c r="X263" s="157">
        <f t="shared" si="87"/>
        <v>46636</v>
      </c>
      <c r="Y263" s="383">
        <f t="shared" si="88"/>
        <v>43.121188196176597</v>
      </c>
      <c r="Z263" s="383">
        <f t="shared" si="89"/>
        <v>45.808969677172641</v>
      </c>
      <c r="AA263" s="384">
        <f t="shared" si="90"/>
        <v>49.311337402684572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7.102560810531286E-2</v>
      </c>
      <c r="AD263" s="230">
        <f>(INDEX(Models!$BJ263:$BT263,,AH263)*(1-AF263)+INDEX(Models!$BJ263:$BT263,,AH263+1)*AF263-ERP_i)*AE263*Ramure*Pc/MaxiM</f>
        <v>2.2817776494376773E-3</v>
      </c>
      <c r="AE263" s="304">
        <f t="shared" si="92"/>
        <v>0.6</v>
      </c>
      <c r="AF263" s="177">
        <f t="shared" si="93"/>
        <v>0.98616760877521292</v>
      </c>
      <c r="AG263" s="799">
        <f t="shared" si="99"/>
        <v>2</v>
      </c>
      <c r="AH263" s="176">
        <f t="shared" si="94"/>
        <v>8</v>
      </c>
      <c r="AI263" s="224">
        <f t="shared" si="95"/>
        <v>2.9861676087752129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'2026'!Wh/'2026'!Env_an*'2027'!Env_an</f>
        <v>36.219938721361316</v>
      </c>
      <c r="C264" s="829"/>
      <c r="D264" s="391">
        <f t="shared" si="77"/>
        <v>38.478296697422671</v>
      </c>
      <c r="E264" s="383">
        <f t="shared" si="100"/>
        <v>39.333296209212556</v>
      </c>
      <c r="F264" s="383">
        <f t="shared" si="78"/>
        <v>39.338816104444369</v>
      </c>
      <c r="G264" s="110">
        <f t="shared" si="101"/>
        <v>0.74897491609923439</v>
      </c>
      <c r="H264" s="412" t="b">
        <f>Wh_hp&gt;='2026'!Maxi_hp</f>
        <v>0</v>
      </c>
      <c r="I264" s="388">
        <f>IF(H264,Wh_hp,'2026'!Maxi_hp)</f>
        <v>49.351657913110358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5.8691734559358055E-2</v>
      </c>
      <c r="M264" s="832"/>
      <c r="N264" s="832"/>
      <c r="O264" s="48">
        <f>IF(t&lt;Tnet,'2026'!Resal+('2026'!Salim-'2026'!Resal)*(1-EXP(('2026'!Tnet-t)/('2026'!Tau_j))),Resal+(Salim-Resal)*(1-EXP((Tnet-t)/(Tau_j))))*Salcycl</f>
        <v>2.1737296239861738E-2</v>
      </c>
      <c r="P264" s="169">
        <f>(INDEX(Models!$BJ264:$BT264,,T264)*(1-R264)+INDEX(Models!$BJ264:$BT264,,T264+1)*R264-ERP_i)*Q264*Ramure*Pc/MaxiM</f>
        <v>2.1874024075614187E-4</v>
      </c>
      <c r="Q264" s="304">
        <f t="shared" si="80"/>
        <v>0.6</v>
      </c>
      <c r="R264" s="177">
        <f t="shared" si="81"/>
        <v>0.46169461163427172</v>
      </c>
      <c r="S264" s="799">
        <f t="shared" si="82"/>
        <v>-1</v>
      </c>
      <c r="T264" s="176">
        <f t="shared" si="83"/>
        <v>5</v>
      </c>
      <c r="U264" s="250">
        <f t="shared" si="84"/>
        <v>-0.53830538836572828</v>
      </c>
      <c r="V264" s="382">
        <f t="shared" si="85"/>
        <v>48.35555510684604</v>
      </c>
      <c r="W264" s="400">
        <f t="shared" si="86"/>
        <v>36.219938721361316</v>
      </c>
      <c r="X264" s="157">
        <f t="shared" si="87"/>
        <v>46637</v>
      </c>
      <c r="Y264" s="383">
        <f t="shared" si="88"/>
        <v>34.346677501462075</v>
      </c>
      <c r="Z264" s="383">
        <f t="shared" si="89"/>
        <v>36.488235323615086</v>
      </c>
      <c r="AA264" s="384">
        <f t="shared" si="90"/>
        <v>39.279486719501747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7.1061300159526802E-2</v>
      </c>
      <c r="AD264" s="230">
        <f>(INDEX(Models!$BJ264:$BT264,,AH264)*(1-AF264)+INDEX(Models!$BJ264:$BT264,,AH264+1)*AF264-ERP_i)*AE264*Ramure*Pc/MaxiM</f>
        <v>2.3510815697122957E-3</v>
      </c>
      <c r="AE264" s="304">
        <f t="shared" si="92"/>
        <v>0.6</v>
      </c>
      <c r="AF264" s="177">
        <f t="shared" si="93"/>
        <v>0.98668217800825042</v>
      </c>
      <c r="AG264" s="799">
        <f t="shared" si="99"/>
        <v>2</v>
      </c>
      <c r="AH264" s="176">
        <f t="shared" si="94"/>
        <v>8</v>
      </c>
      <c r="AI264" s="224">
        <f t="shared" si="95"/>
        <v>2.9866821780082504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'2026'!Wh/'2026'!Env_an*'2027'!Env_an</f>
        <v>35.201190430979771</v>
      </c>
      <c r="C265" s="829"/>
      <c r="D265" s="391">
        <f t="shared" si="77"/>
        <v>37.396744891233233</v>
      </c>
      <c r="E265" s="383">
        <f t="shared" si="100"/>
        <v>38.231341758813166</v>
      </c>
      <c r="F265" s="383">
        <f t="shared" si="78"/>
        <v>38.236637539689212</v>
      </c>
      <c r="G265" s="110">
        <f t="shared" si="101"/>
        <v>0.7315613552486292</v>
      </c>
      <c r="H265" s="412" t="b">
        <f>Wh_hp&gt;='2026'!Maxi_hp</f>
        <v>0</v>
      </c>
      <c r="I265" s="388">
        <f>IF(H265,Wh_hp,'2026'!Maxi_hp)</f>
        <v>48.219770599083176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5.8709774517518354E-2</v>
      </c>
      <c r="M265" s="832"/>
      <c r="N265" s="832"/>
      <c r="O265" s="48">
        <f>IF(t&lt;Tnet,'2026'!Resal+('2026'!Salim-'2026'!Resal)*(1-EXP(('2026'!Tnet-t)/('2026'!Tau_j))),Resal+(Salim-Resal)*(1-EXP((Tnet-t)/(Tau_j))))*Salcycl</f>
        <v>2.183017464689271E-2</v>
      </c>
      <c r="P265" s="169">
        <f>(INDEX(Models!$BJ265:$BT265,,T265)*(1-R265)+INDEX(Models!$BJ265:$BT265,,T265+1)*R265-ERP_i)*Q265*Ramure*Pc/MaxiM</f>
        <v>2.2461688299215993E-4</v>
      </c>
      <c r="Q265" s="304">
        <f t="shared" si="80"/>
        <v>0.6</v>
      </c>
      <c r="R265" s="177">
        <f t="shared" si="81"/>
        <v>0.46218948488111766</v>
      </c>
      <c r="S265" s="799">
        <f t="shared" si="82"/>
        <v>-1</v>
      </c>
      <c r="T265" s="176">
        <f t="shared" si="83"/>
        <v>5</v>
      </c>
      <c r="U265" s="250">
        <f t="shared" si="84"/>
        <v>-0.53781051511888234</v>
      </c>
      <c r="V265" s="382">
        <f t="shared" si="85"/>
        <v>48.113747873362428</v>
      </c>
      <c r="W265" s="400">
        <f t="shared" si="86"/>
        <v>35.201190430979771</v>
      </c>
      <c r="X265" s="157">
        <f t="shared" si="87"/>
        <v>46638</v>
      </c>
      <c r="Y265" s="383">
        <f t="shared" si="88"/>
        <v>33.382933944865961</v>
      </c>
      <c r="Z265" s="383">
        <f t="shared" si="89"/>
        <v>35.465080844491624</v>
      </c>
      <c r="AA265" s="384">
        <f t="shared" si="90"/>
        <v>38.179510379369752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7.1096499350208064E-2</v>
      </c>
      <c r="AD265" s="230">
        <f>(INDEX(Models!$BJ265:$BT265,,AH265)*(1-AF265)+INDEX(Models!$BJ265:$BT265,,AH265+1)*AF265-ERP_i)*AE265*Ramure*Pc/MaxiM</f>
        <v>2.4230089925338688E-3</v>
      </c>
      <c r="AE265" s="304">
        <f t="shared" si="92"/>
        <v>0.6</v>
      </c>
      <c r="AF265" s="177">
        <f t="shared" si="93"/>
        <v>0.98717705125509614</v>
      </c>
      <c r="AG265" s="799">
        <f t="shared" si="99"/>
        <v>2</v>
      </c>
      <c r="AH265" s="176">
        <f t="shared" si="94"/>
        <v>8</v>
      </c>
      <c r="AI265" s="224">
        <f t="shared" si="95"/>
        <v>2.9871770512550961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'2026'!Wh/'2026'!Env_an*'2027'!Env_an</f>
        <v>23.575868042345373</v>
      </c>
      <c r="C266" s="829"/>
      <c r="D266" s="391">
        <f t="shared" si="77"/>
        <v>25.04681259709519</v>
      </c>
      <c r="E266" s="383">
        <f t="shared" si="100"/>
        <v>25.60821609140875</v>
      </c>
      <c r="F266" s="383">
        <f t="shared" si="78"/>
        <v>25.609840715723713</v>
      </c>
      <c r="G266" s="110">
        <f t="shared" si="101"/>
        <v>0.4924287544008587</v>
      </c>
      <c r="H266" s="412" t="b">
        <f>Wh_hp&gt;='2026'!Maxi_hp</f>
        <v>0</v>
      </c>
      <c r="I266" s="388">
        <f>IF(H266,Wh_hp,'2026'!Maxi_hp)</f>
        <v>50.375328728188094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5.8727814129946876E-2</v>
      </c>
      <c r="M266" s="832"/>
      <c r="N266" s="832"/>
      <c r="O266" s="48">
        <f>IF(t&lt;Tnet,'2026'!Resal+('2026'!Salim-'2026'!Resal)*(1-EXP(('2026'!Tnet-t)/('2026'!Tau_j))),Resal+(Salim-Resal)*(1-EXP((Tnet-t)/(Tau_j))))*Salcycl</f>
        <v>2.1922788073547379E-2</v>
      </c>
      <c r="P266" s="169">
        <f>(INDEX(Models!$BJ266:$BT266,,T266)*(1-R266)+INDEX(Models!$BJ266:$BT266,,T266+1)*R266-ERP_i)*Q266*Ramure*Pc/MaxiM</f>
        <v>2.3066849636222623E-4</v>
      </c>
      <c r="Q266" s="304">
        <f t="shared" si="80"/>
        <v>0.6</v>
      </c>
      <c r="R266" s="177">
        <f t="shared" si="81"/>
        <v>0.46266537738047275</v>
      </c>
      <c r="S266" s="799">
        <f t="shared" si="82"/>
        <v>-1</v>
      </c>
      <c r="T266" s="176">
        <f t="shared" si="83"/>
        <v>5</v>
      </c>
      <c r="U266" s="250">
        <f t="shared" si="84"/>
        <v>-0.53733462261952725</v>
      </c>
      <c r="V266" s="382">
        <f t="shared" si="85"/>
        <v>47.86870174760228</v>
      </c>
      <c r="W266" s="400">
        <f t="shared" si="86"/>
        <v>23.575868042345373</v>
      </c>
      <c r="X266" s="157">
        <f t="shared" si="87"/>
        <v>46639</v>
      </c>
      <c r="Y266" s="383">
        <f t="shared" si="88"/>
        <v>22.37577441616062</v>
      </c>
      <c r="Z266" s="383">
        <f t="shared" si="89"/>
        <v>23.771842780500155</v>
      </c>
      <c r="AA266" s="384">
        <f t="shared" si="90"/>
        <v>25.592249918358199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7.1131187905140114E-2</v>
      </c>
      <c r="AD266" s="230">
        <f>(INDEX(Models!$BJ266:$BT266,,AH266)*(1-AF266)+INDEX(Models!$BJ266:$BT266,,AH266+1)*AF266-ERP_i)*AE266*Ramure*Pc/MaxiM</f>
        <v>2.4975883598083492E-3</v>
      </c>
      <c r="AE266" s="304">
        <f t="shared" si="92"/>
        <v>0.6</v>
      </c>
      <c r="AF266" s="177">
        <f t="shared" si="93"/>
        <v>0.98765294375445167</v>
      </c>
      <c r="AG266" s="799">
        <f t="shared" si="99"/>
        <v>2</v>
      </c>
      <c r="AH266" s="176">
        <f t="shared" si="94"/>
        <v>8</v>
      </c>
      <c r="AI266" s="224">
        <f t="shared" si="95"/>
        <v>2.9876529437544517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'2026'!Wh/'2026'!Env_an*'2027'!Env_an</f>
        <v>46.634706168625463</v>
      </c>
      <c r="C267" s="829"/>
      <c r="D267" s="391">
        <f t="shared" si="77"/>
        <v>49.545286293732126</v>
      </c>
      <c r="E267" s="383">
        <f t="shared" si="100"/>
        <v>50.660585640130087</v>
      </c>
      <c r="F267" s="383">
        <f t="shared" si="78"/>
        <v>50.672234772303128</v>
      </c>
      <c r="G267" s="110">
        <f t="shared" si="101"/>
        <v>0.97929378335054451</v>
      </c>
      <c r="H267" s="412" t="b">
        <f>Wh_hp&gt;='2026'!Maxi_hp</f>
        <v>0</v>
      </c>
      <c r="I267" s="388">
        <f>IF(H267,Wh_hp,'2026'!Maxi_hp)</f>
        <v>50.672461626408193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5.8745853396650394E-2</v>
      </c>
      <c r="M267" s="832"/>
      <c r="N267" s="832"/>
      <c r="O267" s="48">
        <f>IF(t&lt;Tnet,'2026'!Resal+('2026'!Salim-'2026'!Resal)*(1-EXP(('2026'!Tnet-t)/('2026'!Tau_j))),Resal+(Salim-Resal)*(1-EXP((Tnet-t)/(Tau_j))))*Salcycl</f>
        <v>2.2015129361522695E-2</v>
      </c>
      <c r="P267" s="169">
        <f>(INDEX(Models!$BJ267:$BT267,,T267)*(1-R267)+INDEX(Models!$BJ267:$BT267,,T267+1)*R267-ERP_i)*Q267*Ramure*Pc/MaxiM</f>
        <v>2.3689698184595928E-4</v>
      </c>
      <c r="Q267" s="304">
        <f t="shared" si="80"/>
        <v>0.6</v>
      </c>
      <c r="R267" s="177">
        <f t="shared" si="81"/>
        <v>0.46312298138813768</v>
      </c>
      <c r="S267" s="799">
        <f t="shared" si="82"/>
        <v>-1</v>
      </c>
      <c r="T267" s="176">
        <f t="shared" si="83"/>
        <v>5</v>
      </c>
      <c r="U267" s="250">
        <f t="shared" si="84"/>
        <v>-0.53687701861186232</v>
      </c>
      <c r="V267" s="382">
        <f t="shared" si="85"/>
        <v>47.620418103945795</v>
      </c>
      <c r="W267" s="400">
        <f t="shared" si="86"/>
        <v>46.634706168625463</v>
      </c>
      <c r="X267" s="157">
        <f t="shared" si="87"/>
        <v>46640</v>
      </c>
      <c r="Y267" s="383">
        <f t="shared" si="88"/>
        <v>44.1904920006127</v>
      </c>
      <c r="Z267" s="383">
        <f t="shared" si="89"/>
        <v>46.948523053078084</v>
      </c>
      <c r="AA267" s="384">
        <f t="shared" si="90"/>
        <v>50.545619629442356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7.1165347318623021E-2</v>
      </c>
      <c r="AD267" s="230">
        <f>(INDEX(Models!$BJ267:$BT267,,AH267)*(1-AF267)+INDEX(Models!$BJ267:$BT267,,AH267+1)*AF267-ERP_i)*AE267*Ramure*Pc/MaxiM</f>
        <v>2.5748480448298658E-3</v>
      </c>
      <c r="AE267" s="304">
        <f t="shared" si="92"/>
        <v>0.6</v>
      </c>
      <c r="AF267" s="177">
        <f t="shared" si="93"/>
        <v>0.98811054776211638</v>
      </c>
      <c r="AG267" s="799">
        <f t="shared" si="99"/>
        <v>2</v>
      </c>
      <c r="AH267" s="176">
        <f t="shared" si="94"/>
        <v>8</v>
      </c>
      <c r="AI267" s="224">
        <f t="shared" si="95"/>
        <v>2.9881105477621164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'2026'!Wh/'2026'!Env_an*'2027'!Env_an</f>
        <v>46.060779585309533</v>
      </c>
      <c r="C268" s="829"/>
      <c r="D268" s="391">
        <f t="shared" si="77"/>
        <v>48.93647747824555</v>
      </c>
      <c r="E268" s="383">
        <f t="shared" si="100"/>
        <v>50.042782838802964</v>
      </c>
      <c r="F268" s="383">
        <f t="shared" si="78"/>
        <v>50.054486591402203</v>
      </c>
      <c r="G268" s="110">
        <f t="shared" si="101"/>
        <v>0.97237521394530702</v>
      </c>
      <c r="H268" s="412" t="b">
        <f>Wh_hp&gt;='2026'!Maxi_hp</f>
        <v>0</v>
      </c>
      <c r="I268" s="388">
        <f>IF(H268,Wh_hp,'2026'!Maxi_hp)</f>
        <v>50.054793872228252</v>
      </c>
      <c r="J268" s="85">
        <f>IF(H268,An,'2026'!An_max)</f>
        <v>2026</v>
      </c>
      <c r="K268" s="197">
        <f t="shared" si="79"/>
        <v>46641</v>
      </c>
      <c r="L268" s="147">
        <f>IF(t&lt;Tvie,1-EXP((T0-t)*PertePVj)+'2026'!Pspv,1-EXP((T0-t)*PertePVj)+Pspv)</f>
        <v>5.8763892317635458E-2</v>
      </c>
      <c r="M268" s="832"/>
      <c r="N268" s="832"/>
      <c r="O268" s="48">
        <f>IF(t&lt;Tnet,'2026'!Resal+('2026'!Salim-'2026'!Resal)*(1-EXP(('2026'!Tnet-t)/('2026'!Tau_j))),Resal+(Salim-Resal)*(1-EXP((Tnet-t)/(Tau_j))))*Salcycl</f>
        <v>2.2107191043332468E-2</v>
      </c>
      <c r="P268" s="169">
        <f>(INDEX(Models!$BJ268:$BT268,,T268)*(1-R268)+INDEX(Models!$BJ268:$BT268,,T268+1)*R268-ERP_i)*Q268*Ramure*Pc/MaxiM</f>
        <v>2.4342346120599567E-4</v>
      </c>
      <c r="Q268" s="304">
        <f t="shared" si="80"/>
        <v>0.6</v>
      </c>
      <c r="R268" s="177">
        <f t="shared" si="81"/>
        <v>0.46356296667947439</v>
      </c>
      <c r="S268" s="799">
        <f t="shared" si="82"/>
        <v>-1</v>
      </c>
      <c r="T268" s="176">
        <f t="shared" si="83"/>
        <v>5</v>
      </c>
      <c r="U268" s="250">
        <f t="shared" si="84"/>
        <v>-0.53643703332052561</v>
      </c>
      <c r="V268" s="382">
        <f t="shared" si="85"/>
        <v>47.368892676324165</v>
      </c>
      <c r="W268" s="400">
        <f t="shared" si="86"/>
        <v>46.060779585309533</v>
      </c>
      <c r="X268" s="157">
        <f t="shared" si="87"/>
        <v>46641</v>
      </c>
      <c r="Y268" s="383">
        <f t="shared" si="88"/>
        <v>43.647039640860655</v>
      </c>
      <c r="Z268" s="383">
        <f t="shared" si="89"/>
        <v>46.372041281261659</v>
      </c>
      <c r="AA268" s="384">
        <f t="shared" si="90"/>
        <v>49.92677570476981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7.1198958341075994E-2</v>
      </c>
      <c r="AD268" s="230">
        <f>(INDEX(Models!$BJ268:$BT268,,AH268)*(1-AF268)+INDEX(Models!$BJ268:$BT268,,AH268+1)*AF268-ERP_i)*AE268*Ramure*Pc/MaxiM</f>
        <v>2.6562272052616789E-3</v>
      </c>
      <c r="AE268" s="304">
        <f t="shared" si="92"/>
        <v>0.6</v>
      </c>
      <c r="AF268" s="177">
        <f t="shared" si="93"/>
        <v>0.98855053305345297</v>
      </c>
      <c r="AG268" s="799">
        <f t="shared" si="99"/>
        <v>2</v>
      </c>
      <c r="AH268" s="176">
        <f t="shared" si="94"/>
        <v>8</v>
      </c>
      <c r="AI268" s="224">
        <f t="shared" si="95"/>
        <v>2.988550533053453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'2026'!Wh/'2026'!Env_an*'2027'!Env_an</f>
        <v>33.43306359129398</v>
      </c>
      <c r="C269" s="829"/>
      <c r="D269" s="391">
        <f t="shared" si="77"/>
        <v>35.521060090793881</v>
      </c>
      <c r="E269" s="383">
        <f t="shared" si="100"/>
        <v>36.327492845272722</v>
      </c>
      <c r="F269" s="383">
        <f t="shared" si="78"/>
        <v>36.332813318970089</v>
      </c>
      <c r="G269" s="110">
        <f t="shared" si="101"/>
        <v>0.70954498098781815</v>
      </c>
      <c r="H269" s="412" t="b">
        <f>Wh_hp&gt;='2026'!Maxi_hp</f>
        <v>0</v>
      </c>
      <c r="I269" s="388">
        <f>IF(H269,Wh_hp,'2026'!Maxi_hp)</f>
        <v>50.716513586551613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5.8781930892908729E-2</v>
      </c>
      <c r="M269" s="832"/>
      <c r="N269" s="832"/>
      <c r="O269" s="48">
        <f>IF(t&lt;Tnet,'2026'!Resal+('2026'!Salim-'2026'!Resal)*(1-EXP(('2026'!Tnet-t)/('2026'!Tau_j))),Resal+(Salim-Resal)*(1-EXP((Tnet-t)/(Tau_j))))*Salcycl</f>
        <v>2.2198965337729935E-2</v>
      </c>
      <c r="P269" s="169">
        <f>(INDEX(Models!$BJ269:$BT269,,T269)*(1-R269)+INDEX(Models!$BJ269:$BT269,,T269+1)*R269-ERP_i)*Q269*Ramure*Pc/MaxiM</f>
        <v>2.5024740536911723E-4</v>
      </c>
      <c r="Q269" s="304">
        <f t="shared" si="80"/>
        <v>0.6</v>
      </c>
      <c r="R269" s="177">
        <f t="shared" si="81"/>
        <v>0.46398598106106137</v>
      </c>
      <c r="S269" s="799">
        <f t="shared" si="82"/>
        <v>-1</v>
      </c>
      <c r="T269" s="176">
        <f t="shared" si="83"/>
        <v>5</v>
      </c>
      <c r="U269" s="250">
        <f t="shared" si="84"/>
        <v>-0.53601401893893863</v>
      </c>
      <c r="V269" s="382">
        <f t="shared" si="85"/>
        <v>47.114127058766442</v>
      </c>
      <c r="W269" s="400">
        <f t="shared" si="86"/>
        <v>33.43306359129398</v>
      </c>
      <c r="X269" s="157">
        <f t="shared" si="87"/>
        <v>46642</v>
      </c>
      <c r="Y269" s="383">
        <f t="shared" si="88"/>
        <v>31.710229377041138</v>
      </c>
      <c r="Z269" s="383">
        <f t="shared" si="89"/>
        <v>33.690629640295576</v>
      </c>
      <c r="AA269" s="384">
        <f t="shared" si="90"/>
        <v>36.274537533291245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7.1232000976560086E-2</v>
      </c>
      <c r="AD269" s="230">
        <f>(INDEX(Models!$BJ269:$BT269,,AH269)*(1-AF269)+INDEX(Models!$BJ269:$BT269,,AH269+1)*AF269-ERP_i)*AE269*Ramure*Pc/MaxiM</f>
        <v>2.7409898049478069E-3</v>
      </c>
      <c r="AE269" s="304">
        <f t="shared" si="92"/>
        <v>0.6</v>
      </c>
      <c r="AF269" s="177">
        <f t="shared" si="93"/>
        <v>0.98897354743504007</v>
      </c>
      <c r="AG269" s="799">
        <f t="shared" si="99"/>
        <v>2</v>
      </c>
      <c r="AH269" s="176">
        <f t="shared" si="94"/>
        <v>8</v>
      </c>
      <c r="AI269" s="224">
        <f t="shared" si="95"/>
        <v>2.9889735474350401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'2026'!Wh/'2026'!Env_an*'2027'!Env_an</f>
        <v>14.191781469384351</v>
      </c>
      <c r="C270" s="829"/>
      <c r="D270" s="391">
        <f t="shared" si="77"/>
        <v>15.078390356779645</v>
      </c>
      <c r="E270" s="383">
        <f t="shared" si="100"/>
        <v>15.422157087989923</v>
      </c>
      <c r="F270" s="383">
        <f t="shared" si="78"/>
        <v>15.422173418446016</v>
      </c>
      <c r="G270" s="110">
        <f t="shared" si="101"/>
        <v>0.30280234715920895</v>
      </c>
      <c r="H270" s="412" t="b">
        <f>Wh_hp&gt;='2026'!Maxi_hp</f>
        <v>0</v>
      </c>
      <c r="I270" s="388">
        <f>IF(H270,Wh_hp,'2026'!Maxi_hp)</f>
        <v>48.946025733501244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5.8799969122476758E-2</v>
      </c>
      <c r="M270" s="832"/>
      <c r="N270" s="832"/>
      <c r="O270" s="48">
        <f>IF(t&lt;Tnet,'2026'!Resal+('2026'!Salim-'2026'!Resal)*(1-EXP(('2026'!Tnet-t)/('2026'!Tau_j))),Resal+(Salim-Resal)*(1-EXP((Tnet-t)/(Tau_j))))*Salcycl</f>
        <v>2.2290444147919388E-2</v>
      </c>
      <c r="P270" s="169">
        <f>(INDEX(Models!$BJ270:$BT270,,T270)*(1-R270)+INDEX(Models!$BJ270:$BT270,,T270+1)*R270-ERP_i)*Q270*Ramure*Pc/MaxiM</f>
        <v>2.5737205820166052E-4</v>
      </c>
      <c r="Q270" s="304">
        <f t="shared" si="80"/>
        <v>0.6</v>
      </c>
      <c r="R270" s="177">
        <f t="shared" si="81"/>
        <v>0.46439265088927151</v>
      </c>
      <c r="S270" s="799">
        <f t="shared" si="82"/>
        <v>-1</v>
      </c>
      <c r="T270" s="176">
        <f t="shared" si="83"/>
        <v>5</v>
      </c>
      <c r="U270" s="250">
        <f t="shared" si="84"/>
        <v>-0.53560734911072849</v>
      </c>
      <c r="V270" s="382">
        <f t="shared" si="85"/>
        <v>46.856122676179396</v>
      </c>
      <c r="W270" s="400">
        <f t="shared" si="86"/>
        <v>14.191781469384351</v>
      </c>
      <c r="X270" s="157">
        <f t="shared" si="87"/>
        <v>46643</v>
      </c>
      <c r="Y270" s="383">
        <f t="shared" si="88"/>
        <v>13.480764674171656</v>
      </c>
      <c r="Z270" s="383">
        <f t="shared" si="89"/>
        <v>14.322953922560894</v>
      </c>
      <c r="AA270" s="384">
        <f t="shared" si="90"/>
        <v>15.4219939053621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7.1264454489187709E-2</v>
      </c>
      <c r="AD270" s="230">
        <f>(INDEX(Models!$BJ270:$BT270,,AH270)*(1-AF270)+INDEX(Models!$BJ270:$BT270,,AH270+1)*AF270-ERP_i)*AE270*Ramure*Pc/MaxiM</f>
        <v>2.8291709439828929E-3</v>
      </c>
      <c r="AE270" s="304">
        <f t="shared" si="92"/>
        <v>0.6</v>
      </c>
      <c r="AF270" s="177">
        <f t="shared" si="93"/>
        <v>0.98938021726325021</v>
      </c>
      <c r="AG270" s="799">
        <f t="shared" si="99"/>
        <v>2</v>
      </c>
      <c r="AH270" s="176">
        <f t="shared" si="94"/>
        <v>8</v>
      </c>
      <c r="AI270" s="224">
        <f t="shared" si="95"/>
        <v>2.9893802172632502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'2026'!Wh/'2026'!Env_an*'2027'!Env_an</f>
        <v>35.587643758766269</v>
      </c>
      <c r="C271" s="829"/>
      <c r="D271" s="391">
        <f t="shared" ref="D271:D334" si="102">Wh/(1-Ppv)</f>
        <v>37.811649631726681</v>
      </c>
      <c r="E271" s="383">
        <f t="shared" si="100"/>
        <v>38.677310460838932</v>
      </c>
      <c r="F271" s="383">
        <f t="shared" ref="F271:F334" si="103">Wh_sa/(1-Pvg*MEDIAN((-Sdif+Wh/Env_an)/Csdif,0,1))</f>
        <v>38.68409708047615</v>
      </c>
      <c r="G271" s="110">
        <f t="shared" si="101"/>
        <v>0.76369897767819428</v>
      </c>
      <c r="H271" s="412" t="b">
        <f>Wh_hp&gt;='2026'!Maxi_hp</f>
        <v>0</v>
      </c>
      <c r="I271" s="388">
        <f>IF(H271,Wh_hp,'2026'!Maxi_hp)</f>
        <v>48.424336454195235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5.8818007006346318E-2</v>
      </c>
      <c r="M271" s="832"/>
      <c r="N271" s="832"/>
      <c r="O271" s="48">
        <f>IF(t&lt;Tnet,'2026'!Resal+('2026'!Salim-'2026'!Resal)*(1-EXP(('2026'!Tnet-t)/('2026'!Tau_j))),Resal+(Salim-Resal)*(1-EXP((Tnet-t)/(Tau_j))))*Salcycl</f>
        <v>2.2381619062905988E-2</v>
      </c>
      <c r="P271" s="169">
        <f>(INDEX(Models!$BJ271:$BT271,,T271)*(1-R271)+INDEX(Models!$BJ271:$BT271,,T271+1)*R271-ERP_i)*Q271*Ramure*Pc/MaxiM</f>
        <v>2.6480063063719788E-4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0.46478358159370703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-0.53521641840629297</v>
      </c>
      <c r="V271" s="382">
        <f t="shared" ref="V271:V334" si="110">MaxiM*(1-Ppv)*(1-Pvg)*(1-Psa)</f>
        <v>46.594880964421861</v>
      </c>
      <c r="W271" s="400">
        <f t="shared" ref="W271:W334" si="111">Wh*(A271&gt;Tmaj)</f>
        <v>35.587643758766269</v>
      </c>
      <c r="X271" s="157">
        <f t="shared" ref="X271:X334" si="112">t</f>
        <v>46644</v>
      </c>
      <c r="Y271" s="383">
        <f t="shared" ref="Y271:Y334" si="113">Wh_pvt_s*(1-Ppv)</f>
        <v>33.747533038519734</v>
      </c>
      <c r="Z271" s="383">
        <f t="shared" ref="Z271:Z334" si="114">Wh_sa_s*(1-Psa_s)</f>
        <v>35.856543463159191</v>
      </c>
      <c r="AA271" s="384">
        <f t="shared" ref="AA271:AA334" si="115">Wh_hp*(1-Pvg_s*MEDIAN((-Sdif+Wh/Env_an)/Csdif,0,1))</f>
        <v>38.609239269231459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7.1296297419305821E-2</v>
      </c>
      <c r="AD271" s="230">
        <f>(INDEX(Models!$BJ271:$BT271,,AH271)*(1-AF271)+INDEX(Models!$BJ271:$BT271,,AH271+1)*AF271-ERP_i)*AE271*Ramure*Pc/MaxiM</f>
        <v>2.920805450330701E-3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0.98977114796768584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2.9897711479676858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'2026'!Wh/'2026'!Env_an*'2027'!Env_an</f>
        <v>40.758047372182943</v>
      </c>
      <c r="C272" s="829"/>
      <c r="D272" s="391">
        <f t="shared" si="102"/>
        <v>43.306001187070642</v>
      </c>
      <c r="E272" s="383">
        <f t="shared" si="100"/>
        <v>44.301567333289157</v>
      </c>
      <c r="F272" s="383">
        <f t="shared" si="103"/>
        <v>44.311568853079798</v>
      </c>
      <c r="G272" s="110">
        <f t="shared" si="101"/>
        <v>0.87968451357304789</v>
      </c>
      <c r="H272" s="412" t="b">
        <f>Wh_hp&gt;='2026'!Maxi_hp</f>
        <v>0</v>
      </c>
      <c r="I272" s="388">
        <f>IF(H272,Wh_hp,'2026'!Maxi_hp)</f>
        <v>49.537413864977964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5.8836044544523958E-2</v>
      </c>
      <c r="M272" s="832"/>
      <c r="N272" s="832"/>
      <c r="O272" s="48">
        <f>IF(t&lt;Tnet,'2026'!Resal+('2026'!Salim-'2026'!Resal)*(1-EXP(('2026'!Tnet-t)/('2026'!Tau_j))),Resal+(Salim-Resal)*(1-EXP((Tnet-t)/(Tau_j))))*Salcycl</f>
        <v>2.2472481362311208E-2</v>
      </c>
      <c r="P272" s="169">
        <f>(INDEX(Models!$BJ272:$BT272,,T272)*(1-R272)+INDEX(Models!$BJ272:$BT272,,T272+1)*R272-ERP_i)*Q272*Ramure*Pc/MaxiM</f>
        <v>2.7253629336076036E-4</v>
      </c>
      <c r="Q272" s="304">
        <f t="shared" si="105"/>
        <v>0.6</v>
      </c>
      <c r="R272" s="177">
        <f t="shared" si="106"/>
        <v>0.4651593582036051</v>
      </c>
      <c r="S272" s="799">
        <f t="shared" si="107"/>
        <v>-1</v>
      </c>
      <c r="T272" s="176">
        <f t="shared" si="108"/>
        <v>5</v>
      </c>
      <c r="U272" s="250">
        <f t="shared" si="109"/>
        <v>-0.5348406417963949</v>
      </c>
      <c r="V272" s="382">
        <f t="shared" si="110"/>
        <v>46.330403369979521</v>
      </c>
      <c r="W272" s="400">
        <f t="shared" si="111"/>
        <v>40.758047372182943</v>
      </c>
      <c r="X272" s="157">
        <f t="shared" si="112"/>
        <v>46645</v>
      </c>
      <c r="Y272" s="383">
        <f t="shared" si="113"/>
        <v>38.63304031862048</v>
      </c>
      <c r="Z272" s="383">
        <f t="shared" si="114"/>
        <v>41.048151169287003</v>
      </c>
      <c r="AA272" s="384">
        <f t="shared" si="115"/>
        <v>44.200890524557025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7.1327507610246643E-2</v>
      </c>
      <c r="AD272" s="230">
        <f>(INDEX(Models!$BJ272:$BT272,,AH272)*(1-AF272)+INDEX(Models!$BJ272:$BT272,,AH272+1)*AF272-ERP_i)*AE272*Ramure*Pc/MaxiM</f>
        <v>3.0159277832135147E-3</v>
      </c>
      <c r="AE272" s="304">
        <f t="shared" si="117"/>
        <v>0.6</v>
      </c>
      <c r="AF272" s="177">
        <f t="shared" si="118"/>
        <v>0.99014692457758358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2.9901469245775836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'2026'!Wh/'2026'!Env_an*'2027'!Env_an</f>
        <v>32.565302718765537</v>
      </c>
      <c r="C273" s="829"/>
      <c r="D273" s="391">
        <f t="shared" si="102"/>
        <v>34.601757375593095</v>
      </c>
      <c r="E273" s="383">
        <f t="shared" si="100"/>
        <v>35.400499628403161</v>
      </c>
      <c r="F273" s="383">
        <f t="shared" si="103"/>
        <v>35.406275440428423</v>
      </c>
      <c r="G273" s="110">
        <f t="shared" si="101"/>
        <v>0.70689480496526469</v>
      </c>
      <c r="H273" s="412" t="b">
        <f>Wh_hp&gt;='2026'!Maxi_hp</f>
        <v>0</v>
      </c>
      <c r="I273" s="388">
        <f>IF(H273,Wh_hp,'2026'!Maxi_hp)</f>
        <v>43.865326468567289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5.8854081737016228E-2</v>
      </c>
      <c r="M273" s="832"/>
      <c r="N273" s="832"/>
      <c r="O273" s="48">
        <f>IF(t&lt;Tnet,'2026'!Resal+('2026'!Salim-'2026'!Resal)*(1-EXP(('2026'!Tnet-t)/('2026'!Tau_j))),Resal+(Salim-Resal)*(1-EXP((Tnet-t)/(Tau_j))))*Salcycl</f>
        <v>2.2563022024954846E-2</v>
      </c>
      <c r="P273" s="169">
        <f>(INDEX(Models!$BJ273:$BT273,,T273)*(1-R273)+INDEX(Models!$BJ273:$BT273,,T273+1)*R273-ERP_i)*Q273*Ramure*Pc/MaxiM</f>
        <v>2.8058216934479679E-4</v>
      </c>
      <c r="Q273" s="304">
        <f t="shared" si="105"/>
        <v>0.6</v>
      </c>
      <c r="R273" s="177">
        <f t="shared" si="106"/>
        <v>0.46552054587550074</v>
      </c>
      <c r="S273" s="799">
        <f t="shared" si="107"/>
        <v>-1</v>
      </c>
      <c r="T273" s="176">
        <f t="shared" si="108"/>
        <v>5</v>
      </c>
      <c r="U273" s="250">
        <f t="shared" si="109"/>
        <v>-0.53447945412449926</v>
      </c>
      <c r="V273" s="382">
        <f t="shared" si="110"/>
        <v>46.062691348077031</v>
      </c>
      <c r="W273" s="400">
        <f t="shared" si="111"/>
        <v>32.565302718765537</v>
      </c>
      <c r="X273" s="157">
        <f t="shared" si="112"/>
        <v>46646</v>
      </c>
      <c r="Y273" s="383">
        <f t="shared" si="113"/>
        <v>30.888609965935284</v>
      </c>
      <c r="Z273" s="383">
        <f t="shared" si="114"/>
        <v>32.820213493508561</v>
      </c>
      <c r="AA273" s="384">
        <f t="shared" si="115"/>
        <v>35.34216166555963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7.1358062246335827E-2</v>
      </c>
      <c r="AD273" s="230">
        <f>(INDEX(Models!$BJ273:$BT273,,AH273)*(1-AF273)+INDEX(Models!$BJ273:$BT273,,AH273+1)*AF273-ERP_i)*AE273*Ramure*Pc/MaxiM</f>
        <v>3.1145719353199365E-3</v>
      </c>
      <c r="AE273" s="304">
        <f t="shared" si="117"/>
        <v>0.6</v>
      </c>
      <c r="AF273" s="177">
        <f t="shared" si="118"/>
        <v>0.99050811224947921</v>
      </c>
      <c r="AG273" s="799">
        <f t="shared" si="124"/>
        <v>2</v>
      </c>
      <c r="AH273" s="176">
        <f t="shared" si="119"/>
        <v>8</v>
      </c>
      <c r="AI273" s="224">
        <f t="shared" si="120"/>
        <v>2.9905081122494792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'2026'!Wh/'2026'!Env_an*'2027'!Env_an</f>
        <v>45.506669811780824</v>
      </c>
      <c r="C274" s="829"/>
      <c r="D274" s="391">
        <f t="shared" si="102"/>
        <v>48.353332963958394</v>
      </c>
      <c r="E274" s="383">
        <f t="shared" si="100"/>
        <v>49.474080781088773</v>
      </c>
      <c r="F274" s="383">
        <f t="shared" si="103"/>
        <v>49.488252811507408</v>
      </c>
      <c r="G274" s="110">
        <f t="shared" si="101"/>
        <v>0.9937719447313258</v>
      </c>
      <c r="H274" s="412" t="b">
        <f>Wh_hp&gt;='2026'!Maxi_hp</f>
        <v>0</v>
      </c>
      <c r="I274" s="388">
        <f>IF(H274,Wh_hp,'2026'!Maxi_hp)</f>
        <v>49.488334289395652</v>
      </c>
      <c r="J274" s="85">
        <f>IF(H274,An,'2026'!An_max)</f>
        <v>2026</v>
      </c>
      <c r="K274" s="197">
        <f t="shared" si="104"/>
        <v>46647</v>
      </c>
      <c r="L274" s="147">
        <f>IF(t&lt;Tvie,1-EXP((T0-t)*PertePVj)+'2026'!Pspv,1-EXP((T0-t)*PertePVj)+Pspv)</f>
        <v>5.8872118583829902E-2</v>
      </c>
      <c r="M274" s="832"/>
      <c r="N274" s="832"/>
      <c r="O274" s="48">
        <f>IF(t&lt;Tnet,'2026'!Resal+('2026'!Salim-'2026'!Resal)*(1-EXP(('2026'!Tnet-t)/('2026'!Tau_j))),Resal+(Salim-Resal)*(1-EXP((Tnet-t)/(Tau_j))))*Salcycl</f>
        <v>2.2653231741473333E-2</v>
      </c>
      <c r="P274" s="169">
        <f>(INDEX(Models!$BJ274:$BT274,,T274)*(1-R274)+INDEX(Models!$BJ274:$BT274,,T274+1)*R274-ERP_i)*Q274*Ramure*Pc/MaxiM</f>
        <v>2.8894132631421862E-4</v>
      </c>
      <c r="Q274" s="304">
        <f t="shared" si="105"/>
        <v>0.6</v>
      </c>
      <c r="R274" s="177">
        <f t="shared" si="106"/>
        <v>0.46586769042059906</v>
      </c>
      <c r="S274" s="799">
        <f t="shared" si="107"/>
        <v>-1</v>
      </c>
      <c r="T274" s="176">
        <f t="shared" si="108"/>
        <v>5</v>
      </c>
      <c r="U274" s="250">
        <f t="shared" si="109"/>
        <v>-0.53413230957940094</v>
      </c>
      <c r="V274" s="382">
        <f t="shared" si="110"/>
        <v>45.791746366070498</v>
      </c>
      <c r="W274" s="400">
        <f t="shared" si="111"/>
        <v>45.506669811780824</v>
      </c>
      <c r="X274" s="157">
        <f t="shared" si="112"/>
        <v>46647</v>
      </c>
      <c r="Y274" s="383">
        <f t="shared" si="113"/>
        <v>43.112009700294706</v>
      </c>
      <c r="Z274" s="383">
        <f t="shared" si="114"/>
        <v>45.80887523534161</v>
      </c>
      <c r="AA274" s="384">
        <f t="shared" si="115"/>
        <v>49.330476207559073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7.1387937902732748E-2</v>
      </c>
      <c r="AD274" s="230">
        <f>(INDEX(Models!$BJ274:$BT274,,AH274)*(1-AF274)+INDEX(Models!$BJ274:$BT274,,AH274+1)*AF274-ERP_i)*AE274*Ramure*Pc/MaxiM</f>
        <v>3.2167713347720553E-3</v>
      </c>
      <c r="AE274" s="304">
        <f t="shared" si="117"/>
        <v>0.6</v>
      </c>
      <c r="AF274" s="177">
        <f t="shared" si="118"/>
        <v>0.99085525679457787</v>
      </c>
      <c r="AG274" s="799">
        <f t="shared" si="124"/>
        <v>2</v>
      </c>
      <c r="AH274" s="176">
        <f t="shared" si="119"/>
        <v>8</v>
      </c>
      <c r="AI274" s="224">
        <f t="shared" si="120"/>
        <v>2.9908552567945779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'2026'!Wh/'2026'!Env_an*'2027'!Env_an</f>
        <v>45.499701196745661</v>
      </c>
      <c r="C275" s="829"/>
      <c r="D275" s="391">
        <f t="shared" si="102"/>
        <v>48.346854984663096</v>
      </c>
      <c r="E275" s="383">
        <f t="shared" si="100"/>
        <v>49.472001712888243</v>
      </c>
      <c r="F275" s="383">
        <f t="shared" si="103"/>
        <v>49.486721703254403</v>
      </c>
      <c r="G275" s="110">
        <f t="shared" si="101"/>
        <v>0.99961207162546628</v>
      </c>
      <c r="H275" s="412" t="b">
        <f>Wh_hp&gt;='2026'!Maxi_hp</f>
        <v>0</v>
      </c>
      <c r="I275" s="388">
        <f>IF(H275,Wh_hp,'2026'!Maxi_hp)</f>
        <v>49.48672693279498</v>
      </c>
      <c r="J275" s="85">
        <f>IF(H275,An,'2026'!An_max)</f>
        <v>2026</v>
      </c>
      <c r="K275" s="197">
        <f t="shared" si="104"/>
        <v>46648</v>
      </c>
      <c r="L275" s="147">
        <f>IF(t&lt;Tvie,1-EXP((T0-t)*PertePVj)+'2026'!Pspv,1-EXP((T0-t)*PertePVj)+Pspv)</f>
        <v>5.8890155084971418E-2</v>
      </c>
      <c r="M275" s="832"/>
      <c r="N275" s="832"/>
      <c r="O275" s="48">
        <f>IF(t&lt;Tnet,'2026'!Resal+('2026'!Salim-'2026'!Resal)*(1-EXP(('2026'!Tnet-t)/('2026'!Tau_j))),Resal+(Salim-Resal)*(1-EXP((Tnet-t)/(Tau_j))))*Salcycl</f>
        <v>2.2743100931208723E-2</v>
      </c>
      <c r="P275" s="169">
        <f>(INDEX(Models!$BJ275:$BT275,,T275)*(1-R275)+INDEX(Models!$BJ275:$BT275,,T275+1)*R275-ERP_i)*Q275*Ramure*Pc/MaxiM</f>
        <v>2.9761819911134713E-4</v>
      </c>
      <c r="Q275" s="304">
        <f t="shared" si="105"/>
        <v>0.6</v>
      </c>
      <c r="R275" s="177">
        <f t="shared" si="106"/>
        <v>0.4662013188304569</v>
      </c>
      <c r="S275" s="799">
        <f t="shared" si="107"/>
        <v>-1</v>
      </c>
      <c r="T275" s="176">
        <f t="shared" si="108"/>
        <v>5</v>
      </c>
      <c r="U275" s="250">
        <f t="shared" si="109"/>
        <v>-0.5337986811695431</v>
      </c>
      <c r="V275" s="382">
        <f t="shared" si="110"/>
        <v>45.517351165257267</v>
      </c>
      <c r="W275" s="400">
        <f t="shared" si="111"/>
        <v>45.499701196745661</v>
      </c>
      <c r="X275" s="157">
        <f t="shared" si="112"/>
        <v>46648</v>
      </c>
      <c r="Y275" s="383">
        <f t="shared" si="113"/>
        <v>43.102762113276498</v>
      </c>
      <c r="Z275" s="383">
        <f t="shared" si="114"/>
        <v>45.799926912004814</v>
      </c>
      <c r="AA275" s="384">
        <f t="shared" si="115"/>
        <v>49.322389455152162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7.1417110607551709E-2</v>
      </c>
      <c r="AD275" s="230">
        <f>(INDEX(Models!$BJ275:$BT275,,AH275)*(1-AF275)+INDEX(Models!$BJ275:$BT275,,AH275+1)*AF275-ERP_i)*AE275*Ramure*Pc/MaxiM</f>
        <v>3.3225747109556533E-3</v>
      </c>
      <c r="AE275" s="304">
        <f t="shared" si="117"/>
        <v>0.6</v>
      </c>
      <c r="AF275" s="177">
        <f t="shared" si="118"/>
        <v>0.99118888520443571</v>
      </c>
      <c r="AG275" s="799">
        <f t="shared" si="124"/>
        <v>2</v>
      </c>
      <c r="AH275" s="176">
        <f t="shared" si="119"/>
        <v>8</v>
      </c>
      <c r="AI275" s="224">
        <f t="shared" si="120"/>
        <v>2.9911888852044357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'2026'!Wh/'2026'!Env_an*'2027'!Env_an</f>
        <v>44.882527887992488</v>
      </c>
      <c r="C276" s="829"/>
      <c r="D276" s="391">
        <f t="shared" si="102"/>
        <v>47.691975926505918</v>
      </c>
      <c r="E276" s="383">
        <f t="shared" si="100"/>
        <v>48.806352822549506</v>
      </c>
      <c r="F276" s="383">
        <f t="shared" si="103"/>
        <v>48.821155449859496</v>
      </c>
      <c r="G276" s="110">
        <f t="shared" si="101"/>
        <v>0.992109053109407</v>
      </c>
      <c r="H276" s="412" t="b">
        <f>Wh_hp&gt;='2026'!Maxi_hp</f>
        <v>0</v>
      </c>
      <c r="I276" s="388">
        <f>IF(H276,Wh_hp,'2026'!Maxi_hp)</f>
        <v>48.821263638330237</v>
      </c>
      <c r="J276" s="85">
        <f>IF(H276,An,'2026'!An_max)</f>
        <v>2026</v>
      </c>
      <c r="K276" s="197">
        <f t="shared" si="104"/>
        <v>46649</v>
      </c>
      <c r="L276" s="147">
        <f>IF(t&lt;Tvie,1-EXP((T0-t)*PertePVj)+'2026'!Pspv,1-EXP((T0-t)*PertePVj)+Pspv)</f>
        <v>5.8908191240447549E-2</v>
      </c>
      <c r="M276" s="832"/>
      <c r="N276" s="832"/>
      <c r="O276" s="48">
        <f>IF(t&lt;Tnet,'2026'!Resal+('2026'!Salim-'2026'!Resal)*(1-EXP(('2026'!Tnet-t)/('2026'!Tau_j))),Resal+(Salim-Resal)*(1-EXP((Tnet-t)/(Tau_j))))*Salcycl</f>
        <v>2.2832619763563322E-2</v>
      </c>
      <c r="P276" s="169">
        <f>(INDEX(Models!$BJ276:$BT276,,T276)*(1-R276)+INDEX(Models!$BJ276:$BT276,,T276+1)*R276-ERP_i)*Q276*Ramure*Pc/MaxiM</f>
        <v>3.0665645402167885E-4</v>
      </c>
      <c r="Q276" s="304">
        <f t="shared" si="105"/>
        <v>0.6</v>
      </c>
      <c r="R276" s="177">
        <f t="shared" si="106"/>
        <v>0.46652193979971845</v>
      </c>
      <c r="S276" s="799">
        <f t="shared" si="107"/>
        <v>-1</v>
      </c>
      <c r="T276" s="176">
        <f t="shared" si="108"/>
        <v>5</v>
      </c>
      <c r="U276" s="250">
        <f t="shared" si="109"/>
        <v>-0.53347806020028155</v>
      </c>
      <c r="V276" s="382">
        <f t="shared" si="110"/>
        <v>45.239354095800387</v>
      </c>
      <c r="W276" s="400">
        <f t="shared" si="111"/>
        <v>44.882527887992488</v>
      </c>
      <c r="X276" s="157">
        <f t="shared" si="112"/>
        <v>46649</v>
      </c>
      <c r="Y276" s="383">
        <f t="shared" si="113"/>
        <v>42.517752867895297</v>
      </c>
      <c r="Z276" s="383">
        <f t="shared" si="114"/>
        <v>45.179176433314936</v>
      </c>
      <c r="AA276" s="384">
        <f t="shared" si="115"/>
        <v>48.655387652483334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7.1445555916580555E-2</v>
      </c>
      <c r="AD276" s="230">
        <f>(INDEX(Models!$BJ276:$BT276,,AH276)*(1-AF276)+INDEX(Models!$BJ276:$BT276,,AH276+1)*AF276-ERP_i)*AE276*Ramure*Pc/MaxiM</f>
        <v>3.4341042214894018E-3</v>
      </c>
      <c r="AE276" s="304">
        <f t="shared" si="117"/>
        <v>0.6</v>
      </c>
      <c r="AF276" s="177">
        <f t="shared" si="118"/>
        <v>0.99150950617369737</v>
      </c>
      <c r="AG276" s="799">
        <f t="shared" si="124"/>
        <v>2</v>
      </c>
      <c r="AH276" s="176">
        <f t="shared" si="119"/>
        <v>8</v>
      </c>
      <c r="AI276" s="224">
        <f t="shared" si="120"/>
        <v>2.9915095061736974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'2026'!Wh/'2026'!Env_an*'2027'!Env_an</f>
        <v>46.59151976274029</v>
      </c>
      <c r="C277" s="829"/>
      <c r="D277" s="391">
        <f t="shared" si="102"/>
        <v>49.508891972094993</v>
      </c>
      <c r="E277" s="383">
        <f t="shared" si="100"/>
        <v>50.670346413080622</v>
      </c>
      <c r="F277" s="383">
        <f t="shared" si="103"/>
        <v>50.686359696372001</v>
      </c>
      <c r="G277" s="110">
        <f t="shared" si="101"/>
        <v>1.0363374963227203</v>
      </c>
      <c r="H277" s="412" t="b">
        <f>Wh_hp&gt;='2026'!Maxi_hp</f>
        <v>1</v>
      </c>
      <c r="I277" s="388">
        <f>IF(H277,Wh_hp,'2026'!Maxi_hp)</f>
        <v>50.686359696372001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5.8926227050264846E-2</v>
      </c>
      <c r="M277" s="832"/>
      <c r="N277" s="832"/>
      <c r="O277" s="48">
        <f>IF(t&lt;Tnet,'2026'!Resal+('2026'!Salim-'2026'!Resal)*(1-EXP(('2026'!Tnet-t)/('2026'!Tau_j))),Resal+(Salim-Resal)*(1-EXP((Tnet-t)/(Tau_j))))*Salcycl</f>
        <v>2.292177818397147E-2</v>
      </c>
      <c r="P277" s="169">
        <f>(INDEX(Models!$BJ277:$BT277,,T277)*(1-R277)+INDEX(Models!$BJ277:$BT277,,T277+1)*R277-ERP_i)*Q277*Ramure*Pc/MaxiM</f>
        <v>3.1592884924670913E-4</v>
      </c>
      <c r="Q277" s="304">
        <f t="shared" si="105"/>
        <v>0.6</v>
      </c>
      <c r="R277" s="177">
        <f t="shared" si="106"/>
        <v>0.46683004424477725</v>
      </c>
      <c r="S277" s="799">
        <f t="shared" si="107"/>
        <v>-1</v>
      </c>
      <c r="T277" s="176">
        <f t="shared" si="108"/>
        <v>5</v>
      </c>
      <c r="U277" s="250">
        <f t="shared" si="109"/>
        <v>-0.53316995575522275</v>
      </c>
      <c r="V277" s="382">
        <f t="shared" si="110"/>
        <v>44.957863560918071</v>
      </c>
      <c r="W277" s="400">
        <f t="shared" si="111"/>
        <v>46.59151976274029</v>
      </c>
      <c r="X277" s="157">
        <f t="shared" si="112"/>
        <v>46650</v>
      </c>
      <c r="Y277" s="383">
        <f t="shared" si="113"/>
        <v>44.133125577512132</v>
      </c>
      <c r="Z277" s="383">
        <f t="shared" si="114"/>
        <v>46.896563102783844</v>
      </c>
      <c r="AA277" s="384">
        <f t="shared" si="115"/>
        <v>50.50642111529514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7.1473249000771191E-2</v>
      </c>
      <c r="AD277" s="230">
        <f>(INDEX(Models!$BJ277:$BT277,,AH277)*(1-AF277)+INDEX(Models!$BJ277:$BT277,,AH277+1)*AF277-ERP_i)*AE277*Ramure*Pc/MaxiM</f>
        <v>3.5500395403171895E-3</v>
      </c>
      <c r="AE277" s="304">
        <f t="shared" si="117"/>
        <v>0.6</v>
      </c>
      <c r="AF277" s="177">
        <f t="shared" si="118"/>
        <v>0.99181761061875573</v>
      </c>
      <c r="AG277" s="799">
        <f t="shared" si="124"/>
        <v>2</v>
      </c>
      <c r="AH277" s="176">
        <f t="shared" si="119"/>
        <v>8</v>
      </c>
      <c r="AI277" s="224">
        <f t="shared" si="120"/>
        <v>2.9918176106187557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'2026'!Wh/'2026'!Env_an*'2027'!Env_an</f>
        <v>45.39260852693603</v>
      </c>
      <c r="C278" s="829"/>
      <c r="D278" s="391">
        <f t="shared" si="102"/>
        <v>48.235834200662396</v>
      </c>
      <c r="E278" s="383">
        <f t="shared" si="100"/>
        <v>49.371909786617906</v>
      </c>
      <c r="F278" s="383">
        <f t="shared" si="103"/>
        <v>49.387982440515252</v>
      </c>
      <c r="G278" s="110">
        <f t="shared" si="101"/>
        <v>1.0161087633722286</v>
      </c>
      <c r="H278" s="412" t="b">
        <f>Wh_hp&gt;='2026'!Maxi_hp</f>
        <v>1</v>
      </c>
      <c r="I278" s="388">
        <f>IF(H278,Wh_hp,'2026'!Maxi_hp)</f>
        <v>49.387982440515252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5.8944262514430079E-2</v>
      </c>
      <c r="M278" s="832"/>
      <c r="N278" s="832"/>
      <c r="O278" s="48">
        <f>IF(t&lt;Tnet,'2026'!Resal+('2026'!Salim-'2026'!Resal)*(1-EXP(('2026'!Tnet-t)/('2026'!Tau_j))),Resal+(Salim-Resal)*(1-EXP((Tnet-t)/(Tau_j))))*Salcycl</f>
        <v>2.3010565944593789E-2</v>
      </c>
      <c r="P278" s="169">
        <f>(INDEX(Models!$BJ278:$BT278,,T278)*(1-R278)+INDEX(Models!$BJ278:$BT278,,T278+1)*R278-ERP_i)*Q278*Ramure*Pc/MaxiM</f>
        <v>3.2543653543059777E-4</v>
      </c>
      <c r="Q278" s="304">
        <f t="shared" si="105"/>
        <v>0.6</v>
      </c>
      <c r="R278" s="177">
        <f t="shared" si="106"/>
        <v>0.46712610581736491</v>
      </c>
      <c r="S278" s="799">
        <f t="shared" si="107"/>
        <v>-1</v>
      </c>
      <c r="T278" s="176">
        <f t="shared" si="108"/>
        <v>5</v>
      </c>
      <c r="U278" s="250">
        <f t="shared" si="109"/>
        <v>-0.53287389418263509</v>
      </c>
      <c r="V278" s="382">
        <f t="shared" si="110"/>
        <v>44.672982030278455</v>
      </c>
      <c r="W278" s="400">
        <f t="shared" si="111"/>
        <v>45.39260852693603</v>
      </c>
      <c r="X278" s="157">
        <f t="shared" si="112"/>
        <v>46651</v>
      </c>
      <c r="Y278" s="383">
        <f t="shared" si="113"/>
        <v>42.995350100866048</v>
      </c>
      <c r="Z278" s="383">
        <f t="shared" si="114"/>
        <v>45.688420343460621</v>
      </c>
      <c r="AA278" s="384">
        <f t="shared" si="115"/>
        <v>49.206708077646773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7.1500164746529996E-2</v>
      </c>
      <c r="AD278" s="230">
        <f>(INDEX(Models!$BJ278:$BT278,,AH278)*(1-AF278)+INDEX(Models!$BJ278:$BT278,,AH278+1)*AF278-ERP_i)*AE278*Ramure*Pc/MaxiM</f>
        <v>3.6704144188682633E-3</v>
      </c>
      <c r="AE278" s="304">
        <f t="shared" si="117"/>
        <v>0.6</v>
      </c>
      <c r="AF278" s="177">
        <f t="shared" si="118"/>
        <v>0.99211367219134372</v>
      </c>
      <c r="AG278" s="799">
        <f t="shared" si="124"/>
        <v>2</v>
      </c>
      <c r="AH278" s="176">
        <f t="shared" si="119"/>
        <v>8</v>
      </c>
      <c r="AI278" s="224">
        <f t="shared" si="120"/>
        <v>2.9921136721913437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'2026'!Wh/'2026'!Env_an*'2027'!Env_an</f>
        <v>43.925481083340308</v>
      </c>
      <c r="C279" s="829"/>
      <c r="D279" s="391">
        <f t="shared" si="102"/>
        <v>46.677705869649891</v>
      </c>
      <c r="E279" s="383">
        <f t="shared" si="100"/>
        <v>47.781407289316469</v>
      </c>
      <c r="F279" s="383">
        <f t="shared" si="103"/>
        <v>47.797191124977473</v>
      </c>
      <c r="G279" s="110">
        <f t="shared" si="101"/>
        <v>0.98964626500034747</v>
      </c>
      <c r="H279" s="412" t="b">
        <f>Wh_hp&gt;='2026'!Maxi_hp</f>
        <v>0</v>
      </c>
      <c r="I279" s="388">
        <f>IF(H279,Wh_hp,'2026'!Maxi_hp)</f>
        <v>47.797343322751502</v>
      </c>
      <c r="J279" s="85">
        <f>IF(H279,An,'2026'!An_max)</f>
        <v>2026</v>
      </c>
      <c r="K279" s="197">
        <f t="shared" si="104"/>
        <v>46652</v>
      </c>
      <c r="L279" s="147">
        <f>IF(t&lt;Tvie,1-EXP((T0-t)*PertePVj)+'2026'!Pspv,1-EXP((T0-t)*PertePVj)+Pspv)</f>
        <v>5.896229763294969E-2</v>
      </c>
      <c r="M279" s="832"/>
      <c r="N279" s="832"/>
      <c r="O279" s="48">
        <f>IF(t&lt;Tnet,'2026'!Resal+('2026'!Salim-'2026'!Resal)*(1-EXP(('2026'!Tnet-t)/('2026'!Tau_j))),Resal+(Salim-Resal)*(1-EXP((Tnet-t)/(Tau_j))))*Salcycl</f>
        <v>2.3098972639789914E-2</v>
      </c>
      <c r="P279" s="169">
        <f>(INDEX(Models!$BJ279:$BT279,,T279)*(1-R279)+INDEX(Models!$BJ279:$BT279,,T279+1)*R279-ERP_i)*Q279*Ramure*Pc/MaxiM</f>
        <v>3.3518049449240571E-4</v>
      </c>
      <c r="Q279" s="304">
        <f t="shared" si="105"/>
        <v>0.6</v>
      </c>
      <c r="R279" s="177">
        <f t="shared" si="106"/>
        <v>0.46741058141217506</v>
      </c>
      <c r="S279" s="799">
        <f t="shared" si="107"/>
        <v>-1</v>
      </c>
      <c r="T279" s="176">
        <f t="shared" si="108"/>
        <v>5</v>
      </c>
      <c r="U279" s="250">
        <f t="shared" si="109"/>
        <v>-0.53258941858782494</v>
      </c>
      <c r="V279" s="382">
        <f t="shared" si="110"/>
        <v>44.384811927218145</v>
      </c>
      <c r="W279" s="400">
        <f t="shared" si="111"/>
        <v>43.925481083340308</v>
      </c>
      <c r="X279" s="157">
        <f t="shared" si="112"/>
        <v>46652</v>
      </c>
      <c r="Y279" s="383">
        <f t="shared" si="113"/>
        <v>41.605627778044131</v>
      </c>
      <c r="Z279" s="383">
        <f t="shared" si="114"/>
        <v>44.212498259518107</v>
      </c>
      <c r="AA279" s="384">
        <f t="shared" si="115"/>
        <v>47.618470190010591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7.1526277868686899E-2</v>
      </c>
      <c r="AD279" s="230">
        <f>(INDEX(Models!$BJ279:$BT279,,AH279)*(1-AF279)+INDEX(Models!$BJ279:$BT279,,AH279+1)*AF279-ERP_i)*AE279*Ramure*Pc/MaxiM</f>
        <v>3.7952607113324573E-3</v>
      </c>
      <c r="AE279" s="304">
        <f t="shared" si="117"/>
        <v>0.6</v>
      </c>
      <c r="AF279" s="177">
        <f t="shared" si="118"/>
        <v>0.99239814778615365</v>
      </c>
      <c r="AG279" s="799">
        <f t="shared" si="124"/>
        <v>2</v>
      </c>
      <c r="AH279" s="176">
        <f t="shared" si="119"/>
        <v>8</v>
      </c>
      <c r="AI279" s="224">
        <f t="shared" si="120"/>
        <v>2.9923981477861537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'2026'!Wh/'2026'!Env_an*'2027'!Env_an</f>
        <v>27.879755893282439</v>
      </c>
      <c r="C280" s="829"/>
      <c r="D280" s="391">
        <f t="shared" si="102"/>
        <v>29.627176618487049</v>
      </c>
      <c r="E280" s="383">
        <f t="shared" si="100"/>
        <v>30.330448352785094</v>
      </c>
      <c r="F280" s="383">
        <f t="shared" si="103"/>
        <v>30.335418750028825</v>
      </c>
      <c r="G280" s="110">
        <f t="shared" si="101"/>
        <v>0.63217318064509975</v>
      </c>
      <c r="H280" s="412" t="b">
        <f>Wh_hp&gt;='2026'!Maxi_hp</f>
        <v>0</v>
      </c>
      <c r="I280" s="388">
        <f>IF(H280,Wh_hp,'2026'!Maxi_hp)</f>
        <v>41.863369362780062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5.8980332405830338E-2</v>
      </c>
      <c r="M280" s="832"/>
      <c r="N280" s="832"/>
      <c r="O280" s="48">
        <f>IF(t&lt;Tnet,'2026'!Resal+('2026'!Salim-'2026'!Resal)*(1-EXP(('2026'!Tnet-t)/('2026'!Tau_j))),Resal+(Salim-Resal)*(1-EXP((Tnet-t)/(Tau_j))))*Salcycl</f>
        <v>2.318698774637358E-2</v>
      </c>
      <c r="P280" s="169">
        <f>(INDEX(Models!$BJ280:$BT280,,T280)*(1-R280)+INDEX(Models!$BJ280:$BT280,,T280+1)*R280-ERP_i)*Q280*Ramure*Pc/MaxiM</f>
        <v>3.4516336395402913E-4</v>
      </c>
      <c r="Q280" s="304">
        <f t="shared" si="105"/>
        <v>0.6</v>
      </c>
      <c r="R280" s="177">
        <f t="shared" si="106"/>
        <v>0.46768391166774026</v>
      </c>
      <c r="S280" s="799">
        <f t="shared" si="107"/>
        <v>-1</v>
      </c>
      <c r="T280" s="176">
        <f t="shared" si="108"/>
        <v>5</v>
      </c>
      <c r="U280" s="250">
        <f t="shared" si="109"/>
        <v>-0.53231608833225974</v>
      </c>
      <c r="V280" s="382">
        <f t="shared" si="110"/>
        <v>44.093455543222603</v>
      </c>
      <c r="W280" s="400">
        <f t="shared" si="111"/>
        <v>27.879755893282439</v>
      </c>
      <c r="X280" s="157">
        <f t="shared" si="112"/>
        <v>46653</v>
      </c>
      <c r="Y280" s="383">
        <f t="shared" si="113"/>
        <v>26.454321965932028</v>
      </c>
      <c r="Z280" s="383">
        <f t="shared" si="114"/>
        <v>28.112400704191121</v>
      </c>
      <c r="AA280" s="384">
        <f t="shared" si="115"/>
        <v>30.27890358253368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7.1551563035865712E-2</v>
      </c>
      <c r="AD280" s="230">
        <f>(INDEX(Models!$BJ280:$BT280,,AH280)*(1-AF280)+INDEX(Models!$BJ280:$BT280,,AH280+1)*AF280-ERP_i)*AE280*Ramure*Pc/MaxiM</f>
        <v>3.9246290327522989E-3</v>
      </c>
      <c r="AE280" s="304">
        <f t="shared" si="117"/>
        <v>0.6</v>
      </c>
      <c r="AF280" s="177">
        <f t="shared" si="118"/>
        <v>0.99267147804171918</v>
      </c>
      <c r="AG280" s="799">
        <f t="shared" si="124"/>
        <v>2</v>
      </c>
      <c r="AH280" s="176">
        <f t="shared" si="119"/>
        <v>8</v>
      </c>
      <c r="AI280" s="224">
        <f t="shared" si="120"/>
        <v>2.9926714780417192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'2026'!Wh/'2026'!Env_an*'2027'!Env_an</f>
        <v>16.888555914232235</v>
      </c>
      <c r="C281" s="829"/>
      <c r="D281" s="391">
        <f t="shared" si="102"/>
        <v>17.947424657908567</v>
      </c>
      <c r="E281" s="383">
        <f t="shared" si="100"/>
        <v>18.375097719578275</v>
      </c>
      <c r="F281" s="383">
        <f t="shared" si="103"/>
        <v>18.375896239462076</v>
      </c>
      <c r="G281" s="110">
        <f t="shared" si="101"/>
        <v>0.38547185463168682</v>
      </c>
      <c r="H281" s="412" t="b">
        <f>Wh_hp&gt;='2026'!Maxi_hp</f>
        <v>0</v>
      </c>
      <c r="I281" s="388">
        <f>IF(H281,Wh_hp,'2026'!Maxi_hp)</f>
        <v>40.4343470381435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5.8998366833078686E-2</v>
      </c>
      <c r="M281" s="832"/>
      <c r="N281" s="832"/>
      <c r="O281" s="48">
        <f>IF(t&lt;Tnet,'2026'!Resal+('2026'!Salim-'2026'!Resal)*(1-EXP(('2026'!Tnet-t)/('2026'!Tau_j))),Resal+(Salim-Resal)*(1-EXP((Tnet-t)/(Tau_j))))*Salcycl</f>
        <v>2.3274600668601139E-2</v>
      </c>
      <c r="P281" s="169">
        <f>(INDEX(Models!$BJ281:$BT281,,T281)*(1-R281)+INDEX(Models!$BJ281:$BT281,,T281+1)*R281-ERP_i)*Q281*Ramure*Pc/MaxiM</f>
        <v>3.5538686149514791E-4</v>
      </c>
      <c r="Q281" s="304">
        <f t="shared" si="105"/>
        <v>0.6</v>
      </c>
      <c r="R281" s="177">
        <f t="shared" si="106"/>
        <v>0.46794652145987636</v>
      </c>
      <c r="S281" s="799">
        <f t="shared" si="107"/>
        <v>-1</v>
      </c>
      <c r="T281" s="176">
        <f t="shared" si="108"/>
        <v>5</v>
      </c>
      <c r="U281" s="250">
        <f t="shared" si="109"/>
        <v>-0.53205347854012364</v>
      </c>
      <c r="V281" s="382">
        <f t="shared" si="110"/>
        <v>43.799015153619067</v>
      </c>
      <c r="W281" s="400">
        <f t="shared" si="111"/>
        <v>16.888555914232235</v>
      </c>
      <c r="X281" s="157">
        <f t="shared" si="112"/>
        <v>46654</v>
      </c>
      <c r="Y281" s="383">
        <f t="shared" si="113"/>
        <v>16.046107309575525</v>
      </c>
      <c r="Z281" s="383">
        <f t="shared" si="114"/>
        <v>17.052156706224501</v>
      </c>
      <c r="AA281" s="384">
        <f t="shared" si="115"/>
        <v>18.366777048562263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7.157599500782684E-2</v>
      </c>
      <c r="AD281" s="230">
        <f>(INDEX(Models!$BJ281:$BT281,,AH281)*(1-AF281)+INDEX(Models!$BJ281:$BT281,,AH281+1)*AF281-ERP_i)*AE281*Ramure*Pc/MaxiM</f>
        <v>4.0585597165541864E-3</v>
      </c>
      <c r="AE281" s="304">
        <f t="shared" si="117"/>
        <v>0.6</v>
      </c>
      <c r="AF281" s="177">
        <f t="shared" si="118"/>
        <v>0.99293408783385484</v>
      </c>
      <c r="AG281" s="799">
        <f t="shared" si="124"/>
        <v>2</v>
      </c>
      <c r="AH281" s="176">
        <f t="shared" si="119"/>
        <v>8</v>
      </c>
      <c r="AI281" s="224">
        <f t="shared" si="120"/>
        <v>2.9929340878338548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'2026'!Wh/'2026'!Env_an*'2027'!Env_an</f>
        <v>35.566313170606968</v>
      </c>
      <c r="C282" s="829"/>
      <c r="D282" s="391">
        <f t="shared" si="102"/>
        <v>37.796953321162974</v>
      </c>
      <c r="E282" s="383">
        <f t="shared" si="100"/>
        <v>38.701080248193513</v>
      </c>
      <c r="F282" s="383">
        <f t="shared" si="103"/>
        <v>38.711563475304096</v>
      </c>
      <c r="G282" s="110">
        <f t="shared" si="101"/>
        <v>0.81750872263883978</v>
      </c>
      <c r="H282" s="412" t="b">
        <f>Wh_hp&gt;='2026'!Maxi_hp</f>
        <v>0</v>
      </c>
      <c r="I282" s="388">
        <f>IF(H282,Wh_hp,'2026'!Maxi_hp)</f>
        <v>38.713944409579916</v>
      </c>
      <c r="J282" s="85">
        <f>IF(H282,An,'2026'!An_max)</f>
        <v>2026</v>
      </c>
      <c r="K282" s="197">
        <f t="shared" si="104"/>
        <v>46655</v>
      </c>
      <c r="L282" s="147">
        <f>IF(t&lt;Tvie,1-EXP((T0-t)*PertePVj)+'2026'!Pspv,1-EXP((T0-t)*PertePVj)+Pspv)</f>
        <v>5.9016400914701395E-2</v>
      </c>
      <c r="M282" s="832"/>
      <c r="N282" s="832"/>
      <c r="O282" s="48">
        <f>IF(t&lt;Tnet,'2026'!Resal+('2026'!Salim-'2026'!Resal)*(1-EXP(('2026'!Tnet-t)/('2026'!Tau_j))),Resal+(Salim-Resal)*(1-EXP((Tnet-t)/(Tau_j))))*Salcycl</f>
        <v>2.3361800787789107E-2</v>
      </c>
      <c r="P282" s="169">
        <f>(INDEX(Models!$BJ282:$BT282,,T282)*(1-R282)+INDEX(Models!$BJ282:$BT282,,T282+1)*R282-ERP_i)*Q282*Ramure*Pc/MaxiM</f>
        <v>3.6624284816025326E-4</v>
      </c>
      <c r="Q282" s="304">
        <f t="shared" si="105"/>
        <v>0.6</v>
      </c>
      <c r="R282" s="177">
        <f t="shared" si="106"/>
        <v>0.46819882038709459</v>
      </c>
      <c r="S282" s="799">
        <f t="shared" si="107"/>
        <v>-1</v>
      </c>
      <c r="T282" s="176">
        <f t="shared" si="108"/>
        <v>5</v>
      </c>
      <c r="U282" s="250">
        <f t="shared" si="109"/>
        <v>-0.53180117961290541</v>
      </c>
      <c r="V282" s="382">
        <f t="shared" si="110"/>
        <v>43.501575996411042</v>
      </c>
      <c r="W282" s="400">
        <f t="shared" si="111"/>
        <v>35.566313170606968</v>
      </c>
      <c r="X282" s="157">
        <f t="shared" si="112"/>
        <v>46655</v>
      </c>
      <c r="Y282" s="383">
        <f t="shared" si="113"/>
        <v>33.713675946524681</v>
      </c>
      <c r="Z282" s="383">
        <f t="shared" si="114"/>
        <v>35.828122806068791</v>
      </c>
      <c r="AA282" s="384">
        <f t="shared" si="115"/>
        <v>38.591238036506184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7.1599548784197123E-2</v>
      </c>
      <c r="AD282" s="230">
        <f>(INDEX(Models!$BJ282:$BT282,,AH282)*(1-AF282)+INDEX(Models!$BJ282:$BT282,,AH282+1)*AF282-ERP_i)*AE282*Ramure*Pc/MaxiM</f>
        <v>4.2036990085805156E-3</v>
      </c>
      <c r="AE282" s="304">
        <f t="shared" si="117"/>
        <v>0.6</v>
      </c>
      <c r="AF282" s="177">
        <f t="shared" si="118"/>
        <v>0.99318638676107351</v>
      </c>
      <c r="AG282" s="799">
        <f t="shared" si="124"/>
        <v>2</v>
      </c>
      <c r="AH282" s="176">
        <f t="shared" si="119"/>
        <v>8</v>
      </c>
      <c r="AI282" s="224">
        <f t="shared" si="120"/>
        <v>2.9931863867610735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'2026'!Wh/'2026'!Env_an*'2027'!Env_an</f>
        <v>32.565070338319792</v>
      </c>
      <c r="C283" s="829"/>
      <c r="D283" s="391">
        <f t="shared" si="102"/>
        <v>34.608142462929912</v>
      </c>
      <c r="E283" s="383">
        <f t="shared" si="100"/>
        <v>35.439139881557182</v>
      </c>
      <c r="F283" s="383">
        <f t="shared" si="103"/>
        <v>35.447817447108818</v>
      </c>
      <c r="G283" s="110">
        <f t="shared" si="101"/>
        <v>0.7536991951739288</v>
      </c>
      <c r="H283" s="412" t="b">
        <f>Wh_hp&gt;='2026'!Maxi_hp</f>
        <v>0</v>
      </c>
      <c r="I283" s="388">
        <f>IF(H283,Wh_hp,'2026'!Maxi_hp)</f>
        <v>39.693686966189702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5.9034434650704903E-2</v>
      </c>
      <c r="M283" s="832"/>
      <c r="N283" s="832"/>
      <c r="O283" s="48">
        <f>IF(t&lt;Tnet,'2026'!Resal+('2026'!Salim-'2026'!Resal)*(1-EXP(('2026'!Tnet-t)/('2026'!Tau_j))),Resal+(Salim-Resal)*(1-EXP((Tnet-t)/(Tau_j))))*Salcycl</f>
        <v>2.3448577516400927E-2</v>
      </c>
      <c r="P283" s="169">
        <f>(INDEX(Models!$BJ283:$BT283,,T283)*(1-R283)+INDEX(Models!$BJ283:$BT283,,T283+1)*R283-ERP_i)*Q283*Ramure*Pc/MaxiM</f>
        <v>3.7760922009244822E-4</v>
      </c>
      <c r="Q283" s="304">
        <f t="shared" si="105"/>
        <v>0.6</v>
      </c>
      <c r="R283" s="177">
        <f t="shared" si="106"/>
        <v>0.46844120324747252</v>
      </c>
      <c r="S283" s="799">
        <f t="shared" si="107"/>
        <v>-1</v>
      </c>
      <c r="T283" s="176">
        <f t="shared" si="108"/>
        <v>5</v>
      </c>
      <c r="U283" s="250">
        <f t="shared" si="109"/>
        <v>-0.53155879675252748</v>
      </c>
      <c r="V283" s="382">
        <f t="shared" si="110"/>
        <v>43.201245922697048</v>
      </c>
      <c r="W283" s="400">
        <f t="shared" si="111"/>
        <v>32.565070338319792</v>
      </c>
      <c r="X283" s="157">
        <f t="shared" si="112"/>
        <v>46656</v>
      </c>
      <c r="Y283" s="383">
        <f t="shared" si="113"/>
        <v>30.87870504999761</v>
      </c>
      <c r="Z283" s="383">
        <f t="shared" si="114"/>
        <v>32.815977743601223</v>
      </c>
      <c r="AA283" s="384">
        <f t="shared" si="115"/>
        <v>35.347654516570664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7.1622199763851799E-2</v>
      </c>
      <c r="AD283" s="230">
        <f>(INDEX(Models!$BJ283:$BT283,,AH283)*(1-AF283)+INDEX(Models!$BJ283:$BT283,,AH283+1)*AF283-ERP_i)*AE283*Ramure*Pc/MaxiM</f>
        <v>4.358647117975384E-3</v>
      </c>
      <c r="AE283" s="304">
        <f t="shared" si="117"/>
        <v>0.6</v>
      </c>
      <c r="AF283" s="177">
        <f t="shared" si="118"/>
        <v>0.99342876962145121</v>
      </c>
      <c r="AG283" s="799">
        <f t="shared" si="124"/>
        <v>2</v>
      </c>
      <c r="AH283" s="176">
        <f t="shared" si="119"/>
        <v>8</v>
      </c>
      <c r="AI283" s="224">
        <f t="shared" si="120"/>
        <v>2.9934287696214512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'2026'!Wh/'2026'!Env_an*'2027'!Env_an</f>
        <v>17.268384967150904</v>
      </c>
      <c r="C284" s="829"/>
      <c r="D284" s="391">
        <f t="shared" si="102"/>
        <v>18.352123131882667</v>
      </c>
      <c r="E284" s="383">
        <f t="shared" si="100"/>
        <v>18.794448992052825</v>
      </c>
      <c r="F284" s="383">
        <f t="shared" si="103"/>
        <v>18.795521404730465</v>
      </c>
      <c r="G284" s="110">
        <f t="shared" si="101"/>
        <v>0.40241020287943924</v>
      </c>
      <c r="H284" s="412" t="b">
        <f>Wh_hp&gt;='2026'!Maxi_hp</f>
        <v>0</v>
      </c>
      <c r="I284" s="388">
        <f>IF(H284,Wh_hp,'2026'!Maxi_hp)</f>
        <v>37.960845399345402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5.9052468041096096E-2</v>
      </c>
      <c r="M284" s="832"/>
      <c r="N284" s="832"/>
      <c r="O284" s="48">
        <f>IF(t&lt;Tnet,'2026'!Resal+('2026'!Salim-'2026'!Resal)*(1-EXP(('2026'!Tnet-t)/('2026'!Tau_j))),Resal+(Salim-Resal)*(1-EXP((Tnet-t)/(Tau_j))))*Salcycl</f>
        <v>2.3534920356387923E-2</v>
      </c>
      <c r="P284" s="169">
        <f>(INDEX(Models!$BJ284:$BT284,,T284)*(1-R284)+INDEX(Models!$BJ284:$BT284,,T284+1)*R284-ERP_i)*Q284*Ramure*Pc/MaxiM</f>
        <v>3.8948902435046178E-4</v>
      </c>
      <c r="Q284" s="304">
        <f t="shared" si="105"/>
        <v>0.6</v>
      </c>
      <c r="R284" s="177">
        <f t="shared" si="106"/>
        <v>0.46867405050654187</v>
      </c>
      <c r="S284" s="799">
        <f t="shared" si="107"/>
        <v>-1</v>
      </c>
      <c r="T284" s="176">
        <f t="shared" si="108"/>
        <v>5</v>
      </c>
      <c r="U284" s="250">
        <f t="shared" si="109"/>
        <v>-0.53132594949345813</v>
      </c>
      <c r="V284" s="382">
        <f t="shared" si="110"/>
        <v>42.898127206485611</v>
      </c>
      <c r="W284" s="400">
        <f t="shared" si="111"/>
        <v>17.268384967150904</v>
      </c>
      <c r="X284" s="157">
        <f t="shared" si="112"/>
        <v>46657</v>
      </c>
      <c r="Y284" s="383">
        <f t="shared" si="113"/>
        <v>16.407653975324656</v>
      </c>
      <c r="Z284" s="383">
        <f t="shared" si="114"/>
        <v>17.437373942802651</v>
      </c>
      <c r="AA284" s="384">
        <f t="shared" si="115"/>
        <v>18.783066532316781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7.1643923914065322E-2</v>
      </c>
      <c r="AD284" s="230">
        <f>(INDEX(Models!$BJ284:$BT284,,AH284)*(1-AF284)+INDEX(Models!$BJ284:$BT284,,AH284+1)*AF284-ERP_i)*AE284*Ramure*Pc/MaxiM</f>
        <v>4.5234788864064691E-3</v>
      </c>
      <c r="AE284" s="304">
        <f t="shared" si="117"/>
        <v>0.6</v>
      </c>
      <c r="AF284" s="177">
        <f t="shared" si="118"/>
        <v>0.99366161688052035</v>
      </c>
      <c r="AG284" s="799">
        <f t="shared" si="124"/>
        <v>2</v>
      </c>
      <c r="AH284" s="176">
        <f t="shared" si="119"/>
        <v>8</v>
      </c>
      <c r="AI284" s="224">
        <f t="shared" si="120"/>
        <v>2.9936616168805203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'2026'!Wh/'2026'!Env_an*'2027'!Env_an</f>
        <v>19.572815208108175</v>
      </c>
      <c r="C285" s="829"/>
      <c r="D285" s="391">
        <f t="shared" si="102"/>
        <v>20.801574645811638</v>
      </c>
      <c r="E285" s="383">
        <f t="shared" si="100"/>
        <v>21.304811747098977</v>
      </c>
      <c r="F285" s="383">
        <f t="shared" si="103"/>
        <v>21.306763329688113</v>
      </c>
      <c r="G285" s="110">
        <f t="shared" si="101"/>
        <v>0.45939597661808035</v>
      </c>
      <c r="H285" s="412" t="b">
        <f>Wh_hp&gt;='2026'!Maxi_hp</f>
        <v>0</v>
      </c>
      <c r="I285" s="388">
        <f>IF(H285,Wh_hp,'2026'!Maxi_hp)</f>
        <v>38.326040675068562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5.9070501085881522E-2</v>
      </c>
      <c r="M285" s="832"/>
      <c r="N285" s="832"/>
      <c r="O285" s="48">
        <f>IF(t&lt;Tnet,'2026'!Resal+('2026'!Salim-'2026'!Resal)*(1-EXP(('2026'!Tnet-t)/('2026'!Tau_j))),Resal+(Salim-Resal)*(1-EXP((Tnet-t)/(Tau_j))))*Salcycl</f>
        <v>2.3620818961513062E-2</v>
      </c>
      <c r="P285" s="169">
        <f>(INDEX(Models!$BJ285:$BT285,,T285)*(1-R285)+INDEX(Models!$BJ285:$BT285,,T285+1)*R285-ERP_i)*Q285*Ramure*Pc/MaxiM</f>
        <v>4.0188497566499701E-4</v>
      </c>
      <c r="Q285" s="304">
        <f t="shared" si="105"/>
        <v>0.6</v>
      </c>
      <c r="R285" s="177">
        <f t="shared" si="106"/>
        <v>0.46889772875582847</v>
      </c>
      <c r="S285" s="799">
        <f t="shared" si="107"/>
        <v>-1</v>
      </c>
      <c r="T285" s="176">
        <f t="shared" si="108"/>
        <v>5</v>
      </c>
      <c r="U285" s="250">
        <f t="shared" si="109"/>
        <v>-0.53110227124417153</v>
      </c>
      <c r="V285" s="382">
        <f t="shared" si="110"/>
        <v>42.592322070205029</v>
      </c>
      <c r="W285" s="400">
        <f t="shared" si="111"/>
        <v>19.572815208108175</v>
      </c>
      <c r="X285" s="157">
        <f t="shared" si="112"/>
        <v>46658</v>
      </c>
      <c r="Y285" s="383">
        <f t="shared" si="113"/>
        <v>18.591487699992282</v>
      </c>
      <c r="Z285" s="383">
        <f t="shared" si="114"/>
        <v>19.75864049479565</v>
      </c>
      <c r="AA285" s="384">
        <f t="shared" si="115"/>
        <v>21.283948214755611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7.166469794840534E-2</v>
      </c>
      <c r="AD285" s="230">
        <f>(INDEX(Models!$BJ285:$BT285,,AH285)*(1-AF285)+INDEX(Models!$BJ285:$BT285,,AH285+1)*AF285-ERP_i)*AE285*Ramure*Pc/MaxiM</f>
        <v>4.6982648648707225E-3</v>
      </c>
      <c r="AE285" s="304">
        <f t="shared" si="117"/>
        <v>0.6</v>
      </c>
      <c r="AF285" s="177">
        <f t="shared" si="118"/>
        <v>0.99388529512980739</v>
      </c>
      <c r="AG285" s="799">
        <f t="shared" si="124"/>
        <v>2</v>
      </c>
      <c r="AH285" s="176">
        <f t="shared" si="119"/>
        <v>8</v>
      </c>
      <c r="AI285" s="224">
        <f t="shared" si="120"/>
        <v>2.9938852951298074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'2026'!Wh/'2026'!Env_an*'2027'!Env_an</f>
        <v>23.517695853991704</v>
      </c>
      <c r="C286" s="829"/>
      <c r="D286" s="391">
        <f t="shared" si="102"/>
        <v>24.99458950011303</v>
      </c>
      <c r="E286" s="383">
        <f t="shared" si="100"/>
        <v>25.601505528575021</v>
      </c>
      <c r="F286" s="383">
        <f t="shared" si="103"/>
        <v>25.605392626870536</v>
      </c>
      <c r="G286" s="110">
        <f t="shared" si="101"/>
        <v>0.55603886543295611</v>
      </c>
      <c r="H286" s="412" t="b">
        <f>Wh_hp&gt;='2026'!Maxi_hp</f>
        <v>0</v>
      </c>
      <c r="I286" s="388">
        <f>IF(H286,Wh_hp,'2026'!Maxi_hp)</f>
        <v>44.025423023353014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5.9088533785067621E-2</v>
      </c>
      <c r="M286" s="832"/>
      <c r="N286" s="832"/>
      <c r="O286" s="48">
        <f>IF(t&lt;Tnet,'2026'!Resal+('2026'!Salim-'2026'!Resal)*(1-EXP(('2026'!Tnet-t)/('2026'!Tau_j))),Resal+(Salim-Resal)*(1-EXP((Tnet-t)/(Tau_j))))*Salcycl</f>
        <v>2.3706263203333282E-2</v>
      </c>
      <c r="P286" s="169">
        <f>(INDEX(Models!$BJ286:$BT286,,T286)*(1-R286)+INDEX(Models!$BJ286:$BT286,,T286+1)*R286-ERP_i)*Q286*Ramure*Pc/MaxiM</f>
        <v>4.1479943406413672E-4</v>
      </c>
      <c r="Q286" s="304">
        <f t="shared" si="105"/>
        <v>0.6</v>
      </c>
      <c r="R286" s="177">
        <f t="shared" si="106"/>
        <v>0.46911259116173865</v>
      </c>
      <c r="S286" s="799">
        <f t="shared" si="107"/>
        <v>-1</v>
      </c>
      <c r="T286" s="176">
        <f t="shared" si="108"/>
        <v>5</v>
      </c>
      <c r="U286" s="250">
        <f t="shared" si="109"/>
        <v>-0.53088740883826135</v>
      </c>
      <c r="V286" s="382">
        <f t="shared" si="110"/>
        <v>42.283932687565226</v>
      </c>
      <c r="W286" s="400">
        <f t="shared" si="111"/>
        <v>23.517695853991704</v>
      </c>
      <c r="X286" s="157">
        <f t="shared" si="112"/>
        <v>46659</v>
      </c>
      <c r="Y286" s="383">
        <f t="shared" si="113"/>
        <v>22.325386209354726</v>
      </c>
      <c r="Z286" s="383">
        <f t="shared" si="114"/>
        <v>23.727403704797595</v>
      </c>
      <c r="AA286" s="384">
        <f t="shared" si="115"/>
        <v>25.559633219880396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7.1684499512210745E-2</v>
      </c>
      <c r="AD286" s="230">
        <f>(INDEX(Models!$BJ286:$BT286,,AH286)*(1-AF286)+INDEX(Models!$BJ286:$BT286,,AH286+1)*AF286-ERP_i)*AE286*Ramure*Pc/MaxiM</f>
        <v>4.8830707843253076E-3</v>
      </c>
      <c r="AE286" s="304">
        <f t="shared" si="117"/>
        <v>0.6</v>
      </c>
      <c r="AF286" s="177">
        <f t="shared" si="118"/>
        <v>0.99410015753571734</v>
      </c>
      <c r="AG286" s="799">
        <f t="shared" si="124"/>
        <v>2</v>
      </c>
      <c r="AH286" s="176">
        <f t="shared" si="119"/>
        <v>8</v>
      </c>
      <c r="AI286" s="224">
        <f t="shared" si="120"/>
        <v>2.9941001575357173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'2026'!Wh/'2026'!Env_an*'2027'!Env_an</f>
        <v>27.908552887349423</v>
      </c>
      <c r="C287" s="829"/>
      <c r="D287" s="391">
        <f t="shared" si="102"/>
        <v>29.661757519993873</v>
      </c>
      <c r="E287" s="383">
        <f t="shared" si="100"/>
        <v>30.384646024334156</v>
      </c>
      <c r="F287" s="383">
        <f t="shared" si="103"/>
        <v>30.391430672729825</v>
      </c>
      <c r="G287" s="110">
        <f t="shared" si="101"/>
        <v>0.66477949884092846</v>
      </c>
      <c r="H287" s="412" t="b">
        <f>Wh_hp&gt;='2026'!Maxi_hp</f>
        <v>0</v>
      </c>
      <c r="I287" s="388">
        <f>IF(H287,Wh_hp,'2026'!Maxi_hp)</f>
        <v>36.159220038545989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5.9106566138661276E-2</v>
      </c>
      <c r="M287" s="832"/>
      <c r="N287" s="832"/>
      <c r="O287" s="48">
        <f>IF(t&lt;Tnet,'2026'!Resal+('2026'!Salim-'2026'!Resal)*(1-EXP(('2026'!Tnet-t)/('2026'!Tau_j))),Resal+(Salim-Resal)*(1-EXP((Tnet-t)/(Tau_j))))*Salcycl</f>
        <v>2.3791243240462497E-2</v>
      </c>
      <c r="P287" s="169">
        <f>(INDEX(Models!$BJ287:$BT287,,T287)*(1-R287)+INDEX(Models!$BJ287:$BT287,,T287+1)*R287-ERP_i)*Q287*Ramure*Pc/MaxiM</f>
        <v>4.282343844430238E-4</v>
      </c>
      <c r="Q287" s="304">
        <f t="shared" si="105"/>
        <v>0.6</v>
      </c>
      <c r="R287" s="177">
        <f t="shared" si="106"/>
        <v>0.46931897790454769</v>
      </c>
      <c r="S287" s="799">
        <f t="shared" si="107"/>
        <v>-1</v>
      </c>
      <c r="T287" s="176">
        <f t="shared" si="108"/>
        <v>5</v>
      </c>
      <c r="U287" s="250">
        <f t="shared" si="109"/>
        <v>-0.53068102209545231</v>
      </c>
      <c r="V287" s="382">
        <f t="shared" si="110"/>
        <v>41.973061175902671</v>
      </c>
      <c r="W287" s="400">
        <f t="shared" si="111"/>
        <v>27.908552887349423</v>
      </c>
      <c r="X287" s="157">
        <f t="shared" si="112"/>
        <v>46660</v>
      </c>
      <c r="Y287" s="383">
        <f t="shared" si="113"/>
        <v>26.474465770284439</v>
      </c>
      <c r="Z287" s="383">
        <f t="shared" si="114"/>
        <v>28.137581597987889</v>
      </c>
      <c r="AA287" s="384">
        <f t="shared" si="115"/>
        <v>30.310979045290349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7.1703307374367295E-2</v>
      </c>
      <c r="AD287" s="230">
        <f>(INDEX(Models!$BJ287:$BT287,,AH287)*(1-AF287)+INDEX(Models!$BJ287:$BT287,,AH287+1)*AF287-ERP_i)*AE287*Ramure*Pc/MaxiM</f>
        <v>5.0779570502109787E-3</v>
      </c>
      <c r="AE287" s="304">
        <f t="shared" si="117"/>
        <v>0.6</v>
      </c>
      <c r="AF287" s="177">
        <f t="shared" si="118"/>
        <v>0.99430654427852616</v>
      </c>
      <c r="AG287" s="799">
        <f t="shared" si="124"/>
        <v>2</v>
      </c>
      <c r="AH287" s="176">
        <f t="shared" si="119"/>
        <v>8</v>
      </c>
      <c r="AI287" s="224">
        <f t="shared" si="120"/>
        <v>2.9943065442785262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'2026'!Wh/'2026'!Env_an*'2027'!Env_an</f>
        <v>36.467228881993059</v>
      </c>
      <c r="C288" s="829"/>
      <c r="D288" s="391">
        <f t="shared" si="102"/>
        <v>38.758829075731086</v>
      </c>
      <c r="E288" s="383">
        <f t="shared" si="100"/>
        <v>39.706860125110694</v>
      </c>
      <c r="F288" s="383">
        <f t="shared" si="103"/>
        <v>39.721297010460397</v>
      </c>
      <c r="G288" s="110">
        <f t="shared" si="101"/>
        <v>0.87528860246197682</v>
      </c>
      <c r="H288" s="412" t="b">
        <f>Wh_hp&gt;='2026'!Maxi_hp</f>
        <v>0</v>
      </c>
      <c r="I288" s="388">
        <f>IF(H288,Wh_hp,'2026'!Maxi_hp)</f>
        <v>44.503895100671492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5.9124598146668927E-2</v>
      </c>
      <c r="M288" s="832"/>
      <c r="N288" s="832"/>
      <c r="O288" s="48">
        <f>IF(t&lt;Tnet,'2026'!Resal+('2026'!Salim-'2026'!Resal)*(1-EXP(('2026'!Tnet-t)/('2026'!Tau_j))),Resal+(Salim-Resal)*(1-EXP((Tnet-t)/(Tau_j))))*Salcycl</f>
        <v>2.3875749590687719E-2</v>
      </c>
      <c r="P288" s="169">
        <f>(INDEX(Models!$BJ288:$BT288,,T288)*(1-R288)+INDEX(Models!$BJ288:$BT288,,T288+1)*R288-ERP_i)*Q288*Ramure*Pc/MaxiM</f>
        <v>4.4219141826399796E-4</v>
      </c>
      <c r="Q288" s="304">
        <f t="shared" si="105"/>
        <v>0.6</v>
      </c>
      <c r="R288" s="177">
        <f t="shared" si="106"/>
        <v>0.46951721660729595</v>
      </c>
      <c r="S288" s="799">
        <f t="shared" si="107"/>
        <v>-1</v>
      </c>
      <c r="T288" s="176">
        <f t="shared" si="108"/>
        <v>5</v>
      </c>
      <c r="U288" s="250">
        <f t="shared" si="109"/>
        <v>-0.53048278339270405</v>
      </c>
      <c r="V288" s="382">
        <f t="shared" si="110"/>
        <v>41.659809598048184</v>
      </c>
      <c r="W288" s="400">
        <f t="shared" si="111"/>
        <v>36.467228881993059</v>
      </c>
      <c r="X288" s="157">
        <f t="shared" si="112"/>
        <v>46661</v>
      </c>
      <c r="Y288" s="383">
        <f t="shared" si="113"/>
        <v>34.541729255980869</v>
      </c>
      <c r="Z288" s="383">
        <f t="shared" si="114"/>
        <v>36.712331077994776</v>
      </c>
      <c r="AA288" s="384">
        <f t="shared" si="115"/>
        <v>39.548815708534619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7.172110162397935E-2</v>
      </c>
      <c r="AD288" s="230">
        <f>(INDEX(Models!$BJ288:$BT288,,AH288)*(1-AF288)+INDEX(Models!$BJ288:$BT288,,AH288+1)*AF288-ERP_i)*AE288*Ramure*Pc/MaxiM</f>
        <v>5.2829782654027066E-3</v>
      </c>
      <c r="AE288" s="304">
        <f t="shared" si="117"/>
        <v>0.6</v>
      </c>
      <c r="AF288" s="177">
        <f t="shared" si="118"/>
        <v>0.99450478298127454</v>
      </c>
      <c r="AG288" s="799">
        <f t="shared" si="124"/>
        <v>2</v>
      </c>
      <c r="AH288" s="176">
        <f t="shared" si="119"/>
        <v>8</v>
      </c>
      <c r="AI288" s="224">
        <f t="shared" si="120"/>
        <v>2.9945047829812745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'2026'!Wh/'2026'!Env_an*'2027'!Env_an</f>
        <v>38.886245233852939</v>
      </c>
      <c r="C289" s="829"/>
      <c r="D289" s="391">
        <f t="shared" si="102"/>
        <v>41.330648476466529</v>
      </c>
      <c r="E289" s="383">
        <f t="shared" si="100"/>
        <v>42.345230597925877</v>
      </c>
      <c r="F289" s="383">
        <f t="shared" si="103"/>
        <v>42.362935100718289</v>
      </c>
      <c r="G289" s="110">
        <f t="shared" si="101"/>
        <v>0.94054623157815775</v>
      </c>
      <c r="H289" s="412" t="b">
        <f>Wh_hp&gt;='2026'!Maxi_hp</f>
        <v>0</v>
      </c>
      <c r="I289" s="388">
        <f>IF(H289,Wh_hp,'2026'!Maxi_hp)</f>
        <v>42.364014921604813</v>
      </c>
      <c r="J289" s="85">
        <f>IF(H289,An,'2026'!An_max)</f>
        <v>2026</v>
      </c>
      <c r="K289" s="197">
        <f t="shared" si="104"/>
        <v>46662</v>
      </c>
      <c r="L289" s="147">
        <f>IF(t&lt;Tvie,1-EXP((T0-t)*PertePVj)+'2026'!Pspv,1-EXP((T0-t)*PertePVj)+Pspv)</f>
        <v>5.9142629809097236E-2</v>
      </c>
      <c r="M289" s="832"/>
      <c r="N289" s="832"/>
      <c r="O289" s="48">
        <f>IF(t&lt;Tnet,'2026'!Resal+('2026'!Salim-'2026'!Resal)*(1-EXP(('2026'!Tnet-t)/('2026'!Tau_j))),Resal+(Salim-Resal)*(1-EXP((Tnet-t)/(Tau_j))))*Salcycl</f>
        <v>2.3959773205463237E-2</v>
      </c>
      <c r="P289" s="169">
        <f>(INDEX(Models!$BJ289:$BT289,,T289)*(1-R289)+INDEX(Models!$BJ289:$BT289,,T289+1)*R289-ERP_i)*Q289*Ramure*Pc/MaxiM</f>
        <v>4.566889684340361E-4</v>
      </c>
      <c r="Q289" s="304">
        <f t="shared" si="105"/>
        <v>0.6</v>
      </c>
      <c r="R289" s="177">
        <f t="shared" si="106"/>
        <v>0.46970762275445233</v>
      </c>
      <c r="S289" s="799">
        <f t="shared" si="107"/>
        <v>-1</v>
      </c>
      <c r="T289" s="176">
        <f t="shared" si="108"/>
        <v>5</v>
      </c>
      <c r="U289" s="250">
        <f t="shared" si="109"/>
        <v>-0.53029237724554767</v>
      </c>
      <c r="V289" s="382">
        <f t="shared" si="110"/>
        <v>41.342717548847062</v>
      </c>
      <c r="W289" s="400">
        <f t="shared" si="111"/>
        <v>38.886245233852939</v>
      </c>
      <c r="X289" s="157">
        <f t="shared" si="112"/>
        <v>46662</v>
      </c>
      <c r="Y289" s="383">
        <f t="shared" si="113"/>
        <v>36.812026322528624</v>
      </c>
      <c r="Z289" s="383">
        <f t="shared" si="114"/>
        <v>39.126043424689712</v>
      </c>
      <c r="AA289" s="384">
        <f t="shared" si="115"/>
        <v>42.149778496651351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7.1737863870432003E-2</v>
      </c>
      <c r="AD289" s="230">
        <f>(INDEX(Models!$BJ289:$BT289,,AH289)*(1-AF289)+INDEX(Models!$BJ289:$BT289,,AH289+1)*AF289-ERP_i)*AE289*Ramure*Pc/MaxiM</f>
        <v>5.4983904810905768E-3</v>
      </c>
      <c r="AE289" s="304">
        <f t="shared" si="117"/>
        <v>0.6</v>
      </c>
      <c r="AF289" s="177">
        <f t="shared" si="118"/>
        <v>0.99469518912843125</v>
      </c>
      <c r="AG289" s="799">
        <f t="shared" si="124"/>
        <v>2</v>
      </c>
      <c r="AH289" s="176">
        <f t="shared" si="119"/>
        <v>8</v>
      </c>
      <c r="AI289" s="224">
        <f t="shared" si="120"/>
        <v>2.9946951891284312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'2026'!Wh/'2026'!Env_an*'2027'!Env_an</f>
        <v>37.540082672023225</v>
      </c>
      <c r="C290" s="829"/>
      <c r="D290" s="391">
        <f t="shared" si="102"/>
        <v>39.900630342423241</v>
      </c>
      <c r="E290" s="383">
        <f t="shared" si="100"/>
        <v>40.883607407146755</v>
      </c>
      <c r="F290" s="383">
        <f t="shared" si="103"/>
        <v>40.900595160554587</v>
      </c>
      <c r="G290" s="110">
        <f t="shared" si="101"/>
        <v>0.91509896208451502</v>
      </c>
      <c r="H290" s="412" t="b">
        <f>Wh_hp&gt;='2026'!Maxi_hp</f>
        <v>0</v>
      </c>
      <c r="I290" s="388">
        <f>IF(H290,Wh_hp,'2026'!Maxi_hp)</f>
        <v>40.902141338670724</v>
      </c>
      <c r="J290" s="85">
        <f>IF(H290,An,'2026'!An_max)</f>
        <v>2026</v>
      </c>
      <c r="K290" s="197">
        <f t="shared" si="104"/>
        <v>46663</v>
      </c>
      <c r="L290" s="147">
        <f>IF(t&lt;Tvie,1-EXP((T0-t)*PertePVj)+'2026'!Pspv,1-EXP((T0-t)*PertePVj)+Pspv)</f>
        <v>5.9160661125952974E-2</v>
      </c>
      <c r="M290" s="832"/>
      <c r="N290" s="832"/>
      <c r="O290" s="48">
        <f>IF(t&lt;Tnet,'2026'!Resal+('2026'!Salim-'2026'!Resal)*(1-EXP(('2026'!Tnet-t)/('2026'!Tau_j))),Resal+(Salim-Resal)*(1-EXP((Tnet-t)/(Tau_j))))*Salcycl</f>
        <v>2.404330554626358E-2</v>
      </c>
      <c r="P290" s="169">
        <f>(INDEX(Models!$BJ290:$BT290,,T290)*(1-R290)+INDEX(Models!$BJ290:$BT290,,T290+1)*R290-ERP_i)*Q290*Ramure*Pc/MaxiM</f>
        <v>4.7263114348400327E-4</v>
      </c>
      <c r="Q290" s="304">
        <f t="shared" si="105"/>
        <v>0.6</v>
      </c>
      <c r="R290" s="177">
        <f t="shared" si="106"/>
        <v>0.46989050010024047</v>
      </c>
      <c r="S290" s="799">
        <f t="shared" si="107"/>
        <v>-1</v>
      </c>
      <c r="T290" s="176">
        <f t="shared" si="108"/>
        <v>5</v>
      </c>
      <c r="U290" s="250">
        <f t="shared" si="109"/>
        <v>-0.53010949989975953</v>
      </c>
      <c r="V290" s="382">
        <f t="shared" si="110"/>
        <v>41.020624775506739</v>
      </c>
      <c r="W290" s="400">
        <f t="shared" si="111"/>
        <v>37.540082672023225</v>
      </c>
      <c r="X290" s="157">
        <f t="shared" si="112"/>
        <v>46663</v>
      </c>
      <c r="Y290" s="383">
        <f t="shared" si="113"/>
        <v>35.539945015877379</v>
      </c>
      <c r="Z290" s="383">
        <f t="shared" si="114"/>
        <v>37.774722577406195</v>
      </c>
      <c r="AA290" s="384">
        <f t="shared" si="115"/>
        <v>40.694713881515675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7.1753577445246353E-2</v>
      </c>
      <c r="AD290" s="230">
        <f>(INDEX(Models!$BJ290:$BT290,,AH290)*(1-AF290)+INDEX(Models!$BJ290:$BT290,,AH290+1)*AF290-ERP_i)*AE290*Ramure*Pc/MaxiM</f>
        <v>5.7280031089487014E-3</v>
      </c>
      <c r="AE290" s="304">
        <f t="shared" si="117"/>
        <v>0.6</v>
      </c>
      <c r="AF290" s="177">
        <f t="shared" si="118"/>
        <v>0.99487806647421895</v>
      </c>
      <c r="AG290" s="799">
        <f t="shared" si="124"/>
        <v>2</v>
      </c>
      <c r="AH290" s="176">
        <f t="shared" si="119"/>
        <v>8</v>
      </c>
      <c r="AI290" s="224">
        <f t="shared" si="120"/>
        <v>2.9948780664742189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'2026'!Wh/'2026'!Env_an*'2027'!Env_an</f>
        <v>41.353891017436396</v>
      </c>
      <c r="C291" s="829"/>
      <c r="D291" s="391">
        <f t="shared" si="102"/>
        <v>43.955096116626962</v>
      </c>
      <c r="E291" s="383">
        <f t="shared" si="100"/>
        <v>45.041789586135252</v>
      </c>
      <c r="F291" s="383">
        <f t="shared" si="103"/>
        <v>45.063870180118187</v>
      </c>
      <c r="G291" s="110">
        <f t="shared" si="101"/>
        <v>1.0162124309112455</v>
      </c>
      <c r="H291" s="412" t="b">
        <f>Wh_hp&gt;='2026'!Maxi_hp</f>
        <v>1</v>
      </c>
      <c r="I291" s="388">
        <f>IF(H291,Wh_hp,'2026'!Maxi_hp)</f>
        <v>45.063870180118187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5.9178692097242469E-2</v>
      </c>
      <c r="M291" s="832"/>
      <c r="N291" s="832"/>
      <c r="O291" s="48">
        <f>IF(t&lt;Tnet,'2026'!Resal+('2026'!Salim-'2026'!Resal)*(1-EXP(('2026'!Tnet-t)/('2026'!Tau_j))),Resal+(Salim-Resal)*(1-EXP((Tnet-t)/(Tau_j))))*Salcycl</f>
        <v>2.4126338662236371E-2</v>
      </c>
      <c r="P291" s="169">
        <f>(INDEX(Models!$BJ291:$BT291,,T291)*(1-R291)+INDEX(Models!$BJ291:$BT291,,T291+1)*R291-ERP_i)*Q291*Ramure*Pc/MaxiM</f>
        <v>4.8998441311587121E-4</v>
      </c>
      <c r="Q291" s="304">
        <f t="shared" si="105"/>
        <v>0.6</v>
      </c>
      <c r="R291" s="177">
        <f t="shared" si="106"/>
        <v>0.47006614106657085</v>
      </c>
      <c r="S291" s="799">
        <f t="shared" si="107"/>
        <v>-1</v>
      </c>
      <c r="T291" s="176">
        <f t="shared" si="108"/>
        <v>5</v>
      </c>
      <c r="U291" s="250">
        <f t="shared" si="109"/>
        <v>-0.52993385893342915</v>
      </c>
      <c r="V291" s="382">
        <f t="shared" si="110"/>
        <v>40.694140082850637</v>
      </c>
      <c r="W291" s="400">
        <f t="shared" si="111"/>
        <v>41.353891017436396</v>
      </c>
      <c r="X291" s="157">
        <f t="shared" si="112"/>
        <v>46664</v>
      </c>
      <c r="Y291" s="383">
        <f t="shared" si="113"/>
        <v>39.119355941873081</v>
      </c>
      <c r="Z291" s="383">
        <f t="shared" si="114"/>
        <v>41.580006334121443</v>
      </c>
      <c r="AA291" s="384">
        <f t="shared" si="115"/>
        <v>44.794853581444826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7.1768227604053506E-2</v>
      </c>
      <c r="AD291" s="230">
        <f>(INDEX(Models!$BJ291:$BT291,,AH291)*(1-AF291)+INDEX(Models!$BJ291:$BT291,,AH291+1)*AF291-ERP_i)*AE291*Ramure*Pc/MaxiM</f>
        <v>5.9696736564816893E-3</v>
      </c>
      <c r="AE291" s="304">
        <f t="shared" si="117"/>
        <v>0.6</v>
      </c>
      <c r="AF291" s="177">
        <f t="shared" si="118"/>
        <v>0.99505370744054966</v>
      </c>
      <c r="AG291" s="799">
        <f t="shared" si="124"/>
        <v>2</v>
      </c>
      <c r="AH291" s="176">
        <f t="shared" si="119"/>
        <v>8</v>
      </c>
      <c r="AI291" s="224">
        <f t="shared" si="120"/>
        <v>2.9950537074405497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'2026'!Wh/'2026'!Env_an*'2027'!Env_an</f>
        <v>42.162866216877887</v>
      </c>
      <c r="C292" s="829"/>
      <c r="D292" s="391">
        <f t="shared" si="102"/>
        <v>44.815815628225835</v>
      </c>
      <c r="E292" s="383">
        <f t="shared" si="100"/>
        <v>45.927672462980688</v>
      </c>
      <c r="F292" s="383">
        <f t="shared" si="103"/>
        <v>45.951050325579978</v>
      </c>
      <c r="G292" s="110">
        <f t="shared" si="101"/>
        <v>1.0445694605831346</v>
      </c>
      <c r="H292" s="412" t="b">
        <f>Wh_hp&gt;='2026'!Maxi_hp</f>
        <v>1</v>
      </c>
      <c r="I292" s="388">
        <f>IF(H292,Wh_hp,'2026'!Maxi_hp)</f>
        <v>45.951050325579978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5.9196722722972606E-2</v>
      </c>
      <c r="M292" s="832"/>
      <c r="N292" s="832"/>
      <c r="O292" s="48">
        <f>IF(t&lt;Tnet,'2026'!Resal+('2026'!Salim-'2026'!Resal)*(1-EXP(('2026'!Tnet-t)/('2026'!Tau_j))),Resal+(Salim-Resal)*(1-EXP((Tnet-t)/(Tau_j))))*Salcycl</f>
        <v>2.4208865268560063E-2</v>
      </c>
      <c r="P292" s="169">
        <f>(INDEX(Models!$BJ292:$BT292,,T292)*(1-R292)+INDEX(Models!$BJ292:$BT292,,T292+1)*R292-ERP_i)*Q292*Ramure*Pc/MaxiM</f>
        <v>5.0875578324439551E-4</v>
      </c>
      <c r="Q292" s="304">
        <f t="shared" si="105"/>
        <v>0.6</v>
      </c>
      <c r="R292" s="177">
        <f t="shared" si="106"/>
        <v>0.47023482713055254</v>
      </c>
      <c r="S292" s="799">
        <f t="shared" si="107"/>
        <v>-1</v>
      </c>
      <c r="T292" s="176">
        <f t="shared" si="108"/>
        <v>5</v>
      </c>
      <c r="U292" s="250">
        <f t="shared" si="109"/>
        <v>-0.52976517286944746</v>
      </c>
      <c r="V292" s="382">
        <f t="shared" si="110"/>
        <v>40.363870290962097</v>
      </c>
      <c r="W292" s="400">
        <f t="shared" si="111"/>
        <v>42.162866216877887</v>
      </c>
      <c r="X292" s="157">
        <f t="shared" si="112"/>
        <v>46665</v>
      </c>
      <c r="Y292" s="383">
        <f t="shared" si="113"/>
        <v>39.877975301829366</v>
      </c>
      <c r="Z292" s="383">
        <f t="shared" si="114"/>
        <v>42.387156023997314</v>
      </c>
      <c r="AA292" s="384">
        <f t="shared" si="115"/>
        <v>45.665077567816127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7.1781801726950922E-2</v>
      </c>
      <c r="AD292" s="230">
        <f>(INDEX(Models!$BJ292:$BT292,,AH292)*(1-AF292)+INDEX(Models!$BJ292:$BT292,,AH292+1)*AF292-ERP_i)*AE292*Ramure*Pc/MaxiM</f>
        <v>6.2234215700758579E-3</v>
      </c>
      <c r="AE292" s="304">
        <f t="shared" si="117"/>
        <v>0.6</v>
      </c>
      <c r="AF292" s="177">
        <f t="shared" si="118"/>
        <v>0.99522239350453123</v>
      </c>
      <c r="AG292" s="799">
        <f t="shared" si="124"/>
        <v>2</v>
      </c>
      <c r="AH292" s="176">
        <f t="shared" si="119"/>
        <v>8</v>
      </c>
      <c r="AI292" s="224">
        <f t="shared" si="120"/>
        <v>2.9952223935045312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'2026'!Wh/'2026'!Env_an*'2027'!Env_an</f>
        <v>11.647517920572435</v>
      </c>
      <c r="C293" s="829"/>
      <c r="D293" s="391">
        <f t="shared" si="102"/>
        <v>12.380634111507739</v>
      </c>
      <c r="E293" s="383">
        <f t="shared" si="100"/>
        <v>12.688857614241453</v>
      </c>
      <c r="F293" s="383">
        <f t="shared" si="103"/>
        <v>12.688857614241453</v>
      </c>
      <c r="G293" s="110">
        <f t="shared" si="101"/>
        <v>0.29081274650528138</v>
      </c>
      <c r="H293" s="412" t="b">
        <f>Wh_hp&gt;='2026'!Maxi_hp</f>
        <v>0</v>
      </c>
      <c r="I293" s="388">
        <f>IF(H293,Wh_hp,'2026'!Maxi_hp)</f>
        <v>29.938480404074163</v>
      </c>
      <c r="J293" s="85">
        <f>IF(H293,An,'2026'!An_max)</f>
        <v>2020</v>
      </c>
      <c r="K293" s="197">
        <f t="shared" si="104"/>
        <v>46666</v>
      </c>
      <c r="L293" s="147">
        <f>IF(t&lt;Tvie,1-EXP((T0-t)*PertePVj)+'2026'!Pspv,1-EXP((T0-t)*PertePVj)+Pspv)</f>
        <v>5.9214753003149934E-2</v>
      </c>
      <c r="M293" s="832"/>
      <c r="N293" s="832"/>
      <c r="O293" s="48">
        <f>IF(t&lt;Tnet,'2026'!Resal+('2026'!Salim-'2026'!Resal)*(1-EXP(('2026'!Tnet-t)/('2026'!Tau_j))),Resal+(Salim-Resal)*(1-EXP((Tnet-t)/(Tau_j))))*Salcycl</f>
        <v>2.4290878824881471E-2</v>
      </c>
      <c r="P293" s="169">
        <f>(INDEX(Models!$BJ293:$BT293,,T293)*(1-R293)+INDEX(Models!$BJ293:$BT293,,T293+1)*R293-ERP_i)*Q293*Ramure*Pc/MaxiM</f>
        <v>5.2895089746742973E-4</v>
      </c>
      <c r="Q293" s="304">
        <f t="shared" si="105"/>
        <v>0.6</v>
      </c>
      <c r="R293" s="177">
        <f t="shared" si="106"/>
        <v>0.47039682920159165</v>
      </c>
      <c r="S293" s="799">
        <f t="shared" si="107"/>
        <v>-1</v>
      </c>
      <c r="T293" s="176">
        <f t="shared" si="108"/>
        <v>5</v>
      </c>
      <c r="U293" s="250">
        <f t="shared" si="109"/>
        <v>-0.52960317079840835</v>
      </c>
      <c r="V293" s="382">
        <f t="shared" si="110"/>
        <v>40.03042196537168</v>
      </c>
      <c r="W293" s="400">
        <f t="shared" si="111"/>
        <v>11.647517920572435</v>
      </c>
      <c r="X293" s="157">
        <f t="shared" si="112"/>
        <v>46666</v>
      </c>
      <c r="Y293" s="383">
        <f t="shared" si="113"/>
        <v>11.08044642836334</v>
      </c>
      <c r="Z293" s="383">
        <f t="shared" si="114"/>
        <v>11.777870097064181</v>
      </c>
      <c r="AA293" s="384">
        <f t="shared" si="115"/>
        <v>12.688857614241453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7.1794289515457882E-2</v>
      </c>
      <c r="AD293" s="230">
        <f>(INDEX(Models!$BJ293:$BT293,,AH293)*(1-AF293)+INDEX(Models!$BJ293:$BT293,,AH293+1)*AF293-ERP_i)*AE293*Ramure*Pc/MaxiM</f>
        <v>6.4892484758483897E-3</v>
      </c>
      <c r="AE293" s="304">
        <f t="shared" si="117"/>
        <v>0.6</v>
      </c>
      <c r="AF293" s="177">
        <f t="shared" si="118"/>
        <v>0.99538439557557057</v>
      </c>
      <c r="AG293" s="799">
        <f t="shared" si="124"/>
        <v>2</v>
      </c>
      <c r="AH293" s="176">
        <f t="shared" si="119"/>
        <v>8</v>
      </c>
      <c r="AI293" s="224">
        <f t="shared" si="120"/>
        <v>2.9953843955755706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'2026'!Wh/'2026'!Env_an*'2027'!Env_an</f>
        <v>29.258301025564666</v>
      </c>
      <c r="C294" s="829"/>
      <c r="D294" s="391">
        <f t="shared" si="102"/>
        <v>31.10046831450083</v>
      </c>
      <c r="E294" s="383">
        <f t="shared" si="100"/>
        <v>31.877396122616656</v>
      </c>
      <c r="F294" s="383">
        <f t="shared" si="103"/>
        <v>31.888358869740387</v>
      </c>
      <c r="G294" s="110">
        <f t="shared" si="101"/>
        <v>0.73693638436246589</v>
      </c>
      <c r="H294" s="412" t="b">
        <f>Wh_hp&gt;='2026'!Maxi_hp</f>
        <v>0</v>
      </c>
      <c r="I294" s="388">
        <f>IF(H294,Wh_hp,'2026'!Maxi_hp)</f>
        <v>43.826307821277801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5.9232782937781003E-2</v>
      </c>
      <c r="M294" s="832"/>
      <c r="N294" s="832"/>
      <c r="O294" s="48">
        <f>IF(t&lt;Tnet,'2026'!Resal+('2026'!Salim-'2026'!Resal)*(1-EXP(('2026'!Tnet-t)/('2026'!Tau_j))),Resal+(Salim-Resal)*(1-EXP((Tnet-t)/(Tau_j))))*Salcycl</f>
        <v>2.4372373613182417E-2</v>
      </c>
      <c r="P294" s="169">
        <f>(INDEX(Models!$BJ294:$BT294,,T294)*(1-R294)+INDEX(Models!$BJ294:$BT294,,T294+1)*R294-ERP_i)*Q294*Ramure*Pc/MaxiM</f>
        <v>5.5057378787848788E-4</v>
      </c>
      <c r="Q294" s="304">
        <f t="shared" si="105"/>
        <v>0.6</v>
      </c>
      <c r="R294" s="177">
        <f t="shared" si="106"/>
        <v>0.47055240798811448</v>
      </c>
      <c r="S294" s="799">
        <f t="shared" si="107"/>
        <v>-1</v>
      </c>
      <c r="T294" s="176">
        <f t="shared" si="108"/>
        <v>5</v>
      </c>
      <c r="U294" s="250">
        <f t="shared" si="109"/>
        <v>-0.52944759201188552</v>
      </c>
      <c r="V294" s="382">
        <f t="shared" si="110"/>
        <v>39.694401421896195</v>
      </c>
      <c r="W294" s="400">
        <f t="shared" si="111"/>
        <v>29.258301025564666</v>
      </c>
      <c r="X294" s="157">
        <f t="shared" si="112"/>
        <v>46667</v>
      </c>
      <c r="Y294" s="383">
        <f t="shared" si="113"/>
        <v>27.727726140506121</v>
      </c>
      <c r="Z294" s="383">
        <f t="shared" si="114"/>
        <v>29.473525052342794</v>
      </c>
      <c r="AA294" s="384">
        <f t="shared" si="115"/>
        <v>31.75361507647936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7.1805683184258243E-2</v>
      </c>
      <c r="AD294" s="230">
        <f>(INDEX(Models!$BJ294:$BT294,,AH294)*(1-AF294)+INDEX(Models!$BJ294:$BT294,,AH294+1)*AF294-ERP_i)*AE294*Ramure*Pc/MaxiM</f>
        <v>6.7671359935185978E-3</v>
      </c>
      <c r="AE294" s="304">
        <f t="shared" si="117"/>
        <v>0.6</v>
      </c>
      <c r="AF294" s="177">
        <f t="shared" si="118"/>
        <v>0.99553997436209318</v>
      </c>
      <c r="AG294" s="799">
        <f t="shared" si="124"/>
        <v>2</v>
      </c>
      <c r="AH294" s="176">
        <f t="shared" si="119"/>
        <v>8</v>
      </c>
      <c r="AI294" s="224">
        <f t="shared" si="120"/>
        <v>2.9955399743620932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'2026'!Wh/'2026'!Env_an*'2027'!Env_an</f>
        <v>16.886209336599631</v>
      </c>
      <c r="C295" s="829"/>
      <c r="D295" s="391">
        <f t="shared" si="102"/>
        <v>17.949746395164421</v>
      </c>
      <c r="E295" s="383">
        <f t="shared" si="100"/>
        <v>18.399680117553718</v>
      </c>
      <c r="F295" s="383">
        <f t="shared" si="103"/>
        <v>18.401626259487891</v>
      </c>
      <c r="G295" s="110">
        <f t="shared" si="101"/>
        <v>0.42885786504955004</v>
      </c>
      <c r="H295" s="412" t="b">
        <f>Wh_hp&gt;='2026'!Maxi_hp</f>
        <v>0</v>
      </c>
      <c r="I295" s="388">
        <f>IF(H295,Wh_hp,'2026'!Maxi_hp)</f>
        <v>40.63677888339361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5.9250812526872476E-2</v>
      </c>
      <c r="M295" s="832"/>
      <c r="N295" s="832"/>
      <c r="O295" s="48">
        <f>IF(t&lt;Tnet,'2026'!Resal+('2026'!Salim-'2026'!Resal)*(1-EXP(('2026'!Tnet-t)/('2026'!Tau_j))),Resal+(Salim-Resal)*(1-EXP((Tnet-t)/(Tau_j))))*Salcycl</f>
        <v>2.4453344814405205E-2</v>
      </c>
      <c r="P295" s="169">
        <f>(INDEX(Models!$BJ295:$BT295,,T295)*(1-R295)+INDEX(Models!$BJ295:$BT295,,T295+1)*R295-ERP_i)*Q295*Ramure*Pc/MaxiM</f>
        <v>5.7362662124351815E-4</v>
      </c>
      <c r="Q295" s="304">
        <f t="shared" si="105"/>
        <v>0.6</v>
      </c>
      <c r="R295" s="177">
        <f t="shared" si="106"/>
        <v>0.47070181435397573</v>
      </c>
      <c r="S295" s="799">
        <f t="shared" si="107"/>
        <v>-1</v>
      </c>
      <c r="T295" s="176">
        <f t="shared" si="108"/>
        <v>5</v>
      </c>
      <c r="U295" s="250">
        <f t="shared" si="109"/>
        <v>-0.52929818564602427</v>
      </c>
      <c r="V295" s="382">
        <f t="shared" si="110"/>
        <v>39.35641472355983</v>
      </c>
      <c r="W295" s="400">
        <f t="shared" si="111"/>
        <v>16.886209336599631</v>
      </c>
      <c r="X295" s="157">
        <f t="shared" si="112"/>
        <v>46668</v>
      </c>
      <c r="Y295" s="383">
        <f t="shared" si="113"/>
        <v>16.047179703374645</v>
      </c>
      <c r="Z295" s="383">
        <f t="shared" si="114"/>
        <v>17.057872509544985</v>
      </c>
      <c r="AA295" s="384">
        <f t="shared" si="115"/>
        <v>18.37768384148886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7.1815977645904958E-2</v>
      </c>
      <c r="AD295" s="230">
        <f>(INDEX(Models!$BJ295:$BT295,,AH295)*(1-AF295)+INDEX(Models!$BJ295:$BT295,,AH295+1)*AF295-ERP_i)*AE295*Ramure*Pc/MaxiM</f>
        <v>7.0570435280263464E-3</v>
      </c>
      <c r="AE295" s="304">
        <f t="shared" si="117"/>
        <v>0.6</v>
      </c>
      <c r="AF295" s="177">
        <f t="shared" si="118"/>
        <v>0.99568938072795454</v>
      </c>
      <c r="AG295" s="799">
        <f t="shared" si="124"/>
        <v>2</v>
      </c>
      <c r="AH295" s="176">
        <f t="shared" si="119"/>
        <v>8</v>
      </c>
      <c r="AI295" s="224">
        <f t="shared" si="120"/>
        <v>2.9956893807279545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'2026'!Wh/'2026'!Env_an*'2027'!Env_an</f>
        <v>38.557221640562084</v>
      </c>
      <c r="C296" s="829"/>
      <c r="D296" s="391">
        <f t="shared" si="102"/>
        <v>40.98644049711902</v>
      </c>
      <c r="E296" s="383">
        <f t="shared" si="100"/>
        <v>42.017283651052331</v>
      </c>
      <c r="F296" s="383">
        <f t="shared" si="103"/>
        <v>42.042025058412996</v>
      </c>
      <c r="G296" s="110">
        <f t="shared" si="101"/>
        <v>0.9882047242447779</v>
      </c>
      <c r="H296" s="412" t="b">
        <f>Wh_hp&gt;='2026'!Maxi_hp</f>
        <v>0</v>
      </c>
      <c r="I296" s="388">
        <f>IF(H296,Wh_hp,'2026'!Maxi_hp)</f>
        <v>42.042309042252768</v>
      </c>
      <c r="J296" s="85">
        <f>IF(H296,An,'2026'!An_max)</f>
        <v>2026</v>
      </c>
      <c r="K296" s="197">
        <f t="shared" si="104"/>
        <v>46669</v>
      </c>
      <c r="L296" s="147">
        <f>IF(t&lt;Tvie,1-EXP((T0-t)*PertePVj)+'2026'!Pspv,1-EXP((T0-t)*PertePVj)+Pspv)</f>
        <v>5.9268841770431013E-2</v>
      </c>
      <c r="M296" s="832"/>
      <c r="N296" s="832"/>
      <c r="O296" s="48">
        <f>IF(t&lt;Tnet,'2026'!Resal+('2026'!Salim-'2026'!Resal)*(1-EXP(('2026'!Tnet-t)/('2026'!Tau_j))),Resal+(Salim-Resal)*(1-EXP((Tnet-t)/(Tau_j))))*Salcycl</f>
        <v>2.4533788583153509E-2</v>
      </c>
      <c r="P296" s="169">
        <f>(INDEX(Models!$BJ296:$BT296,,T296)*(1-R296)+INDEX(Models!$BJ296:$BT296,,T296+1)*R296-ERP_i)*Q296*Ramure*Pc/MaxiM</f>
        <v>5.9856990206138768E-4</v>
      </c>
      <c r="Q296" s="304">
        <f t="shared" si="105"/>
        <v>0.6</v>
      </c>
      <c r="R296" s="177">
        <f t="shared" si="106"/>
        <v>0.47084528966463823</v>
      </c>
      <c r="S296" s="799">
        <f t="shared" si="107"/>
        <v>-1</v>
      </c>
      <c r="T296" s="176">
        <f t="shared" si="108"/>
        <v>5</v>
      </c>
      <c r="U296" s="250">
        <f t="shared" si="109"/>
        <v>-0.52915471033536177</v>
      </c>
      <c r="V296" s="382">
        <f t="shared" si="110"/>
        <v>39.017049707268427</v>
      </c>
      <c r="W296" s="400">
        <f t="shared" si="111"/>
        <v>38.557221640562084</v>
      </c>
      <c r="X296" s="157">
        <f t="shared" si="112"/>
        <v>46669</v>
      </c>
      <c r="Y296" s="383">
        <f t="shared" si="113"/>
        <v>36.444091868233009</v>
      </c>
      <c r="Z296" s="383">
        <f t="shared" si="114"/>
        <v>38.74017730721264</v>
      </c>
      <c r="AA296" s="384">
        <f t="shared" si="115"/>
        <v>41.73801754123496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7.182517068666755E-2</v>
      </c>
      <c r="AD296" s="230">
        <f>(INDEX(Models!$BJ296:$BT296,,AH296)*(1-AF296)+INDEX(Models!$BJ296:$BT296,,AH296+1)*AF296-ERP_i)*AE296*Ramure*Pc/MaxiM</f>
        <v>7.3548665656148447E-3</v>
      </c>
      <c r="AE296" s="304">
        <f t="shared" si="117"/>
        <v>0.6</v>
      </c>
      <c r="AF296" s="177">
        <f t="shared" si="118"/>
        <v>0.99583285603861693</v>
      </c>
      <c r="AG296" s="799">
        <f t="shared" si="124"/>
        <v>2</v>
      </c>
      <c r="AH296" s="176">
        <f t="shared" si="119"/>
        <v>8</v>
      </c>
      <c r="AI296" s="224">
        <f t="shared" si="120"/>
        <v>2.9958328560386169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'2026'!Wh/'2026'!Env_an*'2027'!Env_an</f>
        <v>30.955727011792309</v>
      </c>
      <c r="C297" s="829"/>
      <c r="D297" s="391">
        <f t="shared" si="102"/>
        <v>32.906659901503879</v>
      </c>
      <c r="E297" s="383">
        <f t="shared" ref="E297:E360" si="125">Wh_pvt/(1-Psa)</f>
        <v>33.737053691464538</v>
      </c>
      <c r="F297" s="383">
        <f t="shared" si="103"/>
        <v>33.752132421628019</v>
      </c>
      <c r="G297" s="110">
        <f t="shared" ref="G297:G360" si="126">+Wh_hp/MaxiM</f>
        <v>0.80022401751012251</v>
      </c>
      <c r="H297" s="412" t="b">
        <f>Wh_hp&gt;='2026'!Maxi_hp</f>
        <v>0</v>
      </c>
      <c r="I297" s="388">
        <f>IF(H297,Wh_hp,'2026'!Maxi_hp)</f>
        <v>33.75617076368578</v>
      </c>
      <c r="J297" s="85">
        <f>IF(H297,An,'2026'!An_max)</f>
        <v>2026</v>
      </c>
      <c r="K297" s="197">
        <f t="shared" si="104"/>
        <v>46670</v>
      </c>
      <c r="L297" s="147">
        <f>IF(t&lt;Tvie,1-EXP((T0-t)*PertePVj)+'2026'!Pspv,1-EXP((T0-t)*PertePVj)+Pspv)</f>
        <v>5.9286870668463276E-2</v>
      </c>
      <c r="M297" s="832"/>
      <c r="N297" s="832"/>
      <c r="O297" s="48">
        <f>IF(t&lt;Tnet,'2026'!Resal+('2026'!Salim-'2026'!Resal)*(1-EXP(('2026'!Tnet-t)/('2026'!Tau_j))),Resal+(Salim-Resal)*(1-EXP((Tnet-t)/(Tau_j))))*Salcycl</f>
        <v>2.4613702119777744E-2</v>
      </c>
      <c r="P297" s="169">
        <f>(INDEX(Models!$BJ297:$BT297,,T297)*(1-R297)+INDEX(Models!$BJ297:$BT297,,T297+1)*R297-ERP_i)*Q297*Ramure*Pc/MaxiM</f>
        <v>6.2499013118236908E-4</v>
      </c>
      <c r="Q297" s="304">
        <f t="shared" si="105"/>
        <v>0.6</v>
      </c>
      <c r="R297" s="177">
        <f t="shared" si="106"/>
        <v>0.47098306612322938</v>
      </c>
      <c r="S297" s="799">
        <f t="shared" si="107"/>
        <v>-1</v>
      </c>
      <c r="T297" s="176">
        <f t="shared" si="108"/>
        <v>5</v>
      </c>
      <c r="U297" s="250">
        <f t="shared" si="109"/>
        <v>-0.52901693387677062</v>
      </c>
      <c r="V297" s="382">
        <f t="shared" si="110"/>
        <v>38.676928314493985</v>
      </c>
      <c r="W297" s="400">
        <f t="shared" si="111"/>
        <v>30.955727011792309</v>
      </c>
      <c r="X297" s="157">
        <f t="shared" si="112"/>
        <v>46670</v>
      </c>
      <c r="Y297" s="383">
        <f t="shared" si="113"/>
        <v>29.309065527377864</v>
      </c>
      <c r="Z297" s="383">
        <f t="shared" si="114"/>
        <v>31.156220332764626</v>
      </c>
      <c r="AA297" s="384">
        <f t="shared" si="115"/>
        <v>33.567482107674714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7.1833263131725555E-2</v>
      </c>
      <c r="AD297" s="230">
        <f>(INDEX(Models!$BJ297:$BT297,,AH297)*(1-AF297)+INDEX(Models!$BJ297:$BT297,,AH297+1)*AF297-ERP_i)*AE297*Ramure*Pc/MaxiM</f>
        <v>7.6534709945291863E-3</v>
      </c>
      <c r="AE297" s="304">
        <f t="shared" si="117"/>
        <v>0.6</v>
      </c>
      <c r="AF297" s="177">
        <f t="shared" si="118"/>
        <v>0.99597063249720819</v>
      </c>
      <c r="AG297" s="799">
        <f t="shared" si="124"/>
        <v>2</v>
      </c>
      <c r="AH297" s="176">
        <f t="shared" si="119"/>
        <v>8</v>
      </c>
      <c r="AI297" s="224">
        <f t="shared" si="120"/>
        <v>2.9959706324972082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'2026'!Wh/'2026'!Env_an*'2027'!Env_an</f>
        <v>22.516750931211455</v>
      </c>
      <c r="C298" s="829"/>
      <c r="D298" s="391">
        <f t="shared" si="102"/>
        <v>23.936290209829416</v>
      </c>
      <c r="E298" s="383">
        <f t="shared" si="125"/>
        <v>24.542315665715673</v>
      </c>
      <c r="F298" s="383">
        <f t="shared" si="103"/>
        <v>24.548894803263256</v>
      </c>
      <c r="G298" s="110">
        <f t="shared" si="126"/>
        <v>0.58711647658563126</v>
      </c>
      <c r="H298" s="412" t="b">
        <f>Wh_hp&gt;='2026'!Maxi_hp</f>
        <v>0</v>
      </c>
      <c r="I298" s="388">
        <f>IF(H298,Wh_hp,'2026'!Maxi_hp)</f>
        <v>42.372842429013986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5.9304899220975704E-2</v>
      </c>
      <c r="M298" s="832"/>
      <c r="N298" s="832"/>
      <c r="O298" s="48">
        <f>IF(t&lt;Tnet,'2026'!Resal+('2026'!Salim-'2026'!Resal)*(1-EXP(('2026'!Tnet-t)/('2026'!Tau_j))),Resal+(Salim-Resal)*(1-EXP((Tnet-t)/(Tau_j))))*Salcycl</f>
        <v>2.4693083739153587E-2</v>
      </c>
      <c r="P298" s="169">
        <f>(INDEX(Models!$BJ298:$BT298,,T298)*(1-R298)+INDEX(Models!$BJ298:$BT298,,T298+1)*R298-ERP_i)*Q298*Ramure*Pc/MaxiM</f>
        <v>6.5288253749740902E-4</v>
      </c>
      <c r="Q298" s="304">
        <f t="shared" si="105"/>
        <v>0.6</v>
      </c>
      <c r="R298" s="177">
        <f t="shared" si="106"/>
        <v>0.47111536709659574</v>
      </c>
      <c r="S298" s="799">
        <f t="shared" si="107"/>
        <v>-1</v>
      </c>
      <c r="T298" s="176">
        <f t="shared" si="108"/>
        <v>5</v>
      </c>
      <c r="U298" s="250">
        <f t="shared" si="109"/>
        <v>-0.52888463290340426</v>
      </c>
      <c r="V298" s="382">
        <f t="shared" si="110"/>
        <v>38.336655897691486</v>
      </c>
      <c r="W298" s="400">
        <f t="shared" si="111"/>
        <v>22.516750931211455</v>
      </c>
      <c r="X298" s="157">
        <f t="shared" si="112"/>
        <v>46671</v>
      </c>
      <c r="Y298" s="383">
        <f t="shared" si="113"/>
        <v>21.364045457769876</v>
      </c>
      <c r="Z298" s="383">
        <f t="shared" si="114"/>
        <v>22.710913918949426</v>
      </c>
      <c r="AA298" s="384">
        <f t="shared" si="115"/>
        <v>24.468755663147583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7.184025899795321E-2</v>
      </c>
      <c r="AD298" s="230">
        <f>(INDEX(Models!$BJ298:$BT298,,AH298)*(1-AF298)+INDEX(Models!$BJ298:$BT298,,AH298+1)*AF298-ERP_i)*AE298*Ramure*Pc/MaxiM</f>
        <v>7.9526297745232209E-3</v>
      </c>
      <c r="AE298" s="304">
        <f t="shared" si="117"/>
        <v>0.6</v>
      </c>
      <c r="AF298" s="177">
        <f t="shared" si="118"/>
        <v>0.99610293347057421</v>
      </c>
      <c r="AG298" s="799">
        <f t="shared" si="124"/>
        <v>2</v>
      </c>
      <c r="AH298" s="176">
        <f t="shared" si="119"/>
        <v>8</v>
      </c>
      <c r="AI298" s="224">
        <f t="shared" si="120"/>
        <v>2.9961029334705742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'2026'!Wh/'2026'!Env_an*'2027'!Env_an</f>
        <v>27.94854688471743</v>
      </c>
      <c r="C299" s="829"/>
      <c r="D299" s="391">
        <f t="shared" si="102"/>
        <v>29.711096081357393</v>
      </c>
      <c r="E299" s="383">
        <f t="shared" si="125"/>
        <v>30.465792653803291</v>
      </c>
      <c r="F299" s="383">
        <f t="shared" si="103"/>
        <v>30.478730826084544</v>
      </c>
      <c r="G299" s="110">
        <f t="shared" si="126"/>
        <v>0.73535962821182954</v>
      </c>
      <c r="H299" s="412" t="b">
        <f>Wh_hp&gt;='2026'!Maxi_hp</f>
        <v>0</v>
      </c>
      <c r="I299" s="388">
        <f>IF(H299,Wh_hp,'2026'!Maxi_hp)</f>
        <v>40.061070375868503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5.9322927427975181E-2</v>
      </c>
      <c r="M299" s="832"/>
      <c r="N299" s="832"/>
      <c r="O299" s="48">
        <f>IF(t&lt;Tnet,'2026'!Resal+('2026'!Salim-'2026'!Resal)*(1-EXP(('2026'!Tnet-t)/('2026'!Tau_j))),Resal+(Salim-Resal)*(1-EXP((Tnet-t)/(Tau_j))))*Salcycl</f>
        <v>2.4771932935468286E-2</v>
      </c>
      <c r="P299" s="169">
        <f>(INDEX(Models!$BJ299:$BT299,,T299)*(1-R299)+INDEX(Models!$BJ299:$BT299,,T299+1)*R299-ERP_i)*Q299*Ramure*Pc/MaxiM</f>
        <v>6.8223937577079996E-4</v>
      </c>
      <c r="Q299" s="304">
        <f t="shared" si="105"/>
        <v>0.6</v>
      </c>
      <c r="R299" s="177">
        <f t="shared" si="106"/>
        <v>0.47124240743149715</v>
      </c>
      <c r="S299" s="799">
        <f t="shared" si="107"/>
        <v>-1</v>
      </c>
      <c r="T299" s="176">
        <f t="shared" si="108"/>
        <v>5</v>
      </c>
      <c r="U299" s="250">
        <f t="shared" si="109"/>
        <v>-0.52875759256850285</v>
      </c>
      <c r="V299" s="382">
        <f t="shared" si="110"/>
        <v>37.996837557668471</v>
      </c>
      <c r="W299" s="400">
        <f t="shared" si="111"/>
        <v>27.94854688471743</v>
      </c>
      <c r="X299" s="157">
        <f t="shared" si="112"/>
        <v>46672</v>
      </c>
      <c r="Y299" s="383">
        <f t="shared" si="113"/>
        <v>26.474132860506455</v>
      </c>
      <c r="Z299" s="383">
        <f t="shared" si="114"/>
        <v>28.143699503720402</v>
      </c>
      <c r="AA299" s="384">
        <f t="shared" si="115"/>
        <v>30.322235885500813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7.1846165632598422E-2</v>
      </c>
      <c r="AD299" s="230">
        <f>(INDEX(Models!$BJ299:$BT299,,AH299)*(1-AF299)+INDEX(Models!$BJ299:$BT299,,AH299+1)*AF299-ERP_i)*AE299*Ramure*Pc/MaxiM</f>
        <v>8.2520937466443144E-3</v>
      </c>
      <c r="AE299" s="304">
        <f t="shared" si="117"/>
        <v>0.6</v>
      </c>
      <c r="AF299" s="177">
        <f t="shared" si="118"/>
        <v>0.99622997380547584</v>
      </c>
      <c r="AG299" s="799">
        <f t="shared" si="124"/>
        <v>2</v>
      </c>
      <c r="AH299" s="176">
        <f t="shared" si="119"/>
        <v>8</v>
      </c>
      <c r="AI299" s="224">
        <f t="shared" si="120"/>
        <v>2.9962299738054758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'2026'!Wh/'2026'!Env_an*'2027'!Env_an</f>
        <v>23.402024071483179</v>
      </c>
      <c r="C300" s="829"/>
      <c r="D300" s="391">
        <f t="shared" si="102"/>
        <v>24.878327809716282</v>
      </c>
      <c r="E300" s="383">
        <f t="shared" si="125"/>
        <v>25.512315232610639</v>
      </c>
      <c r="F300" s="383">
        <f t="shared" si="103"/>
        <v>25.520671380982165</v>
      </c>
      <c r="G300" s="110">
        <f t="shared" si="126"/>
        <v>0.62119465223716519</v>
      </c>
      <c r="H300" s="412" t="b">
        <f>Wh_hp&gt;='2026'!Maxi_hp</f>
        <v>0</v>
      </c>
      <c r="I300" s="388">
        <f>IF(H300,Wh_hp,'2026'!Maxi_hp)</f>
        <v>39.39832701671196</v>
      </c>
      <c r="J300" s="85">
        <f>IF(H300,An,'2026'!An_max)</f>
        <v>2018</v>
      </c>
      <c r="K300" s="197">
        <f t="shared" si="104"/>
        <v>46673</v>
      </c>
      <c r="L300" s="147">
        <f>IF(t&lt;Tvie,1-EXP((T0-t)*PertePVj)+'2026'!Pspv,1-EXP((T0-t)*PertePVj)+Pspv)</f>
        <v>5.9340955289468034E-2</v>
      </c>
      <c r="M300" s="832"/>
      <c r="N300" s="832"/>
      <c r="O300" s="48">
        <f>IF(t&lt;Tnet,'2026'!Resal+('2026'!Salim-'2026'!Resal)*(1-EXP(('2026'!Tnet-t)/('2026'!Tau_j))),Resal+(Salim-Resal)*(1-EXP((Tnet-t)/(Tau_j))))*Salcycl</f>
        <v>2.4850250442342191E-2</v>
      </c>
      <c r="P300" s="169">
        <f>(INDEX(Models!$BJ300:$BT300,,T300)*(1-R300)+INDEX(Models!$BJ300:$BT300,,T300+1)*R300-ERP_i)*Q300*Ramure*Pc/MaxiM</f>
        <v>7.1304965573383669E-4</v>
      </c>
      <c r="Q300" s="304">
        <f t="shared" si="105"/>
        <v>0.6</v>
      </c>
      <c r="R300" s="177">
        <f t="shared" si="106"/>
        <v>0.47136439376109129</v>
      </c>
      <c r="S300" s="799">
        <f t="shared" si="107"/>
        <v>-1</v>
      </c>
      <c r="T300" s="176">
        <f t="shared" si="108"/>
        <v>5</v>
      </c>
      <c r="U300" s="250">
        <f t="shared" si="109"/>
        <v>-0.52863560623890871</v>
      </c>
      <c r="V300" s="382">
        <f t="shared" si="110"/>
        <v>37.658078145053352</v>
      </c>
      <c r="W300" s="400">
        <f t="shared" si="111"/>
        <v>23.402024071483179</v>
      </c>
      <c r="X300" s="157">
        <f t="shared" si="112"/>
        <v>46673</v>
      </c>
      <c r="Y300" s="383">
        <f t="shared" si="113"/>
        <v>22.193882410159524</v>
      </c>
      <c r="Z300" s="383">
        <f t="shared" si="114"/>
        <v>23.593971200254845</v>
      </c>
      <c r="AA300" s="384">
        <f t="shared" si="115"/>
        <v>25.420456245246353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7.1850993836236179E-2</v>
      </c>
      <c r="AD300" s="230">
        <f>(INDEX(Models!$BJ300:$BT300,,AH300)*(1-AF300)+INDEX(Models!$BJ300:$BT300,,AH300+1)*AF300-ERP_i)*AE300*Ramure*Pc/MaxiM</f>
        <v>8.5515915776722684E-3</v>
      </c>
      <c r="AE300" s="304">
        <f t="shared" si="117"/>
        <v>0.6</v>
      </c>
      <c r="AF300" s="177">
        <f t="shared" si="118"/>
        <v>0.99635196013506988</v>
      </c>
      <c r="AG300" s="799">
        <f t="shared" si="124"/>
        <v>2</v>
      </c>
      <c r="AH300" s="176">
        <f t="shared" si="119"/>
        <v>8</v>
      </c>
      <c r="AI300" s="224">
        <f t="shared" si="120"/>
        <v>2.9963519601350699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'2026'!Wh/'2026'!Env_an*'2027'!Env_an</f>
        <v>18.191891208805949</v>
      </c>
      <c r="C301" s="829"/>
      <c r="D301" s="391">
        <f t="shared" si="102"/>
        <v>19.339887243130487</v>
      </c>
      <c r="E301" s="383">
        <f t="shared" si="125"/>
        <v>19.834317878617743</v>
      </c>
      <c r="F301" s="383">
        <f t="shared" si="103"/>
        <v>19.838277084310906</v>
      </c>
      <c r="G301" s="110">
        <f t="shared" si="126"/>
        <v>0.48717799909409559</v>
      </c>
      <c r="H301" s="412" t="b">
        <f>Wh_hp&gt;='2026'!Maxi_hp</f>
        <v>0</v>
      </c>
      <c r="I301" s="388">
        <f>IF(H301,Wh_hp,'2026'!Maxi_hp)</f>
        <v>42.332847154201126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5.9358982805461147E-2</v>
      </c>
      <c r="M301" s="832"/>
      <c r="N301" s="832"/>
      <c r="O301" s="48">
        <f>IF(t&lt;Tnet,'2026'!Resal+('2026'!Salim-'2026'!Resal)*(1-EXP(('2026'!Tnet-t)/('2026'!Tau_j))),Resal+(Salim-Resal)*(1-EXP((Tnet-t)/(Tau_j))))*Salcycl</f>
        <v>2.4928038287632466E-2</v>
      </c>
      <c r="P301" s="169">
        <f>(INDEX(Models!$BJ301:$BT301,,T301)*(1-R301)+INDEX(Models!$BJ301:$BT301,,T301+1)*R301-ERP_i)*Q301*Ramure*Pc/MaxiM</f>
        <v>7.4529887426763889E-4</v>
      </c>
      <c r="Q301" s="304">
        <f t="shared" si="105"/>
        <v>0.6</v>
      </c>
      <c r="R301" s="177">
        <f t="shared" si="106"/>
        <v>0.47148152480187211</v>
      </c>
      <c r="S301" s="799">
        <f t="shared" si="107"/>
        <v>-1</v>
      </c>
      <c r="T301" s="176">
        <f t="shared" si="108"/>
        <v>5</v>
      </c>
      <c r="U301" s="250">
        <f t="shared" si="109"/>
        <v>-0.52851847519812789</v>
      </c>
      <c r="V301" s="382">
        <f t="shared" si="110"/>
        <v>37.320982258271044</v>
      </c>
      <c r="W301" s="400">
        <f t="shared" si="111"/>
        <v>18.191891208805949</v>
      </c>
      <c r="X301" s="157">
        <f t="shared" si="112"/>
        <v>46674</v>
      </c>
      <c r="Y301" s="383">
        <f t="shared" si="113"/>
        <v>17.278788367227325</v>
      </c>
      <c r="Z301" s="383">
        <f t="shared" si="114"/>
        <v>18.369163210383167</v>
      </c>
      <c r="AA301" s="384">
        <f t="shared" si="115"/>
        <v>19.791259361710043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7.1854757968469254E-2</v>
      </c>
      <c r="AD301" s="230">
        <f>(INDEX(Models!$BJ301:$BT301,,AH301)*(1-AF301)+INDEX(Models!$BJ301:$BT301,,AH301+1)*AF301-ERP_i)*AE301*Ramure*Pc/MaxiM</f>
        <v>8.8508297978969058E-3</v>
      </c>
      <c r="AE301" s="304">
        <f t="shared" si="117"/>
        <v>0.6</v>
      </c>
      <c r="AF301" s="177">
        <f t="shared" si="118"/>
        <v>0.9964690911758507</v>
      </c>
      <c r="AG301" s="799">
        <f t="shared" si="124"/>
        <v>2</v>
      </c>
      <c r="AH301" s="176">
        <f t="shared" si="119"/>
        <v>8</v>
      </c>
      <c r="AI301" s="224">
        <f t="shared" si="120"/>
        <v>2.9964690911758507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'2026'!Wh/'2026'!Env_an*'2027'!Env_an</f>
        <v>37.382775884140948</v>
      </c>
      <c r="C302" s="829"/>
      <c r="D302" s="391">
        <f t="shared" si="102"/>
        <v>39.742570913757461</v>
      </c>
      <c r="E302" s="383">
        <f t="shared" si="125"/>
        <v>40.76183276414632</v>
      </c>
      <c r="F302" s="383">
        <f t="shared" si="103"/>
        <v>40.793609711418078</v>
      </c>
      <c r="G302" s="110">
        <f t="shared" si="126"/>
        <v>1.0107235166651867</v>
      </c>
      <c r="H302" s="412" t="b">
        <f>Wh_hp&gt;='2026'!Maxi_hp</f>
        <v>1</v>
      </c>
      <c r="I302" s="388">
        <f>IF(H302,Wh_hp,'2026'!Maxi_hp)</f>
        <v>40.793609711418078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5.9377009975960959E-2</v>
      </c>
      <c r="M302" s="832"/>
      <c r="N302" s="832"/>
      <c r="O302" s="48">
        <f>IF(t&lt;Tnet,'2026'!Resal+('2026'!Salim-'2026'!Resal)*(1-EXP(('2026'!Tnet-t)/('2026'!Tau_j))),Resal+(Salim-Resal)*(1-EXP((Tnet-t)/(Tau_j))))*Salcycl</f>
        <v>2.5005299842292373E-2</v>
      </c>
      <c r="P302" s="169">
        <f>(INDEX(Models!$BJ302:$BT302,,T302)*(1-R302)+INDEX(Models!$BJ302:$BT302,,T302+1)*R302-ERP_i)*Q302*Ramure*Pc/MaxiM</f>
        <v>7.7896875261960802E-4</v>
      </c>
      <c r="Q302" s="304">
        <f t="shared" si="105"/>
        <v>0.6</v>
      </c>
      <c r="R302" s="177">
        <f t="shared" si="106"/>
        <v>0.47159399164123816</v>
      </c>
      <c r="S302" s="799">
        <f t="shared" si="107"/>
        <v>-1</v>
      </c>
      <c r="T302" s="176">
        <f t="shared" si="108"/>
        <v>5</v>
      </c>
      <c r="U302" s="250">
        <f t="shared" si="109"/>
        <v>-0.52840600835876184</v>
      </c>
      <c r="V302" s="382">
        <f t="shared" si="110"/>
        <v>36.98615424273779</v>
      </c>
      <c r="W302" s="400">
        <f t="shared" si="111"/>
        <v>37.382775884140948</v>
      </c>
      <c r="X302" s="157">
        <f t="shared" si="112"/>
        <v>46675</v>
      </c>
      <c r="Y302" s="383">
        <f t="shared" si="113"/>
        <v>35.28828339780646</v>
      </c>
      <c r="Z302" s="383">
        <f t="shared" si="114"/>
        <v>37.515863180108553</v>
      </c>
      <c r="AA302" s="384">
        <f t="shared" si="115"/>
        <v>40.420368867315901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7.18574760349589E-2</v>
      </c>
      <c r="AD302" s="230">
        <f>(INDEX(Models!$BJ302:$BT302,,AH302)*(1-AF302)+INDEX(Models!$BJ302:$BT302,,AH302+1)*AF302-ERP_i)*AE302*Ramure*Pc/MaxiM</f>
        <v>9.1494929412365943E-3</v>
      </c>
      <c r="AE302" s="304">
        <f t="shared" si="117"/>
        <v>0.6</v>
      </c>
      <c r="AF302" s="177">
        <f t="shared" si="118"/>
        <v>0.99658155801521664</v>
      </c>
      <c r="AG302" s="799">
        <f t="shared" si="124"/>
        <v>2</v>
      </c>
      <c r="AH302" s="176">
        <f t="shared" si="119"/>
        <v>8</v>
      </c>
      <c r="AI302" s="224">
        <f t="shared" si="120"/>
        <v>2.9965815580152166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'2026'!Wh/'2026'!Env_an*'2027'!Env_an</f>
        <v>32.996426867244907</v>
      </c>
      <c r="C303" s="829"/>
      <c r="D303" s="391">
        <f t="shared" si="102"/>
        <v>35.080005058683788</v>
      </c>
      <c r="E303" s="383">
        <f t="shared" si="125"/>
        <v>35.982520061219404</v>
      </c>
      <c r="F303" s="383">
        <f t="shared" si="103"/>
        <v>36.00765745340243</v>
      </c>
      <c r="G303" s="110">
        <f t="shared" si="126"/>
        <v>0.90016804476033907</v>
      </c>
      <c r="H303" s="412" t="b">
        <f>Wh_hp&gt;='2026'!Maxi_hp</f>
        <v>0</v>
      </c>
      <c r="I303" s="388">
        <f>IF(H303,Wh_hp,'2026'!Maxi_hp)</f>
        <v>38.803370286376357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5.9395036800974133E-2</v>
      </c>
      <c r="M303" s="832"/>
      <c r="N303" s="832"/>
      <c r="O303" s="48">
        <f>IF(t&lt;Tnet,'2026'!Resal+('2026'!Salim-'2026'!Resal)*(1-EXP(('2026'!Tnet-t)/('2026'!Tau_j))),Resal+(Salim-Resal)*(1-EXP((Tnet-t)/(Tau_j))))*Salcycl</f>
        <v>2.508203986269195E-2</v>
      </c>
      <c r="P303" s="169">
        <f>(INDEX(Models!$BJ303:$BT303,,T303)*(1-R303)+INDEX(Models!$BJ303:$BT303,,T303+1)*R303-ERP_i)*Q303*Ramure*Pc/MaxiM</f>
        <v>8.1409468735909229E-4</v>
      </c>
      <c r="Q303" s="304">
        <f t="shared" si="105"/>
        <v>0.6</v>
      </c>
      <c r="R303" s="177">
        <f t="shared" si="106"/>
        <v>0.4717019780158711</v>
      </c>
      <c r="S303" s="799">
        <f t="shared" si="107"/>
        <v>-1</v>
      </c>
      <c r="T303" s="176">
        <f t="shared" si="108"/>
        <v>5</v>
      </c>
      <c r="U303" s="250">
        <f t="shared" si="109"/>
        <v>-0.5282980219841289</v>
      </c>
      <c r="V303" s="382">
        <f t="shared" si="110"/>
        <v>36.651597870751999</v>
      </c>
      <c r="W303" s="400">
        <f t="shared" si="111"/>
        <v>32.996426867244907</v>
      </c>
      <c r="X303" s="157">
        <f t="shared" si="112"/>
        <v>46676</v>
      </c>
      <c r="Y303" s="383">
        <f t="shared" si="113"/>
        <v>31.180500030877056</v>
      </c>
      <c r="Z303" s="383">
        <f t="shared" si="114"/>
        <v>33.149410486663001</v>
      </c>
      <c r="AA303" s="384">
        <f t="shared" si="115"/>
        <v>35.715927374830059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7.1859169754493135E-2</v>
      </c>
      <c r="AD303" s="230">
        <f>(INDEX(Models!$BJ303:$BT303,,AH303)*(1-AF303)+INDEX(Models!$BJ303:$BT303,,AH303+1)*AF303-ERP_i)*AE303*Ramure*Pc/MaxiM</f>
        <v>9.4479135058795922E-3</v>
      </c>
      <c r="AE303" s="304">
        <f t="shared" si="117"/>
        <v>0.6</v>
      </c>
      <c r="AF303" s="177">
        <f t="shared" si="118"/>
        <v>0.99668954438984958</v>
      </c>
      <c r="AG303" s="799">
        <f t="shared" si="124"/>
        <v>2</v>
      </c>
      <c r="AH303" s="176">
        <f t="shared" si="119"/>
        <v>8</v>
      </c>
      <c r="AI303" s="224">
        <f t="shared" si="120"/>
        <v>2.9966895443898496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'2026'!Wh/'2026'!Env_an*'2027'!Env_an</f>
        <v>19.589674555915099</v>
      </c>
      <c r="C304" s="829"/>
      <c r="D304" s="391">
        <f t="shared" si="102"/>
        <v>20.827074873310991</v>
      </c>
      <c r="E304" s="383">
        <f t="shared" si="125"/>
        <v>21.364570386577554</v>
      </c>
      <c r="F304" s="383">
        <f t="shared" si="103"/>
        <v>21.370785006268523</v>
      </c>
      <c r="G304" s="110">
        <f t="shared" si="126"/>
        <v>0.53913169713088616</v>
      </c>
      <c r="H304" s="412" t="b">
        <f>Wh_hp&gt;='2026'!Maxi_hp</f>
        <v>0</v>
      </c>
      <c r="I304" s="388">
        <f>IF(H304,Wh_hp,'2026'!Maxi_hp)</f>
        <v>35.6425652403491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5.9413063280507439E-2</v>
      </c>
      <c r="M304" s="832"/>
      <c r="N304" s="832"/>
      <c r="O304" s="48">
        <f>IF(t&lt;Tnet,'2026'!Resal+('2026'!Salim-'2026'!Resal)*(1-EXP(('2026'!Tnet-t)/('2026'!Tau_j))),Resal+(Salim-Resal)*(1-EXP((Tnet-t)/(Tau_j))))*Salcycl</f>
        <v>2.5158264525845467E-2</v>
      </c>
      <c r="P304" s="169">
        <f>(INDEX(Models!$BJ304:$BT304,,T304)*(1-R304)+INDEX(Models!$BJ304:$BT304,,T304+1)*R304-ERP_i)*Q304*Ramure*Pc/MaxiM</f>
        <v>8.5017269801451398E-4</v>
      </c>
      <c r="Q304" s="304">
        <f t="shared" si="105"/>
        <v>0.6</v>
      </c>
      <c r="R304" s="177">
        <f t="shared" si="106"/>
        <v>0.47180566058111595</v>
      </c>
      <c r="S304" s="799">
        <f t="shared" si="107"/>
        <v>-1</v>
      </c>
      <c r="T304" s="176">
        <f t="shared" si="108"/>
        <v>5</v>
      </c>
      <c r="U304" s="250">
        <f t="shared" si="109"/>
        <v>-0.52819433941888405</v>
      </c>
      <c r="V304" s="382">
        <f t="shared" si="110"/>
        <v>36.315270534639673</v>
      </c>
      <c r="W304" s="400">
        <f t="shared" si="111"/>
        <v>19.589674555915099</v>
      </c>
      <c r="X304" s="157">
        <f t="shared" si="112"/>
        <v>46677</v>
      </c>
      <c r="Y304" s="383">
        <f t="shared" si="113"/>
        <v>18.594447330554424</v>
      </c>
      <c r="Z304" s="383">
        <f t="shared" si="114"/>
        <v>19.768983179169719</v>
      </c>
      <c r="AA304" s="384">
        <f t="shared" si="115"/>
        <v>21.299567193864654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7.1859864604939871E-2</v>
      </c>
      <c r="AD304" s="230">
        <f>(INDEX(Models!$BJ304:$BT304,,AH304)*(1-AF304)+INDEX(Models!$BJ304:$BT304,,AH304+1)*AF304-ERP_i)*AE304*Ramure*Pc/MaxiM</f>
        <v>9.7427425536706844E-3</v>
      </c>
      <c r="AE304" s="304">
        <f t="shared" si="117"/>
        <v>0.6</v>
      </c>
      <c r="AF304" s="177">
        <f t="shared" si="118"/>
        <v>0.99679322695509454</v>
      </c>
      <c r="AG304" s="799">
        <f t="shared" si="124"/>
        <v>2</v>
      </c>
      <c r="AH304" s="176">
        <f t="shared" si="119"/>
        <v>8</v>
      </c>
      <c r="AI304" s="224">
        <f t="shared" si="120"/>
        <v>2.9967932269550945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'2026'!Wh/'2026'!Env_an*'2027'!Env_an</f>
        <v>34.557060986606764</v>
      </c>
      <c r="C305" s="829"/>
      <c r="D305" s="391">
        <f t="shared" si="102"/>
        <v>36.740594546228003</v>
      </c>
      <c r="E305" s="383">
        <f t="shared" si="125"/>
        <v>37.691706365745269</v>
      </c>
      <c r="F305" s="383">
        <f t="shared" si="103"/>
        <v>37.723253038848647</v>
      </c>
      <c r="G305" s="110">
        <f t="shared" si="126"/>
        <v>0.96046502359895625</v>
      </c>
      <c r="H305" s="412" t="b">
        <f>Wh_hp&gt;='2026'!Maxi_hp</f>
        <v>0</v>
      </c>
      <c r="I305" s="388">
        <f>IF(H305,Wh_hp,'2026'!Maxi_hp)</f>
        <v>38.775386152374139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5.9431089414567317E-2</v>
      </c>
      <c r="M305" s="832"/>
      <c r="N305" s="832"/>
      <c r="O305" s="48">
        <f>IF(t&lt;Tnet,'2026'!Resal+('2026'!Salim-'2026'!Resal)*(1-EXP(('2026'!Tnet-t)/('2026'!Tau_j))),Resal+(Salim-Resal)*(1-EXP((Tnet-t)/(Tau_j))))*Salcycl</f>
        <v>2.5233981457036085E-2</v>
      </c>
      <c r="P305" s="169">
        <f>(INDEX(Models!$BJ305:$BT305,,T305)*(1-R305)+INDEX(Models!$BJ305:$BT305,,T305+1)*R305-ERP_i)*Q305*Ramure*Pc/MaxiM</f>
        <v>8.8625978707283879E-4</v>
      </c>
      <c r="Q305" s="304">
        <f t="shared" si="105"/>
        <v>0.6</v>
      </c>
      <c r="R305" s="177">
        <f t="shared" si="106"/>
        <v>0.47190520917155643</v>
      </c>
      <c r="S305" s="799">
        <f t="shared" si="107"/>
        <v>-1</v>
      </c>
      <c r="T305" s="176">
        <f t="shared" si="108"/>
        <v>5</v>
      </c>
      <c r="U305" s="250">
        <f t="shared" si="109"/>
        <v>-0.52809479082844357</v>
      </c>
      <c r="V305" s="382">
        <f t="shared" si="110"/>
        <v>35.977709809824546</v>
      </c>
      <c r="W305" s="400">
        <f t="shared" si="111"/>
        <v>34.557060986606764</v>
      </c>
      <c r="X305" s="157">
        <f t="shared" si="112"/>
        <v>46678</v>
      </c>
      <c r="Y305" s="383">
        <f t="shared" si="113"/>
        <v>32.619972852841933</v>
      </c>
      <c r="Z305" s="383">
        <f t="shared" si="114"/>
        <v>34.681108939204123</v>
      </c>
      <c r="AA305" s="384">
        <f t="shared" si="115"/>
        <v>37.366230970904759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7.1859589847084376E-2</v>
      </c>
      <c r="AD305" s="230">
        <f>(INDEX(Models!$BJ305:$BT305,,AH305)*(1-AF305)+INDEX(Models!$BJ305:$BT305,,AH305+1)*AF305-ERP_i)*AE305*Ramure*Pc/MaxiM</f>
        <v>1.0030037109758153E-2</v>
      </c>
      <c r="AE305" s="304">
        <f t="shared" si="117"/>
        <v>0.6</v>
      </c>
      <c r="AF305" s="177">
        <f t="shared" si="118"/>
        <v>0.99689277554553524</v>
      </c>
      <c r="AG305" s="799">
        <f t="shared" si="124"/>
        <v>2</v>
      </c>
      <c r="AH305" s="176">
        <f t="shared" si="119"/>
        <v>8</v>
      </c>
      <c r="AI305" s="224">
        <f t="shared" si="120"/>
        <v>2.9968927755455352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'2026'!Wh/'2026'!Env_an*'2027'!Env_an</f>
        <v>16.063139879985204</v>
      </c>
      <c r="C306" s="829"/>
      <c r="D306" s="391">
        <f t="shared" si="102"/>
        <v>17.078437902330894</v>
      </c>
      <c r="E306" s="383">
        <f t="shared" si="125"/>
        <v>17.521903251717919</v>
      </c>
      <c r="F306" s="383">
        <f t="shared" si="103"/>
        <v>17.52538348604709</v>
      </c>
      <c r="G306" s="110">
        <f t="shared" si="126"/>
        <v>0.45038646459134368</v>
      </c>
      <c r="H306" s="412" t="b">
        <f>Wh_hp&gt;='2026'!Maxi_hp</f>
        <v>0</v>
      </c>
      <c r="I306" s="388">
        <f>IF(H306,Wh_hp,'2026'!Maxi_hp)</f>
        <v>38.555741543850147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5.944911520316043E-2</v>
      </c>
      <c r="M306" s="832"/>
      <c r="N306" s="832"/>
      <c r="O306" s="48">
        <f>IF(t&lt;Tnet,'2026'!Resal+('2026'!Salim-'2026'!Resal)*(1-EXP(('2026'!Tnet-t)/('2026'!Tau_j))),Resal+(Salim-Resal)*(1-EXP((Tnet-t)/(Tau_j))))*Salcycl</f>
        <v>2.5309199749379178E-2</v>
      </c>
      <c r="P306" s="169">
        <f>(INDEX(Models!$BJ306:$BT306,,T306)*(1-R306)+INDEX(Models!$BJ306:$BT306,,T306+1)*R306-ERP_i)*Q306*Ramure*Pc/MaxiM</f>
        <v>9.2233576193697124E-4</v>
      </c>
      <c r="Q306" s="304">
        <f t="shared" si="105"/>
        <v>0.6</v>
      </c>
      <c r="R306" s="177">
        <f t="shared" si="106"/>
        <v>0.47200078705298654</v>
      </c>
      <c r="S306" s="799">
        <f t="shared" si="107"/>
        <v>-1</v>
      </c>
      <c r="T306" s="176">
        <f t="shared" si="108"/>
        <v>5</v>
      </c>
      <c r="U306" s="250">
        <f t="shared" si="109"/>
        <v>-0.52799921294701346</v>
      </c>
      <c r="V306" s="382">
        <f t="shared" si="110"/>
        <v>35.639418772075899</v>
      </c>
      <c r="W306" s="400">
        <f t="shared" si="111"/>
        <v>16.063139879985204</v>
      </c>
      <c r="X306" s="157">
        <f t="shared" si="112"/>
        <v>46679</v>
      </c>
      <c r="Y306" s="383">
        <f t="shared" si="113"/>
        <v>15.265077203082306</v>
      </c>
      <c r="Z306" s="383">
        <f t="shared" si="114"/>
        <v>16.229932319270091</v>
      </c>
      <c r="AA306" s="384">
        <f t="shared" si="115"/>
        <v>17.486482605409467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7.1858378525516534E-2</v>
      </c>
      <c r="AD306" s="230">
        <f>(INDEX(Models!$BJ306:$BT306,,AH306)*(1-AF306)+INDEX(Models!$BJ306:$BT306,,AH306+1)*AF306-ERP_i)*AE306*Ramure*Pc/MaxiM</f>
        <v>1.0309556768116193E-2</v>
      </c>
      <c r="AE306" s="304">
        <f t="shared" si="117"/>
        <v>0.6</v>
      </c>
      <c r="AF306" s="177">
        <f t="shared" si="118"/>
        <v>0.99698835342696501</v>
      </c>
      <c r="AG306" s="799">
        <f t="shared" si="124"/>
        <v>2</v>
      </c>
      <c r="AH306" s="176">
        <f t="shared" si="119"/>
        <v>8</v>
      </c>
      <c r="AI306" s="224">
        <f t="shared" si="120"/>
        <v>2.996988353426965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'2026'!Wh/'2026'!Env_an*'2027'!Env_an</f>
        <v>6.7645031305612919</v>
      </c>
      <c r="C307" s="829"/>
      <c r="D307" s="391">
        <f t="shared" si="102"/>
        <v>7.1922028702001599</v>
      </c>
      <c r="E307" s="383">
        <f t="shared" si="125"/>
        <v>7.3795241956302835</v>
      </c>
      <c r="F307" s="383">
        <f t="shared" si="103"/>
        <v>7.3795241956302835</v>
      </c>
      <c r="G307" s="110">
        <f t="shared" si="126"/>
        <v>0.19144044861754689</v>
      </c>
      <c r="H307" s="412" t="b">
        <f>Wh_hp&gt;='2026'!Maxi_hp</f>
        <v>0</v>
      </c>
      <c r="I307" s="388">
        <f>IF(H307,Wh_hp,'2026'!Maxi_hp)</f>
        <v>31.702695928532638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5.9467140646293437E-2</v>
      </c>
      <c r="M307" s="832"/>
      <c r="N307" s="832"/>
      <c r="O307" s="48">
        <f>IF(t&lt;Tnet,'2026'!Resal+('2026'!Salim-'2026'!Resal)*(1-EXP(('2026'!Tnet-t)/('2026'!Tau_j))),Resal+(Salim-Resal)*(1-EXP((Tnet-t)/(Tau_j))))*Salcycl</f>
        <v>2.5383929974922278E-2</v>
      </c>
      <c r="P307" s="169">
        <f>(INDEX(Models!$BJ307:$BT307,,T307)*(1-R307)+INDEX(Models!$BJ307:$BT307,,T307+1)*R307-ERP_i)*Q307*Ramure*Pc/MaxiM</f>
        <v>9.5837906117972717E-4</v>
      </c>
      <c r="Q307" s="304">
        <f t="shared" si="105"/>
        <v>0.6</v>
      </c>
      <c r="R307" s="177">
        <f t="shared" si="106"/>
        <v>0.47209255116597992</v>
      </c>
      <c r="S307" s="799">
        <f t="shared" si="107"/>
        <v>-1</v>
      </c>
      <c r="T307" s="176">
        <f t="shared" si="108"/>
        <v>5</v>
      </c>
      <c r="U307" s="250">
        <f t="shared" si="109"/>
        <v>-0.52790744883402008</v>
      </c>
      <c r="V307" s="382">
        <f t="shared" si="110"/>
        <v>35.300900207889796</v>
      </c>
      <c r="W307" s="400">
        <f t="shared" si="111"/>
        <v>6.7645031305612919</v>
      </c>
      <c r="X307" s="157">
        <f t="shared" si="112"/>
        <v>46680</v>
      </c>
      <c r="Y307" s="383">
        <f t="shared" si="113"/>
        <v>6.4419532753153286</v>
      </c>
      <c r="Z307" s="383">
        <f t="shared" si="114"/>
        <v>6.8492591314055309</v>
      </c>
      <c r="AA307" s="384">
        <f t="shared" si="115"/>
        <v>7.3795241956302835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7.1856267445907077E-2</v>
      </c>
      <c r="AD307" s="230">
        <f>(INDEX(Models!$BJ307:$BT307,,AH307)*(1-AF307)+INDEX(Models!$BJ307:$BT307,,AH307+1)*AF307-ERP_i)*AE307*Ramure*Pc/MaxiM</f>
        <v>1.0581055326947633E-2</v>
      </c>
      <c r="AE307" s="304">
        <f t="shared" si="117"/>
        <v>0.6</v>
      </c>
      <c r="AF307" s="177">
        <f t="shared" si="118"/>
        <v>0.99708011753995862</v>
      </c>
      <c r="AG307" s="799">
        <f t="shared" si="124"/>
        <v>2</v>
      </c>
      <c r="AH307" s="176">
        <f t="shared" si="119"/>
        <v>8</v>
      </c>
      <c r="AI307" s="224">
        <f t="shared" si="120"/>
        <v>2.9970801175399586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'2026'!Wh/'2026'!Env_an*'2027'!Env_an</f>
        <v>16.463456992455704</v>
      </c>
      <c r="C308" s="829"/>
      <c r="D308" s="391">
        <f t="shared" si="102"/>
        <v>17.504728679243797</v>
      </c>
      <c r="E308" s="383">
        <f t="shared" si="125"/>
        <v>17.962008807841276</v>
      </c>
      <c r="F308" s="383">
        <f t="shared" si="103"/>
        <v>17.966370125181786</v>
      </c>
      <c r="G308" s="110">
        <f t="shared" si="126"/>
        <v>0.47053288715108638</v>
      </c>
      <c r="H308" s="412" t="b">
        <f>Wh_hp&gt;='2026'!Maxi_hp</f>
        <v>0</v>
      </c>
      <c r="I308" s="388">
        <f>IF(H308,Wh_hp,'2026'!Maxi_hp)</f>
        <v>24.418087613545492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5.948516574397289E-2</v>
      </c>
      <c r="M308" s="832"/>
      <c r="N308" s="832"/>
      <c r="O308" s="48">
        <f>IF(t&lt;Tnet,'2026'!Resal+('2026'!Salim-'2026'!Resal)*(1-EXP(('2026'!Tnet-t)/('2026'!Tau_j))),Resal+(Salim-Resal)*(1-EXP((Tnet-t)/(Tau_j))))*Salcycl</f>
        <v>2.5458184186940958E-2</v>
      </c>
      <c r="P308" s="169">
        <f>(INDEX(Models!$BJ308:$BT308,,T308)*(1-R308)+INDEX(Models!$BJ308:$BT308,,T308+1)*R308-ERP_i)*Q308*Ramure*Pc/MaxiM</f>
        <v>9.9436679670655251E-4</v>
      </c>
      <c r="Q308" s="304">
        <f t="shared" si="105"/>
        <v>0.6</v>
      </c>
      <c r="R308" s="177">
        <f t="shared" si="106"/>
        <v>0.47218065236126527</v>
      </c>
      <c r="S308" s="799">
        <f t="shared" si="107"/>
        <v>-1</v>
      </c>
      <c r="T308" s="176">
        <f t="shared" si="108"/>
        <v>5</v>
      </c>
      <c r="U308" s="250">
        <f t="shared" si="109"/>
        <v>-0.52781934763873473</v>
      </c>
      <c r="V308" s="382">
        <f t="shared" si="110"/>
        <v>34.962656615303473</v>
      </c>
      <c r="W308" s="400">
        <f t="shared" si="111"/>
        <v>16.463456992455704</v>
      </c>
      <c r="X308" s="157">
        <f t="shared" si="112"/>
        <v>46681</v>
      </c>
      <c r="Y308" s="383">
        <f t="shared" si="113"/>
        <v>15.641966949014162</v>
      </c>
      <c r="Z308" s="383">
        <f t="shared" si="114"/>
        <v>16.631281484664072</v>
      </c>
      <c r="AA308" s="384">
        <f t="shared" si="115"/>
        <v>17.918806836467571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7.1853297128198379E-2</v>
      </c>
      <c r="AD308" s="230">
        <f>(INDEX(Models!$BJ308:$BT308,,AH308)*(1-AF308)+INDEX(Models!$BJ308:$BT308,,AH308+1)*AF308-ERP_i)*AE308*Ramure*Pc/MaxiM</f>
        <v>1.0844281978814218E-2</v>
      </c>
      <c r="AE308" s="304">
        <f t="shared" si="117"/>
        <v>0.6</v>
      </c>
      <c r="AF308" s="177">
        <f t="shared" si="118"/>
        <v>0.99716821873524397</v>
      </c>
      <c r="AG308" s="799">
        <f t="shared" si="124"/>
        <v>2</v>
      </c>
      <c r="AH308" s="176">
        <f t="shared" si="119"/>
        <v>8</v>
      </c>
      <c r="AI308" s="224">
        <f t="shared" si="120"/>
        <v>2.997168218735244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'2026'!Wh/'2026'!Env_an*'2027'!Env_an</f>
        <v>33.26351131983656</v>
      </c>
      <c r="C309" s="829"/>
      <c r="D309" s="391">
        <f t="shared" si="102"/>
        <v>35.368021436868418</v>
      </c>
      <c r="E309" s="383">
        <f t="shared" si="125"/>
        <v>36.294696760328399</v>
      </c>
      <c r="F309" s="383">
        <f t="shared" si="103"/>
        <v>36.330023842688874</v>
      </c>
      <c r="G309" s="110">
        <f t="shared" si="126"/>
        <v>0.9606180909114973</v>
      </c>
      <c r="H309" s="412" t="b">
        <f>Wh_hp&gt;='2026'!Maxi_hp</f>
        <v>0</v>
      </c>
      <c r="I309" s="388">
        <f>IF(H309,Wh_hp,'2026'!Maxi_hp)</f>
        <v>36.331434170598492</v>
      </c>
      <c r="J309" s="85">
        <f>IF(H309,An,'2026'!An_max)</f>
        <v>2026</v>
      </c>
      <c r="K309" s="197">
        <f t="shared" si="104"/>
        <v>46682</v>
      </c>
      <c r="L309" s="147">
        <f>IF(t&lt;Tvie,1-EXP((T0-t)*PertePVj)+'2026'!Pspv,1-EXP((T0-t)*PertePVj)+Pspv)</f>
        <v>5.9503190496205449E-2</v>
      </c>
      <c r="M309" s="832"/>
      <c r="N309" s="832"/>
      <c r="O309" s="48">
        <f>IF(t&lt;Tnet,'2026'!Resal+('2026'!Salim-'2026'!Resal)*(1-EXP(('2026'!Tnet-t)/('2026'!Tau_j))),Resal+(Salim-Resal)*(1-EXP((Tnet-t)/(Tau_j))))*Salcycl</f>
        <v>2.5531975913155355E-2</v>
      </c>
      <c r="P309" s="169">
        <f>(INDEX(Models!$BJ309:$BT309,,T309)*(1-R309)+INDEX(Models!$BJ309:$BT309,,T309+1)*R309-ERP_i)*Q309*Ramure*Pc/MaxiM</f>
        <v>1.0302747975067877E-3</v>
      </c>
      <c r="Q309" s="304">
        <f t="shared" si="105"/>
        <v>0.6</v>
      </c>
      <c r="R309" s="177">
        <f t="shared" si="106"/>
        <v>0.47226523562711109</v>
      </c>
      <c r="S309" s="799">
        <f t="shared" si="107"/>
        <v>-1</v>
      </c>
      <c r="T309" s="176">
        <f t="shared" si="108"/>
        <v>5</v>
      </c>
      <c r="U309" s="250">
        <f t="shared" si="109"/>
        <v>-0.52773476437288891</v>
      </c>
      <c r="V309" s="382">
        <f t="shared" si="110"/>
        <v>34.625190206566621</v>
      </c>
      <c r="W309" s="400">
        <f t="shared" si="111"/>
        <v>33.26351131983656</v>
      </c>
      <c r="X309" s="157">
        <f t="shared" si="112"/>
        <v>46682</v>
      </c>
      <c r="Y309" s="383">
        <f t="shared" si="113"/>
        <v>31.381087212102145</v>
      </c>
      <c r="Z309" s="383">
        <f t="shared" si="114"/>
        <v>33.366500444226688</v>
      </c>
      <c r="AA309" s="384">
        <f t="shared" si="115"/>
        <v>35.949450941532426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7.1849511735425531E-2</v>
      </c>
      <c r="AD309" s="230">
        <f>(INDEX(Models!$BJ309:$BT309,,AH309)*(1-AF309)+INDEX(Models!$BJ309:$BT309,,AH309+1)*AF309-ERP_i)*AE309*Ramure*Pc/MaxiM</f>
        <v>1.109898249378939E-2</v>
      </c>
      <c r="AE309" s="304">
        <f t="shared" si="117"/>
        <v>0.6</v>
      </c>
      <c r="AF309" s="177">
        <f t="shared" si="118"/>
        <v>0.99725280200109001</v>
      </c>
      <c r="AG309" s="799">
        <f t="shared" si="124"/>
        <v>2</v>
      </c>
      <c r="AH309" s="176">
        <f t="shared" si="119"/>
        <v>8</v>
      </c>
      <c r="AI309" s="224">
        <f t="shared" si="120"/>
        <v>2.99725280200109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'2026'!Wh/'2026'!Env_an*'2027'!Env_an</f>
        <v>17.09653725682703</v>
      </c>
      <c r="C310" s="829"/>
      <c r="D310" s="391">
        <f t="shared" si="102"/>
        <v>18.178546425227093</v>
      </c>
      <c r="E310" s="383">
        <f t="shared" si="125"/>
        <v>18.656245565536818</v>
      </c>
      <c r="F310" s="383">
        <f t="shared" si="103"/>
        <v>18.661885298205391</v>
      </c>
      <c r="G310" s="110">
        <f t="shared" si="126"/>
        <v>0.49822019591223499</v>
      </c>
      <c r="H310" s="412" t="b">
        <f>Wh_hp&gt;='2026'!Maxi_hp</f>
        <v>0</v>
      </c>
      <c r="I310" s="388">
        <f>IF(H310,Wh_hp,'2026'!Maxi_hp)</f>
        <v>37.404529448025627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5.9521214902997777E-2</v>
      </c>
      <c r="M310" s="832"/>
      <c r="N310" s="832"/>
      <c r="O310" s="48">
        <f>IF(t&lt;Tnet,'2026'!Resal+('2026'!Salim-'2026'!Resal)*(1-EXP(('2026'!Tnet-t)/('2026'!Tau_j))),Resal+(Salim-Resal)*(1-EXP((Tnet-t)/(Tau_j))))*Salcycl</f>
        <v>2.5605320139662283E-2</v>
      </c>
      <c r="P310" s="169">
        <f>(INDEX(Models!$BJ310:$BT310,,T310)*(1-R310)+INDEX(Models!$BJ310:$BT310,,T310+1)*R310-ERP_i)*Q310*Ramure*Pc/MaxiM</f>
        <v>1.0651731455598107E-3</v>
      </c>
      <c r="Q310" s="304">
        <f t="shared" si="105"/>
        <v>0.6</v>
      </c>
      <c r="R310" s="177">
        <f t="shared" si="106"/>
        <v>0.47234644030893291</v>
      </c>
      <c r="S310" s="799">
        <f t="shared" si="107"/>
        <v>-1</v>
      </c>
      <c r="T310" s="176">
        <f t="shared" si="108"/>
        <v>5</v>
      </c>
      <c r="U310" s="250">
        <f t="shared" si="109"/>
        <v>-0.52765355969106709</v>
      </c>
      <c r="V310" s="382">
        <f t="shared" si="110"/>
        <v>34.289033958508206</v>
      </c>
      <c r="W310" s="400">
        <f t="shared" si="111"/>
        <v>17.09653725682703</v>
      </c>
      <c r="X310" s="157">
        <f t="shared" si="112"/>
        <v>46683</v>
      </c>
      <c r="Y310" s="383">
        <f t="shared" si="113"/>
        <v>16.237712216107454</v>
      </c>
      <c r="Z310" s="383">
        <f t="shared" si="114"/>
        <v>17.265367888583128</v>
      </c>
      <c r="AA310" s="384">
        <f t="shared" si="115"/>
        <v>18.601814487344271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7.1844958978082171E-2</v>
      </c>
      <c r="AD310" s="230">
        <f>(INDEX(Models!$BJ310:$BT310,,AH310)*(1-AF310)+INDEX(Models!$BJ310:$BT310,,AH310+1)*AF310-ERP_i)*AE310*Ramure*Pc/MaxiM</f>
        <v>1.1345540351194647E-2</v>
      </c>
      <c r="AE310" s="304">
        <f t="shared" si="117"/>
        <v>0.6</v>
      </c>
      <c r="AF310" s="177">
        <f t="shared" si="118"/>
        <v>0.9973340066829115</v>
      </c>
      <c r="AG310" s="799">
        <f t="shared" si="124"/>
        <v>2</v>
      </c>
      <c r="AH310" s="176">
        <f t="shared" si="119"/>
        <v>8</v>
      </c>
      <c r="AI310" s="224">
        <f t="shared" si="120"/>
        <v>2.9973340066829115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'2026'!Wh/'2026'!Env_an*'2027'!Env_an</f>
        <v>25.296227340064327</v>
      </c>
      <c r="C311" s="829"/>
      <c r="D311" s="391">
        <f t="shared" si="102"/>
        <v>26.897695670160555</v>
      </c>
      <c r="E311" s="383">
        <f t="shared" si="125"/>
        <v>27.606583973650313</v>
      </c>
      <c r="F311" s="383">
        <f t="shared" si="103"/>
        <v>27.625877134501756</v>
      </c>
      <c r="G311" s="110">
        <f t="shared" si="126"/>
        <v>0.74470083638191753</v>
      </c>
      <c r="H311" s="412" t="b">
        <f>Wh_hp&gt;='2026'!Maxi_hp</f>
        <v>0</v>
      </c>
      <c r="I311" s="388">
        <f>IF(H311,Wh_hp,'2026'!Maxi_hp)</f>
        <v>38.420312161688102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5.9539238964356533E-2</v>
      </c>
      <c r="M311" s="832"/>
      <c r="N311" s="832"/>
      <c r="O311" s="48">
        <f>IF(t&lt;Tnet,'2026'!Resal+('2026'!Salim-'2026'!Resal)*(1-EXP(('2026'!Tnet-t)/('2026'!Tau_j))),Resal+(Salim-Resal)*(1-EXP((Tnet-t)/(Tau_j))))*Salcycl</f>
        <v>2.5678233285449933E-2</v>
      </c>
      <c r="P311" s="169">
        <f>(INDEX(Models!$BJ311:$BT311,,T311)*(1-R311)+INDEX(Models!$BJ311:$BT311,,T311+1)*R311-ERP_i)*Q311*Ramure*Pc/MaxiM</f>
        <v>1.0985659408883387E-3</v>
      </c>
      <c r="Q311" s="304">
        <f t="shared" si="105"/>
        <v>0.6</v>
      </c>
      <c r="R311" s="177">
        <f t="shared" si="106"/>
        <v>0.4724244003213256</v>
      </c>
      <c r="S311" s="799">
        <f t="shared" si="107"/>
        <v>-1</v>
      </c>
      <c r="T311" s="176">
        <f t="shared" si="108"/>
        <v>5</v>
      </c>
      <c r="U311" s="250">
        <f t="shared" si="109"/>
        <v>-0.5275755996786744</v>
      </c>
      <c r="V311" s="382">
        <f t="shared" si="110"/>
        <v>33.954704564483507</v>
      </c>
      <c r="W311" s="400">
        <f t="shared" si="111"/>
        <v>25.296227340064327</v>
      </c>
      <c r="X311" s="157">
        <f t="shared" si="112"/>
        <v>46684</v>
      </c>
      <c r="Y311" s="383">
        <f t="shared" si="113"/>
        <v>23.936938590452471</v>
      </c>
      <c r="Z311" s="383">
        <f t="shared" si="114"/>
        <v>25.452352274743401</v>
      </c>
      <c r="AA311" s="384">
        <f t="shared" si="115"/>
        <v>27.422366589434191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7.1839689994146333E-2</v>
      </c>
      <c r="AD311" s="230">
        <f>(INDEX(Models!$BJ311:$BT311,,AH311)*(1-AF311)+INDEX(Models!$BJ311:$BT311,,AH311+1)*AF311-ERP_i)*AE311*Ramure*Pc/MaxiM</f>
        <v>1.1588031382950113E-2</v>
      </c>
      <c r="AE311" s="304">
        <f t="shared" si="117"/>
        <v>0.6</v>
      </c>
      <c r="AF311" s="177">
        <f t="shared" si="118"/>
        <v>0.9974119666953043</v>
      </c>
      <c r="AG311" s="799">
        <f t="shared" si="124"/>
        <v>2</v>
      </c>
      <c r="AH311" s="176">
        <f t="shared" si="119"/>
        <v>8</v>
      </c>
      <c r="AI311" s="224">
        <f t="shared" si="120"/>
        <v>2.9974119666953043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'2026'!Wh/'2026'!Env_an*'2027'!Env_an</f>
        <v>22.366754188325661</v>
      </c>
      <c r="C312" s="829"/>
      <c r="D312" s="391">
        <f t="shared" si="102"/>
        <v>23.783217521644687</v>
      </c>
      <c r="E312" s="383">
        <f t="shared" si="125"/>
        <v>24.411840307530003</v>
      </c>
      <c r="F312" s="383">
        <f t="shared" si="103"/>
        <v>24.426247069171243</v>
      </c>
      <c r="G312" s="110">
        <f t="shared" si="126"/>
        <v>0.66486789611814323</v>
      </c>
      <c r="H312" s="412" t="b">
        <f>Wh_hp&gt;='2026'!Maxi_hp</f>
        <v>0</v>
      </c>
      <c r="I312" s="388">
        <f>IF(H312,Wh_hp,'2026'!Maxi_hp)</f>
        <v>35.228620832517834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5.9557262680288159E-2</v>
      </c>
      <c r="M312" s="832"/>
      <c r="N312" s="832"/>
      <c r="O312" s="48">
        <f>IF(t&lt;Tnet,'2026'!Resal+('2026'!Salim-'2026'!Resal)*(1-EXP(('2026'!Tnet-t)/('2026'!Tau_j))),Resal+(Salim-Resal)*(1-EXP((Tnet-t)/(Tau_j))))*Salcycl</f>
        <v>2.5750733167438197E-2</v>
      </c>
      <c r="P312" s="169">
        <f>(INDEX(Models!$BJ312:$BT312,,T312)*(1-R312)+INDEX(Models!$BJ312:$BT312,,T312+1)*R312-ERP_i)*Q312*Ramure*Pc/MaxiM</f>
        <v>1.1304305911739719E-3</v>
      </c>
      <c r="Q312" s="304">
        <f t="shared" si="105"/>
        <v>0.6</v>
      </c>
      <c r="R312" s="177">
        <f t="shared" si="106"/>
        <v>0.47249924435273383</v>
      </c>
      <c r="S312" s="799">
        <f t="shared" si="107"/>
        <v>-1</v>
      </c>
      <c r="T312" s="176">
        <f t="shared" si="108"/>
        <v>5</v>
      </c>
      <c r="U312" s="250">
        <f t="shared" si="109"/>
        <v>-0.52750075564726617</v>
      </c>
      <c r="V312" s="382">
        <f t="shared" si="110"/>
        <v>33.622701861057045</v>
      </c>
      <c r="W312" s="400">
        <f t="shared" si="111"/>
        <v>22.366754188325661</v>
      </c>
      <c r="X312" s="157">
        <f t="shared" si="112"/>
        <v>46685</v>
      </c>
      <c r="Y312" s="383">
        <f t="shared" si="113"/>
        <v>21.189796424034512</v>
      </c>
      <c r="Z312" s="383">
        <f t="shared" si="114"/>
        <v>22.531724243440941</v>
      </c>
      <c r="AA312" s="384">
        <f t="shared" si="115"/>
        <v>24.275526573929223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7.1833759205085432E-2</v>
      </c>
      <c r="AD312" s="230">
        <f>(INDEX(Models!$BJ312:$BT312,,AH312)*(1-AF312)+INDEX(Models!$BJ312:$BT312,,AH312+1)*AF312-ERP_i)*AE312*Ramure*Pc/MaxiM</f>
        <v>1.1826325914268297E-2</v>
      </c>
      <c r="AE312" s="304">
        <f t="shared" si="117"/>
        <v>0.6</v>
      </c>
      <c r="AF312" s="177">
        <f t="shared" si="118"/>
        <v>0.99748681072671275</v>
      </c>
      <c r="AG312" s="799">
        <f t="shared" si="124"/>
        <v>2</v>
      </c>
      <c r="AH312" s="176">
        <f t="shared" si="119"/>
        <v>8</v>
      </c>
      <c r="AI312" s="224">
        <f t="shared" si="120"/>
        <v>2.9974868107267127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'2026'!Wh/'2026'!Env_an*'2027'!Env_an</f>
        <v>12.468935626124333</v>
      </c>
      <c r="C313" s="829"/>
      <c r="D313" s="391">
        <f t="shared" si="102"/>
        <v>13.258834483158717</v>
      </c>
      <c r="E313" s="383">
        <f t="shared" si="125"/>
        <v>13.610290831444308</v>
      </c>
      <c r="F313" s="383">
        <f t="shared" si="103"/>
        <v>13.611972739176828</v>
      </c>
      <c r="G313" s="110">
        <f t="shared" si="126"/>
        <v>0.37412684000239005</v>
      </c>
      <c r="H313" s="412" t="b">
        <f>Wh_hp&gt;='2026'!Maxi_hp</f>
        <v>0</v>
      </c>
      <c r="I313" s="388">
        <f>IF(H313,Wh_hp,'2026'!Maxi_hp)</f>
        <v>35.899581400046522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5.9575286050799425E-2</v>
      </c>
      <c r="M313" s="832"/>
      <c r="N313" s="832"/>
      <c r="O313" s="48">
        <f>IF(t&lt;Tnet,'2026'!Resal+('2026'!Salim-'2026'!Resal)*(1-EXP(('2026'!Tnet-t)/('2026'!Tau_j))),Resal+(Salim-Resal)*(1-EXP((Tnet-t)/(Tau_j))))*Salcycl</f>
        <v>2.582283895606477E-2</v>
      </c>
      <c r="P313" s="169">
        <f>(INDEX(Models!$BJ313:$BT313,,T313)*(1-R313)+INDEX(Models!$BJ313:$BT313,,T313+1)*R313-ERP_i)*Q313*Ramure*Pc/MaxiM</f>
        <v>1.1607362039143898E-3</v>
      </c>
      <c r="Q313" s="304">
        <f t="shared" si="105"/>
        <v>0.6</v>
      </c>
      <c r="R313" s="177">
        <f t="shared" si="106"/>
        <v>0.47257109606296333</v>
      </c>
      <c r="S313" s="799">
        <f t="shared" si="107"/>
        <v>-1</v>
      </c>
      <c r="T313" s="176">
        <f t="shared" si="108"/>
        <v>5</v>
      </c>
      <c r="U313" s="250">
        <f t="shared" si="109"/>
        <v>-0.52742890393703667</v>
      </c>
      <c r="V313" s="382">
        <f t="shared" si="110"/>
        <v>33.293525682148186</v>
      </c>
      <c r="W313" s="400">
        <f t="shared" si="111"/>
        <v>12.468935626124333</v>
      </c>
      <c r="X313" s="157">
        <f t="shared" si="112"/>
        <v>46686</v>
      </c>
      <c r="Y313" s="383">
        <f t="shared" si="113"/>
        <v>11.866318992467511</v>
      </c>
      <c r="Z313" s="383">
        <f t="shared" si="114"/>
        <v>12.618042482780286</v>
      </c>
      <c r="AA313" s="384">
        <f t="shared" si="115"/>
        <v>13.594497502043952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7.1827224148362595E-2</v>
      </c>
      <c r="AD313" s="230">
        <f>(INDEX(Models!$BJ313:$BT313,,AH313)*(1-AF313)+INDEX(Models!$BJ313:$BT313,,AH313+1)*AF313-ERP_i)*AE313*Ramure*Pc/MaxiM</f>
        <v>1.2060198083364816E-2</v>
      </c>
      <c r="AE313" s="304">
        <f t="shared" si="117"/>
        <v>0.6</v>
      </c>
      <c r="AF313" s="177">
        <f t="shared" si="118"/>
        <v>0.99755866243694191</v>
      </c>
      <c r="AG313" s="799">
        <f t="shared" si="124"/>
        <v>2</v>
      </c>
      <c r="AH313" s="176">
        <f t="shared" si="119"/>
        <v>8</v>
      </c>
      <c r="AI313" s="224">
        <f t="shared" si="120"/>
        <v>2.9975586624369419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'2026'!Wh/'2026'!Env_an*'2027'!Env_an</f>
        <v>14.425409136004644</v>
      </c>
      <c r="C314" s="829"/>
      <c r="D314" s="391">
        <f t="shared" si="102"/>
        <v>15.339543279758383</v>
      </c>
      <c r="E314" s="383">
        <f t="shared" si="125"/>
        <v>15.747313201425477</v>
      </c>
      <c r="F314" s="383">
        <f t="shared" si="103"/>
        <v>15.750994967037617</v>
      </c>
      <c r="G314" s="110">
        <f t="shared" si="126"/>
        <v>0.43714393690107334</v>
      </c>
      <c r="H314" s="412" t="b">
        <f>Wh_hp&gt;='2026'!Maxi_hp</f>
        <v>0</v>
      </c>
      <c r="I314" s="388">
        <f>IF(H314,Wh_hp,'2026'!Maxi_hp)</f>
        <v>30.879725572368368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5.9593309075896883E-2</v>
      </c>
      <c r="M314" s="832"/>
      <c r="N314" s="832"/>
      <c r="O314" s="48">
        <f>IF(t&lt;Tnet,'2026'!Resal+('2026'!Salim-'2026'!Resal)*(1-EXP(('2026'!Tnet-t)/('2026'!Tau_j))),Resal+(Salim-Resal)*(1-EXP((Tnet-t)/(Tau_j))))*Salcycl</f>
        <v>2.5894571121515685E-2</v>
      </c>
      <c r="P314" s="169">
        <f>(INDEX(Models!$BJ314:$BT314,,T314)*(1-R314)+INDEX(Models!$BJ314:$BT314,,T314+1)*R314-ERP_i)*Q314*Ramure*Pc/MaxiM</f>
        <v>1.1894522855996291E-3</v>
      </c>
      <c r="Q314" s="304">
        <f t="shared" si="105"/>
        <v>0.6</v>
      </c>
      <c r="R314" s="177">
        <f t="shared" si="106"/>
        <v>0.47264007427374066</v>
      </c>
      <c r="S314" s="799">
        <f t="shared" si="107"/>
        <v>-1</v>
      </c>
      <c r="T314" s="176">
        <f t="shared" si="108"/>
        <v>5</v>
      </c>
      <c r="U314" s="250">
        <f t="shared" si="109"/>
        <v>-0.52735992572625934</v>
      </c>
      <c r="V314" s="382">
        <f t="shared" si="110"/>
        <v>32.967675570204534</v>
      </c>
      <c r="W314" s="400">
        <f t="shared" si="111"/>
        <v>14.425409136004644</v>
      </c>
      <c r="X314" s="157">
        <f t="shared" si="112"/>
        <v>46687</v>
      </c>
      <c r="Y314" s="383">
        <f t="shared" si="113"/>
        <v>13.715312731126135</v>
      </c>
      <c r="Z314" s="383">
        <f t="shared" si="114"/>
        <v>14.584448264238317</v>
      </c>
      <c r="AA314" s="384">
        <f t="shared" si="115"/>
        <v>15.712954973312355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7.1820145287169054E-2</v>
      </c>
      <c r="AD314" s="230">
        <f>(INDEX(Models!$BJ314:$BT314,,AH314)*(1-AF314)+INDEX(Models!$BJ314:$BT314,,AH314+1)*AF314-ERP_i)*AE314*Ramure*Pc/MaxiM</f>
        <v>1.2289418243119474E-2</v>
      </c>
      <c r="AE314" s="304">
        <f t="shared" si="117"/>
        <v>0.6</v>
      </c>
      <c r="AF314" s="177">
        <f t="shared" si="118"/>
        <v>0.99762764064771936</v>
      </c>
      <c r="AG314" s="799">
        <f t="shared" si="124"/>
        <v>2</v>
      </c>
      <c r="AH314" s="176">
        <f t="shared" si="119"/>
        <v>8</v>
      </c>
      <c r="AI314" s="224">
        <f t="shared" si="120"/>
        <v>2.9976276406477194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'2026'!Wh/'2026'!Env_an*'2027'!Env_an</f>
        <v>17.353756593115321</v>
      </c>
      <c r="C315" s="829"/>
      <c r="D315" s="391">
        <f t="shared" si="102"/>
        <v>18.453812959605944</v>
      </c>
      <c r="E315" s="383">
        <f t="shared" si="125"/>
        <v>18.9457575796004</v>
      </c>
      <c r="F315" s="383">
        <f t="shared" si="103"/>
        <v>18.953385713793477</v>
      </c>
      <c r="G315" s="110">
        <f t="shared" si="126"/>
        <v>0.53114651191785511</v>
      </c>
      <c r="H315" s="412" t="b">
        <f>Wh_hp&gt;='2026'!Maxi_hp</f>
        <v>0</v>
      </c>
      <c r="I315" s="388">
        <f>IF(H315,Wh_hp,'2026'!Maxi_hp)</f>
        <v>35.461193234664123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5.9611331755587194E-2</v>
      </c>
      <c r="M315" s="832"/>
      <c r="N315" s="832"/>
      <c r="O315" s="48">
        <f>IF(t&lt;Tnet,'2026'!Resal+('2026'!Salim-'2026'!Resal)*(1-EXP(('2026'!Tnet-t)/('2026'!Tau_j))),Resal+(Salim-Resal)*(1-EXP((Tnet-t)/(Tau_j))))*Salcycl</f>
        <v>2.5965951370778121E-2</v>
      </c>
      <c r="P315" s="169">
        <f>(INDEX(Models!$BJ315:$BT315,,T315)*(1-R315)+INDEX(Models!$BJ315:$BT315,,T315+1)*R315-ERP_i)*Q315*Ramure*Pc/MaxiM</f>
        <v>1.2165489104158887E-3</v>
      </c>
      <c r="Q315" s="304">
        <f t="shared" si="105"/>
        <v>0.6</v>
      </c>
      <c r="R315" s="177">
        <f t="shared" si="106"/>
        <v>0.47270629315252277</v>
      </c>
      <c r="S315" s="799">
        <f t="shared" si="107"/>
        <v>-1</v>
      </c>
      <c r="T315" s="176">
        <f t="shared" si="108"/>
        <v>5</v>
      </c>
      <c r="U315" s="250">
        <f t="shared" si="109"/>
        <v>-0.52729370684747723</v>
      </c>
      <c r="V315" s="382">
        <f t="shared" si="110"/>
        <v>32.645650788781857</v>
      </c>
      <c r="W315" s="400">
        <f t="shared" si="111"/>
        <v>17.353756593115321</v>
      </c>
      <c r="X315" s="157">
        <f t="shared" si="112"/>
        <v>46688</v>
      </c>
      <c r="Y315" s="383">
        <f t="shared" si="113"/>
        <v>16.475105220947807</v>
      </c>
      <c r="Z315" s="383">
        <f t="shared" si="114"/>
        <v>17.519463789057298</v>
      </c>
      <c r="AA315" s="384">
        <f t="shared" si="115"/>
        <v>18.874920647491475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7.1812585798304809E-2</v>
      </c>
      <c r="AD315" s="230">
        <f>(INDEX(Models!$BJ315:$BT315,,AH315)*(1-AF315)+INDEX(Models!$BJ315:$BT315,,AH315+1)*AF315-ERP_i)*AE315*Ramure*Pc/MaxiM</f>
        <v>1.2513753494538454E-2</v>
      </c>
      <c r="AE315" s="304">
        <f t="shared" si="117"/>
        <v>0.6</v>
      </c>
      <c r="AF315" s="177">
        <f t="shared" si="118"/>
        <v>0.99769385952650147</v>
      </c>
      <c r="AG315" s="799">
        <f t="shared" si="124"/>
        <v>2</v>
      </c>
      <c r="AH315" s="176">
        <f t="shared" si="119"/>
        <v>8</v>
      </c>
      <c r="AI315" s="224">
        <f t="shared" si="120"/>
        <v>2.9976938595265015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'2026'!Wh/'2026'!Env_an*'2027'!Env_an</f>
        <v>26.952521015503624</v>
      </c>
      <c r="C316" s="829"/>
      <c r="D316" s="391">
        <f t="shared" si="102"/>
        <v>28.661593311877628</v>
      </c>
      <c r="E316" s="383">
        <f t="shared" si="125"/>
        <v>29.427805150377321</v>
      </c>
      <c r="F316" s="383">
        <f t="shared" si="103"/>
        <v>29.455698896423826</v>
      </c>
      <c r="G316" s="110">
        <f t="shared" si="126"/>
        <v>0.83347572484037513</v>
      </c>
      <c r="H316" s="412" t="b">
        <f>Wh_hp&gt;='2026'!Maxi_hp</f>
        <v>0</v>
      </c>
      <c r="I316" s="388">
        <f>IF(H316,Wh_hp,'2026'!Maxi_hp)</f>
        <v>29.777598995663187</v>
      </c>
      <c r="J316" s="85">
        <f>IF(H316,An,'2026'!An_max)</f>
        <v>2018</v>
      </c>
      <c r="K316" s="197">
        <f t="shared" si="104"/>
        <v>46689</v>
      </c>
      <c r="L316" s="147">
        <f>IF(t&lt;Tvie,1-EXP((T0-t)*PertePVj)+'2026'!Pspv,1-EXP((T0-t)*PertePVj)+Pspv)</f>
        <v>5.9629354089877018E-2</v>
      </c>
      <c r="M316" s="832"/>
      <c r="N316" s="832"/>
      <c r="O316" s="48">
        <f>IF(t&lt;Tnet,'2026'!Resal+('2026'!Salim-'2026'!Resal)*(1-EXP(('2026'!Tnet-t)/('2026'!Tau_j))),Resal+(Salim-Resal)*(1-EXP((Tnet-t)/(Tau_j))))*Salcycl</f>
        <v>2.6037002575772111E-2</v>
      </c>
      <c r="P316" s="169">
        <f>(INDEX(Models!$BJ316:$BT316,,T316)*(1-R316)+INDEX(Models!$BJ316:$BT316,,T316+1)*R316-ERP_i)*Q316*Ramure*Pc/MaxiM</f>
        <v>1.2419968842703889E-3</v>
      </c>
      <c r="Q316" s="304">
        <f t="shared" si="105"/>
        <v>0.6</v>
      </c>
      <c r="R316" s="177">
        <f t="shared" si="106"/>
        <v>0.47276986238975893</v>
      </c>
      <c r="S316" s="799">
        <f t="shared" si="107"/>
        <v>-1</v>
      </c>
      <c r="T316" s="176">
        <f t="shared" si="108"/>
        <v>5</v>
      </c>
      <c r="U316" s="250">
        <f t="shared" si="109"/>
        <v>-0.52723013761024107</v>
      </c>
      <c r="V316" s="382">
        <f t="shared" si="110"/>
        <v>32.327950332398267</v>
      </c>
      <c r="W316" s="400">
        <f t="shared" si="111"/>
        <v>26.952521015503624</v>
      </c>
      <c r="X316" s="157">
        <f t="shared" si="112"/>
        <v>46689</v>
      </c>
      <c r="Y316" s="383">
        <f t="shared" si="113"/>
        <v>25.460733271689996</v>
      </c>
      <c r="Z316" s="383">
        <f t="shared" si="114"/>
        <v>27.075210591083717</v>
      </c>
      <c r="AA316" s="384">
        <f t="shared" si="115"/>
        <v>29.169731849402314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7.1804611339322644E-2</v>
      </c>
      <c r="AD316" s="230">
        <f>(INDEX(Models!$BJ316:$BT316,,AH316)*(1-AF316)+INDEX(Models!$BJ316:$BT316,,AH316+1)*AF316-ERP_i)*AE316*Ramure*Pc/MaxiM</f>
        <v>1.2732968200563027E-2</v>
      </c>
      <c r="AE316" s="304">
        <f t="shared" si="117"/>
        <v>0.6</v>
      </c>
      <c r="AF316" s="177">
        <f t="shared" si="118"/>
        <v>0.99775742876373741</v>
      </c>
      <c r="AG316" s="799">
        <f t="shared" si="124"/>
        <v>2</v>
      </c>
      <c r="AH316" s="176">
        <f t="shared" si="119"/>
        <v>8</v>
      </c>
      <c r="AI316" s="224">
        <f t="shared" si="120"/>
        <v>2.9977574287637374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'2026'!Wh/'2026'!Env_an*'2027'!Env_an</f>
        <v>23.173204905619301</v>
      </c>
      <c r="C317" s="829"/>
      <c r="D317" s="391">
        <f t="shared" si="102"/>
        <v>24.64310123258667</v>
      </c>
      <c r="E317" s="383">
        <f t="shared" si="125"/>
        <v>25.303724513170796</v>
      </c>
      <c r="F317" s="383">
        <f t="shared" si="103"/>
        <v>25.323134571045575</v>
      </c>
      <c r="G317" s="110">
        <f t="shared" si="126"/>
        <v>0.72350315881983607</v>
      </c>
      <c r="H317" s="412" t="b">
        <f>Wh_hp&gt;='2026'!Maxi_hp</f>
        <v>0</v>
      </c>
      <c r="I317" s="388">
        <f>IF(H317,Wh_hp,'2026'!Maxi_hp)</f>
        <v>28.491037803008169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5.9647376078772907E-2</v>
      </c>
      <c r="M317" s="832"/>
      <c r="N317" s="832"/>
      <c r="O317" s="48">
        <f>IF(t&lt;Tnet,'2026'!Resal+('2026'!Salim-'2026'!Resal)*(1-EXP(('2026'!Tnet-t)/('2026'!Tau_j))),Resal+(Salim-Resal)*(1-EXP((Tnet-t)/(Tau_j))))*Salcycl</f>
        <v>2.6107748692895515E-2</v>
      </c>
      <c r="P317" s="169">
        <f>(INDEX(Models!$BJ317:$BT317,,T317)*(1-R317)+INDEX(Models!$BJ317:$BT317,,T317+1)*R317-ERP_i)*Q317*Ramure*Pc/MaxiM</f>
        <v>1.2658433265155188E-3</v>
      </c>
      <c r="Q317" s="304">
        <f t="shared" si="105"/>
        <v>0.6</v>
      </c>
      <c r="R317" s="177">
        <f t="shared" si="106"/>
        <v>0.4728308873698015</v>
      </c>
      <c r="S317" s="799">
        <f t="shared" si="107"/>
        <v>-1</v>
      </c>
      <c r="T317" s="176">
        <f t="shared" si="108"/>
        <v>5</v>
      </c>
      <c r="U317" s="250">
        <f t="shared" si="109"/>
        <v>-0.5271691126301985</v>
      </c>
      <c r="V317" s="382">
        <f t="shared" si="110"/>
        <v>32.013162966274983</v>
      </c>
      <c r="W317" s="400">
        <f t="shared" si="111"/>
        <v>23.173204905619301</v>
      </c>
      <c r="X317" s="157">
        <f t="shared" si="112"/>
        <v>46690</v>
      </c>
      <c r="Y317" s="383">
        <f t="shared" si="113"/>
        <v>21.929725626378165</v>
      </c>
      <c r="Z317" s="383">
        <f t="shared" si="114"/>
        <v>23.320746992688999</v>
      </c>
      <c r="AA317" s="384">
        <f t="shared" si="115"/>
        <v>25.124600059581216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7.1796289796235785E-2</v>
      </c>
      <c r="AD317" s="230">
        <f>(INDEX(Models!$BJ317:$BT317,,AH317)*(1-AF317)+INDEX(Models!$BJ317:$BT317,,AH317+1)*AF317-ERP_i)*AE317*Ramure*Pc/MaxiM</f>
        <v>1.2947595934102437E-2</v>
      </c>
      <c r="AE317" s="304">
        <f t="shared" si="117"/>
        <v>0.6</v>
      </c>
      <c r="AF317" s="177">
        <f t="shared" si="118"/>
        <v>0.99781845374378042</v>
      </c>
      <c r="AG317" s="799">
        <f t="shared" si="124"/>
        <v>2</v>
      </c>
      <c r="AH317" s="176">
        <f t="shared" si="119"/>
        <v>8</v>
      </c>
      <c r="AI317" s="224">
        <f t="shared" si="120"/>
        <v>2.9978184537437804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'2026'!Wh/'2026'!Env_an*'2027'!Env_an</f>
        <v>22.041644118850403</v>
      </c>
      <c r="C318" s="829"/>
      <c r="D318" s="391">
        <f t="shared" si="102"/>
        <v>23.440213797790907</v>
      </c>
      <c r="E318" s="383">
        <f t="shared" si="125"/>
        <v>24.07033211929371</v>
      </c>
      <c r="F318" s="383">
        <f t="shared" si="103"/>
        <v>24.087865500504396</v>
      </c>
      <c r="G318" s="110">
        <f t="shared" si="126"/>
        <v>0.69493577633330095</v>
      </c>
      <c r="H318" s="412" t="b">
        <f>Wh_hp&gt;='2026'!Maxi_hp</f>
        <v>0</v>
      </c>
      <c r="I318" s="388">
        <f>IF(H318,Wh_hp,'2026'!Maxi_hp)</f>
        <v>34.120858369867321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5.966539772228141E-2</v>
      </c>
      <c r="M318" s="832"/>
      <c r="N318" s="832"/>
      <c r="O318" s="48">
        <f>IF(t&lt;Tnet,'2026'!Resal+('2026'!Salim-'2026'!Resal)*(1-EXP(('2026'!Tnet-t)/('2026'!Tau_j))),Resal+(Salim-Resal)*(1-EXP((Tnet-t)/(Tau_j))))*Salcycl</f>
        <v>2.6178214674392689E-2</v>
      </c>
      <c r="P318" s="169">
        <f>(INDEX(Models!$BJ318:$BT318,,T318)*(1-R318)+INDEX(Models!$BJ318:$BT318,,T318+1)*R318-ERP_i)*Q318*Ramure*Pc/MaxiM</f>
        <v>1.2888722794474974E-3</v>
      </c>
      <c r="Q318" s="304">
        <f t="shared" si="105"/>
        <v>0.6</v>
      </c>
      <c r="R318" s="177">
        <f t="shared" si="106"/>
        <v>0.47288946933566245</v>
      </c>
      <c r="S318" s="799">
        <f t="shared" si="107"/>
        <v>-1</v>
      </c>
      <c r="T318" s="176">
        <f t="shared" si="108"/>
        <v>5</v>
      </c>
      <c r="U318" s="250">
        <f t="shared" si="109"/>
        <v>-0.52711053066433755</v>
      </c>
      <c r="V318" s="382">
        <f t="shared" si="110"/>
        <v>31.699720966627059</v>
      </c>
      <c r="W318" s="400">
        <f t="shared" si="111"/>
        <v>22.041644118850403</v>
      </c>
      <c r="X318" s="157">
        <f t="shared" si="112"/>
        <v>46691</v>
      </c>
      <c r="Y318" s="383">
        <f t="shared" si="113"/>
        <v>20.868345431090223</v>
      </c>
      <c r="Z318" s="383">
        <f t="shared" si="114"/>
        <v>22.192467851913591</v>
      </c>
      <c r="AA318" s="384">
        <f t="shared" si="115"/>
        <v>23.90882736314882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7.178769101326532E-2</v>
      </c>
      <c r="AD318" s="230">
        <f>(INDEX(Models!$BJ318:$BT318,,AH318)*(1-AF318)+INDEX(Models!$BJ318:$BT318,,AH318+1)*AF318-ERP_i)*AE318*Ramure*Pc/MaxiM</f>
        <v>1.3161026354737313E-2</v>
      </c>
      <c r="AE318" s="304">
        <f t="shared" si="117"/>
        <v>0.6</v>
      </c>
      <c r="AF318" s="177">
        <f t="shared" si="118"/>
        <v>0.99787703570964137</v>
      </c>
      <c r="AG318" s="799">
        <f t="shared" si="124"/>
        <v>2</v>
      </c>
      <c r="AH318" s="176">
        <f t="shared" si="119"/>
        <v>8</v>
      </c>
      <c r="AI318" s="224">
        <f t="shared" si="120"/>
        <v>2.9978770357096414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'2026'!Wh/'2026'!Env_an*'2027'!Env_an</f>
        <v>19.540118250583401</v>
      </c>
      <c r="C319" s="829"/>
      <c r="D319" s="391">
        <f t="shared" si="102"/>
        <v>20.780361258999765</v>
      </c>
      <c r="E319" s="383">
        <f t="shared" si="125"/>
        <v>21.34051622795025</v>
      </c>
      <c r="F319" s="383">
        <f t="shared" si="103"/>
        <v>21.353421379071431</v>
      </c>
      <c r="G319" s="110">
        <f t="shared" si="126"/>
        <v>0.62209596782527843</v>
      </c>
      <c r="H319" s="412" t="b">
        <f>Wh_hp&gt;='2026'!Maxi_hp</f>
        <v>0</v>
      </c>
      <c r="I319" s="388">
        <f>IF(H319,Wh_hp,'2026'!Maxi_hp)</f>
        <v>32.848992554762482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5.9683419020409301E-2</v>
      </c>
      <c r="M319" s="832"/>
      <c r="N319" s="832"/>
      <c r="O319" s="48">
        <f>IF(t&lt;Tnet,'2026'!Resal+('2026'!Salim-'2026'!Resal)*(1-EXP(('2026'!Tnet-t)/('2026'!Tau_j))),Resal+(Salim-Resal)*(1-EXP((Tnet-t)/(Tau_j))))*Salcycl</f>
        <v>2.6248426372031057E-2</v>
      </c>
      <c r="P319" s="169">
        <f>(INDEX(Models!$BJ319:$BT319,,T319)*(1-R319)+INDEX(Models!$BJ319:$BT319,,T319+1)*R319-ERP_i)*Q319*Ramure*Pc/MaxiM</f>
        <v>1.3116402606909185E-3</v>
      </c>
      <c r="Q319" s="304">
        <f t="shared" si="105"/>
        <v>0.6</v>
      </c>
      <c r="R319" s="177">
        <f t="shared" si="106"/>
        <v>0.47294570554780413</v>
      </c>
      <c r="S319" s="799">
        <f t="shared" si="107"/>
        <v>-1</v>
      </c>
      <c r="T319" s="176">
        <f t="shared" si="108"/>
        <v>5</v>
      </c>
      <c r="U319" s="250">
        <f t="shared" si="109"/>
        <v>-0.52705429445219587</v>
      </c>
      <c r="V319" s="382">
        <f t="shared" si="110"/>
        <v>31.387905661888663</v>
      </c>
      <c r="W319" s="400">
        <f t="shared" si="111"/>
        <v>19.540118250583401</v>
      </c>
      <c r="X319" s="157">
        <f t="shared" si="112"/>
        <v>46692</v>
      </c>
      <c r="Y319" s="383">
        <f t="shared" si="113"/>
        <v>18.522851933125583</v>
      </c>
      <c r="Z319" s="383">
        <f t="shared" si="114"/>
        <v>19.698527397899429</v>
      </c>
      <c r="AA319" s="384">
        <f t="shared" si="115"/>
        <v>21.221804925074533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7.1778886506268971E-2</v>
      </c>
      <c r="AD319" s="230">
        <f>(INDEX(Models!$BJ319:$BT319,,AH319)*(1-AF319)+INDEX(Models!$BJ319:$BT319,,AH319+1)*AF319-ERP_i)*AE319*Ramure*Pc/MaxiM</f>
        <v>1.3377095580723898E-2</v>
      </c>
      <c r="AE319" s="304">
        <f t="shared" si="117"/>
        <v>0.6</v>
      </c>
      <c r="AF319" s="177">
        <f t="shared" si="118"/>
        <v>0.99793327192178261</v>
      </c>
      <c r="AG319" s="799">
        <f t="shared" si="124"/>
        <v>2</v>
      </c>
      <c r="AH319" s="176">
        <f t="shared" si="119"/>
        <v>8</v>
      </c>
      <c r="AI319" s="224">
        <f t="shared" si="120"/>
        <v>2.9979332719217826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'2026'!Wh/'2026'!Env_an*'2027'!Env_an</f>
        <v>28.989337146315346</v>
      </c>
      <c r="C320" s="829"/>
      <c r="D320" s="391">
        <f t="shared" si="102"/>
        <v>30.82992825756105</v>
      </c>
      <c r="E320" s="383">
        <f t="shared" si="125"/>
        <v>31.663254792864574</v>
      </c>
      <c r="F320" s="383">
        <f t="shared" si="103"/>
        <v>31.701488439347191</v>
      </c>
      <c r="G320" s="110">
        <f t="shared" si="126"/>
        <v>0.93267276179411596</v>
      </c>
      <c r="H320" s="412" t="b">
        <f>Wh_hp&gt;='2026'!Maxi_hp</f>
        <v>0</v>
      </c>
      <c r="I320" s="388">
        <f>IF(H320,Wh_hp,'2026'!Maxi_hp)</f>
        <v>31.704152209335916</v>
      </c>
      <c r="J320" s="85">
        <f>IF(H320,An,'2026'!An_max)</f>
        <v>2026</v>
      </c>
      <c r="K320" s="197">
        <f t="shared" si="104"/>
        <v>46693</v>
      </c>
      <c r="L320" s="147">
        <f>IF(t&lt;Tvie,1-EXP((T0-t)*PertePVj)+'2026'!Pspv,1-EXP((T0-t)*PertePVj)+Pspv)</f>
        <v>5.9701439973163017E-2</v>
      </c>
      <c r="M320" s="832"/>
      <c r="N320" s="832"/>
      <c r="O320" s="48">
        <f>IF(t&lt;Tnet,'2026'!Resal+('2026'!Salim-'2026'!Resal)*(1-EXP(('2026'!Tnet-t)/('2026'!Tau_j))),Resal+(Salim-Resal)*(1-EXP((Tnet-t)/(Tau_j))))*Salcycl</f>
        <v>2.6318410433639843E-2</v>
      </c>
      <c r="P320" s="169">
        <f>(INDEX(Models!$BJ320:$BT320,,T320)*(1-R320)+INDEX(Models!$BJ320:$BT320,,T320+1)*R320-ERP_i)*Q320*Ramure*Pc/MaxiM</f>
        <v>1.3341444664508738E-3</v>
      </c>
      <c r="Q320" s="304">
        <f t="shared" si="105"/>
        <v>0.6</v>
      </c>
      <c r="R320" s="177">
        <f t="shared" si="106"/>
        <v>0.4729996894371582</v>
      </c>
      <c r="S320" s="799">
        <f t="shared" si="107"/>
        <v>-1</v>
      </c>
      <c r="T320" s="176">
        <f t="shared" si="108"/>
        <v>5</v>
      </c>
      <c r="U320" s="250">
        <f t="shared" si="109"/>
        <v>-0.5270003105628418</v>
      </c>
      <c r="V320" s="382">
        <f t="shared" si="110"/>
        <v>31.078016359886469</v>
      </c>
      <c r="W320" s="400">
        <f t="shared" si="111"/>
        <v>28.989337146315346</v>
      </c>
      <c r="X320" s="157">
        <f t="shared" si="112"/>
        <v>46693</v>
      </c>
      <c r="Y320" s="383">
        <f t="shared" si="113"/>
        <v>27.329413082163153</v>
      </c>
      <c r="Z320" s="383">
        <f t="shared" si="114"/>
        <v>29.064612288019614</v>
      </c>
      <c r="AA320" s="384">
        <f t="shared" si="115"/>
        <v>31.311863111702905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7.17699491616446E-2</v>
      </c>
      <c r="AD320" s="230">
        <f>(INDEX(Models!$BJ320:$BT320,,AH320)*(1-AF320)+INDEX(Models!$BJ320:$BT320,,AH320+1)*AF320-ERP_i)*AE320*Ramure*Pc/MaxiM</f>
        <v>1.359578598138843E-2</v>
      </c>
      <c r="AE320" s="304">
        <f t="shared" si="117"/>
        <v>0.6</v>
      </c>
      <c r="AF320" s="177">
        <f t="shared" si="118"/>
        <v>0.9979872558111369</v>
      </c>
      <c r="AG320" s="799">
        <f t="shared" si="124"/>
        <v>2</v>
      </c>
      <c r="AH320" s="176">
        <f t="shared" si="119"/>
        <v>8</v>
      </c>
      <c r="AI320" s="224">
        <f t="shared" si="120"/>
        <v>2.9979872558111369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'2026'!Wh/'2026'!Env_an*'2027'!Env_an</f>
        <v>10.176432281069593</v>
      </c>
      <c r="C321" s="829"/>
      <c r="D321" s="391">
        <f t="shared" si="102"/>
        <v>10.822761776344684</v>
      </c>
      <c r="E321" s="383">
        <f t="shared" si="125"/>
        <v>11.116095462067104</v>
      </c>
      <c r="F321" s="383">
        <f t="shared" si="103"/>
        <v>11.116757239200313</v>
      </c>
      <c r="G321" s="110">
        <f t="shared" si="126"/>
        <v>0.33029307186154988</v>
      </c>
      <c r="H321" s="412" t="b">
        <f>Wh_hp&gt;='2026'!Maxi_hp</f>
        <v>0</v>
      </c>
      <c r="I321" s="388">
        <f>IF(H321,Wh_hp,'2026'!Maxi_hp)</f>
        <v>29.614967506581426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5.9719460580549333E-2</v>
      </c>
      <c r="M321" s="832"/>
      <c r="N321" s="832"/>
      <c r="O321" s="48">
        <f>IF(t&lt;Tnet,'2026'!Resal+('2026'!Salim-'2026'!Resal)*(1-EXP(('2026'!Tnet-t)/('2026'!Tau_j))),Resal+(Salim-Resal)*(1-EXP((Tnet-t)/(Tau_j))))*Salcycl</f>
        <v>2.6388194193131945E-2</v>
      </c>
      <c r="P321" s="169">
        <f>(INDEX(Models!$BJ321:$BT321,,T321)*(1-R321)+INDEX(Models!$BJ321:$BT321,,T321+1)*R321-ERP_i)*Q321*Ramure*Pc/MaxiM</f>
        <v>1.3563827483660995E-3</v>
      </c>
      <c r="Q321" s="304">
        <f t="shared" si="105"/>
        <v>0.6</v>
      </c>
      <c r="R321" s="177">
        <f t="shared" si="106"/>
        <v>0.47305151075255147</v>
      </c>
      <c r="S321" s="799">
        <f t="shared" si="107"/>
        <v>-1</v>
      </c>
      <c r="T321" s="176">
        <f t="shared" si="108"/>
        <v>5</v>
      </c>
      <c r="U321" s="250">
        <f t="shared" si="109"/>
        <v>-0.52694848924744853</v>
      </c>
      <c r="V321" s="382">
        <f t="shared" si="110"/>
        <v>30.770352223257579</v>
      </c>
      <c r="W321" s="400">
        <f t="shared" si="111"/>
        <v>10.176432281069593</v>
      </c>
      <c r="X321" s="157">
        <f t="shared" si="112"/>
        <v>46694</v>
      </c>
      <c r="Y321" s="383">
        <f t="shared" si="113"/>
        <v>9.6968786744885165</v>
      </c>
      <c r="Z321" s="383">
        <f t="shared" si="114"/>
        <v>10.312750575988286</v>
      </c>
      <c r="AA321" s="384">
        <f t="shared" si="115"/>
        <v>11.110015904263967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7.1760952922641341E-2</v>
      </c>
      <c r="AD321" s="230">
        <f>(INDEX(Models!$BJ321:$BT321,,AH321)*(1-AF321)+INDEX(Models!$BJ321:$BT321,,AH321+1)*AF321-ERP_i)*AE321*Ramure*Pc/MaxiM</f>
        <v>1.3817084256589965E-2</v>
      </c>
      <c r="AE321" s="304">
        <f t="shared" si="117"/>
        <v>0.6</v>
      </c>
      <c r="AF321" s="177">
        <f t="shared" si="118"/>
        <v>0.99803907712653039</v>
      </c>
      <c r="AG321" s="799">
        <f t="shared" si="124"/>
        <v>2</v>
      </c>
      <c r="AH321" s="176">
        <f t="shared" si="119"/>
        <v>8</v>
      </c>
      <c r="AI321" s="224">
        <f t="shared" si="120"/>
        <v>2.9980390771265304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'2026'!Wh/'2026'!Env_an*'2027'!Env_an</f>
        <v>17.575739408591293</v>
      </c>
      <c r="C322" s="829"/>
      <c r="D322" s="391">
        <f t="shared" si="102"/>
        <v>18.692374789480091</v>
      </c>
      <c r="E322" s="383">
        <f t="shared" si="125"/>
        <v>19.200374566333391</v>
      </c>
      <c r="F322" s="383">
        <f t="shared" si="103"/>
        <v>19.2108494830266</v>
      </c>
      <c r="G322" s="110">
        <f t="shared" si="126"/>
        <v>0.576430882276876</v>
      </c>
      <c r="H322" s="412" t="b">
        <f>Wh_hp&gt;='2026'!Maxi_hp</f>
        <v>0</v>
      </c>
      <c r="I322" s="388">
        <f>IF(H322,Wh_hp,'2026'!Maxi_hp)</f>
        <v>19.221283145155795</v>
      </c>
      <c r="J322" s="85">
        <f>IF(H322,An,'2026'!An_max)</f>
        <v>2026</v>
      </c>
      <c r="K322" s="197">
        <f t="shared" si="104"/>
        <v>46695</v>
      </c>
      <c r="L322" s="147">
        <f>IF(t&lt;Tvie,1-EXP((T0-t)*PertePVj)+'2026'!Pspv,1-EXP((T0-t)*PertePVj)+Pspv)</f>
        <v>5.9737480842574908E-2</v>
      </c>
      <c r="M322" s="832"/>
      <c r="N322" s="832"/>
      <c r="O322" s="48">
        <f>IF(t&lt;Tnet,'2026'!Resal+('2026'!Salim-'2026'!Resal)*(1-EXP(('2026'!Tnet-t)/('2026'!Tau_j))),Resal+(Salim-Resal)*(1-EXP((Tnet-t)/(Tau_j))))*Salcycl</f>
        <v>2.6457805554691849E-2</v>
      </c>
      <c r="P322" s="169">
        <f>(INDEX(Models!$BJ322:$BT322,,T322)*(1-R322)+INDEX(Models!$BJ322:$BT322,,T322+1)*R322-ERP_i)*Q322*Ramure*Pc/MaxiM</f>
        <v>1.3783535830328734E-3</v>
      </c>
      <c r="Q322" s="304">
        <f t="shared" si="105"/>
        <v>0.6</v>
      </c>
      <c r="R322" s="177">
        <f t="shared" si="106"/>
        <v>0.47310125570272388</v>
      </c>
      <c r="S322" s="799">
        <f t="shared" si="107"/>
        <v>-1</v>
      </c>
      <c r="T322" s="176">
        <f t="shared" si="108"/>
        <v>5</v>
      </c>
      <c r="U322" s="250">
        <f t="shared" si="109"/>
        <v>-0.52689874429727612</v>
      </c>
      <c r="V322" s="382">
        <f t="shared" si="110"/>
        <v>30.46521227917253</v>
      </c>
      <c r="W322" s="400">
        <f t="shared" si="111"/>
        <v>17.575739408591293</v>
      </c>
      <c r="X322" s="157">
        <f t="shared" si="112"/>
        <v>46695</v>
      </c>
      <c r="Y322" s="383">
        <f t="shared" si="113"/>
        <v>16.674036157974044</v>
      </c>
      <c r="Z322" s="383">
        <f t="shared" si="114"/>
        <v>17.73338383509719</v>
      </c>
      <c r="AA322" s="384">
        <f t="shared" si="115"/>
        <v>19.104143837710559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7.1751972465134123E-2</v>
      </c>
      <c r="AD322" s="230">
        <f>(INDEX(Models!$BJ322:$BT322,,AH322)*(1-AF322)+INDEX(Models!$BJ322:$BT322,,AH322+1)*AF322-ERP_i)*AE322*Ramure*Pc/MaxiM</f>
        <v>1.4040981218165691E-2</v>
      </c>
      <c r="AE322" s="304">
        <f t="shared" si="117"/>
        <v>0.6</v>
      </c>
      <c r="AF322" s="177">
        <f t="shared" si="118"/>
        <v>0.99808882207670235</v>
      </c>
      <c r="AG322" s="799">
        <f t="shared" si="124"/>
        <v>2</v>
      </c>
      <c r="AH322" s="176">
        <f t="shared" si="119"/>
        <v>8</v>
      </c>
      <c r="AI322" s="224">
        <f t="shared" si="120"/>
        <v>2.9980888220767024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'2026'!Wh/'2026'!Env_an*'2027'!Env_an</f>
        <v>29.939904838647308</v>
      </c>
      <c r="C323" s="829"/>
      <c r="D323" s="391">
        <f t="shared" si="102"/>
        <v>31.842680135670818</v>
      </c>
      <c r="E323" s="383">
        <f t="shared" si="125"/>
        <v>32.710397783418955</v>
      </c>
      <c r="F323" s="383">
        <f t="shared" si="103"/>
        <v>32.75577336313188</v>
      </c>
      <c r="G323" s="110">
        <f t="shared" si="126"/>
        <v>0.99259242513283719</v>
      </c>
      <c r="H323" s="412" t="b">
        <f>Wh_hp&gt;='2026'!Maxi_hp</f>
        <v>0</v>
      </c>
      <c r="I323" s="388">
        <f>IF(H323,Wh_hp,'2026'!Maxi_hp)</f>
        <v>32.756088234525109</v>
      </c>
      <c r="J323" s="85">
        <f>IF(H323,An,'2026'!An_max)</f>
        <v>2026</v>
      </c>
      <c r="K323" s="197">
        <f t="shared" si="104"/>
        <v>46696</v>
      </c>
      <c r="L323" s="147">
        <f>IF(t&lt;Tvie,1-EXP((T0-t)*PertePVj)+'2026'!Pspv,1-EXP((T0-t)*PertePVj)+Pspv)</f>
        <v>5.9755500759246183E-2</v>
      </c>
      <c r="M323" s="832"/>
      <c r="N323" s="832"/>
      <c r="O323" s="48">
        <f>IF(t&lt;Tnet,'2026'!Resal+('2026'!Salim-'2026'!Resal)*(1-EXP(('2026'!Tnet-t)/('2026'!Tau_j))),Resal+(Salim-Resal)*(1-EXP((Tnet-t)/(Tau_j))))*Salcycl</f>
        <v>2.6527272871869092E-2</v>
      </c>
      <c r="P323" s="169">
        <f>(INDEX(Models!$BJ323:$BT323,,T323)*(1-R323)+INDEX(Models!$BJ323:$BT323,,T323+1)*R323-ERP_i)*Q323*Ramure*Pc/MaxiM</f>
        <v>1.4000560275250664E-3</v>
      </c>
      <c r="Q323" s="304">
        <f t="shared" si="105"/>
        <v>0.6</v>
      </c>
      <c r="R323" s="177">
        <f t="shared" si="106"/>
        <v>0.47314900709311325</v>
      </c>
      <c r="S323" s="799">
        <f t="shared" si="107"/>
        <v>-1</v>
      </c>
      <c r="T323" s="176">
        <f t="shared" si="108"/>
        <v>5</v>
      </c>
      <c r="U323" s="250">
        <f t="shared" si="109"/>
        <v>-0.52685099290688675</v>
      </c>
      <c r="V323" s="382">
        <f t="shared" si="110"/>
        <v>30.162895428822413</v>
      </c>
      <c r="W323" s="400">
        <f t="shared" si="111"/>
        <v>29.939904838647308</v>
      </c>
      <c r="X323" s="157">
        <f t="shared" si="112"/>
        <v>46696</v>
      </c>
      <c r="Y323" s="383">
        <f t="shared" si="113"/>
        <v>28.185278076459575</v>
      </c>
      <c r="Z323" s="383">
        <f t="shared" si="114"/>
        <v>29.97654131368931</v>
      </c>
      <c r="AA323" s="384">
        <f t="shared" si="115"/>
        <v>32.293367019779986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7.1743082865022914E-2</v>
      </c>
      <c r="AD323" s="230">
        <f>(INDEX(Models!$BJ323:$BT323,,AH323)*(1-AF323)+INDEX(Models!$BJ323:$BT323,,AH323+1)*AF323-ERP_i)*AE323*Ramure*Pc/MaxiM</f>
        <v>1.4267471452078302E-2</v>
      </c>
      <c r="AE323" s="304">
        <f t="shared" si="117"/>
        <v>0.6</v>
      </c>
      <c r="AF323" s="177">
        <f t="shared" si="118"/>
        <v>0.99813657346709217</v>
      </c>
      <c r="AG323" s="799">
        <f t="shared" si="124"/>
        <v>2</v>
      </c>
      <c r="AH323" s="176">
        <f t="shared" si="119"/>
        <v>8</v>
      </c>
      <c r="AI323" s="224">
        <f t="shared" si="120"/>
        <v>2.9981365734670922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'2026'!Wh/'2026'!Env_an*'2027'!Env_an</f>
        <v>29.898326019673384</v>
      </c>
      <c r="C324" s="829"/>
      <c r="D324" s="391">
        <f t="shared" si="102"/>
        <v>31.799068273619778</v>
      </c>
      <c r="E324" s="383">
        <f t="shared" si="125"/>
        <v>32.667924813612757</v>
      </c>
      <c r="F324" s="383">
        <f t="shared" si="103"/>
        <v>32.714436469052202</v>
      </c>
      <c r="G324" s="110">
        <f t="shared" si="126"/>
        <v>1.0011597115070363</v>
      </c>
      <c r="H324" s="412" t="b">
        <f>Wh_hp&gt;='2026'!Maxi_hp</f>
        <v>1</v>
      </c>
      <c r="I324" s="388">
        <f>IF(H324,Wh_hp,'2026'!Maxi_hp)</f>
        <v>32.714436469052202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5.9773520330569929E-2</v>
      </c>
      <c r="M324" s="832"/>
      <c r="N324" s="832"/>
      <c r="O324" s="48">
        <f>IF(t&lt;Tnet,'2026'!Resal+('2026'!Salim-'2026'!Resal)*(1-EXP(('2026'!Tnet-t)/('2026'!Tau_j))),Resal+(Salim-Resal)*(1-EXP((Tnet-t)/(Tau_j))))*Salcycl</f>
        <v>2.6596624822367815E-2</v>
      </c>
      <c r="P324" s="169">
        <f>(INDEX(Models!$BJ324:$BT324,,T324)*(1-R324)+INDEX(Models!$BJ324:$BT324,,T324+1)*R324-ERP_i)*Q324*Ramure*Pc/MaxiM</f>
        <v>1.4217471079913167E-3</v>
      </c>
      <c r="Q324" s="304">
        <f t="shared" si="105"/>
        <v>0.6</v>
      </c>
      <c r="R324" s="177">
        <f t="shared" si="106"/>
        <v>0.47319484445758242</v>
      </c>
      <c r="S324" s="799">
        <f t="shared" si="107"/>
        <v>-1</v>
      </c>
      <c r="T324" s="176">
        <f t="shared" si="108"/>
        <v>5</v>
      </c>
      <c r="U324" s="250">
        <f t="shared" si="109"/>
        <v>-0.52680515554241758</v>
      </c>
      <c r="V324" s="382">
        <f t="shared" si="110"/>
        <v>29.863692751546818</v>
      </c>
      <c r="W324" s="400">
        <f t="shared" si="111"/>
        <v>29.898326019673384</v>
      </c>
      <c r="X324" s="157">
        <f t="shared" si="112"/>
        <v>46697</v>
      </c>
      <c r="Y324" s="383">
        <f t="shared" si="113"/>
        <v>28.138788998278393</v>
      </c>
      <c r="Z324" s="383">
        <f t="shared" si="114"/>
        <v>29.92767126508879</v>
      </c>
      <c r="AA324" s="384">
        <f t="shared" si="115"/>
        <v>32.240416914726104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7.173435925950894E-2</v>
      </c>
      <c r="AD324" s="230">
        <f>(INDEX(Models!$BJ324:$BT324,,AH324)*(1-AF324)+INDEX(Models!$BJ324:$BT324,,AH324+1)*AF324-ERP_i)*AE324*Ramure*Pc/MaxiM</f>
        <v>1.4489613928533276E-2</v>
      </c>
      <c r="AE324" s="304">
        <f t="shared" si="117"/>
        <v>0.6</v>
      </c>
      <c r="AF324" s="177">
        <f t="shared" si="118"/>
        <v>0.99818241083156112</v>
      </c>
      <c r="AG324" s="799">
        <f t="shared" si="124"/>
        <v>2</v>
      </c>
      <c r="AH324" s="176">
        <f t="shared" si="119"/>
        <v>8</v>
      </c>
      <c r="AI324" s="224">
        <f t="shared" si="120"/>
        <v>2.9981824108315611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'2026'!Wh/'2026'!Env_an*'2027'!Env_an</f>
        <v>28.045970462440017</v>
      </c>
      <c r="C325" s="829"/>
      <c r="D325" s="391">
        <f t="shared" si="102"/>
        <v>29.829523602895673</v>
      </c>
      <c r="E325" s="383">
        <f t="shared" si="125"/>
        <v>30.646746379264755</v>
      </c>
      <c r="F325" s="383">
        <f t="shared" si="103"/>
        <v>30.68781089643576</v>
      </c>
      <c r="G325" s="110">
        <f t="shared" si="126"/>
        <v>0.94842753756021847</v>
      </c>
      <c r="H325" s="412" t="b">
        <f>Wh_hp&gt;='2026'!Maxi_hp</f>
        <v>0</v>
      </c>
      <c r="I325" s="388">
        <f>IF(H325,Wh_hp,'2026'!Maxi_hp)</f>
        <v>30.689915157230189</v>
      </c>
      <c r="J325" s="85">
        <f>IF(H325,An,'2026'!An_max)</f>
        <v>2026</v>
      </c>
      <c r="K325" s="197">
        <f t="shared" si="104"/>
        <v>46698</v>
      </c>
      <c r="L325" s="147">
        <f>IF(t&lt;Tvie,1-EXP((T0-t)*PertePVj)+'2026'!Pspv,1-EXP((T0-t)*PertePVj)+Pspv)</f>
        <v>5.9791539556552586E-2</v>
      </c>
      <c r="M325" s="832"/>
      <c r="N325" s="832"/>
      <c r="O325" s="48">
        <f>IF(t&lt;Tnet,'2026'!Resal+('2026'!Salim-'2026'!Resal)*(1-EXP(('2026'!Tnet-t)/('2026'!Tau_j))),Resal+(Salim-Resal)*(1-EXP((Tnet-t)/(Tau_j))))*Salcycl</f>
        <v>2.6665890279367586E-2</v>
      </c>
      <c r="P325" s="169">
        <f>(INDEX(Models!$BJ325:$BT325,,T325)*(1-R325)+INDEX(Models!$BJ325:$BT325,,T325+1)*R325-ERP_i)*Q325*Ramure*Pc/MaxiM</f>
        <v>1.4443413533266063E-3</v>
      </c>
      <c r="Q325" s="304">
        <f t="shared" si="105"/>
        <v>0.6</v>
      </c>
      <c r="R325" s="177">
        <f t="shared" si="106"/>
        <v>0.47323884418525353</v>
      </c>
      <c r="S325" s="799">
        <f t="shared" si="107"/>
        <v>-1</v>
      </c>
      <c r="T325" s="176">
        <f t="shared" si="108"/>
        <v>5</v>
      </c>
      <c r="U325" s="250">
        <f t="shared" si="109"/>
        <v>-0.52676115581474647</v>
      </c>
      <c r="V325" s="382">
        <f t="shared" si="110"/>
        <v>29.567876065046917</v>
      </c>
      <c r="W325" s="400">
        <f t="shared" si="111"/>
        <v>28.045970462440017</v>
      </c>
      <c r="X325" s="157">
        <f t="shared" si="112"/>
        <v>46698</v>
      </c>
      <c r="Y325" s="383">
        <f t="shared" si="113"/>
        <v>26.418503084530268</v>
      </c>
      <c r="Z325" s="383">
        <f t="shared" si="114"/>
        <v>28.098559198318675</v>
      </c>
      <c r="AA325" s="384">
        <f t="shared" si="115"/>
        <v>30.269678414079955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7.1725876504567757E-2</v>
      </c>
      <c r="AD325" s="230">
        <f>(INDEX(Models!$BJ325:$BT325,,AH325)*(1-AF325)+INDEX(Models!$BJ325:$BT325,,AH325+1)*AF325-ERP_i)*AE325*Ramure*Pc/MaxiM</f>
        <v>1.4706760898239028E-2</v>
      </c>
      <c r="AE325" s="304">
        <f t="shared" si="117"/>
        <v>0.6</v>
      </c>
      <c r="AF325" s="177">
        <f t="shared" si="118"/>
        <v>0.99822641055923222</v>
      </c>
      <c r="AG325" s="799">
        <f t="shared" si="124"/>
        <v>2</v>
      </c>
      <c r="AH325" s="176">
        <f t="shared" si="119"/>
        <v>8</v>
      </c>
      <c r="AI325" s="224">
        <f t="shared" si="120"/>
        <v>2.9982264105592322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'2026'!Wh/'2026'!Env_an*'2027'!Env_an</f>
        <v>20.22563773792503</v>
      </c>
      <c r="C326" s="829"/>
      <c r="D326" s="391">
        <f t="shared" si="102"/>
        <v>21.512277559752327</v>
      </c>
      <c r="E326" s="383">
        <f t="shared" si="125"/>
        <v>22.103209023083007</v>
      </c>
      <c r="F326" s="383">
        <f t="shared" si="103"/>
        <v>22.121339973656958</v>
      </c>
      <c r="G326" s="110">
        <f t="shared" si="126"/>
        <v>0.69041850985643127</v>
      </c>
      <c r="H326" s="412" t="b">
        <f>Wh_hp&gt;='2026'!Maxi_hp</f>
        <v>0</v>
      </c>
      <c r="I326" s="388">
        <f>IF(H326,Wh_hp,'2026'!Maxi_hp)</f>
        <v>24.301685975957074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5.9809558437201038E-2</v>
      </c>
      <c r="M326" s="832"/>
      <c r="N326" s="832"/>
      <c r="O326" s="48">
        <f>IF(t&lt;Tnet,'2026'!Resal+('2026'!Salim-'2026'!Resal)*(1-EXP(('2026'!Tnet-t)/('2026'!Tau_j))),Resal+(Salim-Resal)*(1-EXP((Tnet-t)/(Tau_j))))*Salcycl</f>
        <v>2.6735098180248582E-2</v>
      </c>
      <c r="P326" s="169">
        <f>(INDEX(Models!$BJ326:$BT326,,T326)*(1-R326)+INDEX(Models!$BJ326:$BT326,,T326+1)*R326-ERP_i)*Q326*Ramure*Pc/MaxiM</f>
        <v>1.4678392452905846E-3</v>
      </c>
      <c r="Q326" s="304">
        <f t="shared" si="105"/>
        <v>0.6</v>
      </c>
      <c r="R326" s="177">
        <f t="shared" si="106"/>
        <v>0.47328107964261956</v>
      </c>
      <c r="S326" s="799">
        <f t="shared" si="107"/>
        <v>-1</v>
      </c>
      <c r="T326" s="176">
        <f t="shared" si="108"/>
        <v>5</v>
      </c>
      <c r="U326" s="250">
        <f t="shared" si="109"/>
        <v>-0.52671892035738044</v>
      </c>
      <c r="V326" s="382">
        <f t="shared" si="110"/>
        <v>29.275744953584624</v>
      </c>
      <c r="W326" s="400">
        <f t="shared" si="111"/>
        <v>20.22563773792503</v>
      </c>
      <c r="X326" s="157">
        <f t="shared" si="112"/>
        <v>46699</v>
      </c>
      <c r="Y326" s="383">
        <f t="shared" si="113"/>
        <v>19.145834928058395</v>
      </c>
      <c r="Z326" s="383">
        <f t="shared" si="114"/>
        <v>20.363783848125379</v>
      </c>
      <c r="AA326" s="384">
        <f t="shared" si="115"/>
        <v>21.937059493487457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7.1717708830991794E-2</v>
      </c>
      <c r="AD326" s="230">
        <f>(INDEX(Models!$BJ326:$BT326,,AH326)*(1-AF326)+INDEX(Models!$BJ326:$BT326,,AH326+1)*AF326-ERP_i)*AE326*Ramure*Pc/MaxiM</f>
        <v>1.4918915576462459E-2</v>
      </c>
      <c r="AE326" s="304">
        <f t="shared" si="117"/>
        <v>0.6</v>
      </c>
      <c r="AF326" s="177">
        <f t="shared" si="118"/>
        <v>0.99826864601659837</v>
      </c>
      <c r="AG326" s="799">
        <f t="shared" si="124"/>
        <v>2</v>
      </c>
      <c r="AH326" s="176">
        <f t="shared" si="119"/>
        <v>8</v>
      </c>
      <c r="AI326" s="224">
        <f t="shared" si="120"/>
        <v>2.9982686460165984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'2026'!Wh/'2026'!Env_an*'2027'!Env_an</f>
        <v>9.9628852587212364</v>
      </c>
      <c r="C327" s="829"/>
      <c r="D327" s="391">
        <f t="shared" si="102"/>
        <v>10.596870334315318</v>
      </c>
      <c r="E327" s="383">
        <f t="shared" si="125"/>
        <v>10.888735007933644</v>
      </c>
      <c r="F327" s="383">
        <f t="shared" si="103"/>
        <v>10.889749358357914</v>
      </c>
      <c r="G327" s="110">
        <f t="shared" si="126"/>
        <v>0.34321383386668808</v>
      </c>
      <c r="H327" s="412" t="b">
        <f>Wh_hp&gt;='2026'!Maxi_hp</f>
        <v>0</v>
      </c>
      <c r="I327" s="388">
        <f>IF(H327,Wh_hp,'2026'!Maxi_hp)</f>
        <v>24.305673600704964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5.9827576972521612E-2</v>
      </c>
      <c r="M327" s="832"/>
      <c r="N327" s="832"/>
      <c r="O327" s="48">
        <f>IF(t&lt;Tnet,'2026'!Resal+('2026'!Salim-'2026'!Resal)*(1-EXP(('2026'!Tnet-t)/('2026'!Tau_j))),Resal+(Salim-Resal)*(1-EXP((Tnet-t)/(Tau_j))))*Salcycl</f>
        <v>2.6804277393624825E-2</v>
      </c>
      <c r="P327" s="169">
        <f>(INDEX(Models!$BJ327:$BT327,,T327)*(1-R327)+INDEX(Models!$BJ327:$BT327,,T327+1)*R327-ERP_i)*Q327*Ramure*Pc/MaxiM</f>
        <v>1.4922411537292852E-3</v>
      </c>
      <c r="Q327" s="304">
        <f t="shared" si="105"/>
        <v>0.6</v>
      </c>
      <c r="R327" s="177">
        <f t="shared" si="106"/>
        <v>0.47332162129108912</v>
      </c>
      <c r="S327" s="799">
        <f t="shared" si="107"/>
        <v>-1</v>
      </c>
      <c r="T327" s="176">
        <f t="shared" si="108"/>
        <v>5</v>
      </c>
      <c r="U327" s="250">
        <f t="shared" si="109"/>
        <v>-0.52667837870891088</v>
      </c>
      <c r="V327" s="382">
        <f t="shared" si="110"/>
        <v>28.987598886397198</v>
      </c>
      <c r="W327" s="400">
        <f t="shared" si="111"/>
        <v>9.9628852587212364</v>
      </c>
      <c r="X327" s="157">
        <f t="shared" si="112"/>
        <v>46700</v>
      </c>
      <c r="Y327" s="383">
        <f t="shared" si="113"/>
        <v>9.4950848248343274</v>
      </c>
      <c r="Z327" s="383">
        <f t="shared" si="114"/>
        <v>10.099301566683812</v>
      </c>
      <c r="AA327" s="384">
        <f t="shared" si="115"/>
        <v>10.879467407487576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7.1709929501404784E-2</v>
      </c>
      <c r="AD327" s="230">
        <f>(INDEX(Models!$BJ327:$BT327,,AH327)*(1-AF327)+INDEX(Models!$BJ327:$BT327,,AH327+1)*AF327-ERP_i)*AE327*Ramure*Pc/MaxiM</f>
        <v>1.512608449920555E-2</v>
      </c>
      <c r="AE327" s="304">
        <f t="shared" si="117"/>
        <v>0.6</v>
      </c>
      <c r="AF327" s="177">
        <f t="shared" si="118"/>
        <v>0.99830918766506782</v>
      </c>
      <c r="AG327" s="799">
        <f t="shared" si="124"/>
        <v>2</v>
      </c>
      <c r="AH327" s="176">
        <f t="shared" si="119"/>
        <v>8</v>
      </c>
      <c r="AI327" s="224">
        <f t="shared" si="120"/>
        <v>2.9983091876650678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'2026'!Wh/'2026'!Env_an*'2027'!Env_an</f>
        <v>20.116806363862722</v>
      </c>
      <c r="C328" s="829"/>
      <c r="D328" s="391">
        <f t="shared" si="102"/>
        <v>21.397343096361116</v>
      </c>
      <c r="E328" s="383">
        <f t="shared" si="125"/>
        <v>21.988243195262896</v>
      </c>
      <c r="F328" s="383">
        <f t="shared" si="103"/>
        <v>22.007367529261625</v>
      </c>
      <c r="G328" s="110">
        <f t="shared" si="126"/>
        <v>0.70038783100822666</v>
      </c>
      <c r="H328" s="412" t="b">
        <f>Wh_hp&gt;='2026'!Maxi_hp</f>
        <v>0</v>
      </c>
      <c r="I328" s="388">
        <f>IF(H328,Wh_hp,'2026'!Maxi_hp)</f>
        <v>22.016487183842422</v>
      </c>
      <c r="J328" s="85">
        <f>IF(H328,An,'2026'!An_max)</f>
        <v>2026</v>
      </c>
      <c r="K328" s="197">
        <f t="shared" si="104"/>
        <v>46701</v>
      </c>
      <c r="L328" s="147">
        <f>IF(t&lt;Tvie,1-EXP((T0-t)*PertePVj)+'2026'!Pspv,1-EXP((T0-t)*PertePVj)+Pspv)</f>
        <v>5.9845595162521192E-2</v>
      </c>
      <c r="M328" s="832"/>
      <c r="N328" s="832"/>
      <c r="O328" s="48">
        <f>IF(t&lt;Tnet,'2026'!Resal+('2026'!Salim-'2026'!Resal)*(1-EXP(('2026'!Tnet-t)/('2026'!Tau_j))),Resal+(Salim-Resal)*(1-EXP((Tnet-t)/(Tau_j))))*Salcycl</f>
        <v>2.6873456585612184E-2</v>
      </c>
      <c r="P328" s="169">
        <f>(INDEX(Models!$BJ328:$BT328,,T328)*(1-R328)+INDEX(Models!$BJ328:$BT328,,T328+1)*R328-ERP_i)*Q328*Ramure*Pc/MaxiM</f>
        <v>1.5175472488549435E-3</v>
      </c>
      <c r="Q328" s="304">
        <f t="shared" si="105"/>
        <v>0.6</v>
      </c>
      <c r="R328" s="177">
        <f t="shared" si="106"/>
        <v>0.47336053680012424</v>
      </c>
      <c r="S328" s="799">
        <f t="shared" si="107"/>
        <v>-1</v>
      </c>
      <c r="T328" s="176">
        <f t="shared" si="108"/>
        <v>5</v>
      </c>
      <c r="U328" s="250">
        <f t="shared" si="109"/>
        <v>-0.52663946319987576</v>
      </c>
      <c r="V328" s="382">
        <f t="shared" si="110"/>
        <v>28.703737221610115</v>
      </c>
      <c r="W328" s="400">
        <f t="shared" si="111"/>
        <v>20.116806363862722</v>
      </c>
      <c r="X328" s="157">
        <f t="shared" si="112"/>
        <v>46701</v>
      </c>
      <c r="Y328" s="383">
        <f t="shared" si="113"/>
        <v>19.038186449867169</v>
      </c>
      <c r="Z328" s="383">
        <f t="shared" si="114"/>
        <v>20.250063555420169</v>
      </c>
      <c r="AA328" s="384">
        <f t="shared" si="115"/>
        <v>21.814198535759378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7.1702610470660552E-2</v>
      </c>
      <c r="AD328" s="230">
        <f>(INDEX(Models!$BJ328:$BT328,,AH328)*(1-AF328)+INDEX(Models!$BJ328:$BT328,,AH328+1)*AF328-ERP_i)*AE328*Ramure*Pc/MaxiM</f>
        <v>1.5328276251235501E-2</v>
      </c>
      <c r="AE328" s="304">
        <f t="shared" si="117"/>
        <v>0.6</v>
      </c>
      <c r="AF328" s="177">
        <f t="shared" si="118"/>
        <v>0.99834810317410305</v>
      </c>
      <c r="AG328" s="799">
        <f t="shared" si="124"/>
        <v>2</v>
      </c>
      <c r="AH328" s="176">
        <f t="shared" si="119"/>
        <v>8</v>
      </c>
      <c r="AI328" s="224">
        <f t="shared" si="120"/>
        <v>2.9983481031741031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'2026'!Wh/'2026'!Env_an*'2027'!Env_an</f>
        <v>27.519118616482135</v>
      </c>
      <c r="C329" s="829"/>
      <c r="D329" s="391">
        <f t="shared" si="102"/>
        <v>29.271411039101789</v>
      </c>
      <c r="E329" s="383">
        <f t="shared" si="125"/>
        <v>30.081897498481073</v>
      </c>
      <c r="F329" s="383">
        <f t="shared" si="103"/>
        <v>30.126289030069174</v>
      </c>
      <c r="G329" s="110">
        <f t="shared" si="126"/>
        <v>0.9680811356497544</v>
      </c>
      <c r="H329" s="412" t="b">
        <f>Wh_hp&gt;='2026'!Maxi_hp</f>
        <v>0</v>
      </c>
      <c r="I329" s="388">
        <f>IF(H329,Wh_hp,'2026'!Maxi_hp)</f>
        <v>30.127636873346383</v>
      </c>
      <c r="J329" s="85">
        <f>IF(H329,An,'2026'!An_max)</f>
        <v>2026</v>
      </c>
      <c r="K329" s="197">
        <f t="shared" si="104"/>
        <v>46702</v>
      </c>
      <c r="L329" s="147">
        <f>IF(t&lt;Tvie,1-EXP((T0-t)*PertePVj)+'2026'!Pspv,1-EXP((T0-t)*PertePVj)+Pspv)</f>
        <v>5.9863613007206218E-2</v>
      </c>
      <c r="M329" s="832"/>
      <c r="N329" s="832"/>
      <c r="O329" s="48">
        <f>IF(t&lt;Tnet,'2026'!Resal+('2026'!Salim-'2026'!Resal)*(1-EXP(('2026'!Tnet-t)/('2026'!Tau_j))),Resal+(Salim-Resal)*(1-EXP((Tnet-t)/(Tau_j))))*Salcycl</f>
        <v>2.6942664086273486E-2</v>
      </c>
      <c r="P329" s="169">
        <f>(INDEX(Models!$BJ329:$BT329,,T329)*(1-R329)+INDEX(Models!$BJ329:$BT329,,T329+1)*R329-ERP_i)*Q329*Ramure*Pc/MaxiM</f>
        <v>1.5437573958668753E-3</v>
      </c>
      <c r="Q329" s="304">
        <f t="shared" si="105"/>
        <v>0.6</v>
      </c>
      <c r="R329" s="177">
        <f t="shared" si="106"/>
        <v>0.47339789115612141</v>
      </c>
      <c r="S329" s="799">
        <f t="shared" si="107"/>
        <v>-1</v>
      </c>
      <c r="T329" s="176">
        <f t="shared" si="108"/>
        <v>5</v>
      </c>
      <c r="U329" s="250">
        <f t="shared" si="109"/>
        <v>-0.52660210884387859</v>
      </c>
      <c r="V329" s="382">
        <f t="shared" si="110"/>
        <v>28.424459206190253</v>
      </c>
      <c r="W329" s="400">
        <f t="shared" si="111"/>
        <v>27.519118616482135</v>
      </c>
      <c r="X329" s="157">
        <f t="shared" si="112"/>
        <v>46702</v>
      </c>
      <c r="Y329" s="383">
        <f t="shared" si="113"/>
        <v>25.902566700958438</v>
      </c>
      <c r="Z329" s="383">
        <f t="shared" si="114"/>
        <v>27.551924443444591</v>
      </c>
      <c r="AA329" s="384">
        <f t="shared" si="115"/>
        <v>29.679845354513549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7.1695822052029526E-2</v>
      </c>
      <c r="AD329" s="230">
        <f>(INDEX(Models!$BJ329:$BT329,,AH329)*(1-AF329)+INDEX(Models!$BJ329:$BT329,,AH329+1)*AF329-ERP_i)*AE329*Ramure*Pc/MaxiM</f>
        <v>1.5525500051945841E-2</v>
      </c>
      <c r="AE329" s="304">
        <f t="shared" si="117"/>
        <v>0.6</v>
      </c>
      <c r="AF329" s="177">
        <f t="shared" si="118"/>
        <v>0.99838545753009988</v>
      </c>
      <c r="AG329" s="799">
        <f t="shared" si="124"/>
        <v>2</v>
      </c>
      <c r="AH329" s="176">
        <f t="shared" si="119"/>
        <v>8</v>
      </c>
      <c r="AI329" s="224">
        <f t="shared" si="120"/>
        <v>2.9983854575300999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'2026'!Wh/'2026'!Env_an*'2027'!Env_an</f>
        <v>27.100629252588632</v>
      </c>
      <c r="C330" s="829"/>
      <c r="D330" s="391">
        <f t="shared" si="102"/>
        <v>28.82682663374807</v>
      </c>
      <c r="E330" s="383">
        <f t="shared" si="125"/>
        <v>29.627112043932961</v>
      </c>
      <c r="F330" s="383">
        <f t="shared" si="103"/>
        <v>29.671239434635343</v>
      </c>
      <c r="G330" s="110">
        <f t="shared" si="126"/>
        <v>0.96263932658100781</v>
      </c>
      <c r="H330" s="412" t="b">
        <f>Wh_hp&gt;='2026'!Maxi_hp</f>
        <v>0</v>
      </c>
      <c r="I330" s="388">
        <f>IF(H330,Wh_hp,'2026'!Maxi_hp)</f>
        <v>29.672815202474592</v>
      </c>
      <c r="J330" s="85">
        <f>IF(H330,An,'2026'!An_max)</f>
        <v>2026</v>
      </c>
      <c r="K330" s="197">
        <f t="shared" si="104"/>
        <v>46703</v>
      </c>
      <c r="L330" s="147">
        <f>IF(t&lt;Tvie,1-EXP((T0-t)*PertePVj)+'2026'!Pspv,1-EXP((T0-t)*PertePVj)+Pspv)</f>
        <v>5.988163050658335E-2</v>
      </c>
      <c r="M330" s="832"/>
      <c r="N330" s="832"/>
      <c r="O330" s="48">
        <f>IF(t&lt;Tnet,'2026'!Resal+('2026'!Salim-'2026'!Resal)*(1-EXP(('2026'!Tnet-t)/('2026'!Tau_j))),Resal+(Salim-Resal)*(1-EXP((Tnet-t)/(Tau_j))))*Salcycl</f>
        <v>2.7011927757189916E-2</v>
      </c>
      <c r="P330" s="169">
        <f>(INDEX(Models!$BJ330:$BT330,,T330)*(1-R330)+INDEX(Models!$BJ330:$BT330,,T330+1)*R330-ERP_i)*Q330*Ramure*Pc/MaxiM</f>
        <v>1.5708710301497748E-3</v>
      </c>
      <c r="Q330" s="304">
        <f t="shared" si="105"/>
        <v>0.6</v>
      </c>
      <c r="R330" s="177">
        <f t="shared" si="106"/>
        <v>0.47343374676718453</v>
      </c>
      <c r="S330" s="799">
        <f t="shared" si="107"/>
        <v>-1</v>
      </c>
      <c r="T330" s="176">
        <f t="shared" si="108"/>
        <v>5</v>
      </c>
      <c r="U330" s="250">
        <f t="shared" si="109"/>
        <v>-0.52656625323281547</v>
      </c>
      <c r="V330" s="382">
        <f t="shared" si="110"/>
        <v>28.150063980631717</v>
      </c>
      <c r="W330" s="400">
        <f t="shared" si="111"/>
        <v>27.100629252588632</v>
      </c>
      <c r="X330" s="157">
        <f t="shared" si="112"/>
        <v>46703</v>
      </c>
      <c r="Y330" s="383">
        <f t="shared" si="113"/>
        <v>25.509401168280924</v>
      </c>
      <c r="Z330" s="383">
        <f t="shared" si="114"/>
        <v>27.134243937842296</v>
      </c>
      <c r="AA330" s="384">
        <f t="shared" si="115"/>
        <v>29.229711194104603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7.1689632591544289E-2</v>
      </c>
      <c r="AD330" s="230">
        <f>(INDEX(Models!$BJ330:$BT330,,AH330)*(1-AF330)+INDEX(Models!$BJ330:$BT330,,AH330+1)*AF330-ERP_i)*AE330*Ramure*Pc/MaxiM</f>
        <v>1.5717764205017998E-2</v>
      </c>
      <c r="AE330" s="304">
        <f t="shared" si="117"/>
        <v>0.6</v>
      </c>
      <c r="AF330" s="177">
        <f t="shared" si="118"/>
        <v>0.99842131314116322</v>
      </c>
      <c r="AG330" s="799">
        <f t="shared" si="124"/>
        <v>2</v>
      </c>
      <c r="AH330" s="176">
        <f t="shared" si="119"/>
        <v>8</v>
      </c>
      <c r="AI330" s="224">
        <f t="shared" si="120"/>
        <v>2.9984213131411632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'2026'!Wh/'2026'!Env_an*'2027'!Env_an</f>
        <v>26.064558745174402</v>
      </c>
      <c r="C331" s="829"/>
      <c r="D331" s="391">
        <f t="shared" si="102"/>
        <v>27.725294092609893</v>
      </c>
      <c r="E331" s="383">
        <f t="shared" si="125"/>
        <v>28.497029994619396</v>
      </c>
      <c r="F331" s="383">
        <f t="shared" si="103"/>
        <v>28.538419973171372</v>
      </c>
      <c r="G331" s="110">
        <f t="shared" si="126"/>
        <v>0.93477774828932036</v>
      </c>
      <c r="H331" s="412" t="b">
        <f>Wh_hp&gt;='2026'!Maxi_hp</f>
        <v>0</v>
      </c>
      <c r="I331" s="388">
        <f>IF(H331,Wh_hp,'2026'!Maxi_hp)</f>
        <v>29.071978311267806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5.989964766065925E-2</v>
      </c>
      <c r="M331" s="832"/>
      <c r="N331" s="832"/>
      <c r="O331" s="48">
        <f>IF(t&lt;Tnet,'2026'!Resal+('2026'!Salim-'2026'!Resal)*(1-EXP(('2026'!Tnet-t)/('2026'!Tau_j))),Resal+(Salim-Resal)*(1-EXP((Tnet-t)/(Tau_j))))*Salcycl</f>
        <v>2.7081274861107132E-2</v>
      </c>
      <c r="P331" s="169">
        <f>(INDEX(Models!$BJ331:$BT331,,T331)*(1-R331)+INDEX(Models!$BJ331:$BT331,,T331+1)*R331-ERP_i)*Q331*Ramure*Pc/MaxiM</f>
        <v>1.5989924043121084E-3</v>
      </c>
      <c r="Q331" s="304">
        <f t="shared" si="105"/>
        <v>0.6</v>
      </c>
      <c r="R331" s="177">
        <f t="shared" si="106"/>
        <v>0.47346816356393528</v>
      </c>
      <c r="S331" s="799">
        <f t="shared" si="107"/>
        <v>-1</v>
      </c>
      <c r="T331" s="176">
        <f t="shared" si="108"/>
        <v>5</v>
      </c>
      <c r="U331" s="250">
        <f t="shared" si="109"/>
        <v>-0.52653183643606472</v>
      </c>
      <c r="V331" s="382">
        <f t="shared" si="110"/>
        <v>27.879009967384327</v>
      </c>
      <c r="W331" s="400">
        <f t="shared" si="111"/>
        <v>26.064558745174402</v>
      </c>
      <c r="X331" s="157">
        <f t="shared" si="112"/>
        <v>46704</v>
      </c>
      <c r="Y331" s="383">
        <f t="shared" si="113"/>
        <v>24.546445821964721</v>
      </c>
      <c r="Z331" s="383">
        <f t="shared" si="114"/>
        <v>26.110452741437097</v>
      </c>
      <c r="AA331" s="384">
        <f t="shared" si="115"/>
        <v>28.126689385314926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7.1684108152824874E-2</v>
      </c>
      <c r="AD331" s="230">
        <f>(INDEX(Models!$BJ331:$BT331,,AH331)*(1-AF331)+INDEX(Models!$BJ331:$BT331,,AH331+1)*AF331-ERP_i)*AE331*Ramure*Pc/MaxiM</f>
        <v>1.5906122825810522E-2</v>
      </c>
      <c r="AE331" s="304">
        <f t="shared" si="117"/>
        <v>0.6</v>
      </c>
      <c r="AF331" s="177">
        <f t="shared" si="118"/>
        <v>0.99845572993791398</v>
      </c>
      <c r="AG331" s="799">
        <f t="shared" si="124"/>
        <v>2</v>
      </c>
      <c r="AH331" s="176">
        <f t="shared" si="119"/>
        <v>8</v>
      </c>
      <c r="AI331" s="224">
        <f t="shared" si="120"/>
        <v>2.998455729937914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'2026'!Wh/'2026'!Env_an*'2027'!Env_an</f>
        <v>9.6514225291943347</v>
      </c>
      <c r="C332" s="829"/>
      <c r="D332" s="391">
        <f t="shared" si="102"/>
        <v>10.266571516576054</v>
      </c>
      <c r="E332" s="383">
        <f t="shared" si="125"/>
        <v>10.553095791490934</v>
      </c>
      <c r="F332" s="383">
        <f t="shared" si="103"/>
        <v>10.55431071359072</v>
      </c>
      <c r="G332" s="110">
        <f t="shared" si="126"/>
        <v>0.34903496942776907</v>
      </c>
      <c r="H332" s="412" t="b">
        <f>Wh_hp&gt;='2026'!Maxi_hp</f>
        <v>0</v>
      </c>
      <c r="I332" s="388">
        <f>IF(H332,Wh_hp,'2026'!Maxi_hp)</f>
        <v>19.875209801097167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5.9917664469440468E-2</v>
      </c>
      <c r="M332" s="832"/>
      <c r="N332" s="832"/>
      <c r="O332" s="48">
        <f>IF(t&lt;Tnet,'2026'!Resal+('2026'!Salim-'2026'!Resal)*(1-EXP(('2026'!Tnet-t)/('2026'!Tau_j))),Resal+(Salim-Resal)*(1-EXP((Tnet-t)/(Tau_j))))*Salcycl</f>
        <v>2.7150731934595621E-2</v>
      </c>
      <c r="P332" s="169">
        <f>(INDEX(Models!$BJ332:$BT332,,T332)*(1-R332)+INDEX(Models!$BJ332:$BT332,,T332+1)*R332-ERP_i)*Q332*Ramure*Pc/MaxiM</f>
        <v>1.625766383997893E-3</v>
      </c>
      <c r="Q332" s="304">
        <f t="shared" si="105"/>
        <v>0.6</v>
      </c>
      <c r="R332" s="177">
        <f t="shared" si="106"/>
        <v>0.47350119909649702</v>
      </c>
      <c r="S332" s="799">
        <f t="shared" si="107"/>
        <v>-1</v>
      </c>
      <c r="T332" s="176">
        <f t="shared" si="108"/>
        <v>5</v>
      </c>
      <c r="U332" s="250">
        <f t="shared" si="109"/>
        <v>-0.52649880090350298</v>
      </c>
      <c r="V332" s="382">
        <f t="shared" si="110"/>
        <v>27.609958101038366</v>
      </c>
      <c r="W332" s="400">
        <f t="shared" si="111"/>
        <v>9.6514225291943347</v>
      </c>
      <c r="X332" s="157">
        <f t="shared" si="112"/>
        <v>46705</v>
      </c>
      <c r="Y332" s="383">
        <f t="shared" si="113"/>
        <v>9.2002360894163733</v>
      </c>
      <c r="Z332" s="383">
        <f t="shared" si="114"/>
        <v>9.7866279810735772</v>
      </c>
      <c r="AA332" s="384">
        <f t="shared" si="115"/>
        <v>10.542292237848205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7.1679312214633459E-2</v>
      </c>
      <c r="AD332" s="230">
        <f>(INDEX(Models!$BJ332:$BT332,,AH332)*(1-AF332)+INDEX(Models!$BJ332:$BT332,,AH332+1)*AF332-ERP_i)*AE332*Ramure*Pc/MaxiM</f>
        <v>1.6082705098955763E-2</v>
      </c>
      <c r="AE332" s="304">
        <f t="shared" si="117"/>
        <v>0.6</v>
      </c>
      <c r="AF332" s="177">
        <f t="shared" si="118"/>
        <v>0.99848876547047549</v>
      </c>
      <c r="AG332" s="799">
        <f t="shared" si="124"/>
        <v>2</v>
      </c>
      <c r="AH332" s="176">
        <f t="shared" si="119"/>
        <v>8</v>
      </c>
      <c r="AI332" s="224">
        <f t="shared" si="120"/>
        <v>2.9984887654704755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'2026'!Wh/'2026'!Env_an*'2027'!Env_an</f>
        <v>12.385027371561863</v>
      </c>
      <c r="C333" s="829"/>
      <c r="D333" s="391">
        <f t="shared" si="102"/>
        <v>13.174659563563637</v>
      </c>
      <c r="E333" s="383">
        <f t="shared" si="125"/>
        <v>13.543312938792482</v>
      </c>
      <c r="F333" s="383">
        <f t="shared" si="103"/>
        <v>13.548198593265917</v>
      </c>
      <c r="G333" s="110">
        <f t="shared" si="126"/>
        <v>0.45235905355924322</v>
      </c>
      <c r="H333" s="412" t="b">
        <f>Wh_hp&gt;='2026'!Maxi_hp</f>
        <v>0</v>
      </c>
      <c r="I333" s="388">
        <f>IF(H333,Wh_hp,'2026'!Maxi_hp)</f>
        <v>26.911873928380832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5.9935680932933666E-2</v>
      </c>
      <c r="M333" s="832"/>
      <c r="N333" s="832"/>
      <c r="O333" s="48">
        <f>IF(t&lt;Tnet,'2026'!Resal+('2026'!Salim-'2026'!Resal)*(1-EXP(('2026'!Tnet-t)/('2026'!Tau_j))),Resal+(Salim-Resal)*(1-EXP((Tnet-t)/(Tau_j))))*Salcycl</f>
        <v>2.7220324664646911E-2</v>
      </c>
      <c r="P333" s="169">
        <f>(INDEX(Models!$BJ333:$BT333,,T333)*(1-R333)+INDEX(Models!$BJ333:$BT333,,T333+1)*R333-ERP_i)*Q333*Ramure*Pc/MaxiM</f>
        <v>1.6504722136461152E-3</v>
      </c>
      <c r="Q333" s="304">
        <f t="shared" si="105"/>
        <v>0.6</v>
      </c>
      <c r="R333" s="177">
        <f t="shared" si="106"/>
        <v>0.47353290862779207</v>
      </c>
      <c r="S333" s="799">
        <f t="shared" si="107"/>
        <v>-1</v>
      </c>
      <c r="T333" s="176">
        <f t="shared" si="108"/>
        <v>5</v>
      </c>
      <c r="U333" s="250">
        <f t="shared" si="109"/>
        <v>-0.52646709137220793</v>
      </c>
      <c r="V333" s="382">
        <f t="shared" si="110"/>
        <v>27.343426793024111</v>
      </c>
      <c r="W333" s="400">
        <f t="shared" si="111"/>
        <v>12.385027371561863</v>
      </c>
      <c r="X333" s="157">
        <f t="shared" si="112"/>
        <v>46706</v>
      </c>
      <c r="Y333" s="383">
        <f t="shared" si="113"/>
        <v>11.781343733591592</v>
      </c>
      <c r="Z333" s="383">
        <f t="shared" si="114"/>
        <v>12.532486867795994</v>
      </c>
      <c r="AA333" s="384">
        <f t="shared" si="115"/>
        <v>13.500111480898189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7.1675305383316609E-2</v>
      </c>
      <c r="AD333" s="230">
        <f>(INDEX(Models!$BJ333:$BT333,,AH333)*(1-AF333)+INDEX(Models!$BJ333:$BT333,,AH333+1)*AF333-ERP_i)*AE333*Ramure*Pc/MaxiM</f>
        <v>1.6244792428309212E-2</v>
      </c>
      <c r="AE333" s="304">
        <f t="shared" si="117"/>
        <v>0.6</v>
      </c>
      <c r="AF333" s="177">
        <f t="shared" si="118"/>
        <v>0.99852047500177088</v>
      </c>
      <c r="AG333" s="799">
        <f t="shared" si="124"/>
        <v>2</v>
      </c>
      <c r="AH333" s="176">
        <f t="shared" si="119"/>
        <v>8</v>
      </c>
      <c r="AI333" s="224">
        <f t="shared" si="120"/>
        <v>2.9985204750017709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'2026'!Wh/'2026'!Env_an*'2027'!Env_an</f>
        <v>26.666065571431542</v>
      </c>
      <c r="C334" s="829"/>
      <c r="D334" s="391">
        <f t="shared" si="102"/>
        <v>28.366757560539408</v>
      </c>
      <c r="E334" s="383">
        <f t="shared" si="125"/>
        <v>29.162607384028512</v>
      </c>
      <c r="F334" s="383">
        <f t="shared" si="103"/>
        <v>29.210412628999158</v>
      </c>
      <c r="G334" s="110">
        <f t="shared" si="126"/>
        <v>0.98468148538056932</v>
      </c>
      <c r="H334" s="412" t="b">
        <f>Wh_hp&gt;='2026'!Maxi_hp</f>
        <v>0</v>
      </c>
      <c r="I334" s="388">
        <f>IF(H334,Wh_hp,'2026'!Maxi_hp)</f>
        <v>29.211081047049195</v>
      </c>
      <c r="J334" s="85">
        <f>IF(H334,An,'2026'!An_max)</f>
        <v>2026</v>
      </c>
      <c r="K334" s="197">
        <f t="shared" si="104"/>
        <v>46707</v>
      </c>
      <c r="L334" s="147">
        <f>IF(t&lt;Tvie,1-EXP((T0-t)*PertePVj)+'2026'!Pspv,1-EXP((T0-t)*PertePVj)+Pspv)</f>
        <v>5.9953697051145394E-2</v>
      </c>
      <c r="M334" s="832"/>
      <c r="N334" s="832"/>
      <c r="O334" s="48">
        <f>IF(t&lt;Tnet,'2026'!Resal+('2026'!Salim-'2026'!Resal)*(1-EXP(('2026'!Tnet-t)/('2026'!Tau_j))),Resal+(Salim-Resal)*(1-EXP((Tnet-t)/(Tau_j))))*Salcycl</f>
        <v>2.7290077770102467E-2</v>
      </c>
      <c r="P334" s="169">
        <f>(INDEX(Models!$BJ334:$BT334,,T334)*(1-R334)+INDEX(Models!$BJ334:$BT334,,T334+1)*R334-ERP_i)*Q334*Ramure*Pc/MaxiM</f>
        <v>1.6731098644391731E-3</v>
      </c>
      <c r="Q334" s="304">
        <f t="shared" si="105"/>
        <v>0.6</v>
      </c>
      <c r="R334" s="177">
        <f t="shared" si="106"/>
        <v>0.4735633452232817</v>
      </c>
      <c r="S334" s="799">
        <f t="shared" si="107"/>
        <v>-1</v>
      </c>
      <c r="T334" s="176">
        <f t="shared" si="108"/>
        <v>5</v>
      </c>
      <c r="U334" s="250">
        <f t="shared" si="109"/>
        <v>-0.5264366547767183</v>
      </c>
      <c r="V334" s="382">
        <f t="shared" si="110"/>
        <v>27.079913987216386</v>
      </c>
      <c r="W334" s="400">
        <f t="shared" si="111"/>
        <v>26.666065571431542</v>
      </c>
      <c r="X334" s="157">
        <f t="shared" si="112"/>
        <v>46707</v>
      </c>
      <c r="Y334" s="383">
        <f t="shared" si="113"/>
        <v>25.08234846385476</v>
      </c>
      <c r="Z334" s="383">
        <f t="shared" si="114"/>
        <v>26.682035113773988</v>
      </c>
      <c r="AA334" s="384">
        <f t="shared" si="115"/>
        <v>28.742038681243521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7.167214512218481E-2</v>
      </c>
      <c r="AD334" s="230">
        <f>(INDEX(Models!$BJ334:$BT334,,AH334)*(1-AF334)+INDEX(Models!$BJ334:$BT334,,AH334+1)*AF334-ERP_i)*AE334*Ramure*Pc/MaxiM</f>
        <v>1.6392365999116535E-2</v>
      </c>
      <c r="AE334" s="304">
        <f t="shared" si="117"/>
        <v>0.6</v>
      </c>
      <c r="AF334" s="177">
        <f t="shared" si="118"/>
        <v>0.99855091159726017</v>
      </c>
      <c r="AG334" s="799">
        <f t="shared" si="124"/>
        <v>2</v>
      </c>
      <c r="AH334" s="176">
        <f t="shared" si="119"/>
        <v>8</v>
      </c>
      <c r="AI334" s="224">
        <f t="shared" si="120"/>
        <v>2.9985509115972602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'2026'!Wh/'2026'!Env_an*'2027'!Env_an</f>
        <v>13.651792214899482</v>
      </c>
      <c r="C335" s="829"/>
      <c r="D335" s="391">
        <f t="shared" ref="D335:D379" si="127">Wh/(1-Ppv)</f>
        <v>14.522746178110143</v>
      </c>
      <c r="E335" s="383">
        <f t="shared" si="125"/>
        <v>14.931265833626467</v>
      </c>
      <c r="F335" s="383">
        <f t="shared" ref="F335:F379" si="128">Wh_sa/(1-Pvg*MEDIAN((-Sdif+Wh/Env_an)/Csdif,0,1))</f>
        <v>14.938820758471779</v>
      </c>
      <c r="G335" s="110">
        <f t="shared" si="126"/>
        <v>0.50841194057263817</v>
      </c>
      <c r="H335" s="412" t="b">
        <f>Wh_hp&gt;='2026'!Maxi_hp</f>
        <v>0</v>
      </c>
      <c r="I335" s="388">
        <f>IF(H335,Wh_hp,'2026'!Maxi_hp)</f>
        <v>23.200751935750731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5.9971712824082424E-2</v>
      </c>
      <c r="M335" s="832"/>
      <c r="N335" s="832"/>
      <c r="O335" s="48">
        <f>IF(t&lt;Tnet,'2026'!Resal+('2026'!Salim-'2026'!Resal)*(1-EXP(('2026'!Tnet-t)/('2026'!Tau_j))),Resal+(Salim-Resal)*(1-EXP((Tnet-t)/(Tau_j))))*Salcycl</f>
        <v>2.7360014888778202E-2</v>
      </c>
      <c r="P335" s="169">
        <f>(INDEX(Models!$BJ335:$BT335,,T335)*(1-R335)+INDEX(Models!$BJ335:$BT335,,T335+1)*R335-ERP_i)*Q335*Ramure*Pc/MaxiM</f>
        <v>1.6936762542565562E-3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0.47359255983727588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-0.52640744016272412</v>
      </c>
      <c r="V335" s="382">
        <f t="shared" ref="V335:V379" si="135">MaxiM*(1-Ppv)*(1-Pvg)*(1-Psa)</f>
        <v>26.819917566527888</v>
      </c>
      <c r="W335" s="400">
        <f t="shared" ref="W335:W379" si="136">Wh*(A335&gt;Tmaj)</f>
        <v>13.651792214899482</v>
      </c>
      <c r="X335" s="157">
        <f t="shared" ref="X335:X379" si="137">t</f>
        <v>46708</v>
      </c>
      <c r="Y335" s="383">
        <f t="shared" ref="Y335:Y379" si="138">Wh_pvt_s*(1-Ppv)</f>
        <v>12.972132853519147</v>
      </c>
      <c r="Z335" s="383">
        <f t="shared" ref="Z335:Z379" si="139">Wh_sa_s*(1-Psa_s)</f>
        <v>13.799726061957891</v>
      </c>
      <c r="AA335" s="384">
        <f t="shared" ref="AA335:AA379" si="140">Wh_hp*(1-Pvg_s*MEDIAN((-Sdif+Wh/Env_an)/Csdif,0,1))</f>
        <v>14.865106546055273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7.1669885499751049E-2</v>
      </c>
      <c r="AD335" s="230">
        <f>(INDEX(Models!$BJ335:$BT335,,AH335)*(1-AF335)+INDEX(Models!$BJ335:$BT335,,AH335+1)*AF335-ERP_i)*AE335*Ramure*Pc/MaxiM</f>
        <v>1.652538095710282E-2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0.99858012621125436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2.9985801262112544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'2026'!Wh/'2026'!Env_an*'2027'!Env_an</f>
        <v>15.627714790083141</v>
      </c>
      <c r="C336" s="829"/>
      <c r="D336" s="391">
        <f t="shared" si="127"/>
        <v>16.625046831688788</v>
      </c>
      <c r="E336" s="383">
        <f t="shared" si="125"/>
        <v>17.093936210847325</v>
      </c>
      <c r="F336" s="383">
        <f t="shared" si="128"/>
        <v>17.105999042594313</v>
      </c>
      <c r="G336" s="110">
        <f t="shared" si="126"/>
        <v>0.58771287507917347</v>
      </c>
      <c r="H336" s="412" t="b">
        <f>Wh_hp&gt;='2026'!Maxi_hp</f>
        <v>0</v>
      </c>
      <c r="I336" s="388">
        <f>IF(H336,Wh_hp,'2026'!Maxi_hp)</f>
        <v>27.250192771666942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5.9989728251751195E-2</v>
      </c>
      <c r="M336" s="832"/>
      <c r="N336" s="832"/>
      <c r="O336" s="48">
        <f>IF(t&lt;Tnet,'2026'!Resal+('2026'!Salim-'2026'!Resal)*(1-EXP(('2026'!Tnet-t)/('2026'!Tau_j))),Resal+(Salim-Resal)*(1-EXP((Tnet-t)/(Tau_j))))*Salcycl</f>
        <v>2.7430158471106931E-2</v>
      </c>
      <c r="P336" s="169">
        <f>(INDEX(Models!$BJ336:$BT336,,T336)*(1-R336)+INDEX(Models!$BJ336:$BT336,,T336+1)*R336-ERP_i)*Q336*Ramure*Pc/MaxiM</f>
        <v>1.7121650475609136E-3</v>
      </c>
      <c r="Q336" s="304">
        <f t="shared" si="130"/>
        <v>0.6</v>
      </c>
      <c r="R336" s="177">
        <f t="shared" si="131"/>
        <v>0.4736206013959392</v>
      </c>
      <c r="S336" s="799">
        <f t="shared" si="132"/>
        <v>-1</v>
      </c>
      <c r="T336" s="176">
        <f t="shared" si="133"/>
        <v>5</v>
      </c>
      <c r="U336" s="250">
        <f t="shared" si="134"/>
        <v>-0.5263793986040608</v>
      </c>
      <c r="V336" s="382">
        <f t="shared" si="135"/>
        <v>26.563935372381554</v>
      </c>
      <c r="W336" s="400">
        <f t="shared" si="136"/>
        <v>15.627714790083141</v>
      </c>
      <c r="X336" s="157">
        <f t="shared" si="137"/>
        <v>46709</v>
      </c>
      <c r="Y336" s="383">
        <f t="shared" si="138"/>
        <v>14.825070218386896</v>
      </c>
      <c r="Z336" s="383">
        <f t="shared" si="139"/>
        <v>15.771178958305372</v>
      </c>
      <c r="AA336" s="384">
        <f t="shared" si="140"/>
        <v>16.988737606916224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7.1668576958606789E-2</v>
      </c>
      <c r="AD336" s="230">
        <f>(INDEX(Models!$BJ336:$BT336,,AH336)*(1-AF336)+INDEX(Models!$BJ336:$BT336,,AH336+1)*AF336-ERP_i)*AE336*Ramure*Pc/MaxiM</f>
        <v>1.6643764565890454E-2</v>
      </c>
      <c r="AE336" s="304">
        <f t="shared" si="142"/>
        <v>0.6</v>
      </c>
      <c r="AF336" s="177">
        <f t="shared" si="143"/>
        <v>0.9986081677699179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2.9986081677699179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'2026'!Wh/'2026'!Env_an*'2027'!Env_an</f>
        <v>7.142171717657896</v>
      </c>
      <c r="C337" s="829"/>
      <c r="D337" s="391">
        <f t="shared" si="127"/>
        <v>7.5981176089590612</v>
      </c>
      <c r="E337" s="383">
        <f t="shared" si="125"/>
        <v>7.8129786605100033</v>
      </c>
      <c r="F337" s="383">
        <f t="shared" si="128"/>
        <v>7.8129786605100033</v>
      </c>
      <c r="G337" s="110">
        <f t="shared" si="126"/>
        <v>0.27096761716985024</v>
      </c>
      <c r="H337" s="412" t="b">
        <f>Wh_hp&gt;='2026'!Maxi_hp</f>
        <v>0</v>
      </c>
      <c r="I337" s="388">
        <f>IF(H337,Wh_hp,'2026'!Maxi_hp)</f>
        <v>28.562272949049884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6.0007743334158481E-2</v>
      </c>
      <c r="M337" s="832"/>
      <c r="N337" s="832"/>
      <c r="O337" s="48">
        <f>IF(t&lt;Tnet,'2026'!Resal+('2026'!Salim-'2026'!Resal)*(1-EXP(('2026'!Tnet-t)/('2026'!Tau_j))),Resal+(Salim-Resal)*(1-EXP((Tnet-t)/(Tau_j))))*Salcycl</f>
        <v>2.7500529681072621E-2</v>
      </c>
      <c r="P337" s="169">
        <f>(INDEX(Models!$BJ337:$BT337,,T337)*(1-R337)+INDEX(Models!$BJ337:$BT337,,T337+1)*R337-ERP_i)*Q337*Ramure*Pc/MaxiM</f>
        <v>1.7285664820885862E-3</v>
      </c>
      <c r="Q337" s="304">
        <f t="shared" si="130"/>
        <v>0.6</v>
      </c>
      <c r="R337" s="177">
        <f t="shared" si="131"/>
        <v>0.47364751687710971</v>
      </c>
      <c r="S337" s="799">
        <f t="shared" si="132"/>
        <v>-1</v>
      </c>
      <c r="T337" s="176">
        <f t="shared" si="133"/>
        <v>5</v>
      </c>
      <c r="U337" s="250">
        <f t="shared" si="134"/>
        <v>-0.52635248312289029</v>
      </c>
      <c r="V337" s="382">
        <f t="shared" si="135"/>
        <v>26.312465207044475</v>
      </c>
      <c r="W337" s="400">
        <f t="shared" si="136"/>
        <v>7.142171717657896</v>
      </c>
      <c r="X337" s="157">
        <f t="shared" si="137"/>
        <v>46710</v>
      </c>
      <c r="Y337" s="383">
        <f t="shared" si="138"/>
        <v>6.8177977024950982</v>
      </c>
      <c r="Z337" s="383">
        <f t="shared" si="139"/>
        <v>7.2530360267837413</v>
      </c>
      <c r="AA337" s="384">
        <f t="shared" si="140"/>
        <v>7.8129786605100033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7.1668266106554454E-2</v>
      </c>
      <c r="AD337" s="230">
        <f>(INDEX(Models!$BJ337:$BT337,,AH337)*(1-AF337)+INDEX(Models!$BJ337:$BT337,,AH337+1)*AF337-ERP_i)*AE337*Ramure*Pc/MaxiM</f>
        <v>1.674741458080322E-2</v>
      </c>
      <c r="AE337" s="304">
        <f t="shared" si="142"/>
        <v>0.6</v>
      </c>
      <c r="AF337" s="177">
        <f t="shared" si="143"/>
        <v>0.99863508325108841</v>
      </c>
      <c r="AG337" s="799">
        <f t="shared" si="149"/>
        <v>2</v>
      </c>
      <c r="AH337" s="176">
        <f t="shared" si="144"/>
        <v>8</v>
      </c>
      <c r="AI337" s="224">
        <f t="shared" si="145"/>
        <v>2.9986350832510884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'2026'!Wh/'2026'!Env_an*'2027'!Env_an</f>
        <v>15.717024315520929</v>
      </c>
      <c r="C338" s="829"/>
      <c r="D338" s="391">
        <f t="shared" si="127"/>
        <v>16.720696817470127</v>
      </c>
      <c r="E338" s="383">
        <f t="shared" si="125"/>
        <v>17.194776551855327</v>
      </c>
      <c r="F338" s="383">
        <f t="shared" si="128"/>
        <v>17.20776459807178</v>
      </c>
      <c r="G338" s="110">
        <f t="shared" si="126"/>
        <v>0.60237396781546126</v>
      </c>
      <c r="H338" s="412" t="b">
        <f>Wh_hp&gt;='2026'!Maxi_hp</f>
        <v>0</v>
      </c>
      <c r="I338" s="388">
        <f>IF(H338,Wh_hp,'2026'!Maxi_hp)</f>
        <v>28.66422438766487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6.0025758071310831E-2</v>
      </c>
      <c r="M338" s="832"/>
      <c r="N338" s="832"/>
      <c r="O338" s="48">
        <f>IF(t&lt;Tnet,'2026'!Resal+('2026'!Salim-'2026'!Resal)*(1-EXP(('2026'!Tnet-t)/('2026'!Tau_j))),Resal+(Salim-Resal)*(1-EXP((Tnet-t)/(Tau_j))))*Salcycl</f>
        <v>2.7571148305154662E-2</v>
      </c>
      <c r="P338" s="169">
        <f>(INDEX(Models!$BJ338:$BT338,,T338)*(1-R338)+INDEX(Models!$BJ338:$BT338,,T338+1)*R338-ERP_i)*Q338*Ramure*Pc/MaxiM</f>
        <v>1.74388005183031E-3</v>
      </c>
      <c r="Q338" s="304">
        <f t="shared" si="130"/>
        <v>0.6</v>
      </c>
      <c r="R338" s="177">
        <f t="shared" si="131"/>
        <v>0.4736733513870488</v>
      </c>
      <c r="S338" s="799">
        <f t="shared" si="132"/>
        <v>-1</v>
      </c>
      <c r="T338" s="176">
        <f t="shared" si="133"/>
        <v>5</v>
      </c>
      <c r="U338" s="250">
        <f t="shared" si="134"/>
        <v>-0.5263266486129512</v>
      </c>
      <c r="V338" s="382">
        <f t="shared" si="135"/>
        <v>26.065978403304811</v>
      </c>
      <c r="W338" s="400">
        <f t="shared" si="136"/>
        <v>15.717024315520929</v>
      </c>
      <c r="X338" s="157">
        <f t="shared" si="137"/>
        <v>46711</v>
      </c>
      <c r="Y338" s="383">
        <f t="shared" si="138"/>
        <v>14.906227098925884</v>
      </c>
      <c r="Z338" s="383">
        <f t="shared" si="139"/>
        <v>15.858122950625216</v>
      </c>
      <c r="AA338" s="384">
        <f t="shared" si="140"/>
        <v>17.082401507965919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7.166899553144182E-2</v>
      </c>
      <c r="AD338" s="230">
        <f>(INDEX(Models!$BJ338:$BT338,,AH338)*(1-AF338)+INDEX(Models!$BJ338:$BT338,,AH338+1)*AF338-ERP_i)*AE338*Ramure*Pc/MaxiM</f>
        <v>1.6832261637201622E-2</v>
      </c>
      <c r="AE338" s="304">
        <f t="shared" si="142"/>
        <v>0.6</v>
      </c>
      <c r="AF338" s="177">
        <f t="shared" si="143"/>
        <v>0.99866091776102728</v>
      </c>
      <c r="AG338" s="799">
        <f t="shared" si="149"/>
        <v>2</v>
      </c>
      <c r="AH338" s="176">
        <f t="shared" si="144"/>
        <v>8</v>
      </c>
      <c r="AI338" s="224">
        <f t="shared" si="145"/>
        <v>2.9986609177610273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'2026'!Wh/'2026'!Env_an*'2027'!Env_an</f>
        <v>3.1569768509611387</v>
      </c>
      <c r="C339" s="829"/>
      <c r="D339" s="391">
        <f t="shared" si="127"/>
        <v>3.3586424117154863</v>
      </c>
      <c r="E339" s="383">
        <f t="shared" si="125"/>
        <v>3.4541213468305112</v>
      </c>
      <c r="F339" s="383">
        <f t="shared" si="128"/>
        <v>3.4541213468305112</v>
      </c>
      <c r="G339" s="110">
        <f t="shared" si="126"/>
        <v>0.1220301972964951</v>
      </c>
      <c r="H339" s="412" t="b">
        <f>Wh_hp&gt;='2026'!Maxi_hp</f>
        <v>0</v>
      </c>
      <c r="I339" s="388">
        <f>IF(H339,Wh_hp,'2026'!Maxi_hp)</f>
        <v>27.981917732937102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6.0043772463214795E-2</v>
      </c>
      <c r="M339" s="832"/>
      <c r="N339" s="832"/>
      <c r="O339" s="48">
        <f>IF(t&lt;Tnet,'2026'!Resal+('2026'!Salim-'2026'!Resal)*(1-EXP(('2026'!Tnet-t)/('2026'!Tau_j))),Resal+(Salim-Resal)*(1-EXP((Tnet-t)/(Tau_j))))*Salcycl</f>
        <v>2.7642032669939667E-2</v>
      </c>
      <c r="P339" s="169">
        <f>(INDEX(Models!$BJ339:$BT339,,T339)*(1-R339)+INDEX(Models!$BJ339:$BT339,,T339+1)*R339-ERP_i)*Q339*Ramure*Pc/MaxiM</f>
        <v>1.7578327507298988E-3</v>
      </c>
      <c r="Q339" s="304">
        <f t="shared" si="130"/>
        <v>0.6</v>
      </c>
      <c r="R339" s="177">
        <f t="shared" si="131"/>
        <v>0.47369814823423395</v>
      </c>
      <c r="S339" s="799">
        <f t="shared" si="132"/>
        <v>-1</v>
      </c>
      <c r="T339" s="176">
        <f t="shared" si="133"/>
        <v>5</v>
      </c>
      <c r="U339" s="250">
        <f t="shared" si="134"/>
        <v>-0.52630185176576605</v>
      </c>
      <c r="V339" s="382">
        <f t="shared" si="135"/>
        <v>25.824980074417503</v>
      </c>
      <c r="W339" s="400">
        <f t="shared" si="136"/>
        <v>3.1569768509611387</v>
      </c>
      <c r="X339" s="157">
        <f t="shared" si="137"/>
        <v>46712</v>
      </c>
      <c r="Y339" s="383">
        <f t="shared" si="138"/>
        <v>3.0140276332841931</v>
      </c>
      <c r="Z339" s="383">
        <f t="shared" si="139"/>
        <v>3.2065616940297774</v>
      </c>
      <c r="AA339" s="384">
        <f t="shared" si="140"/>
        <v>3.4541213468305112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7.1670803640958847E-2</v>
      </c>
      <c r="AD339" s="230">
        <f>(INDEX(Models!$BJ339:$BT339,,AH339)*(1-AF339)+INDEX(Models!$BJ339:$BT339,,AH339+1)*AF339-ERP_i)*AE339*Ramure*Pc/MaxiM</f>
        <v>1.6905081525473702E-2</v>
      </c>
      <c r="AE339" s="304">
        <f t="shared" si="142"/>
        <v>0.6</v>
      </c>
      <c r="AF339" s="177">
        <f t="shared" si="143"/>
        <v>0.99868571460821265</v>
      </c>
      <c r="AG339" s="799">
        <f t="shared" si="149"/>
        <v>2</v>
      </c>
      <c r="AH339" s="176">
        <f t="shared" si="144"/>
        <v>8</v>
      </c>
      <c r="AI339" s="224">
        <f t="shared" si="145"/>
        <v>2.9986857146082126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'2026'!Wh/'2026'!Env_an*'2027'!Env_an</f>
        <v>7.8103818597068733</v>
      </c>
      <c r="C340" s="829"/>
      <c r="D340" s="391">
        <f t="shared" si="127"/>
        <v>8.3094630557745131</v>
      </c>
      <c r="E340" s="383">
        <f t="shared" si="125"/>
        <v>8.5463086119146787</v>
      </c>
      <c r="F340" s="383">
        <f t="shared" si="128"/>
        <v>8.5464212841090497</v>
      </c>
      <c r="G340" s="110">
        <f t="shared" si="126"/>
        <v>0.3046763079097794</v>
      </c>
      <c r="H340" s="412" t="b">
        <f>Wh_hp&gt;='2026'!Maxi_hp</f>
        <v>0</v>
      </c>
      <c r="I340" s="388">
        <f>IF(H340,Wh_hp,'2026'!Maxi_hp)</f>
        <v>29.203443370360098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6.0061786509877035E-2</v>
      </c>
      <c r="M340" s="832"/>
      <c r="N340" s="832"/>
      <c r="O340" s="48">
        <f>IF(t&lt;Tnet,'2026'!Resal+('2026'!Salim-'2026'!Resal)*(1-EXP(('2026'!Tnet-t)/('2026'!Tau_j))),Resal+(Salim-Resal)*(1-EXP((Tnet-t)/(Tau_j))))*Salcycl</f>
        <v>2.7713199568989495E-2</v>
      </c>
      <c r="P340" s="169">
        <f>(INDEX(Models!$BJ340:$BT340,,T340)*(1-R340)+INDEX(Models!$BJ340:$BT340,,T340+1)*R340-ERP_i)*Q340*Ramure*Pc/MaxiM</f>
        <v>1.7704051387542219E-3</v>
      </c>
      <c r="Q340" s="304">
        <f t="shared" si="130"/>
        <v>0.6</v>
      </c>
      <c r="R340" s="177">
        <f t="shared" si="131"/>
        <v>0.47372194900030251</v>
      </c>
      <c r="S340" s="799">
        <f t="shared" si="132"/>
        <v>-1</v>
      </c>
      <c r="T340" s="176">
        <f t="shared" si="133"/>
        <v>5</v>
      </c>
      <c r="U340" s="250">
        <f t="shared" si="134"/>
        <v>-0.52627805099969749</v>
      </c>
      <c r="V340" s="382">
        <f t="shared" si="135"/>
        <v>25.589968450958384</v>
      </c>
      <c r="W340" s="400">
        <f t="shared" si="136"/>
        <v>7.8103818597068733</v>
      </c>
      <c r="X340" s="157">
        <f t="shared" si="137"/>
        <v>46713</v>
      </c>
      <c r="Y340" s="383">
        <f t="shared" si="138"/>
        <v>7.4564030472783918</v>
      </c>
      <c r="Z340" s="383">
        <f t="shared" si="139"/>
        <v>7.9328650971553945</v>
      </c>
      <c r="AA340" s="384">
        <f t="shared" si="140"/>
        <v>8.5453415536751063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7.167372452846002E-2</v>
      </c>
      <c r="AD340" s="230">
        <f>(INDEX(Models!$BJ340:$BT340,,AH340)*(1-AF340)+INDEX(Models!$BJ340:$BT340,,AH340+1)*AF340-ERP_i)*AE340*Ramure*Pc/MaxiM</f>
        <v>1.696567923791107E-2</v>
      </c>
      <c r="AE340" s="304">
        <f t="shared" si="142"/>
        <v>0.6</v>
      </c>
      <c r="AF340" s="177">
        <f t="shared" si="143"/>
        <v>0.99870951537428132</v>
      </c>
      <c r="AG340" s="799">
        <f t="shared" si="149"/>
        <v>2</v>
      </c>
      <c r="AH340" s="176">
        <f t="shared" si="144"/>
        <v>8</v>
      </c>
      <c r="AI340" s="224">
        <f t="shared" si="145"/>
        <v>2.9987095153742813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'2026'!Wh/'2026'!Env_an*'2027'!Env_an</f>
        <v>13.099000969778352</v>
      </c>
      <c r="C341" s="829"/>
      <c r="D341" s="391">
        <f t="shared" si="127"/>
        <v>13.936290519900677</v>
      </c>
      <c r="E341" s="383">
        <f t="shared" si="125"/>
        <v>14.334571783344268</v>
      </c>
      <c r="F341" s="383">
        <f t="shared" si="128"/>
        <v>14.342474394207414</v>
      </c>
      <c r="G341" s="110">
        <f t="shared" si="126"/>
        <v>0.51585682119775833</v>
      </c>
      <c r="H341" s="412" t="b">
        <f>Wh_hp&gt;='2026'!Maxi_hp</f>
        <v>0</v>
      </c>
      <c r="I341" s="388">
        <f>IF(H341,Wh_hp,'2026'!Maxi_hp)</f>
        <v>29.107219927904186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6.0079800211304213E-2</v>
      </c>
      <c r="M341" s="832"/>
      <c r="N341" s="832"/>
      <c r="O341" s="48">
        <f>IF(t&lt;Tnet,'2026'!Resal+('2026'!Salim-'2026'!Resal)*(1-EXP(('2026'!Tnet-t)/('2026'!Tau_j))),Resal+(Salim-Resal)*(1-EXP((Tnet-t)/(Tau_j))))*Salcycl</f>
        <v>2.7784664199482084E-2</v>
      </c>
      <c r="P341" s="169">
        <f>(INDEX(Models!$BJ341:$BT341,,T341)*(1-R341)+INDEX(Models!$BJ341:$BT341,,T341+1)*R341-ERP_i)*Q341*Ramure*Pc/MaxiM</f>
        <v>1.7815630354348587E-3</v>
      </c>
      <c r="Q341" s="304">
        <f t="shared" si="130"/>
        <v>0.6</v>
      </c>
      <c r="R341" s="177">
        <f t="shared" si="131"/>
        <v>0.47374479360825217</v>
      </c>
      <c r="S341" s="799">
        <f t="shared" si="132"/>
        <v>-1</v>
      </c>
      <c r="T341" s="176">
        <f t="shared" si="133"/>
        <v>5</v>
      </c>
      <c r="U341" s="250">
        <f t="shared" si="134"/>
        <v>-0.52625520639174783</v>
      </c>
      <c r="V341" s="382">
        <f t="shared" si="135"/>
        <v>25.361442002477162</v>
      </c>
      <c r="W341" s="400">
        <f t="shared" si="136"/>
        <v>13.099000969778352</v>
      </c>
      <c r="X341" s="157">
        <f t="shared" si="137"/>
        <v>46714</v>
      </c>
      <c r="Y341" s="383">
        <f t="shared" si="138"/>
        <v>12.448658402196218</v>
      </c>
      <c r="Z341" s="383">
        <f t="shared" si="139"/>
        <v>13.24437798548729</v>
      </c>
      <c r="AA341" s="384">
        <f t="shared" si="140"/>
        <v>14.267005369866993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7.1677787865670139E-2</v>
      </c>
      <c r="AD341" s="230">
        <f>(INDEX(Models!$BJ341:$BT341,,AH341)*(1-AF341)+INDEX(Models!$BJ341:$BT341,,AH341+1)*AF341-ERP_i)*AE341*Ramure*Pc/MaxiM</f>
        <v>1.7013721972853207E-2</v>
      </c>
      <c r="AE341" s="304">
        <f t="shared" si="142"/>
        <v>0.6</v>
      </c>
      <c r="AF341" s="177">
        <f t="shared" si="143"/>
        <v>0.99873235998223109</v>
      </c>
      <c r="AG341" s="799">
        <f t="shared" si="149"/>
        <v>2</v>
      </c>
      <c r="AH341" s="176">
        <f t="shared" si="144"/>
        <v>8</v>
      </c>
      <c r="AI341" s="224">
        <f t="shared" si="145"/>
        <v>2.9987323599822311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'2026'!Wh/'2026'!Env_an*'2027'!Env_an</f>
        <v>13.746846972631332</v>
      </c>
      <c r="C342" s="829"/>
      <c r="D342" s="391">
        <f t="shared" si="127"/>
        <v>14.625827209540827</v>
      </c>
      <c r="E342" s="383">
        <f t="shared" si="125"/>
        <v>15.044925269249006</v>
      </c>
      <c r="F342" s="383">
        <f t="shared" si="128"/>
        <v>15.054433473317628</v>
      </c>
      <c r="G342" s="110">
        <f t="shared" si="126"/>
        <v>0.54617939661549531</v>
      </c>
      <c r="H342" s="412" t="b">
        <f>Wh_hp&gt;='2026'!Maxi_hp</f>
        <v>0</v>
      </c>
      <c r="I342" s="388">
        <f>IF(H342,Wh_hp,'2026'!Maxi_hp)</f>
        <v>27.112988230859333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6.0097813567502878E-2</v>
      </c>
      <c r="M342" s="832"/>
      <c r="N342" s="832"/>
      <c r="O342" s="48">
        <f>IF(t&lt;Tnet,'2026'!Resal+('2026'!Salim-'2026'!Resal)*(1-EXP(('2026'!Tnet-t)/('2026'!Tau_j))),Resal+(Salim-Resal)*(1-EXP((Tnet-t)/(Tau_j))))*Salcycl</f>
        <v>2.7856440109064056E-2</v>
      </c>
      <c r="P342" s="169">
        <f>(INDEX(Models!$BJ342:$BT342,,T342)*(1-R342)+INDEX(Models!$BJ342:$BT342,,T342+1)*R342-ERP_i)*Q342*Ramure*Pc/MaxiM</f>
        <v>1.7912757596908189E-3</v>
      </c>
      <c r="Q342" s="304">
        <f t="shared" si="130"/>
        <v>0.6</v>
      </c>
      <c r="R342" s="177">
        <f t="shared" si="131"/>
        <v>0.47376672038800027</v>
      </c>
      <c r="S342" s="799">
        <f t="shared" si="132"/>
        <v>-1</v>
      </c>
      <c r="T342" s="176">
        <f t="shared" si="133"/>
        <v>5</v>
      </c>
      <c r="U342" s="250">
        <f t="shared" si="134"/>
        <v>-0.52623327961199973</v>
      </c>
      <c r="V342" s="382">
        <f t="shared" si="135"/>
        <v>25.139898971879092</v>
      </c>
      <c r="W342" s="400">
        <f t="shared" si="136"/>
        <v>13.746846972631332</v>
      </c>
      <c r="X342" s="157">
        <f t="shared" si="137"/>
        <v>46715</v>
      </c>
      <c r="Y342" s="383">
        <f t="shared" si="138"/>
        <v>13.056441251849913</v>
      </c>
      <c r="Z342" s="383">
        <f t="shared" si="139"/>
        <v>13.891276603374104</v>
      </c>
      <c r="AA342" s="384">
        <f t="shared" si="140"/>
        <v>14.963936764100058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7.1683018822919095E-2</v>
      </c>
      <c r="AD342" s="230">
        <f>(INDEX(Models!$BJ342:$BT342,,AH342)*(1-AF342)+INDEX(Models!$BJ342:$BT342,,AH342+1)*AF342-ERP_i)*AE342*Ramure*Pc/MaxiM</f>
        <v>1.704891485114246E-2</v>
      </c>
      <c r="AE342" s="304">
        <f t="shared" si="142"/>
        <v>0.6</v>
      </c>
      <c r="AF342" s="177">
        <f t="shared" si="143"/>
        <v>0.99875428676197897</v>
      </c>
      <c r="AG342" s="799">
        <f t="shared" si="149"/>
        <v>2</v>
      </c>
      <c r="AH342" s="176">
        <f t="shared" si="144"/>
        <v>8</v>
      </c>
      <c r="AI342" s="224">
        <f t="shared" si="145"/>
        <v>2.998754286761979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'2026'!Wh/'2026'!Env_an*'2027'!Env_an</f>
        <v>4.7637612423163587</v>
      </c>
      <c r="C343" s="829"/>
      <c r="D343" s="391">
        <f t="shared" si="127"/>
        <v>5.0684556427570584</v>
      </c>
      <c r="E343" s="383">
        <f t="shared" si="125"/>
        <v>5.2140772020424837</v>
      </c>
      <c r="F343" s="383">
        <f t="shared" si="128"/>
        <v>5.2140772020424837</v>
      </c>
      <c r="G343" s="110">
        <f t="shared" si="126"/>
        <v>0.190773481513659</v>
      </c>
      <c r="H343" s="412" t="b">
        <f>Wh_hp&gt;='2026'!Maxi_hp</f>
        <v>0</v>
      </c>
      <c r="I343" s="388">
        <f>IF(H343,Wh_hp,'2026'!Maxi_hp)</f>
        <v>25.709723482797013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6.0115826578479692E-2</v>
      </c>
      <c r="M343" s="832"/>
      <c r="N343" s="832"/>
      <c r="O343" s="48">
        <f>IF(t&lt;Tnet,'2026'!Resal+('2026'!Salim-'2026'!Resal)*(1-EXP(('2026'!Tnet-t)/('2026'!Tau_j))),Resal+(Salim-Resal)*(1-EXP((Tnet-t)/(Tau_j))))*Salcycl</f>
        <v>2.7928539153271772E-2</v>
      </c>
      <c r="P343" s="169">
        <f>(INDEX(Models!$BJ343:$BT343,,T343)*(1-R343)+INDEX(Models!$BJ343:$BT343,,T343+1)*R343-ERP_i)*Q343*Ramure*Pc/MaxiM</f>
        <v>1.7995181809898225E-3</v>
      </c>
      <c r="Q343" s="304">
        <f t="shared" si="130"/>
        <v>0.6</v>
      </c>
      <c r="R343" s="177">
        <f t="shared" si="131"/>
        <v>0.47378776613939755</v>
      </c>
      <c r="S343" s="799">
        <f t="shared" si="132"/>
        <v>-1</v>
      </c>
      <c r="T343" s="176">
        <f t="shared" si="133"/>
        <v>5</v>
      </c>
      <c r="U343" s="250">
        <f t="shared" si="134"/>
        <v>-0.52621223386060245</v>
      </c>
      <c r="V343" s="382">
        <f t="shared" si="135"/>
        <v>24.925837331382208</v>
      </c>
      <c r="W343" s="400">
        <f t="shared" si="136"/>
        <v>4.7637612423163587</v>
      </c>
      <c r="X343" s="157">
        <f t="shared" si="137"/>
        <v>46716</v>
      </c>
      <c r="Y343" s="383">
        <f t="shared" si="138"/>
        <v>4.5493053279785887</v>
      </c>
      <c r="Z343" s="383">
        <f t="shared" si="139"/>
        <v>4.840282937649075</v>
      </c>
      <c r="AA343" s="384">
        <f t="shared" si="140"/>
        <v>5.2140772020424837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7.1689438017331963E-2</v>
      </c>
      <c r="AD343" s="230">
        <f>(INDEX(Models!$BJ343:$BT343,,AH343)*(1-AF343)+INDEX(Models!$BJ343:$BT343,,AH343+1)*AF343-ERP_i)*AE343*Ramure*Pc/MaxiM</f>
        <v>1.7071019492990395E-2</v>
      </c>
      <c r="AE343" s="304">
        <f t="shared" si="142"/>
        <v>0.6</v>
      </c>
      <c r="AF343" s="177">
        <f t="shared" si="143"/>
        <v>0.99877533251337614</v>
      </c>
      <c r="AG343" s="799">
        <f t="shared" si="149"/>
        <v>2</v>
      </c>
      <c r="AH343" s="176">
        <f t="shared" si="144"/>
        <v>8</v>
      </c>
      <c r="AI343" s="224">
        <f t="shared" si="145"/>
        <v>2.9987753325133761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'2026'!Wh/'2026'!Env_an*'2027'!Env_an</f>
        <v>10.946761259348238</v>
      </c>
      <c r="C344" s="829"/>
      <c r="D344" s="391">
        <f t="shared" si="127"/>
        <v>11.647149047845071</v>
      </c>
      <c r="E344" s="383">
        <f t="shared" si="125"/>
        <v>11.982675605535571</v>
      </c>
      <c r="F344" s="383">
        <f t="shared" si="128"/>
        <v>11.987093646864851</v>
      </c>
      <c r="G344" s="110">
        <f t="shared" si="126"/>
        <v>0.44219764079291946</v>
      </c>
      <c r="H344" s="412" t="b">
        <f>Wh_hp&gt;='2026'!Maxi_hp</f>
        <v>0</v>
      </c>
      <c r="I344" s="388">
        <f>IF(H344,Wh_hp,'2026'!Maxi_hp)</f>
        <v>26.915508219914461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6.0133839244241316E-2</v>
      </c>
      <c r="M344" s="832"/>
      <c r="N344" s="832"/>
      <c r="O344" s="48">
        <f>IF(t&lt;Tnet,'2026'!Resal+('2026'!Salim-'2026'!Resal)*(1-EXP(('2026'!Tnet-t)/('2026'!Tau_j))),Resal+(Salim-Resal)*(1-EXP((Tnet-t)/(Tau_j))))*Salcycl</f>
        <v>2.8000971463793774E-2</v>
      </c>
      <c r="P344" s="169">
        <f>(INDEX(Models!$BJ344:$BT344,,T344)*(1-R344)+INDEX(Models!$BJ344:$BT344,,T344+1)*R344-ERP_i)*Q344*Ramure*Pc/MaxiM</f>
        <v>1.8062617523137419E-3</v>
      </c>
      <c r="Q344" s="304">
        <f t="shared" si="130"/>
        <v>0.6</v>
      </c>
      <c r="R344" s="177">
        <f t="shared" si="131"/>
        <v>0.47380796619279586</v>
      </c>
      <c r="S344" s="799">
        <f t="shared" si="132"/>
        <v>-1</v>
      </c>
      <c r="T344" s="176">
        <f t="shared" si="133"/>
        <v>5</v>
      </c>
      <c r="U344" s="250">
        <f t="shared" si="134"/>
        <v>-0.52619203380720414</v>
      </c>
      <c r="V344" s="382">
        <f t="shared" si="135"/>
        <v>24.719755018462145</v>
      </c>
      <c r="W344" s="400">
        <f t="shared" si="136"/>
        <v>10.946761259348238</v>
      </c>
      <c r="X344" s="157">
        <f t="shared" si="137"/>
        <v>46717</v>
      </c>
      <c r="Y344" s="383">
        <f t="shared" si="138"/>
        <v>10.422056585328752</v>
      </c>
      <c r="Z344" s="383">
        <f t="shared" si="139"/>
        <v>11.088873097578318</v>
      </c>
      <c r="AA344" s="384">
        <f t="shared" si="140"/>
        <v>11.945317242415555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7.169706148918055E-2</v>
      </c>
      <c r="AD344" s="230">
        <f>(INDEX(Models!$BJ344:$BT344,,AH344)*(1-AF344)+INDEX(Models!$BJ344:$BT344,,AH344+1)*AF344-ERP_i)*AE344*Ramure*Pc/MaxiM</f>
        <v>1.707976813295687E-2</v>
      </c>
      <c r="AE344" s="304">
        <f t="shared" si="142"/>
        <v>0.6</v>
      </c>
      <c r="AF344" s="177">
        <f t="shared" si="143"/>
        <v>0.99879553256677456</v>
      </c>
      <c r="AG344" s="799">
        <f t="shared" si="149"/>
        <v>2</v>
      </c>
      <c r="AH344" s="176">
        <f t="shared" si="144"/>
        <v>8</v>
      </c>
      <c r="AI344" s="224">
        <f t="shared" si="145"/>
        <v>2.9987955325667746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'2026'!Wh/'2026'!Env_an*'2027'!Env_an</f>
        <v>14.410625360514636</v>
      </c>
      <c r="C345" s="829"/>
      <c r="D345" s="391">
        <f t="shared" si="127"/>
        <v>15.332929457282559</v>
      </c>
      <c r="E345" s="383">
        <f t="shared" si="125"/>
        <v>15.775815690904256</v>
      </c>
      <c r="F345" s="383">
        <f t="shared" si="128"/>
        <v>15.787571782708753</v>
      </c>
      <c r="G345" s="110">
        <f t="shared" si="126"/>
        <v>0.58709120518436364</v>
      </c>
      <c r="H345" s="412" t="b">
        <f>Wh_hp&gt;='2026'!Maxi_hp</f>
        <v>0</v>
      </c>
      <c r="I345" s="388">
        <f>IF(H345,Wh_hp,'2026'!Maxi_hp)</f>
        <v>23.300191289146664</v>
      </c>
      <c r="J345" s="85">
        <f>IF(H345,An,'2026'!An_max)</f>
        <v>2020</v>
      </c>
      <c r="K345" s="197">
        <f t="shared" si="129"/>
        <v>46718</v>
      </c>
      <c r="L345" s="147">
        <f>IF(t&lt;Tvie,1-EXP((T0-t)*PertePVj)+'2026'!Pspv,1-EXP((T0-t)*PertePVj)+Pspv)</f>
        <v>6.0151851564794301E-2</v>
      </c>
      <c r="M345" s="832"/>
      <c r="N345" s="832"/>
      <c r="O345" s="48">
        <f>IF(t&lt;Tnet,'2026'!Resal+('2026'!Salim-'2026'!Resal)*(1-EXP(('2026'!Tnet-t)/('2026'!Tau_j))),Resal+(Salim-Resal)*(1-EXP((Tnet-t)/(Tau_j))))*Salcycl</f>
        <v>2.8073745427759297E-2</v>
      </c>
      <c r="P345" s="169">
        <f>(INDEX(Models!$BJ345:$BT345,,T345)*(1-R345)+INDEX(Models!$BJ345:$BT345,,T345+1)*R345-ERP_i)*Q345*Ramure*Pc/MaxiM</f>
        <v>1.8116631861817964E-3</v>
      </c>
      <c r="Q345" s="304">
        <f t="shared" si="130"/>
        <v>0.6</v>
      </c>
      <c r="R345" s="177">
        <f t="shared" si="131"/>
        <v>0.47382735446725643</v>
      </c>
      <c r="S345" s="799">
        <f t="shared" si="132"/>
        <v>-1</v>
      </c>
      <c r="T345" s="176">
        <f t="shared" si="133"/>
        <v>5</v>
      </c>
      <c r="U345" s="250">
        <f t="shared" si="134"/>
        <v>-0.52617264553274357</v>
      </c>
      <c r="V345" s="382">
        <f t="shared" si="135"/>
        <v>24.519593097098017</v>
      </c>
      <c r="W345" s="400">
        <f t="shared" si="136"/>
        <v>14.410625360514636</v>
      </c>
      <c r="X345" s="157">
        <f t="shared" si="137"/>
        <v>46718</v>
      </c>
      <c r="Y345" s="383">
        <f t="shared" si="138"/>
        <v>13.677274877194822</v>
      </c>
      <c r="Z345" s="383">
        <f t="shared" si="139"/>
        <v>14.552643317930364</v>
      </c>
      <c r="AA345" s="384">
        <f t="shared" si="140"/>
        <v>15.676759476338477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7.1705900706378903E-2</v>
      </c>
      <c r="AD345" s="230">
        <f>(INDEX(Models!$BJ345:$BT345,,AH345)*(1-AF345)+INDEX(Models!$BJ345:$BT345,,AH345+1)*AF345-ERP_i)*AE345*Ramure*Pc/MaxiM</f>
        <v>1.7076642422112841E-2</v>
      </c>
      <c r="AE345" s="304">
        <f t="shared" si="142"/>
        <v>0.6</v>
      </c>
      <c r="AF345" s="177">
        <f t="shared" si="143"/>
        <v>0.99881492084123513</v>
      </c>
      <c r="AG345" s="799">
        <f t="shared" si="149"/>
        <v>2</v>
      </c>
      <c r="AH345" s="176">
        <f t="shared" si="144"/>
        <v>8</v>
      </c>
      <c r="AI345" s="224">
        <f t="shared" si="145"/>
        <v>2.9988149208412351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'2026'!Wh/'2026'!Env_an*'2027'!Env_an</f>
        <v>10.455066418000667</v>
      </c>
      <c r="C346" s="829"/>
      <c r="D346" s="391">
        <f t="shared" si="127"/>
        <v>11.124421331478828</v>
      </c>
      <c r="E346" s="383">
        <f t="shared" si="125"/>
        <v>11.446607477512073</v>
      </c>
      <c r="F346" s="383">
        <f t="shared" si="128"/>
        <v>11.450471043356446</v>
      </c>
      <c r="G346" s="110">
        <f t="shared" si="126"/>
        <v>0.42920071881739907</v>
      </c>
      <c r="H346" s="412" t="b">
        <f>Wh_hp&gt;='2026'!Maxi_hp</f>
        <v>0</v>
      </c>
      <c r="I346" s="388">
        <f>IF(H346,Wh_hp,'2026'!Maxi_hp)</f>
        <v>16.384266753107251</v>
      </c>
      <c r="J346" s="85">
        <f>IF(H346,An,'2026'!An_max)</f>
        <v>2020</v>
      </c>
      <c r="K346" s="197">
        <f t="shared" si="129"/>
        <v>46719</v>
      </c>
      <c r="L346" s="147">
        <f>IF(t&lt;Tvie,1-EXP((T0-t)*PertePVj)+'2026'!Pspv,1-EXP((T0-t)*PertePVj)+Pspv)</f>
        <v>6.0169863540145196E-2</v>
      </c>
      <c r="M346" s="832"/>
      <c r="N346" s="832"/>
      <c r="O346" s="48">
        <f>IF(t&lt;Tnet,'2026'!Resal+('2026'!Salim-'2026'!Resal)*(1-EXP(('2026'!Tnet-t)/('2026'!Tau_j))),Resal+(Salim-Resal)*(1-EXP((Tnet-t)/(Tau_j))))*Salcycl</f>
        <v>2.8146867678149119E-2</v>
      </c>
      <c r="P346" s="169">
        <f>(INDEX(Models!$BJ346:$BT346,,T346)*(1-R346)+INDEX(Models!$BJ346:$BT346,,T346+1)*R346-ERP_i)*Q346*Ramure*Pc/MaxiM</f>
        <v>1.8191217487725413E-3</v>
      </c>
      <c r="Q346" s="304">
        <f t="shared" si="130"/>
        <v>0.6</v>
      </c>
      <c r="R346" s="177">
        <f t="shared" si="131"/>
        <v>0.47384596352649122</v>
      </c>
      <c r="S346" s="799">
        <f t="shared" si="132"/>
        <v>-1</v>
      </c>
      <c r="T346" s="176">
        <f t="shared" si="133"/>
        <v>5</v>
      </c>
      <c r="U346" s="250">
        <f t="shared" si="134"/>
        <v>-0.52615403647350878</v>
      </c>
      <c r="V346" s="382">
        <f t="shared" si="135"/>
        <v>24.323281378053036</v>
      </c>
      <c r="W346" s="400">
        <f t="shared" si="136"/>
        <v>10.455066418000667</v>
      </c>
      <c r="X346" s="157">
        <f t="shared" si="137"/>
        <v>46719</v>
      </c>
      <c r="Y346" s="383">
        <f t="shared" si="138"/>
        <v>9.9581166818538076</v>
      </c>
      <c r="Z346" s="383">
        <f t="shared" si="139"/>
        <v>10.59565584836848</v>
      </c>
      <c r="AA346" s="384">
        <f t="shared" si="140"/>
        <v>11.414238984449121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7.1715962596883245E-2</v>
      </c>
      <c r="AD346" s="230">
        <f>(INDEX(Models!$BJ346:$BT346,,AH346)*(1-AF346)+INDEX(Models!$BJ346:$BT346,,AH346+1)*AF346-ERP_i)*AE346*Ramure*Pc/MaxiM</f>
        <v>1.7059506429045863E-2</v>
      </c>
      <c r="AE346" s="304">
        <f t="shared" si="142"/>
        <v>0.6</v>
      </c>
      <c r="AF346" s="177">
        <f t="shared" si="143"/>
        <v>0.99883352990047003</v>
      </c>
      <c r="AG346" s="799">
        <f t="shared" si="149"/>
        <v>2</v>
      </c>
      <c r="AH346" s="176">
        <f t="shared" si="144"/>
        <v>8</v>
      </c>
      <c r="AI346" s="224">
        <f t="shared" si="145"/>
        <v>2.99883352990047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'2026'!Wh/'2026'!Env_an*'2027'!Env_an</f>
        <v>15.227137643520738</v>
      </c>
      <c r="C347" s="829"/>
      <c r="D347" s="391">
        <f t="shared" si="127"/>
        <v>16.202320912043994</v>
      </c>
      <c r="E347" s="383">
        <f t="shared" si="125"/>
        <v>16.672834008124848</v>
      </c>
      <c r="F347" s="383">
        <f t="shared" si="128"/>
        <v>16.687283014722965</v>
      </c>
      <c r="G347" s="110">
        <f t="shared" si="126"/>
        <v>0.63040071840835288</v>
      </c>
      <c r="H347" s="412" t="b">
        <f>Wh_hp&gt;='2026'!Maxi_hp</f>
        <v>0</v>
      </c>
      <c r="I347" s="388">
        <f>IF(H347,Wh_hp,'2026'!Maxi_hp)</f>
        <v>16.697410094505869</v>
      </c>
      <c r="J347" s="85">
        <f>IF(H347,An,'2026'!An_max)</f>
        <v>2026</v>
      </c>
      <c r="K347" s="197">
        <f t="shared" si="129"/>
        <v>46720</v>
      </c>
      <c r="L347" s="147">
        <f>IF(t&lt;Tvie,1-EXP((T0-t)*PertePVj)+'2026'!Pspv,1-EXP((T0-t)*PertePVj)+Pspv)</f>
        <v>6.0187875170300775E-2</v>
      </c>
      <c r="M347" s="832"/>
      <c r="N347" s="832"/>
      <c r="O347" s="48">
        <f>IF(t&lt;Tnet,'2026'!Resal+('2026'!Salim-'2026'!Resal)*(1-EXP(('2026'!Tnet-t)/('2026'!Tau_j))),Resal+(Salim-Resal)*(1-EXP((Tnet-t)/(Tau_j))))*Salcycl</f>
        <v>2.8220343095335162E-2</v>
      </c>
      <c r="P347" s="169">
        <f>(INDEX(Models!$BJ347:$BT347,,T347)*(1-R347)+INDEX(Models!$BJ347:$BT347,,T347+1)*R347-ERP_i)*Q347*Ramure*Pc/MaxiM</f>
        <v>1.8310865774236516E-3</v>
      </c>
      <c r="Q347" s="304">
        <f t="shared" si="130"/>
        <v>0.6</v>
      </c>
      <c r="R347" s="177">
        <f t="shared" si="131"/>
        <v>0.47386382463262033</v>
      </c>
      <c r="S347" s="799">
        <f t="shared" si="132"/>
        <v>-1</v>
      </c>
      <c r="T347" s="176">
        <f t="shared" si="133"/>
        <v>5</v>
      </c>
      <c r="U347" s="250">
        <f t="shared" si="134"/>
        <v>-0.52613617536737967</v>
      </c>
      <c r="V347" s="382">
        <f t="shared" si="135"/>
        <v>24.131361158564221</v>
      </c>
      <c r="W347" s="400">
        <f t="shared" si="136"/>
        <v>15.227137643520738</v>
      </c>
      <c r="X347" s="157">
        <f t="shared" si="137"/>
        <v>46720</v>
      </c>
      <c r="Y347" s="383">
        <f t="shared" si="138"/>
        <v>14.440734970988229</v>
      </c>
      <c r="Z347" s="383">
        <f t="shared" si="139"/>
        <v>15.36555508219794</v>
      </c>
      <c r="AA347" s="384">
        <f t="shared" si="140"/>
        <v>16.552845137076499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7.1727249608537977E-2</v>
      </c>
      <c r="AD347" s="230">
        <f>(INDEX(Models!$BJ347:$BT347,,AH347)*(1-AF347)+INDEX(Models!$BJ347:$BT347,,AH347+1)*AF347-ERP_i)*AE347*Ramure*Pc/MaxiM</f>
        <v>1.7036977011821702E-2</v>
      </c>
      <c r="AE347" s="304">
        <f t="shared" si="142"/>
        <v>0.6</v>
      </c>
      <c r="AF347" s="177">
        <f t="shared" si="143"/>
        <v>0.99885139100659925</v>
      </c>
      <c r="AG347" s="799">
        <f t="shared" si="149"/>
        <v>2</v>
      </c>
      <c r="AH347" s="176">
        <f t="shared" si="144"/>
        <v>8</v>
      </c>
      <c r="AI347" s="224">
        <f t="shared" si="145"/>
        <v>2.9988513910065993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'2026'!Wh/'2026'!Env_an*'2027'!Env_an</f>
        <v>3.9792161592249657</v>
      </c>
      <c r="C348" s="829"/>
      <c r="D348" s="391">
        <f t="shared" si="127"/>
        <v>4.2341360749920911</v>
      </c>
      <c r="E348" s="383">
        <f t="shared" si="125"/>
        <v>4.3574258435738971</v>
      </c>
      <c r="F348" s="383">
        <f t="shared" si="128"/>
        <v>4.3574258435738971</v>
      </c>
      <c r="G348" s="110">
        <f t="shared" si="126"/>
        <v>0.16587839657229247</v>
      </c>
      <c r="H348" s="412" t="b">
        <f>Wh_hp&gt;='2026'!Maxi_hp</f>
        <v>0</v>
      </c>
      <c r="I348" s="388">
        <f>IF(H348,Wh_hp,'2026'!Maxi_hp)</f>
        <v>25.310170680267795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6.0205886455267477E-2</v>
      </c>
      <c r="M348" s="832"/>
      <c r="N348" s="832"/>
      <c r="O348" s="48">
        <f>IF(t&lt;Tnet,'2026'!Resal+('2026'!Salim-'2026'!Resal)*(1-EXP(('2026'!Tnet-t)/('2026'!Tau_j))),Resal+(Salim-Resal)*(1-EXP((Tnet-t)/(Tau_j))))*Salcycl</f>
        <v>2.8294174819665004E-2</v>
      </c>
      <c r="P348" s="169">
        <f>(INDEX(Models!$BJ348:$BT348,,T348)*(1-R348)+INDEX(Models!$BJ348:$BT348,,T348+1)*R348-ERP_i)*Q348*Ramure*Pc/MaxiM</f>
        <v>1.8475331539838042E-3</v>
      </c>
      <c r="Q348" s="304">
        <f t="shared" si="130"/>
        <v>0.6</v>
      </c>
      <c r="R348" s="177">
        <f t="shared" si="131"/>
        <v>0.47388096779782951</v>
      </c>
      <c r="S348" s="799">
        <f t="shared" si="132"/>
        <v>-1</v>
      </c>
      <c r="T348" s="176">
        <f t="shared" si="133"/>
        <v>5</v>
      </c>
      <c r="U348" s="250">
        <f t="shared" si="134"/>
        <v>-0.52611903220217049</v>
      </c>
      <c r="V348" s="382">
        <f t="shared" si="135"/>
        <v>23.944434643199163</v>
      </c>
      <c r="W348" s="400">
        <f t="shared" si="136"/>
        <v>3.9792161592249657</v>
      </c>
      <c r="X348" s="157">
        <f t="shared" si="137"/>
        <v>46721</v>
      </c>
      <c r="Y348" s="383">
        <f t="shared" si="138"/>
        <v>3.8013028759002414</v>
      </c>
      <c r="Z348" s="383">
        <f t="shared" si="139"/>
        <v>4.0448251602283589</v>
      </c>
      <c r="AA348" s="384">
        <f t="shared" si="140"/>
        <v>4.3574258435738971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7.1739759795693442E-2</v>
      </c>
      <c r="AD348" s="230">
        <f>(INDEX(Models!$BJ348:$BT348,,AH348)*(1-AF348)+INDEX(Models!$BJ348:$BT348,,AH348+1)*AF348-ERP_i)*AE348*Ramure*Pc/MaxiM</f>
        <v>1.7008667744003381E-2</v>
      </c>
      <c r="AE348" s="304">
        <f t="shared" si="142"/>
        <v>0.6</v>
      </c>
      <c r="AF348" s="177">
        <f t="shared" si="143"/>
        <v>0.99886853417180799</v>
      </c>
      <c r="AG348" s="799">
        <f t="shared" si="149"/>
        <v>2</v>
      </c>
      <c r="AH348" s="176">
        <f t="shared" si="144"/>
        <v>8</v>
      </c>
      <c r="AI348" s="224">
        <f t="shared" si="145"/>
        <v>2.998868534171808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'2026'!Wh/'2026'!Env_an*'2027'!Env_an</f>
        <v>3.7666500118349187</v>
      </c>
      <c r="C349" s="829"/>
      <c r="D349" s="391">
        <f t="shared" si="127"/>
        <v>4.0080291480004773</v>
      </c>
      <c r="E349" s="383">
        <f t="shared" si="125"/>
        <v>4.1250500710688378</v>
      </c>
      <c r="F349" s="383">
        <f t="shared" si="128"/>
        <v>4.1250500710688378</v>
      </c>
      <c r="G349" s="110">
        <f t="shared" si="126"/>
        <v>0.15821217291929629</v>
      </c>
      <c r="H349" s="412" t="b">
        <f>Wh_hp&gt;='2026'!Maxi_hp</f>
        <v>0</v>
      </c>
      <c r="I349" s="388">
        <f>IF(H349,Wh_hp,'2026'!Maxi_hp)</f>
        <v>26.146261330818092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6.0223897395052073E-2</v>
      </c>
      <c r="M349" s="832"/>
      <c r="N349" s="832"/>
      <c r="O349" s="48">
        <f>IF(t&lt;Tnet,'2026'!Resal+('2026'!Salim-'2026'!Resal)*(1-EXP(('2026'!Tnet-t)/('2026'!Tau_j))),Resal+(Salim-Resal)*(1-EXP((Tnet-t)/(Tau_j))))*Salcycl</f>
        <v>2.8368364274918879E-2</v>
      </c>
      <c r="P349" s="169">
        <f>(INDEX(Models!$BJ349:$BT349,,T349)*(1-R349)+INDEX(Models!$BJ349:$BT349,,T349+1)*R349-ERP_i)*Q349*Ramure*Pc/MaxiM</f>
        <v>1.8684348073843052E-3</v>
      </c>
      <c r="Q349" s="304">
        <f t="shared" si="130"/>
        <v>0.6</v>
      </c>
      <c r="R349" s="177">
        <f t="shared" si="131"/>
        <v>0.47389742183400496</v>
      </c>
      <c r="S349" s="799">
        <f t="shared" si="132"/>
        <v>-1</v>
      </c>
      <c r="T349" s="176">
        <f t="shared" si="133"/>
        <v>5</v>
      </c>
      <c r="U349" s="250">
        <f t="shared" si="134"/>
        <v>-0.52610257816599504</v>
      </c>
      <c r="V349" s="382">
        <f t="shared" si="135"/>
        <v>23.763103701023955</v>
      </c>
      <c r="W349" s="400">
        <f t="shared" si="136"/>
        <v>3.7666500118349187</v>
      </c>
      <c r="X349" s="157">
        <f t="shared" si="137"/>
        <v>46722</v>
      </c>
      <c r="Y349" s="383">
        <f t="shared" si="138"/>
        <v>3.5984622267112631</v>
      </c>
      <c r="Z349" s="383">
        <f t="shared" si="139"/>
        <v>3.8290633447017353</v>
      </c>
      <c r="AA349" s="384">
        <f t="shared" si="140"/>
        <v>4.1250500710688378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7.1753486931713642E-2</v>
      </c>
      <c r="AD349" s="230">
        <f>(INDEX(Models!$BJ349:$BT349,,AH349)*(1-AF349)+INDEX(Models!$BJ349:$BT349,,AH349+1)*AF349-ERP_i)*AE349*Ramure*Pc/MaxiM</f>
        <v>1.6974155844593233E-2</v>
      </c>
      <c r="AE349" s="304">
        <f t="shared" si="142"/>
        <v>0.6</v>
      </c>
      <c r="AF349" s="177">
        <f t="shared" si="143"/>
        <v>0.99888498820798377</v>
      </c>
      <c r="AG349" s="799">
        <f t="shared" si="149"/>
        <v>2</v>
      </c>
      <c r="AH349" s="176">
        <f t="shared" si="144"/>
        <v>8</v>
      </c>
      <c r="AI349" s="224">
        <f t="shared" si="145"/>
        <v>2.9988849882079838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'2026'!Wh/'2026'!Env_an*'2027'!Env_an</f>
        <v>5.6588880802633676</v>
      </c>
      <c r="C350" s="829"/>
      <c r="D350" s="391">
        <f t="shared" si="127"/>
        <v>6.0216433658558062</v>
      </c>
      <c r="E350" s="383">
        <f t="shared" si="125"/>
        <v>6.1979305542488161</v>
      </c>
      <c r="F350" s="383">
        <f t="shared" si="128"/>
        <v>6.1979305542488161</v>
      </c>
      <c r="G350" s="110">
        <f t="shared" si="126"/>
        <v>0.2394513613510543</v>
      </c>
      <c r="H350" s="412" t="b">
        <f>Wh_hp&gt;='2026'!Maxi_hp</f>
        <v>0</v>
      </c>
      <c r="I350" s="388">
        <f>IF(H350,Wh_hp,'2026'!Maxi_hp)</f>
        <v>9.9498204075695913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6.0241907989661114E-2</v>
      </c>
      <c r="M350" s="832"/>
      <c r="N350" s="832"/>
      <c r="O350" s="48">
        <f>IF(t&lt;Tnet,'2026'!Resal+('2026'!Salim-'2026'!Resal)*(1-EXP(('2026'!Tnet-t)/('2026'!Tau_j))),Resal+(Salim-Resal)*(1-EXP((Tnet-t)/(Tau_j))))*Salcycl</f>
        <v>2.8442911202378858E-2</v>
      </c>
      <c r="P350" s="169">
        <f>(INDEX(Models!$BJ350:$BT350,,T350)*(1-R350)+INDEX(Models!$BJ350:$BT350,,T350+1)*R350-ERP_i)*Q350*Ramure*Pc/MaxiM</f>
        <v>1.8937615697961461E-3</v>
      </c>
      <c r="Q350" s="304">
        <f t="shared" si="130"/>
        <v>0.6</v>
      </c>
      <c r="R350" s="177">
        <f t="shared" si="131"/>
        <v>0.47391321440042689</v>
      </c>
      <c r="S350" s="799">
        <f t="shared" si="132"/>
        <v>-1</v>
      </c>
      <c r="T350" s="176">
        <f t="shared" si="133"/>
        <v>5</v>
      </c>
      <c r="U350" s="250">
        <f t="shared" si="134"/>
        <v>-0.52608678559957311</v>
      </c>
      <c r="V350" s="382">
        <f t="shared" si="135"/>
        <v>23.587969864195212</v>
      </c>
      <c r="W350" s="400">
        <f t="shared" si="136"/>
        <v>5.6588880802633676</v>
      </c>
      <c r="X350" s="157">
        <f t="shared" si="137"/>
        <v>46723</v>
      </c>
      <c r="Y350" s="383">
        <f t="shared" si="138"/>
        <v>5.4065362506174948</v>
      </c>
      <c r="Z350" s="383">
        <f t="shared" si="139"/>
        <v>5.7531148670949825</v>
      </c>
      <c r="AA350" s="384">
        <f t="shared" si="140"/>
        <v>6.1979305542488161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7.1768420646291867E-2</v>
      </c>
      <c r="AD350" s="230">
        <f>(INDEX(Models!$BJ350:$BT350,,AH350)*(1-AF350)+INDEX(Models!$BJ350:$BT350,,AH350+1)*AF350-ERP_i)*AE350*Ramure*Pc/MaxiM</f>
        <v>1.6932984228637409E-2</v>
      </c>
      <c r="AE350" s="304">
        <f t="shared" si="142"/>
        <v>0.6</v>
      </c>
      <c r="AF350" s="177">
        <f t="shared" si="143"/>
        <v>0.99890078077440547</v>
      </c>
      <c r="AG350" s="799">
        <f t="shared" si="149"/>
        <v>2</v>
      </c>
      <c r="AH350" s="176">
        <f t="shared" si="144"/>
        <v>8</v>
      </c>
      <c r="AI350" s="224">
        <f t="shared" si="145"/>
        <v>2.9989007807744055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'2026'!Wh/'2026'!Env_an*'2027'!Env_an</f>
        <v>9.4840896625512272</v>
      </c>
      <c r="C351" s="829"/>
      <c r="D351" s="391">
        <f t="shared" si="127"/>
        <v>10.092247682763302</v>
      </c>
      <c r="E351" s="383">
        <f t="shared" si="125"/>
        <v>10.388505136933521</v>
      </c>
      <c r="F351" s="383">
        <f t="shared" si="128"/>
        <v>10.391502261038438</v>
      </c>
      <c r="G351" s="110">
        <f t="shared" si="126"/>
        <v>0.40430085363927731</v>
      </c>
      <c r="H351" s="412" t="b">
        <f>Wh_hp&gt;='2026'!Maxi_hp</f>
        <v>0</v>
      </c>
      <c r="I351" s="388">
        <f>IF(H351,Wh_hp,'2026'!Maxi_hp)</f>
        <v>16.647333469246274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6.0259918239101262E-2</v>
      </c>
      <c r="M351" s="832"/>
      <c r="N351" s="832"/>
      <c r="O351" s="48">
        <f>IF(t&lt;Tnet,'2026'!Resal+('2026'!Salim-'2026'!Resal)*(1-EXP(('2026'!Tnet-t)/('2026'!Tau_j))),Resal+(Salim-Resal)*(1-EXP((Tnet-t)/(Tau_j))))*Salcycl</f>
        <v>2.8517813705164863E-2</v>
      </c>
      <c r="P351" s="169">
        <f>(INDEX(Models!$BJ351:$BT351,,T351)*(1-R351)+INDEX(Models!$BJ351:$BT351,,T351+1)*R351-ERP_i)*Q351*Ramure*Pc/MaxiM</f>
        <v>1.9234789491515763E-3</v>
      </c>
      <c r="Q351" s="304">
        <f t="shared" si="130"/>
        <v>0.6</v>
      </c>
      <c r="R351" s="177">
        <f t="shared" si="131"/>
        <v>0.47392837204958949</v>
      </c>
      <c r="S351" s="799">
        <f t="shared" si="132"/>
        <v>-1</v>
      </c>
      <c r="T351" s="176">
        <f t="shared" si="133"/>
        <v>5</v>
      </c>
      <c r="U351" s="250">
        <f t="shared" si="134"/>
        <v>-0.52607162795041051</v>
      </c>
      <c r="V351" s="382">
        <f t="shared" si="135"/>
        <v>23.419634324814847</v>
      </c>
      <c r="W351" s="400">
        <f t="shared" si="136"/>
        <v>9.4840896625512272</v>
      </c>
      <c r="X351" s="157">
        <f t="shared" si="137"/>
        <v>46724</v>
      </c>
      <c r="Y351" s="383">
        <f t="shared" si="138"/>
        <v>9.0413636168296438</v>
      </c>
      <c r="Z351" s="383">
        <f t="shared" si="139"/>
        <v>9.6211322601966742</v>
      </c>
      <c r="AA351" s="384">
        <f t="shared" si="140"/>
        <v>10.365192935339568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7.1784546586302192E-2</v>
      </c>
      <c r="AD351" s="230">
        <f>(INDEX(Models!$BJ351:$BT351,,AH351)*(1-AF351)+INDEX(Models!$BJ351:$BT351,,AH351+1)*AF351-ERP_i)*AE351*Ramure*Pc/MaxiM</f>
        <v>1.6884664223650963E-2</v>
      </c>
      <c r="AE351" s="304">
        <f t="shared" si="142"/>
        <v>0.6</v>
      </c>
      <c r="AF351" s="177">
        <f t="shared" si="143"/>
        <v>0.99891593842356841</v>
      </c>
      <c r="AG351" s="799">
        <f t="shared" si="149"/>
        <v>2</v>
      </c>
      <c r="AH351" s="176">
        <f t="shared" si="144"/>
        <v>8</v>
      </c>
      <c r="AI351" s="224">
        <f t="shared" si="145"/>
        <v>2.9989159384235684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'2026'!Wh/'2026'!Env_an*'2027'!Env_an</f>
        <v>17.392924281816278</v>
      </c>
      <c r="C352" s="829"/>
      <c r="D352" s="391">
        <f t="shared" si="127"/>
        <v>18.508583338319227</v>
      </c>
      <c r="E352" s="383">
        <f t="shared" si="125"/>
        <v>19.053377873240425</v>
      </c>
      <c r="F352" s="383">
        <f t="shared" si="128"/>
        <v>19.077254055928201</v>
      </c>
      <c r="G352" s="110">
        <f t="shared" si="126"/>
        <v>0.74727440235824549</v>
      </c>
      <c r="H352" s="412" t="b">
        <f>Wh_hp&gt;='2026'!Maxi_hp</f>
        <v>0</v>
      </c>
      <c r="I352" s="388">
        <f>IF(H352,Wh_hp,'2026'!Maxi_hp)</f>
        <v>19.085994637673178</v>
      </c>
      <c r="J352" s="85">
        <f>IF(H352,An,'2026'!An_max)</f>
        <v>2026</v>
      </c>
      <c r="K352" s="197">
        <f t="shared" si="129"/>
        <v>46725</v>
      </c>
      <c r="L352" s="147">
        <f>IF(t&lt;Tvie,1-EXP((T0-t)*PertePVj)+'2026'!Pspv,1-EXP((T0-t)*PertePVj)+Pspv)</f>
        <v>6.0277928143379067E-2</v>
      </c>
      <c r="M352" s="832"/>
      <c r="N352" s="832"/>
      <c r="O352" s="48">
        <f>IF(t&lt;Tnet,'2026'!Resal+('2026'!Salim-'2026'!Resal)*(1-EXP(('2026'!Tnet-t)/('2026'!Tau_j))),Resal+(Salim-Resal)*(1-EXP((Tnet-t)/(Tau_j))))*Salcycl</f>
        <v>2.8593068302410495E-2</v>
      </c>
      <c r="P352" s="169">
        <f>(INDEX(Models!$BJ352:$BT352,,T352)*(1-R352)+INDEX(Models!$BJ352:$BT352,,T352+1)*R352-ERP_i)*Q352*Ramure*Pc/MaxiM</f>
        <v>1.9564145564922976E-3</v>
      </c>
      <c r="Q352" s="304">
        <f t="shared" si="130"/>
        <v>0.6</v>
      </c>
      <c r="R352" s="177">
        <f t="shared" si="131"/>
        <v>0.47394292027122442</v>
      </c>
      <c r="S352" s="799">
        <f t="shared" si="132"/>
        <v>-1</v>
      </c>
      <c r="T352" s="176">
        <f t="shared" si="133"/>
        <v>5</v>
      </c>
      <c r="U352" s="250">
        <f t="shared" si="134"/>
        <v>-0.52605707972877558</v>
      </c>
      <c r="V352" s="382">
        <f t="shared" si="135"/>
        <v>23.258724304883849</v>
      </c>
      <c r="W352" s="400">
        <f t="shared" si="136"/>
        <v>17.392924281816278</v>
      </c>
      <c r="X352" s="157">
        <f t="shared" si="137"/>
        <v>46725</v>
      </c>
      <c r="Y352" s="383">
        <f t="shared" si="138"/>
        <v>16.460957580563264</v>
      </c>
      <c r="Z352" s="383">
        <f t="shared" si="139"/>
        <v>17.516836172679373</v>
      </c>
      <c r="AA352" s="384">
        <f t="shared" si="140"/>
        <v>18.87187138704293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7.1801846598737326E-2</v>
      </c>
      <c r="AD352" s="230">
        <f>(INDEX(Models!$BJ352:$BT352,,AH352)*(1-AF352)+INDEX(Models!$BJ352:$BT352,,AH352+1)*AF352-ERP_i)*AE352*Ramure*Pc/MaxiM</f>
        <v>1.682905715343266E-2</v>
      </c>
      <c r="AE352" s="304">
        <f t="shared" si="142"/>
        <v>0.6</v>
      </c>
      <c r="AF352" s="177">
        <f t="shared" si="143"/>
        <v>0.99893048664520334</v>
      </c>
      <c r="AG352" s="799">
        <f t="shared" si="149"/>
        <v>2</v>
      </c>
      <c r="AH352" s="176">
        <f t="shared" si="144"/>
        <v>8</v>
      </c>
      <c r="AI352" s="224">
        <f t="shared" si="145"/>
        <v>2.9989304866452033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'2026'!Wh/'2026'!Env_an*'2027'!Env_an</f>
        <v>23.058071996835562</v>
      </c>
      <c r="C353" s="829"/>
      <c r="D353" s="391">
        <f t="shared" si="127"/>
        <v>24.537588930349497</v>
      </c>
      <c r="E353" s="383">
        <f t="shared" si="125"/>
        <v>25.26181146670821</v>
      </c>
      <c r="F353" s="383">
        <f t="shared" si="128"/>
        <v>25.312071327681728</v>
      </c>
      <c r="G353" s="110">
        <f t="shared" si="126"/>
        <v>0.997925740737998</v>
      </c>
      <c r="H353" s="412" t="b">
        <f>Wh_hp&gt;='2026'!Maxi_hp</f>
        <v>0</v>
      </c>
      <c r="I353" s="388">
        <f>IF(H353,Wh_hp,'2026'!Maxi_hp)</f>
        <v>25.312168669926258</v>
      </c>
      <c r="J353" s="85">
        <f>IF(H353,An,'2026'!An_max)</f>
        <v>2026</v>
      </c>
      <c r="K353" s="197">
        <f t="shared" si="129"/>
        <v>46726</v>
      </c>
      <c r="L353" s="147">
        <f>IF(t&lt;Tvie,1-EXP((T0-t)*PertePVj)+'2026'!Pspv,1-EXP((T0-t)*PertePVj)+Pspv)</f>
        <v>6.0295937702501079E-2</v>
      </c>
      <c r="M353" s="832"/>
      <c r="N353" s="832"/>
      <c r="O353" s="48">
        <f>IF(t&lt;Tnet,'2026'!Resal+('2026'!Salim-'2026'!Resal)*(1-EXP(('2026'!Tnet-t)/('2026'!Tau_j))),Resal+(Salim-Resal)*(1-EXP((Tnet-t)/(Tau_j))))*Salcycl</f>
        <v>2.8668669992773253E-2</v>
      </c>
      <c r="P353" s="169">
        <f>(INDEX(Models!$BJ353:$BT353,,T353)*(1-R353)+INDEX(Models!$BJ353:$BT353,,T353+1)*R353-ERP_i)*Q353*Ramure*Pc/MaxiM</f>
        <v>1.9914928877420158E-3</v>
      </c>
      <c r="Q353" s="304">
        <f t="shared" si="130"/>
        <v>0.6</v>
      </c>
      <c r="R353" s="177">
        <f t="shared" si="131"/>
        <v>0.47395688353459342</v>
      </c>
      <c r="S353" s="799">
        <f t="shared" si="132"/>
        <v>-1</v>
      </c>
      <c r="T353" s="176">
        <f t="shared" si="133"/>
        <v>5</v>
      </c>
      <c r="U353" s="250">
        <f t="shared" si="134"/>
        <v>-0.52604311646540658</v>
      </c>
      <c r="V353" s="382">
        <f t="shared" si="135"/>
        <v>23.105863593070254</v>
      </c>
      <c r="W353" s="400">
        <f t="shared" si="136"/>
        <v>23.058071996835562</v>
      </c>
      <c r="X353" s="157">
        <f t="shared" si="137"/>
        <v>46726</v>
      </c>
      <c r="Y353" s="383">
        <f t="shared" si="138"/>
        <v>21.708411202433766</v>
      </c>
      <c r="Z353" s="383">
        <f t="shared" si="139"/>
        <v>23.101327400201392</v>
      </c>
      <c r="AA353" s="384">
        <f t="shared" si="140"/>
        <v>24.888852205745088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7.1820298934118065E-2</v>
      </c>
      <c r="AD353" s="230">
        <f>(INDEX(Models!$BJ353:$BT353,,AH353)*(1-AF353)+INDEX(Models!$BJ353:$BT353,,AH353+1)*AF353-ERP_i)*AE353*Ramure*Pc/MaxiM</f>
        <v>1.6769602123199452E-2</v>
      </c>
      <c r="AE353" s="304">
        <f t="shared" si="142"/>
        <v>0.6</v>
      </c>
      <c r="AF353" s="177">
        <f t="shared" si="143"/>
        <v>0.99894444990857201</v>
      </c>
      <c r="AG353" s="799">
        <f t="shared" si="149"/>
        <v>2</v>
      </c>
      <c r="AH353" s="176">
        <f t="shared" si="144"/>
        <v>8</v>
      </c>
      <c r="AI353" s="224">
        <f t="shared" si="145"/>
        <v>2.998944449908572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'2026'!Wh/'2026'!Env_an*'2027'!Env_an</f>
        <v>11.335110284953418</v>
      </c>
      <c r="C354" s="829"/>
      <c r="D354" s="391">
        <f t="shared" si="127"/>
        <v>12.062656722165773</v>
      </c>
      <c r="E354" s="383">
        <f t="shared" si="125"/>
        <v>12.419654887127672</v>
      </c>
      <c r="F354" s="383">
        <f t="shared" si="128"/>
        <v>12.426629002806324</v>
      </c>
      <c r="G354" s="110">
        <f t="shared" si="126"/>
        <v>0.49292915395349857</v>
      </c>
      <c r="H354" s="412" t="b">
        <f>Wh_hp&gt;='2026'!Maxi_hp</f>
        <v>0</v>
      </c>
      <c r="I354" s="388">
        <f>IF(H354,Wh_hp,'2026'!Maxi_hp)</f>
        <v>18.881092862283797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6.031394691647407E-2</v>
      </c>
      <c r="M354" s="832"/>
      <c r="N354" s="832"/>
      <c r="O354" s="48">
        <f>IF(t&lt;Tnet,'2026'!Resal+('2026'!Salim-'2026'!Resal)*(1-EXP(('2026'!Tnet-t)/('2026'!Tau_j))),Resal+(Salim-Resal)*(1-EXP((Tnet-t)/(Tau_j))))*Salcycl</f>
        <v>2.874461232670078E-2</v>
      </c>
      <c r="P354" s="169">
        <f>(INDEX(Models!$BJ354:$BT354,,T354)*(1-R354)+INDEX(Models!$BJ354:$BT354,,T354+1)*R354-ERP_i)*Q354*Ramure*Pc/MaxiM</f>
        <v>2.028651592868835E-3</v>
      </c>
      <c r="Q354" s="304">
        <f t="shared" si="130"/>
        <v>0.6</v>
      </c>
      <c r="R354" s="177">
        <f t="shared" si="131"/>
        <v>0.47397028532911634</v>
      </c>
      <c r="S354" s="799">
        <f t="shared" si="132"/>
        <v>-1</v>
      </c>
      <c r="T354" s="176">
        <f t="shared" si="133"/>
        <v>5</v>
      </c>
      <c r="U354" s="250">
        <f t="shared" si="134"/>
        <v>-0.52602971467088366</v>
      </c>
      <c r="V354" s="382">
        <f t="shared" si="135"/>
        <v>22.96165157625817</v>
      </c>
      <c r="W354" s="400">
        <f t="shared" si="136"/>
        <v>11.335110284953418</v>
      </c>
      <c r="X354" s="157">
        <f t="shared" si="137"/>
        <v>46727</v>
      </c>
      <c r="Y354" s="383">
        <f t="shared" si="138"/>
        <v>10.78815609123345</v>
      </c>
      <c r="Z354" s="383">
        <f t="shared" si="139"/>
        <v>11.480596158507124</v>
      </c>
      <c r="AA354" s="384">
        <f t="shared" si="140"/>
        <v>12.36919782716485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7.1839878468610702E-2</v>
      </c>
      <c r="AD354" s="230">
        <f>(INDEX(Models!$BJ354:$BT354,,AH354)*(1-AF354)+INDEX(Models!$BJ354:$BT354,,AH354+1)*AF354-ERP_i)*AE354*Ramure*Pc/MaxiM</f>
        <v>1.6705751856403734E-2</v>
      </c>
      <c r="AE354" s="304">
        <f t="shared" si="142"/>
        <v>0.6</v>
      </c>
      <c r="AF354" s="177">
        <f t="shared" si="143"/>
        <v>0.99895785170309503</v>
      </c>
      <c r="AG354" s="799">
        <f t="shared" si="149"/>
        <v>2</v>
      </c>
      <c r="AH354" s="176">
        <f t="shared" si="144"/>
        <v>8</v>
      </c>
      <c r="AI354" s="224">
        <f t="shared" si="145"/>
        <v>2.998957851703095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'2026'!Wh/'2026'!Env_an*'2027'!Env_an</f>
        <v>20.425582491250562</v>
      </c>
      <c r="C355" s="829"/>
      <c r="D355" s="391">
        <f t="shared" si="127"/>
        <v>21.737019383606626</v>
      </c>
      <c r="E355" s="383">
        <f t="shared" si="125"/>
        <v>22.382091113302568</v>
      </c>
      <c r="F355" s="383">
        <f t="shared" si="128"/>
        <v>22.421487683369939</v>
      </c>
      <c r="G355" s="110">
        <f t="shared" si="126"/>
        <v>0.8945329705159023</v>
      </c>
      <c r="H355" s="412" t="b">
        <f>Wh_hp&gt;='2026'!Maxi_hp</f>
        <v>0</v>
      </c>
      <c r="I355" s="388">
        <f>IF(H355,Wh_hp,'2026'!Maxi_hp)</f>
        <v>22.426068897825939</v>
      </c>
      <c r="J355" s="85">
        <f>IF(H355,An,'2026'!An_max)</f>
        <v>2026</v>
      </c>
      <c r="K355" s="197">
        <f t="shared" si="129"/>
        <v>46728</v>
      </c>
      <c r="L355" s="147">
        <f>IF(t&lt;Tvie,1-EXP((T0-t)*PertePVj)+'2026'!Pspv,1-EXP((T0-t)*PertePVj)+Pspv)</f>
        <v>6.0331955785304592E-2</v>
      </c>
      <c r="M355" s="832"/>
      <c r="N355" s="832"/>
      <c r="O355" s="48">
        <f>IF(t&lt;Tnet,'2026'!Resal+('2026'!Salim-'2026'!Resal)*(1-EXP(('2026'!Tnet-t)/('2026'!Tau_j))),Resal+(Salim-Resal)*(1-EXP((Tnet-t)/(Tau_j))))*Salcycl</f>
        <v>2.8820887486806342E-2</v>
      </c>
      <c r="P355" s="169">
        <f>(INDEX(Models!$BJ355:$BT355,,T355)*(1-R355)+INDEX(Models!$BJ355:$BT355,,T355+1)*R355-ERP_i)*Q355*Ramure*Pc/MaxiM</f>
        <v>2.0678196988386604E-3</v>
      </c>
      <c r="Q355" s="304">
        <f t="shared" si="130"/>
        <v>0.6</v>
      </c>
      <c r="R355" s="177">
        <f t="shared" si="131"/>
        <v>0.47398314820340137</v>
      </c>
      <c r="S355" s="799">
        <f t="shared" si="132"/>
        <v>-1</v>
      </c>
      <c r="T355" s="176">
        <f t="shared" si="133"/>
        <v>5</v>
      </c>
      <c r="U355" s="250">
        <f t="shared" si="134"/>
        <v>-0.52601685179659863</v>
      </c>
      <c r="V355" s="382">
        <f t="shared" si="135"/>
        <v>22.826687395561652</v>
      </c>
      <c r="W355" s="400">
        <f t="shared" si="136"/>
        <v>20.425582491250562</v>
      </c>
      <c r="X355" s="157">
        <f t="shared" si="137"/>
        <v>46728</v>
      </c>
      <c r="Y355" s="383">
        <f t="shared" si="138"/>
        <v>19.278299110205253</v>
      </c>
      <c r="Z355" s="383">
        <f t="shared" si="139"/>
        <v>20.516073978355433</v>
      </c>
      <c r="AA355" s="384">
        <f t="shared" si="140"/>
        <v>22.104516871711553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7.1860556942954179E-2</v>
      </c>
      <c r="AD355" s="230">
        <f>(INDEX(Models!$BJ355:$BT355,,AH355)*(1-AF355)+INDEX(Models!$BJ355:$BT355,,AH355+1)*AF355-ERP_i)*AE355*Ramure*Pc/MaxiM</f>
        <v>1.6636942941561397E-2</v>
      </c>
      <c r="AE355" s="304">
        <f t="shared" si="142"/>
        <v>0.6</v>
      </c>
      <c r="AF355" s="177">
        <f t="shared" si="143"/>
        <v>0.99897071457738029</v>
      </c>
      <c r="AG355" s="799">
        <f t="shared" si="149"/>
        <v>2</v>
      </c>
      <c r="AH355" s="176">
        <f t="shared" si="144"/>
        <v>8</v>
      </c>
      <c r="AI355" s="224">
        <f t="shared" si="145"/>
        <v>2.9989707145773803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'2026'!Wh/'2026'!Env_an*'2027'!Env_an</f>
        <v>4.1022695074270326</v>
      </c>
      <c r="C356" s="829"/>
      <c r="D356" s="391">
        <f t="shared" si="127"/>
        <v>4.3657418736863045</v>
      </c>
      <c r="E356" s="383">
        <f t="shared" si="125"/>
        <v>4.4956550028816791</v>
      </c>
      <c r="F356" s="383">
        <f t="shared" si="128"/>
        <v>4.4956550028816791</v>
      </c>
      <c r="G356" s="110">
        <f t="shared" si="126"/>
        <v>0.18032313070194969</v>
      </c>
      <c r="H356" s="412" t="b">
        <f>Wh_hp&gt;='2026'!Maxi_hp</f>
        <v>0</v>
      </c>
      <c r="I356" s="388">
        <f>IF(H356,Wh_hp,'2026'!Maxi_hp)</f>
        <v>17.076709643331426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6.0349964308999193E-2</v>
      </c>
      <c r="M356" s="832"/>
      <c r="N356" s="832"/>
      <c r="O356" s="48">
        <f>IF(t&lt;Tnet,'2026'!Resal+('2026'!Salim-'2026'!Resal)*(1-EXP(('2026'!Tnet-t)/('2026'!Tau_j))),Resal+(Salim-Resal)*(1-EXP((Tnet-t)/(Tau_j))))*Salcycl</f>
        <v>2.8897486375645133E-2</v>
      </c>
      <c r="P356" s="169">
        <f>(INDEX(Models!$BJ356:$BT356,,T356)*(1-R356)+INDEX(Models!$BJ356:$BT356,,T356+1)*R356-ERP_i)*Q356*Ramure*Pc/MaxiM</f>
        <v>2.1089169672458014E-3</v>
      </c>
      <c r="Q356" s="304">
        <f t="shared" si="130"/>
        <v>0.6</v>
      </c>
      <c r="R356" s="177">
        <f t="shared" si="131"/>
        <v>0.47399549380273553</v>
      </c>
      <c r="S356" s="799">
        <f t="shared" si="132"/>
        <v>-1</v>
      </c>
      <c r="T356" s="176">
        <f t="shared" si="133"/>
        <v>5</v>
      </c>
      <c r="U356" s="250">
        <f t="shared" si="134"/>
        <v>-0.52600450619726447</v>
      </c>
      <c r="V356" s="382">
        <f t="shared" si="135"/>
        <v>22.701569930176149</v>
      </c>
      <c r="W356" s="400">
        <f t="shared" si="136"/>
        <v>4.1022695074270326</v>
      </c>
      <c r="X356" s="157">
        <f t="shared" si="137"/>
        <v>46729</v>
      </c>
      <c r="Y356" s="383">
        <f t="shared" si="138"/>
        <v>3.9206869237828434</v>
      </c>
      <c r="Z356" s="383">
        <f t="shared" si="139"/>
        <v>4.1724969668091854</v>
      </c>
      <c r="AA356" s="384">
        <f t="shared" si="140"/>
        <v>4.4956550028816791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7.1882303216183593E-2</v>
      </c>
      <c r="AD356" s="230">
        <f>(INDEX(Models!$BJ356:$BT356,,AH356)*(1-AF356)+INDEX(Models!$BJ356:$BT356,,AH356+1)*AF356-ERP_i)*AE356*Ramure*Pc/MaxiM</f>
        <v>1.6562600582304354E-2</v>
      </c>
      <c r="AE356" s="304">
        <f t="shared" si="142"/>
        <v>0.6</v>
      </c>
      <c r="AF356" s="177">
        <f t="shared" si="143"/>
        <v>0.99898306017671423</v>
      </c>
      <c r="AG356" s="799">
        <f t="shared" si="149"/>
        <v>2</v>
      </c>
      <c r="AH356" s="176">
        <f t="shared" si="144"/>
        <v>8</v>
      </c>
      <c r="AI356" s="224">
        <f t="shared" si="145"/>
        <v>2.9989830601767142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'2026'!Wh/'2026'!Env_an*'2027'!Env_an</f>
        <v>5.0066181250226167</v>
      </c>
      <c r="C357" s="829"/>
      <c r="D357" s="391">
        <f t="shared" si="127"/>
        <v>5.3282753018509235</v>
      </c>
      <c r="E357" s="383">
        <f t="shared" si="125"/>
        <v>5.4872655208812695</v>
      </c>
      <c r="F357" s="383">
        <f t="shared" si="128"/>
        <v>5.4872655208812695</v>
      </c>
      <c r="G357" s="110">
        <f t="shared" si="126"/>
        <v>0.22118330117522769</v>
      </c>
      <c r="H357" s="412" t="b">
        <f>Wh_hp&gt;='2026'!Maxi_hp</f>
        <v>0</v>
      </c>
      <c r="I357" s="388">
        <f>IF(H357,Wh_hp,'2026'!Maxi_hp)</f>
        <v>11.827516861952027</v>
      </c>
      <c r="J357" s="85">
        <f>IF(H357,An,'2026'!An_max)</f>
        <v>2018</v>
      </c>
      <c r="K357" s="197">
        <f t="shared" si="129"/>
        <v>46730</v>
      </c>
      <c r="L357" s="147">
        <f>IF(t&lt;Tvie,1-EXP((T0-t)*PertePVj)+'2026'!Pspv,1-EXP((T0-t)*PertePVj)+Pspv)</f>
        <v>6.0367972487564647E-2</v>
      </c>
      <c r="M357" s="832"/>
      <c r="N357" s="832"/>
      <c r="O357" s="48">
        <f>IF(t&lt;Tnet,'2026'!Resal+('2026'!Salim-'2026'!Resal)*(1-EXP(('2026'!Tnet-t)/('2026'!Tau_j))),Resal+(Salim-Resal)*(1-EXP((Tnet-t)/(Tau_j))))*Salcycl</f>
        <v>2.897439871012681E-2</v>
      </c>
      <c r="P357" s="169">
        <f>(INDEX(Models!$BJ357:$BT357,,T357)*(1-R357)+INDEX(Models!$BJ357:$BT357,,T357+1)*R357-ERP_i)*Q357*Ramure*Pc/MaxiM</f>
        <v>2.1518533222920971E-3</v>
      </c>
      <c r="Q357" s="304">
        <f t="shared" si="130"/>
        <v>0.6</v>
      </c>
      <c r="R357" s="177">
        <f t="shared" si="131"/>
        <v>0.4740073429050955</v>
      </c>
      <c r="S357" s="799">
        <f t="shared" si="132"/>
        <v>-1</v>
      </c>
      <c r="T357" s="176">
        <f t="shared" si="133"/>
        <v>5</v>
      </c>
      <c r="U357" s="250">
        <f t="shared" si="134"/>
        <v>-0.5259926570949045</v>
      </c>
      <c r="V357" s="382">
        <f t="shared" si="135"/>
        <v>22.586897793061645</v>
      </c>
      <c r="W357" s="400">
        <f t="shared" si="136"/>
        <v>5.0066181250226167</v>
      </c>
      <c r="X357" s="157">
        <f t="shared" si="137"/>
        <v>46730</v>
      </c>
      <c r="Y357" s="383">
        <f t="shared" si="138"/>
        <v>4.7852670664475463</v>
      </c>
      <c r="Z357" s="383">
        <f t="shared" si="139"/>
        <v>5.0927032352398358</v>
      </c>
      <c r="AA357" s="384">
        <f t="shared" si="140"/>
        <v>5.4872655208812695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7.1905083532036951E-2</v>
      </c>
      <c r="AD357" s="230">
        <f>(INDEX(Models!$BJ357:$BT357,,AH357)*(1-AF357)+INDEX(Models!$BJ357:$BT357,,AH357+1)*AF357-ERP_i)*AE357*Ramure*Pc/MaxiM</f>
        <v>1.6482143929091149E-2</v>
      </c>
      <c r="AE357" s="304">
        <f t="shared" si="142"/>
        <v>0.6</v>
      </c>
      <c r="AF357" s="177">
        <f t="shared" si="143"/>
        <v>0.99899490927907442</v>
      </c>
      <c r="AG357" s="799">
        <f t="shared" si="149"/>
        <v>2</v>
      </c>
      <c r="AH357" s="176">
        <f t="shared" si="144"/>
        <v>8</v>
      </c>
      <c r="AI357" s="224">
        <f t="shared" si="145"/>
        <v>2.9989949092790744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'2026'!Wh/'2026'!Env_an*'2027'!Env_an</f>
        <v>12.119872746993259</v>
      </c>
      <c r="C358" s="829"/>
      <c r="D358" s="391">
        <f t="shared" si="127"/>
        <v>12.898778107987216</v>
      </c>
      <c r="E358" s="383">
        <f t="shared" si="125"/>
        <v>13.284720673422008</v>
      </c>
      <c r="F358" s="383">
        <f t="shared" si="128"/>
        <v>13.294693709434352</v>
      </c>
      <c r="G358" s="110">
        <f t="shared" si="126"/>
        <v>0.53828157729947768</v>
      </c>
      <c r="H358" s="412" t="b">
        <f>Wh_hp&gt;='2026'!Maxi_hp</f>
        <v>0</v>
      </c>
      <c r="I358" s="388">
        <f>IF(H358,Wh_hp,'2026'!Maxi_hp)</f>
        <v>21.581579026303849</v>
      </c>
      <c r="J358" s="85">
        <f>IF(H358,An,'2026'!An_max)</f>
        <v>2018</v>
      </c>
      <c r="K358" s="197">
        <f t="shared" si="129"/>
        <v>46731</v>
      </c>
      <c r="L358" s="147">
        <f>IF(t&lt;Tvie,1-EXP((T0-t)*PertePVj)+'2026'!Pspv,1-EXP((T0-t)*PertePVj)+Pspv)</f>
        <v>6.0385980321007393E-2</v>
      </c>
      <c r="M358" s="832"/>
      <c r="N358" s="832"/>
      <c r="O358" s="48">
        <f>IF(t&lt;Tnet,'2026'!Resal+('2026'!Salim-'2026'!Resal)*(1-EXP(('2026'!Tnet-t)/('2026'!Tau_j))),Resal+(Salim-Resal)*(1-EXP((Tnet-t)/(Tau_j))))*Salcycl</f>
        <v>2.9051613121751665E-2</v>
      </c>
      <c r="P358" s="169">
        <f>(INDEX(Models!$BJ358:$BT358,,T358)*(1-R358)+INDEX(Models!$BJ358:$BT358,,T358+1)*R358-ERP_i)*Q358*Ramure*Pc/MaxiM</f>
        <v>2.1965283682246319E-3</v>
      </c>
      <c r="Q358" s="304">
        <f t="shared" si="130"/>
        <v>0.6</v>
      </c>
      <c r="R358" s="177">
        <f t="shared" si="131"/>
        <v>0.47401871545574004</v>
      </c>
      <c r="S358" s="799">
        <f t="shared" si="132"/>
        <v>-1</v>
      </c>
      <c r="T358" s="176">
        <f t="shared" si="133"/>
        <v>5</v>
      </c>
      <c r="U358" s="250">
        <f t="shared" si="134"/>
        <v>-0.52598128454425996</v>
      </c>
      <c r="V358" s="382">
        <f t="shared" si="135"/>
        <v>22.483269343176289</v>
      </c>
      <c r="W358" s="400">
        <f t="shared" si="136"/>
        <v>12.119872746993259</v>
      </c>
      <c r="X358" s="157">
        <f t="shared" si="137"/>
        <v>46731</v>
      </c>
      <c r="Y358" s="383">
        <f t="shared" si="138"/>
        <v>11.528440716241485</v>
      </c>
      <c r="Z358" s="383">
        <f t="shared" si="139"/>
        <v>12.269336636952302</v>
      </c>
      <c r="AA358" s="384">
        <f t="shared" si="140"/>
        <v>13.220254495462449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7.1928861795854754E-2</v>
      </c>
      <c r="AD358" s="230">
        <f>(INDEX(Models!$BJ358:$BT358,,AH358)*(1-AF358)+INDEX(Models!$BJ358:$BT358,,AH358+1)*AF358-ERP_i)*AE358*Ramure*Pc/MaxiM</f>
        <v>1.6394991955834663E-2</v>
      </c>
      <c r="AE358" s="304">
        <f t="shared" si="142"/>
        <v>0.6</v>
      </c>
      <c r="AF358" s="177">
        <f t="shared" si="143"/>
        <v>0.99900628182971873</v>
      </c>
      <c r="AG358" s="799">
        <f t="shared" si="149"/>
        <v>2</v>
      </c>
      <c r="AH358" s="176">
        <f t="shared" si="144"/>
        <v>8</v>
      </c>
      <c r="AI358" s="224">
        <f t="shared" si="145"/>
        <v>2.9990062818297187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'2026'!Wh/'2026'!Env_an*'2027'!Env_an</f>
        <v>17.341723623737529</v>
      </c>
      <c r="C359" s="829"/>
      <c r="D359" s="391">
        <f t="shared" si="127"/>
        <v>18.456574313576898</v>
      </c>
      <c r="E359" s="383">
        <f t="shared" si="125"/>
        <v>19.010328398687914</v>
      </c>
      <c r="F359" s="383">
        <f t="shared" si="128"/>
        <v>19.039281909203584</v>
      </c>
      <c r="G359" s="110">
        <f t="shared" si="126"/>
        <v>0.77401274101083972</v>
      </c>
      <c r="H359" s="412" t="b">
        <f>Wh_hp&gt;='2026'!Maxi_hp</f>
        <v>0</v>
      </c>
      <c r="I359" s="388">
        <f>IF(H359,Wh_hp,'2026'!Maxi_hp)</f>
        <v>19.048308551616081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6.0403987809334092E-2</v>
      </c>
      <c r="M359" s="832"/>
      <c r="N359" s="832"/>
      <c r="O359" s="48">
        <f>IF(t&lt;Tnet,'2026'!Resal+('2026'!Salim-'2026'!Resal)*(1-EXP(('2026'!Tnet-t)/('2026'!Tau_j))),Resal+(Salim-Resal)*(1-EXP((Tnet-t)/(Tau_j))))*Salcycl</f>
        <v>2.9129117261816183E-2</v>
      </c>
      <c r="P359" s="169">
        <f>(INDEX(Models!$BJ359:$BT359,,T359)*(1-R359)+INDEX(Models!$BJ359:$BT359,,T359+1)*R359-ERP_i)*Q359*Ramure*Pc/MaxiM</f>
        <v>2.2430841874459479E-3</v>
      </c>
      <c r="Q359" s="304">
        <f t="shared" si="130"/>
        <v>0.6</v>
      </c>
      <c r="R359" s="177">
        <f t="shared" si="131"/>
        <v>0.47402963060043146</v>
      </c>
      <c r="S359" s="799">
        <f t="shared" si="132"/>
        <v>-1</v>
      </c>
      <c r="T359" s="176">
        <f t="shared" si="133"/>
        <v>5</v>
      </c>
      <c r="U359" s="250">
        <f t="shared" si="134"/>
        <v>-0.52597036939956854</v>
      </c>
      <c r="V359" s="382">
        <f t="shared" si="135"/>
        <v>22.388749786365345</v>
      </c>
      <c r="W359" s="400">
        <f t="shared" si="136"/>
        <v>17.341723623737529</v>
      </c>
      <c r="X359" s="157">
        <f t="shared" si="137"/>
        <v>46732</v>
      </c>
      <c r="Y359" s="383">
        <f t="shared" si="138"/>
        <v>16.418546118574664</v>
      </c>
      <c r="Z359" s="383">
        <f t="shared" si="139"/>
        <v>17.474048320293381</v>
      </c>
      <c r="AA359" s="384">
        <f t="shared" si="140"/>
        <v>18.82885200314562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7.1953599859720704E-2</v>
      </c>
      <c r="AD359" s="230">
        <f>(INDEX(Models!$BJ359:$BT359,,AH359)*(1-AF359)+INDEX(Models!$BJ359:$BT359,,AH359+1)*AF359-ERP_i)*AE359*Ramure*Pc/MaxiM</f>
        <v>1.6302409843839401E-2</v>
      </c>
      <c r="AE359" s="304">
        <f t="shared" si="142"/>
        <v>0.6</v>
      </c>
      <c r="AF359" s="177">
        <f t="shared" si="143"/>
        <v>0.99901719697440994</v>
      </c>
      <c r="AG359" s="799">
        <f t="shared" si="149"/>
        <v>2</v>
      </c>
      <c r="AH359" s="176">
        <f t="shared" si="144"/>
        <v>8</v>
      </c>
      <c r="AI359" s="224">
        <f t="shared" si="145"/>
        <v>2.9990171969744099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'2026'!Wh/'2026'!Env_an*'2027'!Env_an</f>
        <v>5.3000164058488837</v>
      </c>
      <c r="C360" s="829"/>
      <c r="D360" s="391">
        <f t="shared" si="127"/>
        <v>5.6408476756341628</v>
      </c>
      <c r="E360" s="383">
        <f t="shared" si="125"/>
        <v>5.8105559912757636</v>
      </c>
      <c r="F360" s="383">
        <f t="shared" si="128"/>
        <v>5.8105559912757636</v>
      </c>
      <c r="G360" s="110">
        <f t="shared" si="126"/>
        <v>0.237110180825084</v>
      </c>
      <c r="H360" s="412" t="b">
        <f>Wh_hp&gt;='2026'!Maxi_hp</f>
        <v>0</v>
      </c>
      <c r="I360" s="388">
        <f>IF(H360,Wh_hp,'2026'!Maxi_hp)</f>
        <v>23.902821263615333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6.0421994952551517E-2</v>
      </c>
      <c r="M360" s="832"/>
      <c r="N360" s="832"/>
      <c r="O360" s="48">
        <f>IF(t&lt;Tnet,'2026'!Resal+('2026'!Salim-'2026'!Resal)*(1-EXP(('2026'!Tnet-t)/('2026'!Tau_j))),Resal+(Salim-Resal)*(1-EXP((Tnet-t)/(Tau_j))))*Salcycl</f>
        <v>2.9206897910700653E-2</v>
      </c>
      <c r="P360" s="169">
        <f>(INDEX(Models!$BJ360:$BT360,,T360)*(1-R360)+INDEX(Models!$BJ360:$BT360,,T360+1)*R360-ERP_i)*Q360*Ramure*Pc/MaxiM</f>
        <v>2.291685960078576E-3</v>
      </c>
      <c r="Q360" s="304">
        <f t="shared" si="130"/>
        <v>0.6</v>
      </c>
      <c r="R360" s="177">
        <f t="shared" si="131"/>
        <v>0.47404010671734609</v>
      </c>
      <c r="S360" s="799">
        <f t="shared" si="132"/>
        <v>-1</v>
      </c>
      <c r="T360" s="176">
        <f t="shared" si="133"/>
        <v>5</v>
      </c>
      <c r="U360" s="250">
        <f t="shared" si="134"/>
        <v>-0.52595989328265391</v>
      </c>
      <c r="V360" s="382">
        <f t="shared" si="135"/>
        <v>22.301321749504595</v>
      </c>
      <c r="W360" s="400">
        <f t="shared" si="136"/>
        <v>5.3000164058488837</v>
      </c>
      <c r="X360" s="157">
        <f t="shared" si="137"/>
        <v>46733</v>
      </c>
      <c r="Y360" s="383">
        <f t="shared" si="138"/>
        <v>5.0665019641886442</v>
      </c>
      <c r="Z360" s="383">
        <f t="shared" si="139"/>
        <v>5.3923164835396369</v>
      </c>
      <c r="AA360" s="384">
        <f t="shared" si="140"/>
        <v>5.8105559912757636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7.1979257813553674E-2</v>
      </c>
      <c r="AD360" s="230">
        <f>(INDEX(Models!$BJ360:$BT360,,AH360)*(1-AF360)+INDEX(Models!$BJ360:$BT360,,AH360+1)*AF360-ERP_i)*AE360*Ramure*Pc/MaxiM</f>
        <v>1.6205717629243225E-2</v>
      </c>
      <c r="AE360" s="304">
        <f t="shared" si="142"/>
        <v>0.6</v>
      </c>
      <c r="AF360" s="177">
        <f t="shared" si="143"/>
        <v>0.99902767309132479</v>
      </c>
      <c r="AG360" s="799">
        <f t="shared" si="149"/>
        <v>2</v>
      </c>
      <c r="AH360" s="176">
        <f t="shared" si="144"/>
        <v>8</v>
      </c>
      <c r="AI360" s="224">
        <f t="shared" si="145"/>
        <v>2.9990276730913248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'2026'!Wh/'2026'!Env_an*'2027'!Env_an</f>
        <v>5.3658686743296071</v>
      </c>
      <c r="C361" s="829"/>
      <c r="D361" s="391">
        <f t="shared" si="127"/>
        <v>5.7110441955039999</v>
      </c>
      <c r="E361" s="383">
        <f t="shared" ref="E361:E379" si="150">Wh_pvt/(1-Psa)</f>
        <v>5.8833373842152561</v>
      </c>
      <c r="F361" s="383">
        <f t="shared" si="128"/>
        <v>5.8833373842152561</v>
      </c>
      <c r="G361" s="110">
        <f t="shared" ref="G361:G379" si="151">+Wh_hp/MaxiM</f>
        <v>0.24090679007565868</v>
      </c>
      <c r="H361" s="412" t="b">
        <f>Wh_hp&gt;='2026'!Maxi_hp</f>
        <v>0</v>
      </c>
      <c r="I361" s="388">
        <f>IF(H361,Wh_hp,'2026'!Maxi_hp)</f>
        <v>25.0294040728553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6.0440001750665995E-2</v>
      </c>
      <c r="M361" s="832"/>
      <c r="N361" s="832"/>
      <c r="O361" s="48">
        <f>IF(t&lt;Tnet,'2026'!Resal+('2026'!Salim-'2026'!Resal)*(1-EXP(('2026'!Tnet-t)/('2026'!Tau_j))),Resal+(Salim-Resal)*(1-EXP((Tnet-t)/(Tau_j))))*Salcycl</f>
        <v>2.9284941090326002E-2</v>
      </c>
      <c r="P361" s="169">
        <f>(INDEX(Models!$BJ361:$BT361,,T361)*(1-R361)+INDEX(Models!$BJ361:$BT361,,T361+1)*R361-ERP_i)*Q361*Ramure*Pc/MaxiM</f>
        <v>2.3362184843846502E-3</v>
      </c>
      <c r="Q361" s="304">
        <f t="shared" si="130"/>
        <v>0.6</v>
      </c>
      <c r="R361" s="177">
        <f t="shared" si="131"/>
        <v>0.47405016144772205</v>
      </c>
      <c r="S361" s="799">
        <f t="shared" si="132"/>
        <v>-1</v>
      </c>
      <c r="T361" s="176">
        <f t="shared" si="133"/>
        <v>5</v>
      </c>
      <c r="U361" s="250">
        <f t="shared" si="134"/>
        <v>-0.52594983855227795</v>
      </c>
      <c r="V361" s="382">
        <f t="shared" si="135"/>
        <v>22.221593800102521</v>
      </c>
      <c r="W361" s="400">
        <f t="shared" si="136"/>
        <v>5.3658686743296071</v>
      </c>
      <c r="X361" s="157">
        <f t="shared" si="137"/>
        <v>46734</v>
      </c>
      <c r="Y361" s="383">
        <f t="shared" si="138"/>
        <v>5.1297185437982717</v>
      </c>
      <c r="Z361" s="383">
        <f t="shared" si="139"/>
        <v>5.4597030028485545</v>
      </c>
      <c r="AA361" s="384">
        <f t="shared" si="140"/>
        <v>5.8833373842152561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7.2005794279840996E-2</v>
      </c>
      <c r="AD361" s="230">
        <f>(INDEX(Models!$BJ361:$BT361,,AH361)*(1-AF361)+INDEX(Models!$BJ361:$BT361,,AH361+1)*AF361-ERP_i)*AE361*Ramure*Pc/MaxiM</f>
        <v>1.6114541285150843E-2</v>
      </c>
      <c r="AE361" s="304">
        <f t="shared" si="142"/>
        <v>0.6</v>
      </c>
      <c r="AF361" s="177">
        <f t="shared" si="143"/>
        <v>0.99903772782170064</v>
      </c>
      <c r="AG361" s="799">
        <f t="shared" si="149"/>
        <v>2</v>
      </c>
      <c r="AH361" s="176">
        <f t="shared" si="144"/>
        <v>8</v>
      </c>
      <c r="AI361" s="224">
        <f t="shared" si="145"/>
        <v>2.9990377278217006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'2026'!Wh/'2026'!Env_an*'2027'!Env_an</f>
        <v>17.13364027217558</v>
      </c>
      <c r="C362" s="829"/>
      <c r="D362" s="391">
        <f t="shared" si="127"/>
        <v>18.236162323535616</v>
      </c>
      <c r="E362" s="383">
        <f t="shared" si="150"/>
        <v>18.787833851041409</v>
      </c>
      <c r="F362" s="383">
        <f t="shared" si="128"/>
        <v>18.818087413811838</v>
      </c>
      <c r="G362" s="110">
        <f t="shared" si="151"/>
        <v>0.77293070211901027</v>
      </c>
      <c r="H362" s="412" t="b">
        <f>Wh_hp&gt;='2026'!Maxi_hp</f>
        <v>0</v>
      </c>
      <c r="I362" s="388">
        <f>IF(H362,Wh_hp,'2026'!Maxi_hp)</f>
        <v>24.68921870882129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6.045800820368441E-2</v>
      </c>
      <c r="M362" s="832"/>
      <c r="N362" s="832"/>
      <c r="O362" s="48">
        <f>IF(t&lt;Tnet,'2026'!Resal+('2026'!Salim-'2026'!Resal)*(1-EXP(('2026'!Tnet-t)/('2026'!Tau_j))),Resal+(Salim-Resal)*(1-EXP((Tnet-t)/(Tau_j))))*Salcycl</f>
        <v>2.9363232178850267E-2</v>
      </c>
      <c r="P362" s="169">
        <f>(INDEX(Models!$BJ362:$BT362,,T362)*(1-R362)+INDEX(Models!$BJ362:$BT362,,T362+1)*R362-ERP_i)*Q362*Ramure*Pc/MaxiM</f>
        <v>2.3765932528453416E-3</v>
      </c>
      <c r="Q362" s="304">
        <f t="shared" si="130"/>
        <v>0.6</v>
      </c>
      <c r="R362" s="177">
        <f t="shared" si="131"/>
        <v>0.47405981172529144</v>
      </c>
      <c r="S362" s="799">
        <f t="shared" si="132"/>
        <v>-1</v>
      </c>
      <c r="T362" s="176">
        <f t="shared" si="133"/>
        <v>5</v>
      </c>
      <c r="U362" s="250">
        <f t="shared" si="134"/>
        <v>-0.52594018827470856</v>
      </c>
      <c r="V362" s="382">
        <f t="shared" si="135"/>
        <v>22.150038572863167</v>
      </c>
      <c r="W362" s="400">
        <f t="shared" si="136"/>
        <v>17.13364027217558</v>
      </c>
      <c r="X362" s="157">
        <f t="shared" si="137"/>
        <v>46735</v>
      </c>
      <c r="Y362" s="383">
        <f t="shared" si="138"/>
        <v>16.22891576566672</v>
      </c>
      <c r="Z362" s="383">
        <f t="shared" si="139"/>
        <v>17.27322025771149</v>
      </c>
      <c r="AA362" s="384">
        <f t="shared" si="140"/>
        <v>18.614049164306628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7.2033166709704638E-2</v>
      </c>
      <c r="AD362" s="230">
        <f>(INDEX(Models!$BJ362:$BT362,,AH362)*(1-AF362)+INDEX(Models!$BJ362:$BT362,,AH362+1)*AF362-ERP_i)*AE362*Ramure*Pc/MaxiM</f>
        <v>1.6028390797345554E-2</v>
      </c>
      <c r="AE362" s="304">
        <f t="shared" si="142"/>
        <v>0.6</v>
      </c>
      <c r="AF362" s="177">
        <f t="shared" si="143"/>
        <v>0.99904737809927013</v>
      </c>
      <c r="AG362" s="799">
        <f t="shared" si="149"/>
        <v>2</v>
      </c>
      <c r="AH362" s="176">
        <f t="shared" si="144"/>
        <v>8</v>
      </c>
      <c r="AI362" s="224">
        <f t="shared" si="145"/>
        <v>2.9990473780992701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'2026'!Wh/'2026'!Env_an*'2027'!Env_an</f>
        <v>5.8553615527919414</v>
      </c>
      <c r="C363" s="829"/>
      <c r="D363" s="391">
        <f t="shared" si="127"/>
        <v>6.2322640422018951</v>
      </c>
      <c r="E363" s="383">
        <f t="shared" si="150"/>
        <v>6.4213189480394819</v>
      </c>
      <c r="F363" s="383">
        <f t="shared" si="128"/>
        <v>6.4213189480394819</v>
      </c>
      <c r="G363" s="110">
        <f t="shared" si="151"/>
        <v>0.26446326719296415</v>
      </c>
      <c r="H363" s="412" t="b">
        <f>Wh_hp&gt;='2026'!Maxi_hp</f>
        <v>0</v>
      </c>
      <c r="I363" s="388">
        <f>IF(H363,Wh_hp,'2026'!Maxi_hp)</f>
        <v>24.850474320764231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6.0476014311613202E-2</v>
      </c>
      <c r="M363" s="832"/>
      <c r="N363" s="832"/>
      <c r="O363" s="48">
        <f>IF(t&lt;Tnet,'2026'!Resal+('2026'!Salim-'2026'!Resal)*(1-EXP(('2026'!Tnet-t)/('2026'!Tau_j))),Resal+(Salim-Resal)*(1-EXP((Tnet-t)/(Tau_j))))*Salcycl</f>
        <v>2.9441756026666092E-2</v>
      </c>
      <c r="P363" s="169">
        <f>(INDEX(Models!$BJ363:$BT363,,T363)*(1-R363)+INDEX(Models!$BJ363:$BT363,,T363+1)*R363-ERP_i)*Q363*Ramure*Pc/MaxiM</f>
        <v>2.4127180329648703E-3</v>
      </c>
      <c r="Q363" s="304">
        <f t="shared" si="130"/>
        <v>0.6</v>
      </c>
      <c r="R363" s="177">
        <f t="shared" si="131"/>
        <v>0.47406907380454788</v>
      </c>
      <c r="S363" s="799">
        <f t="shared" si="132"/>
        <v>-1</v>
      </c>
      <c r="T363" s="176">
        <f t="shared" si="133"/>
        <v>5</v>
      </c>
      <c r="U363" s="250">
        <f t="shared" si="134"/>
        <v>-0.52593092619545212</v>
      </c>
      <c r="V363" s="382">
        <f t="shared" si="135"/>
        <v>22.087128690435357</v>
      </c>
      <c r="W363" s="400">
        <f t="shared" si="136"/>
        <v>5.8553615527919414</v>
      </c>
      <c r="X363" s="157">
        <f t="shared" si="137"/>
        <v>46736</v>
      </c>
      <c r="Y363" s="383">
        <f t="shared" si="138"/>
        <v>5.5982383701135197</v>
      </c>
      <c r="Z363" s="383">
        <f t="shared" si="139"/>
        <v>5.9585901535144998</v>
      </c>
      <c r="AA363" s="384">
        <f t="shared" si="140"/>
        <v>6.4213189480394819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7.2061331678012833E-2</v>
      </c>
      <c r="AD363" s="230">
        <f>(INDEX(Models!$BJ363:$BT363,,AH363)*(1-AF363)+INDEX(Models!$BJ363:$BT363,,AH363+1)*AF363-ERP_i)*AE363*Ramure*Pc/MaxiM</f>
        <v>1.5946776612026616E-2</v>
      </c>
      <c r="AE363" s="304">
        <f t="shared" si="142"/>
        <v>0.6</v>
      </c>
      <c r="AF363" s="177">
        <f t="shared" si="143"/>
        <v>0.99905664017852658</v>
      </c>
      <c r="AG363" s="799">
        <f t="shared" si="149"/>
        <v>2</v>
      </c>
      <c r="AH363" s="176">
        <f t="shared" si="144"/>
        <v>8</v>
      </c>
      <c r="AI363" s="224">
        <f t="shared" si="145"/>
        <v>2.9990566401785266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'2026'!Wh/'2026'!Env_an*'2027'!Env_an</f>
        <v>5.1715669430255122</v>
      </c>
      <c r="C364" s="829"/>
      <c r="D364" s="391">
        <f t="shared" si="127"/>
        <v>5.5045599001247192</v>
      </c>
      <c r="E364" s="383">
        <f t="shared" si="150"/>
        <v>5.6720001643738156</v>
      </c>
      <c r="F364" s="383">
        <f t="shared" si="128"/>
        <v>5.6720001643738156</v>
      </c>
      <c r="G364" s="110">
        <f t="shared" si="151"/>
        <v>0.23414179672864244</v>
      </c>
      <c r="H364" s="412" t="b">
        <f>Wh_hp&gt;='2026'!Maxi_hp</f>
        <v>0</v>
      </c>
      <c r="I364" s="388">
        <f>IF(H364,Wh_hp,'2026'!Maxi_hp)</f>
        <v>24.489416018785828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6.0494020074459032E-2</v>
      </c>
      <c r="M364" s="832"/>
      <c r="N364" s="832"/>
      <c r="O364" s="48">
        <f>IF(t&lt;Tnet,'2026'!Resal+('2026'!Salim-'2026'!Resal)*(1-EXP(('2026'!Tnet-t)/('2026'!Tau_j))),Resal+(Salim-Resal)*(1-EXP((Tnet-t)/(Tau_j))))*Salcycl</f>
        <v>2.9520497072760908E-2</v>
      </c>
      <c r="P364" s="169">
        <f>(INDEX(Models!$BJ364:$BT364,,T364)*(1-R364)+INDEX(Models!$BJ364:$BT364,,T364+1)*R364-ERP_i)*Q364*Ramure*Pc/MaxiM</f>
        <v>2.4444986069352657E-3</v>
      </c>
      <c r="Q364" s="304">
        <f t="shared" si="130"/>
        <v>0.6</v>
      </c>
      <c r="R364" s="177">
        <f t="shared" si="131"/>
        <v>0.47407796328789309</v>
      </c>
      <c r="S364" s="799">
        <f t="shared" si="132"/>
        <v>-1</v>
      </c>
      <c r="T364" s="176">
        <f t="shared" si="133"/>
        <v>5</v>
      </c>
      <c r="U364" s="250">
        <f t="shared" si="134"/>
        <v>-0.52592203671210691</v>
      </c>
      <c r="V364" s="382">
        <f t="shared" si="135"/>
        <v>22.033336751133444</v>
      </c>
      <c r="W364" s="400">
        <f t="shared" si="136"/>
        <v>5.1715669430255122</v>
      </c>
      <c r="X364" s="157">
        <f t="shared" si="137"/>
        <v>46737</v>
      </c>
      <c r="Y364" s="383">
        <f t="shared" si="138"/>
        <v>4.944717945807203</v>
      </c>
      <c r="Z364" s="383">
        <f t="shared" si="139"/>
        <v>5.2631042818898166</v>
      </c>
      <c r="AA364" s="384">
        <f t="shared" si="140"/>
        <v>5.6720001643738156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7.2090245175291001E-2</v>
      </c>
      <c r="AD364" s="230">
        <f>(INDEX(Models!$BJ364:$BT364,,AH364)*(1-AF364)+INDEX(Models!$BJ364:$BT364,,AH364+1)*AF364-ERP_i)*AE364*Ramure*Pc/MaxiM</f>
        <v>1.5869211164183522E-2</v>
      </c>
      <c r="AE364" s="304">
        <f t="shared" si="142"/>
        <v>0.6</v>
      </c>
      <c r="AF364" s="177">
        <f t="shared" si="143"/>
        <v>0.99906552966187157</v>
      </c>
      <c r="AG364" s="799">
        <f t="shared" si="149"/>
        <v>2</v>
      </c>
      <c r="AH364" s="176">
        <f t="shared" si="144"/>
        <v>8</v>
      </c>
      <c r="AI364" s="224">
        <f t="shared" si="145"/>
        <v>2.9990655296618716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'2026'!Wh/'2026'!Env_an*'2027'!Env_an</f>
        <v>3.5060527197393743</v>
      </c>
      <c r="C365" s="829"/>
      <c r="D365" s="391">
        <f t="shared" si="127"/>
        <v>3.7318761015289317</v>
      </c>
      <c r="E365" s="383">
        <f t="shared" si="150"/>
        <v>3.8457068691862757</v>
      </c>
      <c r="F365" s="383">
        <f t="shared" si="128"/>
        <v>3.8457068691862757</v>
      </c>
      <c r="G365" s="110">
        <f t="shared" si="151"/>
        <v>0.15905065248008263</v>
      </c>
      <c r="H365" s="412" t="b">
        <f>Wh_hp&gt;='2026'!Maxi_hp</f>
        <v>0</v>
      </c>
      <c r="I365" s="388">
        <f>IF(H365,Wh_hp,'2026'!Maxi_hp)</f>
        <v>24.995973707121568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6.0512025492228561E-2</v>
      </c>
      <c r="M365" s="832"/>
      <c r="N365" s="832"/>
      <c r="O365" s="48">
        <f>IF(t&lt;Tnet,'2026'!Resal+('2026'!Salim-'2026'!Resal)*(1-EXP(('2026'!Tnet-t)/('2026'!Tau_j))),Resal+(Salim-Resal)*(1-EXP((Tnet-t)/(Tau_j))))*Salcycl</f>
        <v>2.9599439460509389E-2</v>
      </c>
      <c r="P365" s="169">
        <f>(INDEX(Models!$BJ365:$BT365,,T365)*(1-R365)+INDEX(Models!$BJ365:$BT365,,T365+1)*R365-ERP_i)*Q365*Ramure*Pc/MaxiM</f>
        <v>2.4718406174249678E-3</v>
      </c>
      <c r="Q365" s="304">
        <f t="shared" si="130"/>
        <v>0.6</v>
      </c>
      <c r="R365" s="177">
        <f t="shared" si="131"/>
        <v>0.47408649515170553</v>
      </c>
      <c r="S365" s="799">
        <f t="shared" si="132"/>
        <v>-1</v>
      </c>
      <c r="T365" s="176">
        <f t="shared" si="133"/>
        <v>5</v>
      </c>
      <c r="U365" s="250">
        <f t="shared" si="134"/>
        <v>-0.52591350484829447</v>
      </c>
      <c r="V365" s="382">
        <f t="shared" si="135"/>
        <v>21.989135295486165</v>
      </c>
      <c r="W365" s="400">
        <f t="shared" si="136"/>
        <v>3.5060527197393743</v>
      </c>
      <c r="X365" s="157">
        <f t="shared" si="137"/>
        <v>46738</v>
      </c>
      <c r="Y365" s="383">
        <f t="shared" si="138"/>
        <v>3.3524266272921057</v>
      </c>
      <c r="Z365" s="383">
        <f t="shared" si="139"/>
        <v>3.5683550170491025</v>
      </c>
      <c r="AA365" s="384">
        <f t="shared" si="140"/>
        <v>3.8457068691862757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7.2119862894245768E-2</v>
      </c>
      <c r="AD365" s="230">
        <f>(INDEX(Models!$BJ365:$BT365,,AH365)*(1-AF365)+INDEX(Models!$BJ365:$BT365,,AH365+1)*AF365-ERP_i)*AE365*Ramure*Pc/MaxiM</f>
        <v>1.5795210557086055E-2</v>
      </c>
      <c r="AE365" s="304">
        <f t="shared" si="142"/>
        <v>0.6</v>
      </c>
      <c r="AF365" s="177">
        <f t="shared" si="143"/>
        <v>0.99907406152568434</v>
      </c>
      <c r="AG365" s="799">
        <f t="shared" si="149"/>
        <v>2</v>
      </c>
      <c r="AH365" s="176">
        <f t="shared" si="144"/>
        <v>8</v>
      </c>
      <c r="AI365" s="224">
        <f t="shared" si="145"/>
        <v>2.9990740615256843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'2026'!Wh/'2026'!Env_an*'2027'!Env_an</f>
        <v>20.913288967202554</v>
      </c>
      <c r="C366" s="829"/>
      <c r="D366" s="391">
        <f t="shared" si="127"/>
        <v>22.260731739810982</v>
      </c>
      <c r="E366" s="383">
        <f t="shared" si="150"/>
        <v>22.941605725922116</v>
      </c>
      <c r="F366" s="383">
        <f t="shared" si="128"/>
        <v>22.995022804711436</v>
      </c>
      <c r="G366" s="110">
        <f t="shared" si="151"/>
        <v>0.95238868241933594</v>
      </c>
      <c r="H366" s="412" t="b">
        <f>Wh_hp&gt;='2026'!Maxi_hp</f>
        <v>0</v>
      </c>
      <c r="I366" s="388">
        <f>IF(H366,Wh_hp,'2026'!Maxi_hp)</f>
        <v>25.161787004742354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6.0530030564928339E-2</v>
      </c>
      <c r="M366" s="832"/>
      <c r="N366" s="832"/>
      <c r="O366" s="48">
        <f>IF(t&lt;Tnet,'2026'!Resal+('2026'!Salim-'2026'!Resal)*(1-EXP(('2026'!Tnet-t)/('2026'!Tau_j))),Resal+(Salim-Resal)*(1-EXP((Tnet-t)/(Tau_j))))*Salcycl</f>
        <v>2.9678567151984591E-2</v>
      </c>
      <c r="P366" s="169">
        <f>(INDEX(Models!$BJ366:$BT366,,T366)*(1-R366)+INDEX(Models!$BJ366:$BT366,,T366+1)*R366-ERP_i)*Q366*Ramure*Pc/MaxiM</f>
        <v>2.4918997350512171E-3</v>
      </c>
      <c r="Q366" s="304">
        <f t="shared" si="130"/>
        <v>0.6</v>
      </c>
      <c r="R366" s="177">
        <f t="shared" si="131"/>
        <v>0.47409468377137487</v>
      </c>
      <c r="S366" s="799">
        <f t="shared" si="132"/>
        <v>-1</v>
      </c>
      <c r="T366" s="176">
        <f t="shared" si="133"/>
        <v>5</v>
      </c>
      <c r="U366" s="250">
        <f t="shared" si="134"/>
        <v>-0.52590531622862513</v>
      </c>
      <c r="V366" s="382">
        <f t="shared" si="135"/>
        <v>21.955057375551956</v>
      </c>
      <c r="W366" s="400">
        <f t="shared" si="136"/>
        <v>20.913288967202554</v>
      </c>
      <c r="X366" s="157">
        <f t="shared" si="137"/>
        <v>46739</v>
      </c>
      <c r="Y366" s="383">
        <f t="shared" si="138"/>
        <v>19.750523229089058</v>
      </c>
      <c r="Z366" s="383">
        <f t="shared" si="139"/>
        <v>21.023049029407055</v>
      </c>
      <c r="AA366" s="384">
        <f t="shared" si="140"/>
        <v>22.657813453714638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7.2150140508795271E-2</v>
      </c>
      <c r="AD366" s="230">
        <f>(INDEX(Models!$BJ366:$BT366,,AH366)*(1-AF366)+INDEX(Models!$BJ366:$BT366,,AH366+1)*AF366-ERP_i)*AE366*Ramure*Pc/MaxiM</f>
        <v>1.5730772094817321E-2</v>
      </c>
      <c r="AE366" s="304">
        <f t="shared" si="142"/>
        <v>0.6</v>
      </c>
      <c r="AF366" s="177">
        <f t="shared" si="143"/>
        <v>0.99908225014535335</v>
      </c>
      <c r="AG366" s="799">
        <f t="shared" si="149"/>
        <v>2</v>
      </c>
      <c r="AH366" s="176">
        <f t="shared" si="144"/>
        <v>8</v>
      </c>
      <c r="AI366" s="224">
        <f t="shared" si="145"/>
        <v>2.9990822501453533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'2026'!Wh/'2026'!Env_an*'2027'!Env_an</f>
        <v>17.79586848392055</v>
      </c>
      <c r="C367" s="829"/>
      <c r="D367" s="391">
        <f t="shared" si="127"/>
        <v>18.942818954519463</v>
      </c>
      <c r="E367" s="383">
        <f t="shared" si="150"/>
        <v>19.523805710390665</v>
      </c>
      <c r="F367" s="383">
        <f t="shared" si="128"/>
        <v>19.559613785484764</v>
      </c>
      <c r="G367" s="110">
        <f t="shared" si="151"/>
        <v>0.81087902602258466</v>
      </c>
      <c r="H367" s="412" t="b">
        <f>Wh_hp&gt;='2026'!Maxi_hp</f>
        <v>0</v>
      </c>
      <c r="I367" s="388">
        <f>IF(H367,Wh_hp,'2026'!Maxi_hp)</f>
        <v>24.884744497458982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6.0548035292565028E-2</v>
      </c>
      <c r="M367" s="832"/>
      <c r="N367" s="832"/>
      <c r="O367" s="48">
        <f>IF(t&lt;Tnet,'2026'!Resal+('2026'!Salim-'2026'!Resal)*(1-EXP(('2026'!Tnet-t)/('2026'!Tau_j))),Resal+(Salim-Resal)*(1-EXP((Tnet-t)/(Tau_j))))*Salcycl</f>
        <v>2.9757864039898649E-2</v>
      </c>
      <c r="P367" s="169">
        <f>(INDEX(Models!$BJ367:$BT367,,T367)*(1-R367)+INDEX(Models!$BJ367:$BT367,,T367+1)*R367-ERP_i)*Q367*Ramure*Pc/MaxiM</f>
        <v>2.5057309948088901E-3</v>
      </c>
      <c r="Q367" s="304">
        <f t="shared" si="130"/>
        <v>0.6</v>
      </c>
      <c r="R367" s="177">
        <f t="shared" si="131"/>
        <v>0.47410254294534104</v>
      </c>
      <c r="S367" s="799">
        <f t="shared" si="132"/>
        <v>-1</v>
      </c>
      <c r="T367" s="176">
        <f t="shared" si="133"/>
        <v>5</v>
      </c>
      <c r="U367" s="250">
        <f t="shared" si="134"/>
        <v>-0.52589745705465896</v>
      </c>
      <c r="V367" s="382">
        <f t="shared" si="135"/>
        <v>21.931550061821248</v>
      </c>
      <c r="W367" s="400">
        <f t="shared" si="136"/>
        <v>17.79586848392055</v>
      </c>
      <c r="X367" s="157">
        <f t="shared" si="137"/>
        <v>46740</v>
      </c>
      <c r="Y367" s="383">
        <f t="shared" si="138"/>
        <v>16.85371748987798</v>
      </c>
      <c r="Z367" s="383">
        <f t="shared" si="139"/>
        <v>17.939945971720416</v>
      </c>
      <c r="AA367" s="384">
        <f t="shared" si="140"/>
        <v>19.335610316279947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7.2181033943595194E-2</v>
      </c>
      <c r="AD367" s="230">
        <f>(INDEX(Models!$BJ367:$BT367,,AH367)*(1-AF367)+INDEX(Models!$BJ367:$BT367,,AH367+1)*AF367-ERP_i)*AE367*Ramure*Pc/MaxiM</f>
        <v>1.5675023978703521E-2</v>
      </c>
      <c r="AE367" s="304">
        <f t="shared" si="142"/>
        <v>0.6</v>
      </c>
      <c r="AF367" s="177">
        <f t="shared" si="143"/>
        <v>0.99909010931931963</v>
      </c>
      <c r="AG367" s="799">
        <f t="shared" si="149"/>
        <v>2</v>
      </c>
      <c r="AH367" s="176">
        <f t="shared" si="144"/>
        <v>8</v>
      </c>
      <c r="AI367" s="224">
        <f t="shared" si="145"/>
        <v>2.9990901093193196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'2026'!Wh/'2026'!Env_an*'2027'!Env_an</f>
        <v>4.5359488277054405</v>
      </c>
      <c r="C368" s="829"/>
      <c r="D368" s="391">
        <f t="shared" si="127"/>
        <v>4.828384984227009</v>
      </c>
      <c r="E368" s="383">
        <f t="shared" si="150"/>
        <v>4.9768817685772033</v>
      </c>
      <c r="F368" s="383">
        <f t="shared" si="128"/>
        <v>4.9768817685772033</v>
      </c>
      <c r="G368" s="110">
        <f t="shared" si="151"/>
        <v>0.20642050993896216</v>
      </c>
      <c r="H368" s="412" t="b">
        <f>Wh_hp&gt;='2026'!Maxi_hp</f>
        <v>0</v>
      </c>
      <c r="I368" s="388">
        <f>IF(H368,Wh_hp,'2026'!Maxi_hp)</f>
        <v>24.174700505084488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6.0566039675145178E-2</v>
      </c>
      <c r="M368" s="832"/>
      <c r="N368" s="832"/>
      <c r="O368" s="48">
        <f>IF(t&lt;Tnet,'2026'!Resal+('2026'!Salim-'2026'!Resal)*(1-EXP(('2026'!Tnet-t)/('2026'!Tau_j))),Resal+(Salim-Resal)*(1-EXP((Tnet-t)/(Tau_j))))*Salcycl</f>
        <v>2.9837314056316486E-2</v>
      </c>
      <c r="P368" s="169">
        <f>(INDEX(Models!$BJ368:$BT368,,T368)*(1-R368)+INDEX(Models!$BJ368:$BT368,,T368+1)*R368-ERP_i)*Q368*Ramure*Pc/MaxiM</f>
        <v>2.5132606786702249E-3</v>
      </c>
      <c r="Q368" s="304">
        <f t="shared" si="130"/>
        <v>0.6</v>
      </c>
      <c r="R368" s="177">
        <f t="shared" si="131"/>
        <v>0.47411008591817938</v>
      </c>
      <c r="S368" s="799">
        <f t="shared" si="132"/>
        <v>-1</v>
      </c>
      <c r="T368" s="176">
        <f t="shared" si="133"/>
        <v>5</v>
      </c>
      <c r="U368" s="250">
        <f t="shared" si="134"/>
        <v>-0.52588991408182062</v>
      </c>
      <c r="V368" s="382">
        <f t="shared" si="135"/>
        <v>21.919085497919767</v>
      </c>
      <c r="W368" s="400">
        <f t="shared" si="136"/>
        <v>4.5359488277054405</v>
      </c>
      <c r="X368" s="157">
        <f t="shared" si="137"/>
        <v>46741</v>
      </c>
      <c r="Y368" s="383">
        <f t="shared" si="138"/>
        <v>4.3378256921515348</v>
      </c>
      <c r="Z368" s="383">
        <f t="shared" si="139"/>
        <v>4.6174886956945027</v>
      </c>
      <c r="AA368" s="384">
        <f t="shared" si="140"/>
        <v>4.9768817685772033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7.2212499632163085E-2</v>
      </c>
      <c r="AD368" s="230">
        <f>(INDEX(Models!$BJ368:$BT368,,AH368)*(1-AF368)+INDEX(Models!$BJ368:$BT368,,AH368+1)*AF368-ERP_i)*AE368*Ramure*Pc/MaxiM</f>
        <v>1.562747312378954E-2</v>
      </c>
      <c r="AE368" s="304">
        <f t="shared" si="142"/>
        <v>0.6</v>
      </c>
      <c r="AF368" s="177">
        <f t="shared" si="143"/>
        <v>0.99909765229215797</v>
      </c>
      <c r="AG368" s="799">
        <f t="shared" si="149"/>
        <v>2</v>
      </c>
      <c r="AH368" s="176">
        <f t="shared" si="144"/>
        <v>8</v>
      </c>
      <c r="AI368" s="224">
        <f t="shared" si="145"/>
        <v>2.999097652292158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'2026'!Wh/'2026'!Env_an*'2027'!Env_an</f>
        <v>20.767340481221829</v>
      </c>
      <c r="C369" s="829"/>
      <c r="D369" s="391">
        <f t="shared" si="127"/>
        <v>22.106650778316187</v>
      </c>
      <c r="E369" s="383">
        <f t="shared" si="150"/>
        <v>22.788409371758377</v>
      </c>
      <c r="F369" s="383">
        <f t="shared" si="128"/>
        <v>22.841534880627933</v>
      </c>
      <c r="G369" s="110">
        <f t="shared" si="151"/>
        <v>0.9473166384352415</v>
      </c>
      <c r="H369" s="412" t="b">
        <f>Wh_hp&gt;='2026'!Maxi_hp</f>
        <v>0</v>
      </c>
      <c r="I369" s="388">
        <f>IF(H369,Wh_hp,'2026'!Maxi_hp)</f>
        <v>22.84427914222125</v>
      </c>
      <c r="J369" s="85">
        <f>IF(H369,An,'2026'!An_max)</f>
        <v>2026</v>
      </c>
      <c r="K369" s="197">
        <f t="shared" si="129"/>
        <v>46742</v>
      </c>
      <c r="L369" s="147">
        <f>IF(t&lt;Tvie,1-EXP((T0-t)*PertePVj)+'2026'!Pspv,1-EXP((T0-t)*PertePVj)+Pspv)</f>
        <v>6.0584043712675451E-2</v>
      </c>
      <c r="M369" s="832"/>
      <c r="N369" s="832"/>
      <c r="O369" s="48">
        <f>IF(t&lt;Tnet,'2026'!Resal+('2026'!Salim-'2026'!Resal)*(1-EXP(('2026'!Tnet-t)/('2026'!Tau_j))),Resal+(Salim-Resal)*(1-EXP((Tnet-t)/(Tau_j))))*Salcycl</f>
        <v>2.991690127732614E-2</v>
      </c>
      <c r="P369" s="169">
        <f>(INDEX(Models!$BJ369:$BT369,,T369)*(1-R369)+INDEX(Models!$BJ369:$BT369,,T369+1)*R369-ERP_i)*Q369*Ramure*Pc/MaxiM</f>
        <v>2.5144264528502978E-3</v>
      </c>
      <c r="Q369" s="304">
        <f t="shared" si="130"/>
        <v>0.6</v>
      </c>
      <c r="R369" s="177">
        <f t="shared" si="131"/>
        <v>0.4741173254027663</v>
      </c>
      <c r="S369" s="799">
        <f t="shared" si="132"/>
        <v>-1</v>
      </c>
      <c r="T369" s="176">
        <f t="shared" si="133"/>
        <v>5</v>
      </c>
      <c r="U369" s="250">
        <f t="shared" si="134"/>
        <v>-0.5258826745972337</v>
      </c>
      <c r="V369" s="382">
        <f t="shared" si="135"/>
        <v>21.918135758169683</v>
      </c>
      <c r="W369" s="400">
        <f t="shared" si="136"/>
        <v>20.767340481221829</v>
      </c>
      <c r="X369" s="157">
        <f t="shared" si="137"/>
        <v>46742</v>
      </c>
      <c r="Y369" s="383">
        <f t="shared" si="138"/>
        <v>19.620465989084099</v>
      </c>
      <c r="Z369" s="383">
        <f t="shared" si="139"/>
        <v>20.885812996647772</v>
      </c>
      <c r="AA369" s="384">
        <f t="shared" si="140"/>
        <v>22.512195162114526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7.2244494761833408E-2</v>
      </c>
      <c r="AD369" s="230">
        <f>(INDEX(Models!$BJ369:$BT369,,AH369)*(1-AF369)+INDEX(Models!$BJ369:$BT369,,AH369+1)*AF369-ERP_i)*AE369*Ramure*Pc/MaxiM</f>
        <v>1.5587624811984571E-2</v>
      </c>
      <c r="AE369" s="304">
        <f t="shared" si="142"/>
        <v>0.6</v>
      </c>
      <c r="AF369" s="177">
        <f t="shared" si="143"/>
        <v>0.99910489177674489</v>
      </c>
      <c r="AG369" s="799">
        <f t="shared" si="149"/>
        <v>2</v>
      </c>
      <c r="AH369" s="176">
        <f t="shared" si="144"/>
        <v>8</v>
      </c>
      <c r="AI369" s="224">
        <f t="shared" si="145"/>
        <v>2.9991048917767449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'2026'!Wh/'2026'!Env_an*'2027'!Env_an</f>
        <v>17.558044244421666</v>
      </c>
      <c r="C370" s="829"/>
      <c r="D370" s="391">
        <f t="shared" si="127"/>
        <v>18.690741443413017</v>
      </c>
      <c r="E370" s="383">
        <f t="shared" si="150"/>
        <v>19.268738270960263</v>
      </c>
      <c r="F370" s="383">
        <f t="shared" si="128"/>
        <v>19.303381569468719</v>
      </c>
      <c r="G370" s="110">
        <f t="shared" si="151"/>
        <v>0.80009750094372822</v>
      </c>
      <c r="H370" s="412" t="b">
        <f>Wh_hp&gt;='2026'!Maxi_hp</f>
        <v>0</v>
      </c>
      <c r="I370" s="388">
        <f>IF(H370,Wh_hp,'2026'!Maxi_hp)</f>
        <v>24.5370383220707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6.0602047405162507E-2</v>
      </c>
      <c r="M370" s="832"/>
      <c r="N370" s="832"/>
      <c r="O370" s="48">
        <f>IF(t&lt;Tnet,'2026'!Resal+('2026'!Salim-'2026'!Resal)*(1-EXP(('2026'!Tnet-t)/('2026'!Tau_j))),Resal+(Salim-Resal)*(1-EXP((Tnet-t)/(Tau_j))))*Salcycl</f>
        <v>2.9996610022895911E-2</v>
      </c>
      <c r="P370" s="169">
        <f>(INDEX(Models!$BJ370:$BT370,,T370)*(1-R370)+INDEX(Models!$BJ370:$BT370,,T370+1)*R370-ERP_i)*Q370*Ramure*Pc/MaxiM</f>
        <v>2.5091797847707261E-3</v>
      </c>
      <c r="Q370" s="304">
        <f t="shared" si="130"/>
        <v>0.6</v>
      </c>
      <c r="R370" s="177">
        <f t="shared" si="131"/>
        <v>0.47412427360156362</v>
      </c>
      <c r="S370" s="799">
        <f t="shared" si="132"/>
        <v>-1</v>
      </c>
      <c r="T370" s="176">
        <f t="shared" si="133"/>
        <v>5</v>
      </c>
      <c r="U370" s="250">
        <f t="shared" si="134"/>
        <v>-0.52587572639843638</v>
      </c>
      <c r="V370" s="382">
        <f t="shared" si="135"/>
        <v>21.929172836897443</v>
      </c>
      <c r="W370" s="400">
        <f t="shared" si="136"/>
        <v>17.558044244421666</v>
      </c>
      <c r="X370" s="157">
        <f t="shared" si="137"/>
        <v>46743</v>
      </c>
      <c r="Y370" s="383">
        <f t="shared" si="138"/>
        <v>16.635753292340194</v>
      </c>
      <c r="Z370" s="383">
        <f t="shared" si="139"/>
        <v>17.708952043581043</v>
      </c>
      <c r="AA370" s="384">
        <f t="shared" si="140"/>
        <v>19.088619786468445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7.2276977503916776E-2</v>
      </c>
      <c r="AD370" s="230">
        <f>(INDEX(Models!$BJ370:$BT370,,AH370)*(1-AF370)+INDEX(Models!$BJ370:$BT370,,AH370+1)*AF370-ERP_i)*AE370*Ramure*Pc/MaxiM</f>
        <v>1.5554983146713119E-2</v>
      </c>
      <c r="AE370" s="304">
        <f t="shared" si="142"/>
        <v>0.6</v>
      </c>
      <c r="AF370" s="177">
        <f t="shared" si="143"/>
        <v>0.99911183997554209</v>
      </c>
      <c r="AG370" s="799">
        <f t="shared" si="149"/>
        <v>2</v>
      </c>
      <c r="AH370" s="176">
        <f t="shared" si="144"/>
        <v>8</v>
      </c>
      <c r="AI370" s="224">
        <f t="shared" si="145"/>
        <v>2.9991118399755421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'2026'!Wh/'2026'!Env_an*'2027'!Env_an</f>
        <v>17.793634294861313</v>
      </c>
      <c r="C371" s="829"/>
      <c r="D371" s="391">
        <f t="shared" si="127"/>
        <v>18.941892797602531</v>
      </c>
      <c r="E371" s="383">
        <f t="shared" si="150"/>
        <v>19.529263217104045</v>
      </c>
      <c r="F371" s="383">
        <f t="shared" si="128"/>
        <v>19.56490126906294</v>
      </c>
      <c r="G371" s="110">
        <f t="shared" si="151"/>
        <v>0.80999649259854878</v>
      </c>
      <c r="H371" s="412" t="b">
        <f>Wh_hp&gt;='2026'!Maxi_hp</f>
        <v>0</v>
      </c>
      <c r="I371" s="388">
        <f>IF(H371,Wh_hp,'2026'!Maxi_hp)</f>
        <v>20.621523847427799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6.0620050752612897E-2</v>
      </c>
      <c r="M371" s="832"/>
      <c r="N371" s="832"/>
      <c r="O371" s="48">
        <f>IF(t&lt;Tnet,'2026'!Resal+('2026'!Salim-'2026'!Resal)*(1-EXP(('2026'!Tnet-t)/('2026'!Tau_j))),Resal+(Salim-Resal)*(1-EXP((Tnet-t)/(Tau_j))))*Salcycl</f>
        <v>3.0076424951202815E-2</v>
      </c>
      <c r="P371" s="169">
        <f>(INDEX(Models!$BJ371:$BT371,,T371)*(1-R371)+INDEX(Models!$BJ371:$BT371,,T371+1)*R371-ERP_i)*Q371*Ramure*Pc/MaxiM</f>
        <v>2.4974683487628555E-3</v>
      </c>
      <c r="Q371" s="304">
        <f t="shared" si="130"/>
        <v>0.6</v>
      </c>
      <c r="R371" s="177">
        <f t="shared" si="131"/>
        <v>0.47412427360156362</v>
      </c>
      <c r="S371" s="799">
        <f t="shared" si="132"/>
        <v>-1</v>
      </c>
      <c r="T371" s="176">
        <f t="shared" si="133"/>
        <v>5</v>
      </c>
      <c r="U371" s="250">
        <f t="shared" si="134"/>
        <v>-0.52587572639843638</v>
      </c>
      <c r="V371" s="382">
        <f t="shared" si="135"/>
        <v>21.952669063258455</v>
      </c>
      <c r="W371" s="400">
        <f t="shared" si="136"/>
        <v>17.793634294861313</v>
      </c>
      <c r="X371" s="157">
        <f t="shared" si="137"/>
        <v>46744</v>
      </c>
      <c r="Y371" s="383">
        <f t="shared" si="138"/>
        <v>16.856792036952356</v>
      </c>
      <c r="Z371" s="383">
        <f t="shared" si="139"/>
        <v>17.944594251194832</v>
      </c>
      <c r="AA371" s="384">
        <f t="shared" si="140"/>
        <v>19.343306984735971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7.2309907227594478E-2</v>
      </c>
      <c r="AD371" s="230">
        <f>(INDEX(Models!$BJ371:$BT371,,AH371)*(1-AF371)+INDEX(Models!$BJ371:$BT371,,AH371+1)*AF371-ERP_i)*AE371*Ramure*Pc/MaxiM</f>
        <v>1.5529039354105835E-2</v>
      </c>
      <c r="AE371" s="304">
        <f t="shared" si="142"/>
        <v>0.6</v>
      </c>
      <c r="AF371" s="177">
        <f t="shared" si="143"/>
        <v>0.99911183997554209</v>
      </c>
      <c r="AG371" s="799">
        <f t="shared" si="149"/>
        <v>2</v>
      </c>
      <c r="AH371" s="176">
        <f t="shared" si="144"/>
        <v>8</v>
      </c>
      <c r="AI371" s="224">
        <f t="shared" si="145"/>
        <v>2.9991118399755421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'2026'!Wh/'2026'!Env_an*'2027'!Env_an</f>
        <v>21.147011072856603</v>
      </c>
      <c r="C372" s="829"/>
      <c r="D372" s="391">
        <f t="shared" si="127"/>
        <v>22.512101067528114</v>
      </c>
      <c r="E372" s="383">
        <f t="shared" si="150"/>
        <v>23.212092619161169</v>
      </c>
      <c r="F372" s="383">
        <f t="shared" si="128"/>
        <v>23.266621622749074</v>
      </c>
      <c r="G372" s="110">
        <f t="shared" si="151"/>
        <v>0.96157368964114143</v>
      </c>
      <c r="H372" s="412" t="b">
        <f>Wh_hp&gt;='2026'!Maxi_hp</f>
        <v>0</v>
      </c>
      <c r="I372" s="388">
        <f>IF(H372,Wh_hp,'2026'!Maxi_hp)</f>
        <v>23.268637462789169</v>
      </c>
      <c r="J372" s="85">
        <f>IF(H372,An,'2026'!An_max)</f>
        <v>2026</v>
      </c>
      <c r="K372" s="197">
        <f t="shared" si="129"/>
        <v>46745</v>
      </c>
      <c r="L372" s="147">
        <f>IF(t&lt;Tvie,1-EXP((T0-t)*PertePVj)+'2026'!Pspv,1-EXP((T0-t)*PertePVj)+Pspv)</f>
        <v>6.0638053755033172E-2</v>
      </c>
      <c r="M372" s="832"/>
      <c r="N372" s="832"/>
      <c r="O372" s="48">
        <f>IF(t&lt;Tnet,'2026'!Resal+('2026'!Salim-'2026'!Resal)*(1-EXP(('2026'!Tnet-t)/('2026'!Tau_j))),Resal+(Salim-Resal)*(1-EXP((Tnet-t)/(Tau_j))))*Salcycl</f>
        <v>3.0156331146775805E-2</v>
      </c>
      <c r="P372" s="169">
        <f>(INDEX(Models!$BJ372:$BT372,,T372)*(1-R372)+INDEX(Models!$BJ372:$BT372,,T372+1)*R372-ERP_i)*Q372*Ramure*Pc/MaxiM</f>
        <v>2.4792951265874747E-3</v>
      </c>
      <c r="Q372" s="304">
        <f t="shared" si="130"/>
        <v>0.6</v>
      </c>
      <c r="R372" s="177">
        <f t="shared" si="131"/>
        <v>0.47412427360156362</v>
      </c>
      <c r="S372" s="799">
        <f t="shared" si="132"/>
        <v>-1</v>
      </c>
      <c r="T372" s="176">
        <f t="shared" si="133"/>
        <v>5</v>
      </c>
      <c r="U372" s="250">
        <f t="shared" si="134"/>
        <v>-0.52587572639843638</v>
      </c>
      <c r="V372" s="382">
        <f t="shared" si="135"/>
        <v>21.989095835695785</v>
      </c>
      <c r="W372" s="400">
        <f t="shared" si="136"/>
        <v>21.147011072856603</v>
      </c>
      <c r="X372" s="157">
        <f t="shared" si="137"/>
        <v>46745</v>
      </c>
      <c r="Y372" s="383">
        <f t="shared" si="138"/>
        <v>19.977418141487075</v>
      </c>
      <c r="Z372" s="383">
        <f t="shared" si="139"/>
        <v>21.267008123274948</v>
      </c>
      <c r="AA372" s="384">
        <f t="shared" si="140"/>
        <v>22.92551420736563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7.2343244696244563E-2</v>
      </c>
      <c r="AD372" s="230">
        <f>(INDEX(Models!$BJ372:$BT372,,AH372)*(1-AF372)+INDEX(Models!$BJ372:$BT372,,AH372+1)*AF372-ERP_i)*AE372*Ramure*Pc/MaxiM</f>
        <v>1.5509286745715922E-2</v>
      </c>
      <c r="AE372" s="304">
        <f t="shared" si="142"/>
        <v>0.6</v>
      </c>
      <c r="AF372" s="177">
        <f t="shared" si="143"/>
        <v>0.99911183997554209</v>
      </c>
      <c r="AG372" s="799">
        <f t="shared" si="149"/>
        <v>2</v>
      </c>
      <c r="AH372" s="176">
        <f t="shared" si="144"/>
        <v>8</v>
      </c>
      <c r="AI372" s="224">
        <f t="shared" si="145"/>
        <v>2.9991118399755421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'2026'!Wh/'2026'!Env_an*'2027'!Env_an</f>
        <v>11.946907225435837</v>
      </c>
      <c r="C373" s="829"/>
      <c r="D373" s="391">
        <f t="shared" si="127"/>
        <v>12.718352321310402</v>
      </c>
      <c r="E373" s="383">
        <f t="shared" si="150"/>
        <v>13.114898513489825</v>
      </c>
      <c r="F373" s="383">
        <f t="shared" si="128"/>
        <v>13.126041328426778</v>
      </c>
      <c r="G373" s="110">
        <f t="shared" si="151"/>
        <v>0.54121325041515411</v>
      </c>
      <c r="H373" s="412" t="b">
        <f>Wh_hp&gt;='2026'!Maxi_hp</f>
        <v>0</v>
      </c>
      <c r="I373" s="388">
        <f>IF(H373,Wh_hp,'2026'!Maxi_hp)</f>
        <v>13.139534608632744</v>
      </c>
      <c r="J373" s="85">
        <f>IF(H373,An,'2026'!An_max)</f>
        <v>2026</v>
      </c>
      <c r="K373" s="197">
        <f t="shared" si="129"/>
        <v>46746</v>
      </c>
      <c r="L373" s="147">
        <f>IF(t&lt;Tvie,1-EXP((T0-t)*PertePVj)+'2026'!Pspv,1-EXP((T0-t)*PertePVj)+Pspv)</f>
        <v>6.0656056412430104E-2</v>
      </c>
      <c r="M373" s="832"/>
      <c r="N373" s="832"/>
      <c r="O373" s="48">
        <f>IF(t&lt;Tnet,'2026'!Resal+('2026'!Salim-'2026'!Resal)*(1-EXP(('2026'!Tnet-t)/('2026'!Tau_j))),Resal+(Salim-Resal)*(1-EXP((Tnet-t)/(Tau_j))))*Salcycl</f>
        <v>3.0236314201862884E-2</v>
      </c>
      <c r="P373" s="169">
        <f>(INDEX(Models!$BJ373:$BT373,,T373)*(1-R373)+INDEX(Models!$BJ373:$BT373,,T373+1)*R373-ERP_i)*Q373*Ramure*Pc/MaxiM</f>
        <v>2.4546654191944747E-3</v>
      </c>
      <c r="Q373" s="304">
        <f t="shared" si="130"/>
        <v>0.6</v>
      </c>
      <c r="R373" s="177">
        <f t="shared" si="131"/>
        <v>0.47412427360156362</v>
      </c>
      <c r="S373" s="799">
        <f t="shared" si="132"/>
        <v>-1</v>
      </c>
      <c r="T373" s="176">
        <f t="shared" si="133"/>
        <v>5</v>
      </c>
      <c r="U373" s="250">
        <f t="shared" si="134"/>
        <v>-0.52587572639843638</v>
      </c>
      <c r="V373" s="382">
        <f t="shared" si="135"/>
        <v>22.038830524664913</v>
      </c>
      <c r="W373" s="400">
        <f t="shared" si="136"/>
        <v>11.946907225435837</v>
      </c>
      <c r="X373" s="157">
        <f t="shared" si="137"/>
        <v>46746</v>
      </c>
      <c r="Y373" s="383">
        <f t="shared" si="138"/>
        <v>11.376178204157497</v>
      </c>
      <c r="Z373" s="383">
        <f t="shared" si="139"/>
        <v>12.110769736492115</v>
      </c>
      <c r="AA373" s="384">
        <f t="shared" si="140"/>
        <v>13.055701629884163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7.2376952245073137E-2</v>
      </c>
      <c r="AD373" s="230">
        <f>(INDEX(Models!$BJ373:$BT373,,AH373)*(1-AF373)+INDEX(Models!$BJ373:$BT373,,AH373+1)*AF373-ERP_i)*AE373*Ramure*Pc/MaxiM</f>
        <v>1.5495225092226523E-2</v>
      </c>
      <c r="AE373" s="304">
        <f t="shared" si="142"/>
        <v>0.6</v>
      </c>
      <c r="AF373" s="177">
        <f t="shared" si="143"/>
        <v>0.99911183997554209</v>
      </c>
      <c r="AG373" s="799">
        <f t="shared" si="149"/>
        <v>2</v>
      </c>
      <c r="AH373" s="176">
        <f t="shared" si="144"/>
        <v>8</v>
      </c>
      <c r="AI373" s="224">
        <f t="shared" si="145"/>
        <v>2.9991118399755421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'2026'!Wh/'2026'!Env_an*'2027'!Env_an</f>
        <v>20.653581048772441</v>
      </c>
      <c r="C374" s="829"/>
      <c r="D374" s="391">
        <f t="shared" si="127"/>
        <v>21.987661727657599</v>
      </c>
      <c r="E374" s="383">
        <f t="shared" si="150"/>
        <v>22.675087860866377</v>
      </c>
      <c r="F374" s="383">
        <f t="shared" si="128"/>
        <v>22.72501080791897</v>
      </c>
      <c r="G374" s="110">
        <f t="shared" si="151"/>
        <v>0.93427017084668074</v>
      </c>
      <c r="H374" s="412" t="b">
        <f>Wh_hp&gt;='2026'!Maxi_hp</f>
        <v>0</v>
      </c>
      <c r="I374" s="388">
        <f>IF(H374,Wh_hp,'2026'!Maxi_hp)</f>
        <v>22.72832491648224</v>
      </c>
      <c r="J374" s="85">
        <f>IF(H374,An,'2026'!An_max)</f>
        <v>2026</v>
      </c>
      <c r="K374" s="197">
        <f t="shared" si="129"/>
        <v>46747</v>
      </c>
      <c r="L374" s="147">
        <f>IF(t&lt;Tvie,1-EXP((T0-t)*PertePVj)+'2026'!Pspv,1-EXP((T0-t)*PertePVj)+Pspv)</f>
        <v>6.0674058724810132E-2</v>
      </c>
      <c r="M374" s="832"/>
      <c r="N374" s="832"/>
      <c r="O374" s="48">
        <f>IF(t&lt;Tnet,'2026'!Resal+('2026'!Salim-'2026'!Resal)*(1-EXP(('2026'!Tnet-t)/('2026'!Tau_j))),Resal+(Salim-Resal)*(1-EXP((Tnet-t)/(Tau_j))))*Salcycl</f>
        <v>3.0316360290500412E-2</v>
      </c>
      <c r="P374" s="169">
        <f>(INDEX(Models!$BJ374:$BT374,,T374)*(1-R374)+INDEX(Models!$BJ374:$BT374,,T374+1)*R374-ERP_i)*Q374*Ramure*Pc/MaxiM</f>
        <v>2.4236752314640703E-3</v>
      </c>
      <c r="Q374" s="304">
        <f t="shared" si="130"/>
        <v>0.6</v>
      </c>
      <c r="R374" s="177">
        <f t="shared" si="131"/>
        <v>0.47412427360156362</v>
      </c>
      <c r="S374" s="799">
        <f t="shared" si="132"/>
        <v>-1</v>
      </c>
      <c r="T374" s="176">
        <f t="shared" si="133"/>
        <v>5</v>
      </c>
      <c r="U374" s="250">
        <f t="shared" si="134"/>
        <v>-0.52587572639843638</v>
      </c>
      <c r="V374" s="382">
        <f t="shared" si="135"/>
        <v>22.101621325987036</v>
      </c>
      <c r="W374" s="400">
        <f t="shared" si="136"/>
        <v>20.653581048772441</v>
      </c>
      <c r="X374" s="157">
        <f t="shared" si="137"/>
        <v>46747</v>
      </c>
      <c r="Y374" s="383">
        <f t="shared" si="138"/>
        <v>19.522547916097864</v>
      </c>
      <c r="Z374" s="383">
        <f t="shared" si="139"/>
        <v>20.783571557275277</v>
      </c>
      <c r="AA374" s="384">
        <f t="shared" si="140"/>
        <v>22.4060132466802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7.2410993939107576E-2</v>
      </c>
      <c r="AD374" s="230">
        <f>(INDEX(Models!$BJ374:$BT374,,AH374)*(1-AF374)+INDEX(Models!$BJ374:$BT374,,AH374+1)*AF374-ERP_i)*AE374*Ramure*Pc/MaxiM</f>
        <v>1.5486795826724029E-2</v>
      </c>
      <c r="AE374" s="304">
        <f t="shared" si="142"/>
        <v>0.6</v>
      </c>
      <c r="AF374" s="177">
        <f t="shared" si="143"/>
        <v>0.99911183997554209</v>
      </c>
      <c r="AG374" s="799">
        <f t="shared" si="149"/>
        <v>2</v>
      </c>
      <c r="AH374" s="176">
        <f t="shared" si="144"/>
        <v>8</v>
      </c>
      <c r="AI374" s="224">
        <f t="shared" si="145"/>
        <v>2.9991118399755421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'2026'!Wh/'2026'!Env_an*'2027'!Env_an</f>
        <v>6.9980578117055297</v>
      </c>
      <c r="C375" s="829"/>
      <c r="D375" s="391">
        <f t="shared" si="127"/>
        <v>7.4502274694520612</v>
      </c>
      <c r="E375" s="383">
        <f t="shared" si="150"/>
        <v>7.6837873761489721</v>
      </c>
      <c r="F375" s="383">
        <f t="shared" si="128"/>
        <v>7.6841946697100107</v>
      </c>
      <c r="G375" s="110">
        <f t="shared" si="151"/>
        <v>0.31481843127254344</v>
      </c>
      <c r="H375" s="412" t="b">
        <f>Wh_hp&gt;='2026'!Maxi_hp</f>
        <v>0</v>
      </c>
      <c r="I375" s="388">
        <f>IF(H375,Wh_hp,'2026'!Maxi_hp)</f>
        <v>21.290446008401918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6.0692060692180028E-2</v>
      </c>
      <c r="M375" s="832"/>
      <c r="N375" s="832"/>
      <c r="O375" s="48">
        <f>IF(t&lt;Tnet,'2026'!Resal+('2026'!Salim-'2026'!Resal)*(1-EXP(('2026'!Tnet-t)/('2026'!Tau_j))),Resal+(Salim-Resal)*(1-EXP((Tnet-t)/(Tau_j))))*Salcycl</f>
        <v>3.0396456234837735E-2</v>
      </c>
      <c r="P375" s="169">
        <f>(INDEX(Models!$BJ375:$BT375,,T375)*(1-R375)+INDEX(Models!$BJ375:$BT375,,T375+1)*R375-ERP_i)*Q375*Ramure*Pc/MaxiM</f>
        <v>2.3853520273116107E-3</v>
      </c>
      <c r="Q375" s="304">
        <f t="shared" si="130"/>
        <v>0.6</v>
      </c>
      <c r="R375" s="177">
        <f t="shared" si="131"/>
        <v>0.47412427360156362</v>
      </c>
      <c r="S375" s="799">
        <f t="shared" si="132"/>
        <v>-1</v>
      </c>
      <c r="T375" s="176">
        <f t="shared" si="133"/>
        <v>5</v>
      </c>
      <c r="U375" s="250">
        <f t="shared" si="134"/>
        <v>-0.52587572639843638</v>
      </c>
      <c r="V375" s="382">
        <f t="shared" si="135"/>
        <v>22.177021251393843</v>
      </c>
      <c r="W375" s="400">
        <f t="shared" si="136"/>
        <v>6.9980578117055297</v>
      </c>
      <c r="X375" s="157">
        <f t="shared" si="137"/>
        <v>46748</v>
      </c>
      <c r="Y375" s="383">
        <f t="shared" si="138"/>
        <v>6.6926237453306481</v>
      </c>
      <c r="Z375" s="383">
        <f t="shared" si="139"/>
        <v>7.1250582106891072</v>
      </c>
      <c r="AA375" s="384">
        <f t="shared" si="140"/>
        <v>7.6815507322677821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7.2445335710799252E-2</v>
      </c>
      <c r="AD375" s="230">
        <f>(INDEX(Models!$BJ375:$BT375,,AH375)*(1-AF375)+INDEX(Models!$BJ375:$BT375,,AH375+1)*AF375-ERP_i)*AE375*Ramure*Pc/MaxiM</f>
        <v>1.5484461678779125E-2</v>
      </c>
      <c r="AE375" s="304">
        <f t="shared" si="142"/>
        <v>0.6</v>
      </c>
      <c r="AF375" s="177">
        <f t="shared" si="143"/>
        <v>0.99911183997554209</v>
      </c>
      <c r="AG375" s="799">
        <f t="shared" si="149"/>
        <v>2</v>
      </c>
      <c r="AH375" s="176">
        <f t="shared" si="144"/>
        <v>8</v>
      </c>
      <c r="AI375" s="224">
        <f t="shared" si="145"/>
        <v>2.9991118399755421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'2026'!Wh/'2026'!Env_an*'2027'!Env_an</f>
        <v>21.724300718686923</v>
      </c>
      <c r="C376" s="829"/>
      <c r="D376" s="391">
        <f t="shared" si="127"/>
        <v>23.12842908997699</v>
      </c>
      <c r="E376" s="383">
        <f t="shared" si="150"/>
        <v>23.855462220928132</v>
      </c>
      <c r="F376" s="383">
        <f t="shared" si="128"/>
        <v>23.909529923081184</v>
      </c>
      <c r="G376" s="110">
        <f t="shared" si="151"/>
        <v>0.97565782924337918</v>
      </c>
      <c r="H376" s="412" t="b">
        <f>Wh_hp&gt;='2026'!Maxi_hp</f>
        <v>0</v>
      </c>
      <c r="I376" s="388">
        <f>IF(H376,Wh_hp,'2026'!Maxi_hp)</f>
        <v>23.910787635116183</v>
      </c>
      <c r="J376" s="85">
        <f>IF(H376,An,'2026'!An_max)</f>
        <v>2026</v>
      </c>
      <c r="K376" s="197">
        <f t="shared" si="129"/>
        <v>46749</v>
      </c>
      <c r="L376" s="147">
        <f>IF(t&lt;Tvie,1-EXP((T0-t)*PertePVj)+'2026'!Pspv,1-EXP((T0-t)*PertePVj)+Pspv)</f>
        <v>6.0710062314546231E-2</v>
      </c>
      <c r="M376" s="832"/>
      <c r="N376" s="832"/>
      <c r="O376" s="48">
        <f>IF(t&lt;Tnet,'2026'!Resal+('2026'!Salim-'2026'!Resal)*(1-EXP(('2026'!Tnet-t)/('2026'!Tau_j))),Resal+(Salim-Resal)*(1-EXP((Tnet-t)/(Tau_j))))*Salcycl</f>
        <v>3.0476589563346469E-2</v>
      </c>
      <c r="P376" s="169">
        <f>(INDEX(Models!$BJ376:$BT376,,T376)*(1-R376)+INDEX(Models!$BJ376:$BT376,,T376+1)*R376-ERP_i)*Q376*Ramure*Pc/MaxiM</f>
        <v>2.3425402695163278E-3</v>
      </c>
      <c r="Q376" s="304">
        <f t="shared" si="130"/>
        <v>0.6</v>
      </c>
      <c r="R376" s="177">
        <f t="shared" si="131"/>
        <v>0.47412427360156362</v>
      </c>
      <c r="S376" s="799">
        <f t="shared" si="132"/>
        <v>-1</v>
      </c>
      <c r="T376" s="176">
        <f t="shared" si="133"/>
        <v>5</v>
      </c>
      <c r="U376" s="250">
        <f t="shared" si="134"/>
        <v>-0.52587572639843638</v>
      </c>
      <c r="V376" s="382">
        <f t="shared" si="135"/>
        <v>22.264499053817026</v>
      </c>
      <c r="W376" s="400">
        <f t="shared" si="136"/>
        <v>21.724300718686923</v>
      </c>
      <c r="X376" s="157">
        <f t="shared" si="137"/>
        <v>46749</v>
      </c>
      <c r="Y376" s="383">
        <f t="shared" si="138"/>
        <v>20.518911940185923</v>
      </c>
      <c r="Z376" s="383">
        <f t="shared" si="139"/>
        <v>21.845131217680763</v>
      </c>
      <c r="AA376" s="384">
        <f t="shared" si="140"/>
        <v>23.552192872969776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7.2479945476676327E-2</v>
      </c>
      <c r="AD376" s="230">
        <f>(INDEX(Models!$BJ376:$BT376,,AH376)*(1-AF376)+INDEX(Models!$BJ376:$BT376,,AH376+1)*AF376-ERP_i)*AE376*Ramure*Pc/MaxiM</f>
        <v>1.5482004900200885E-2</v>
      </c>
      <c r="AE376" s="304">
        <f t="shared" si="142"/>
        <v>0.6</v>
      </c>
      <c r="AF376" s="177">
        <f t="shared" si="143"/>
        <v>0.99911183997554209</v>
      </c>
      <c r="AG376" s="799">
        <f t="shared" si="149"/>
        <v>2</v>
      </c>
      <c r="AH376" s="176">
        <f t="shared" si="144"/>
        <v>8</v>
      </c>
      <c r="AI376" s="224">
        <f t="shared" si="145"/>
        <v>2.9991118399755421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'2026'!Wh/'2026'!Env_an*'2027'!Env_an</f>
        <v>10.317756448967215</v>
      </c>
      <c r="C377" s="829"/>
      <c r="D377" s="391">
        <f t="shared" si="127"/>
        <v>10.984844802692445</v>
      </c>
      <c r="E377" s="383">
        <f t="shared" si="150"/>
        <v>11.331085946890399</v>
      </c>
      <c r="F377" s="383">
        <f t="shared" si="128"/>
        <v>11.33708476511371</v>
      </c>
      <c r="G377" s="110">
        <f t="shared" si="151"/>
        <v>0.46054886662963251</v>
      </c>
      <c r="H377" s="412" t="b">
        <f>Wh_hp&gt;='2026'!Maxi_hp</f>
        <v>0</v>
      </c>
      <c r="I377" s="388">
        <f>IF(H377,Wh_hp,'2026'!Maxi_hp)</f>
        <v>25.022994124609578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6.0728063591915515E-2</v>
      </c>
      <c r="M377" s="832"/>
      <c r="N377" s="832"/>
      <c r="O377" s="48">
        <f>IF(t&lt;Tnet,'2026'!Resal+('2026'!Salim-'2026'!Resal)*(1-EXP(('2026'!Tnet-t)/('2026'!Tau_j))),Resal+(Salim-Resal)*(1-EXP((Tnet-t)/(Tau_j))))*Salcycl</f>
        <v>3.0556748560624351E-2</v>
      </c>
      <c r="P377" s="169">
        <f>(INDEX(Models!$BJ377:$BT377,,T377)*(1-R377)+INDEX(Models!$BJ377:$BT377,,T377+1)*R377-ERP_i)*Q377*Ramure*Pc/MaxiM</f>
        <v>2.2953832336101388E-3</v>
      </c>
      <c r="Q377" s="304">
        <f t="shared" si="130"/>
        <v>0.6</v>
      </c>
      <c r="R377" s="177">
        <f t="shared" si="131"/>
        <v>0.47412427360156362</v>
      </c>
      <c r="S377" s="799">
        <f t="shared" si="132"/>
        <v>-1</v>
      </c>
      <c r="T377" s="176">
        <f t="shared" si="133"/>
        <v>5</v>
      </c>
      <c r="U377" s="250">
        <f t="shared" si="134"/>
        <v>-0.52587572639843638</v>
      </c>
      <c r="V377" s="382">
        <f t="shared" si="135"/>
        <v>22.363583543140155</v>
      </c>
      <c r="W377" s="400">
        <f t="shared" si="136"/>
        <v>10.317756448967215</v>
      </c>
      <c r="X377" s="157">
        <f t="shared" si="137"/>
        <v>46750</v>
      </c>
      <c r="Y377" s="383">
        <f t="shared" si="138"/>
        <v>9.8411814910529429</v>
      </c>
      <c r="Z377" s="383">
        <f t="shared" si="139"/>
        <v>10.477457176765107</v>
      </c>
      <c r="AA377" s="384">
        <f t="shared" si="140"/>
        <v>11.296629962739296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7.2514793232684602E-2</v>
      </c>
      <c r="AD377" s="230">
        <f>(INDEX(Models!$BJ377:$BT377,,AH377)*(1-AF377)+INDEX(Models!$BJ377:$BT377,,AH377+1)*AF377-ERP_i)*AE377*Ramure*Pc/MaxiM</f>
        <v>1.5479594752247297E-2</v>
      </c>
      <c r="AE377" s="304">
        <f t="shared" si="142"/>
        <v>0.6</v>
      </c>
      <c r="AF377" s="177">
        <f t="shared" si="143"/>
        <v>0.99911183997554209</v>
      </c>
      <c r="AG377" s="799">
        <f t="shared" si="149"/>
        <v>2</v>
      </c>
      <c r="AH377" s="176">
        <f t="shared" si="144"/>
        <v>8</v>
      </c>
      <c r="AI377" s="224">
        <f t="shared" si="145"/>
        <v>2.9991118399755421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'2026'!Wh/'2026'!Env_an*'2027'!Env_an</f>
        <v>13.97866003942625</v>
      </c>
      <c r="C378" s="829"/>
      <c r="D378" s="391">
        <f t="shared" si="127"/>
        <v>14.882727142736382</v>
      </c>
      <c r="E378" s="383">
        <f t="shared" si="150"/>
        <v>15.353098839064835</v>
      </c>
      <c r="F378" s="383">
        <f t="shared" si="128"/>
        <v>15.36896342426868</v>
      </c>
      <c r="G378" s="110">
        <f t="shared" si="151"/>
        <v>0.62124345391968139</v>
      </c>
      <c r="H378" s="412" t="b">
        <f>Wh_hp&gt;='2026'!Maxi_hp</f>
        <v>0</v>
      </c>
      <c r="I378" s="388">
        <f>IF(H378,Wh_hp,'2026'!Maxi_hp)</f>
        <v>25.027651179472095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6.074606452429443E-2</v>
      </c>
      <c r="M378" s="832"/>
      <c r="N378" s="832"/>
      <c r="O378" s="48">
        <f>IF(t&lt;Tnet,'2026'!Resal+('2026'!Salim-'2026'!Resal)*(1-EXP(('2026'!Tnet-t)/('2026'!Tau_j))),Resal+(Salim-Resal)*(1-EXP((Tnet-t)/(Tau_j))))*Salcycl</f>
        <v>3.0636922308584887E-2</v>
      </c>
      <c r="P378" s="169">
        <f>(INDEX(Models!$BJ378:$BT378,,T378)*(1-R378)+INDEX(Models!$BJ378:$BT378,,T378+1)*R378-ERP_i)*Q378*Ramure*Pc/MaxiM</f>
        <v>2.2440320967565442E-3</v>
      </c>
      <c r="Q378" s="304">
        <f t="shared" si="130"/>
        <v>0.6</v>
      </c>
      <c r="R378" s="177">
        <f t="shared" si="131"/>
        <v>0.47412427360156362</v>
      </c>
      <c r="S378" s="799">
        <f t="shared" si="132"/>
        <v>-1</v>
      </c>
      <c r="T378" s="176">
        <f t="shared" si="133"/>
        <v>5</v>
      </c>
      <c r="U378" s="250">
        <f t="shared" si="134"/>
        <v>-0.52587572639843638</v>
      </c>
      <c r="V378" s="382">
        <f t="shared" si="135"/>
        <v>22.47380368050969</v>
      </c>
      <c r="W378" s="400">
        <f t="shared" si="136"/>
        <v>13.97866003942625</v>
      </c>
      <c r="X378" s="157">
        <f t="shared" si="137"/>
        <v>46751</v>
      </c>
      <c r="Y378" s="383">
        <f t="shared" si="138"/>
        <v>13.292758964091899</v>
      </c>
      <c r="Z378" s="383">
        <f t="shared" si="139"/>
        <v>14.152465549542246</v>
      </c>
      <c r="AA378" s="384">
        <f t="shared" si="140"/>
        <v>15.259543132054892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7.2549851128050305E-2</v>
      </c>
      <c r="AD378" s="230">
        <f>(INDEX(Models!$BJ378:$BT378,,AH378)*(1-AF378)+INDEX(Models!$BJ378:$BT378,,AH378+1)*AF378-ERP_i)*AE378*Ramure*Pc/MaxiM</f>
        <v>1.5477407357911083E-2</v>
      </c>
      <c r="AE378" s="304">
        <f t="shared" si="142"/>
        <v>0.6</v>
      </c>
      <c r="AF378" s="177">
        <f t="shared" si="143"/>
        <v>0.99911183997554209</v>
      </c>
      <c r="AG378" s="799">
        <f t="shared" si="149"/>
        <v>2</v>
      </c>
      <c r="AH378" s="176">
        <f t="shared" si="144"/>
        <v>8</v>
      </c>
      <c r="AI378" s="224">
        <f t="shared" si="145"/>
        <v>2.9991118399755421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'2026'!Wh/'2026'!Env_an*'2027'!Env_an</f>
        <v>11.564746259557459</v>
      </c>
      <c r="C379" s="829"/>
      <c r="D379" s="391">
        <f t="shared" si="127"/>
        <v>12.312929935898039</v>
      </c>
      <c r="E379" s="383">
        <f t="shared" si="150"/>
        <v>12.703133362850416</v>
      </c>
      <c r="F379" s="383">
        <f t="shared" si="128"/>
        <v>12.711552603541996</v>
      </c>
      <c r="G379" s="110">
        <f t="shared" si="151"/>
        <v>0.51105298817140998</v>
      </c>
      <c r="H379" s="412" t="b">
        <f>Wh_hp&gt;='2026'!Maxi_hp</f>
        <v>0</v>
      </c>
      <c r="I379" s="388">
        <f>IF(H379,Wh_hp,'2026'!Maxi_hp)</f>
        <v>25.278911318099443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6.0764065111689525E-2</v>
      </c>
      <c r="M379" s="832"/>
      <c r="N379" s="832"/>
      <c r="O379" s="48">
        <f>IF(t&lt;Tnet,'2026'!Resal+('2026'!Salim-'2026'!Resal)*(1-EXP(('2026'!Tnet-t)/('2026'!Tau_j))),Resal+(Salim-Resal)*(1-EXP((Tnet-t)/(Tau_j))))*Salcycl</f>
        <v>3.0717100718906487E-2</v>
      </c>
      <c r="P379" s="169">
        <f>(INDEX(Models!$BJ379:$BT379,,T379)*(1-R379)+INDEX(Models!$BJ379:$BT379,,T379+1)*R379-ERP_i)*Q379*Ramure*Pc/MaxiM</f>
        <v>2.1886444213267279E-3</v>
      </c>
      <c r="Q379" s="305">
        <f t="shared" si="130"/>
        <v>0.6</v>
      </c>
      <c r="R379" s="177">
        <f t="shared" si="131"/>
        <v>0.47412427360156362</v>
      </c>
      <c r="S379" s="799">
        <f t="shared" si="132"/>
        <v>-1</v>
      </c>
      <c r="T379" s="176">
        <f t="shared" si="133"/>
        <v>5</v>
      </c>
      <c r="U379" s="306">
        <f t="shared" si="134"/>
        <v>-0.52587572639843638</v>
      </c>
      <c r="V379" s="382">
        <f t="shared" si="135"/>
        <v>22.594688588526765</v>
      </c>
      <c r="W379" s="400">
        <f t="shared" si="136"/>
        <v>11.564746259557459</v>
      </c>
      <c r="X379" s="157">
        <f t="shared" si="137"/>
        <v>46752</v>
      </c>
      <c r="Y379" s="383">
        <f t="shared" si="138"/>
        <v>11.020687411172764</v>
      </c>
      <c r="Z379" s="383">
        <f t="shared" si="139"/>
        <v>11.733673086606606</v>
      </c>
      <c r="AA379" s="384">
        <f t="shared" si="140"/>
        <v>12.652021230834587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7.2585093517694127E-2</v>
      </c>
      <c r="AD379" s="230">
        <f>(INDEX(Models!$BJ379:$BT379,,AH379)*(1-AF379)+INDEX(Models!$BJ379:$BT379,,AH379+1)*AF379-ERP_i)*AE379*Ramure*Pc/MaxiM</f>
        <v>1.5475624411155216E-2</v>
      </c>
      <c r="AE379" s="305">
        <f t="shared" si="142"/>
        <v>0.6</v>
      </c>
      <c r="AF379" s="177">
        <f t="shared" si="143"/>
        <v>0.99911183997554209</v>
      </c>
      <c r="AG379" s="799">
        <f t="shared" si="149"/>
        <v>2</v>
      </c>
      <c r="AH379" s="176">
        <f t="shared" si="144"/>
        <v>8</v>
      </c>
      <c r="AI379" s="221">
        <f t="shared" si="145"/>
        <v>2.9991118399755421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17.036821547492405</v>
      </c>
      <c r="J380" s="85">
        <f>IF(H380,An,'2026'!An_max)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25.018618300755818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1.7419322537406297</v>
      </c>
      <c r="C381" s="374"/>
      <c r="D381" s="372">
        <f>MIN(D15:D380)</f>
        <v>1.8420516875714905</v>
      </c>
      <c r="E381" s="372">
        <f>MIN(E15:E380)</f>
        <v>1.9514693693879472</v>
      </c>
      <c r="F381" s="373">
        <f>MIN(F15:F380)</f>
        <v>1.9514693693879472</v>
      </c>
      <c r="G381" s="125">
        <f>+MIN(G15:G380)</f>
        <v>7.2936252321565129E-2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3">MIN(L15:L380)</f>
        <v>5.4189006803393669E-2</v>
      </c>
      <c r="M381" s="833"/>
      <c r="N381" s="833"/>
      <c r="O381" s="47">
        <f t="shared" si="153"/>
        <v>8.0885102312609237E-3</v>
      </c>
      <c r="P381" s="168">
        <f t="shared" si="153"/>
        <v>2.6092121120148274E-5</v>
      </c>
      <c r="Q381" s="309">
        <f t="shared" si="153"/>
        <v>0.6</v>
      </c>
      <c r="R381" s="310">
        <f t="shared" si="153"/>
        <v>1.325193483608933E-4</v>
      </c>
      <c r="S381" s="799">
        <f t="shared" si="153"/>
        <v>-2</v>
      </c>
      <c r="T381" s="176">
        <f t="shared" si="153"/>
        <v>4</v>
      </c>
      <c r="U381" s="251">
        <f>MIN(U15:U380)</f>
        <v>-1.0258744533622655</v>
      </c>
      <c r="V381" s="57">
        <f>MIN(V15:V380)</f>
        <v>21.918135758169683</v>
      </c>
      <c r="W381" s="58"/>
      <c r="X381" s="112" t="s">
        <v>7</v>
      </c>
      <c r="Y381" s="372">
        <f>MIN(Y15:Y380)</f>
        <v>1.6893422126316999</v>
      </c>
      <c r="Z381" s="372">
        <f>MIN(Z15:Z380)</f>
        <v>1.7864389771654849</v>
      </c>
      <c r="AA381" s="372">
        <f>MIN(AA15:AA380)</f>
        <v>1.9514693693879472</v>
      </c>
      <c r="AB381" s="200" t="s">
        <v>7</v>
      </c>
      <c r="AC381" s="47">
        <f t="shared" ref="AC381:AH381" si="154">MIN(AC15:AC380)</f>
        <v>6.2502559071760527E-2</v>
      </c>
      <c r="AD381" s="168">
        <f t="shared" si="154"/>
        <v>4.2784133631846303E-4</v>
      </c>
      <c r="AE381" s="309">
        <f t="shared" si="154"/>
        <v>0.6</v>
      </c>
      <c r="AF381" s="310">
        <f t="shared" si="154"/>
        <v>0.49911311301171324</v>
      </c>
      <c r="AG381" s="799">
        <f t="shared" si="154"/>
        <v>2</v>
      </c>
      <c r="AH381" s="176">
        <f t="shared" si="154"/>
        <v>8</v>
      </c>
      <c r="AI381" s="225">
        <f>MIN(AI15:AI380)</f>
        <v>2.4991131130117132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30.739079809203929</v>
      </c>
      <c r="C382" s="374"/>
      <c r="D382" s="374">
        <f>AVERAGE(D15:D380)</f>
        <v>32.611674772038192</v>
      </c>
      <c r="E382" s="374">
        <f>AVERAGE(E15:E380)</f>
        <v>33.58107937923598</v>
      </c>
      <c r="F382" s="375">
        <f>AVERAGE(F15:F380)</f>
        <v>33.587815698545533</v>
      </c>
      <c r="G382" s="126">
        <f>AVERAGE(G15:G380)</f>
        <v>0.68816518240308711</v>
      </c>
      <c r="H382" s="94"/>
      <c r="I382" s="375">
        <f>AVERAGE(I15:I380)</f>
        <v>43.525455638156039</v>
      </c>
      <c r="J382" s="59">
        <f>AVERAGE(J15:J380)</f>
        <v>2021.7158469945355</v>
      </c>
      <c r="K382" s="200" t="s">
        <v>8</v>
      </c>
      <c r="L382" s="147">
        <f t="shared" ref="L382:V382" si="155">AVERAGE(L15:L380)</f>
        <v>5.7480347778123476E-2</v>
      </c>
      <c r="M382" s="832"/>
      <c r="N382" s="832"/>
      <c r="O382" s="48">
        <f t="shared" si="155"/>
        <v>3.2927065561719517E-2</v>
      </c>
      <c r="P382" s="169">
        <f t="shared" si="155"/>
        <v>5.1968217311652246E-4</v>
      </c>
      <c r="Q382" s="311">
        <f t="shared" si="155"/>
        <v>0.59999999999999631</v>
      </c>
      <c r="R382" s="177">
        <f t="shared" si="155"/>
        <v>0.50058448610263195</v>
      </c>
      <c r="S382" s="799">
        <f t="shared" si="155"/>
        <v>-1.2465753424657535</v>
      </c>
      <c r="T382" s="176">
        <f t="shared" si="155"/>
        <v>4.7534246575342465</v>
      </c>
      <c r="U382" s="250">
        <f>AVERAGE(U15:U380)</f>
        <v>-0.74599085636312246</v>
      </c>
      <c r="V382" s="59">
        <f t="shared" si="155"/>
        <v>43.147963923136537</v>
      </c>
      <c r="X382" s="112" t="s">
        <v>8</v>
      </c>
      <c r="Y382" s="374">
        <f>AVERAGE(Y15:Y380)</f>
        <v>29.269017534610612</v>
      </c>
      <c r="Z382" s="374">
        <f>AVERAGE(Z15:Z380)</f>
        <v>31.05171359296283</v>
      </c>
      <c r="AA382" s="374">
        <f>AVERAGE(AA15:AA380)</f>
        <v>33.507688461400811</v>
      </c>
      <c r="AB382" s="200" t="s">
        <v>8</v>
      </c>
      <c r="AC382" s="48">
        <f t="shared" ref="AC382:AH382" si="156">AVERAGE(AC15:AC380)</f>
        <v>7.4875832120483959E-2</v>
      </c>
      <c r="AD382" s="169">
        <f t="shared" si="156"/>
        <v>5.7245960449460688E-3</v>
      </c>
      <c r="AE382" s="311">
        <f t="shared" si="156"/>
        <v>0.59999999999999631</v>
      </c>
      <c r="AF382" s="177">
        <f t="shared" si="156"/>
        <v>0.77899671001085768</v>
      </c>
      <c r="AG382" s="799">
        <f t="shared" si="156"/>
        <v>2</v>
      </c>
      <c r="AH382" s="176">
        <f t="shared" si="156"/>
        <v>8</v>
      </c>
      <c r="AI382" s="224">
        <f>AVERAGE(AI15:AI380)</f>
        <v>2.7789967100108552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60.470142776431686</v>
      </c>
      <c r="C383" s="376"/>
      <c r="D383" s="376">
        <f>MAX(D15:D380)</f>
        <v>64.116303379250155</v>
      </c>
      <c r="E383" s="376">
        <f>MAX(E15:E380)</f>
        <v>64.850713210656451</v>
      </c>
      <c r="F383" s="377">
        <f>MAX(F15:F380)</f>
        <v>64.852505396426309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2027</v>
      </c>
      <c r="K383" s="200" t="s">
        <v>9</v>
      </c>
      <c r="L383" s="148">
        <f t="shared" ref="L383:T383" si="157">MAX(L15:L380)</f>
        <v>6.0764065111689525E-2</v>
      </c>
      <c r="M383" s="834"/>
      <c r="N383" s="834"/>
      <c r="O383" s="49">
        <f t="shared" si="157"/>
        <v>6.2421248499009131E-2</v>
      </c>
      <c r="P383" s="170">
        <f t="shared" si="157"/>
        <v>2.5144264528502978E-3</v>
      </c>
      <c r="Q383" s="312">
        <f t="shared" si="157"/>
        <v>0.6</v>
      </c>
      <c r="R383" s="313">
        <f t="shared" si="157"/>
        <v>0.99911246027907574</v>
      </c>
      <c r="S383" s="800">
        <f t="shared" si="157"/>
        <v>-1</v>
      </c>
      <c r="T383" s="232">
        <f t="shared" si="157"/>
        <v>5</v>
      </c>
      <c r="U383" s="252">
        <f>MAX(U15:U380)</f>
        <v>-0.52587572639843638</v>
      </c>
      <c r="V383" s="60">
        <f>MAX(V15:V380)</f>
        <v>59.758467112527626</v>
      </c>
      <c r="X383" s="112" t="s">
        <v>9</v>
      </c>
      <c r="Y383" s="376">
        <f>MAX(Y15:Y380)</f>
        <v>57.154721677575616</v>
      </c>
      <c r="Z383" s="376">
        <f>MAX(Z15:Z380)</f>
        <v>60.600972750874767</v>
      </c>
      <c r="AA383" s="376">
        <f>MAX(AA15:AA380)</f>
        <v>64.823117195489715</v>
      </c>
      <c r="AB383" s="200" t="s">
        <v>9</v>
      </c>
      <c r="AC383" s="49">
        <f t="shared" ref="AC383:AH383" si="158">MAX(AC15:AC380)</f>
        <v>8.8161819340328046E-2</v>
      </c>
      <c r="AD383" s="170">
        <f t="shared" si="158"/>
        <v>1.707976813295687E-2</v>
      </c>
      <c r="AE383" s="312">
        <f t="shared" si="158"/>
        <v>0.6</v>
      </c>
      <c r="AF383" s="313">
        <f t="shared" si="158"/>
        <v>0.99911183997554209</v>
      </c>
      <c r="AG383" s="800">
        <f t="shared" si="158"/>
        <v>2</v>
      </c>
      <c r="AH383" s="232">
        <f t="shared" si="158"/>
        <v>8</v>
      </c>
      <c r="AI383" s="226">
        <f>MAX(AI15:AI380)</f>
        <v>2.9991118399755421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G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'2027'!An+1</f>
        <v>2028</v>
      </c>
      <c r="K1" s="1279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409.87511420955752</v>
      </c>
      <c r="AK4" s="822">
        <f>AM12-AK12</f>
        <v>26.315708601985985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409.87511420955752</v>
      </c>
      <c r="AA5" s="236">
        <f>Wh_Pvg_s-Wh_Pvg</f>
        <v>26.315708601985985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10968.54096200694</v>
      </c>
      <c r="AK6" s="514">
        <f>SUMIF(AK15:AK380,"FAUX",Wh)</f>
        <v>10968.54096200694</v>
      </c>
      <c r="AL6" s="514">
        <f>SUMIF(AJ15:AJ380,"FAUX",Wh_s)</f>
        <v>10529.827058057614</v>
      </c>
      <c r="AM6" s="514">
        <f>SUMIF(AK15:AK380,"FAUX",Wh_s)</f>
        <v>10529.827058057614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11718.142488170675</v>
      </c>
      <c r="AK8" s="514">
        <f>SUMIF(AK15:AK380,"FAUX",Wh_sa)</f>
        <v>12270.918895786213</v>
      </c>
      <c r="AL8" s="514">
        <f>SUMIF(AJ15:AJ380,"FAUX",Wh_pvt_s)</f>
        <v>11249.482582992818</v>
      </c>
      <c r="AM8" s="514">
        <f>SUMIF(AK15:AK380,"FAUX",Wh_sa_s)</f>
        <v>12240.148582252477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11718.142488170675</v>
      </c>
      <c r="E9" s="184">
        <f>SUM(E$15:E$380)</f>
        <v>12270.918895786213</v>
      </c>
      <c r="F9" s="184">
        <f>SUM(F$15:F$380)</f>
        <v>12275.534297724907</v>
      </c>
      <c r="H9" s="1280">
        <f>+SUM(Wh)</f>
        <v>10968.54096200694</v>
      </c>
      <c r="I9" s="1281"/>
      <c r="J9" s="1282"/>
      <c r="K9" s="191"/>
      <c r="L9" s="231"/>
      <c r="M9" s="231"/>
      <c r="N9" s="231"/>
      <c r="O9" s="222">
        <f>Tnet_2028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10529.827058057614</v>
      </c>
      <c r="Y9" s="1275"/>
      <c r="Z9" s="514">
        <f>SUM(Z$15:Z$380)</f>
        <v>11249.482582992818</v>
      </c>
      <c r="AA9" s="514">
        <f>SUM(AA$15:AA$380)</f>
        <v>12240.148582252477</v>
      </c>
      <c r="AB9" s="514">
        <f>F9</f>
        <v>12275.534297724907</v>
      </c>
      <c r="AC9" s="324">
        <f>IF(An_Tnet,Tnet,'2027'!Tnet_s)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8.0000000000000002E-3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6.1818611620416505E-2</v>
      </c>
      <c r="AD10" s="426"/>
      <c r="AE10" s="426"/>
      <c r="AF10" s="259"/>
      <c r="AG10" s="260"/>
      <c r="AH10" s="261"/>
      <c r="AI10" s="471"/>
      <c r="AJ10" s="514">
        <f>SUMIF(AJ15:AJ380,"FAUX",Wh_sa)</f>
        <v>12270.918895786213</v>
      </c>
      <c r="AK10" s="514">
        <f>SUMIF(AK15:AK380,"FAUX",Wh_hp)</f>
        <v>12275.534297724907</v>
      </c>
      <c r="AL10" s="514">
        <f>SUMIF(AJ15:AJ380,"FAUX",Wh_sa_s)</f>
        <v>12240.148582252477</v>
      </c>
      <c r="AM10" s="514">
        <f>SUMIF(AK15:AK380,"FAUX",Wh_hp)</f>
        <v>12275.534297724907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749.60152616373489</v>
      </c>
      <c r="E11" s="51">
        <f>(E$9-D$9)*Prod_an/D$9</f>
        <v>517.41568050420562</v>
      </c>
      <c r="F11" s="186">
        <f>(F$9-E$9)*Prod_an/E$9</f>
        <v>4.1255447656879296</v>
      </c>
      <c r="G11" s="185" t="s">
        <v>6</v>
      </c>
      <c r="K11" s="194"/>
      <c r="L11" s="211">
        <f>Tvie_2028</f>
        <v>43481</v>
      </c>
      <c r="M11" s="831"/>
      <c r="N11" s="831"/>
      <c r="O11" s="202">
        <f>IF(An_Tnet,Salim_2028,'2027'!Salim)</f>
        <v>0.10999999999999999</v>
      </c>
      <c r="P11" s="255">
        <f>Ttai_2028</f>
        <v>46112</v>
      </c>
      <c r="Q11" s="271">
        <f>Dens_2028</f>
        <v>0.6</v>
      </c>
      <c r="R11" s="276"/>
      <c r="S11" s="229"/>
      <c r="T11" s="229"/>
      <c r="U11" s="265">
        <f>Htf_2028</f>
        <v>-2.5875726398436383E-2</v>
      </c>
      <c r="V11" s="426"/>
      <c r="W11" s="517"/>
      <c r="X11" s="524" t="s">
        <v>43</v>
      </c>
      <c r="Y11" s="50">
        <f>Z$9-Prod_an_s</f>
        <v>719.65552493520408</v>
      </c>
      <c r="Z11" s="51">
        <f>(AA$9-Z$9)*Prod_an_s/Z$9</f>
        <v>927.29079471376315</v>
      </c>
      <c r="AA11" s="186">
        <f>(AB$9-AA$9)*Prod_an_s/AA$9</f>
        <v>30.441253367673916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Pspv_2028</f>
        <v>0</v>
      </c>
      <c r="M12" s="212"/>
      <c r="N12" s="212"/>
      <c r="O12" s="205">
        <f>IF(An_Tnet,Tau_2028*365,'2027'!Tau_j)</f>
        <v>973.33333333333326</v>
      </c>
      <c r="P12" s="280">
        <f>INDEX(Croivg,MIN(MAX(Ttai-$A$15,0)+1,366))</f>
        <v>2.3909964587625958E-6</v>
      </c>
      <c r="Q12" s="279">
        <f>'2027'!Df</f>
        <v>0.6</v>
      </c>
      <c r="R12" s="277"/>
      <c r="S12" s="278"/>
      <c r="T12" s="278"/>
      <c r="U12" s="266">
        <f>'2027'!Hdf</f>
        <v>-0.52587572639843638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'2027'!Df_s</f>
        <v>0.6</v>
      </c>
      <c r="AF12" s="203"/>
      <c r="AG12" s="203"/>
      <c r="AH12" s="203"/>
      <c r="AI12" s="296">
        <f>'2027'!Hdf_s</f>
        <v>2.9991118399755421</v>
      </c>
      <c r="AJ12" s="821">
        <f>IF($AJ8=0,0,($AJ10-$AJ8)*$AJ6/$AJ8)</f>
        <v>517.41568050420562</v>
      </c>
      <c r="AK12" s="822">
        <f>IF($AK8=0,0,($AK10-$AK8)*$AK6/$AK8)</f>
        <v>4.1255447656879296</v>
      </c>
      <c r="AL12" s="821">
        <f>IF($AL8=0,0,($AL10-$AL8)*$AL6/$AL8)</f>
        <v>927.29079471376315</v>
      </c>
      <c r="AM12" s="822">
        <f>IF($AM8=0,0,($AM10-$AM8)*$AM6/$AM8)</f>
        <v>30.441253367673916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517.41568050420562</v>
      </c>
      <c r="AK13" s="73">
        <f>+AK11+AK12</f>
        <v>4.1255447656879296</v>
      </c>
      <c r="AL13" s="73">
        <f>+AL11+AL12</f>
        <v>927.29079471376315</v>
      </c>
      <c r="AM13" s="73">
        <f>+AM11+AM12</f>
        <v>30.441253367673916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'2027'!Wh/'2027'!Env_an*'2028'!Env_an</f>
        <v>23.121336396864198</v>
      </c>
      <c r="C15" s="829"/>
      <c r="D15" s="391">
        <f t="shared" ref="D15:D78" si="0">Wh/(1-Ppv)</f>
        <v>24.617647879117101</v>
      </c>
      <c r="E15" s="398">
        <f t="shared" ref="E15:E79" si="1">Wh_pvt/(1-Psa)</f>
        <v>25.399895432462049</v>
      </c>
      <c r="F15" s="398">
        <f t="shared" ref="F15:F78" si="2">Wh_sa/(1-Pvg*MEDIAN((-Sdif+Wh/Env_an)/Csdif,0,1))</f>
        <v>25.454097031999812</v>
      </c>
      <c r="G15" s="123">
        <f>+Wh_hp/MaxiM</f>
        <v>1.0174061864224482</v>
      </c>
      <c r="H15" s="412" t="b">
        <f>Wh_hp&gt;='2027'!Maxi_hp</f>
        <v>1</v>
      </c>
      <c r="I15" s="394">
        <f>IF(H15,Wh_hp,'2027'!Maxi_hp)</f>
        <v>25.454097031999812</v>
      </c>
      <c r="J15" s="84">
        <f>IF(H15,An,'2027'!An_max)</f>
        <v>2028</v>
      </c>
      <c r="K15" s="197">
        <f t="shared" ref="K15:K78" si="3">t</f>
        <v>46753</v>
      </c>
      <c r="L15" s="146">
        <f>IF(t&lt;Tvie,1-EXP((T0-t)*PertePVj)+'2027'!Pspv,1-EXP((T0-t)*PertePVj)+Pspv)</f>
        <v>6.0782065354107573E-2</v>
      </c>
      <c r="M15" s="832"/>
      <c r="N15" s="832"/>
      <c r="O15" s="48">
        <f>IF(t&lt;Tnet,'2027'!Resal+('2027'!Salim-'2027'!Resal)*(1-EXP(('2027'!Tnet-t)/('2027'!Tau_j))),Resal+(Salim-Resal)*(1-EXP((Tnet-t)/(Tau_j))))*Salcycl</f>
        <v>3.079727455669783E-2</v>
      </c>
      <c r="P15" s="301">
        <f>(INDEX(Models!$BJ15:$BT15,,T15)*(1-R15)+INDEX(Models!$BJ15:$BT15,,T15+1)*R15-ERP_i)*Q15*Ramure*Pc/MaxiM</f>
        <v>2.1293860658118452E-3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0.47412546909979303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-0.52587453090020697</v>
      </c>
      <c r="V15" s="381">
        <f t="shared" ref="V15:V78" si="9">MaxiM*(1-Ppv)*(1-Pvg)*(1-Psa)</f>
        <v>22.72576745200146</v>
      </c>
      <c r="W15" s="400">
        <f t="shared" ref="W15:W78" si="10">Wh*(A15&gt;Tmaj)</f>
        <v>23.121336396864198</v>
      </c>
      <c r="X15" s="156">
        <f t="shared" ref="X15:X78" si="11">t</f>
        <v>46753</v>
      </c>
      <c r="Y15" s="383">
        <f t="shared" ref="Y15:Y78" si="12">Wh_pvt_s*(1-Ppv)</f>
        <v>21.82772946221397</v>
      </c>
      <c r="Z15" s="383">
        <f>Wh_sa_s*(1-Psa_s)</f>
        <v>23.24032437736993</v>
      </c>
      <c r="AA15" s="384">
        <f t="shared" ref="AA15:AA78" si="13">Wh_hp*(1-Pvg_s*MEDIAN((-Sdif+Wh/Env_an)/Csdif,0,1))</f>
        <v>25.060209226130578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7.2620496993418229E-2</v>
      </c>
      <c r="AD15" s="230">
        <f>(INDEX(Models!$BJ15:$BT15,,AH15)*(1-AF15)+INDEX(Models!$BJ15:$BT15,,AH15+1)*AF15-ERP_i)*AE15*Ramure*Pc/MaxiM</f>
        <v>1.5474436408962153E-2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0.99911303547377139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2.9991130354737714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'2027'!Wh/'2027'!Env_an*'2028'!Env_an</f>
        <v>15.945145834143121</v>
      </c>
      <c r="C16" s="829"/>
      <c r="D16" s="391">
        <f t="shared" si="0"/>
        <v>16.977371105135205</v>
      </c>
      <c r="E16" s="383">
        <f t="shared" si="1"/>
        <v>17.518291004929136</v>
      </c>
      <c r="F16" s="383">
        <f t="shared" si="2"/>
        <v>17.538919640568817</v>
      </c>
      <c r="G16" s="110">
        <f t="shared" ref="G16:G79" si="21">+Wh_hp/MaxiM</f>
        <v>0.69669102190610521</v>
      </c>
      <c r="H16" s="412" t="b">
        <f>Wh_hp&gt;='2027'!Maxi_hp</f>
        <v>0</v>
      </c>
      <c r="I16" s="388">
        <f>IF(H16,Wh_hp,'2027'!Maxi_hp)</f>
        <v>24.084283353934023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6.0800065251555013E-2</v>
      </c>
      <c r="M16" s="832"/>
      <c r="N16" s="832"/>
      <c r="O16" s="48">
        <f>IF(t&lt;Tnet,'2027'!Resal+('2027'!Salim-'2027'!Resal)*(1-EXP(('2027'!Tnet-t)/('2027'!Tau_j))),Resal+(Salim-Resal)*(1-EXP((Tnet-t)/(Tau_j))))*Salcycl</f>
        <v>3.0877435455418146E-2</v>
      </c>
      <c r="P16" s="169">
        <f>(INDEX(Models!$BJ16:$BT16,,T16)*(1-R16)+INDEX(Models!$BJ16:$BT16,,T16+1)*R16-ERP_i)*Q16*Ramure*Pc/MaxiM</f>
        <v>2.0721874026987364E-3</v>
      </c>
      <c r="Q16" s="304">
        <f t="shared" si="4"/>
        <v>0.6</v>
      </c>
      <c r="R16" s="177">
        <f t="shared" si="5"/>
        <v>0.47415468371378722</v>
      </c>
      <c r="S16" s="799">
        <f t="shared" si="6"/>
        <v>-1</v>
      </c>
      <c r="T16" s="176">
        <f t="shared" si="7"/>
        <v>5</v>
      </c>
      <c r="U16" s="250">
        <f t="shared" si="8"/>
        <v>-0.52584531628621278</v>
      </c>
      <c r="V16" s="382">
        <f t="shared" si="9"/>
        <v>22.86643759741866</v>
      </c>
      <c r="W16" s="400">
        <f t="shared" si="10"/>
        <v>15.945145834143121</v>
      </c>
      <c r="X16" s="157">
        <f t="shared" si="11"/>
        <v>46754</v>
      </c>
      <c r="Y16" s="383">
        <f t="shared" si="12"/>
        <v>15.141637174587821</v>
      </c>
      <c r="Z16" s="383">
        <f t="shared" ref="Z16:Z78" si="22">Wh_sa_s*(1-Psa_s)</f>
        <v>16.121846493359641</v>
      </c>
      <c r="AA16" s="384">
        <f t="shared" si="13"/>
        <v>17.384969542707843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7.2656040394273994E-2</v>
      </c>
      <c r="AD16" s="230">
        <f>(INDEX(Models!$BJ16:$BT16,,AH16)*(1-AF16)+INDEX(Models!$BJ16:$BT16,,AH16+1)*AF16-ERP_i)*AE16*Ramure*Pc/MaxiM</f>
        <v>1.5464592957279486E-2</v>
      </c>
      <c r="AE16" s="304">
        <f t="shared" si="15"/>
        <v>0.6</v>
      </c>
      <c r="AF16" s="177">
        <f t="shared" ref="AF16:AF78" si="23">(Hp_vg_s-AG16)/(INDEX(Echel_vg,AH16+1)-AG16)</f>
        <v>0.99914225008776558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2.9991422500877656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'2027'!Wh/'2027'!Env_an*'2028'!Env_an</f>
        <v>17.215723170396195</v>
      </c>
      <c r="C17" s="829"/>
      <c r="D17" s="391">
        <f t="shared" si="0"/>
        <v>18.33055186139639</v>
      </c>
      <c r="E17" s="383">
        <f t="shared" si="1"/>
        <v>18.916150011553157</v>
      </c>
      <c r="F17" s="383">
        <f t="shared" si="2"/>
        <v>18.940599319074842</v>
      </c>
      <c r="G17" s="110">
        <f t="shared" si="21"/>
        <v>0.74743800056724907</v>
      </c>
      <c r="H17" s="412" t="b">
        <f>Wh_hp&gt;='2027'!Maxi_hp</f>
        <v>0</v>
      </c>
      <c r="I17" s="388">
        <f>IF(H17,Wh_hp,'2027'!Maxi_hp)</f>
        <v>25.872417420672249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6.0818064804038507E-2</v>
      </c>
      <c r="M17" s="832"/>
      <c r="N17" s="832"/>
      <c r="O17" s="48">
        <f>IF(t&lt;Tnet,'2027'!Resal+('2027'!Salim-'2027'!Resal)*(1-EXP(('2027'!Tnet-t)/('2027'!Tau_j))),Resal+(Salim-Resal)*(1-EXP((Tnet-t)/(Tau_j))))*Salcycl</f>
        <v>3.0957575923171988E-2</v>
      </c>
      <c r="P17" s="169">
        <f>(INDEX(Models!$BJ17:$BT17,,T17)*(1-R17)+INDEX(Models!$BJ17:$BT17,,T17+1)*R17-ERP_i)*Q17*Ramure*Pc/MaxiM</f>
        <v>2.0170211217809477E-3</v>
      </c>
      <c r="Q17" s="304">
        <f t="shared" si="4"/>
        <v>0.6</v>
      </c>
      <c r="R17" s="177">
        <f t="shared" si="5"/>
        <v>0.47418512030927684</v>
      </c>
      <c r="S17" s="799">
        <f t="shared" si="6"/>
        <v>-1</v>
      </c>
      <c r="T17" s="176">
        <f t="shared" si="7"/>
        <v>5</v>
      </c>
      <c r="U17" s="250">
        <f t="shared" si="8"/>
        <v>-0.52581487969072316</v>
      </c>
      <c r="V17" s="382">
        <f t="shared" si="9"/>
        <v>23.016230493602396</v>
      </c>
      <c r="W17" s="400">
        <f t="shared" si="10"/>
        <v>17.215723170396195</v>
      </c>
      <c r="X17" s="157">
        <f t="shared" si="11"/>
        <v>46755</v>
      </c>
      <c r="Y17" s="383">
        <f t="shared" si="12"/>
        <v>16.332516556082318</v>
      </c>
      <c r="Z17" s="383">
        <f t="shared" si="22"/>
        <v>17.390151943962294</v>
      </c>
      <c r="AA17" s="384">
        <f t="shared" si="13"/>
        <v>18.753366096169476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7.2691704796699411E-2</v>
      </c>
      <c r="AD17" s="230">
        <f>(INDEX(Models!$BJ17:$BT17,,AH17)*(1-AF17)+INDEX(Models!$BJ17:$BT17,,AH17+1)*AF17-ERP_i)*AE17*Ramure*Pc/MaxiM</f>
        <v>1.5446382886888431E-2</v>
      </c>
      <c r="AE17" s="304">
        <f t="shared" si="15"/>
        <v>0.6</v>
      </c>
      <c r="AF17" s="177">
        <f>(Hp_vg_s-AG17)/(INDEX(Echel_vg,AH17+1)-AG17)</f>
        <v>0.99917268668325532</v>
      </c>
      <c r="AG17" s="799">
        <f>INDEX(Echel_vg,AH17)</f>
        <v>2</v>
      </c>
      <c r="AH17" s="176">
        <f t="shared" si="16"/>
        <v>8</v>
      </c>
      <c r="AI17" s="224">
        <f t="shared" si="17"/>
        <v>2.9991726866832553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'2027'!Wh/'2027'!Env_an*'2028'!Env_an</f>
        <v>18.292595418114502</v>
      </c>
      <c r="C18" s="829"/>
      <c r="D18" s="391">
        <f t="shared" si="0"/>
        <v>19.477531788805564</v>
      </c>
      <c r="E18" s="383">
        <f t="shared" si="1"/>
        <v>20.101433847876091</v>
      </c>
      <c r="F18" s="383">
        <f t="shared" si="2"/>
        <v>20.129068792575641</v>
      </c>
      <c r="G18" s="110">
        <f t="shared" si="21"/>
        <v>0.78886836999345888</v>
      </c>
      <c r="H18" s="412" t="b">
        <f>Wh_hp&gt;='2027'!Maxi_hp</f>
        <v>0</v>
      </c>
      <c r="I18" s="388">
        <f>IF(H18,Wh_hp,'2027'!Maxi_hp)</f>
        <v>21.824345162432092</v>
      </c>
      <c r="J18" s="85">
        <f>IF(H18,An,'2027'!An_max)</f>
        <v>2021</v>
      </c>
      <c r="K18" s="197">
        <f t="shared" si="3"/>
        <v>46756</v>
      </c>
      <c r="L18" s="147">
        <f>IF(t&lt;Tvie,1-EXP((T0-t)*PertePVj)+'2027'!Pspv,1-EXP((T0-t)*PertePVj)+Pspv)</f>
        <v>6.0836064011564717E-2</v>
      </c>
      <c r="M18" s="832"/>
      <c r="N18" s="832"/>
      <c r="O18" s="48">
        <f>IF(t&lt;Tnet,'2027'!Resal+('2027'!Salim-'2027'!Resal)*(1-EXP(('2027'!Tnet-t)/('2027'!Tau_j))),Resal+(Salim-Resal)*(1-EXP((Tnet-t)/(Tau_j))))*Salcycl</f>
        <v>3.1037689340576512E-2</v>
      </c>
      <c r="P18" s="169">
        <f>(INDEX(Models!$BJ18:$BT18,,T18)*(1-R18)+INDEX(Models!$BJ18:$BT18,,T18+1)*R18-ERP_i)*Q18*Ramure*Pc/MaxiM</f>
        <v>1.963930857141096E-3</v>
      </c>
      <c r="Q18" s="304">
        <f t="shared" si="4"/>
        <v>0.6</v>
      </c>
      <c r="R18" s="177">
        <f t="shared" si="5"/>
        <v>0.4742168298405719</v>
      </c>
      <c r="S18" s="799">
        <f t="shared" si="6"/>
        <v>-1</v>
      </c>
      <c r="T18" s="176">
        <f t="shared" si="7"/>
        <v>5</v>
      </c>
      <c r="U18" s="250">
        <f t="shared" si="8"/>
        <v>-0.5257831701594281</v>
      </c>
      <c r="V18" s="382">
        <f t="shared" si="9"/>
        <v>23.174675941883343</v>
      </c>
      <c r="W18" s="400">
        <f t="shared" si="10"/>
        <v>18.292595418114502</v>
      </c>
      <c r="X18" s="157">
        <f t="shared" si="11"/>
        <v>46756</v>
      </c>
      <c r="Y18" s="383">
        <f t="shared" si="12"/>
        <v>17.340658600768972</v>
      </c>
      <c r="Z18" s="383">
        <f>Wh_sa_s*(1-Psa_s)</f>
        <v>18.463931520665316</v>
      </c>
      <c r="AA18" s="384">
        <f t="shared" si="13"/>
        <v>19.912087323521426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7.272747348518592E-2</v>
      </c>
      <c r="AD18" s="230">
        <f>(INDEX(Models!$BJ18:$BT18,,AH18)*(1-AF18)+INDEX(Models!$BJ18:$BT18,,AH18+1)*AF18-ERP_i)*AE18*Ramure*Pc/MaxiM</f>
        <v>1.542020825937533E-2</v>
      </c>
      <c r="AE18" s="304">
        <f t="shared" si="15"/>
        <v>0.6</v>
      </c>
      <c r="AF18" s="177">
        <f t="shared" si="23"/>
        <v>0.99920439621455026</v>
      </c>
      <c r="AG18" s="799">
        <f t="shared" si="24"/>
        <v>2</v>
      </c>
      <c r="AH18" s="176">
        <f t="shared" si="16"/>
        <v>8</v>
      </c>
      <c r="AI18" s="224">
        <f t="shared" si="17"/>
        <v>2.9992043962145503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'2027'!Wh/'2027'!Env_an*'2028'!Env_an</f>
        <v>14.464764017359416</v>
      </c>
      <c r="C19" s="829"/>
      <c r="D19" s="391">
        <f t="shared" si="0"/>
        <v>15.402040775075958</v>
      </c>
      <c r="E19" s="383">
        <f t="shared" si="1"/>
        <v>15.896710970009924</v>
      </c>
      <c r="F19" s="383">
        <f t="shared" si="2"/>
        <v>15.910611934881674</v>
      </c>
      <c r="G19" s="110">
        <f t="shared" si="21"/>
        <v>0.61906216928007674</v>
      </c>
      <c r="H19" s="412" t="b">
        <f>Wh_hp&gt;='2027'!Maxi_hp</f>
        <v>0</v>
      </c>
      <c r="I19" s="388">
        <f>IF(H19,Wh_hp,'2027'!Maxi_hp)</f>
        <v>15.921478673980213</v>
      </c>
      <c r="J19" s="85">
        <f>IF(H19,An,'2027'!An_max)</f>
        <v>2027</v>
      </c>
      <c r="K19" s="197">
        <f t="shared" si="3"/>
        <v>46757</v>
      </c>
      <c r="L19" s="147">
        <f>IF(t&lt;Tvie,1-EXP((T0-t)*PertePVj)+'2027'!Pspv,1-EXP((T0-t)*PertePVj)+Pspv)</f>
        <v>6.0854062874140191E-2</v>
      </c>
      <c r="M19" s="832"/>
      <c r="N19" s="832"/>
      <c r="O19" s="48">
        <f>IF(t&lt;Tnet,'2027'!Resal+('2027'!Salim-'2027'!Resal)*(1-EXP(('2027'!Tnet-t)/('2027'!Tau_j))),Resal+(Salim-Resal)*(1-EXP((Tnet-t)/(Tau_j))))*Salcycl</f>
        <v>3.1117769950475174E-2</v>
      </c>
      <c r="P19" s="169">
        <f>(INDEX(Models!$BJ19:$BT19,,T19)*(1-R19)+INDEX(Models!$BJ19:$BT19,,T19+1)*R19-ERP_i)*Q19*Ramure*Pc/MaxiM</f>
        <v>1.9129528685673961E-3</v>
      </c>
      <c r="Q19" s="304">
        <f t="shared" si="4"/>
        <v>0.6</v>
      </c>
      <c r="R19" s="177">
        <f t="shared" si="5"/>
        <v>0.47424986537313363</v>
      </c>
      <c r="S19" s="799">
        <f t="shared" si="6"/>
        <v>-1</v>
      </c>
      <c r="T19" s="176">
        <f t="shared" si="7"/>
        <v>5</v>
      </c>
      <c r="U19" s="250">
        <f t="shared" si="8"/>
        <v>-0.52575013462686637</v>
      </c>
      <c r="V19" s="382">
        <f t="shared" si="9"/>
        <v>23.341303857926707</v>
      </c>
      <c r="W19" s="400">
        <f t="shared" si="10"/>
        <v>14.464764017359416</v>
      </c>
      <c r="X19" s="157">
        <f t="shared" si="11"/>
        <v>46757</v>
      </c>
      <c r="Y19" s="383">
        <f t="shared" si="12"/>
        <v>13.757763535209097</v>
      </c>
      <c r="Z19" s="383">
        <f t="shared" si="22"/>
        <v>14.64922861436534</v>
      </c>
      <c r="AA19" s="384">
        <f t="shared" si="13"/>
        <v>15.798802094887519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7.2763331904396794E-2</v>
      </c>
      <c r="AD19" s="230">
        <f>(INDEX(Models!$BJ19:$BT19,,AH19)*(1-AF19)+INDEX(Models!$BJ19:$BT19,,AH19+1)*AF19-ERP_i)*AE19*Ramure*Pc/MaxiM</f>
        <v>1.5386482602049334E-2</v>
      </c>
      <c r="AE19" s="304">
        <f t="shared" si="15"/>
        <v>0.6</v>
      </c>
      <c r="AF19" s="177">
        <f t="shared" si="23"/>
        <v>0.99923743174711221</v>
      </c>
      <c r="AG19" s="799">
        <f t="shared" si="24"/>
        <v>2</v>
      </c>
      <c r="AH19" s="176">
        <f t="shared" si="16"/>
        <v>8</v>
      </c>
      <c r="AI19" s="224">
        <f t="shared" si="17"/>
        <v>2.9992374317471122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'2027'!Wh/'2027'!Env_an*'2028'!Env_an</f>
        <v>20.755486270860946</v>
      </c>
      <c r="C20" s="829"/>
      <c r="D20" s="391">
        <f t="shared" si="0"/>
        <v>22.100808013038375</v>
      </c>
      <c r="E20" s="383">
        <f t="shared" si="1"/>
        <v>22.812508379881276</v>
      </c>
      <c r="F20" s="383">
        <f t="shared" si="2"/>
        <v>22.847957966678845</v>
      </c>
      <c r="G20" s="110">
        <f t="shared" si="21"/>
        <v>0.88234829287902583</v>
      </c>
      <c r="H20" s="412" t="b">
        <f>Wh_hp&gt;='2027'!Maxi_hp</f>
        <v>0</v>
      </c>
      <c r="I20" s="388">
        <f>IF(H20,Wh_hp,'2027'!Maxi_hp)</f>
        <v>25.97684931198668</v>
      </c>
      <c r="J20" s="85">
        <f>IF(H20,An,'2027'!An_max)</f>
        <v>2020</v>
      </c>
      <c r="K20" s="197">
        <f t="shared" si="3"/>
        <v>46758</v>
      </c>
      <c r="L20" s="147">
        <f>IF(t&lt;Tvie,1-EXP((T0-t)*PertePVj)+'2027'!Pspv,1-EXP((T0-t)*PertePVj)+Pspv)</f>
        <v>6.0872061391771592E-2</v>
      </c>
      <c r="M20" s="832"/>
      <c r="N20" s="832"/>
      <c r="O20" s="48">
        <f>IF(t&lt;Tnet,'2027'!Resal+('2027'!Salim-'2027'!Resal)*(1-EXP(('2027'!Tnet-t)/('2027'!Tau_j))),Resal+(Salim-Resal)*(1-EXP((Tnet-t)/(Tau_j))))*Salcycl</f>
        <v>3.1197812839843662E-2</v>
      </c>
      <c r="P20" s="169">
        <f>(INDEX(Models!$BJ20:$BT20,,T20)*(1-R20)+INDEX(Models!$BJ20:$BT20,,T20+1)*R20-ERP_i)*Q20*Ramure*Pc/MaxiM</f>
        <v>1.8641162983717881E-3</v>
      </c>
      <c r="Q20" s="304">
        <f t="shared" si="4"/>
        <v>0.6</v>
      </c>
      <c r="R20" s="177">
        <f t="shared" si="5"/>
        <v>0.47428428216988427</v>
      </c>
      <c r="S20" s="799">
        <f t="shared" si="6"/>
        <v>-1</v>
      </c>
      <c r="T20" s="176">
        <f t="shared" si="7"/>
        <v>5</v>
      </c>
      <c r="U20" s="250">
        <f t="shared" si="8"/>
        <v>-0.52571571783011573</v>
      </c>
      <c r="V20" s="382">
        <f t="shared" si="9"/>
        <v>23.515644268635185</v>
      </c>
      <c r="W20" s="400">
        <f t="shared" si="10"/>
        <v>20.755486270860946</v>
      </c>
      <c r="X20" s="157">
        <f t="shared" si="11"/>
        <v>46758</v>
      </c>
      <c r="Y20" s="383">
        <f t="shared" si="12"/>
        <v>19.640980683249186</v>
      </c>
      <c r="Z20" s="383">
        <f t="shared" si="22"/>
        <v>20.914062797830063</v>
      </c>
      <c r="AA20" s="384">
        <f t="shared" si="13"/>
        <v>22.556132741133325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7.2799267593809974E-2</v>
      </c>
      <c r="AD20" s="230">
        <f>(INDEX(Models!$BJ20:$BT20,,AH20)*(1-AF20)+INDEX(Models!$BJ20:$BT20,,AH20+1)*AF20-ERP_i)*AE20*Ramure*Pc/MaxiM</f>
        <v>1.5345627646432937E-2</v>
      </c>
      <c r="AE20" s="304">
        <f t="shared" si="15"/>
        <v>0.6</v>
      </c>
      <c r="AF20" s="177">
        <f t="shared" si="23"/>
        <v>0.99927184854386297</v>
      </c>
      <c r="AG20" s="799">
        <f t="shared" si="24"/>
        <v>2</v>
      </c>
      <c r="AH20" s="176">
        <f t="shared" si="16"/>
        <v>8</v>
      </c>
      <c r="AI20" s="224">
        <f t="shared" si="17"/>
        <v>2.999271848543863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'2027'!Wh/'2027'!Env_an*'2028'!Env_an</f>
        <v>10.177114904558572</v>
      </c>
      <c r="C21" s="829"/>
      <c r="D21" s="391">
        <f t="shared" si="0"/>
        <v>10.836979214423705</v>
      </c>
      <c r="E21" s="383">
        <f t="shared" si="1"/>
        <v>11.18688037714149</v>
      </c>
      <c r="F21" s="383">
        <f t="shared" si="2"/>
        <v>11.190641938498612</v>
      </c>
      <c r="G21" s="110">
        <f t="shared" si="21"/>
        <v>0.42882799091209073</v>
      </c>
      <c r="H21" s="412" t="b">
        <f>Wh_hp&gt;='2027'!Maxi_hp</f>
        <v>0</v>
      </c>
      <c r="I21" s="388">
        <f>IF(H21,Wh_hp,'2027'!Maxi_hp)</f>
        <v>15.082360291680677</v>
      </c>
      <c r="J21" s="85">
        <f>IF(H21,An,'2027'!An_max)</f>
        <v>2021</v>
      </c>
      <c r="K21" s="197">
        <f t="shared" si="3"/>
        <v>46759</v>
      </c>
      <c r="L21" s="147">
        <f>IF(t&lt;Tvie,1-EXP((T0-t)*PertePVj)+'2027'!Pspv,1-EXP((T0-t)*PertePVj)+Pspv)</f>
        <v>6.0890059564465471E-2</v>
      </c>
      <c r="M21" s="832"/>
      <c r="N21" s="832"/>
      <c r="O21" s="48">
        <f>IF(t&lt;Tnet,'2027'!Resal+('2027'!Salim-'2027'!Resal)*(1-EXP(('2027'!Tnet-t)/('2027'!Tau_j))),Resal+(Salim-Resal)*(1-EXP((Tnet-t)/(Tau_j))))*Salcycl</f>
        <v>3.1277813914301747E-2</v>
      </c>
      <c r="P21" s="169">
        <f>(INDEX(Models!$BJ21:$BT21,,T21)*(1-R21)+INDEX(Models!$BJ21:$BT21,,T21+1)*R21-ERP_i)*Q21*Ramure*Pc/MaxiM</f>
        <v>1.8174434796683347E-3</v>
      </c>
      <c r="Q21" s="304">
        <f t="shared" si="4"/>
        <v>0.6</v>
      </c>
      <c r="R21" s="177">
        <f t="shared" si="5"/>
        <v>0.4743201377809475</v>
      </c>
      <c r="S21" s="799">
        <f t="shared" si="6"/>
        <v>-1</v>
      </c>
      <c r="T21" s="176">
        <f t="shared" si="7"/>
        <v>5</v>
      </c>
      <c r="U21" s="250">
        <f t="shared" si="8"/>
        <v>-0.5256798622190525</v>
      </c>
      <c r="V21" s="382">
        <f t="shared" si="9"/>
        <v>23.697227325675268</v>
      </c>
      <c r="W21" s="400">
        <f t="shared" si="10"/>
        <v>10.177114904558572</v>
      </c>
      <c r="X21" s="157">
        <f t="shared" si="11"/>
        <v>46759</v>
      </c>
      <c r="Y21" s="383">
        <f t="shared" si="12"/>
        <v>9.7162307660450047</v>
      </c>
      <c r="Z21" s="383">
        <f t="shared" si="22"/>
        <v>10.346212245968637</v>
      </c>
      <c r="AA21" s="384">
        <f t="shared" si="13"/>
        <v>11.158979534470161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7.2835270106095334E-2</v>
      </c>
      <c r="AD21" s="230">
        <f>(INDEX(Models!$BJ21:$BT21,,AH21)*(1-AF21)+INDEX(Models!$BJ21:$BT21,,AH21+1)*AF21-ERP_i)*AE21*Ramure*Pc/MaxiM</f>
        <v>1.5298070213098992E-2</v>
      </c>
      <c r="AE21" s="304">
        <f t="shared" si="15"/>
        <v>0.6</v>
      </c>
      <c r="AF21" s="177">
        <f t="shared" si="23"/>
        <v>0.99930770415492587</v>
      </c>
      <c r="AG21" s="799">
        <f t="shared" si="24"/>
        <v>2</v>
      </c>
      <c r="AH21" s="176">
        <f t="shared" si="16"/>
        <v>8</v>
      </c>
      <c r="AI21" s="224">
        <f t="shared" si="17"/>
        <v>2.9993077041549259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'2027'!Wh/'2027'!Env_an*'2028'!Env_an</f>
        <v>7.2423549937832297</v>
      </c>
      <c r="C22" s="829"/>
      <c r="D22" s="391">
        <f t="shared" si="0"/>
        <v>7.7120829869670482</v>
      </c>
      <c r="E22" s="383">
        <f t="shared" si="1"/>
        <v>7.9617455723542481</v>
      </c>
      <c r="F22" s="383">
        <f t="shared" si="2"/>
        <v>7.9618103099546893</v>
      </c>
      <c r="G22" s="110">
        <f t="shared" si="21"/>
        <v>0.30267518894527123</v>
      </c>
      <c r="H22" s="412" t="b">
        <f>Wh_hp&gt;='2027'!Maxi_hp</f>
        <v>0</v>
      </c>
      <c r="I22" s="388">
        <f>IF(H22,Wh_hp,'2027'!Maxi_hp)</f>
        <v>20.347217475948305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6.0908057392228598E-2</v>
      </c>
      <c r="M22" s="832"/>
      <c r="N22" s="832"/>
      <c r="O22" s="48">
        <f>IF(t&lt;Tnet,'2027'!Resal+('2027'!Salim-'2027'!Resal)*(1-EXP(('2027'!Tnet-t)/('2027'!Tau_j))),Resal+(Salim-Resal)*(1-EXP((Tnet-t)/(Tau_j))))*Salcycl</f>
        <v>3.1357769865707479E-2</v>
      </c>
      <c r="P22" s="169">
        <f>(INDEX(Models!$BJ22:$BT22,,T22)*(1-R22)+INDEX(Models!$BJ22:$BT22,,T22+1)*R22-ERP_i)*Q22*Ramure*Pc/MaxiM</f>
        <v>1.7729502892125529E-3</v>
      </c>
      <c r="Q22" s="304">
        <f t="shared" si="4"/>
        <v>0.6</v>
      </c>
      <c r="R22" s="177">
        <f t="shared" si="5"/>
        <v>0.47435749213694467</v>
      </c>
      <c r="S22" s="799">
        <f t="shared" si="6"/>
        <v>-1</v>
      </c>
      <c r="T22" s="176">
        <f t="shared" si="7"/>
        <v>5</v>
      </c>
      <c r="U22" s="250">
        <f t="shared" si="8"/>
        <v>-0.52564250786305533</v>
      </c>
      <c r="V22" s="382">
        <f t="shared" si="9"/>
        <v>23.8855833124829</v>
      </c>
      <c r="W22" s="400">
        <f t="shared" si="10"/>
        <v>7.2423549937832297</v>
      </c>
      <c r="X22" s="157">
        <f t="shared" si="11"/>
        <v>46760</v>
      </c>
      <c r="Y22" s="383">
        <f t="shared" si="12"/>
        <v>6.9315376694263637</v>
      </c>
      <c r="Z22" s="383">
        <f t="shared" si="22"/>
        <v>7.3811065295461118</v>
      </c>
      <c r="AA22" s="384">
        <f t="shared" si="13"/>
        <v>7.9612536809969674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7.2871330910561416E-2</v>
      </c>
      <c r="AD22" s="230">
        <f>(INDEX(Models!$BJ22:$BT22,,AH22)*(1-AF22)+INDEX(Models!$BJ22:$BT22,,AH22+1)*AF22-ERP_i)*AE22*Ramure*Pc/MaxiM</f>
        <v>1.524423928053828E-2</v>
      </c>
      <c r="AE22" s="304">
        <f t="shared" si="15"/>
        <v>0.6</v>
      </c>
      <c r="AF22" s="177">
        <f t="shared" si="23"/>
        <v>0.99934505851092315</v>
      </c>
      <c r="AG22" s="799">
        <f t="shared" si="24"/>
        <v>2</v>
      </c>
      <c r="AH22" s="176">
        <f t="shared" si="16"/>
        <v>8</v>
      </c>
      <c r="AI22" s="224">
        <f t="shared" si="17"/>
        <v>2.9993450585109231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'2027'!Wh/'2027'!Env_an*'2028'!Env_an</f>
        <v>2.1620115612813433</v>
      </c>
      <c r="C23" s="829"/>
      <c r="D23" s="391">
        <f t="shared" si="0"/>
        <v>2.3022804247792363</v>
      </c>
      <c r="E23" s="383">
        <f t="shared" si="1"/>
        <v>2.3770080384112373</v>
      </c>
      <c r="F23" s="383">
        <f t="shared" si="2"/>
        <v>2.3770080384112373</v>
      </c>
      <c r="G23" s="110">
        <f t="shared" si="21"/>
        <v>8.9617396763616408E-2</v>
      </c>
      <c r="H23" s="412" t="b">
        <f>Wh_hp&gt;='2027'!Maxi_hp</f>
        <v>0</v>
      </c>
      <c r="I23" s="388">
        <f>IF(H23,Wh_hp,'2027'!Maxi_hp)</f>
        <v>25.649292652260151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6.0926054875067304E-2</v>
      </c>
      <c r="M23" s="832"/>
      <c r="N23" s="832"/>
      <c r="O23" s="48">
        <f>IF(t&lt;Tnet,'2027'!Resal+('2027'!Salim-'2027'!Resal)*(1-EXP(('2027'!Tnet-t)/('2027'!Tau_j))),Resal+(Salim-Resal)*(1-EXP((Tnet-t)/(Tau_j))))*Salcycl</f>
        <v>3.1437678133367966E-2</v>
      </c>
      <c r="P23" s="169">
        <f>(INDEX(Models!$BJ23:$BT23,,T23)*(1-R23)+INDEX(Models!$BJ23:$BT23,,T23+1)*R23-ERP_i)*Q23*Ramure*Pc/MaxiM</f>
        <v>1.7304370689113736E-3</v>
      </c>
      <c r="Q23" s="304">
        <f t="shared" si="4"/>
        <v>0.6</v>
      </c>
      <c r="R23" s="177">
        <f t="shared" si="5"/>
        <v>0.47439640764597979</v>
      </c>
      <c r="S23" s="799">
        <f t="shared" si="6"/>
        <v>-1</v>
      </c>
      <c r="T23" s="176">
        <f t="shared" si="7"/>
        <v>5</v>
      </c>
      <c r="U23" s="250">
        <f t="shared" si="8"/>
        <v>-0.52560359235402021</v>
      </c>
      <c r="V23" s="382">
        <f t="shared" si="9"/>
        <v>24.083162580867548</v>
      </c>
      <c r="W23" s="400">
        <f t="shared" si="10"/>
        <v>2.1620115612813433</v>
      </c>
      <c r="X23" s="157">
        <f t="shared" si="11"/>
        <v>46761</v>
      </c>
      <c r="Y23" s="383">
        <f t="shared" si="12"/>
        <v>2.069443318977032</v>
      </c>
      <c r="Z23" s="383">
        <f t="shared" si="22"/>
        <v>2.2037064596672598</v>
      </c>
      <c r="AA23" s="384">
        <f t="shared" si="13"/>
        <v>2.3770080384112373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7.2907443283115769E-2</v>
      </c>
      <c r="AD23" s="230">
        <f>(INDEX(Models!$BJ23:$BT23,,AH23)*(1-AF23)+INDEX(Models!$BJ23:$BT23,,AH23+1)*AF23-ERP_i)*AE23*Ramure*Pc/MaxiM</f>
        <v>1.5182725406261382E-2</v>
      </c>
      <c r="AE23" s="304">
        <f t="shared" si="15"/>
        <v>0.6</v>
      </c>
      <c r="AF23" s="177">
        <f t="shared" si="23"/>
        <v>0.99938397401995838</v>
      </c>
      <c r="AG23" s="799">
        <f t="shared" si="24"/>
        <v>2</v>
      </c>
      <c r="AH23" s="176">
        <f t="shared" si="16"/>
        <v>8</v>
      </c>
      <c r="AI23" s="224">
        <f t="shared" si="17"/>
        <v>2.9993839740199584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'2027'!Wh/'2027'!Env_an*'2028'!Env_an</f>
        <v>1.7728620109444055</v>
      </c>
      <c r="C24" s="829"/>
      <c r="D24" s="391">
        <f t="shared" si="0"/>
        <v>1.8879194735359119</v>
      </c>
      <c r="E24" s="383">
        <f t="shared" si="1"/>
        <v>1.9493584503470074</v>
      </c>
      <c r="F24" s="383">
        <f t="shared" si="2"/>
        <v>1.9493584503470074</v>
      </c>
      <c r="G24" s="110">
        <f t="shared" si="21"/>
        <v>7.2857356630853534E-2</v>
      </c>
      <c r="H24" s="412" t="b">
        <f>Wh_hp&gt;='2027'!Maxi_hp</f>
        <v>0</v>
      </c>
      <c r="I24" s="388">
        <f>IF(H24,Wh_hp,'2027'!Maxi_hp)</f>
        <v>9.0351524420219071</v>
      </c>
      <c r="J24" s="85">
        <f>IF(H24,An,'2027'!An_max)</f>
        <v>2020</v>
      </c>
      <c r="K24" s="197">
        <f t="shared" si="3"/>
        <v>46762</v>
      </c>
      <c r="L24" s="147">
        <f>IF(t&lt;Tvie,1-EXP((T0-t)*PertePVj)+'2027'!Pspv,1-EXP((T0-t)*PertePVj)+Pspv)</f>
        <v>6.094405201298847E-2</v>
      </c>
      <c r="M24" s="832"/>
      <c r="N24" s="832"/>
      <c r="O24" s="48">
        <f>IF(t&lt;Tnet,'2027'!Resal+('2027'!Salim-'2027'!Resal)*(1-EXP(('2027'!Tnet-t)/('2027'!Tau_j))),Resal+(Salim-Resal)*(1-EXP((Tnet-t)/(Tau_j))))*Salcycl</f>
        <v>3.1517536859451682E-2</v>
      </c>
      <c r="P24" s="169">
        <f>(INDEX(Models!$BJ24:$BT24,,T24)*(1-R24)+INDEX(Models!$BJ24:$BT24,,T24+1)*R24-ERP_i)*Q24*Ramure*Pc/MaxiM</f>
        <v>1.6906517595672863E-3</v>
      </c>
      <c r="Q24" s="304">
        <f t="shared" si="4"/>
        <v>0.6</v>
      </c>
      <c r="R24" s="177">
        <f t="shared" si="5"/>
        <v>0.47443694929444935</v>
      </c>
      <c r="S24" s="799">
        <f t="shared" si="6"/>
        <v>-1</v>
      </c>
      <c r="T24" s="176">
        <f t="shared" si="7"/>
        <v>5</v>
      </c>
      <c r="U24" s="250">
        <f t="shared" si="8"/>
        <v>-0.52556305070555065</v>
      </c>
      <c r="V24" s="382">
        <f t="shared" si="9"/>
        <v>24.292189567534113</v>
      </c>
      <c r="W24" s="400">
        <f t="shared" si="10"/>
        <v>1.7728620109444055</v>
      </c>
      <c r="X24" s="157">
        <f t="shared" si="11"/>
        <v>46762</v>
      </c>
      <c r="Y24" s="383">
        <f t="shared" si="12"/>
        <v>1.6970292516819132</v>
      </c>
      <c r="Z24" s="383">
        <f t="shared" si="22"/>
        <v>1.8071652230303381</v>
      </c>
      <c r="AA24" s="384">
        <f t="shared" si="13"/>
        <v>1.9493584503470074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7.2943602184276229E-2</v>
      </c>
      <c r="AD24" s="230">
        <f>(INDEX(Models!$BJ24:$BT24,,AH24)*(1-AF24)+INDEX(Models!$BJ24:$BT24,,AH24+1)*AF24-ERP_i)*AE24*Ramure*Pc/MaxiM</f>
        <v>1.5108796194948489E-2</v>
      </c>
      <c r="AE24" s="304">
        <f t="shared" si="15"/>
        <v>0.6</v>
      </c>
      <c r="AF24" s="177">
        <f t="shared" si="23"/>
        <v>0.99942451566842783</v>
      </c>
      <c r="AG24" s="799">
        <f t="shared" si="24"/>
        <v>2</v>
      </c>
      <c r="AH24" s="176">
        <f t="shared" si="16"/>
        <v>8</v>
      </c>
      <c r="AI24" s="224">
        <f t="shared" si="17"/>
        <v>2.9994245156684278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'2027'!Wh/'2027'!Env_an*'2028'!Env_an</f>
        <v>24.850164473832532</v>
      </c>
      <c r="C25" s="829"/>
      <c r="D25" s="391">
        <f t="shared" si="0"/>
        <v>26.463429345145379</v>
      </c>
      <c r="E25" s="383">
        <f t="shared" si="1"/>
        <v>27.326886398047019</v>
      </c>
      <c r="F25" s="383">
        <f t="shared" si="2"/>
        <v>27.372177107233075</v>
      </c>
      <c r="G25" s="110">
        <f t="shared" si="21"/>
        <v>1.0138014686256271</v>
      </c>
      <c r="H25" s="412" t="b">
        <f>Wh_hp&gt;='2027'!Maxi_hp</f>
        <v>1</v>
      </c>
      <c r="I25" s="388">
        <f>IF(H25,Wh_hp,'2027'!Maxi_hp)</f>
        <v>27.372177107233075</v>
      </c>
      <c r="J25" s="85">
        <f>IF(H25,An,'2027'!An_max)</f>
        <v>2028</v>
      </c>
      <c r="K25" s="197">
        <f t="shared" si="3"/>
        <v>46763</v>
      </c>
      <c r="L25" s="147">
        <f>IF(t&lt;Tvie,1-EXP((T0-t)*PertePVj)+'2027'!Pspv,1-EXP((T0-t)*PertePVj)+Pspv)</f>
        <v>6.0962048805998537E-2</v>
      </c>
      <c r="M25" s="832"/>
      <c r="N25" s="832"/>
      <c r="O25" s="48">
        <f>IF(t&lt;Tnet,'2027'!Resal+('2027'!Salim-'2027'!Resal)*(1-EXP(('2027'!Tnet-t)/('2027'!Tau_j))),Resal+(Salim-Resal)*(1-EXP((Tnet-t)/(Tau_j))))*Salcycl</f>
        <v>3.1597344839233189E-2</v>
      </c>
      <c r="P25" s="169">
        <f>(INDEX(Models!$BJ25:$BT25,,T25)*(1-R25)+INDEX(Models!$BJ25:$BT25,,T25+1)*R25-ERP_i)*Q25*Ramure*Pc/MaxiM</f>
        <v>1.6546257540502648E-3</v>
      </c>
      <c r="Q25" s="304">
        <f t="shared" si="4"/>
        <v>0.6</v>
      </c>
      <c r="R25" s="177">
        <f t="shared" si="5"/>
        <v>0.47447918475181539</v>
      </c>
      <c r="S25" s="799">
        <f t="shared" si="6"/>
        <v>-1</v>
      </c>
      <c r="T25" s="176">
        <f t="shared" si="7"/>
        <v>5</v>
      </c>
      <c r="U25" s="250">
        <f t="shared" si="8"/>
        <v>-0.52552081524818461</v>
      </c>
      <c r="V25" s="382">
        <f t="shared" si="9"/>
        <v>24.511864741645102</v>
      </c>
      <c r="W25" s="400">
        <f t="shared" si="10"/>
        <v>24.850164473832532</v>
      </c>
      <c r="X25" s="157">
        <f t="shared" si="11"/>
        <v>46763</v>
      </c>
      <c r="Y25" s="383">
        <f t="shared" si="12"/>
        <v>23.469713449576194</v>
      </c>
      <c r="Z25" s="383">
        <f t="shared" si="22"/>
        <v>24.99335987404352</v>
      </c>
      <c r="AA25" s="384">
        <f t="shared" si="13"/>
        <v>26.960965883275648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7.2979804126849401E-2</v>
      </c>
      <c r="AD25" s="230">
        <f>(INDEX(Models!$BJ25:$BT25,,AH25)*(1-AF25)+INDEX(Models!$BJ25:$BT25,,AH25+1)*AF25-ERP_i)*AE25*Ramure*Pc/MaxiM</f>
        <v>1.5022963732350091E-2</v>
      </c>
      <c r="AE25" s="304">
        <f t="shared" si="15"/>
        <v>0.6</v>
      </c>
      <c r="AF25" s="177">
        <f t="shared" si="23"/>
        <v>0.99946675112579397</v>
      </c>
      <c r="AG25" s="799">
        <f t="shared" si="24"/>
        <v>2</v>
      </c>
      <c r="AH25" s="176">
        <f t="shared" si="16"/>
        <v>8</v>
      </c>
      <c r="AI25" s="224">
        <f t="shared" si="17"/>
        <v>2.999466751125794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'2027'!Wh/'2027'!Env_an*'2028'!Env_an</f>
        <v>21.599986638267108</v>
      </c>
      <c r="C26" s="829"/>
      <c r="D26" s="391">
        <f t="shared" si="0"/>
        <v>23.002691826833637</v>
      </c>
      <c r="E26" s="383">
        <f t="shared" si="1"/>
        <v>23.755187305472859</v>
      </c>
      <c r="F26" s="383">
        <f t="shared" si="2"/>
        <v>23.786778002351909</v>
      </c>
      <c r="G26" s="110">
        <f t="shared" si="21"/>
        <v>0.87277236529490765</v>
      </c>
      <c r="H26" s="412" t="b">
        <f>Wh_hp&gt;='2027'!Maxi_hp</f>
        <v>0</v>
      </c>
      <c r="I26" s="388">
        <f>IF(H26,Wh_hp,'2027'!Maxi_hp)</f>
        <v>27.37093962937724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6.0980045254104165E-2</v>
      </c>
      <c r="M26" s="832"/>
      <c r="N26" s="832"/>
      <c r="O26" s="48">
        <f>IF(t&lt;Tnet,'2027'!Resal+('2027'!Salim-'2027'!Resal)*(1-EXP(('2027'!Tnet-t)/('2027'!Tau_j))),Resal+(Salim-Resal)*(1-EXP((Tnet-t)/(Tau_j))))*Salcycl</f>
        <v>3.1677101466838629E-2</v>
      </c>
      <c r="P26" s="169">
        <f>(INDEX(Models!$BJ26:$BT26,,T26)*(1-R26)+INDEX(Models!$BJ26:$BT26,,T26+1)*R26-ERP_i)*Q26*Ramure*Pc/MaxiM</f>
        <v>1.6223500234174278E-3</v>
      </c>
      <c r="Q26" s="304">
        <f t="shared" si="4"/>
        <v>0.6</v>
      </c>
      <c r="R26" s="177">
        <f t="shared" si="5"/>
        <v>0.47452318447948649</v>
      </c>
      <c r="S26" s="799">
        <f t="shared" si="6"/>
        <v>-1</v>
      </c>
      <c r="T26" s="176">
        <f t="shared" si="7"/>
        <v>5</v>
      </c>
      <c r="U26" s="250">
        <f t="shared" si="8"/>
        <v>-0.52547681552051351</v>
      </c>
      <c r="V26" s="382">
        <f t="shared" si="9"/>
        <v>24.741413423006268</v>
      </c>
      <c r="W26" s="400">
        <f t="shared" si="10"/>
        <v>21.599986638267108</v>
      </c>
      <c r="X26" s="157">
        <f t="shared" si="11"/>
        <v>46764</v>
      </c>
      <c r="Y26" s="383">
        <f t="shared" si="12"/>
        <v>20.452361452905706</v>
      </c>
      <c r="Z26" s="383">
        <f t="shared" si="22"/>
        <v>21.780539752683136</v>
      </c>
      <c r="AA26" s="384">
        <f t="shared" si="13"/>
        <v>23.496134623491542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7.3016047034951362E-2</v>
      </c>
      <c r="AD26" s="230">
        <f>(INDEX(Models!$BJ26:$BT26,,AH26)*(1-AF26)+INDEX(Models!$BJ26:$BT26,,AH26+1)*AF26-ERP_i)*AE26*Ramure*Pc/MaxiM</f>
        <v>1.4926080747934689E-2</v>
      </c>
      <c r="AE26" s="304">
        <f t="shared" si="15"/>
        <v>0.6</v>
      </c>
      <c r="AF26" s="177">
        <f t="shared" si="23"/>
        <v>0.99951075085346508</v>
      </c>
      <c r="AG26" s="799">
        <f t="shared" si="24"/>
        <v>2</v>
      </c>
      <c r="AH26" s="176">
        <f t="shared" si="16"/>
        <v>8</v>
      </c>
      <c r="AI26" s="224">
        <f t="shared" si="17"/>
        <v>2.9995107508534651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'2027'!Wh/'2027'!Env_an*'2028'!Env_an</f>
        <v>5.5365878288639285</v>
      </c>
      <c r="C27" s="829"/>
      <c r="D27" s="391">
        <f t="shared" si="0"/>
        <v>5.8962473697786271</v>
      </c>
      <c r="E27" s="383">
        <f t="shared" si="1"/>
        <v>6.0896347223923568</v>
      </c>
      <c r="F27" s="383">
        <f t="shared" si="2"/>
        <v>6.0896347223923568</v>
      </c>
      <c r="G27" s="110">
        <f t="shared" si="21"/>
        <v>0.22128703167642022</v>
      </c>
      <c r="H27" s="412" t="b">
        <f>Wh_hp&gt;='2027'!Maxi_hp</f>
        <v>0</v>
      </c>
      <c r="I27" s="388">
        <f>IF(H27,Wh_hp,'2027'!Maxi_hp)</f>
        <v>16.17097757884445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6.0998041357312016E-2</v>
      </c>
      <c r="M27" s="832"/>
      <c r="N27" s="832"/>
      <c r="O27" s="48">
        <f>IF(t&lt;Tnet,'2027'!Resal+('2027'!Salim-'2027'!Resal)*(1-EXP(('2027'!Tnet-t)/('2027'!Tau_j))),Resal+(Salim-Resal)*(1-EXP((Tnet-t)/(Tau_j))))*Salcycl</f>
        <v>3.1756806677191898E-2</v>
      </c>
      <c r="P27" s="169">
        <f>(INDEX(Models!$BJ27:$BT27,,T27)*(1-R27)+INDEX(Models!$BJ27:$BT27,,T27+1)*R27-ERP_i)*Q27*Ramure*Pc/MaxiM</f>
        <v>1.5938036066477966E-3</v>
      </c>
      <c r="Q27" s="304">
        <f t="shared" si="4"/>
        <v>0.6</v>
      </c>
      <c r="R27" s="177">
        <f t="shared" si="5"/>
        <v>0.47456902184395555</v>
      </c>
      <c r="S27" s="799">
        <f t="shared" si="6"/>
        <v>-1</v>
      </c>
      <c r="T27" s="176">
        <f t="shared" si="7"/>
        <v>5</v>
      </c>
      <c r="U27" s="250">
        <f t="shared" si="8"/>
        <v>-0.52543097815604445</v>
      </c>
      <c r="V27" s="382">
        <f t="shared" si="9"/>
        <v>24.980061205289267</v>
      </c>
      <c r="W27" s="400">
        <f t="shared" si="10"/>
        <v>5.5365878288639285</v>
      </c>
      <c r="X27" s="157">
        <f t="shared" si="11"/>
        <v>46765</v>
      </c>
      <c r="Y27" s="383">
        <f t="shared" si="12"/>
        <v>5.3004526368746001</v>
      </c>
      <c r="Z27" s="383">
        <f t="shared" si="22"/>
        <v>5.644772716487533</v>
      </c>
      <c r="AA27" s="384">
        <f t="shared" si="13"/>
        <v>6.0896347223923568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7.3052330096091078E-2</v>
      </c>
      <c r="AD27" s="230">
        <f>(INDEX(Models!$BJ27:$BT27,,AH27)*(1-AF27)+INDEX(Models!$BJ27:$BT27,,AH27+1)*AF27-ERP_i)*AE27*Ramure*Pc/MaxiM</f>
        <v>1.481898873759495E-2</v>
      </c>
      <c r="AE27" s="304">
        <f t="shared" si="15"/>
        <v>0.6</v>
      </c>
      <c r="AF27" s="177">
        <f t="shared" si="23"/>
        <v>0.99955658821793403</v>
      </c>
      <c r="AG27" s="799">
        <f t="shared" si="24"/>
        <v>2</v>
      </c>
      <c r="AH27" s="176">
        <f t="shared" si="16"/>
        <v>8</v>
      </c>
      <c r="AI27" s="224">
        <f t="shared" si="17"/>
        <v>2.999556588217934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'2027'!Wh/'2027'!Env_an*'2028'!Env_an</f>
        <v>26.272159008846319</v>
      </c>
      <c r="C28" s="829"/>
      <c r="D28" s="391">
        <f t="shared" si="0"/>
        <v>27.979347941304013</v>
      </c>
      <c r="E28" s="383">
        <f t="shared" si="1"/>
        <v>28.899402643149177</v>
      </c>
      <c r="F28" s="383">
        <f t="shared" si="2"/>
        <v>28.9448157619047</v>
      </c>
      <c r="G28" s="110">
        <f t="shared" si="21"/>
        <v>1.0414287719294832</v>
      </c>
      <c r="H28" s="412" t="b">
        <f>Wh_hp&gt;='2027'!Maxi_hp</f>
        <v>1</v>
      </c>
      <c r="I28" s="388">
        <f>IF(H28,Wh_hp,'2027'!Maxi_hp)</f>
        <v>28.9448157619047</v>
      </c>
      <c r="J28" s="85">
        <f>IF(H28,An,'2027'!An_max)</f>
        <v>2028</v>
      </c>
      <c r="K28" s="197">
        <f t="shared" si="3"/>
        <v>46766</v>
      </c>
      <c r="L28" s="147">
        <f>IF(t&lt;Tvie,1-EXP((T0-t)*PertePVj)+'2027'!Pspv,1-EXP((T0-t)*PertePVj)+Pspv)</f>
        <v>6.1016037115628641E-2</v>
      </c>
      <c r="M28" s="832"/>
      <c r="N28" s="832"/>
      <c r="O28" s="48">
        <f>IF(t&lt;Tnet,'2027'!Resal+('2027'!Salim-'2027'!Resal)*(1-EXP(('2027'!Tnet-t)/('2027'!Tau_j))),Resal+(Salim-Resal)*(1-EXP((Tnet-t)/(Tau_j))))*Salcycl</f>
        <v>3.1836460884885162E-2</v>
      </c>
      <c r="P28" s="169">
        <f>(INDEX(Models!$BJ28:$BT28,,T28)*(1-R28)+INDEX(Models!$BJ28:$BT28,,T28+1)*R28-ERP_i)*Q28*Ramure*Pc/MaxiM</f>
        <v>1.5689551845513349E-3</v>
      </c>
      <c r="Q28" s="304">
        <f t="shared" si="4"/>
        <v>0.6</v>
      </c>
      <c r="R28" s="177">
        <f t="shared" si="5"/>
        <v>0.47461677323434504</v>
      </c>
      <c r="S28" s="799">
        <f t="shared" si="6"/>
        <v>-1</v>
      </c>
      <c r="T28" s="176">
        <f t="shared" si="7"/>
        <v>5</v>
      </c>
      <c r="U28" s="250">
        <f t="shared" si="8"/>
        <v>-0.52538322676565496</v>
      </c>
      <c r="V28" s="382">
        <f t="shared" si="9"/>
        <v>25.227033971964477</v>
      </c>
      <c r="W28" s="400">
        <f t="shared" si="10"/>
        <v>26.272159008846319</v>
      </c>
      <c r="X28" s="157">
        <f t="shared" si="11"/>
        <v>46766</v>
      </c>
      <c r="Y28" s="383">
        <f t="shared" si="12"/>
        <v>24.821872393314052</v>
      </c>
      <c r="Z28" s="383">
        <f t="shared" si="22"/>
        <v>26.434820374424941</v>
      </c>
      <c r="AA28" s="384">
        <f t="shared" si="13"/>
        <v>28.519254270998161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7.3088653608061702E-2</v>
      </c>
      <c r="AD28" s="230">
        <f>(INDEX(Models!$BJ28:$BT28,,AH28)*(1-AF28)+INDEX(Models!$BJ28:$BT28,,AH28+1)*AF28-ERP_i)*AE28*Ramure*Pc/MaxiM</f>
        <v>1.470251164861909E-2</v>
      </c>
      <c r="AE28" s="304">
        <f t="shared" si="15"/>
        <v>0.6</v>
      </c>
      <c r="AF28" s="177">
        <f t="shared" si="23"/>
        <v>0.9996043396083234</v>
      </c>
      <c r="AG28" s="799">
        <f t="shared" si="24"/>
        <v>2</v>
      </c>
      <c r="AH28" s="176">
        <f t="shared" si="16"/>
        <v>8</v>
      </c>
      <c r="AI28" s="224">
        <f t="shared" si="17"/>
        <v>2.9996043396083234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'2027'!Wh/'2027'!Env_an*'2028'!Env_an</f>
        <v>26.578657372135059</v>
      </c>
      <c r="C29" s="829"/>
      <c r="D29" s="391">
        <f t="shared" si="0"/>
        <v>28.306305332581353</v>
      </c>
      <c r="E29" s="383">
        <f t="shared" si="1"/>
        <v>29.239515611074626</v>
      </c>
      <c r="F29" s="383">
        <f t="shared" si="2"/>
        <v>29.284841653101804</v>
      </c>
      <c r="G29" s="110">
        <f t="shared" si="21"/>
        <v>1.0430546469739896</v>
      </c>
      <c r="H29" s="412" t="b">
        <f>Wh_hp&gt;='2027'!Maxi_hp</f>
        <v>1</v>
      </c>
      <c r="I29" s="388">
        <f>IF(H29,Wh_hp,'2027'!Maxi_hp)</f>
        <v>29.284841653101804</v>
      </c>
      <c r="J29" s="85">
        <f>IF(H29,An,'2027'!An_max)</f>
        <v>2028</v>
      </c>
      <c r="K29" s="197">
        <f t="shared" si="3"/>
        <v>46767</v>
      </c>
      <c r="L29" s="147">
        <f>IF(t&lt;Tvie,1-EXP((T0-t)*PertePVj)+'2027'!Pspv,1-EXP((T0-t)*PertePVj)+Pspv)</f>
        <v>6.10340325290607E-2</v>
      </c>
      <c r="M29" s="832"/>
      <c r="N29" s="832"/>
      <c r="O29" s="48">
        <f>IF(t&lt;Tnet,'2027'!Resal+('2027'!Salim-'2027'!Resal)*(1-EXP(('2027'!Tnet-t)/('2027'!Tau_j))),Resal+(Salim-Resal)*(1-EXP((Tnet-t)/(Tau_j))))*Salcycl</f>
        <v>3.191606492071352E-2</v>
      </c>
      <c r="P29" s="169">
        <f>(INDEX(Models!$BJ29:$BT29,,T29)*(1-R29)+INDEX(Models!$BJ29:$BT29,,T29+1)*R29-ERP_i)*Q29*Ramure*Pc/MaxiM</f>
        <v>1.5477646273145476E-3</v>
      </c>
      <c r="Q29" s="304">
        <f t="shared" si="4"/>
        <v>0.6</v>
      </c>
      <c r="R29" s="177">
        <f t="shared" si="5"/>
        <v>0.47466651818451733</v>
      </c>
      <c r="S29" s="799">
        <f t="shared" si="6"/>
        <v>-1</v>
      </c>
      <c r="T29" s="176">
        <f t="shared" si="7"/>
        <v>5</v>
      </c>
      <c r="U29" s="250">
        <f t="shared" si="8"/>
        <v>-0.52533348181548267</v>
      </c>
      <c r="V29" s="382">
        <f t="shared" si="9"/>
        <v>25.481557892716854</v>
      </c>
      <c r="W29" s="400">
        <f t="shared" si="10"/>
        <v>26.578657372135059</v>
      </c>
      <c r="X29" s="157">
        <f t="shared" si="11"/>
        <v>46767</v>
      </c>
      <c r="Y29" s="383">
        <f t="shared" si="12"/>
        <v>25.115185337349295</v>
      </c>
      <c r="Z29" s="383">
        <f t="shared" si="22"/>
        <v>26.747705675633661</v>
      </c>
      <c r="AA29" s="384">
        <f t="shared" si="13"/>
        <v>28.857943324406477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7.3125018822394375E-2</v>
      </c>
      <c r="AD29" s="230">
        <f>(INDEX(Models!$BJ29:$BT29,,AH29)*(1-AF29)+INDEX(Models!$BJ29:$BT29,,AH29+1)*AF29-ERP_i)*AE29*Ramure*Pc/MaxiM</f>
        <v>1.4577450469161358E-2</v>
      </c>
      <c r="AE29" s="304">
        <f t="shared" si="15"/>
        <v>0.6</v>
      </c>
      <c r="AF29" s="177">
        <f t="shared" si="23"/>
        <v>0.9996540845584958</v>
      </c>
      <c r="AG29" s="799">
        <f t="shared" si="24"/>
        <v>2</v>
      </c>
      <c r="AH29" s="176">
        <f t="shared" si="16"/>
        <v>8</v>
      </c>
      <c r="AI29" s="224">
        <f t="shared" si="17"/>
        <v>2.9996540845584958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'2027'!Wh/'2027'!Env_an*'2028'!Env_an</f>
        <v>26.001479103527206</v>
      </c>
      <c r="C30" s="829"/>
      <c r="D30" s="391">
        <f t="shared" si="0"/>
        <v>27.692140424990761</v>
      </c>
      <c r="E30" s="383">
        <f t="shared" si="1"/>
        <v>28.607453639864655</v>
      </c>
      <c r="F30" s="383">
        <f t="shared" si="2"/>
        <v>28.65123538605047</v>
      </c>
      <c r="G30" s="110">
        <f t="shared" si="21"/>
        <v>1.010044152286218</v>
      </c>
      <c r="H30" s="412" t="b">
        <f>Wh_hp&gt;='2027'!Maxi_hp</f>
        <v>1</v>
      </c>
      <c r="I30" s="388">
        <f>IF(H30,Wh_hp,'2027'!Maxi_hp)</f>
        <v>28.65123538605047</v>
      </c>
      <c r="J30" s="85">
        <f>IF(H30,An,'2027'!An_max)</f>
        <v>2028</v>
      </c>
      <c r="K30" s="197">
        <f t="shared" si="3"/>
        <v>46768</v>
      </c>
      <c r="L30" s="147">
        <f>IF(t&lt;Tvie,1-EXP((T0-t)*PertePVj)+'2027'!Pspv,1-EXP((T0-t)*PertePVj)+Pspv)</f>
        <v>6.1052027597614633E-2</v>
      </c>
      <c r="M30" s="832"/>
      <c r="N30" s="832"/>
      <c r="O30" s="48">
        <f>IF(t&lt;Tnet,'2027'!Resal+('2027'!Salim-'2027'!Resal)*(1-EXP(('2027'!Tnet-t)/('2027'!Tau_j))),Resal+(Salim-Resal)*(1-EXP((Tnet-t)/(Tau_j))))*Salcycl</f>
        <v>3.1995619966622965E-2</v>
      </c>
      <c r="P30" s="169">
        <f>(INDEX(Models!$BJ30:$BT30,,T30)*(1-R30)+INDEX(Models!$BJ30:$BT30,,T30+1)*R30-ERP_i)*Q30*Ramure*Pc/MaxiM</f>
        <v>1.5280927888760868E-3</v>
      </c>
      <c r="Q30" s="304">
        <f t="shared" si="4"/>
        <v>0.6</v>
      </c>
      <c r="R30" s="177">
        <f t="shared" si="5"/>
        <v>0.4747183394999106</v>
      </c>
      <c r="S30" s="799">
        <f t="shared" si="6"/>
        <v>-1</v>
      </c>
      <c r="T30" s="176">
        <f t="shared" si="7"/>
        <v>5</v>
      </c>
      <c r="U30" s="250">
        <f t="shared" si="8"/>
        <v>-0.5252816605000894</v>
      </c>
      <c r="V30" s="382">
        <f t="shared" si="9"/>
        <v>25.742913361434045</v>
      </c>
      <c r="W30" s="400">
        <f t="shared" si="10"/>
        <v>26.001479103527206</v>
      </c>
      <c r="X30" s="157">
        <f t="shared" si="11"/>
        <v>46768</v>
      </c>
      <c r="Y30" s="383">
        <f t="shared" si="12"/>
        <v>24.573859521450274</v>
      </c>
      <c r="Z30" s="383">
        <f t="shared" si="22"/>
        <v>26.171694538703541</v>
      </c>
      <c r="AA30" s="384">
        <f t="shared" si="13"/>
        <v>28.237597488189262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7.3161427786121391E-2</v>
      </c>
      <c r="AD30" s="230">
        <f>(INDEX(Models!$BJ30:$BT30,,AH30)*(1-AF30)+INDEX(Models!$BJ30:$BT30,,AH30+1)*AF30-ERP_i)*AE30*Ramure*Pc/MaxiM</f>
        <v>1.4437000439520222E-2</v>
      </c>
      <c r="AE30" s="304">
        <f t="shared" si="15"/>
        <v>0.6</v>
      </c>
      <c r="AF30" s="177">
        <f t="shared" si="23"/>
        <v>0.9997059058738893</v>
      </c>
      <c r="AG30" s="799">
        <f t="shared" si="24"/>
        <v>2</v>
      </c>
      <c r="AH30" s="176">
        <f t="shared" si="16"/>
        <v>8</v>
      </c>
      <c r="AI30" s="224">
        <f t="shared" si="17"/>
        <v>2.9997059058738893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'2027'!Wh/'2027'!Env_an*'2028'!Env_an</f>
        <v>12.005830020334063</v>
      </c>
      <c r="C31" s="829"/>
      <c r="D31" s="391">
        <f t="shared" si="0"/>
        <v>12.786714990201752</v>
      </c>
      <c r="E31" s="383">
        <f t="shared" si="1"/>
        <v>13.210441588344745</v>
      </c>
      <c r="F31" s="383">
        <f t="shared" si="2"/>
        <v>13.215039231937052</v>
      </c>
      <c r="G31" s="110">
        <f t="shared" si="21"/>
        <v>0.46104279405270526</v>
      </c>
      <c r="H31" s="412" t="b">
        <f>Wh_hp&gt;='2027'!Maxi_hp</f>
        <v>0</v>
      </c>
      <c r="I31" s="388">
        <f>IF(H31,Wh_hp,'2027'!Maxi_hp)</f>
        <v>13.224497170305185</v>
      </c>
      <c r="J31" s="85">
        <f>IF(H31,An,'2027'!An_max)</f>
        <v>2027</v>
      </c>
      <c r="K31" s="197">
        <f t="shared" si="3"/>
        <v>46769</v>
      </c>
      <c r="L31" s="147">
        <f>IF(t&lt;Tvie,1-EXP((T0-t)*PertePVj)+'2027'!Pspv,1-EXP((T0-t)*PertePVj)+Pspv)</f>
        <v>6.1070022321297324E-2</v>
      </c>
      <c r="M31" s="832"/>
      <c r="N31" s="832"/>
      <c r="O31" s="48">
        <f>IF(t&lt;Tnet,'2027'!Resal+('2027'!Salim-'2027'!Resal)*(1-EXP(('2027'!Tnet-t)/('2027'!Tau_j))),Resal+(Salim-Resal)*(1-EXP((Tnet-t)/(Tau_j))))*Salcycl</f>
        <v>3.2075127489821179E-2</v>
      </c>
      <c r="P31" s="169">
        <f>(INDEX(Models!$BJ31:$BT31,,T31)*(1-R31)+INDEX(Models!$BJ31:$BT31,,T31+1)*R31-ERP_i)*Q31*Ramure*Pc/MaxiM</f>
        <v>1.5072399051951164E-3</v>
      </c>
      <c r="Q31" s="304">
        <f t="shared" si="4"/>
        <v>0.6</v>
      </c>
      <c r="R31" s="177">
        <f t="shared" si="5"/>
        <v>0.47477232338926478</v>
      </c>
      <c r="S31" s="799">
        <f t="shared" si="6"/>
        <v>-1</v>
      </c>
      <c r="T31" s="176">
        <f t="shared" si="7"/>
        <v>5</v>
      </c>
      <c r="U31" s="250">
        <f t="shared" si="8"/>
        <v>-0.52522767661073522</v>
      </c>
      <c r="V31" s="382">
        <f t="shared" si="9"/>
        <v>26.010397760160661</v>
      </c>
      <c r="W31" s="400">
        <f t="shared" si="10"/>
        <v>12.005830020334063</v>
      </c>
      <c r="X31" s="157">
        <f t="shared" si="11"/>
        <v>46769</v>
      </c>
      <c r="Y31" s="383">
        <f t="shared" si="12"/>
        <v>11.461838336320739</v>
      </c>
      <c r="Z31" s="383">
        <f t="shared" si="22"/>
        <v>12.207340918710047</v>
      </c>
      <c r="AA31" s="384">
        <f t="shared" si="13"/>
        <v>13.171464217887539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7.3197883183569137E-2</v>
      </c>
      <c r="AD31" s="230">
        <f>(INDEX(Models!$BJ31:$BT31,,AH31)*(1-AF31)+INDEX(Models!$BJ31:$BT31,,AH31+1)*AF31-ERP_i)*AE31*Ramure*Pc/MaxiM</f>
        <v>1.4285143840805953E-2</v>
      </c>
      <c r="AE31" s="304">
        <f t="shared" si="15"/>
        <v>0.6</v>
      </c>
      <c r="AF31" s="177">
        <f t="shared" si="23"/>
        <v>0.99975988976324315</v>
      </c>
      <c r="AG31" s="799">
        <f t="shared" si="24"/>
        <v>2</v>
      </c>
      <c r="AH31" s="176">
        <f t="shared" si="16"/>
        <v>8</v>
      </c>
      <c r="AI31" s="224">
        <f t="shared" si="17"/>
        <v>2.9997598897632431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'2027'!Wh/'2027'!Env_an*'2028'!Env_an</f>
        <v>3.8137425339962987</v>
      </c>
      <c r="C32" s="829"/>
      <c r="D32" s="391">
        <f t="shared" si="0"/>
        <v>4.0618743842128646</v>
      </c>
      <c r="E32" s="383">
        <f t="shared" si="1"/>
        <v>4.1968214539117579</v>
      </c>
      <c r="F32" s="383">
        <f t="shared" si="2"/>
        <v>4.1968214539117579</v>
      </c>
      <c r="G32" s="110">
        <f t="shared" si="21"/>
        <v>0.14488618079658108</v>
      </c>
      <c r="H32" s="412" t="b">
        <f>Wh_hp&gt;='2027'!Maxi_hp</f>
        <v>0</v>
      </c>
      <c r="I32" s="388">
        <f>IF(H32,Wh_hp,'2027'!Maxi_hp)</f>
        <v>29.066008249734857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6.1088016700115211E-2</v>
      </c>
      <c r="M32" s="832"/>
      <c r="N32" s="832"/>
      <c r="O32" s="48">
        <f>IF(t&lt;Tnet,'2027'!Resal+('2027'!Salim-'2027'!Resal)*(1-EXP(('2027'!Tnet-t)/('2027'!Tau_j))),Resal+(Salim-Resal)*(1-EXP((Tnet-t)/(Tau_j))))*Salcycl</f>
        <v>3.2154589176795374E-2</v>
      </c>
      <c r="P32" s="169">
        <f>(INDEX(Models!$BJ32:$BT32,,T32)*(1-R32)+INDEX(Models!$BJ32:$BT32,,T32+1)*R32-ERP_i)*Q32*Ramure*Pc/MaxiM</f>
        <v>1.4852985310491648E-3</v>
      </c>
      <c r="Q32" s="304">
        <f t="shared" si="4"/>
        <v>0.6</v>
      </c>
      <c r="R32" s="177">
        <f t="shared" si="5"/>
        <v>0.47482855960140646</v>
      </c>
      <c r="S32" s="799">
        <f t="shared" si="6"/>
        <v>-1</v>
      </c>
      <c r="T32" s="176">
        <f t="shared" si="7"/>
        <v>5</v>
      </c>
      <c r="U32" s="250">
        <f t="shared" si="8"/>
        <v>-0.52517144039859354</v>
      </c>
      <c r="V32" s="382">
        <f t="shared" si="9"/>
        <v>26.283238103703361</v>
      </c>
      <c r="W32" s="400">
        <f t="shared" si="10"/>
        <v>3.8137425339962987</v>
      </c>
      <c r="X32" s="157">
        <f t="shared" si="11"/>
        <v>46770</v>
      </c>
      <c r="Y32" s="383">
        <f t="shared" si="12"/>
        <v>3.6518698061887083</v>
      </c>
      <c r="Z32" s="383">
        <f t="shared" si="22"/>
        <v>3.8894698024344159</v>
      </c>
      <c r="AA32" s="384">
        <f t="shared" si="13"/>
        <v>4.1968214539117579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7.3234388179860999E-2</v>
      </c>
      <c r="AD32" s="230">
        <f>(INDEX(Models!$BJ32:$BT32,,AH32)*(1-AF32)+INDEX(Models!$BJ32:$BT32,,AH32+1)*AF32-ERP_i)*AE32*Ramure*Pc/MaxiM</f>
        <v>1.4122730695597227E-2</v>
      </c>
      <c r="AE32" s="304">
        <f t="shared" si="15"/>
        <v>0.6</v>
      </c>
      <c r="AF32" s="177">
        <f t="shared" si="23"/>
        <v>0.99981612597538483</v>
      </c>
      <c r="AG32" s="799">
        <f t="shared" si="24"/>
        <v>2</v>
      </c>
      <c r="AH32" s="176">
        <f t="shared" si="16"/>
        <v>8</v>
      </c>
      <c r="AI32" s="224">
        <f t="shared" si="17"/>
        <v>2.9998161259753848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'2027'!Wh/'2027'!Env_an*'2028'!Env_an</f>
        <v>10.405123462951977</v>
      </c>
      <c r="C33" s="829"/>
      <c r="D33" s="391">
        <f t="shared" si="0"/>
        <v>11.082319816625121</v>
      </c>
      <c r="E33" s="383">
        <f t="shared" si="1"/>
        <v>11.451445799163514</v>
      </c>
      <c r="F33" s="383">
        <f t="shared" si="2"/>
        <v>11.453641140502846</v>
      </c>
      <c r="G33" s="110">
        <f t="shared" si="21"/>
        <v>0.39125152115084066</v>
      </c>
      <c r="H33" s="412" t="b">
        <f>Wh_hp&gt;='2027'!Maxi_hp</f>
        <v>0</v>
      </c>
      <c r="I33" s="388">
        <f>IF(H33,Wh_hp,'2027'!Maxi_hp)</f>
        <v>30.468754573897851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6.1106010734074845E-2</v>
      </c>
      <c r="M33" s="832"/>
      <c r="N33" s="832"/>
      <c r="O33" s="48">
        <f>IF(t&lt;Tnet,'2027'!Resal+('2027'!Salim-'2027'!Resal)*(1-EXP(('2027'!Tnet-t)/('2027'!Tau_j))),Resal+(Salim-Resal)*(1-EXP((Tnet-t)/(Tau_j))))*Salcycl</f>
        <v>3.2234006867967298E-2</v>
      </c>
      <c r="P33" s="169">
        <f>(INDEX(Models!$BJ33:$BT33,,T33)*(1-R33)+INDEX(Models!$BJ33:$BT33,,T33+1)*R33-ERP_i)*Q33*Ramure*Pc/MaxiM</f>
        <v>1.4623565001718071E-3</v>
      </c>
      <c r="Q33" s="304">
        <f t="shared" si="4"/>
        <v>0.6</v>
      </c>
      <c r="R33" s="177">
        <f t="shared" si="5"/>
        <v>0.4748871415672673</v>
      </c>
      <c r="S33" s="799">
        <f t="shared" si="6"/>
        <v>-1</v>
      </c>
      <c r="T33" s="176">
        <f t="shared" si="7"/>
        <v>5</v>
      </c>
      <c r="U33" s="250">
        <f t="shared" si="8"/>
        <v>-0.5251128584327327</v>
      </c>
      <c r="V33" s="382">
        <f t="shared" si="9"/>
        <v>26.56066171372365</v>
      </c>
      <c r="W33" s="400">
        <f t="shared" si="10"/>
        <v>10.405123462951977</v>
      </c>
      <c r="X33" s="157">
        <f t="shared" si="11"/>
        <v>46771</v>
      </c>
      <c r="Y33" s="383">
        <f t="shared" si="12"/>
        <v>9.9475944377619321</v>
      </c>
      <c r="Z33" s="383">
        <f t="shared" si="22"/>
        <v>10.595013442933494</v>
      </c>
      <c r="AA33" s="384">
        <f t="shared" si="13"/>
        <v>11.432698047248914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7.3270946267753087E-2</v>
      </c>
      <c r="AD33" s="230">
        <f>(INDEX(Models!$BJ33:$BT33,,AH33)*(1-AF33)+INDEX(Models!$BJ33:$BT33,,AH33+1)*AF33-ERP_i)*AE33*Ramure*Pc/MaxiM</f>
        <v>1.3950572516856512E-2</v>
      </c>
      <c r="AE33" s="304">
        <f t="shared" si="15"/>
        <v>0.6</v>
      </c>
      <c r="AF33" s="177">
        <f t="shared" si="23"/>
        <v>0.99987470794124578</v>
      </c>
      <c r="AG33" s="799">
        <f t="shared" si="24"/>
        <v>2</v>
      </c>
      <c r="AH33" s="176">
        <f t="shared" si="16"/>
        <v>8</v>
      </c>
      <c r="AI33" s="224">
        <f t="shared" si="17"/>
        <v>2.9998747079412458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'2027'!Wh/'2027'!Env_an*'2028'!Env_an</f>
        <v>6.515739892432352</v>
      </c>
      <c r="C34" s="829"/>
      <c r="D34" s="391">
        <f t="shared" si="0"/>
        <v>6.9399366083795533</v>
      </c>
      <c r="E34" s="383">
        <f t="shared" si="1"/>
        <v>7.171677775459508</v>
      </c>
      <c r="F34" s="383">
        <f t="shared" si="2"/>
        <v>7.171677775459508</v>
      </c>
      <c r="G34" s="110">
        <f t="shared" si="21"/>
        <v>0.24239595333825215</v>
      </c>
      <c r="H34" s="412" t="b">
        <f>Wh_hp&gt;='2027'!Maxi_hp</f>
        <v>0</v>
      </c>
      <c r="I34" s="388">
        <f>IF(H34,Wh_hp,'2027'!Maxi_hp)</f>
        <v>12.26188245483894</v>
      </c>
      <c r="J34" s="85">
        <f>IF(H34,An,'2027'!An_max)</f>
        <v>2020</v>
      </c>
      <c r="K34" s="197">
        <f t="shared" si="3"/>
        <v>46772</v>
      </c>
      <c r="L34" s="147">
        <f>IF(t&lt;Tvie,1-EXP((T0-t)*PertePVj)+'2027'!Pspv,1-EXP((T0-t)*PertePVj)+Pspv)</f>
        <v>6.1124004423182998E-2</v>
      </c>
      <c r="M34" s="832"/>
      <c r="N34" s="832"/>
      <c r="O34" s="48">
        <f>IF(t&lt;Tnet,'2027'!Resal+('2027'!Salim-'2027'!Resal)*(1-EXP(('2027'!Tnet-t)/('2027'!Tau_j))),Resal+(Salim-Resal)*(1-EXP((Tnet-t)/(Tau_j))))*Salcycl</f>
        <v>3.2313382493695024E-2</v>
      </c>
      <c r="P34" s="169">
        <f>(INDEX(Models!$BJ34:$BT34,,T34)*(1-R34)+INDEX(Models!$BJ34:$BT34,,T34+1)*R34-ERP_i)*Q34*Ramure*Pc/MaxiM</f>
        <v>1.4385046846605819E-3</v>
      </c>
      <c r="Q34" s="304">
        <f t="shared" si="4"/>
        <v>0.6</v>
      </c>
      <c r="R34" s="177">
        <f t="shared" si="5"/>
        <v>0.47494816654730998</v>
      </c>
      <c r="S34" s="799">
        <f t="shared" si="6"/>
        <v>-1</v>
      </c>
      <c r="T34" s="176">
        <f t="shared" si="7"/>
        <v>5</v>
      </c>
      <c r="U34" s="250">
        <f t="shared" si="8"/>
        <v>-0.52505183345269002</v>
      </c>
      <c r="V34" s="382">
        <f t="shared" si="9"/>
        <v>26.841895998955597</v>
      </c>
      <c r="W34" s="400">
        <f t="shared" si="10"/>
        <v>6.515739892432352</v>
      </c>
      <c r="X34" s="157">
        <f t="shared" si="11"/>
        <v>46772</v>
      </c>
      <c r="Y34" s="383">
        <f t="shared" si="12"/>
        <v>6.2397131290189813</v>
      </c>
      <c r="Z34" s="383">
        <f t="shared" si="22"/>
        <v>6.6459395686067042</v>
      </c>
      <c r="AA34" s="384">
        <f t="shared" si="13"/>
        <v>7.171677775459508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7.3307561119352965E-2</v>
      </c>
      <c r="AD34" s="230">
        <f>(INDEX(Models!$BJ34:$BT34,,AH34)*(1-AF34)+INDEX(Models!$BJ34:$BT34,,AH34+1)*AF34-ERP_i)*AE34*Ramure*Pc/MaxiM</f>
        <v>1.3769516249049591E-2</v>
      </c>
      <c r="AE34" s="304">
        <f t="shared" si="15"/>
        <v>0.6</v>
      </c>
      <c r="AF34" s="177">
        <f t="shared" si="23"/>
        <v>0.99993573292128834</v>
      </c>
      <c r="AG34" s="799">
        <f t="shared" si="24"/>
        <v>2</v>
      </c>
      <c r="AH34" s="176">
        <f t="shared" si="16"/>
        <v>8</v>
      </c>
      <c r="AI34" s="224">
        <f t="shared" si="17"/>
        <v>2.9999357329212883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'2027'!Wh/'2027'!Env_an*'2028'!Env_an</f>
        <v>20.772821325125811</v>
      </c>
      <c r="C35" s="829"/>
      <c r="D35" s="391">
        <f t="shared" si="0"/>
        <v>22.125626320198752</v>
      </c>
      <c r="E35" s="383">
        <f t="shared" si="1"/>
        <v>22.866328863035672</v>
      </c>
      <c r="F35" s="383">
        <f t="shared" si="2"/>
        <v>22.887861176838616</v>
      </c>
      <c r="G35" s="110">
        <f t="shared" si="21"/>
        <v>0.76542270519512223</v>
      </c>
      <c r="H35" s="412" t="b">
        <f>Wh_hp&gt;='2027'!Maxi_hp</f>
        <v>0</v>
      </c>
      <c r="I35" s="388">
        <f>IF(H35,Wh_hp,'2027'!Maxi_hp)</f>
        <v>22.894528267515888</v>
      </c>
      <c r="J35" s="85">
        <f>IF(H35,An,'2027'!An_max)</f>
        <v>2027</v>
      </c>
      <c r="K35" s="197">
        <f t="shared" si="3"/>
        <v>46773</v>
      </c>
      <c r="L35" s="147">
        <f>IF(t&lt;Tvie,1-EXP((T0-t)*PertePVj)+'2027'!Pspv,1-EXP((T0-t)*PertePVj)+Pspv)</f>
        <v>6.1141997767446221E-2</v>
      </c>
      <c r="M35" s="832"/>
      <c r="N35" s="832"/>
      <c r="O35" s="48">
        <f>IF(t&lt;Tnet,'2027'!Resal+('2027'!Salim-'2027'!Resal)*(1-EXP(('2027'!Tnet-t)/('2027'!Tau_j))),Resal+(Salim-Resal)*(1-EXP((Tnet-t)/(Tau_j))))*Salcycl</f>
        <v>3.2392718012303916E-2</v>
      </c>
      <c r="P35" s="169">
        <f>(INDEX(Models!$BJ35:$BT35,,T35)*(1-R35)+INDEX(Models!$BJ35:$BT35,,T35+1)*R35-ERP_i)*Q35*Ramure*Pc/MaxiM</f>
        <v>1.4138317988150843E-3</v>
      </c>
      <c r="Q35" s="304">
        <f t="shared" si="4"/>
        <v>0.6</v>
      </c>
      <c r="R35" s="177">
        <f t="shared" si="5"/>
        <v>0.47501173578454614</v>
      </c>
      <c r="S35" s="799">
        <f t="shared" si="6"/>
        <v>-1</v>
      </c>
      <c r="T35" s="176">
        <f t="shared" si="7"/>
        <v>5</v>
      </c>
      <c r="U35" s="250">
        <f t="shared" si="8"/>
        <v>-0.52498826421545386</v>
      </c>
      <c r="V35" s="382">
        <f t="shared" si="9"/>
        <v>27.12616857832267</v>
      </c>
      <c r="W35" s="400">
        <f t="shared" si="10"/>
        <v>20.772821325125811</v>
      </c>
      <c r="X35" s="157">
        <f t="shared" si="11"/>
        <v>46773</v>
      </c>
      <c r="Y35" s="383">
        <f t="shared" si="12"/>
        <v>19.732459202553454</v>
      </c>
      <c r="Z35" s="383">
        <f t="shared" si="22"/>
        <v>21.017511866150929</v>
      </c>
      <c r="AA35" s="384">
        <f t="shared" si="13"/>
        <v>22.681035064737969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7.3344236444187041E-2</v>
      </c>
      <c r="AD35" s="230">
        <f>(INDEX(Models!$BJ35:$BT35,,AH35)*(1-AF35)+INDEX(Models!$BJ35:$BT35,,AH35+1)*AF35-ERP_i)*AE35*Ramure*Pc/MaxiM</f>
        <v>1.3580395343912305E-2</v>
      </c>
      <c r="AE35" s="304">
        <f t="shared" si="15"/>
        <v>0.6</v>
      </c>
      <c r="AF35" s="177">
        <f t="shared" si="23"/>
        <v>0.99999930215852473</v>
      </c>
      <c r="AG35" s="799">
        <f t="shared" si="24"/>
        <v>2</v>
      </c>
      <c r="AH35" s="176">
        <f t="shared" si="16"/>
        <v>8</v>
      </c>
      <c r="AI35" s="224">
        <f t="shared" si="17"/>
        <v>2.9999993021585247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'2027'!Wh/'2027'!Env_an*'2028'!Env_an</f>
        <v>27.72691364036373</v>
      </c>
      <c r="C36" s="829"/>
      <c r="D36" s="391">
        <f t="shared" si="0"/>
        <v>29.533161526650165</v>
      </c>
      <c r="E36" s="383">
        <f t="shared" si="1"/>
        <v>30.524348644404277</v>
      </c>
      <c r="F36" s="383">
        <f t="shared" si="2"/>
        <v>30.566788013971937</v>
      </c>
      <c r="G36" s="110">
        <f t="shared" si="21"/>
        <v>1.011462059241816</v>
      </c>
      <c r="H36" s="412" t="b">
        <f>Wh_hp&gt;='2027'!Maxi_hp</f>
        <v>1</v>
      </c>
      <c r="I36" s="388">
        <f>IF(H36,Wh_hp,'2027'!Maxi_hp)</f>
        <v>30.566788013971937</v>
      </c>
      <c r="J36" s="85">
        <f>IF(H36,An,'2027'!An_max)</f>
        <v>2028</v>
      </c>
      <c r="K36" s="197">
        <f t="shared" si="3"/>
        <v>46774</v>
      </c>
      <c r="L36" s="147">
        <f>IF(t&lt;Tvie,1-EXP((T0-t)*PertePVj)+'2027'!Pspv,1-EXP((T0-t)*PertePVj)+Pspv)</f>
        <v>6.1159990766871064E-2</v>
      </c>
      <c r="M36" s="832"/>
      <c r="N36" s="832"/>
      <c r="O36" s="48">
        <f>IF(t&lt;Tnet,'2027'!Resal+('2027'!Salim-'2027'!Resal)*(1-EXP(('2027'!Tnet-t)/('2027'!Tau_j))),Resal+(Salim-Resal)*(1-EXP((Tnet-t)/(Tau_j))))*Salcycl</f>
        <v>3.2472015350794928E-2</v>
      </c>
      <c r="P36" s="169">
        <f>(INDEX(Models!$BJ36:$BT36,,T36)*(1-R36)+INDEX(Models!$BJ36:$BT36,,T36+1)*R36-ERP_i)*Q36*Ramure*Pc/MaxiM</f>
        <v>1.3884144303373163E-3</v>
      </c>
      <c r="Q36" s="304">
        <f t="shared" si="4"/>
        <v>0.6</v>
      </c>
      <c r="R36" s="177">
        <f t="shared" si="5"/>
        <v>0.47507795466332825</v>
      </c>
      <c r="S36" s="799">
        <f t="shared" si="6"/>
        <v>-1</v>
      </c>
      <c r="T36" s="176">
        <f t="shared" si="7"/>
        <v>5</v>
      </c>
      <c r="U36" s="250">
        <f t="shared" si="8"/>
        <v>-0.52492204533667175</v>
      </c>
      <c r="V36" s="382">
        <f t="shared" si="9"/>
        <v>27.412707562306</v>
      </c>
      <c r="W36" s="400">
        <f t="shared" si="10"/>
        <v>27.72691364036373</v>
      </c>
      <c r="X36" s="157">
        <f t="shared" si="11"/>
        <v>46774</v>
      </c>
      <c r="Y36" s="383">
        <f t="shared" si="12"/>
        <v>26.235587515789085</v>
      </c>
      <c r="Z36" s="383">
        <f t="shared" si="22"/>
        <v>27.944684139759932</v>
      </c>
      <c r="AA36" s="384">
        <f t="shared" si="13"/>
        <v>30.15768445456235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7.3380975854982419E-2</v>
      </c>
      <c r="AD36" s="230">
        <f>(INDEX(Models!$BJ36:$BT36,,AH36)*(1-AF36)+INDEX(Models!$BJ36:$BT36,,AH36+1)*AF36-ERP_i)*AE36*Ramure*Pc/MaxiM</f>
        <v>1.3383923728675404E-2</v>
      </c>
      <c r="AE36" s="304">
        <f t="shared" si="15"/>
        <v>0.6</v>
      </c>
      <c r="AF36" s="177">
        <f t="shared" si="23"/>
        <v>6.5521037306837115E-5</v>
      </c>
      <c r="AG36" s="799">
        <f t="shared" si="24"/>
        <v>3</v>
      </c>
      <c r="AH36" s="176">
        <f t="shared" si="16"/>
        <v>9</v>
      </c>
      <c r="AI36" s="224">
        <f t="shared" si="17"/>
        <v>3.0000655210373068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'2027'!Wh/'2027'!Env_an*'2028'!Env_an</f>
        <v>27.848087002663355</v>
      </c>
      <c r="C37" s="829"/>
      <c r="D37" s="391">
        <f t="shared" si="0"/>
        <v>29.66279711265566</v>
      </c>
      <c r="E37" s="383">
        <f t="shared" si="1"/>
        <v>30.660846810266047</v>
      </c>
      <c r="F37" s="383">
        <f t="shared" si="2"/>
        <v>30.702667936607376</v>
      </c>
      <c r="G37" s="110">
        <f t="shared" si="21"/>
        <v>1.0051787273423884</v>
      </c>
      <c r="H37" s="412" t="b">
        <f>Wh_hp&gt;='2027'!Maxi_hp</f>
        <v>1</v>
      </c>
      <c r="I37" s="388">
        <f>IF(H37,Wh_hp,'2027'!Maxi_hp)</f>
        <v>30.702667936607376</v>
      </c>
      <c r="J37" s="85">
        <f>IF(H37,An,'2027'!An_max)</f>
        <v>2028</v>
      </c>
      <c r="K37" s="197">
        <f t="shared" si="3"/>
        <v>46775</v>
      </c>
      <c r="L37" s="147">
        <f>IF(t&lt;Tvie,1-EXP((T0-t)*PertePVj)+'2027'!Pspv,1-EXP((T0-t)*PertePVj)+Pspv)</f>
        <v>6.1177983421464188E-2</v>
      </c>
      <c r="M37" s="832"/>
      <c r="N37" s="832"/>
      <c r="O37" s="48">
        <f>IF(t&lt;Tnet,'2027'!Resal+('2027'!Salim-'2027'!Resal)*(1-EXP(('2027'!Tnet-t)/('2027'!Tau_j))),Resal+(Salim-Resal)*(1-EXP((Tnet-t)/(Tau_j))))*Salcycl</f>
        <v>3.2551276348838962E-2</v>
      </c>
      <c r="P37" s="169">
        <f>(INDEX(Models!$BJ37:$BT37,,T37)*(1-R37)+INDEX(Models!$BJ37:$BT37,,T37+1)*R37-ERP_i)*Q37*Ramure*Pc/MaxiM</f>
        <v>1.3621332982423093E-3</v>
      </c>
      <c r="Q37" s="304">
        <f t="shared" si="4"/>
        <v>0.6</v>
      </c>
      <c r="R37" s="177">
        <f t="shared" si="5"/>
        <v>0.47514693287410559</v>
      </c>
      <c r="S37" s="799">
        <f t="shared" si="6"/>
        <v>-1</v>
      </c>
      <c r="T37" s="176">
        <f t="shared" si="7"/>
        <v>5</v>
      </c>
      <c r="U37" s="250">
        <f t="shared" si="8"/>
        <v>-0.52485306712589441</v>
      </c>
      <c r="V37" s="382">
        <f t="shared" si="9"/>
        <v>27.704612369077342</v>
      </c>
      <c r="W37" s="400">
        <f t="shared" si="10"/>
        <v>27.848087002663355</v>
      </c>
      <c r="X37" s="157">
        <f t="shared" si="11"/>
        <v>46775</v>
      </c>
      <c r="Y37" s="383">
        <f t="shared" si="12"/>
        <v>26.356136393370985</v>
      </c>
      <c r="Z37" s="383">
        <f t="shared" si="22"/>
        <v>28.073624103345896</v>
      </c>
      <c r="AA37" s="384">
        <f t="shared" si="13"/>
        <v>30.298038944062437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7.3417782742419474E-2</v>
      </c>
      <c r="AD37" s="230">
        <f>(INDEX(Models!$BJ37:$BT37,,AH37)*(1-AF37)+INDEX(Models!$BJ37:$BT37,,AH37+1)*AF37-ERP_i)*AE37*Ramure*Pc/MaxiM</f>
        <v>1.3178952180324759E-2</v>
      </c>
      <c r="AE37" s="304">
        <f t="shared" si="15"/>
        <v>0.6</v>
      </c>
      <c r="AF37" s="177">
        <f t="shared" si="23"/>
        <v>1.3449924808384139E-4</v>
      </c>
      <c r="AG37" s="799">
        <f t="shared" si="24"/>
        <v>3</v>
      </c>
      <c r="AH37" s="176">
        <f t="shared" si="16"/>
        <v>9</v>
      </c>
      <c r="AI37" s="224">
        <f t="shared" si="17"/>
        <v>3.0001344992480838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'2027'!Wh/'2027'!Env_an*'2028'!Env_an</f>
        <v>28.386338111562285</v>
      </c>
      <c r="C38" s="829"/>
      <c r="D38" s="391">
        <f t="shared" si="0"/>
        <v>30.236702632024116</v>
      </c>
      <c r="E38" s="383">
        <f t="shared" si="1"/>
        <v>31.256621918123248</v>
      </c>
      <c r="F38" s="383">
        <f t="shared" si="2"/>
        <v>31.29840811546141</v>
      </c>
      <c r="G38" s="110">
        <f t="shared" si="21"/>
        <v>1.0136207234082972</v>
      </c>
      <c r="H38" s="412" t="b">
        <f>Wh_hp&gt;='2027'!Maxi_hp</f>
        <v>1</v>
      </c>
      <c r="I38" s="388">
        <f>IF(H38,Wh_hp,'2027'!Maxi_hp)</f>
        <v>31.29840811546141</v>
      </c>
      <c r="J38" s="85">
        <f>IF(H38,An,'2027'!An_max)</f>
        <v>2028</v>
      </c>
      <c r="K38" s="197">
        <f t="shared" si="3"/>
        <v>46776</v>
      </c>
      <c r="L38" s="147">
        <f>IF(t&lt;Tvie,1-EXP((T0-t)*PertePVj)+'2027'!Pspv,1-EXP((T0-t)*PertePVj)+Pspv)</f>
        <v>6.1195975731232144E-2</v>
      </c>
      <c r="M38" s="832"/>
      <c r="N38" s="832"/>
      <c r="O38" s="48">
        <f>IF(t&lt;Tnet,'2027'!Resal+('2027'!Salim-'2027'!Resal)*(1-EXP(('2027'!Tnet-t)/('2027'!Tau_j))),Resal+(Salim-Resal)*(1-EXP((Tnet-t)/(Tau_j))))*Salcycl</f>
        <v>3.26305027066204E-2</v>
      </c>
      <c r="P38" s="169">
        <f>(INDEX(Models!$BJ38:$BT38,,T38)*(1-R38)+INDEX(Models!$BJ38:$BT38,,T38+1)*R38-ERP_i)*Q38*Ramure*Pc/MaxiM</f>
        <v>1.3350901804337935E-3</v>
      </c>
      <c r="Q38" s="304">
        <f t="shared" si="4"/>
        <v>0.6</v>
      </c>
      <c r="R38" s="177">
        <f t="shared" si="5"/>
        <v>0.47521878458433509</v>
      </c>
      <c r="S38" s="799">
        <f t="shared" si="6"/>
        <v>-1</v>
      </c>
      <c r="T38" s="176">
        <f t="shared" si="7"/>
        <v>5</v>
      </c>
      <c r="U38" s="250">
        <f t="shared" si="8"/>
        <v>-0.52478121541566491</v>
      </c>
      <c r="V38" s="382">
        <f t="shared" si="9"/>
        <v>28.004891233984736</v>
      </c>
      <c r="W38" s="400">
        <f t="shared" si="10"/>
        <v>28.386338111562285</v>
      </c>
      <c r="X38" s="157">
        <f t="shared" si="11"/>
        <v>46776</v>
      </c>
      <c r="Y38" s="383">
        <f t="shared" si="12"/>
        <v>26.871939823989699</v>
      </c>
      <c r="Z38" s="383">
        <f t="shared" si="22"/>
        <v>28.623588234956902</v>
      </c>
      <c r="AA38" s="384">
        <f t="shared" si="13"/>
        <v>30.892809023139094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7.3454660159991234E-2</v>
      </c>
      <c r="AD38" s="230">
        <f>(INDEX(Models!$BJ38:$BT38,,AH38)*(1-AF38)+INDEX(Models!$BJ38:$BT38,,AH38+1)*AF38-ERP_i)*AE38*Ramure*Pc/MaxiM</f>
        <v>1.2959096540183127E-2</v>
      </c>
      <c r="AE38" s="304">
        <f t="shared" si="15"/>
        <v>0.6</v>
      </c>
      <c r="AF38" s="177">
        <f t="shared" si="23"/>
        <v>2.0635095831345041E-4</v>
      </c>
      <c r="AG38" s="799">
        <f t="shared" si="24"/>
        <v>3</v>
      </c>
      <c r="AH38" s="176">
        <f t="shared" si="16"/>
        <v>9</v>
      </c>
      <c r="AI38" s="224">
        <f t="shared" si="17"/>
        <v>3.0002063509583135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'2027'!Wh/'2027'!Env_an*'2028'!Env_an</f>
        <v>27.44666935800953</v>
      </c>
      <c r="C39" s="829"/>
      <c r="D39" s="391">
        <f t="shared" si="0"/>
        <v>29.236341843150679</v>
      </c>
      <c r="E39" s="383">
        <f t="shared" si="1"/>
        <v>30.224992145944004</v>
      </c>
      <c r="F39" s="383">
        <f t="shared" si="2"/>
        <v>30.262805571209977</v>
      </c>
      <c r="G39" s="110">
        <f t="shared" si="21"/>
        <v>0.96935766426289371</v>
      </c>
      <c r="H39" s="412" t="b">
        <f>Wh_hp&gt;='2027'!Maxi_hp</f>
        <v>0</v>
      </c>
      <c r="I39" s="388">
        <f>IF(H39,Wh_hp,'2027'!Maxi_hp)</f>
        <v>30.263882617905519</v>
      </c>
      <c r="J39" s="85">
        <f>IF(H39,An,'2027'!An_max)</f>
        <v>2027</v>
      </c>
      <c r="K39" s="197">
        <f t="shared" si="3"/>
        <v>46777</v>
      </c>
      <c r="L39" s="147">
        <f>IF(t&lt;Tvie,1-EXP((T0-t)*PertePVj)+'2027'!Pspv,1-EXP((T0-t)*PertePVj)+Pspv)</f>
        <v>6.1213967696181704E-2</v>
      </c>
      <c r="M39" s="832"/>
      <c r="N39" s="832"/>
      <c r="O39" s="48">
        <f>IF(t&lt;Tnet,'2027'!Resal+('2027'!Salim-'2027'!Resal)*(1-EXP(('2027'!Tnet-t)/('2027'!Tau_j))),Resal+(Salim-Resal)*(1-EXP((Tnet-t)/(Tau_j))))*Salcycl</f>
        <v>3.2709695937042399E-2</v>
      </c>
      <c r="P39" s="169">
        <f>(INDEX(Models!$BJ39:$BT39,,T39)*(1-R39)+INDEX(Models!$BJ39:$BT39,,T39+1)*R39-ERP_i)*Q39*Ramure*Pc/MaxiM</f>
        <v>1.3065940542756817E-3</v>
      </c>
      <c r="Q39" s="304">
        <f t="shared" si="4"/>
        <v>0.6</v>
      </c>
      <c r="R39" s="177">
        <f t="shared" si="5"/>
        <v>0.47529362861574331</v>
      </c>
      <c r="S39" s="799">
        <f t="shared" si="6"/>
        <v>-1</v>
      </c>
      <c r="T39" s="176">
        <f t="shared" si="7"/>
        <v>5</v>
      </c>
      <c r="U39" s="250">
        <f t="shared" si="8"/>
        <v>-0.52470637138425669</v>
      </c>
      <c r="V39" s="382">
        <f t="shared" si="9"/>
        <v>28.312666637772008</v>
      </c>
      <c r="W39" s="400">
        <f t="shared" si="10"/>
        <v>27.44666935800953</v>
      </c>
      <c r="X39" s="157">
        <f t="shared" si="11"/>
        <v>46777</v>
      </c>
      <c r="Y39" s="383">
        <f t="shared" si="12"/>
        <v>26.001976271505153</v>
      </c>
      <c r="Z39" s="383">
        <f t="shared" si="22"/>
        <v>27.697446890741727</v>
      </c>
      <c r="AA39" s="384">
        <f t="shared" si="13"/>
        <v>29.894437234685977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7.3491610719974496E-2</v>
      </c>
      <c r="AD39" s="230">
        <f>(INDEX(Models!$BJ39:$BT39,,AH39)*(1-AF39)+INDEX(Models!$BJ39:$BT39,,AH39+1)*AF39-ERP_i)*AE39*Ramure*Pc/MaxiM</f>
        <v>1.2728491928467697E-2</v>
      </c>
      <c r="AE39" s="304">
        <f t="shared" si="15"/>
        <v>0.6</v>
      </c>
      <c r="AF39" s="177">
        <f t="shared" si="23"/>
        <v>2.8119498972190016E-4</v>
      </c>
      <c r="AG39" s="799">
        <f t="shared" si="24"/>
        <v>3</v>
      </c>
      <c r="AH39" s="176">
        <f t="shared" si="16"/>
        <v>9</v>
      </c>
      <c r="AI39" s="224">
        <f t="shared" si="17"/>
        <v>3.0002811949897219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'2027'!Wh/'2027'!Env_an*'2028'!Env_an</f>
        <v>28.112777097968923</v>
      </c>
      <c r="C40" s="829"/>
      <c r="D40" s="391">
        <f t="shared" si="0"/>
        <v>29.946457356489372</v>
      </c>
      <c r="E40" s="383">
        <f t="shared" si="1"/>
        <v>30.961654632717895</v>
      </c>
      <c r="F40" s="383">
        <f t="shared" si="2"/>
        <v>31.000218615429834</v>
      </c>
      <c r="G40" s="110">
        <f t="shared" si="21"/>
        <v>0.98200357323253684</v>
      </c>
      <c r="H40" s="412" t="b">
        <f>Wh_hp&gt;='2027'!Maxi_hp</f>
        <v>0</v>
      </c>
      <c r="I40" s="388">
        <f>IF(H40,Wh_hp,'2027'!Maxi_hp)</f>
        <v>31.000854013017822</v>
      </c>
      <c r="J40" s="85">
        <f>IF(H40,An,'2027'!An_max)</f>
        <v>2027</v>
      </c>
      <c r="K40" s="197">
        <f t="shared" si="3"/>
        <v>46778</v>
      </c>
      <c r="L40" s="147">
        <f>IF(t&lt;Tvie,1-EXP((T0-t)*PertePVj)+'2027'!Pspv,1-EXP((T0-t)*PertePVj)+Pspv)</f>
        <v>6.1231959316319307E-2</v>
      </c>
      <c r="M40" s="832"/>
      <c r="N40" s="832"/>
      <c r="O40" s="48">
        <f>IF(t&lt;Tnet,'2027'!Resal+('2027'!Salim-'2027'!Resal)*(1-EXP(('2027'!Tnet-t)/('2027'!Tau_j))),Resal+(Salim-Resal)*(1-EXP((Tnet-t)/(Tau_j))))*Salcycl</f>
        <v>3.2788857322752399E-2</v>
      </c>
      <c r="P40" s="169">
        <f>(INDEX(Models!$BJ40:$BT40,,T40)*(1-R40)+INDEX(Models!$BJ40:$BT40,,T40+1)*R40-ERP_i)*Q40*Ramure*Pc/MaxiM</f>
        <v>1.2767562656962291E-3</v>
      </c>
      <c r="Q40" s="304">
        <f t="shared" si="4"/>
        <v>0.6</v>
      </c>
      <c r="R40" s="177">
        <f t="shared" si="5"/>
        <v>0.475371588628136</v>
      </c>
      <c r="S40" s="799">
        <f t="shared" si="6"/>
        <v>-1</v>
      </c>
      <c r="T40" s="176">
        <f t="shared" si="7"/>
        <v>5</v>
      </c>
      <c r="U40" s="250">
        <f t="shared" si="8"/>
        <v>-0.524628411371864</v>
      </c>
      <c r="V40" s="382">
        <f t="shared" si="9"/>
        <v>28.627039233903801</v>
      </c>
      <c r="W40" s="400">
        <f t="shared" si="10"/>
        <v>28.112777097968923</v>
      </c>
      <c r="X40" s="157">
        <f t="shared" si="11"/>
        <v>46778</v>
      </c>
      <c r="Y40" s="383">
        <f t="shared" si="12"/>
        <v>26.63411802377567</v>
      </c>
      <c r="Z40" s="383">
        <f t="shared" si="22"/>
        <v>28.371351462261888</v>
      </c>
      <c r="AA40" s="384">
        <f t="shared" si="13"/>
        <v>30.623020397655534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7.3528636501382902E-2</v>
      </c>
      <c r="AD40" s="230">
        <f>(INDEX(Models!$BJ40:$BT40,,AH40)*(1-AF40)+INDEX(Models!$BJ40:$BT40,,AH40+1)*AF40-ERP_i)*AE40*Ramure*Pc/MaxiM</f>
        <v>1.2488082248924743E-2</v>
      </c>
      <c r="AE40" s="304">
        <f t="shared" si="15"/>
        <v>0.6</v>
      </c>
      <c r="AF40" s="177">
        <f t="shared" si="23"/>
        <v>3.5915500211425311E-4</v>
      </c>
      <c r="AG40" s="799">
        <f t="shared" si="24"/>
        <v>3</v>
      </c>
      <c r="AH40" s="176">
        <f t="shared" si="16"/>
        <v>9</v>
      </c>
      <c r="AI40" s="224">
        <f t="shared" si="17"/>
        <v>3.0003591550021143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'2027'!Wh/'2027'!Env_an*'2028'!Env_an</f>
        <v>26.861842802781918</v>
      </c>
      <c r="C41" s="829"/>
      <c r="D41" s="391">
        <f t="shared" si="0"/>
        <v>28.614478177350531</v>
      </c>
      <c r="E41" s="383">
        <f t="shared" si="1"/>
        <v>29.586941408938046</v>
      </c>
      <c r="F41" s="383">
        <f t="shared" si="2"/>
        <v>29.620041443828043</v>
      </c>
      <c r="G41" s="110">
        <f t="shared" si="21"/>
        <v>0.92784376015645764</v>
      </c>
      <c r="H41" s="412" t="b">
        <f>Wh_hp&gt;='2027'!Maxi_hp</f>
        <v>0</v>
      </c>
      <c r="I41" s="388">
        <f>IF(H41,Wh_hp,'2027'!Maxi_hp)</f>
        <v>29.622424636548878</v>
      </c>
      <c r="J41" s="85">
        <f>IF(H41,An,'2027'!An_max)</f>
        <v>2027</v>
      </c>
      <c r="K41" s="197">
        <f t="shared" si="3"/>
        <v>46779</v>
      </c>
      <c r="L41" s="147">
        <f>IF(t&lt;Tvie,1-EXP((T0-t)*PertePVj)+'2027'!Pspv,1-EXP((T0-t)*PertePVj)+Pspv)</f>
        <v>6.1249950591651614E-2</v>
      </c>
      <c r="M41" s="832"/>
      <c r="N41" s="832"/>
      <c r="O41" s="48">
        <f>IF(t&lt;Tnet,'2027'!Resal+('2027'!Salim-'2027'!Resal)*(1-EXP(('2027'!Tnet-t)/('2027'!Tau_j))),Resal+(Salim-Resal)*(1-EXP((Tnet-t)/(Tau_j))))*Salcycl</f>
        <v>3.2867987878386726E-2</v>
      </c>
      <c r="P41" s="169">
        <f>(INDEX(Models!$BJ41:$BT41,,T41)*(1-R41)+INDEX(Models!$BJ41:$BT41,,T41+1)*R41-ERP_i)*Q41*Ramure*Pc/MaxiM</f>
        <v>1.2456811040366369E-3</v>
      </c>
      <c r="Q41" s="304">
        <f t="shared" si="4"/>
        <v>0.6</v>
      </c>
      <c r="R41" s="177">
        <f t="shared" si="5"/>
        <v>0.47545279330995771</v>
      </c>
      <c r="S41" s="799">
        <f t="shared" si="6"/>
        <v>-1</v>
      </c>
      <c r="T41" s="176">
        <f t="shared" si="7"/>
        <v>5</v>
      </c>
      <c r="U41" s="250">
        <f t="shared" si="8"/>
        <v>-0.52454720669004229</v>
      </c>
      <c r="V41" s="382">
        <f t="shared" si="9"/>
        <v>28.947110058092527</v>
      </c>
      <c r="W41" s="400">
        <f t="shared" si="10"/>
        <v>26.861842802781918</v>
      </c>
      <c r="X41" s="157">
        <f t="shared" si="11"/>
        <v>46779</v>
      </c>
      <c r="Y41" s="383">
        <f t="shared" si="12"/>
        <v>25.47743145121801</v>
      </c>
      <c r="Z41" s="383">
        <f t="shared" si="22"/>
        <v>27.139739132131371</v>
      </c>
      <c r="AA41" s="384">
        <f t="shared" si="13"/>
        <v>29.294835342095464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7.3565738970627001E-2</v>
      </c>
      <c r="AD41" s="230">
        <f>(INDEX(Models!$BJ41:$BT41,,AH41)*(1-AF41)+INDEX(Models!$BJ41:$BT41,,AH41+1)*AF41-ERP_i)*AE41*Ramure*Pc/MaxiM</f>
        <v>1.2238751324341617E-2</v>
      </c>
      <c r="AE41" s="304">
        <f t="shared" si="15"/>
        <v>0.6</v>
      </c>
      <c r="AF41" s="177">
        <f t="shared" si="23"/>
        <v>4.4035968393618674E-4</v>
      </c>
      <c r="AG41" s="799">
        <f t="shared" si="24"/>
        <v>3</v>
      </c>
      <c r="AH41" s="176">
        <f t="shared" si="16"/>
        <v>9</v>
      </c>
      <c r="AI41" s="224">
        <f t="shared" si="17"/>
        <v>3.0004403596839362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'2027'!Wh/'2027'!Env_an*'2028'!Env_an</f>
        <v>4.2448211460893255</v>
      </c>
      <c r="C42" s="829"/>
      <c r="D42" s="391">
        <f t="shared" si="0"/>
        <v>4.5218666048035514</v>
      </c>
      <c r="E42" s="383">
        <f t="shared" si="1"/>
        <v>4.6759247091665213</v>
      </c>
      <c r="F42" s="383">
        <f t="shared" si="2"/>
        <v>4.6759247091665213</v>
      </c>
      <c r="G42" s="110">
        <f t="shared" si="21"/>
        <v>0.14483714884810162</v>
      </c>
      <c r="H42" s="412" t="b">
        <f>Wh_hp&gt;='2027'!Maxi_hp</f>
        <v>0</v>
      </c>
      <c r="I42" s="388">
        <f>IF(H42,Wh_hp,'2027'!Maxi_hp)</f>
        <v>18.471919028830147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6.1267941522185176E-2</v>
      </c>
      <c r="M42" s="832"/>
      <c r="N42" s="832"/>
      <c r="O42" s="48">
        <f>IF(t&lt;Tnet,'2027'!Resal+('2027'!Salim-'2027'!Resal)*(1-EXP(('2027'!Tnet-t)/('2027'!Tau_j))),Resal+(Salim-Resal)*(1-EXP((Tnet-t)/(Tau_j))))*Salcycl</f>
        <v>3.2947088318372592E-2</v>
      </c>
      <c r="P42" s="169">
        <f>(INDEX(Models!$BJ42:$BT42,,T42)*(1-R42)+INDEX(Models!$BJ42:$BT42,,T42+1)*R42-ERP_i)*Q42*Ramure*Pc/MaxiM</f>
        <v>1.2134655305770779E-3</v>
      </c>
      <c r="Q42" s="304">
        <f t="shared" si="4"/>
        <v>0.6</v>
      </c>
      <c r="R42" s="177">
        <f t="shared" si="5"/>
        <v>0.47553737657580364</v>
      </c>
      <c r="S42" s="799">
        <f t="shared" si="6"/>
        <v>-1</v>
      </c>
      <c r="T42" s="176">
        <f t="shared" si="7"/>
        <v>5</v>
      </c>
      <c r="U42" s="250">
        <f t="shared" si="8"/>
        <v>-0.52446262342419636</v>
      </c>
      <c r="V42" s="382">
        <f t="shared" si="9"/>
        <v>29.271980535818525</v>
      </c>
      <c r="W42" s="400">
        <f t="shared" si="10"/>
        <v>4.2448211460893255</v>
      </c>
      <c r="X42" s="157">
        <f t="shared" si="11"/>
        <v>46780</v>
      </c>
      <c r="Y42" s="383">
        <f t="shared" si="12"/>
        <v>4.0663647996519341</v>
      </c>
      <c r="Z42" s="383">
        <f t="shared" si="22"/>
        <v>4.3317630019429396</v>
      </c>
      <c r="AA42" s="384">
        <f t="shared" si="13"/>
        <v>4.6759247091665213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7.3602918915460419E-2</v>
      </c>
      <c r="AD42" s="230">
        <f>(INDEX(Models!$BJ42:$BT42,,AH42)*(1-AF42)+INDEX(Models!$BJ42:$BT42,,AH42+1)*AF42-ERP_i)*AE42*Ramure*Pc/MaxiM</f>
        <v>1.1981321093957168E-2</v>
      </c>
      <c r="AE42" s="304">
        <f t="shared" si="15"/>
        <v>0.6</v>
      </c>
      <c r="AF42" s="177">
        <f t="shared" si="23"/>
        <v>5.2494294978222555E-4</v>
      </c>
      <c r="AG42" s="799">
        <f t="shared" si="24"/>
        <v>3</v>
      </c>
      <c r="AH42" s="176">
        <f t="shared" si="16"/>
        <v>9</v>
      </c>
      <c r="AI42" s="224">
        <f t="shared" si="17"/>
        <v>3.0005249429497822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'2027'!Wh/'2027'!Env_an*'2028'!Env_an</f>
        <v>8.9587735727744349</v>
      </c>
      <c r="C43" s="829"/>
      <c r="D43" s="391">
        <f t="shared" si="0"/>
        <v>9.5436660418776746</v>
      </c>
      <c r="E43" s="383">
        <f t="shared" si="1"/>
        <v>9.8696217390014152</v>
      </c>
      <c r="F43" s="383">
        <f t="shared" si="2"/>
        <v>9.8696658951411962</v>
      </c>
      <c r="G43" s="110">
        <f t="shared" si="21"/>
        <v>0.30229773644709074</v>
      </c>
      <c r="H43" s="412" t="b">
        <f>Wh_hp&gt;='2027'!Maxi_hp</f>
        <v>0</v>
      </c>
      <c r="I43" s="388">
        <f>IF(H43,Wh_hp,'2027'!Maxi_hp)</f>
        <v>19.775703807846384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6.1285932107926655E-2</v>
      </c>
      <c r="M43" s="832"/>
      <c r="N43" s="832"/>
      <c r="O43" s="48">
        <f>IF(t&lt;Tnet,'2027'!Resal+('2027'!Salim-'2027'!Resal)*(1-EXP(('2027'!Tnet-t)/('2027'!Tau_j))),Resal+(Salim-Resal)*(1-EXP((Tnet-t)/(Tau_j))))*Salcycl</f>
        <v>3.3026159030560824E-2</v>
      </c>
      <c r="P43" s="169">
        <f>(INDEX(Models!$BJ43:$BT43,,T43)*(1-R43)+INDEX(Models!$BJ43:$BT43,,T43+1)*R43-ERP_i)*Q43*Ramure*Pc/MaxiM</f>
        <v>1.1801990177474676E-3</v>
      </c>
      <c r="Q43" s="304">
        <f t="shared" si="4"/>
        <v>0.6</v>
      </c>
      <c r="R43" s="177">
        <f t="shared" si="5"/>
        <v>0.47562547777108888</v>
      </c>
      <c r="S43" s="799">
        <f t="shared" si="6"/>
        <v>-1</v>
      </c>
      <c r="T43" s="176">
        <f t="shared" si="7"/>
        <v>5</v>
      </c>
      <c r="U43" s="250">
        <f t="shared" si="8"/>
        <v>-0.52437452222891112</v>
      </c>
      <c r="V43" s="382">
        <f t="shared" si="9"/>
        <v>29.600752476430809</v>
      </c>
      <c r="W43" s="400">
        <f t="shared" si="10"/>
        <v>8.9587735727744349</v>
      </c>
      <c r="X43" s="157">
        <f t="shared" si="11"/>
        <v>46781</v>
      </c>
      <c r="Y43" s="383">
        <f t="shared" si="12"/>
        <v>8.5821519441857159</v>
      </c>
      <c r="Z43" s="383">
        <f t="shared" si="22"/>
        <v>9.1424558741911071</v>
      </c>
      <c r="AA43" s="384">
        <f t="shared" si="13"/>
        <v>9.8692275303879757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7.3640176392640019E-2</v>
      </c>
      <c r="AD43" s="230">
        <f>(INDEX(Models!$BJ43:$BT43,,AH43)*(1-AF43)+INDEX(Models!$BJ43:$BT43,,AH43+1)*AF43-ERP_i)*AE43*Ramure*Pc/MaxiM</f>
        <v>1.1716550716121923E-2</v>
      </c>
      <c r="AE43" s="304">
        <f t="shared" si="15"/>
        <v>0.6</v>
      </c>
      <c r="AF43" s="177">
        <f t="shared" si="23"/>
        <v>6.130441450675761E-4</v>
      </c>
      <c r="AG43" s="799">
        <f t="shared" si="24"/>
        <v>3</v>
      </c>
      <c r="AH43" s="176">
        <f t="shared" si="16"/>
        <v>9</v>
      </c>
      <c r="AI43" s="224">
        <f t="shared" si="17"/>
        <v>3.0006130441450676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'2027'!Wh/'2027'!Env_an*'2028'!Env_an</f>
        <v>4.6263057912744801</v>
      </c>
      <c r="C44" s="829"/>
      <c r="D44" s="391">
        <f t="shared" si="0"/>
        <v>4.9284383960043856</v>
      </c>
      <c r="E44" s="383">
        <f t="shared" si="1"/>
        <v>5.0971816130248113</v>
      </c>
      <c r="F44" s="383">
        <f t="shared" si="2"/>
        <v>5.0971816130248113</v>
      </c>
      <c r="G44" s="110">
        <f t="shared" si="21"/>
        <v>0.15438068583480521</v>
      </c>
      <c r="H44" s="412" t="b">
        <f>Wh_hp&gt;='2027'!Maxi_hp</f>
        <v>0</v>
      </c>
      <c r="I44" s="388">
        <f>IF(H44,Wh_hp,'2027'!Maxi_hp)</f>
        <v>11.80160840972839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6.1303922348882822E-2</v>
      </c>
      <c r="M44" s="832"/>
      <c r="N44" s="832"/>
      <c r="O44" s="48">
        <f>IF(t&lt;Tnet,'2027'!Resal+('2027'!Salim-'2027'!Resal)*(1-EXP(('2027'!Tnet-t)/('2027'!Tau_j))),Resal+(Salim-Resal)*(1-EXP((Tnet-t)/(Tau_j))))*Salcycl</f>
        <v>3.3105200055896955E-2</v>
      </c>
      <c r="P44" s="169">
        <f>(INDEX(Models!$BJ44:$BT44,,T44)*(1-R44)+INDEX(Models!$BJ44:$BT44,,T44+1)*R44-ERP_i)*Q44*Ramure*Pc/MaxiM</f>
        <v>1.1464922503185663E-3</v>
      </c>
      <c r="Q44" s="304">
        <f t="shared" si="4"/>
        <v>0.6</v>
      </c>
      <c r="R44" s="177">
        <f t="shared" si="5"/>
        <v>0.47571724188408238</v>
      </c>
      <c r="S44" s="799">
        <f t="shared" si="6"/>
        <v>-1</v>
      </c>
      <c r="T44" s="176">
        <f t="shared" si="7"/>
        <v>5</v>
      </c>
      <c r="U44" s="250">
        <f t="shared" si="8"/>
        <v>-0.52428275811591762</v>
      </c>
      <c r="V44" s="382">
        <f t="shared" si="9"/>
        <v>29.932512234606047</v>
      </c>
      <c r="W44" s="400">
        <f t="shared" si="10"/>
        <v>4.6263057912744801</v>
      </c>
      <c r="X44" s="157">
        <f t="shared" si="11"/>
        <v>46782</v>
      </c>
      <c r="Y44" s="383">
        <f t="shared" si="12"/>
        <v>4.4321792785857888</v>
      </c>
      <c r="Z44" s="383">
        <f t="shared" si="22"/>
        <v>4.7216339602444632</v>
      </c>
      <c r="AA44" s="384">
        <f t="shared" si="13"/>
        <v>5.0971816130248113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7.3677510689576522E-2</v>
      </c>
      <c r="AD44" s="230">
        <f>(INDEX(Models!$BJ44:$BT44,,AH44)*(1-AF44)+INDEX(Models!$BJ44:$BT44,,AH44+1)*AF44-ERP_i)*AE44*Ramure*Pc/MaxiM</f>
        <v>1.1447114654270141E-2</v>
      </c>
      <c r="AE44" s="304">
        <f t="shared" si="15"/>
        <v>0.6</v>
      </c>
      <c r="AF44" s="177">
        <f t="shared" si="23"/>
        <v>7.0480825806074066E-4</v>
      </c>
      <c r="AG44" s="799">
        <f t="shared" si="24"/>
        <v>3</v>
      </c>
      <c r="AH44" s="176">
        <f t="shared" si="16"/>
        <v>9</v>
      </c>
      <c r="AI44" s="224">
        <f t="shared" si="17"/>
        <v>3.0007048082580607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'2027'!Wh/'2027'!Env_an*'2028'!Env_an</f>
        <v>7.6709946214097799</v>
      </c>
      <c r="C45" s="829"/>
      <c r="D45" s="391">
        <f t="shared" si="0"/>
        <v>8.1721249504787004</v>
      </c>
      <c r="E45" s="383">
        <f t="shared" si="1"/>
        <v>8.4526184244044149</v>
      </c>
      <c r="F45" s="383">
        <f t="shared" si="2"/>
        <v>8.4526184244044149</v>
      </c>
      <c r="G45" s="110">
        <f t="shared" si="21"/>
        <v>0.25316756895180192</v>
      </c>
      <c r="H45" s="412" t="b">
        <f>Wh_hp&gt;='2027'!Maxi_hp</f>
        <v>0</v>
      </c>
      <c r="I45" s="388">
        <f>IF(H45,Wh_hp,'2027'!Maxi_hp)</f>
        <v>23.12427848668732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6.1321912245060006E-2</v>
      </c>
      <c r="M45" s="832"/>
      <c r="N45" s="832"/>
      <c r="O45" s="48">
        <f>IF(t&lt;Tnet,'2027'!Resal+('2027'!Salim-'2027'!Resal)*(1-EXP(('2027'!Tnet-t)/('2027'!Tau_j))),Resal+(Salim-Resal)*(1-EXP((Tnet-t)/(Tau_j))))*Salcycl</f>
        <v>3.3184211074271684E-2</v>
      </c>
      <c r="P45" s="169">
        <f>(INDEX(Models!$BJ45:$BT45,,T45)*(1-R45)+INDEX(Models!$BJ45:$BT45,,T45+1)*R45-ERP_i)*Q45*Ramure*Pc/MaxiM</f>
        <v>1.1141798808752671E-3</v>
      </c>
      <c r="Q45" s="304">
        <f t="shared" si="4"/>
        <v>0.6</v>
      </c>
      <c r="R45" s="177">
        <f t="shared" si="5"/>
        <v>0.47581281976551248</v>
      </c>
      <c r="S45" s="799">
        <f t="shared" si="6"/>
        <v>-1</v>
      </c>
      <c r="T45" s="176">
        <f t="shared" si="7"/>
        <v>5</v>
      </c>
      <c r="U45" s="250">
        <f t="shared" si="8"/>
        <v>-0.52418718023448752</v>
      </c>
      <c r="V45" s="382">
        <f t="shared" si="9"/>
        <v>30.266308537311431</v>
      </c>
      <c r="W45" s="400">
        <f t="shared" si="10"/>
        <v>7.6709946214097799</v>
      </c>
      <c r="X45" s="157">
        <f t="shared" si="11"/>
        <v>46783</v>
      </c>
      <c r="Y45" s="383">
        <f t="shared" si="12"/>
        <v>7.3494123137617784</v>
      </c>
      <c r="Z45" s="383">
        <f t="shared" si="22"/>
        <v>7.8295343309222787</v>
      </c>
      <c r="AA45" s="384">
        <f t="shared" si="13"/>
        <v>8.4526184244044149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7.3714920300100975E-2</v>
      </c>
      <c r="AD45" s="230">
        <f>(INDEX(Models!$BJ45:$BT45,,AH45)*(1-AF45)+INDEX(Models!$BJ45:$BT45,,AH45+1)*AF45-ERP_i)*AE45*Ramure*Pc/MaxiM</f>
        <v>1.1180013711199711E-2</v>
      </c>
      <c r="AE45" s="304">
        <f t="shared" si="15"/>
        <v>0.6</v>
      </c>
      <c r="AF45" s="177">
        <f t="shared" si="23"/>
        <v>8.003861394909606E-4</v>
      </c>
      <c r="AG45" s="799">
        <f t="shared" si="24"/>
        <v>3</v>
      </c>
      <c r="AH45" s="176">
        <f t="shared" si="16"/>
        <v>9</v>
      </c>
      <c r="AI45" s="224">
        <f t="shared" si="17"/>
        <v>3.000800386139491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'2027'!Wh/'2027'!Env_an*'2028'!Env_an</f>
        <v>12.728884411632199</v>
      </c>
      <c r="C46" s="829"/>
      <c r="D46" s="391">
        <f t="shared" si="0"/>
        <v>13.560696183840683</v>
      </c>
      <c r="E46" s="383">
        <f t="shared" si="1"/>
        <v>14.027288568262472</v>
      </c>
      <c r="F46" s="383">
        <f t="shared" si="2"/>
        <v>14.029806193700454</v>
      </c>
      <c r="G46" s="110">
        <f t="shared" si="21"/>
        <v>0.41558368543655277</v>
      </c>
      <c r="H46" s="412" t="b">
        <f>Wh_hp&gt;='2027'!Maxi_hp</f>
        <v>0</v>
      </c>
      <c r="I46" s="388">
        <f>IF(H46,Wh_hp,'2027'!Maxi_hp)</f>
        <v>14.037893266098704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6.1339901796464869E-2</v>
      </c>
      <c r="M46" s="832"/>
      <c r="N46" s="832"/>
      <c r="O46" s="48">
        <f>IF(t&lt;Tnet,'2027'!Resal+('2027'!Salim-'2027'!Resal)*(1-EXP(('2027'!Tnet-t)/('2027'!Tau_j))),Resal+(Salim-Resal)*(1-EXP((Tnet-t)/(Tau_j))))*Salcycl</f>
        <v>3.3263191396623905E-2</v>
      </c>
      <c r="P46" s="169">
        <f>(INDEX(Models!$BJ46:$BT46,,T46)*(1-R46)+INDEX(Models!$BJ46:$BT46,,T46+1)*R46-ERP_i)*Q46*Ramure*Pc/MaxiM</f>
        <v>1.0832542561878538E-3</v>
      </c>
      <c r="Q46" s="304">
        <f t="shared" si="4"/>
        <v>0.6</v>
      </c>
      <c r="R46" s="177">
        <f t="shared" si="5"/>
        <v>0.47591236835595296</v>
      </c>
      <c r="S46" s="799">
        <f t="shared" si="6"/>
        <v>-1</v>
      </c>
      <c r="T46" s="176">
        <f t="shared" si="7"/>
        <v>5</v>
      </c>
      <c r="U46" s="250">
        <f t="shared" si="8"/>
        <v>-0.52408763164404704</v>
      </c>
      <c r="V46" s="382">
        <f t="shared" si="9"/>
        <v>30.601244349660892</v>
      </c>
      <c r="W46" s="400">
        <f t="shared" si="10"/>
        <v>12.728884411632199</v>
      </c>
      <c r="X46" s="157">
        <f t="shared" si="11"/>
        <v>46784</v>
      </c>
      <c r="Y46" s="383">
        <f t="shared" si="12"/>
        <v>12.175900941947239</v>
      </c>
      <c r="Z46" s="383">
        <f t="shared" si="22"/>
        <v>12.971576149076988</v>
      </c>
      <c r="AA46" s="384">
        <f t="shared" si="13"/>
        <v>14.004437031621384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7.3752402914322238E-2</v>
      </c>
      <c r="AD46" s="230">
        <f>(INDEX(Models!$BJ46:$BT46,,AH46)*(1-AF46)+INDEX(Models!$BJ46:$BT46,,AH46+1)*AF46-ERP_i)*AE46*Ramure*Pc/MaxiM</f>
        <v>1.0915544617349381E-2</v>
      </c>
      <c r="AE46" s="304">
        <f t="shared" si="15"/>
        <v>0.6</v>
      </c>
      <c r="AF46" s="177">
        <f t="shared" si="23"/>
        <v>8.999347299312177E-4</v>
      </c>
      <c r="AG46" s="799">
        <f t="shared" si="24"/>
        <v>3</v>
      </c>
      <c r="AH46" s="176">
        <f t="shared" si="16"/>
        <v>9</v>
      </c>
      <c r="AI46" s="224">
        <f t="shared" si="17"/>
        <v>3.0008999347299312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'2027'!Wh/'2027'!Env_an*'2028'!Env_an</f>
        <v>5.3732130101507929</v>
      </c>
      <c r="C47" s="829"/>
      <c r="D47" s="391">
        <f t="shared" si="0"/>
        <v>5.724453397784397</v>
      </c>
      <c r="E47" s="383">
        <f t="shared" si="1"/>
        <v>5.9219022928826961</v>
      </c>
      <c r="F47" s="383">
        <f t="shared" si="2"/>
        <v>5.9219022928826961</v>
      </c>
      <c r="G47" s="110">
        <f t="shared" si="21"/>
        <v>0.17350264544287641</v>
      </c>
      <c r="H47" s="412" t="b">
        <f>Wh_hp&gt;='2027'!Maxi_hp</f>
        <v>0</v>
      </c>
      <c r="I47" s="388">
        <f>IF(H47,Wh_hp,'2027'!Maxi_hp)</f>
        <v>29.977059055663016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6.1357891003104181E-2</v>
      </c>
      <c r="M47" s="832"/>
      <c r="N47" s="832"/>
      <c r="O47" s="48">
        <f>IF(t&lt;Tnet,'2027'!Resal+('2027'!Salim-'2027'!Resal)*(1-EXP(('2027'!Tnet-t)/('2027'!Tau_j))),Resal+(Salim-Resal)*(1-EXP((Tnet-t)/(Tau_j))))*Salcycl</f>
        <v>3.3342139963302882E-2</v>
      </c>
      <c r="P47" s="169">
        <f>(INDEX(Models!$BJ47:$BT47,,T47)*(1-R47)+INDEX(Models!$BJ47:$BT47,,T47+1)*R47-ERP_i)*Q47*Ramure*Pc/MaxiM</f>
        <v>1.0537038830215021E-3</v>
      </c>
      <c r="Q47" s="304">
        <f t="shared" si="4"/>
        <v>0.6</v>
      </c>
      <c r="R47" s="177">
        <f t="shared" si="5"/>
        <v>0.47601605092119781</v>
      </c>
      <c r="S47" s="799">
        <f t="shared" si="6"/>
        <v>-1</v>
      </c>
      <c r="T47" s="176">
        <f t="shared" si="7"/>
        <v>5</v>
      </c>
      <c r="U47" s="250">
        <f t="shared" si="8"/>
        <v>-0.52398394907880219</v>
      </c>
      <c r="V47" s="382">
        <f t="shared" si="9"/>
        <v>30.936423021312923</v>
      </c>
      <c r="W47" s="400">
        <f t="shared" si="10"/>
        <v>5.3732130101507929</v>
      </c>
      <c r="X47" s="157">
        <f t="shared" si="11"/>
        <v>46785</v>
      </c>
      <c r="Y47" s="383">
        <f t="shared" si="12"/>
        <v>5.1483819326392783</v>
      </c>
      <c r="Z47" s="383">
        <f t="shared" si="22"/>
        <v>5.4849253866750445</v>
      </c>
      <c r="AA47" s="384">
        <f t="shared" si="13"/>
        <v>5.9219022928826961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7.3789955422404865E-2</v>
      </c>
      <c r="AD47" s="230">
        <f>(INDEX(Models!$BJ47:$BT47,,AH47)*(1-AF47)+INDEX(Models!$BJ47:$BT47,,AH47+1)*AF47-ERP_i)*AE47*Ramure*Pc/MaxiM</f>
        <v>1.0653956813048062E-2</v>
      </c>
      <c r="AE47" s="304">
        <f t="shared" si="15"/>
        <v>0.6</v>
      </c>
      <c r="AF47" s="177">
        <f t="shared" si="23"/>
        <v>1.0036172951761735E-3</v>
      </c>
      <c r="AG47" s="799">
        <f t="shared" si="24"/>
        <v>3</v>
      </c>
      <c r="AH47" s="176">
        <f t="shared" si="16"/>
        <v>9</v>
      </c>
      <c r="AI47" s="224">
        <f t="shared" si="17"/>
        <v>3.0010036172951762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'2027'!Wh/'2027'!Env_an*'2028'!Env_an</f>
        <v>10.544702877132611</v>
      </c>
      <c r="C48" s="829"/>
      <c r="D48" s="391">
        <f t="shared" si="0"/>
        <v>11.23421255743547</v>
      </c>
      <c r="E48" s="383">
        <f t="shared" si="1"/>
        <v>11.622653917303646</v>
      </c>
      <c r="F48" s="383">
        <f t="shared" si="2"/>
        <v>11.623287447664509</v>
      </c>
      <c r="G48" s="110">
        <f t="shared" si="21"/>
        <v>0.33687700244741509</v>
      </c>
      <c r="H48" s="412" t="b">
        <f>Wh_hp&gt;='2027'!Maxi_hp</f>
        <v>0</v>
      </c>
      <c r="I48" s="388">
        <f>IF(H48,Wh_hp,'2027'!Maxi_hp)</f>
        <v>27.588451395254136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6.1375879864984384E-2</v>
      </c>
      <c r="M48" s="832"/>
      <c r="N48" s="832"/>
      <c r="O48" s="48">
        <f>IF(t&lt;Tnet,'2027'!Resal+('2027'!Salim-'2027'!Resal)*(1-EXP(('2027'!Tnet-t)/('2027'!Tau_j))),Resal+(Salim-Resal)*(1-EXP((Tnet-t)/(Tau_j))))*Salcycl</f>
        <v>3.3421055348630047E-2</v>
      </c>
      <c r="P48" s="169">
        <f>(INDEX(Models!$BJ48:$BT48,,T48)*(1-R48)+INDEX(Models!$BJ48:$BT48,,T48+1)*R48-ERP_i)*Q48*Ramure*Pc/MaxiM</f>
        <v>1.0255140621873698E-3</v>
      </c>
      <c r="Q48" s="304">
        <f t="shared" si="4"/>
        <v>0.6</v>
      </c>
      <c r="R48" s="177">
        <f t="shared" si="5"/>
        <v>0.47612403729583075</v>
      </c>
      <c r="S48" s="799">
        <f t="shared" si="6"/>
        <v>-1</v>
      </c>
      <c r="T48" s="176">
        <f t="shared" si="7"/>
        <v>5</v>
      </c>
      <c r="U48" s="250">
        <f t="shared" si="8"/>
        <v>-0.52387596270416925</v>
      </c>
      <c r="V48" s="382">
        <f t="shared" si="9"/>
        <v>31.270948278543571</v>
      </c>
      <c r="W48" s="400">
        <f t="shared" si="10"/>
        <v>10.544702877132611</v>
      </c>
      <c r="X48" s="157">
        <f t="shared" si="11"/>
        <v>46786</v>
      </c>
      <c r="Y48" s="383">
        <f t="shared" si="12"/>
        <v>10.098863845066095</v>
      </c>
      <c r="Z48" s="383">
        <f t="shared" si="22"/>
        <v>10.759220467947737</v>
      </c>
      <c r="AA48" s="384">
        <f t="shared" si="13"/>
        <v>11.616865461677293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7.3827573931955159E-2</v>
      </c>
      <c r="AD48" s="230">
        <f>(INDEX(Models!$BJ48:$BT48,,AH48)*(1-AF48)+INDEX(Models!$BJ48:$BT48,,AH48+1)*AF48-ERP_i)*AE48*Ramure*Pc/MaxiM</f>
        <v>1.0395455914824098E-2</v>
      </c>
      <c r="AE48" s="304">
        <f t="shared" si="15"/>
        <v>0.6</v>
      </c>
      <c r="AF48" s="177">
        <f t="shared" si="23"/>
        <v>1.1116036698091136E-3</v>
      </c>
      <c r="AG48" s="799">
        <f t="shared" si="24"/>
        <v>3</v>
      </c>
      <c r="AH48" s="176">
        <f t="shared" si="16"/>
        <v>9</v>
      </c>
      <c r="AI48" s="224">
        <f t="shared" si="17"/>
        <v>3.0011116036698091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'2027'!Wh/'2027'!Env_an*'2028'!Env_an</f>
        <v>10.385298534973479</v>
      </c>
      <c r="C49" s="829"/>
      <c r="D49" s="391">
        <f t="shared" si="0"/>
        <v>11.064596943418858</v>
      </c>
      <c r="E49" s="383">
        <f t="shared" si="1"/>
        <v>11.448107820097762</v>
      </c>
      <c r="F49" s="383">
        <f t="shared" si="2"/>
        <v>11.448575081572899</v>
      </c>
      <c r="G49" s="110">
        <f t="shared" si="21"/>
        <v>0.32829310877114132</v>
      </c>
      <c r="H49" s="412" t="b">
        <f>Wh_hp&gt;='2027'!Maxi_hp</f>
        <v>0</v>
      </c>
      <c r="I49" s="388">
        <f>IF(H49,Wh_hp,'2027'!Maxi_hp)</f>
        <v>19.347515119040757</v>
      </c>
      <c r="J49" s="85">
        <f>IF(H49,An,'2027'!An_max)</f>
        <v>2020</v>
      </c>
      <c r="K49" s="197">
        <f t="shared" si="3"/>
        <v>46787</v>
      </c>
      <c r="L49" s="147">
        <f>IF(t&lt;Tvie,1-EXP((T0-t)*PertePVj)+'2027'!Pspv,1-EXP((T0-t)*PertePVj)+Pspv)</f>
        <v>6.1393868382112249E-2</v>
      </c>
      <c r="M49" s="832"/>
      <c r="N49" s="832"/>
      <c r="O49" s="48">
        <f>IF(t&lt;Tnet,'2027'!Resal+('2027'!Salim-'2027'!Resal)*(1-EXP(('2027'!Tnet-t)/('2027'!Tau_j))),Resal+(Salim-Resal)*(1-EXP((Tnet-t)/(Tau_j))))*Salcycl</f>
        <v>3.3499935771536898E-2</v>
      </c>
      <c r="P49" s="169">
        <f>(INDEX(Models!$BJ49:$BT49,,T49)*(1-R49)+INDEX(Models!$BJ49:$BT49,,T49+1)*R49-ERP_i)*Q49*Ramure*Pc/MaxiM</f>
        <v>9.9866747568300098E-4</v>
      </c>
      <c r="Q49" s="304">
        <f t="shared" si="4"/>
        <v>0.6</v>
      </c>
      <c r="R49" s="177">
        <f t="shared" si="5"/>
        <v>0.4762365041351968</v>
      </c>
      <c r="S49" s="799">
        <f t="shared" si="6"/>
        <v>-1</v>
      </c>
      <c r="T49" s="176">
        <f t="shared" si="7"/>
        <v>5</v>
      </c>
      <c r="U49" s="250">
        <f t="shared" si="8"/>
        <v>-0.5237634958648032</v>
      </c>
      <c r="V49" s="382">
        <f t="shared" si="9"/>
        <v>31.603924227618414</v>
      </c>
      <c r="W49" s="400">
        <f t="shared" si="10"/>
        <v>10.385298534973479</v>
      </c>
      <c r="X49" s="157">
        <f t="shared" si="11"/>
        <v>46787</v>
      </c>
      <c r="Y49" s="383">
        <f t="shared" si="12"/>
        <v>9.9478444719667465</v>
      </c>
      <c r="Z49" s="383">
        <f t="shared" si="22"/>
        <v>10.598529177323311</v>
      </c>
      <c r="AA49" s="384">
        <f t="shared" si="13"/>
        <v>11.443830631334665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7.3865253798567371E-2</v>
      </c>
      <c r="AD49" s="230">
        <f>(INDEX(Models!$BJ49:$BT49,,AH49)*(1-AF49)+INDEX(Models!$BJ49:$BT49,,AH49+1)*AF49-ERP_i)*AE49*Ramure*Pc/MaxiM</f>
        <v>1.0140207132489313E-2</v>
      </c>
      <c r="AE49" s="304">
        <f t="shared" si="15"/>
        <v>0.6</v>
      </c>
      <c r="AF49" s="177">
        <f t="shared" si="23"/>
        <v>1.224070509175057E-3</v>
      </c>
      <c r="AG49" s="799">
        <f t="shared" si="24"/>
        <v>3</v>
      </c>
      <c r="AH49" s="176">
        <f t="shared" si="16"/>
        <v>9</v>
      </c>
      <c r="AI49" s="224">
        <f t="shared" si="17"/>
        <v>3.0012240705091751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'2027'!Wh/'2027'!Env_an*'2028'!Env_an</f>
        <v>9.1251708697743705</v>
      </c>
      <c r="C50" s="829"/>
      <c r="D50" s="391">
        <f t="shared" si="0"/>
        <v>9.7222311335367682</v>
      </c>
      <c r="E50" s="383">
        <f t="shared" si="1"/>
        <v>10.060034820638974</v>
      </c>
      <c r="F50" s="383">
        <f t="shared" si="2"/>
        <v>10.060034820638974</v>
      </c>
      <c r="G50" s="110">
        <f t="shared" si="21"/>
        <v>0.28546880343761122</v>
      </c>
      <c r="H50" s="412" t="b">
        <f>Wh_hp&gt;='2027'!Maxi_hp</f>
        <v>0</v>
      </c>
      <c r="I50" s="388">
        <f>IF(H50,Wh_hp,'2027'!Maxi_hp)</f>
        <v>35.681802082367859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6.1411856554494215E-2</v>
      </c>
      <c r="M50" s="832"/>
      <c r="N50" s="832"/>
      <c r="O50" s="48">
        <f>IF(t&lt;Tnet,'2027'!Resal+('2027'!Salim-'2027'!Resal)*(1-EXP(('2027'!Tnet-t)/('2027'!Tau_j))),Resal+(Salim-Resal)*(1-EXP((Tnet-t)/(Tau_j))))*Salcycl</f>
        <v>3.3578779112093469E-2</v>
      </c>
      <c r="P50" s="169">
        <f>(INDEX(Models!$BJ50:$BT50,,T50)*(1-R50)+INDEX(Models!$BJ50:$BT50,,T50+1)*R50-ERP_i)*Q50*Ramure*Pc/MaxiM</f>
        <v>9.7314472767621345E-4</v>
      </c>
      <c r="Q50" s="304">
        <f t="shared" si="4"/>
        <v>0.6</v>
      </c>
      <c r="R50" s="177">
        <f t="shared" si="5"/>
        <v>0.47635363517597762</v>
      </c>
      <c r="S50" s="799">
        <f t="shared" si="6"/>
        <v>-1</v>
      </c>
      <c r="T50" s="176">
        <f t="shared" si="7"/>
        <v>5</v>
      </c>
      <c r="U50" s="250">
        <f t="shared" si="8"/>
        <v>-0.52364636482402238</v>
      </c>
      <c r="V50" s="382">
        <f t="shared" si="9"/>
        <v>31.934455352301416</v>
      </c>
      <c r="W50" s="400">
        <f t="shared" si="10"/>
        <v>9.1251708697743705</v>
      </c>
      <c r="X50" s="157">
        <f t="shared" si="11"/>
        <v>46788</v>
      </c>
      <c r="Y50" s="383">
        <f t="shared" si="12"/>
        <v>8.744420423108842</v>
      </c>
      <c r="Z50" s="383">
        <f t="shared" si="22"/>
        <v>9.3165681712199699</v>
      </c>
      <c r="AA50" s="384">
        <f t="shared" si="13"/>
        <v>10.060034820638974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7.3902989668954408E-2</v>
      </c>
      <c r="AD50" s="230">
        <f>(INDEX(Models!$BJ50:$BT50,,AH50)*(1-AF50)+INDEX(Models!$BJ50:$BT50,,AH50+1)*AF50-ERP_i)*AE50*Ramure*Pc/MaxiM</f>
        <v>9.8883385996517484E-3</v>
      </c>
      <c r="AE50" s="304">
        <f t="shared" si="15"/>
        <v>0.6</v>
      </c>
      <c r="AF50" s="177">
        <f t="shared" si="23"/>
        <v>1.3412015499558727E-3</v>
      </c>
      <c r="AG50" s="799">
        <f t="shared" si="24"/>
        <v>3</v>
      </c>
      <c r="AH50" s="176">
        <f t="shared" si="16"/>
        <v>9</v>
      </c>
      <c r="AI50" s="224">
        <f t="shared" si="17"/>
        <v>3.0013412015499559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'2027'!Wh/'2027'!Env_an*'2028'!Env_an</f>
        <v>21.257964582811333</v>
      </c>
      <c r="C51" s="829"/>
      <c r="D51" s="391">
        <f t="shared" si="0"/>
        <v>22.649308051796258</v>
      </c>
      <c r="E51" s="383">
        <f t="shared" si="1"/>
        <v>23.438180557732789</v>
      </c>
      <c r="F51" s="383">
        <f t="shared" si="2"/>
        <v>23.449587715548326</v>
      </c>
      <c r="G51" s="110">
        <f t="shared" si="21"/>
        <v>0.65856877098909861</v>
      </c>
      <c r="H51" s="412" t="b">
        <f>Wh_hp&gt;='2027'!Maxi_hp</f>
        <v>0</v>
      </c>
      <c r="I51" s="388">
        <f>IF(H51,Wh_hp,'2027'!Maxi_hp)</f>
        <v>37.076232391062831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6.1429844382136944E-2</v>
      </c>
      <c r="M51" s="832"/>
      <c r="N51" s="832"/>
      <c r="O51" s="48">
        <f>IF(t&lt;Tnet,'2027'!Resal+('2027'!Salim-'2027'!Resal)*(1-EXP(('2027'!Tnet-t)/('2027'!Tau_j))),Resal+(Salim-Resal)*(1-EXP((Tnet-t)/(Tau_j))))*Salcycl</f>
        <v>3.3657582933683199E-2</v>
      </c>
      <c r="P51" s="169">
        <f>(INDEX(Models!$BJ51:$BT51,,T51)*(1-R51)+INDEX(Models!$BJ51:$BT51,,T51+1)*R51-ERP_i)*Q51*Ramure*Pc/MaxiM</f>
        <v>9.4885268303180823E-4</v>
      </c>
      <c r="Q51" s="304">
        <f t="shared" si="4"/>
        <v>0.6</v>
      </c>
      <c r="R51" s="177">
        <f t="shared" si="5"/>
        <v>0.47647562150557177</v>
      </c>
      <c r="S51" s="799">
        <f t="shared" si="6"/>
        <v>-1</v>
      </c>
      <c r="T51" s="176">
        <f t="shared" si="7"/>
        <v>5</v>
      </c>
      <c r="U51" s="250">
        <f t="shared" si="8"/>
        <v>-0.52352437849442823</v>
      </c>
      <c r="V51" s="382">
        <f t="shared" si="9"/>
        <v>32.264102233415485</v>
      </c>
      <c r="W51" s="400">
        <f t="shared" si="10"/>
        <v>21.257964582811333</v>
      </c>
      <c r="X51" s="157">
        <f t="shared" si="11"/>
        <v>46789</v>
      </c>
      <c r="Y51" s="383">
        <f t="shared" si="12"/>
        <v>20.280992202070998</v>
      </c>
      <c r="Z51" s="383">
        <f t="shared" si="22"/>
        <v>21.608392383540014</v>
      </c>
      <c r="AA51" s="384">
        <f t="shared" si="13"/>
        <v>23.33370459761483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7.3940775535967673E-2</v>
      </c>
      <c r="AD51" s="230">
        <f>(INDEX(Models!$BJ51:$BT51,,AH51)*(1-AF51)+INDEX(Models!$BJ51:$BT51,,AH51+1)*AF51-ERP_i)*AE51*Ramure*Pc/MaxiM</f>
        <v>9.6392115500954084E-3</v>
      </c>
      <c r="AE51" s="304">
        <f t="shared" si="15"/>
        <v>0.6</v>
      </c>
      <c r="AF51" s="177">
        <f t="shared" si="23"/>
        <v>1.4631878795503539E-3</v>
      </c>
      <c r="AG51" s="799">
        <f t="shared" si="24"/>
        <v>3</v>
      </c>
      <c r="AH51" s="176">
        <f t="shared" si="16"/>
        <v>9</v>
      </c>
      <c r="AI51" s="224">
        <f t="shared" si="17"/>
        <v>3.0014631878795504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'2027'!Wh/'2027'!Env_an*'2028'!Env_an</f>
        <v>8.9585550757237318</v>
      </c>
      <c r="C52" s="829"/>
      <c r="D52" s="391">
        <f t="shared" si="0"/>
        <v>9.5450795170243481</v>
      </c>
      <c r="E52" s="383">
        <f t="shared" si="1"/>
        <v>9.8783385495226383</v>
      </c>
      <c r="F52" s="383">
        <f t="shared" si="2"/>
        <v>9.8783385495226383</v>
      </c>
      <c r="G52" s="110">
        <f t="shared" si="21"/>
        <v>0.27459040848421085</v>
      </c>
      <c r="H52" s="412" t="b">
        <f>Wh_hp&gt;='2027'!Maxi_hp</f>
        <v>0</v>
      </c>
      <c r="I52" s="388">
        <f>IF(H52,Wh_hp,'2027'!Maxi_hp)</f>
        <v>24.451684563184926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6.1447831865047098E-2</v>
      </c>
      <c r="M52" s="832"/>
      <c r="N52" s="832"/>
      <c r="O52" s="48">
        <f>IF(t&lt;Tnet,'2027'!Resal+('2027'!Salim-'2027'!Resal)*(1-EXP(('2027'!Tnet-t)/('2027'!Tau_j))),Resal+(Salim-Resal)*(1-EXP((Tnet-t)/(Tau_j))))*Salcycl</f>
        <v>3.3736344510524451E-2</v>
      </c>
      <c r="P52" s="169">
        <f>(INDEX(Models!$BJ52:$BT52,,T52)*(1-R52)+INDEX(Models!$BJ52:$BT52,,T52+1)*R52-ERP_i)*Q52*Ramure*Pc/MaxiM</f>
        <v>9.2507684301477316E-4</v>
      </c>
      <c r="Q52" s="304">
        <f t="shared" si="4"/>
        <v>0.6</v>
      </c>
      <c r="R52" s="177">
        <f t="shared" si="5"/>
        <v>0.47660266184047317</v>
      </c>
      <c r="S52" s="799">
        <f t="shared" si="6"/>
        <v>-1</v>
      </c>
      <c r="T52" s="176">
        <f t="shared" si="7"/>
        <v>5</v>
      </c>
      <c r="U52" s="250">
        <f t="shared" si="8"/>
        <v>-0.52339733815952683</v>
      </c>
      <c r="V52" s="382">
        <f t="shared" si="9"/>
        <v>32.594975816101581</v>
      </c>
      <c r="W52" s="400">
        <f t="shared" si="10"/>
        <v>8.9585550757237318</v>
      </c>
      <c r="X52" s="157">
        <f t="shared" si="11"/>
        <v>46790</v>
      </c>
      <c r="Y52" s="383">
        <f t="shared" si="12"/>
        <v>8.5854555565926223</v>
      </c>
      <c r="Z52" s="383">
        <f t="shared" si="22"/>
        <v>9.14755284584046</v>
      </c>
      <c r="AA52" s="384">
        <f t="shared" si="13"/>
        <v>9.8783385495226383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7.3978604804700934E-2</v>
      </c>
      <c r="AD52" s="230">
        <f>(INDEX(Models!$BJ52:$BT52,,AH52)*(1-AF52)+INDEX(Models!$BJ52:$BT52,,AH52+1)*AF52-ERP_i)*AE52*Ramure*Pc/MaxiM</f>
        <v>9.3925405500268327E-3</v>
      </c>
      <c r="AE52" s="304">
        <f t="shared" si="15"/>
        <v>0.6</v>
      </c>
      <c r="AF52" s="177">
        <f t="shared" si="23"/>
        <v>1.5902282144515389E-3</v>
      </c>
      <c r="AG52" s="799">
        <f t="shared" si="24"/>
        <v>3</v>
      </c>
      <c r="AH52" s="176">
        <f t="shared" si="16"/>
        <v>9</v>
      </c>
      <c r="AI52" s="224">
        <f t="shared" si="17"/>
        <v>3.0015902282144515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'2027'!Wh/'2027'!Env_an*'2028'!Env_an</f>
        <v>33.222163835372996</v>
      </c>
      <c r="C53" s="829"/>
      <c r="D53" s="391">
        <f t="shared" si="0"/>
        <v>35.397926370768353</v>
      </c>
      <c r="E53" s="383">
        <f t="shared" si="1"/>
        <v>36.636802062225165</v>
      </c>
      <c r="F53" s="383">
        <f t="shared" si="2"/>
        <v>36.669864928426435</v>
      </c>
      <c r="G53" s="110">
        <f t="shared" si="21"/>
        <v>1.008964741193527</v>
      </c>
      <c r="H53" s="412" t="b">
        <f>Wh_hp&gt;='2027'!Maxi_hp</f>
        <v>1</v>
      </c>
      <c r="I53" s="388">
        <f>IF(H53,Wh_hp,'2027'!Maxi_hp)</f>
        <v>36.669864928426435</v>
      </c>
      <c r="J53" s="85">
        <f>IF(H53,An,'2027'!An_max)</f>
        <v>2028</v>
      </c>
      <c r="K53" s="197">
        <f t="shared" si="3"/>
        <v>46791</v>
      </c>
      <c r="L53" s="147">
        <f>IF(t&lt;Tvie,1-EXP((T0-t)*PertePVj)+'2027'!Pspv,1-EXP((T0-t)*PertePVj)+Pspv)</f>
        <v>6.1465819003231337E-2</v>
      </c>
      <c r="M53" s="832"/>
      <c r="N53" s="832"/>
      <c r="O53" s="48">
        <f>IF(t&lt;Tnet,'2027'!Resal+('2027'!Salim-'2027'!Resal)*(1-EXP(('2027'!Tnet-t)/('2027'!Tau_j))),Resal+(Salim-Resal)*(1-EXP((Tnet-t)/(Tau_j))))*Salcycl</f>
        <v>3.3815060860188248E-2</v>
      </c>
      <c r="P53" s="169">
        <f>(INDEX(Models!$BJ53:$BT53,,T53)*(1-R53)+INDEX(Models!$BJ53:$BT53,,T53+1)*R53-ERP_i)*Q53*Ramure*Pc/MaxiM</f>
        <v>9.0163588728257263E-4</v>
      </c>
      <c r="Q53" s="304">
        <f t="shared" si="4"/>
        <v>0.6</v>
      </c>
      <c r="R53" s="177">
        <f t="shared" si="5"/>
        <v>0.47673496281383942</v>
      </c>
      <c r="S53" s="799">
        <f t="shared" si="6"/>
        <v>-1</v>
      </c>
      <c r="T53" s="176">
        <f t="shared" si="7"/>
        <v>5</v>
      </c>
      <c r="U53" s="250">
        <f t="shared" si="8"/>
        <v>-0.52326503718616058</v>
      </c>
      <c r="V53" s="382">
        <f t="shared" si="9"/>
        <v>32.926981963783739</v>
      </c>
      <c r="W53" s="400">
        <f t="shared" si="10"/>
        <v>33.222163835372996</v>
      </c>
      <c r="X53" s="157">
        <f t="shared" si="11"/>
        <v>46791</v>
      </c>
      <c r="Y53" s="383">
        <f t="shared" si="12"/>
        <v>31.576887165625088</v>
      </c>
      <c r="Z53" s="383">
        <f t="shared" si="22"/>
        <v>33.644898401131123</v>
      </c>
      <c r="AA53" s="384">
        <f t="shared" si="13"/>
        <v>36.33422984805167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7.4016470368774165E-2</v>
      </c>
      <c r="AD53" s="230">
        <f>(INDEX(Models!$BJ53:$BT53,,AH53)*(1-AF53)+INDEX(Models!$BJ53:$BT53,,AH53+1)*AF53-ERP_i)*AE53*Ramure*Pc/MaxiM</f>
        <v>9.1528856468346947E-3</v>
      </c>
      <c r="AE53" s="304">
        <f t="shared" si="15"/>
        <v>0.6</v>
      </c>
      <c r="AF53" s="177">
        <f t="shared" si="23"/>
        <v>1.7225291878180116E-3</v>
      </c>
      <c r="AG53" s="799">
        <f t="shared" si="24"/>
        <v>3</v>
      </c>
      <c r="AH53" s="176">
        <f t="shared" si="16"/>
        <v>9</v>
      </c>
      <c r="AI53" s="224">
        <f t="shared" si="17"/>
        <v>3.001722529187818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'2027'!Wh/'2027'!Env_an*'2028'!Env_an</f>
        <v>33.504307865293995</v>
      </c>
      <c r="C54" s="829"/>
      <c r="D54" s="391">
        <f t="shared" si="0"/>
        <v>35.699232546259296</v>
      </c>
      <c r="E54" s="383">
        <f t="shared" si="1"/>
        <v>36.951662161559788</v>
      </c>
      <c r="F54" s="383">
        <f t="shared" si="2"/>
        <v>36.984153600859244</v>
      </c>
      <c r="G54" s="110">
        <f t="shared" si="21"/>
        <v>1.0073447597282732</v>
      </c>
      <c r="H54" s="412" t="b">
        <f>Wh_hp&gt;='2027'!Maxi_hp</f>
        <v>0</v>
      </c>
      <c r="I54" s="388">
        <f>IF(H54,Wh_hp,'2027'!Maxi_hp)</f>
        <v>36.984153600859251</v>
      </c>
      <c r="J54" s="85">
        <f>IF(H54,An,'2027'!An_max)</f>
        <v>2027</v>
      </c>
      <c r="K54" s="197">
        <f t="shared" si="3"/>
        <v>46792</v>
      </c>
      <c r="L54" s="147">
        <f>IF(t&lt;Tvie,1-EXP((T0-t)*PertePVj)+'2027'!Pspv,1-EXP((T0-t)*PertePVj)+Pspv)</f>
        <v>6.14838057966961E-2</v>
      </c>
      <c r="M54" s="832"/>
      <c r="N54" s="832"/>
      <c r="O54" s="48">
        <f>IF(t&lt;Tnet,'2027'!Resal+('2027'!Salim-'2027'!Resal)*(1-EXP(('2027'!Tnet-t)/('2027'!Tau_j))),Resal+(Salim-Resal)*(1-EXP((Tnet-t)/(Tau_j))))*Salcycl</f>
        <v>3.3893728780714338E-2</v>
      </c>
      <c r="P54" s="169">
        <f>(INDEX(Models!$BJ54:$BT54,,T54)*(1-R54)+INDEX(Models!$BJ54:$BT54,,T54+1)*R54-ERP_i)*Q54*Ramure*Pc/MaxiM</f>
        <v>8.7852326296576481E-4</v>
      </c>
      <c r="Q54" s="304">
        <f t="shared" si="4"/>
        <v>0.6</v>
      </c>
      <c r="R54" s="177">
        <f t="shared" si="5"/>
        <v>0.47687273927243057</v>
      </c>
      <c r="S54" s="799">
        <f t="shared" si="6"/>
        <v>-1</v>
      </c>
      <c r="T54" s="176">
        <f t="shared" si="7"/>
        <v>5</v>
      </c>
      <c r="U54" s="250">
        <f t="shared" si="8"/>
        <v>-0.52312726072756943</v>
      </c>
      <c r="V54" s="382">
        <f t="shared" si="9"/>
        <v>33.260021002473501</v>
      </c>
      <c r="W54" s="400">
        <f t="shared" si="10"/>
        <v>33.504307865293995</v>
      </c>
      <c r="X54" s="157">
        <f t="shared" si="11"/>
        <v>46792</v>
      </c>
      <c r="Y54" s="383">
        <f t="shared" si="12"/>
        <v>31.853094055094459</v>
      </c>
      <c r="Z54" s="383">
        <f t="shared" si="22"/>
        <v>33.939844886889993</v>
      </c>
      <c r="AA54" s="384">
        <f t="shared" si="13"/>
        <v>36.654252250716596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7.405436469580505E-2</v>
      </c>
      <c r="AD54" s="230">
        <f>(INDEX(Models!$BJ54:$BT54,,AH54)*(1-AF54)+INDEX(Models!$BJ54:$BT54,,AH54+1)*AF54-ERP_i)*AE54*Ramure*Pc/MaxiM</f>
        <v>8.9200730048607842E-3</v>
      </c>
      <c r="AE54" s="304">
        <f t="shared" si="15"/>
        <v>0.6</v>
      </c>
      <c r="AF54" s="177">
        <f t="shared" si="23"/>
        <v>1.860305646409266E-3</v>
      </c>
      <c r="AG54" s="799">
        <f t="shared" si="24"/>
        <v>3</v>
      </c>
      <c r="AH54" s="176">
        <f t="shared" si="16"/>
        <v>9</v>
      </c>
      <c r="AI54" s="224">
        <f t="shared" si="17"/>
        <v>3.0018603056464093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'2027'!Wh/'2027'!Env_an*'2028'!Env_an</f>
        <v>31.242868397299112</v>
      </c>
      <c r="C55" s="829"/>
      <c r="D55" s="391">
        <f t="shared" si="0"/>
        <v>33.29028030010916</v>
      </c>
      <c r="E55" s="383">
        <f t="shared" si="1"/>
        <v>34.461001322351876</v>
      </c>
      <c r="F55" s="383">
        <f t="shared" si="2"/>
        <v>34.487562801786815</v>
      </c>
      <c r="G55" s="110">
        <f t="shared" si="21"/>
        <v>0.92993390252109698</v>
      </c>
      <c r="H55" s="412" t="b">
        <f>Wh_hp&gt;='2027'!Maxi_hp</f>
        <v>0</v>
      </c>
      <c r="I55" s="388">
        <f>IF(H55,Wh_hp,'2027'!Maxi_hp)</f>
        <v>34.489499678455367</v>
      </c>
      <c r="J55" s="85">
        <f>IF(H55,An,'2027'!An_max)</f>
        <v>2027</v>
      </c>
      <c r="K55" s="197">
        <f t="shared" si="3"/>
        <v>46793</v>
      </c>
      <c r="L55" s="147">
        <f>IF(t&lt;Tvie,1-EXP((T0-t)*PertePVj)+'2027'!Pspv,1-EXP((T0-t)*PertePVj)+Pspv)</f>
        <v>6.150179224544805E-2</v>
      </c>
      <c r="M55" s="832"/>
      <c r="N55" s="832"/>
      <c r="O55" s="48">
        <f>IF(t&lt;Tnet,'2027'!Resal+('2027'!Salim-'2027'!Resal)*(1-EXP(('2027'!Tnet-t)/('2027'!Tau_j))),Resal+(Salim-Resal)*(1-EXP((Tnet-t)/(Tau_j))))*Salcycl</f>
        <v>3.397234489188708E-2</v>
      </c>
      <c r="P55" s="169">
        <f>(INDEX(Models!$BJ55:$BT55,,T55)*(1-R55)+INDEX(Models!$BJ55:$BT55,,T55+1)*R55-ERP_i)*Q55*Ramure*Pc/MaxiM</f>
        <v>8.5573228707758447E-4</v>
      </c>
      <c r="Q55" s="304">
        <f t="shared" si="4"/>
        <v>0.6</v>
      </c>
      <c r="R55" s="177">
        <f t="shared" si="5"/>
        <v>0.47701621458309307</v>
      </c>
      <c r="S55" s="799">
        <f t="shared" si="6"/>
        <v>-1</v>
      </c>
      <c r="T55" s="176">
        <f t="shared" si="7"/>
        <v>5</v>
      </c>
      <c r="U55" s="250">
        <f t="shared" si="8"/>
        <v>-0.52298378541690693</v>
      </c>
      <c r="V55" s="382">
        <f t="shared" si="9"/>
        <v>33.593993310763459</v>
      </c>
      <c r="W55" s="400">
        <f t="shared" si="10"/>
        <v>31.242868397299112</v>
      </c>
      <c r="X55" s="157">
        <f t="shared" si="11"/>
        <v>46793</v>
      </c>
      <c r="Y55" s="383">
        <f t="shared" si="12"/>
        <v>29.733912941011134</v>
      </c>
      <c r="Z55" s="383">
        <f t="shared" si="22"/>
        <v>31.682439769546718</v>
      </c>
      <c r="AA55" s="384">
        <f t="shared" si="13"/>
        <v>34.217707750447907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7.409227992100087E-2</v>
      </c>
      <c r="AD55" s="230">
        <f>(INDEX(Models!$BJ55:$BT55,,AH55)*(1-AF55)+INDEX(Models!$BJ55:$BT55,,AH55+1)*AF55-ERP_i)*AE55*Ramure*Pc/MaxiM</f>
        <v>8.6939314064683644E-3</v>
      </c>
      <c r="AE55" s="304">
        <f t="shared" si="15"/>
        <v>0.6</v>
      </c>
      <c r="AF55" s="177">
        <f t="shared" si="23"/>
        <v>2.0037809570716547E-3</v>
      </c>
      <c r="AG55" s="799">
        <f t="shared" si="24"/>
        <v>3</v>
      </c>
      <c r="AH55" s="176">
        <f t="shared" si="16"/>
        <v>9</v>
      </c>
      <c r="AI55" s="224">
        <f t="shared" si="17"/>
        <v>3.0020037809570717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'2027'!Wh/'2027'!Env_an*'2028'!Env_an</f>
        <v>17.306156299123565</v>
      </c>
      <c r="C56" s="829"/>
      <c r="D56" s="391">
        <f t="shared" si="0"/>
        <v>18.440619098703227</v>
      </c>
      <c r="E56" s="383">
        <f t="shared" si="1"/>
        <v>19.090673832753694</v>
      </c>
      <c r="F56" s="383">
        <f t="shared" si="2"/>
        <v>19.095448906941417</v>
      </c>
      <c r="G56" s="110">
        <f t="shared" si="21"/>
        <v>0.50977521450388064</v>
      </c>
      <c r="H56" s="412" t="b">
        <f>Wh_hp&gt;='2027'!Maxi_hp</f>
        <v>0</v>
      </c>
      <c r="I56" s="388">
        <f>IF(H56,Wh_hp,'2027'!Maxi_hp)</f>
        <v>31.561088268066062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6.1519778349493737E-2</v>
      </c>
      <c r="M56" s="832"/>
      <c r="N56" s="832"/>
      <c r="O56" s="48">
        <f>IF(t&lt;Tnet,'2027'!Resal+('2027'!Salim-'2027'!Resal)*(1-EXP(('2027'!Tnet-t)/('2027'!Tau_j))),Resal+(Salim-Resal)*(1-EXP((Tnet-t)/(Tau_j))))*Salcycl</f>
        <v>3.4050905680195212E-2</v>
      </c>
      <c r="P56" s="169">
        <f>(INDEX(Models!$BJ56:$BT56,,T56)*(1-R56)+INDEX(Models!$BJ56:$BT56,,T56+1)*R56-ERP_i)*Q56*Ramure*Pc/MaxiM</f>
        <v>8.3325619329010505E-4</v>
      </c>
      <c r="Q56" s="304">
        <f t="shared" si="4"/>
        <v>0.6</v>
      </c>
      <c r="R56" s="177">
        <f t="shared" si="5"/>
        <v>0.47716562094895432</v>
      </c>
      <c r="S56" s="799">
        <f t="shared" si="6"/>
        <v>-1</v>
      </c>
      <c r="T56" s="176">
        <f t="shared" si="7"/>
        <v>5</v>
      </c>
      <c r="U56" s="250">
        <f t="shared" si="8"/>
        <v>-0.52283437905104568</v>
      </c>
      <c r="V56" s="382">
        <f t="shared" si="9"/>
        <v>33.928799318013041</v>
      </c>
      <c r="W56" s="400">
        <f t="shared" si="10"/>
        <v>17.306156299123565</v>
      </c>
      <c r="X56" s="157">
        <f t="shared" si="11"/>
        <v>46794</v>
      </c>
      <c r="Y56" s="383">
        <f t="shared" si="12"/>
        <v>16.550038968290288</v>
      </c>
      <c r="Z56" s="383">
        <f t="shared" si="22"/>
        <v>17.634936343339994</v>
      </c>
      <c r="AA56" s="384">
        <f t="shared" si="13"/>
        <v>19.046885960336649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7.4130207947740515E-2</v>
      </c>
      <c r="AD56" s="230">
        <f>(INDEX(Models!$BJ56:$BT56,,AH56)*(1-AF56)+INDEX(Models!$BJ56:$BT56,,AH56+1)*AF56-ERP_i)*AE56*Ramure*Pc/MaxiM</f>
        <v>8.4742926354715899E-3</v>
      </c>
      <c r="AE56" s="304">
        <f t="shared" si="15"/>
        <v>0.6</v>
      </c>
      <c r="AF56" s="177">
        <f t="shared" si="23"/>
        <v>2.1531873229330145E-3</v>
      </c>
      <c r="AG56" s="799">
        <f t="shared" si="24"/>
        <v>3</v>
      </c>
      <c r="AH56" s="176">
        <f t="shared" si="16"/>
        <v>9</v>
      </c>
      <c r="AI56" s="224">
        <f t="shared" si="17"/>
        <v>3.002153187322933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'2027'!Wh/'2027'!Env_an*'2028'!Env_an</f>
        <v>26.517943874528395</v>
      </c>
      <c r="C57" s="829"/>
      <c r="D57" s="391">
        <f t="shared" si="0"/>
        <v>28.256804440667832</v>
      </c>
      <c r="E57" s="383">
        <f t="shared" si="1"/>
        <v>29.255269454786664</v>
      </c>
      <c r="F57" s="383">
        <f t="shared" si="2"/>
        <v>29.271343309049112</v>
      </c>
      <c r="G57" s="110">
        <f t="shared" si="21"/>
        <v>0.77371967255574969</v>
      </c>
      <c r="H57" s="412" t="b">
        <f>Wh_hp&gt;='2027'!Maxi_hp</f>
        <v>0</v>
      </c>
      <c r="I57" s="388">
        <f>IF(H57,Wh_hp,'2027'!Maxi_hp)</f>
        <v>29.276403879508166</v>
      </c>
      <c r="J57" s="85">
        <f>IF(H57,An,'2027'!An_max)</f>
        <v>2027</v>
      </c>
      <c r="K57" s="197">
        <f t="shared" si="3"/>
        <v>46795</v>
      </c>
      <c r="L57" s="147">
        <f>IF(t&lt;Tvie,1-EXP((T0-t)*PertePVj)+'2027'!Pspv,1-EXP((T0-t)*PertePVj)+Pspv)</f>
        <v>6.1537764108839932E-2</v>
      </c>
      <c r="M57" s="832"/>
      <c r="N57" s="832"/>
      <c r="O57" s="48">
        <f>IF(t&lt;Tnet,'2027'!Resal+('2027'!Salim-'2027'!Resal)*(1-EXP(('2027'!Tnet-t)/('2027'!Tau_j))),Resal+(Salim-Resal)*(1-EXP((Tnet-t)/(Tau_j))))*Salcycl</f>
        <v>3.4129407546969762E-2</v>
      </c>
      <c r="P57" s="169">
        <f>(INDEX(Models!$BJ57:$BT57,,T57)*(1-R57)+INDEX(Models!$BJ57:$BT57,,T57+1)*R57-ERP_i)*Q57*Ramure*Pc/MaxiM</f>
        <v>8.1108817451545207E-4</v>
      </c>
      <c r="Q57" s="304">
        <f t="shared" si="4"/>
        <v>0.6</v>
      </c>
      <c r="R57" s="177">
        <f t="shared" si="5"/>
        <v>0.47732119973547715</v>
      </c>
      <c r="S57" s="799">
        <f t="shared" si="6"/>
        <v>-1</v>
      </c>
      <c r="T57" s="176">
        <f t="shared" si="7"/>
        <v>5</v>
      </c>
      <c r="U57" s="250">
        <f t="shared" si="8"/>
        <v>-0.52267880026452285</v>
      </c>
      <c r="V57" s="382">
        <f t="shared" si="9"/>
        <v>34.264339501637679</v>
      </c>
      <c r="W57" s="400">
        <f t="shared" si="10"/>
        <v>26.517943874528395</v>
      </c>
      <c r="X57" s="157">
        <f t="shared" si="11"/>
        <v>46795</v>
      </c>
      <c r="Y57" s="383">
        <f t="shared" si="12"/>
        <v>25.290404028389236</v>
      </c>
      <c r="Z57" s="383">
        <f t="shared" si="22"/>
        <v>26.94877115046997</v>
      </c>
      <c r="AA57" s="384">
        <f t="shared" si="13"/>
        <v>29.107629938976828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7.4168140553965853E-2</v>
      </c>
      <c r="AD57" s="230">
        <f>(INDEX(Models!$BJ57:$BT57,,AH57)*(1-AF57)+INDEX(Models!$BJ57:$BT57,,AH57+1)*AF57-ERP_i)*AE57*Ramure*Pc/MaxiM</f>
        <v>8.2609918136381574E-3</v>
      </c>
      <c r="AE57" s="304">
        <f t="shared" si="15"/>
        <v>0.6</v>
      </c>
      <c r="AF57" s="177">
        <f t="shared" si="23"/>
        <v>2.3087661094556289E-3</v>
      </c>
      <c r="AG57" s="799">
        <f t="shared" si="24"/>
        <v>3</v>
      </c>
      <c r="AH57" s="176">
        <f t="shared" si="16"/>
        <v>9</v>
      </c>
      <c r="AI57" s="224">
        <f t="shared" si="17"/>
        <v>3.0023087661094556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'2027'!Wh/'2027'!Env_an*'2028'!Env_an</f>
        <v>32.441804663024868</v>
      </c>
      <c r="C58" s="829"/>
      <c r="D58" s="391">
        <f t="shared" si="0"/>
        <v>34.569772947676043</v>
      </c>
      <c r="E58" s="383">
        <f t="shared" si="1"/>
        <v>35.794216007297706</v>
      </c>
      <c r="F58" s="383">
        <f t="shared" si="2"/>
        <v>35.819954630420206</v>
      </c>
      <c r="G58" s="110">
        <f t="shared" si="21"/>
        <v>0.93754416834096121</v>
      </c>
      <c r="H58" s="412" t="b">
        <f>Wh_hp&gt;='2027'!Maxi_hp</f>
        <v>0</v>
      </c>
      <c r="I58" s="388">
        <f>IF(H58,Wh_hp,'2027'!Maxi_hp)</f>
        <v>35.821621277188584</v>
      </c>
      <c r="J58" s="85">
        <f>IF(H58,An,'2027'!An_max)</f>
        <v>2027</v>
      </c>
      <c r="K58" s="197">
        <f t="shared" si="3"/>
        <v>46796</v>
      </c>
      <c r="L58" s="147">
        <f>IF(t&lt;Tvie,1-EXP((T0-t)*PertePVj)+'2027'!Pspv,1-EXP((T0-t)*PertePVj)+Pspv)</f>
        <v>6.1555749523493186E-2</v>
      </c>
      <c r="M58" s="832"/>
      <c r="N58" s="832"/>
      <c r="O58" s="48">
        <f>IF(t&lt;Tnet,'2027'!Resal+('2027'!Salim-'2027'!Resal)*(1-EXP(('2027'!Tnet-t)/('2027'!Tau_j))),Resal+(Salim-Resal)*(1-EXP((Tnet-t)/(Tau_j))))*Salcycl</f>
        <v>3.4207846859169173E-2</v>
      </c>
      <c r="P58" s="169">
        <f>(INDEX(Models!$BJ58:$BT58,,T58)*(1-R58)+INDEX(Models!$BJ58:$BT58,,T58+1)*R58-ERP_i)*Q58*Ramure*Pc/MaxiM</f>
        <v>7.8886575701260346E-4</v>
      </c>
      <c r="Q58" s="304">
        <f t="shared" si="4"/>
        <v>0.6</v>
      </c>
      <c r="R58" s="177">
        <f t="shared" si="5"/>
        <v>0.47748320180651638</v>
      </c>
      <c r="S58" s="799">
        <f t="shared" si="6"/>
        <v>-1</v>
      </c>
      <c r="T58" s="176">
        <f t="shared" si="7"/>
        <v>5</v>
      </c>
      <c r="U58" s="250">
        <f t="shared" si="8"/>
        <v>-0.52251679819348362</v>
      </c>
      <c r="V58" s="382">
        <f t="shared" si="9"/>
        <v>34.600526700021412</v>
      </c>
      <c r="W58" s="400">
        <f t="shared" si="10"/>
        <v>32.441804663024868</v>
      </c>
      <c r="X58" s="157">
        <f t="shared" si="11"/>
        <v>46796</v>
      </c>
      <c r="Y58" s="383">
        <f t="shared" si="12"/>
        <v>30.892358496731578</v>
      </c>
      <c r="Z58" s="383">
        <f t="shared" si="22"/>
        <v>32.918693338518082</v>
      </c>
      <c r="AA58" s="384">
        <f t="shared" si="13"/>
        <v>35.557257672722123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7.4206069503167132E-2</v>
      </c>
      <c r="AD58" s="230">
        <f>(INDEX(Models!$BJ58:$BT58,,AH58)*(1-AF58)+INDEX(Models!$BJ58:$BT58,,AH58+1)*AF58-ERP_i)*AE58*Ramure*Pc/MaxiM</f>
        <v>8.0514265822658557E-3</v>
      </c>
      <c r="AE58" s="304">
        <f t="shared" si="15"/>
        <v>0.6</v>
      </c>
      <c r="AF58" s="177">
        <f t="shared" si="23"/>
        <v>2.4707681804949644E-3</v>
      </c>
      <c r="AG58" s="799">
        <f t="shared" si="24"/>
        <v>3</v>
      </c>
      <c r="AH58" s="176">
        <f t="shared" si="16"/>
        <v>9</v>
      </c>
      <c r="AI58" s="224">
        <f t="shared" si="17"/>
        <v>3.002470768180495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'2027'!Wh/'2027'!Env_an*'2028'!Env_an</f>
        <v>15.229749317139344</v>
      </c>
      <c r="C59" s="829"/>
      <c r="D59" s="391">
        <f t="shared" si="0"/>
        <v>16.229031388567961</v>
      </c>
      <c r="E59" s="383">
        <f t="shared" si="1"/>
        <v>16.805218818153314</v>
      </c>
      <c r="F59" s="383">
        <f t="shared" si="2"/>
        <v>16.80771910962331</v>
      </c>
      <c r="G59" s="110">
        <f t="shared" si="21"/>
        <v>0.43564772444657118</v>
      </c>
      <c r="H59" s="412" t="b">
        <f>Wh_hp&gt;='2027'!Maxi_hp</f>
        <v>0</v>
      </c>
      <c r="I59" s="388">
        <f>IF(H59,Wh_hp,'2027'!Maxi_hp)</f>
        <v>38.116109222133424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6.157373459346005E-2</v>
      </c>
      <c r="M59" s="832"/>
      <c r="N59" s="832"/>
      <c r="O59" s="48">
        <f>IF(t&lt;Tnet,'2027'!Resal+('2027'!Salim-'2027'!Resal)*(1-EXP(('2027'!Tnet-t)/('2027'!Tau_j))),Resal+(Salim-Resal)*(1-EXP((Tnet-t)/(Tau_j))))*Salcycl</f>
        <v>3.4286220002261669E-2</v>
      </c>
      <c r="P59" s="169">
        <f>(INDEX(Models!$BJ59:$BT59,,T59)*(1-R59)+INDEX(Models!$BJ59:$BT59,,T59+1)*R59-ERP_i)*Q59*Ramure*Pc/MaxiM</f>
        <v>7.6613705584223748E-4</v>
      </c>
      <c r="Q59" s="304">
        <f t="shared" si="4"/>
        <v>0.6</v>
      </c>
      <c r="R59" s="177">
        <f t="shared" si="5"/>
        <v>0.47765188787049806</v>
      </c>
      <c r="S59" s="799">
        <f t="shared" si="6"/>
        <v>-1</v>
      </c>
      <c r="T59" s="176">
        <f t="shared" si="7"/>
        <v>5</v>
      </c>
      <c r="U59" s="250">
        <f t="shared" si="8"/>
        <v>-0.52234811212950194</v>
      </c>
      <c r="V59" s="382">
        <f t="shared" si="9"/>
        <v>34.937277400617127</v>
      </c>
      <c r="W59" s="400">
        <f t="shared" si="10"/>
        <v>15.229749317139344</v>
      </c>
      <c r="X59" s="157">
        <f t="shared" si="11"/>
        <v>46797</v>
      </c>
      <c r="Y59" s="383">
        <f t="shared" si="12"/>
        <v>14.579530496550824</v>
      </c>
      <c r="Z59" s="383">
        <f t="shared" si="22"/>
        <v>15.53614922557049</v>
      </c>
      <c r="AA59" s="384">
        <f t="shared" si="13"/>
        <v>16.782120776614516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7.4243986658721825E-2</v>
      </c>
      <c r="AD59" s="230">
        <f>(INDEX(Models!$BJ59:$BT59,,AH59)*(1-AF59)+INDEX(Models!$BJ59:$BT59,,AH59+1)*AF59-ERP_i)*AE59*Ramure*Pc/MaxiM</f>
        <v>7.8438180992791567E-3</v>
      </c>
      <c r="AE59" s="304">
        <f t="shared" si="15"/>
        <v>0.6</v>
      </c>
      <c r="AF59" s="177">
        <f t="shared" si="23"/>
        <v>2.6394542444765356E-3</v>
      </c>
      <c r="AG59" s="799">
        <f t="shared" si="24"/>
        <v>3</v>
      </c>
      <c r="AH59" s="176">
        <f t="shared" si="16"/>
        <v>9</v>
      </c>
      <c r="AI59" s="224">
        <f t="shared" si="17"/>
        <v>3.0026394542444765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'2027'!Wh/'2027'!Env_an*'2028'!Env_an</f>
        <v>18.367661498264692</v>
      </c>
      <c r="C60" s="829"/>
      <c r="D60" s="391">
        <f t="shared" si="0"/>
        <v>19.573209099274344</v>
      </c>
      <c r="E60" s="383">
        <f t="shared" si="1"/>
        <v>20.269770088495267</v>
      </c>
      <c r="F60" s="383">
        <f t="shared" si="2"/>
        <v>20.274519155679329</v>
      </c>
      <c r="G60" s="110">
        <f t="shared" si="21"/>
        <v>0.52044168169874783</v>
      </c>
      <c r="H60" s="412" t="b">
        <f>Wh_hp&gt;='2027'!Maxi_hp</f>
        <v>0</v>
      </c>
      <c r="I60" s="388">
        <f>IF(H60,Wh_hp,'2027'!Maxi_hp)</f>
        <v>37.957548920378891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6.1591719318747074E-2</v>
      </c>
      <c r="M60" s="832"/>
      <c r="N60" s="832"/>
      <c r="O60" s="48">
        <f>IF(t&lt;Tnet,'2027'!Resal+('2027'!Salim-'2027'!Resal)*(1-EXP(('2027'!Tnet-t)/('2027'!Tau_j))),Resal+(Salim-Resal)*(1-EXP((Tnet-t)/(Tau_j))))*Salcycl</f>
        <v>3.43645234346431E-2</v>
      </c>
      <c r="P60" s="169">
        <f>(INDEX(Models!$BJ60:$BT60,,T60)*(1-R60)+INDEX(Models!$BJ60:$BT60,,T60+1)*R60-ERP_i)*Q60*Ramure*Pc/MaxiM</f>
        <v>7.4291724234937869E-4</v>
      </c>
      <c r="Q60" s="304">
        <f t="shared" si="4"/>
        <v>0.6</v>
      </c>
      <c r="R60" s="177">
        <f t="shared" si="5"/>
        <v>0.47782752883682844</v>
      </c>
      <c r="S60" s="799">
        <f t="shared" si="6"/>
        <v>-1</v>
      </c>
      <c r="T60" s="176">
        <f t="shared" si="7"/>
        <v>5</v>
      </c>
      <c r="U60" s="250">
        <f t="shared" si="8"/>
        <v>-0.52217247116317156</v>
      </c>
      <c r="V60" s="382">
        <f t="shared" si="9"/>
        <v>35.274492244943545</v>
      </c>
      <c r="W60" s="400">
        <f t="shared" si="10"/>
        <v>18.367661498264692</v>
      </c>
      <c r="X60" s="157">
        <f t="shared" si="11"/>
        <v>46798</v>
      </c>
      <c r="Y60" s="383">
        <f t="shared" si="12"/>
        <v>17.570090544258942</v>
      </c>
      <c r="Z60" s="383">
        <f t="shared" si="22"/>
        <v>18.723290177601211</v>
      </c>
      <c r="AA60" s="384">
        <f t="shared" si="13"/>
        <v>20.225692741688388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7.4281884100339646E-2</v>
      </c>
      <c r="AD60" s="230">
        <f>(INDEX(Models!$BJ60:$BT60,,AH60)*(1-AF60)+INDEX(Models!$BJ60:$BT60,,AH60+1)*AF60-ERP_i)*AE60*Ramure*Pc/MaxiM</f>
        <v>7.6381283797555153E-3</v>
      </c>
      <c r="AE60" s="304">
        <f t="shared" si="15"/>
        <v>0.6</v>
      </c>
      <c r="AF60" s="177">
        <f t="shared" si="23"/>
        <v>2.8150952108068061E-3</v>
      </c>
      <c r="AG60" s="799">
        <f t="shared" si="24"/>
        <v>3</v>
      </c>
      <c r="AH60" s="176">
        <f t="shared" si="16"/>
        <v>9</v>
      </c>
      <c r="AI60" s="224">
        <f t="shared" si="17"/>
        <v>3.0028150952108068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'2027'!Wh/'2027'!Env_an*'2028'!Env_an</f>
        <v>9.0340812593049069</v>
      </c>
      <c r="C61" s="829"/>
      <c r="D61" s="391">
        <f t="shared" si="0"/>
        <v>9.6272108683555615</v>
      </c>
      <c r="E61" s="383">
        <f t="shared" si="1"/>
        <v>9.9706267087485774</v>
      </c>
      <c r="F61" s="383">
        <f t="shared" si="2"/>
        <v>9.9706267087485774</v>
      </c>
      <c r="G61" s="110">
        <f t="shared" si="21"/>
        <v>0.25349785270837549</v>
      </c>
      <c r="H61" s="412" t="b">
        <f>Wh_hp&gt;='2027'!Maxi_hp</f>
        <v>0</v>
      </c>
      <c r="I61" s="388">
        <f>IF(H61,Wh_hp,'2027'!Maxi_hp)</f>
        <v>33.411514000889703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6.1609703699361029E-2</v>
      </c>
      <c r="M61" s="832"/>
      <c r="N61" s="832"/>
      <c r="O61" s="48">
        <f>IF(t&lt;Tnet,'2027'!Resal+('2027'!Salim-'2027'!Resal)*(1-EXP(('2027'!Tnet-t)/('2027'!Tau_j))),Resal+(Salim-Resal)*(1-EXP((Tnet-t)/(Tau_j))))*Salcycl</f>
        <v>3.4442753743021033E-2</v>
      </c>
      <c r="P61" s="169">
        <f>(INDEX(Models!$BJ61:$BT61,,T61)*(1-R61)+INDEX(Models!$BJ61:$BT61,,T61+1)*R61-ERP_i)*Q61*Ramure*Pc/MaxiM</f>
        <v>7.1922068605556329E-4</v>
      </c>
      <c r="Q61" s="304">
        <f t="shared" si="4"/>
        <v>0.6</v>
      </c>
      <c r="R61" s="177">
        <f t="shared" si="5"/>
        <v>0.47801040618261659</v>
      </c>
      <c r="S61" s="799">
        <f t="shared" si="6"/>
        <v>-1</v>
      </c>
      <c r="T61" s="176">
        <f t="shared" si="7"/>
        <v>5</v>
      </c>
      <c r="U61" s="250">
        <f t="shared" si="8"/>
        <v>-0.52198959381738341</v>
      </c>
      <c r="V61" s="382">
        <f t="shared" si="9"/>
        <v>35.612071915926876</v>
      </c>
      <c r="W61" s="400">
        <f t="shared" si="10"/>
        <v>9.0340812593049069</v>
      </c>
      <c r="X61" s="157">
        <f t="shared" si="11"/>
        <v>46799</v>
      </c>
      <c r="Y61" s="383">
        <f t="shared" si="12"/>
        <v>8.6609785103214172</v>
      </c>
      <c r="Z61" s="383">
        <f t="shared" si="22"/>
        <v>9.229612182121965</v>
      </c>
      <c r="AA61" s="384">
        <f t="shared" si="13"/>
        <v>9.9706267087485774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7.431975424136783E-2</v>
      </c>
      <c r="AD61" s="230">
        <f>(INDEX(Models!$BJ61:$BT61,,AH61)*(1-AF61)+INDEX(Models!$BJ61:$BT61,,AH61+1)*AF61-ERP_i)*AE61*Ramure*Pc/MaxiM</f>
        <v>7.4343193588042476E-3</v>
      </c>
      <c r="AE61" s="304">
        <f t="shared" si="15"/>
        <v>0.6</v>
      </c>
      <c r="AF61" s="177">
        <f t="shared" si="23"/>
        <v>2.9979725565949522E-3</v>
      </c>
      <c r="AG61" s="799">
        <f t="shared" si="24"/>
        <v>3</v>
      </c>
      <c r="AH61" s="176">
        <f t="shared" si="16"/>
        <v>9</v>
      </c>
      <c r="AI61" s="224">
        <f t="shared" si="17"/>
        <v>3.002997972556595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'2027'!Wh/'2027'!Env_an*'2028'!Env_an</f>
        <v>11.254799641063908</v>
      </c>
      <c r="C62" s="829"/>
      <c r="D62" s="391">
        <f t="shared" si="0"/>
        <v>11.993959640498437</v>
      </c>
      <c r="E62" s="383">
        <f t="shared" si="1"/>
        <v>12.422806186204999</v>
      </c>
      <c r="F62" s="383">
        <f t="shared" si="2"/>
        <v>12.422967394724466</v>
      </c>
      <c r="G62" s="110">
        <f t="shared" si="21"/>
        <v>0.31285531972228481</v>
      </c>
      <c r="H62" s="412" t="b">
        <f>Wh_hp&gt;='2027'!Maxi_hp</f>
        <v>0</v>
      </c>
      <c r="I62" s="388">
        <f>IF(H62,Wh_hp,'2027'!Maxi_hp)</f>
        <v>36.826584894030596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6.1627687735308356E-2</v>
      </c>
      <c r="M62" s="832"/>
      <c r="N62" s="832"/>
      <c r="O62" s="48">
        <f>IF(t&lt;Tnet,'2027'!Resal+('2027'!Salim-'2027'!Resal)*(1-EXP(('2027'!Tnet-t)/('2027'!Tau_j))),Resal+(Salim-Resal)*(1-EXP((Tnet-t)/(Tau_j))))*Salcycl</f>
        <v>3.4520907698196178E-2</v>
      </c>
      <c r="P62" s="169">
        <f>(INDEX(Models!$BJ62:$BT62,,T62)*(1-R62)+INDEX(Models!$BJ62:$BT62,,T62+1)*R62-ERP_i)*Q62*Ramure*Pc/MaxiM</f>
        <v>6.950609932000444E-4</v>
      </c>
      <c r="Q62" s="304">
        <f t="shared" si="4"/>
        <v>0.6</v>
      </c>
      <c r="R62" s="177">
        <f t="shared" si="5"/>
        <v>0.47820081232977285</v>
      </c>
      <c r="S62" s="799">
        <f t="shared" si="6"/>
        <v>-1</v>
      </c>
      <c r="T62" s="176">
        <f t="shared" si="7"/>
        <v>5</v>
      </c>
      <c r="U62" s="250">
        <f t="shared" si="8"/>
        <v>-0.52179918767022715</v>
      </c>
      <c r="V62" s="382">
        <f t="shared" si="9"/>
        <v>35.949917133661195</v>
      </c>
      <c r="W62" s="400">
        <f t="shared" si="10"/>
        <v>11.254799641063908</v>
      </c>
      <c r="X62" s="157">
        <f t="shared" si="11"/>
        <v>46800</v>
      </c>
      <c r="Y62" s="383">
        <f t="shared" si="12"/>
        <v>10.789097790256633</v>
      </c>
      <c r="Z62" s="383">
        <f t="shared" si="22"/>
        <v>11.497672777895534</v>
      </c>
      <c r="AA62" s="384">
        <f t="shared" si="13"/>
        <v>12.421289963606387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7.4357589945729802E-2</v>
      </c>
      <c r="AD62" s="230">
        <f>(INDEX(Models!$BJ62:$BT62,,AH62)*(1-AF62)+INDEX(Models!$BJ62:$BT62,,AH62+1)*AF62-ERP_i)*AE62*Ramure*Pc/MaxiM</f>
        <v>7.2323531214123077E-3</v>
      </c>
      <c r="AE62" s="304">
        <f t="shared" si="15"/>
        <v>0.6</v>
      </c>
      <c r="AF62" s="177">
        <f t="shared" si="23"/>
        <v>3.1883787037512157E-3</v>
      </c>
      <c r="AG62" s="799">
        <f t="shared" si="24"/>
        <v>3</v>
      </c>
      <c r="AH62" s="176">
        <f t="shared" si="16"/>
        <v>9</v>
      </c>
      <c r="AI62" s="224">
        <f t="shared" si="17"/>
        <v>3.0031883787037512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'2027'!Wh/'2027'!Env_an*'2028'!Env_an</f>
        <v>29.05389438518862</v>
      </c>
      <c r="C63" s="829"/>
      <c r="D63" s="391">
        <f t="shared" si="0"/>
        <v>30.962604956871402</v>
      </c>
      <c r="E63" s="383">
        <f t="shared" si="1"/>
        <v>32.072272961737809</v>
      </c>
      <c r="F63" s="383">
        <f t="shared" si="2"/>
        <v>32.087659482790009</v>
      </c>
      <c r="G63" s="110">
        <f t="shared" si="21"/>
        <v>0.8004960705240326</v>
      </c>
      <c r="H63" s="412" t="b">
        <f>Wh_hp&gt;='2027'!Maxi_hp</f>
        <v>0</v>
      </c>
      <c r="I63" s="388">
        <f>IF(H63,Wh_hp,'2027'!Maxi_hp)</f>
        <v>32.091750465237126</v>
      </c>
      <c r="J63" s="85">
        <f>IF(H63,An,'2027'!An_max)</f>
        <v>2027</v>
      </c>
      <c r="K63" s="197">
        <f t="shared" si="3"/>
        <v>46801</v>
      </c>
      <c r="L63" s="147">
        <f>IF(t&lt;Tvie,1-EXP((T0-t)*PertePVj)+'2027'!Pspv,1-EXP((T0-t)*PertePVj)+Pspv)</f>
        <v>6.1645671426595827E-2</v>
      </c>
      <c r="M63" s="832"/>
      <c r="N63" s="832"/>
      <c r="O63" s="48">
        <f>IF(t&lt;Tnet,'2027'!Resal+('2027'!Salim-'2027'!Resal)*(1-EXP(('2027'!Tnet-t)/('2027'!Tau_j))),Resal+(Salim-Resal)*(1-EXP((Tnet-t)/(Tau_j))))*Salcycl</f>
        <v>3.4598982310677998E-2</v>
      </c>
      <c r="P63" s="169">
        <f>(INDEX(Models!$BJ63:$BT63,,T63)*(1-R63)+INDEX(Models!$BJ63:$BT63,,T63+1)*R63-ERP_i)*Q63*Ramure*Pc/MaxiM</f>
        <v>6.7045103858830678E-4</v>
      </c>
      <c r="Q63" s="304">
        <f t="shared" si="4"/>
        <v>0.6</v>
      </c>
      <c r="R63" s="177">
        <f t="shared" si="5"/>
        <v>0.47839905103252123</v>
      </c>
      <c r="S63" s="799">
        <f t="shared" si="6"/>
        <v>-1</v>
      </c>
      <c r="T63" s="176">
        <f t="shared" si="7"/>
        <v>5</v>
      </c>
      <c r="U63" s="250">
        <f t="shared" si="8"/>
        <v>-0.52160094896747877</v>
      </c>
      <c r="V63" s="382">
        <f t="shared" si="9"/>
        <v>36.287928653631333</v>
      </c>
      <c r="W63" s="400">
        <f t="shared" si="10"/>
        <v>29.05389438518862</v>
      </c>
      <c r="X63" s="157">
        <f t="shared" si="11"/>
        <v>46801</v>
      </c>
      <c r="Y63" s="383">
        <f t="shared" si="12"/>
        <v>27.729408880387062</v>
      </c>
      <c r="Z63" s="383">
        <f t="shared" si="22"/>
        <v>29.551106693933566</v>
      </c>
      <c r="AA63" s="384">
        <f t="shared" si="13"/>
        <v>31.926274138710319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7.4395384643298618E-2</v>
      </c>
      <c r="AD63" s="230">
        <f>(INDEX(Models!$BJ63:$BT63,,AH63)*(1-AF63)+INDEX(Models!$BJ63:$BT63,,AH63+1)*AF63-ERP_i)*AE63*Ramure*Pc/MaxiM</f>
        <v>7.0321920844925905E-3</v>
      </c>
      <c r="AE63" s="304">
        <f t="shared" si="15"/>
        <v>0.6</v>
      </c>
      <c r="AF63" s="177">
        <f t="shared" si="23"/>
        <v>3.3866174064995924E-3</v>
      </c>
      <c r="AG63" s="799">
        <f t="shared" si="24"/>
        <v>3</v>
      </c>
      <c r="AH63" s="176">
        <f t="shared" si="16"/>
        <v>9</v>
      </c>
      <c r="AI63" s="224">
        <f t="shared" si="17"/>
        <v>3.0033866174064996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'2027'!Wh/'2027'!Env_an*'2028'!Env_an</f>
        <v>19.712694326873823</v>
      </c>
      <c r="C64" s="829"/>
      <c r="D64" s="391">
        <f t="shared" si="0"/>
        <v>21.008132560515715</v>
      </c>
      <c r="E64" s="383">
        <f t="shared" si="1"/>
        <v>21.762800652170984</v>
      </c>
      <c r="F64" s="383">
        <f t="shared" si="2"/>
        <v>21.767581595595075</v>
      </c>
      <c r="G64" s="110">
        <f t="shared" si="21"/>
        <v>0.53798655491210112</v>
      </c>
      <c r="H64" s="412" t="b">
        <f>Wh_hp&gt;='2027'!Maxi_hp</f>
        <v>0</v>
      </c>
      <c r="I64" s="388">
        <f>IF(H64,Wh_hp,'2027'!Maxi_hp)</f>
        <v>39.436937045771522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6.1663654773229881E-2</v>
      </c>
      <c r="M64" s="832"/>
      <c r="N64" s="832"/>
      <c r="O64" s="48">
        <f>IF(t&lt;Tnet,'2027'!Resal+('2027'!Salim-'2027'!Resal)*(1-EXP(('2027'!Tnet-t)/('2027'!Tau_j))),Resal+(Salim-Resal)*(1-EXP((Tnet-t)/(Tau_j))))*Salcycl</f>
        <v>3.4676974885582273E-2</v>
      </c>
      <c r="P64" s="169">
        <f>(INDEX(Models!$BJ64:$BT64,,T64)*(1-R64)+INDEX(Models!$BJ64:$BT64,,T64+1)*R64-ERP_i)*Q64*Ramure*Pc/MaxiM</f>
        <v>6.4540299050155361E-4</v>
      </c>
      <c r="Q64" s="304">
        <f t="shared" si="4"/>
        <v>0.6</v>
      </c>
      <c r="R64" s="177">
        <f t="shared" si="5"/>
        <v>0.47860543777533016</v>
      </c>
      <c r="S64" s="799">
        <f t="shared" si="6"/>
        <v>-1</v>
      </c>
      <c r="T64" s="176">
        <f t="shared" si="7"/>
        <v>5</v>
      </c>
      <c r="U64" s="250">
        <f t="shared" si="8"/>
        <v>-0.52139456222466984</v>
      </c>
      <c r="V64" s="382">
        <f t="shared" si="9"/>
        <v>36.626007262804656</v>
      </c>
      <c r="W64" s="400">
        <f t="shared" si="10"/>
        <v>19.712694326873823</v>
      </c>
      <c r="X64" s="157">
        <f t="shared" si="11"/>
        <v>46802</v>
      </c>
      <c r="Y64" s="383">
        <f t="shared" si="12"/>
        <v>18.861027519012559</v>
      </c>
      <c r="Z64" s="383">
        <f t="shared" si="22"/>
        <v>20.100497667981056</v>
      </c>
      <c r="AA64" s="384">
        <f t="shared" si="13"/>
        <v>21.716958949736149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7.4433132442548192E-2</v>
      </c>
      <c r="AD64" s="230">
        <f>(INDEX(Models!$BJ64:$BT64,,AH64)*(1-AF64)+INDEX(Models!$BJ64:$BT64,,AH64+1)*AF64-ERP_i)*AE64*Ramure*Pc/MaxiM</f>
        <v>6.8337991325736333E-3</v>
      </c>
      <c r="AE64" s="304">
        <f t="shared" si="15"/>
        <v>0.6</v>
      </c>
      <c r="AF64" s="177">
        <f t="shared" si="23"/>
        <v>3.5930041493084097E-3</v>
      </c>
      <c r="AG64" s="799">
        <f t="shared" si="24"/>
        <v>3</v>
      </c>
      <c r="AH64" s="176">
        <f t="shared" si="16"/>
        <v>9</v>
      </c>
      <c r="AI64" s="224">
        <f t="shared" si="17"/>
        <v>3.0035930041493084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'2027'!Wh/'2027'!Env_an*'2028'!Env_an</f>
        <v>19.592344954185574</v>
      </c>
      <c r="C65" s="829"/>
      <c r="D65" s="391">
        <f t="shared" si="0"/>
        <v>20.880274481394032</v>
      </c>
      <c r="E65" s="383">
        <f t="shared" si="1"/>
        <v>21.632095428713836</v>
      </c>
      <c r="F65" s="383">
        <f t="shared" si="2"/>
        <v>21.636503209975469</v>
      </c>
      <c r="G65" s="110">
        <f t="shared" si="21"/>
        <v>0.52981356718929207</v>
      </c>
      <c r="H65" s="412" t="b">
        <f>Wh_hp&gt;='2027'!Maxi_hp</f>
        <v>0</v>
      </c>
      <c r="I65" s="388">
        <f>IF(H65,Wh_hp,'2027'!Maxi_hp)</f>
        <v>41.467946828147284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6.1681637775217291E-2</v>
      </c>
      <c r="M65" s="832"/>
      <c r="N65" s="832"/>
      <c r="O65" s="48">
        <f>IF(t&lt;Tnet,'2027'!Resal+('2027'!Salim-'2027'!Resal)*(1-EXP(('2027'!Tnet-t)/('2027'!Tau_j))),Resal+(Salim-Resal)*(1-EXP((Tnet-t)/(Tau_j))))*Salcycl</f>
        <v>3.4754883076276361E-2</v>
      </c>
      <c r="P65" s="169">
        <f>(INDEX(Models!$BJ65:$BT65,,T65)*(1-R65)+INDEX(Models!$BJ65:$BT65,,T65+1)*R65-ERP_i)*Q65*Ramure*Pc/MaxiM</f>
        <v>6.1992416260381431E-4</v>
      </c>
      <c r="Q65" s="304">
        <f t="shared" si="4"/>
        <v>0.6</v>
      </c>
      <c r="R65" s="177">
        <f t="shared" si="5"/>
        <v>0.47882030018124044</v>
      </c>
      <c r="S65" s="799">
        <f t="shared" si="6"/>
        <v>-1</v>
      </c>
      <c r="T65" s="176">
        <f t="shared" si="7"/>
        <v>5</v>
      </c>
      <c r="U65" s="250">
        <f t="shared" si="8"/>
        <v>-0.52117969981875956</v>
      </c>
      <c r="V65" s="382">
        <f t="shared" si="9"/>
        <v>36.96430231960084</v>
      </c>
      <c r="W65" s="400">
        <f t="shared" si="10"/>
        <v>19.592344954185574</v>
      </c>
      <c r="X65" s="157">
        <f t="shared" si="11"/>
        <v>46803</v>
      </c>
      <c r="Y65" s="383">
        <f t="shared" si="12"/>
        <v>18.749044225264271</v>
      </c>
      <c r="Z65" s="383">
        <f t="shared" si="22"/>
        <v>19.981538228464046</v>
      </c>
      <c r="AA65" s="384">
        <f t="shared" si="13"/>
        <v>21.589312188240847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7.4470828239378367E-2</v>
      </c>
      <c r="AD65" s="230">
        <f>(INDEX(Models!$BJ65:$BT65,,AH65)*(1-AF65)+INDEX(Models!$BJ65:$BT65,,AH65+1)*AF65-ERP_i)*AE65*Ramure*Pc/MaxiM</f>
        <v>6.6370931075683788E-3</v>
      </c>
      <c r="AE65" s="304">
        <f t="shared" si="15"/>
        <v>0.6</v>
      </c>
      <c r="AF65" s="177">
        <f t="shared" si="23"/>
        <v>3.8078665552188085E-3</v>
      </c>
      <c r="AG65" s="799">
        <f t="shared" si="24"/>
        <v>3</v>
      </c>
      <c r="AH65" s="176">
        <f t="shared" si="16"/>
        <v>9</v>
      </c>
      <c r="AI65" s="224">
        <f t="shared" si="17"/>
        <v>3.0038078665552188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'2027'!Wh/'2027'!Env_an*'2028'!Env_an</f>
        <v>21.690695211793859</v>
      </c>
      <c r="C66" s="829"/>
      <c r="D66" s="391">
        <f t="shared" si="0"/>
        <v>23.117005688299365</v>
      </c>
      <c r="E66" s="383">
        <f t="shared" si="1"/>
        <v>23.951294046668565</v>
      </c>
      <c r="F66" s="383">
        <f t="shared" si="2"/>
        <v>23.957019119811768</v>
      </c>
      <c r="G66" s="110">
        <f t="shared" si="21"/>
        <v>0.58126625334185833</v>
      </c>
      <c r="H66" s="412" t="b">
        <f>Wh_hp&gt;='2027'!Maxi_hp</f>
        <v>0</v>
      </c>
      <c r="I66" s="388">
        <f>IF(H66,Wh_hp,'2027'!Maxi_hp)</f>
        <v>23.962712426185501</v>
      </c>
      <c r="J66" s="85">
        <f>IF(H66,An,'2027'!An_max)</f>
        <v>2027</v>
      </c>
      <c r="K66" s="197">
        <f t="shared" si="3"/>
        <v>46804</v>
      </c>
      <c r="L66" s="147">
        <f>IF(t&lt;Tvie,1-EXP((T0-t)*PertePVj)+'2027'!Pspv,1-EXP((T0-t)*PertePVj)+Pspv)</f>
        <v>6.1699620432564495E-2</v>
      </c>
      <c r="M66" s="832"/>
      <c r="N66" s="832"/>
      <c r="O66" s="48">
        <f>IF(t&lt;Tnet,'2027'!Resal+('2027'!Salim-'2027'!Resal)*(1-EXP(('2027'!Tnet-t)/('2027'!Tau_j))),Resal+(Salim-Resal)*(1-EXP((Tnet-t)/(Tau_j))))*Salcycl</f>
        <v>3.4832704936259694E-2</v>
      </c>
      <c r="P66" s="169">
        <f>(INDEX(Models!$BJ66:$BT66,,T66)*(1-R66)+INDEX(Models!$BJ66:$BT66,,T66+1)*R66-ERP_i)*Q66*Ramure*Pc/MaxiM</f>
        <v>5.9430540906323928E-4</v>
      </c>
      <c r="Q66" s="304">
        <f t="shared" si="4"/>
        <v>0.6</v>
      </c>
      <c r="R66" s="177">
        <f t="shared" si="5"/>
        <v>0.47904397843052704</v>
      </c>
      <c r="S66" s="799">
        <f t="shared" si="6"/>
        <v>-1</v>
      </c>
      <c r="T66" s="176">
        <f t="shared" si="7"/>
        <v>5</v>
      </c>
      <c r="U66" s="250">
        <f t="shared" si="8"/>
        <v>-0.52095602156947296</v>
      </c>
      <c r="V66" s="382">
        <f t="shared" si="9"/>
        <v>37.303018764598434</v>
      </c>
      <c r="W66" s="400">
        <f t="shared" si="10"/>
        <v>21.690695211793859</v>
      </c>
      <c r="X66" s="157">
        <f t="shared" si="11"/>
        <v>46804</v>
      </c>
      <c r="Y66" s="383">
        <f t="shared" si="12"/>
        <v>20.750144230221441</v>
      </c>
      <c r="Z66" s="383">
        <f t="shared" si="22"/>
        <v>22.114607093932367</v>
      </c>
      <c r="AA66" s="384">
        <f t="shared" si="13"/>
        <v>23.894985880494151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7.4508467821072538E-2</v>
      </c>
      <c r="AD66" s="230">
        <f>(INDEX(Models!$BJ66:$BT66,,AH66)*(1-AF66)+INDEX(Models!$BJ66:$BT66,,AH66+1)*AF66-ERP_i)*AE66*Ramure*Pc/MaxiM</f>
        <v>6.439514176676514E-3</v>
      </c>
      <c r="AE66" s="304">
        <f t="shared" si="15"/>
        <v>0.6</v>
      </c>
      <c r="AF66" s="177">
        <f t="shared" si="23"/>
        <v>4.0315448045054048E-3</v>
      </c>
      <c r="AG66" s="799">
        <f t="shared" si="24"/>
        <v>3</v>
      </c>
      <c r="AH66" s="176">
        <f t="shared" si="16"/>
        <v>9</v>
      </c>
      <c r="AI66" s="224">
        <f t="shared" si="17"/>
        <v>3.0040315448045054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'2027'!Wh/'2027'!Env_an*'2028'!Env_an</f>
        <v>33.144652847084977</v>
      </c>
      <c r="C67" s="829"/>
      <c r="D67" s="391">
        <f t="shared" si="0"/>
        <v>35.32481579539531</v>
      </c>
      <c r="E67" s="383">
        <f t="shared" si="1"/>
        <v>36.602629664391458</v>
      </c>
      <c r="F67" s="383">
        <f t="shared" si="2"/>
        <v>36.619912386868542</v>
      </c>
      <c r="G67" s="110">
        <f t="shared" si="21"/>
        <v>0.88043439749299546</v>
      </c>
      <c r="H67" s="412" t="b">
        <f>Wh_hp&gt;='2027'!Maxi_hp</f>
        <v>0</v>
      </c>
      <c r="I67" s="388">
        <f>IF(H67,Wh_hp,'2027'!Maxi_hp)</f>
        <v>39.949310572645629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6.1717602745278155E-2</v>
      </c>
      <c r="M67" s="832"/>
      <c r="N67" s="832"/>
      <c r="O67" s="48">
        <f>IF(t&lt;Tnet,'2027'!Resal+('2027'!Salim-'2027'!Resal)*(1-EXP(('2027'!Tnet-t)/('2027'!Tau_j))),Resal+(Salim-Resal)*(1-EXP((Tnet-t)/(Tau_j))))*Salcycl</f>
        <v>3.491043896879506E-2</v>
      </c>
      <c r="P67" s="169">
        <f>(INDEX(Models!$BJ67:$BT67,,T67)*(1-R67)+INDEX(Models!$BJ67:$BT67,,T67+1)*R67-ERP_i)*Q67*Ramure*Pc/MaxiM</f>
        <v>5.6908315900811479E-4</v>
      </c>
      <c r="Q67" s="304">
        <f t="shared" si="4"/>
        <v>0.6</v>
      </c>
      <c r="R67" s="177">
        <f t="shared" si="5"/>
        <v>0.47927682568959629</v>
      </c>
      <c r="S67" s="799">
        <f t="shared" si="6"/>
        <v>-1</v>
      </c>
      <c r="T67" s="176">
        <f t="shared" si="7"/>
        <v>5</v>
      </c>
      <c r="U67" s="250">
        <f t="shared" si="8"/>
        <v>-0.52072317431040371</v>
      </c>
      <c r="V67" s="382">
        <f t="shared" si="9"/>
        <v>37.642136581194592</v>
      </c>
      <c r="W67" s="400">
        <f t="shared" si="10"/>
        <v>33.144652847084977</v>
      </c>
      <c r="X67" s="157">
        <f t="shared" si="11"/>
        <v>46805</v>
      </c>
      <c r="Y67" s="383">
        <f t="shared" si="12"/>
        <v>31.633858179162672</v>
      </c>
      <c r="Z67" s="383">
        <f t="shared" si="22"/>
        <v>33.714645262150022</v>
      </c>
      <c r="AA67" s="384">
        <f t="shared" si="13"/>
        <v>36.430386609720578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7.4546047964419021E-2</v>
      </c>
      <c r="AD67" s="230">
        <f>(INDEX(Models!$BJ67:$BT67,,AH67)*(1-AF67)+INDEX(Models!$BJ67:$BT67,,AH67+1)*AF67-ERP_i)*AE67*Ramure*Pc/MaxiM</f>
        <v>6.2406792746828779E-3</v>
      </c>
      <c r="AE67" s="304">
        <f t="shared" si="15"/>
        <v>0.6</v>
      </c>
      <c r="AF67" s="177">
        <f t="shared" si="23"/>
        <v>4.2643920635749843E-3</v>
      </c>
      <c r="AG67" s="799">
        <f t="shared" si="24"/>
        <v>3</v>
      </c>
      <c r="AH67" s="176">
        <f t="shared" si="16"/>
        <v>9</v>
      </c>
      <c r="AI67" s="224">
        <f t="shared" si="17"/>
        <v>3.004264392063575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'2027'!Wh/'2027'!Env_an*'2028'!Env_an</f>
        <v>34.826791130128363</v>
      </c>
      <c r="C68" s="829"/>
      <c r="D68" s="391">
        <f t="shared" si="0"/>
        <v>37.118311813508299</v>
      </c>
      <c r="E68" s="383">
        <f t="shared" si="1"/>
        <v>38.464096872555942</v>
      </c>
      <c r="F68" s="383">
        <f t="shared" si="2"/>
        <v>38.482555534903248</v>
      </c>
      <c r="G68" s="110">
        <f t="shared" si="21"/>
        <v>0.91687790004344771</v>
      </c>
      <c r="H68" s="412" t="b">
        <f>Wh_hp&gt;='2027'!Maxi_hp</f>
        <v>0</v>
      </c>
      <c r="I68" s="388">
        <f>IF(H68,Wh_hp,'2027'!Maxi_hp)</f>
        <v>41.571938803017574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6.1735584713364933E-2</v>
      </c>
      <c r="M68" s="832"/>
      <c r="N68" s="832"/>
      <c r="O68" s="48">
        <f>IF(t&lt;Tnet,'2027'!Resal+('2027'!Salim-'2027'!Resal)*(1-EXP(('2027'!Tnet-t)/('2027'!Tau_j))),Resal+(Salim-Resal)*(1-EXP((Tnet-t)/(Tau_j))))*Salcycl</f>
        <v>3.4988084173837863E-2</v>
      </c>
      <c r="P68" s="169">
        <f>(INDEX(Models!$BJ68:$BT68,,T68)*(1-R68)+INDEX(Models!$BJ68:$BT68,,T68+1)*R68-ERP_i)*Q68*Ramure*Pc/MaxiM</f>
        <v>5.4424373899585087E-4</v>
      </c>
      <c r="Q68" s="304">
        <f t="shared" si="4"/>
        <v>0.6</v>
      </c>
      <c r="R68" s="177">
        <f t="shared" si="5"/>
        <v>0.47951920854997421</v>
      </c>
      <c r="S68" s="799">
        <f t="shared" si="6"/>
        <v>-1</v>
      </c>
      <c r="T68" s="176">
        <f t="shared" si="7"/>
        <v>5</v>
      </c>
      <c r="U68" s="250">
        <f t="shared" si="8"/>
        <v>-0.52048079145002579</v>
      </c>
      <c r="V68" s="382">
        <f t="shared" si="9"/>
        <v>37.981655914192025</v>
      </c>
      <c r="W68" s="400">
        <f t="shared" si="10"/>
        <v>34.826791130128363</v>
      </c>
      <c r="X68" s="157">
        <f t="shared" si="11"/>
        <v>46806</v>
      </c>
      <c r="Y68" s="383">
        <f t="shared" si="12"/>
        <v>33.235948907376944</v>
      </c>
      <c r="Z68" s="383">
        <f t="shared" si="22"/>
        <v>35.422795926054093</v>
      </c>
      <c r="AA68" s="384">
        <f t="shared" si="13"/>
        <v>38.27768196542597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7.4583566527109291E-2</v>
      </c>
      <c r="AD68" s="230">
        <f>(INDEX(Models!$BJ68:$BT68,,AH68)*(1-AF68)+INDEX(Models!$BJ68:$BT68,,AH68+1)*AF68-ERP_i)*AE68*Ramure*Pc/MaxiM</f>
        <v>6.0405870899960176E-3</v>
      </c>
      <c r="AE68" s="304">
        <f t="shared" si="15"/>
        <v>0.6</v>
      </c>
      <c r="AF68" s="177">
        <f t="shared" si="23"/>
        <v>4.5067749239526833E-3</v>
      </c>
      <c r="AG68" s="799">
        <f t="shared" si="24"/>
        <v>3</v>
      </c>
      <c r="AH68" s="176">
        <f t="shared" si="16"/>
        <v>9</v>
      </c>
      <c r="AI68" s="224">
        <f t="shared" si="17"/>
        <v>3.0045067749239527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'2027'!Wh/'2027'!Env_an*'2028'!Env_an</f>
        <v>21.677819588784409</v>
      </c>
      <c r="C69" s="829"/>
      <c r="D69" s="391">
        <f t="shared" si="0"/>
        <v>23.104611764041906</v>
      </c>
      <c r="E69" s="383">
        <f t="shared" si="1"/>
        <v>23.944231570571404</v>
      </c>
      <c r="F69" s="383">
        <f t="shared" si="2"/>
        <v>23.94895619775567</v>
      </c>
      <c r="G69" s="110">
        <f t="shared" si="21"/>
        <v>0.56549936048935001</v>
      </c>
      <c r="H69" s="412" t="b">
        <f>Wh_hp&gt;='2027'!Maxi_hp</f>
        <v>0</v>
      </c>
      <c r="I69" s="388">
        <f>IF(H69,Wh_hp,'2027'!Maxi_hp)</f>
        <v>41.52507944394246</v>
      </c>
      <c r="J69" s="85">
        <f>IF(H69,An,'2027'!An_max)</f>
        <v>2020</v>
      </c>
      <c r="K69" s="197">
        <f t="shared" si="3"/>
        <v>46807</v>
      </c>
      <c r="L69" s="147">
        <f>IF(t&lt;Tvie,1-EXP((T0-t)*PertePVj)+'2027'!Pspv,1-EXP((T0-t)*PertePVj)+Pspv)</f>
        <v>6.1753566336831378E-2</v>
      </c>
      <c r="M69" s="832"/>
      <c r="N69" s="832"/>
      <c r="O69" s="48">
        <f>IF(t&lt;Tnet,'2027'!Resal+('2027'!Salim-'2027'!Resal)*(1-EXP(('2027'!Tnet-t)/('2027'!Tau_j))),Resal+(Salim-Resal)*(1-EXP((Tnet-t)/(Tau_j))))*Salcycl</f>
        <v>3.5065640091847108E-2</v>
      </c>
      <c r="P69" s="169">
        <f>(INDEX(Models!$BJ69:$BT69,,T69)*(1-R69)+INDEX(Models!$BJ69:$BT69,,T69+1)*R69-ERP_i)*Q69*Ramure*Pc/MaxiM</f>
        <v>5.1977710322805232E-4</v>
      </c>
      <c r="Q69" s="304">
        <f t="shared" si="4"/>
        <v>0.6</v>
      </c>
      <c r="R69" s="177">
        <f t="shared" si="5"/>
        <v>0.47977150747719244</v>
      </c>
      <c r="S69" s="799">
        <f t="shared" si="6"/>
        <v>-1</v>
      </c>
      <c r="T69" s="176">
        <f t="shared" si="7"/>
        <v>5</v>
      </c>
      <c r="U69" s="250">
        <f t="shared" si="8"/>
        <v>-0.52022849252280756</v>
      </c>
      <c r="V69" s="382">
        <f t="shared" si="9"/>
        <v>38.321576766817266</v>
      </c>
      <c r="W69" s="400">
        <f t="shared" si="10"/>
        <v>21.677819588784409</v>
      </c>
      <c r="X69" s="157">
        <f t="shared" si="11"/>
        <v>46807</v>
      </c>
      <c r="Y69" s="383">
        <f t="shared" si="12"/>
        <v>20.74720316000257</v>
      </c>
      <c r="Z69" s="383">
        <f t="shared" si="22"/>
        <v>22.112743961093315</v>
      </c>
      <c r="AA69" s="384">
        <f t="shared" si="13"/>
        <v>23.895878877201692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7.4621022531613623E-2</v>
      </c>
      <c r="AD69" s="230">
        <f>(INDEX(Models!$BJ69:$BT69,,AH69)*(1-AF69)+INDEX(Models!$BJ69:$BT69,,AH69+1)*AF69-ERP_i)*AE69*Ramure*Pc/MaxiM</f>
        <v>5.8392704542933691E-3</v>
      </c>
      <c r="AE69" s="304">
        <f t="shared" si="15"/>
        <v>0.6</v>
      </c>
      <c r="AF69" s="177">
        <f t="shared" si="23"/>
        <v>4.7590738511709141E-3</v>
      </c>
      <c r="AG69" s="799">
        <f t="shared" si="24"/>
        <v>3</v>
      </c>
      <c r="AH69" s="176">
        <f t="shared" si="16"/>
        <v>9</v>
      </c>
      <c r="AI69" s="224">
        <f t="shared" si="17"/>
        <v>3.0047590738511709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'2027'!Wh/'2027'!Env_an*'2028'!Env_an</f>
        <v>31.041239092247917</v>
      </c>
      <c r="C70" s="829"/>
      <c r="D70" s="391">
        <f t="shared" si="0"/>
        <v>33.084947502245271</v>
      </c>
      <c r="E70" s="383">
        <f t="shared" si="1"/>
        <v>34.290004804784559</v>
      </c>
      <c r="F70" s="383">
        <f t="shared" si="2"/>
        <v>34.302219785410543</v>
      </c>
      <c r="G70" s="110">
        <f t="shared" si="21"/>
        <v>0.80277755835984121</v>
      </c>
      <c r="H70" s="412" t="b">
        <f>Wh_hp&gt;='2027'!Maxi_hp</f>
        <v>0</v>
      </c>
      <c r="I70" s="388">
        <f>IF(H70,Wh_hp,'2027'!Maxi_hp)</f>
        <v>36.519009293012743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6.1771547615684153E-2</v>
      </c>
      <c r="M70" s="832"/>
      <c r="N70" s="832"/>
      <c r="O70" s="48">
        <f>IF(t&lt;Tnet,'2027'!Resal+('2027'!Salim-'2027'!Resal)*(1-EXP(('2027'!Tnet-t)/('2027'!Tau_j))),Resal+(Salim-Resal)*(1-EXP((Tnet-t)/(Tau_j))))*Salcycl</f>
        <v>3.5143106844101241E-2</v>
      </c>
      <c r="P70" s="169">
        <f>(INDEX(Models!$BJ70:$BT70,,T70)*(1-R70)+INDEX(Models!$BJ70:$BT70,,T70+1)*R70-ERP_i)*Q70*Ramure*Pc/MaxiM</f>
        <v>4.9567371548923619E-4</v>
      </c>
      <c r="Q70" s="304">
        <f t="shared" si="4"/>
        <v>0.6</v>
      </c>
      <c r="R70" s="177">
        <f t="shared" si="5"/>
        <v>0.48003411726932854</v>
      </c>
      <c r="S70" s="799">
        <f t="shared" si="6"/>
        <v>-1</v>
      </c>
      <c r="T70" s="176">
        <f t="shared" si="7"/>
        <v>5</v>
      </c>
      <c r="U70" s="250">
        <f t="shared" si="8"/>
        <v>-0.51996588273067146</v>
      </c>
      <c r="V70" s="382">
        <f t="shared" si="9"/>
        <v>38.661899113321745</v>
      </c>
      <c r="W70" s="400">
        <f t="shared" si="10"/>
        <v>31.041239092247917</v>
      </c>
      <c r="X70" s="157">
        <f t="shared" si="11"/>
        <v>46808</v>
      </c>
      <c r="Y70" s="383">
        <f t="shared" si="12"/>
        <v>29.659965747837905</v>
      </c>
      <c r="Z70" s="383">
        <f t="shared" si="22"/>
        <v>31.612733202092908</v>
      </c>
      <c r="AA70" s="384">
        <f t="shared" si="13"/>
        <v>34.163311967097833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7.4658416240830083E-2</v>
      </c>
      <c r="AD70" s="230">
        <f>(INDEX(Models!$BJ70:$BT70,,AH70)*(1-AF70)+INDEX(Models!$BJ70:$BT70,,AH70+1)*AF70-ERP_i)*AE70*Ramure*Pc/MaxiM</f>
        <v>5.6367632926996314E-3</v>
      </c>
      <c r="AE70" s="304">
        <f t="shared" si="15"/>
        <v>0.6</v>
      </c>
      <c r="AF70" s="177">
        <f t="shared" si="23"/>
        <v>5.0216836433070178E-3</v>
      </c>
      <c r="AG70" s="799">
        <f t="shared" si="24"/>
        <v>3</v>
      </c>
      <c r="AH70" s="176">
        <f t="shared" si="16"/>
        <v>9</v>
      </c>
      <c r="AI70" s="224">
        <f t="shared" si="17"/>
        <v>3.005021683643307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'2027'!Wh/'2027'!Env_an*'2028'!Env_an</f>
        <v>39.33920092431088</v>
      </c>
      <c r="C71" s="829"/>
      <c r="D71" s="391">
        <f t="shared" si="0"/>
        <v>41.930038217873843</v>
      </c>
      <c r="E71" s="383">
        <f t="shared" si="1"/>
        <v>43.460746806203446</v>
      </c>
      <c r="F71" s="383">
        <f t="shared" si="2"/>
        <v>43.481266681339847</v>
      </c>
      <c r="G71" s="110">
        <f t="shared" si="21"/>
        <v>1.0086296254599769</v>
      </c>
      <c r="H71" s="412" t="b">
        <f>Wh_hp&gt;='2027'!Maxi_hp</f>
        <v>1</v>
      </c>
      <c r="I71" s="388">
        <f>IF(H71,Wh_hp,'2027'!Maxi_hp)</f>
        <v>43.481266681339847</v>
      </c>
      <c r="J71" s="85">
        <f>IF(H71,An,'2027'!An_max)</f>
        <v>2028</v>
      </c>
      <c r="K71" s="197">
        <f t="shared" si="3"/>
        <v>46809</v>
      </c>
      <c r="L71" s="147">
        <f>IF(t&lt;Tvie,1-EXP((T0-t)*PertePVj)+'2027'!Pspv,1-EXP((T0-t)*PertePVj)+Pspv)</f>
        <v>6.1789528549929806E-2</v>
      </c>
      <c r="M71" s="832"/>
      <c r="N71" s="832"/>
      <c r="O71" s="48">
        <f>IF(t&lt;Tnet,'2027'!Resal+('2027'!Salim-'2027'!Resal)*(1-EXP(('2027'!Tnet-t)/('2027'!Tau_j))),Resal+(Salim-Resal)*(1-EXP((Tnet-t)/(Tau_j))))*Salcycl</f>
        <v>3.52204851691853E-2</v>
      </c>
      <c r="P71" s="169">
        <f>(INDEX(Models!$BJ71:$BT71,,T71)*(1-R71)+INDEX(Models!$BJ71:$BT71,,T71+1)*R71-ERP_i)*Q71*Ramure*Pc/MaxiM</f>
        <v>4.719245022639606E-4</v>
      </c>
      <c r="Q71" s="304">
        <f t="shared" si="4"/>
        <v>0.6</v>
      </c>
      <c r="R71" s="177">
        <f t="shared" si="5"/>
        <v>0.48030744752489385</v>
      </c>
      <c r="S71" s="799">
        <f t="shared" si="6"/>
        <v>-1</v>
      </c>
      <c r="T71" s="176">
        <f t="shared" si="7"/>
        <v>5</v>
      </c>
      <c r="U71" s="250">
        <f t="shared" si="8"/>
        <v>-0.51969255247510615</v>
      </c>
      <c r="V71" s="382">
        <f t="shared" si="9"/>
        <v>39.002622896755163</v>
      </c>
      <c r="W71" s="400">
        <f t="shared" si="10"/>
        <v>39.33920092431088</v>
      </c>
      <c r="X71" s="157">
        <f t="shared" si="11"/>
        <v>46809</v>
      </c>
      <c r="Y71" s="383">
        <f t="shared" si="12"/>
        <v>37.542312612211589</v>
      </c>
      <c r="Z71" s="383">
        <f t="shared" si="22"/>
        <v>40.0148087818582</v>
      </c>
      <c r="AA71" s="384">
        <f t="shared" si="13"/>
        <v>43.24502859285375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7.4695749224902713E-2</v>
      </c>
      <c r="AD71" s="230">
        <f>(INDEX(Models!$BJ71:$BT71,,AH71)*(1-AF71)+INDEX(Models!$BJ71:$BT71,,AH71+1)*AF71-ERP_i)*AE71*Ramure*Pc/MaxiM</f>
        <v>5.4331004250040126E-3</v>
      </c>
      <c r="AE71" s="304">
        <f t="shared" si="15"/>
        <v>0.6</v>
      </c>
      <c r="AF71" s="177">
        <f t="shared" si="23"/>
        <v>5.2950138988721029E-3</v>
      </c>
      <c r="AG71" s="799">
        <f t="shared" si="24"/>
        <v>3</v>
      </c>
      <c r="AH71" s="176">
        <f t="shared" si="16"/>
        <v>9</v>
      </c>
      <c r="AI71" s="224">
        <f t="shared" si="17"/>
        <v>3.0052950138988721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'2027'!Wh/'2027'!Env_an*'2028'!Env_an</f>
        <v>28.118711309042535</v>
      </c>
      <c r="C72" s="829"/>
      <c r="D72" s="391">
        <f t="shared" si="0"/>
        <v>29.971153662991483</v>
      </c>
      <c r="E72" s="383">
        <f t="shared" si="1"/>
        <v>31.067777114545702</v>
      </c>
      <c r="F72" s="383">
        <f t="shared" si="2"/>
        <v>31.076044183798942</v>
      </c>
      <c r="G72" s="110">
        <f t="shared" si="21"/>
        <v>0.71456279241466114</v>
      </c>
      <c r="H72" s="412" t="b">
        <f>Wh_hp&gt;='2027'!Maxi_hp</f>
        <v>0</v>
      </c>
      <c r="I72" s="388">
        <f>IF(H72,Wh_hp,'2027'!Maxi_hp)</f>
        <v>42.979805880549684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6.180750913957489E-2</v>
      </c>
      <c r="M72" s="832"/>
      <c r="N72" s="832"/>
      <c r="O72" s="48">
        <f>IF(t&lt;Tnet,'2027'!Resal+('2027'!Salim-'2027'!Resal)*(1-EXP(('2027'!Tnet-t)/('2027'!Tau_j))),Resal+(Salim-Resal)*(1-EXP((Tnet-t)/(Tau_j))))*Salcycl</f>
        <v>3.5297776455361189E-2</v>
      </c>
      <c r="P72" s="169">
        <f>(INDEX(Models!$BJ72:$BT72,,T72)*(1-R72)+INDEX(Models!$BJ72:$BT72,,T72+1)*R72-ERP_i)*Q72*Ramure*Pc/MaxiM</f>
        <v>4.4905187808250786E-4</v>
      </c>
      <c r="Q72" s="304">
        <f t="shared" si="4"/>
        <v>0.6</v>
      </c>
      <c r="R72" s="177">
        <f t="shared" si="5"/>
        <v>0.480591923119704</v>
      </c>
      <c r="S72" s="799">
        <f t="shared" si="6"/>
        <v>-1</v>
      </c>
      <c r="T72" s="176">
        <f t="shared" si="7"/>
        <v>5</v>
      </c>
      <c r="U72" s="250">
        <f t="shared" si="8"/>
        <v>-0.519408076880296</v>
      </c>
      <c r="V72" s="382">
        <f t="shared" si="9"/>
        <v>39.343727124517748</v>
      </c>
      <c r="W72" s="400">
        <f t="shared" si="10"/>
        <v>28.118711309042535</v>
      </c>
      <c r="X72" s="157">
        <f t="shared" si="11"/>
        <v>46810</v>
      </c>
      <c r="Y72" s="383">
        <f t="shared" si="12"/>
        <v>26.892857182935924</v>
      </c>
      <c r="Z72" s="383">
        <f t="shared" si="22"/>
        <v>28.664541066910729</v>
      </c>
      <c r="AA72" s="384">
        <f t="shared" si="13"/>
        <v>30.97975159969635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7.4733024418708216E-2</v>
      </c>
      <c r="AD72" s="230">
        <f>(INDEX(Models!$BJ72:$BT72,,AH72)*(1-AF72)+INDEX(Models!$BJ72:$BT72,,AH72+1)*AF72-ERP_i)*AE72*Ramure*Pc/MaxiM</f>
        <v>5.2304346815228919E-3</v>
      </c>
      <c r="AE72" s="304">
        <f t="shared" si="15"/>
        <v>0.6</v>
      </c>
      <c r="AF72" s="177">
        <f t="shared" si="23"/>
        <v>5.5794894936824768E-3</v>
      </c>
      <c r="AG72" s="799">
        <f t="shared" si="24"/>
        <v>3</v>
      </c>
      <c r="AH72" s="176">
        <f t="shared" si="16"/>
        <v>9</v>
      </c>
      <c r="AI72" s="224">
        <f t="shared" si="17"/>
        <v>3.0055794894936825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'2027'!Wh/'2027'!Env_an*'2028'!Env_an</f>
        <v>33.944496255432682</v>
      </c>
      <c r="C73" s="829"/>
      <c r="D73" s="391">
        <f t="shared" si="0"/>
        <v>36.181430929270903</v>
      </c>
      <c r="E73" s="383">
        <f t="shared" si="1"/>
        <v>37.508285896539981</v>
      </c>
      <c r="F73" s="383">
        <f t="shared" si="2"/>
        <v>37.521006835662199</v>
      </c>
      <c r="G73" s="110">
        <f t="shared" si="21"/>
        <v>0.85526841704534828</v>
      </c>
      <c r="H73" s="412" t="b">
        <f>Wh_hp&gt;='2027'!Maxi_hp</f>
        <v>0</v>
      </c>
      <c r="I73" s="388">
        <f>IF(H73,Wh_hp,'2027'!Maxi_hp)</f>
        <v>37.523227982646922</v>
      </c>
      <c r="J73" s="85">
        <f>IF(H73,An,'2027'!An_max)</f>
        <v>2027</v>
      </c>
      <c r="K73" s="197">
        <f t="shared" si="3"/>
        <v>46811</v>
      </c>
      <c r="L73" s="147">
        <f>IF(t&lt;Tvie,1-EXP((T0-t)*PertePVj)+'2027'!Pspv,1-EXP((T0-t)*PertePVj)+Pspv)</f>
        <v>6.1825489384626175E-2</v>
      </c>
      <c r="M73" s="832"/>
      <c r="N73" s="832"/>
      <c r="O73" s="48">
        <f>IF(t&lt;Tnet,'2027'!Resal+('2027'!Salim-'2027'!Resal)*(1-EXP(('2027'!Tnet-t)/('2027'!Tau_j))),Resal+(Salim-Resal)*(1-EXP((Tnet-t)/(Tau_j))))*Salcycl</f>
        <v>3.5374982768580213E-2</v>
      </c>
      <c r="P73" s="169">
        <f>(INDEX(Models!$BJ73:$BT73,,T73)*(1-R73)+INDEX(Models!$BJ73:$BT73,,T73+1)*R73-ERP_i)*Q73*Ramure*Pc/MaxiM</f>
        <v>4.2734700281004968E-4</v>
      </c>
      <c r="Q73" s="304">
        <f t="shared" si="4"/>
        <v>0.6</v>
      </c>
      <c r="R73" s="177">
        <f t="shared" si="5"/>
        <v>0.48088798469229166</v>
      </c>
      <c r="S73" s="799">
        <f t="shared" si="6"/>
        <v>-1</v>
      </c>
      <c r="T73" s="176">
        <f t="shared" si="7"/>
        <v>5</v>
      </c>
      <c r="U73" s="250">
        <f t="shared" si="8"/>
        <v>-0.51911201530770834</v>
      </c>
      <c r="V73" s="382">
        <f t="shared" si="9"/>
        <v>39.685199242716081</v>
      </c>
      <c r="W73" s="400">
        <f t="shared" si="10"/>
        <v>33.944496255432682</v>
      </c>
      <c r="X73" s="157">
        <f t="shared" si="11"/>
        <v>46811</v>
      </c>
      <c r="Y73" s="383">
        <f t="shared" si="12"/>
        <v>32.439253996465901</v>
      </c>
      <c r="Z73" s="383">
        <f t="shared" si="22"/>
        <v>34.576993543757787</v>
      </c>
      <c r="AA73" s="384">
        <f t="shared" si="13"/>
        <v>37.371251195296715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7.4770246169616889E-2</v>
      </c>
      <c r="AD73" s="230">
        <f>(INDEX(Models!$BJ73:$BT73,,AH73)*(1-AF73)+INDEX(Models!$BJ73:$BT73,,AH73+1)*AF73-ERP_i)*AE73*Ramure*Pc/MaxiM</f>
        <v>5.0308883211532705E-3</v>
      </c>
      <c r="AE73" s="304">
        <f t="shared" si="15"/>
        <v>0.6</v>
      </c>
      <c r="AF73" s="177">
        <f t="shared" si="23"/>
        <v>5.8755510662700239E-3</v>
      </c>
      <c r="AG73" s="799">
        <f t="shared" si="24"/>
        <v>3</v>
      </c>
      <c r="AH73" s="176">
        <f t="shared" si="16"/>
        <v>9</v>
      </c>
      <c r="AI73" s="224">
        <f t="shared" si="17"/>
        <v>3.00587555106627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'2027'!Wh/'2027'!Env_an*'2028'!Env_an</f>
        <v>39.381521337246703</v>
      </c>
      <c r="C74" s="829"/>
      <c r="D74" s="391">
        <f t="shared" si="0"/>
        <v>41.977559232292002</v>
      </c>
      <c r="E74" s="383">
        <f t="shared" si="1"/>
        <v>43.520450909214858</v>
      </c>
      <c r="F74" s="383">
        <f t="shared" si="2"/>
        <v>43.537753258540739</v>
      </c>
      <c r="G74" s="110">
        <f t="shared" si="21"/>
        <v>0.98386373461062049</v>
      </c>
      <c r="H74" s="412" t="b">
        <f>Wh_hp&gt;='2027'!Maxi_hp</f>
        <v>0</v>
      </c>
      <c r="I74" s="388">
        <f>IF(H74,Wh_hp,'2027'!Maxi_hp)</f>
        <v>43.538026711857064</v>
      </c>
      <c r="J74" s="85">
        <f>IF(H74,An,'2027'!An_max)</f>
        <v>2027</v>
      </c>
      <c r="K74" s="197">
        <f t="shared" si="3"/>
        <v>46812</v>
      </c>
      <c r="L74" s="147">
        <f>IF(t&lt;Tvie,1-EXP((T0-t)*PertePVj)+'2027'!Pspv,1-EXP((T0-t)*PertePVj)+Pspv)</f>
        <v>6.1843469285090102E-2</v>
      </c>
      <c r="M74" s="832"/>
      <c r="N74" s="832"/>
      <c r="O74" s="48">
        <f>IF(t&lt;Tnet,'2027'!Resal+('2027'!Salim-'2027'!Resal)*(1-EXP(('2027'!Tnet-t)/('2027'!Tau_j))),Resal+(Salim-Resal)*(1-EXP((Tnet-t)/(Tau_j))))*Salcycl</f>
        <v>3.5452106875946292E-2</v>
      </c>
      <c r="P74" s="169">
        <f>(INDEX(Models!$BJ74:$BT74,,T74)*(1-R74)+INDEX(Models!$BJ74:$BT74,,T74+1)*R74-ERP_i)*Q74*Ramure*Pc/MaxiM</f>
        <v>4.0678194700078291E-4</v>
      </c>
      <c r="Q74" s="304">
        <f t="shared" si="4"/>
        <v>0.6</v>
      </c>
      <c r="R74" s="177">
        <f t="shared" si="5"/>
        <v>0.48119608913735046</v>
      </c>
      <c r="S74" s="799">
        <f t="shared" si="6"/>
        <v>-1</v>
      </c>
      <c r="T74" s="176">
        <f t="shared" si="7"/>
        <v>5</v>
      </c>
      <c r="U74" s="250">
        <f t="shared" si="8"/>
        <v>-0.51880391086264954</v>
      </c>
      <c r="V74" s="382">
        <f t="shared" si="9"/>
        <v>40.027039043513987</v>
      </c>
      <c r="W74" s="400">
        <f t="shared" si="10"/>
        <v>39.381521337246703</v>
      </c>
      <c r="X74" s="157">
        <f t="shared" si="11"/>
        <v>46812</v>
      </c>
      <c r="Y74" s="383">
        <f t="shared" si="12"/>
        <v>37.611220085164369</v>
      </c>
      <c r="Z74" s="383">
        <f t="shared" si="22"/>
        <v>40.090559361669882</v>
      </c>
      <c r="AA74" s="384">
        <f t="shared" si="13"/>
        <v>43.332123754815086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7.4807420275240857E-2</v>
      </c>
      <c r="AD74" s="230">
        <f>(INDEX(Models!$BJ74:$BT74,,AH74)*(1-AF74)+INDEX(Models!$BJ74:$BT74,,AH74+1)*AF74-ERP_i)*AE74*Ramure*Pc/MaxiM</f>
        <v>4.8343937757178114E-3</v>
      </c>
      <c r="AE74" s="304">
        <f t="shared" si="15"/>
        <v>0.6</v>
      </c>
      <c r="AF74" s="177">
        <f t="shared" si="23"/>
        <v>6.1836555113288227E-3</v>
      </c>
      <c r="AG74" s="799">
        <f t="shared" si="24"/>
        <v>3</v>
      </c>
      <c r="AH74" s="176">
        <f t="shared" si="16"/>
        <v>9</v>
      </c>
      <c r="AI74" s="224">
        <f t="shared" si="17"/>
        <v>3.0061836555113288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'2027'!Wh/'2027'!Env_an*'2028'!Env_an</f>
        <v>11.474300217046766</v>
      </c>
      <c r="C75" s="829"/>
      <c r="D75" s="391">
        <f t="shared" si="0"/>
        <v>12.230922823575259</v>
      </c>
      <c r="E75" s="383">
        <f t="shared" si="1"/>
        <v>12.681485243739949</v>
      </c>
      <c r="F75" s="383">
        <f t="shared" si="2"/>
        <v>12.681485243739949</v>
      </c>
      <c r="G75" s="110">
        <f t="shared" si="21"/>
        <v>0.28412360734237374</v>
      </c>
      <c r="H75" s="412" t="b">
        <f>Wh_hp&gt;='2027'!Maxi_hp</f>
        <v>0</v>
      </c>
      <c r="I75" s="388">
        <f>IF(H75,Wh_hp,'2027'!Maxi_hp)</f>
        <v>30.966593074683484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6.1861448840973332E-2</v>
      </c>
      <c r="M75" s="832"/>
      <c r="N75" s="832"/>
      <c r="O75" s="48">
        <f>IF(t&lt;Tnet,'2027'!Resal+('2027'!Salim-'2027'!Resal)*(1-EXP(('2027'!Tnet-t)/('2027'!Tau_j))),Resal+(Salim-Resal)*(1-EXP((Tnet-t)/(Tau_j))))*Salcycl</f>
        <v>3.5529152264487732E-2</v>
      </c>
      <c r="P75" s="169">
        <f>(INDEX(Models!$BJ75:$BT75,,T75)*(1-R75)+INDEX(Models!$BJ75:$BT75,,T75+1)*R75-ERP_i)*Q75*Ramure*Pc/MaxiM</f>
        <v>3.8732974801469207E-4</v>
      </c>
      <c r="Q75" s="304">
        <f t="shared" si="4"/>
        <v>0.6</v>
      </c>
      <c r="R75" s="177">
        <f t="shared" si="5"/>
        <v>0.48151671010661201</v>
      </c>
      <c r="S75" s="799">
        <f t="shared" si="6"/>
        <v>-1</v>
      </c>
      <c r="T75" s="176">
        <f t="shared" si="7"/>
        <v>5</v>
      </c>
      <c r="U75" s="250">
        <f t="shared" si="8"/>
        <v>-0.51848328989338799</v>
      </c>
      <c r="V75" s="382">
        <f t="shared" si="9"/>
        <v>40.369246281649808</v>
      </c>
      <c r="W75" s="400">
        <f t="shared" si="10"/>
        <v>11.474300217046766</v>
      </c>
      <c r="X75" s="157">
        <f t="shared" si="11"/>
        <v>46813</v>
      </c>
      <c r="Y75" s="383">
        <f t="shared" si="12"/>
        <v>11.006565268030561</v>
      </c>
      <c r="Z75" s="383">
        <f t="shared" si="22"/>
        <v>11.732345136475269</v>
      </c>
      <c r="AA75" s="384">
        <f t="shared" si="13"/>
        <v>12.681485243739949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7.4844554010991063E-2</v>
      </c>
      <c r="AD75" s="230">
        <f>(INDEX(Models!$BJ75:$BT75,,AH75)*(1-AF75)+INDEX(Models!$BJ75:$BT75,,AH75+1)*AF75-ERP_i)*AE75*Ramure*Pc/MaxiM</f>
        <v>4.6408866079022991E-3</v>
      </c>
      <c r="AE75" s="304">
        <f t="shared" si="15"/>
        <v>0.6</v>
      </c>
      <c r="AF75" s="177">
        <f t="shared" si="23"/>
        <v>6.5042764805904874E-3</v>
      </c>
      <c r="AG75" s="799">
        <f t="shared" si="24"/>
        <v>3</v>
      </c>
      <c r="AH75" s="176">
        <f t="shared" si="16"/>
        <v>9</v>
      </c>
      <c r="AI75" s="224">
        <f t="shared" si="17"/>
        <v>3.0065042764805905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'2027'!Wh/'2027'!Env_an*'2028'!Env_an</f>
        <v>35.206084827162009</v>
      </c>
      <c r="C76" s="829"/>
      <c r="D76" s="391">
        <f t="shared" si="0"/>
        <v>37.528315527787065</v>
      </c>
      <c r="E76" s="383">
        <f t="shared" si="1"/>
        <v>38.913888224348788</v>
      </c>
      <c r="F76" s="383">
        <f t="shared" si="2"/>
        <v>38.925475643054718</v>
      </c>
      <c r="G76" s="110">
        <f t="shared" si="21"/>
        <v>0.86470155178707775</v>
      </c>
      <c r="H76" s="412" t="b">
        <f>Wh_hp&gt;='2027'!Maxi_hp</f>
        <v>0</v>
      </c>
      <c r="I76" s="388">
        <f>IF(H76,Wh_hp,'2027'!Maxi_hp)</f>
        <v>38.927332528635397</v>
      </c>
      <c r="J76" s="85">
        <f>IF(H76,An,'2027'!An_max)</f>
        <v>2027</v>
      </c>
      <c r="K76" s="197">
        <f t="shared" si="3"/>
        <v>46814</v>
      </c>
      <c r="L76" s="147">
        <f>IF(t&lt;Tvie,1-EXP((T0-t)*PertePVj)+'2027'!Pspv,1-EXP((T0-t)*PertePVj)+Pspv)</f>
        <v>6.1879428052282526E-2</v>
      </c>
      <c r="M76" s="832"/>
      <c r="N76" s="832"/>
      <c r="O76" s="48">
        <f>IF(t&lt;Tnet,'2027'!Resal+('2027'!Salim-'2027'!Resal)*(1-EXP(('2027'!Tnet-t)/('2027'!Tau_j))),Resal+(Salim-Resal)*(1-EXP((Tnet-t)/(Tau_j))))*Salcycl</f>
        <v>3.5606123155145379E-2</v>
      </c>
      <c r="P76" s="169">
        <f>(INDEX(Models!$BJ76:$BT76,,T76)*(1-R76)+INDEX(Models!$BJ76:$BT76,,T76+1)*R76-ERP_i)*Q76*Ramure*Pc/MaxiM</f>
        <v>3.6896435554157611E-4</v>
      </c>
      <c r="Q76" s="304">
        <f t="shared" si="4"/>
        <v>0.6</v>
      </c>
      <c r="R76" s="177">
        <f t="shared" si="5"/>
        <v>0.48185033851646986</v>
      </c>
      <c r="S76" s="799">
        <f t="shared" si="6"/>
        <v>-1</v>
      </c>
      <c r="T76" s="176">
        <f t="shared" si="7"/>
        <v>5</v>
      </c>
      <c r="U76" s="250">
        <f t="shared" si="8"/>
        <v>-0.51814966148353014</v>
      </c>
      <c r="V76" s="382">
        <f t="shared" si="9"/>
        <v>40.711820672967896</v>
      </c>
      <c r="W76" s="400">
        <f t="shared" si="10"/>
        <v>35.206084827162009</v>
      </c>
      <c r="X76" s="157">
        <f t="shared" si="11"/>
        <v>46814</v>
      </c>
      <c r="Y76" s="383">
        <f t="shared" si="12"/>
        <v>33.66105536861938</v>
      </c>
      <c r="Z76" s="383">
        <f t="shared" si="22"/>
        <v>35.881374287243908</v>
      </c>
      <c r="AA76" s="384">
        <f t="shared" si="13"/>
        <v>38.785712688191758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7.4881656147369705E-2</v>
      </c>
      <c r="AD76" s="230">
        <f>(INDEX(Models!$BJ76:$BT76,,AH76)*(1-AF76)+INDEX(Models!$BJ76:$BT76,,AH76+1)*AF76-ERP_i)*AE76*Ramure*Pc/MaxiM</f>
        <v>4.4503051005834477E-3</v>
      </c>
      <c r="AE76" s="304">
        <f t="shared" si="15"/>
        <v>0.6</v>
      </c>
      <c r="AF76" s="177">
        <f t="shared" si="23"/>
        <v>6.8379048904483319E-3</v>
      </c>
      <c r="AG76" s="799">
        <f t="shared" si="24"/>
        <v>3</v>
      </c>
      <c r="AH76" s="176">
        <f t="shared" si="16"/>
        <v>9</v>
      </c>
      <c r="AI76" s="224">
        <f t="shared" si="17"/>
        <v>3.0068379048904483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'2027'!Wh/'2027'!Env_an*'2028'!Env_an</f>
        <v>3.7829931873757534</v>
      </c>
      <c r="C77" s="829"/>
      <c r="D77" s="391">
        <f t="shared" si="0"/>
        <v>4.0326007147591483</v>
      </c>
      <c r="E77" s="383">
        <f t="shared" si="1"/>
        <v>4.1818207262380165</v>
      </c>
      <c r="F77" s="383">
        <f t="shared" si="2"/>
        <v>4.1818207262380165</v>
      </c>
      <c r="G77" s="110">
        <f t="shared" si="21"/>
        <v>9.2112648651336032E-2</v>
      </c>
      <c r="H77" s="412" t="b">
        <f>Wh_hp&gt;='2027'!Maxi_hp</f>
        <v>0</v>
      </c>
      <c r="I77" s="388">
        <f>IF(H77,Wh_hp,'2027'!Maxi_hp)</f>
        <v>32.038386239307918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6.1897406919024234E-2</v>
      </c>
      <c r="M77" s="832"/>
      <c r="N77" s="832"/>
      <c r="O77" s="48">
        <f>IF(t&lt;Tnet,'2027'!Resal+('2027'!Salim-'2027'!Resal)*(1-EXP(('2027'!Tnet-t)/('2027'!Tau_j))),Resal+(Salim-Resal)*(1-EXP((Tnet-t)/(Tau_j))))*Salcycl</f>
        <v>3.5683024511934801E-2</v>
      </c>
      <c r="P77" s="169">
        <f>(INDEX(Models!$BJ77:$BT77,,T77)*(1-R77)+INDEX(Models!$BJ77:$BT77,,T77+1)*R77-ERP_i)*Q77*Ramure*Pc/MaxiM</f>
        <v>3.5166058305132684E-4</v>
      </c>
      <c r="Q77" s="304">
        <f t="shared" si="4"/>
        <v>0.6</v>
      </c>
      <c r="R77" s="177">
        <f t="shared" si="5"/>
        <v>0.48219748306156818</v>
      </c>
      <c r="S77" s="799">
        <f t="shared" si="6"/>
        <v>-1</v>
      </c>
      <c r="T77" s="176">
        <f t="shared" si="7"/>
        <v>5</v>
      </c>
      <c r="U77" s="250">
        <f t="shared" si="8"/>
        <v>-0.51780251693843182</v>
      </c>
      <c r="V77" s="382">
        <f t="shared" si="9"/>
        <v>41.054761893777666</v>
      </c>
      <c r="W77" s="400">
        <f t="shared" si="10"/>
        <v>3.7829931873757534</v>
      </c>
      <c r="X77" s="157">
        <f t="shared" si="11"/>
        <v>46815</v>
      </c>
      <c r="Y77" s="383">
        <f t="shared" si="12"/>
        <v>3.6290723950900965</v>
      </c>
      <c r="Z77" s="383">
        <f t="shared" si="22"/>
        <v>3.868523999247532</v>
      </c>
      <c r="AA77" s="384">
        <f t="shared" si="13"/>
        <v>4.1818207262380165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7.4918736957030579E-2</v>
      </c>
      <c r="AD77" s="230">
        <f>(INDEX(Models!$BJ77:$BT77,,AH77)*(1-AF77)+INDEX(Models!$BJ77:$BT77,,AH77+1)*AF77-ERP_i)*AE77*Ramure*Pc/MaxiM</f>
        <v>4.2625898498212505E-3</v>
      </c>
      <c r="AE77" s="304">
        <f t="shared" si="15"/>
        <v>0.6</v>
      </c>
      <c r="AF77" s="177">
        <f t="shared" si="23"/>
        <v>7.1850494355465422E-3</v>
      </c>
      <c r="AG77" s="799">
        <f t="shared" si="24"/>
        <v>3</v>
      </c>
      <c r="AH77" s="176">
        <f t="shared" si="16"/>
        <v>9</v>
      </c>
      <c r="AI77" s="224">
        <f t="shared" si="17"/>
        <v>3.0071850494355465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'2027'!Wh/'2027'!Env_an*'2028'!Env_an</f>
        <v>13.025326669388869</v>
      </c>
      <c r="C78" s="829"/>
      <c r="D78" s="391">
        <f t="shared" si="0"/>
        <v>13.885023234833684</v>
      </c>
      <c r="E78" s="383">
        <f t="shared" si="1"/>
        <v>14.399963959496818</v>
      </c>
      <c r="F78" s="383">
        <f t="shared" si="2"/>
        <v>14.400064942155538</v>
      </c>
      <c r="G78" s="110">
        <f t="shared" si="21"/>
        <v>0.31453276678776404</v>
      </c>
      <c r="H78" s="412" t="b">
        <f>Wh_hp&gt;='2027'!Maxi_hp</f>
        <v>0</v>
      </c>
      <c r="I78" s="388">
        <f>IF(H78,Wh_hp,'2027'!Maxi_hp)</f>
        <v>38.035034481034316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6.1915385441205006E-2</v>
      </c>
      <c r="M78" s="832"/>
      <c r="N78" s="832"/>
      <c r="O78" s="48">
        <f>IF(t&lt;Tnet,'2027'!Resal+('2027'!Salim-'2027'!Resal)*(1-EXP(('2027'!Tnet-t)/('2027'!Tau_j))),Resal+(Salim-Resal)*(1-EXP((Tnet-t)/(Tau_j))))*Salcycl</f>
        <v>3.575986204628856E-2</v>
      </c>
      <c r="P78" s="169">
        <f>(INDEX(Models!$BJ78:$BT78,,T78)*(1-R78)+INDEX(Models!$BJ78:$BT78,,T78+1)*R78-ERP_i)*Q78*Ramure*Pc/MaxiM</f>
        <v>3.3539406520194419E-4</v>
      </c>
      <c r="Q78" s="304">
        <f t="shared" si="4"/>
        <v>0.6</v>
      </c>
      <c r="R78" s="177">
        <f t="shared" si="5"/>
        <v>0.48255867073346381</v>
      </c>
      <c r="S78" s="799">
        <f t="shared" si="6"/>
        <v>-1</v>
      </c>
      <c r="T78" s="176">
        <f t="shared" si="7"/>
        <v>5</v>
      </c>
      <c r="U78" s="250">
        <f t="shared" si="8"/>
        <v>-0.51744132926653619</v>
      </c>
      <c r="V78" s="382">
        <f t="shared" si="9"/>
        <v>41.398069578594274</v>
      </c>
      <c r="W78" s="400">
        <f t="shared" si="10"/>
        <v>13.025326669388869</v>
      </c>
      <c r="X78" s="157">
        <f t="shared" si="11"/>
        <v>46816</v>
      </c>
      <c r="Y78" s="383">
        <f t="shared" si="12"/>
        <v>12.494874989953818</v>
      </c>
      <c r="Z78" s="383">
        <f t="shared" si="22"/>
        <v>13.319560726225614</v>
      </c>
      <c r="AA78" s="384">
        <f t="shared" si="13"/>
        <v>14.398837206335768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7.4955808211738834E-2</v>
      </c>
      <c r="AD78" s="230">
        <f>(INDEX(Models!$BJ78:$BT78,,AH78)*(1-AF78)+INDEX(Models!$BJ78:$BT78,,AH78+1)*AF78-ERP_i)*AE78*Ramure*Pc/MaxiM</f>
        <v>4.0776833646768715E-3</v>
      </c>
      <c r="AE78" s="304">
        <f t="shared" si="15"/>
        <v>0.6</v>
      </c>
      <c r="AF78" s="177">
        <f t="shared" si="23"/>
        <v>7.5462371074421775E-3</v>
      </c>
      <c r="AG78" s="799">
        <f t="shared" si="24"/>
        <v>3</v>
      </c>
      <c r="AH78" s="176">
        <f t="shared" si="16"/>
        <v>9</v>
      </c>
      <c r="AI78" s="224">
        <f t="shared" si="17"/>
        <v>3.0075462371074422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'2027'!Wh/'2027'!Env_an*'2028'!Env_an</f>
        <v>15.702917520609363</v>
      </c>
      <c r="C79" s="829"/>
      <c r="D79" s="391">
        <f t="shared" ref="D79:D142" si="25">Wh/(1-Ppv)</f>
        <v>16.739661034302824</v>
      </c>
      <c r="E79" s="383">
        <f t="shared" si="1"/>
        <v>17.361851494530615</v>
      </c>
      <c r="F79" s="383">
        <f t="shared" ref="F79:F142" si="26">Wh_sa/(1-Pvg*MEDIAN((-Sdif+Wh/Env_an)/Csdif,0,1))</f>
        <v>17.362456415586344</v>
      </c>
      <c r="G79" s="110">
        <f t="shared" si="21"/>
        <v>0.37607516409798963</v>
      </c>
      <c r="H79" s="412" t="b">
        <f>Wh_hp&gt;='2027'!Maxi_hp</f>
        <v>0</v>
      </c>
      <c r="I79" s="388">
        <f>IF(H79,Wh_hp,'2027'!Maxi_hp)</f>
        <v>17.365753765152618</v>
      </c>
      <c r="J79" s="85">
        <f>IF(H79,An,'2027'!An_max)</f>
        <v>2027</v>
      </c>
      <c r="K79" s="197">
        <f t="shared" ref="K79:K142" si="27">t</f>
        <v>46817</v>
      </c>
      <c r="L79" s="147">
        <f>IF(t&lt;Tvie,1-EXP((T0-t)*PertePVj)+'2027'!Pspv,1-EXP((T0-t)*PertePVj)+Pspv)</f>
        <v>6.1933363618831505E-2</v>
      </c>
      <c r="M79" s="832"/>
      <c r="N79" s="832"/>
      <c r="O79" s="48">
        <f>IF(t&lt;Tnet,'2027'!Resal+('2027'!Salim-'2027'!Resal)*(1-EXP(('2027'!Tnet-t)/('2027'!Tau_j))),Resal+(Salim-Resal)*(1-EXP((Tnet-t)/(Tau_j))))*Salcycl</f>
        <v>3.5836642216631923E-2</v>
      </c>
      <c r="P79" s="169">
        <f>(INDEX(Models!$BJ79:$BT79,,T79)*(1-R79)+INDEX(Models!$BJ79:$BT79,,T79+1)*R79-ERP_i)*Q79*Ramure*Pc/MaxiM</f>
        <v>3.2013297521714835E-4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0.48293444734336188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-0.51706555265663812</v>
      </c>
      <c r="V79" s="382">
        <f t="shared" ref="V79:V142" si="33">MaxiM*(1-Ppv)*(1-Pvg)*(1-Psa)</f>
        <v>41.742818837659989</v>
      </c>
      <c r="W79" s="400">
        <f t="shared" ref="W79:W142" si="34">Wh*(A79&gt;Tmaj)</f>
        <v>15.702917520609363</v>
      </c>
      <c r="X79" s="157">
        <f t="shared" ref="X79:X142" si="35">t</f>
        <v>46817</v>
      </c>
      <c r="Y79" s="383">
        <f t="shared" ref="Y79:Y142" si="36">Wh_pvt_s*(1-Ppv)</f>
        <v>15.05933433978908</v>
      </c>
      <c r="Z79" s="383">
        <f t="shared" ref="Z79:Z142" si="37">Wh_sa_s*(1-Psa_s)</f>
        <v>16.053586979582075</v>
      </c>
      <c r="AA79" s="384">
        <f t="shared" ref="AA79:AA142" si="38">Wh_hp*(1-Pvg_s*MEDIAN((-Sdif+Wh/Env_an)/Csdif,0,1))</f>
        <v>17.355095639251221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7.4992883169458527E-2</v>
      </c>
      <c r="AD79" s="230">
        <f>(INDEX(Models!$BJ79:$BT79,,AH79)*(1-AF79)+INDEX(Models!$BJ79:$BT79,,AH79+1)*AF79-ERP_i)*AE79*Ramure*Pc/MaxiM</f>
        <v>3.8954293386686861E-3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7.9220137173403593E-3</v>
      </c>
      <c r="AG79" s="799">
        <f t="shared" si="24"/>
        <v>3</v>
      </c>
      <c r="AH79" s="176">
        <f t="shared" ref="AH79:AH142" si="42">MIN(MATCH(Hp_vg_s,Echel_vg),10)</f>
        <v>9</v>
      </c>
      <c r="AI79" s="224">
        <f t="shared" ref="AI79:AI142" si="43">IF(OR(t&lt;Ttai,Notai),Hdd_s+PousH*Croivg,Hdtai_s+PousH*(Croivg-Croi_tai))</f>
        <v>3.0079220137173404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'2027'!Wh/'2027'!Env_an*'2028'!Env_an</f>
        <v>38.679871479443889</v>
      </c>
      <c r="C80" s="829"/>
      <c r="D80" s="391">
        <f t="shared" si="25"/>
        <v>41.234397732962528</v>
      </c>
      <c r="E80" s="383">
        <f t="shared" ref="E80:E143" si="47">Wh_pvt/(1-Psa)</f>
        <v>42.77042803513789</v>
      </c>
      <c r="F80" s="383">
        <f t="shared" si="26"/>
        <v>42.782007270969743</v>
      </c>
      <c r="G80" s="110">
        <f t="shared" ref="G80:G143" si="48">+Wh_hp/MaxiM</f>
        <v>0.91895311051984641</v>
      </c>
      <c r="H80" s="412" t="b">
        <f>Wh_hp&gt;='2027'!Maxi_hp</f>
        <v>0</v>
      </c>
      <c r="I80" s="388">
        <f>IF(H80,Wh_hp,'2027'!Maxi_hp)</f>
        <v>42.783013737775441</v>
      </c>
      <c r="J80" s="85">
        <f>IF(H80,An,'2027'!An_max)</f>
        <v>2027</v>
      </c>
      <c r="K80" s="197">
        <f t="shared" si="27"/>
        <v>46818</v>
      </c>
      <c r="L80" s="147">
        <f>IF(t&lt;Tvie,1-EXP((T0-t)*PertePVj)+'2027'!Pspv,1-EXP((T0-t)*PertePVj)+Pspv)</f>
        <v>6.1951341451910391E-2</v>
      </c>
      <c r="M80" s="832"/>
      <c r="N80" s="832"/>
      <c r="O80" s="48">
        <f>IF(t&lt;Tnet,'2027'!Resal+('2027'!Salim-'2027'!Resal)*(1-EXP(('2027'!Tnet-t)/('2027'!Tau_j))),Resal+(Salim-Resal)*(1-EXP((Tnet-t)/(Tau_j))))*Salcycl</f>
        <v>3.5913372223290357E-2</v>
      </c>
      <c r="P80" s="169">
        <f>(INDEX(Models!$BJ80:$BT80,,T80)*(1-R80)+INDEX(Models!$BJ80:$BT80,,T80+1)*R80-ERP_i)*Q80*Ramure*Pc/MaxiM</f>
        <v>3.0608086820953505E-4</v>
      </c>
      <c r="Q80" s="304">
        <f t="shared" si="28"/>
        <v>0.6</v>
      </c>
      <c r="R80" s="177">
        <f t="shared" si="29"/>
        <v>0.48332537804779752</v>
      </c>
      <c r="S80" s="799">
        <f t="shared" si="30"/>
        <v>-1</v>
      </c>
      <c r="T80" s="176">
        <f t="shared" si="31"/>
        <v>5</v>
      </c>
      <c r="U80" s="250">
        <f t="shared" si="32"/>
        <v>-0.51667462195220248</v>
      </c>
      <c r="V80" s="382">
        <f t="shared" si="33"/>
        <v>42.089743712127664</v>
      </c>
      <c r="W80" s="400">
        <f t="shared" si="34"/>
        <v>38.679871479443889</v>
      </c>
      <c r="X80" s="157">
        <f t="shared" si="35"/>
        <v>46818</v>
      </c>
      <c r="Y80" s="383">
        <f t="shared" si="36"/>
        <v>36.998440336297364</v>
      </c>
      <c r="Z80" s="383">
        <f t="shared" si="37"/>
        <v>39.441920202267013</v>
      </c>
      <c r="AA80" s="384">
        <f t="shared" si="38"/>
        <v>42.641295612191833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7.5029976551886673E-2</v>
      </c>
      <c r="AD80" s="230">
        <f>(INDEX(Models!$BJ80:$BT80,,AH80)*(1-AF80)+INDEX(Models!$BJ80:$BT80,,AH80+1)*AF80-ERP_i)*AE80*Ramure*Pc/MaxiM</f>
        <v>3.719515459514267E-3</v>
      </c>
      <c r="AE80" s="304">
        <f t="shared" si="40"/>
        <v>0.6</v>
      </c>
      <c r="AF80" s="177">
        <f t="shared" si="41"/>
        <v>8.3129444217759918E-3</v>
      </c>
      <c r="AG80" s="799">
        <f t="shared" ref="AG80:AG143" si="49">INDEX(Echel_vg,AH80)</f>
        <v>3</v>
      </c>
      <c r="AH80" s="176">
        <f t="shared" si="42"/>
        <v>9</v>
      </c>
      <c r="AI80" s="224">
        <f t="shared" si="43"/>
        <v>3.008312944421776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'2027'!Wh/'2027'!Env_an*'2028'!Env_an</f>
        <v>31.522312043293422</v>
      </c>
      <c r="C81" s="829"/>
      <c r="D81" s="391">
        <f t="shared" si="25"/>
        <v>33.604777199491402</v>
      </c>
      <c r="E81" s="383">
        <f t="shared" si="47"/>
        <v>34.859367943293215</v>
      </c>
      <c r="F81" s="383">
        <f t="shared" si="26"/>
        <v>34.865828983580911</v>
      </c>
      <c r="G81" s="110">
        <f t="shared" si="48"/>
        <v>0.74269881739194643</v>
      </c>
      <c r="H81" s="412" t="b">
        <f>Wh_hp&gt;='2027'!Maxi_hp</f>
        <v>0</v>
      </c>
      <c r="I81" s="388">
        <f>IF(H81,Wh_hp,'2027'!Maxi_hp)</f>
        <v>34.868314816478737</v>
      </c>
      <c r="J81" s="85">
        <f>IF(H81,An,'2027'!An_max)</f>
        <v>2027</v>
      </c>
      <c r="K81" s="197">
        <f t="shared" si="27"/>
        <v>46819</v>
      </c>
      <c r="L81" s="147">
        <f>IF(t&lt;Tvie,1-EXP((T0-t)*PertePVj)+'2027'!Pspv,1-EXP((T0-t)*PertePVj)+Pspv)</f>
        <v>6.1969318940448104E-2</v>
      </c>
      <c r="M81" s="832"/>
      <c r="N81" s="832"/>
      <c r="O81" s="48">
        <f>IF(t&lt;Tnet,'2027'!Resal+('2027'!Salim-'2027'!Resal)*(1-EXP(('2027'!Tnet-t)/('2027'!Tau_j))),Resal+(Salim-Resal)*(1-EXP((Tnet-t)/(Tau_j))))*Salcycl</f>
        <v>3.5990059998870054E-2</v>
      </c>
      <c r="P81" s="169">
        <f>(INDEX(Models!$BJ81:$BT81,,T81)*(1-R81)+INDEX(Models!$BJ81:$BT81,,T81+1)*R81-ERP_i)*Q81*Ramure*Pc/MaxiM</f>
        <v>2.9296361136408829E-4</v>
      </c>
      <c r="Q81" s="304">
        <f t="shared" si="28"/>
        <v>0.6</v>
      </c>
      <c r="R81" s="177">
        <f t="shared" si="29"/>
        <v>0.48373204787600754</v>
      </c>
      <c r="S81" s="799">
        <f t="shared" si="30"/>
        <v>-1</v>
      </c>
      <c r="T81" s="176">
        <f t="shared" si="31"/>
        <v>5</v>
      </c>
      <c r="U81" s="250">
        <f t="shared" si="32"/>
        <v>-0.51626795212399246</v>
      </c>
      <c r="V81" s="382">
        <f t="shared" si="33"/>
        <v>42.438357560162608</v>
      </c>
      <c r="W81" s="400">
        <f t="shared" si="34"/>
        <v>31.522312043293422</v>
      </c>
      <c r="X81" s="157">
        <f t="shared" si="35"/>
        <v>46819</v>
      </c>
      <c r="Y81" s="383">
        <f t="shared" si="36"/>
        <v>30.182164834574305</v>
      </c>
      <c r="Z81" s="383">
        <f t="shared" si="37"/>
        <v>32.176095562761404</v>
      </c>
      <c r="AA81" s="384">
        <f t="shared" si="38"/>
        <v>34.787491849140238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7.5067104512835797E-2</v>
      </c>
      <c r="AD81" s="230">
        <f>(INDEX(Models!$BJ81:$BT81,,AH81)*(1-AF81)+INDEX(Models!$BJ81:$BT81,,AH81+1)*AF81-ERP_i)*AE81*Ramure*Pc/MaxiM</f>
        <v>3.5520487085266808E-3</v>
      </c>
      <c r="AE81" s="304">
        <f t="shared" si="40"/>
        <v>0.6</v>
      </c>
      <c r="AF81" s="177">
        <f t="shared" si="41"/>
        <v>8.7196142499861296E-3</v>
      </c>
      <c r="AG81" s="799">
        <f t="shared" si="49"/>
        <v>3</v>
      </c>
      <c r="AH81" s="176">
        <f t="shared" si="42"/>
        <v>9</v>
      </c>
      <c r="AI81" s="224">
        <f t="shared" si="43"/>
        <v>3.0087196142499861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'2027'!Wh/'2027'!Env_an*'2028'!Env_an</f>
        <v>30.731784366296818</v>
      </c>
      <c r="C82" s="829"/>
      <c r="D82" s="391">
        <f t="shared" si="25"/>
        <v>32.762652614418826</v>
      </c>
      <c r="E82" s="383">
        <f t="shared" si="47"/>
        <v>33.988506359165733</v>
      </c>
      <c r="F82" s="383">
        <f t="shared" si="26"/>
        <v>33.994208868527096</v>
      </c>
      <c r="G82" s="110">
        <f t="shared" si="48"/>
        <v>0.71814979465356477</v>
      </c>
      <c r="H82" s="412" t="b">
        <f>Wh_hp&gt;='2027'!Maxi_hp</f>
        <v>0</v>
      </c>
      <c r="I82" s="388">
        <f>IF(H82,Wh_hp,'2027'!Maxi_hp)</f>
        <v>45.223150143497143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6.1987296084451526E-2</v>
      </c>
      <c r="M82" s="832"/>
      <c r="N82" s="832"/>
      <c r="O82" s="48">
        <f>IF(t&lt;Tnet,'2027'!Resal+('2027'!Salim-'2027'!Resal)*(1-EXP(('2027'!Tnet-t)/('2027'!Tau_j))),Resal+(Salim-Resal)*(1-EXP((Tnet-t)/(Tau_j))))*Salcycl</f>
        <v>3.6066714194291971E-2</v>
      </c>
      <c r="P82" s="169">
        <f>(INDEX(Models!$BJ82:$BT82,,T82)*(1-R82)+INDEX(Models!$BJ82:$BT82,,T82+1)*R82-ERP_i)*Q82*Ramure*Pc/MaxiM</f>
        <v>2.8076496212558669E-4</v>
      </c>
      <c r="Q82" s="304">
        <f t="shared" si="28"/>
        <v>0.6</v>
      </c>
      <c r="R82" s="177">
        <f t="shared" si="29"/>
        <v>0.48415506225759453</v>
      </c>
      <c r="S82" s="799">
        <f t="shared" si="30"/>
        <v>-1</v>
      </c>
      <c r="T82" s="176">
        <f t="shared" si="31"/>
        <v>5</v>
      </c>
      <c r="U82" s="250">
        <f t="shared" si="32"/>
        <v>-0.51584493774240547</v>
      </c>
      <c r="V82" s="382">
        <f t="shared" si="33"/>
        <v>42.788163198762874</v>
      </c>
      <c r="W82" s="400">
        <f t="shared" si="34"/>
        <v>30.731784366296818</v>
      </c>
      <c r="X82" s="157">
        <f t="shared" si="35"/>
        <v>46820</v>
      </c>
      <c r="Y82" s="383">
        <f t="shared" si="36"/>
        <v>29.432364125225433</v>
      </c>
      <c r="Z82" s="383">
        <f t="shared" si="37"/>
        <v>31.37736195081991</v>
      </c>
      <c r="AA82" s="384">
        <f t="shared" si="38"/>
        <v>33.925297120854367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7.5104284597944035E-2</v>
      </c>
      <c r="AD82" s="230">
        <f>(INDEX(Models!$BJ82:$BT82,,AH82)*(1-AF82)+INDEX(Models!$BJ82:$BT82,,AH82+1)*AF82-ERP_i)*AE82*Ramure*Pc/MaxiM</f>
        <v>3.3928930229262717E-3</v>
      </c>
      <c r="AE82" s="304">
        <f t="shared" si="40"/>
        <v>0.6</v>
      </c>
      <c r="AF82" s="177">
        <f t="shared" si="41"/>
        <v>9.1426286315727801E-3</v>
      </c>
      <c r="AG82" s="799">
        <f t="shared" si="49"/>
        <v>3</v>
      </c>
      <c r="AH82" s="176">
        <f t="shared" si="42"/>
        <v>9</v>
      </c>
      <c r="AI82" s="224">
        <f t="shared" si="43"/>
        <v>3.0091426286315728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'2027'!Wh/'2027'!Env_an*'2028'!Env_an</f>
        <v>24.463221259466884</v>
      </c>
      <c r="C83" s="829"/>
      <c r="D83" s="391">
        <f t="shared" si="25"/>
        <v>26.080339848690492</v>
      </c>
      <c r="E83" s="383">
        <f t="shared" si="47"/>
        <v>27.058317946645651</v>
      </c>
      <c r="F83" s="383">
        <f t="shared" si="26"/>
        <v>27.061100236785762</v>
      </c>
      <c r="G83" s="110">
        <f t="shared" si="48"/>
        <v>0.56698891256860395</v>
      </c>
      <c r="H83" s="412" t="b">
        <f>Wh_hp&gt;='2027'!Maxi_hp</f>
        <v>0</v>
      </c>
      <c r="I83" s="388">
        <f>IF(H83,Wh_hp,'2027'!Maxi_hp)</f>
        <v>44.941946667610743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6.2005272883926987E-2</v>
      </c>
      <c r="M83" s="832"/>
      <c r="N83" s="832"/>
      <c r="O83" s="48">
        <f>IF(t&lt;Tnet,'2027'!Resal+('2027'!Salim-'2027'!Resal)*(1-EXP(('2027'!Tnet-t)/('2027'!Tau_j))),Resal+(Salim-Resal)*(1-EXP((Tnet-t)/(Tau_j))))*Salcycl</f>
        <v>3.6143344160696325E-2</v>
      </c>
      <c r="P83" s="169">
        <f>(INDEX(Models!$BJ83:$BT83,,T83)*(1-R83)+INDEX(Models!$BJ83:$BT83,,T83+1)*R83-ERP_i)*Q83*Ramure*Pc/MaxiM</f>
        <v>2.6946853664038721E-4</v>
      </c>
      <c r="Q83" s="304">
        <f t="shared" si="28"/>
        <v>0.6</v>
      </c>
      <c r="R83" s="177">
        <f t="shared" si="29"/>
        <v>0.48459504754893123</v>
      </c>
      <c r="S83" s="799">
        <f t="shared" si="30"/>
        <v>-1</v>
      </c>
      <c r="T83" s="176">
        <f t="shared" si="31"/>
        <v>5</v>
      </c>
      <c r="U83" s="250">
        <f t="shared" si="32"/>
        <v>-0.51540495245106877</v>
      </c>
      <c r="V83" s="382">
        <f t="shared" si="33"/>
        <v>43.138663593847212</v>
      </c>
      <c r="W83" s="400">
        <f t="shared" si="34"/>
        <v>24.463221259466884</v>
      </c>
      <c r="X83" s="157">
        <f t="shared" si="35"/>
        <v>46821</v>
      </c>
      <c r="Y83" s="383">
        <f t="shared" si="36"/>
        <v>23.446800745092059</v>
      </c>
      <c r="Z83" s="383">
        <f t="shared" si="37"/>
        <v>24.996729797384685</v>
      </c>
      <c r="AA83" s="384">
        <f t="shared" si="38"/>
        <v>27.02762721234641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7.5141535696259587E-2</v>
      </c>
      <c r="AD83" s="230">
        <f>(INDEX(Models!$BJ83:$BT83,,AH83)*(1-AF83)+INDEX(Models!$BJ83:$BT83,,AH83+1)*AF83-ERP_i)*AE83*Ramure*Pc/MaxiM</f>
        <v>3.2419073706812089E-3</v>
      </c>
      <c r="AE83" s="304">
        <f t="shared" si="40"/>
        <v>0.6</v>
      </c>
      <c r="AF83" s="177">
        <f t="shared" si="41"/>
        <v>9.5826139229098217E-3</v>
      </c>
      <c r="AG83" s="799">
        <f t="shared" si="49"/>
        <v>3</v>
      </c>
      <c r="AH83" s="176">
        <f t="shared" si="42"/>
        <v>9</v>
      </c>
      <c r="AI83" s="224">
        <f t="shared" si="43"/>
        <v>3.0095826139229098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'2027'!Wh/'2027'!Env_an*'2028'!Env_an</f>
        <v>15.171137559734944</v>
      </c>
      <c r="C84" s="829"/>
      <c r="D84" s="391">
        <f t="shared" si="25"/>
        <v>16.17432153733213</v>
      </c>
      <c r="E84" s="383">
        <f t="shared" si="47"/>
        <v>16.782171102147817</v>
      </c>
      <c r="F84" s="383">
        <f t="shared" si="26"/>
        <v>16.782474486798879</v>
      </c>
      <c r="G84" s="110">
        <f t="shared" si="48"/>
        <v>0.34876302841063461</v>
      </c>
      <c r="H84" s="412" t="b">
        <f>Wh_hp&gt;='2027'!Maxi_hp</f>
        <v>0</v>
      </c>
      <c r="I84" s="388">
        <f>IF(H84,Wh_hp,'2027'!Maxi_hp)</f>
        <v>33.644561072825525</v>
      </c>
      <c r="J84" s="85">
        <f>IF(H84,An,'2027'!An_max)</f>
        <v>2020</v>
      </c>
      <c r="K84" s="197">
        <f t="shared" si="27"/>
        <v>46822</v>
      </c>
      <c r="L84" s="147">
        <f>IF(t&lt;Tvie,1-EXP((T0-t)*PertePVj)+'2027'!Pspv,1-EXP((T0-t)*PertePVj)+Pspv)</f>
        <v>6.2023249338881148E-2</v>
      </c>
      <c r="M84" s="832"/>
      <c r="N84" s="832"/>
      <c r="O84" s="48">
        <f>IF(t&lt;Tnet,'2027'!Resal+('2027'!Salim-'2027'!Resal)*(1-EXP(('2027'!Tnet-t)/('2027'!Tau_j))),Resal+(Salim-Resal)*(1-EXP((Tnet-t)/(Tau_j))))*Salcycl</f>
        <v>3.6219959927466905E-2</v>
      </c>
      <c r="P84" s="169">
        <f>(INDEX(Models!$BJ84:$BT84,,T84)*(1-R84)+INDEX(Models!$BJ84:$BT84,,T84+1)*R84-ERP_i)*Q84*Ramure*Pc/MaxiM</f>
        <v>2.5905793912365404E-4</v>
      </c>
      <c r="Q84" s="304">
        <f t="shared" si="28"/>
        <v>0.6</v>
      </c>
      <c r="R84" s="177">
        <f t="shared" si="29"/>
        <v>0.48505265155659605</v>
      </c>
      <c r="S84" s="799">
        <f t="shared" si="30"/>
        <v>-1</v>
      </c>
      <c r="T84" s="176">
        <f t="shared" si="31"/>
        <v>5</v>
      </c>
      <c r="U84" s="250">
        <f t="shared" si="32"/>
        <v>-0.51494734844340395</v>
      </c>
      <c r="V84" s="382">
        <f t="shared" si="33"/>
        <v>43.489361859519228</v>
      </c>
      <c r="W84" s="400">
        <f t="shared" si="34"/>
        <v>15.171137559734944</v>
      </c>
      <c r="X84" s="157">
        <f t="shared" si="35"/>
        <v>46822</v>
      </c>
      <c r="Y84" s="383">
        <f t="shared" si="36"/>
        <v>14.554989062247518</v>
      </c>
      <c r="Z84" s="383">
        <f t="shared" si="37"/>
        <v>15.517430524785025</v>
      </c>
      <c r="AA84" s="384">
        <f t="shared" si="38"/>
        <v>16.778845287361094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7.5178877984306045E-2</v>
      </c>
      <c r="AD84" s="230">
        <f>(INDEX(Models!$BJ84:$BT84,,AH84)*(1-AF84)+INDEX(Models!$BJ84:$BT84,,AH84+1)*AF84-ERP_i)*AE84*Ramure*Pc/MaxiM</f>
        <v>3.0989469102266414E-3</v>
      </c>
      <c r="AE84" s="304">
        <f t="shared" si="40"/>
        <v>0.6</v>
      </c>
      <c r="AF84" s="177">
        <f t="shared" si="41"/>
        <v>1.0040217930574524E-2</v>
      </c>
      <c r="AG84" s="799">
        <f t="shared" si="49"/>
        <v>3</v>
      </c>
      <c r="AH84" s="176">
        <f t="shared" si="42"/>
        <v>9</v>
      </c>
      <c r="AI84" s="224">
        <f t="shared" si="43"/>
        <v>3.0100402179305745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'2027'!Wh/'2027'!Env_an*'2028'!Env_an</f>
        <v>15.789712379077356</v>
      </c>
      <c r="C85" s="829"/>
      <c r="D85" s="391">
        <f t="shared" si="25"/>
        <v>16.834121933174806</v>
      </c>
      <c r="E85" s="383">
        <f t="shared" si="47"/>
        <v>17.468156122674504</v>
      </c>
      <c r="F85" s="383">
        <f t="shared" si="26"/>
        <v>17.468530775773928</v>
      </c>
      <c r="G85" s="110">
        <f t="shared" si="48"/>
        <v>0.36008661307689505</v>
      </c>
      <c r="H85" s="412" t="b">
        <f>Wh_hp&gt;='2027'!Maxi_hp</f>
        <v>0</v>
      </c>
      <c r="I85" s="388">
        <f>IF(H85,Wh_hp,'2027'!Maxi_hp)</f>
        <v>43.401527185164618</v>
      </c>
      <c r="J85" s="85">
        <f>IF(H85,An,'2027'!An_max)</f>
        <v>2020</v>
      </c>
      <c r="K85" s="197">
        <f t="shared" si="27"/>
        <v>46823</v>
      </c>
      <c r="L85" s="147">
        <f>IF(t&lt;Tvie,1-EXP((T0-t)*PertePVj)+'2027'!Pspv,1-EXP((T0-t)*PertePVj)+Pspv)</f>
        <v>6.2041225449320669E-2</v>
      </c>
      <c r="M85" s="832"/>
      <c r="N85" s="832"/>
      <c r="O85" s="48">
        <f>IF(t&lt;Tnet,'2027'!Resal+('2027'!Salim-'2027'!Resal)*(1-EXP(('2027'!Tnet-t)/('2027'!Tau_j))),Resal+(Salim-Resal)*(1-EXP((Tnet-t)/(Tau_j))))*Salcycl</f>
        <v>3.6296572176653004E-2</v>
      </c>
      <c r="P85" s="169">
        <f>(INDEX(Models!$BJ85:$BT85,,T85)*(1-R85)+INDEX(Models!$BJ85:$BT85,,T85+1)*R85-ERP_i)*Q85*Ramure*Pc/MaxiM</f>
        <v>2.4951688548733713E-4</v>
      </c>
      <c r="Q85" s="304">
        <f t="shared" si="28"/>
        <v>0.6</v>
      </c>
      <c r="R85" s="177">
        <f t="shared" si="29"/>
        <v>0.48552854405595136</v>
      </c>
      <c r="S85" s="799">
        <f t="shared" si="30"/>
        <v>-1</v>
      </c>
      <c r="T85" s="176">
        <f t="shared" si="31"/>
        <v>5</v>
      </c>
      <c r="U85" s="250">
        <f t="shared" si="32"/>
        <v>-0.51447145594404864</v>
      </c>
      <c r="V85" s="382">
        <f t="shared" si="33"/>
        <v>43.839761256452995</v>
      </c>
      <c r="W85" s="400">
        <f t="shared" si="34"/>
        <v>15.789712379077356</v>
      </c>
      <c r="X85" s="157">
        <f t="shared" si="35"/>
        <v>46823</v>
      </c>
      <c r="Y85" s="383">
        <f t="shared" si="36"/>
        <v>15.148499812523372</v>
      </c>
      <c r="Z85" s="383">
        <f t="shared" si="37"/>
        <v>16.150496400846748</v>
      </c>
      <c r="AA85" s="384">
        <f t="shared" si="38"/>
        <v>17.46408049230735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7.5216332863285579E-2</v>
      </c>
      <c r="AD85" s="230">
        <f>(INDEX(Models!$BJ85:$BT85,,AH85)*(1-AF85)+INDEX(Models!$BJ85:$BT85,,AH85+1)*AF85-ERP_i)*AE85*Ramure*Pc/MaxiM</f>
        <v>2.9638640967591962E-3</v>
      </c>
      <c r="AE85" s="304">
        <f t="shared" si="40"/>
        <v>0.6</v>
      </c>
      <c r="AF85" s="177">
        <f t="shared" si="41"/>
        <v>1.0516110429929615E-2</v>
      </c>
      <c r="AG85" s="799">
        <f t="shared" si="49"/>
        <v>3</v>
      </c>
      <c r="AH85" s="176">
        <f t="shared" si="42"/>
        <v>9</v>
      </c>
      <c r="AI85" s="224">
        <f t="shared" si="43"/>
        <v>3.0105161104299296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'2027'!Wh/'2027'!Env_an*'2028'!Env_an</f>
        <v>8.8536484847648769</v>
      </c>
      <c r="C86" s="829"/>
      <c r="D86" s="391">
        <f t="shared" si="25"/>
        <v>9.4394534241779358</v>
      </c>
      <c r="E86" s="383">
        <f t="shared" si="47"/>
        <v>9.7957563528837746</v>
      </c>
      <c r="F86" s="383">
        <f t="shared" si="26"/>
        <v>9.7957563528837746</v>
      </c>
      <c r="G86" s="110">
        <f t="shared" si="48"/>
        <v>0.20030874461276552</v>
      </c>
      <c r="H86" s="412" t="b">
        <f>Wh_hp&gt;='2027'!Maxi_hp</f>
        <v>0</v>
      </c>
      <c r="I86" s="388">
        <f>IF(H86,Wh_hp,'2027'!Maxi_hp)</f>
        <v>43.4645843753053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6.2059201215252102E-2</v>
      </c>
      <c r="M86" s="832"/>
      <c r="N86" s="832"/>
      <c r="O86" s="48">
        <f>IF(t&lt;Tnet,'2027'!Resal+('2027'!Salim-'2027'!Resal)*(1-EXP(('2027'!Tnet-t)/('2027'!Tau_j))),Resal+(Salim-Resal)*(1-EXP((Tnet-t)/(Tau_j))))*Salcycl</f>
        <v>3.6373192214090452E-2</v>
      </c>
      <c r="P86" s="169">
        <f>(INDEX(Models!$BJ86:$BT86,,T86)*(1-R86)+INDEX(Models!$BJ86:$BT86,,T86+1)*R86-ERP_i)*Q86*Ramure*Pc/MaxiM</f>
        <v>2.408523043247178E-4</v>
      </c>
      <c r="Q86" s="304">
        <f t="shared" si="28"/>
        <v>0.6</v>
      </c>
      <c r="R86" s="177">
        <f t="shared" si="29"/>
        <v>0.48602341730279708</v>
      </c>
      <c r="S86" s="799">
        <f t="shared" si="30"/>
        <v>-1</v>
      </c>
      <c r="T86" s="176">
        <f t="shared" si="31"/>
        <v>5</v>
      </c>
      <c r="U86" s="250">
        <f t="shared" si="32"/>
        <v>-0.51397658269720292</v>
      </c>
      <c r="V86" s="382">
        <f t="shared" si="33"/>
        <v>44.18936417497541</v>
      </c>
      <c r="W86" s="400">
        <f t="shared" si="34"/>
        <v>8.8536484847648769</v>
      </c>
      <c r="X86" s="157">
        <f t="shared" si="35"/>
        <v>46824</v>
      </c>
      <c r="Y86" s="383">
        <f t="shared" si="36"/>
        <v>8.4964185701807313</v>
      </c>
      <c r="Z86" s="383">
        <f t="shared" si="37"/>
        <v>9.0585872596534855</v>
      </c>
      <c r="AA86" s="384">
        <f t="shared" si="38"/>
        <v>9.7957563528837746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7.5253922890117023E-2</v>
      </c>
      <c r="AD86" s="230">
        <f>(INDEX(Models!$BJ86:$BT86,,AH86)*(1-AF86)+INDEX(Models!$BJ86:$BT86,,AH86+1)*AF86-ERP_i)*AE86*Ramure*Pc/MaxiM</f>
        <v>2.8376825656340168E-3</v>
      </c>
      <c r="AE86" s="304">
        <f t="shared" si="40"/>
        <v>0.6</v>
      </c>
      <c r="AF86" s="177">
        <f t="shared" si="41"/>
        <v>1.1010983676775776E-2</v>
      </c>
      <c r="AG86" s="799">
        <f t="shared" si="49"/>
        <v>3</v>
      </c>
      <c r="AH86" s="176">
        <f t="shared" si="42"/>
        <v>9</v>
      </c>
      <c r="AI86" s="224">
        <f t="shared" si="43"/>
        <v>3.0110109836767758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'2027'!Wh/'2027'!Env_an*'2028'!Env_an</f>
        <v>14.264828584008651</v>
      </c>
      <c r="C87" s="829"/>
      <c r="D87" s="391">
        <f t="shared" si="25"/>
        <v>15.208957740100718</v>
      </c>
      <c r="E87" s="383">
        <f t="shared" si="47"/>
        <v>15.784292550831545</v>
      </c>
      <c r="F87" s="383">
        <f t="shared" si="26"/>
        <v>15.784398941082641</v>
      </c>
      <c r="G87" s="110">
        <f t="shared" si="48"/>
        <v>0.32021430369368109</v>
      </c>
      <c r="H87" s="412" t="b">
        <f>Wh_hp&gt;='2027'!Maxi_hp</f>
        <v>0</v>
      </c>
      <c r="I87" s="388">
        <f>IF(H87,Wh_hp,'2027'!Maxi_hp)</f>
        <v>41.9627960937136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6.2077176636682219E-2</v>
      </c>
      <c r="M87" s="832"/>
      <c r="N87" s="832"/>
      <c r="O87" s="48">
        <f>IF(t&lt;Tnet,'2027'!Resal+('2027'!Salim-'2027'!Resal)*(1-EXP(('2027'!Tnet-t)/('2027'!Tau_j))),Resal+(Salim-Resal)*(1-EXP((Tnet-t)/(Tau_j))))*Salcycl</f>
        <v>3.6449831937543253E-2</v>
      </c>
      <c r="P87" s="169">
        <f>(INDEX(Models!$BJ87:$BT87,,T87)*(1-R87)+INDEX(Models!$BJ87:$BT87,,T87+1)*R87-ERP_i)*Q87*Ramure*Pc/MaxiM</f>
        <v>2.3257433710581279E-4</v>
      </c>
      <c r="Q87" s="304">
        <f t="shared" si="28"/>
        <v>0.6</v>
      </c>
      <c r="R87" s="177">
        <f t="shared" si="29"/>
        <v>0.4865379865358348</v>
      </c>
      <c r="S87" s="799">
        <f t="shared" si="30"/>
        <v>-1</v>
      </c>
      <c r="T87" s="176">
        <f t="shared" si="31"/>
        <v>5</v>
      </c>
      <c r="U87" s="250">
        <f t="shared" si="32"/>
        <v>-0.5134620134641652</v>
      </c>
      <c r="V87" s="382">
        <f t="shared" si="33"/>
        <v>44.537695264560206</v>
      </c>
      <c r="W87" s="400">
        <f t="shared" si="34"/>
        <v>14.264828584008651</v>
      </c>
      <c r="X87" s="157">
        <f t="shared" si="35"/>
        <v>46825</v>
      </c>
      <c r="Y87" s="383">
        <f t="shared" si="36"/>
        <v>13.688810359257474</v>
      </c>
      <c r="Z87" s="383">
        <f t="shared" si="37"/>
        <v>14.594815285729451</v>
      </c>
      <c r="AA87" s="384">
        <f t="shared" si="38"/>
        <v>15.783155443845468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7.5291671703037133E-2</v>
      </c>
      <c r="AD87" s="230">
        <f>(INDEX(Models!$BJ87:$BT87,,AH87)*(1-AF87)+INDEX(Models!$BJ87:$BT87,,AH87+1)*AF87-ERP_i)*AE87*Ramure*Pc/MaxiM</f>
        <v>2.7183463019501146E-3</v>
      </c>
      <c r="AE87" s="304">
        <f t="shared" si="40"/>
        <v>0.6</v>
      </c>
      <c r="AF87" s="177">
        <f t="shared" si="41"/>
        <v>1.1525552909813275E-2</v>
      </c>
      <c r="AG87" s="799">
        <f t="shared" si="49"/>
        <v>3</v>
      </c>
      <c r="AH87" s="176">
        <f t="shared" si="42"/>
        <v>9</v>
      </c>
      <c r="AI87" s="224">
        <f t="shared" si="43"/>
        <v>3.0115255529098133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'2027'!Wh/'2027'!Env_an*'2028'!Env_an</f>
        <v>13.57739368609932</v>
      </c>
      <c r="C88" s="829"/>
      <c r="D88" s="391">
        <f t="shared" si="25"/>
        <v>14.476301845444302</v>
      </c>
      <c r="E88" s="383">
        <f t="shared" si="47"/>
        <v>15.025116832557226</v>
      </c>
      <c r="F88" s="383">
        <f t="shared" si="26"/>
        <v>15.025128878834041</v>
      </c>
      <c r="G88" s="110">
        <f t="shared" si="48"/>
        <v>0.30243017404062</v>
      </c>
      <c r="H88" s="412" t="b">
        <f>Wh_hp&gt;='2027'!Maxi_hp</f>
        <v>0</v>
      </c>
      <c r="I88" s="388">
        <f>IF(H88,Wh_hp,'2027'!Maxi_hp)</f>
        <v>33.906662518762403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6.2095151713617347E-2</v>
      </c>
      <c r="M88" s="832"/>
      <c r="N88" s="832"/>
      <c r="O88" s="48">
        <f>IF(t&lt;Tnet,'2027'!Resal+('2027'!Salim-'2027'!Resal)*(1-EXP(('2027'!Tnet-t)/('2027'!Tau_j))),Resal+(Salim-Resal)*(1-EXP((Tnet-t)/(Tau_j))))*Salcycl</f>
        <v>3.6526503802201446E-2</v>
      </c>
      <c r="P88" s="169">
        <f>(INDEX(Models!$BJ88:$BT88,,T88)*(1-R88)+INDEX(Models!$BJ88:$BT88,,T88+1)*R88-ERP_i)*Q88*Ramure*Pc/MaxiM</f>
        <v>2.2467686061852275E-4</v>
      </c>
      <c r="Q88" s="304">
        <f t="shared" si="28"/>
        <v>0.6</v>
      </c>
      <c r="R88" s="177">
        <f t="shared" si="29"/>
        <v>0.48707299046746633</v>
      </c>
      <c r="S88" s="799">
        <f t="shared" si="30"/>
        <v>-1</v>
      </c>
      <c r="T88" s="176">
        <f t="shared" si="31"/>
        <v>5</v>
      </c>
      <c r="U88" s="250">
        <f t="shared" si="32"/>
        <v>-0.51292700953253367</v>
      </c>
      <c r="V88" s="382">
        <f t="shared" si="33"/>
        <v>44.884258279126108</v>
      </c>
      <c r="W88" s="400">
        <f t="shared" si="34"/>
        <v>13.57739368609932</v>
      </c>
      <c r="X88" s="157">
        <f t="shared" si="35"/>
        <v>46826</v>
      </c>
      <c r="Y88" s="383">
        <f t="shared" si="36"/>
        <v>13.030464642127956</v>
      </c>
      <c r="Z88" s="383">
        <f t="shared" si="37"/>
        <v>13.893162686956487</v>
      </c>
      <c r="AA88" s="384">
        <f t="shared" si="38"/>
        <v>15.02498917040354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7.5329603942513534E-2</v>
      </c>
      <c r="AD88" s="230">
        <f>(INDEX(Models!$BJ88:$BT88,,AH88)*(1-AF88)+INDEX(Models!$BJ88:$BT88,,AH88+1)*AF88-ERP_i)*AE88*Ramure*Pc/MaxiM</f>
        <v>2.6057222532201202E-3</v>
      </c>
      <c r="AE88" s="304">
        <f t="shared" si="40"/>
        <v>0.6</v>
      </c>
      <c r="AF88" s="177">
        <f t="shared" si="41"/>
        <v>1.2060556841444914E-2</v>
      </c>
      <c r="AG88" s="799">
        <f t="shared" si="49"/>
        <v>3</v>
      </c>
      <c r="AH88" s="176">
        <f t="shared" si="42"/>
        <v>9</v>
      </c>
      <c r="AI88" s="224">
        <f t="shared" si="43"/>
        <v>3.0120605568414449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'2027'!Wh/'2027'!Env_an*'2028'!Env_an</f>
        <v>13.550030844323482</v>
      </c>
      <c r="C89" s="829"/>
      <c r="D89" s="391">
        <f t="shared" si="25"/>
        <v>14.4474042940577</v>
      </c>
      <c r="E89" s="383">
        <f t="shared" si="47"/>
        <v>14.996317826402777</v>
      </c>
      <c r="F89" s="383">
        <f t="shared" si="26"/>
        <v>14.996317826402777</v>
      </c>
      <c r="G89" s="110">
        <f t="shared" si="48"/>
        <v>0.29952510684489225</v>
      </c>
      <c r="H89" s="412" t="b">
        <f>Wh_hp&gt;='2027'!Maxi_hp</f>
        <v>0</v>
      </c>
      <c r="I89" s="388">
        <f>IF(H89,Wh_hp,'2027'!Maxi_hp)</f>
        <v>50.695816320188271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6.211312644606426E-2</v>
      </c>
      <c r="M89" s="832"/>
      <c r="N89" s="832"/>
      <c r="O89" s="48">
        <f>IF(t&lt;Tnet,'2027'!Resal+('2027'!Salim-'2027'!Resal)*(1-EXP(('2027'!Tnet-t)/('2027'!Tau_j))),Resal+(Salim-Resal)*(1-EXP((Tnet-t)/(Tau_j))))*Salcycl</f>
        <v>3.6603220783881382E-2</v>
      </c>
      <c r="P89" s="169">
        <f>(INDEX(Models!$BJ89:$BT89,,T89)*(1-R89)+INDEX(Models!$BJ89:$BT89,,T89+1)*R89-ERP_i)*Q89*Ramure*Pc/MaxiM</f>
        <v>2.1715368152067893E-4</v>
      </c>
      <c r="Q89" s="304">
        <f t="shared" si="28"/>
        <v>0.6</v>
      </c>
      <c r="R89" s="177">
        <f t="shared" si="29"/>
        <v>0.48762919176023822</v>
      </c>
      <c r="S89" s="799">
        <f t="shared" si="30"/>
        <v>-1</v>
      </c>
      <c r="T89" s="176">
        <f t="shared" si="31"/>
        <v>5</v>
      </c>
      <c r="U89" s="250">
        <f t="shared" si="32"/>
        <v>-0.51237080823976178</v>
      </c>
      <c r="V89" s="382">
        <f t="shared" si="33"/>
        <v>45.228557124782931</v>
      </c>
      <c r="W89" s="400">
        <f t="shared" si="34"/>
        <v>13.550030844323482</v>
      </c>
      <c r="X89" s="157">
        <f t="shared" si="35"/>
        <v>46827</v>
      </c>
      <c r="Y89" s="383">
        <f t="shared" si="36"/>
        <v>13.00481363745175</v>
      </c>
      <c r="Z89" s="383">
        <f t="shared" si="37"/>
        <v>13.866079166000688</v>
      </c>
      <c r="AA89" s="384">
        <f t="shared" si="38"/>
        <v>14.996317826402777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7.5367745168228625E-2</v>
      </c>
      <c r="AD89" s="230">
        <f>(INDEX(Models!$BJ89:$BT89,,AH89)*(1-AF89)+INDEX(Models!$BJ89:$BT89,,AH89+1)*AF89-ERP_i)*AE89*Ramure*Pc/MaxiM</f>
        <v>2.4996777080298046E-3</v>
      </c>
      <c r="AE89" s="304">
        <f t="shared" si="40"/>
        <v>0.6</v>
      </c>
      <c r="AF89" s="177">
        <f t="shared" si="41"/>
        <v>1.2616758134216699E-2</v>
      </c>
      <c r="AG89" s="799">
        <f t="shared" si="49"/>
        <v>3</v>
      </c>
      <c r="AH89" s="176">
        <f t="shared" si="42"/>
        <v>9</v>
      </c>
      <c r="AI89" s="224">
        <f t="shared" si="43"/>
        <v>3.0126167581342167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'2027'!Wh/'2027'!Env_an*'2028'!Env_an</f>
        <v>11.379573458939872</v>
      </c>
      <c r="C90" s="829"/>
      <c r="D90" s="391">
        <f t="shared" si="25"/>
        <v>12.13343727365255</v>
      </c>
      <c r="E90" s="383">
        <f t="shared" si="47"/>
        <v>12.595437889337671</v>
      </c>
      <c r="F90" s="383">
        <f t="shared" si="26"/>
        <v>12.595437889337671</v>
      </c>
      <c r="G90" s="110">
        <f t="shared" si="48"/>
        <v>0.24966337131535768</v>
      </c>
      <c r="H90" s="412" t="b">
        <f>Wh_hp&gt;='2027'!Maxi_hp</f>
        <v>0</v>
      </c>
      <c r="I90" s="388">
        <f>IF(H90,Wh_hp,'2027'!Maxi_hp)</f>
        <v>27.308423529990701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6.2131100834029507E-2</v>
      </c>
      <c r="M90" s="832"/>
      <c r="N90" s="832"/>
      <c r="O90" s="48">
        <f>IF(t&lt;Tnet,'2027'!Resal+('2027'!Salim-'2027'!Resal)*(1-EXP(('2027'!Tnet-t)/('2027'!Tau_j))),Resal+(Salim-Resal)*(1-EXP((Tnet-t)/(Tau_j))))*Salcycl</f>
        <v>3.6679996340279152E-2</v>
      </c>
      <c r="P90" s="169">
        <f>(INDEX(Models!$BJ90:$BT90,,T90)*(1-R90)+INDEX(Models!$BJ90:$BT90,,T90+1)*R90-ERP_i)*Q90*Ramure*Pc/MaxiM</f>
        <v>2.0999858295352815E-4</v>
      </c>
      <c r="Q90" s="304">
        <f t="shared" si="28"/>
        <v>0.6</v>
      </c>
      <c r="R90" s="177">
        <f t="shared" si="29"/>
        <v>0.48820737748600251</v>
      </c>
      <c r="S90" s="799">
        <f t="shared" si="30"/>
        <v>-1</v>
      </c>
      <c r="T90" s="176">
        <f t="shared" si="31"/>
        <v>5</v>
      </c>
      <c r="U90" s="250">
        <f t="shared" si="32"/>
        <v>-0.51179262251399749</v>
      </c>
      <c r="V90" s="382">
        <f t="shared" si="33"/>
        <v>45.570095864274784</v>
      </c>
      <c r="W90" s="400">
        <f t="shared" si="34"/>
        <v>11.379573458939872</v>
      </c>
      <c r="X90" s="157">
        <f t="shared" si="35"/>
        <v>46828</v>
      </c>
      <c r="Y90" s="383">
        <f t="shared" si="36"/>
        <v>10.922106794211267</v>
      </c>
      <c r="Z90" s="383">
        <f t="shared" si="37"/>
        <v>11.64566476607135</v>
      </c>
      <c r="AA90" s="384">
        <f t="shared" si="38"/>
        <v>12.595437889337671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7.5406121772894061E-2</v>
      </c>
      <c r="AD90" s="230">
        <f>(INDEX(Models!$BJ90:$BT90,,AH90)*(1-AF90)+INDEX(Models!$BJ90:$BT90,,AH90+1)*AF90-ERP_i)*AE90*Ramure*Pc/MaxiM</f>
        <v>2.4000810800636711E-3</v>
      </c>
      <c r="AE90" s="304">
        <f t="shared" si="40"/>
        <v>0.6</v>
      </c>
      <c r="AF90" s="177">
        <f t="shared" si="41"/>
        <v>1.3194943859981212E-2</v>
      </c>
      <c r="AG90" s="799">
        <f t="shared" si="49"/>
        <v>3</v>
      </c>
      <c r="AH90" s="176">
        <f t="shared" si="42"/>
        <v>9</v>
      </c>
      <c r="AI90" s="224">
        <f t="shared" si="43"/>
        <v>3.0131949438599812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'2027'!Wh/'2027'!Env_an*'2028'!Env_an</f>
        <v>14.710744498245607</v>
      </c>
      <c r="C91" s="829"/>
      <c r="D91" s="391">
        <f t="shared" si="25"/>
        <v>15.685589366267813</v>
      </c>
      <c r="E91" s="383">
        <f t="shared" si="47"/>
        <v>16.284143079136697</v>
      </c>
      <c r="F91" s="383">
        <f t="shared" si="26"/>
        <v>16.284239689206178</v>
      </c>
      <c r="G91" s="110">
        <f t="shared" si="48"/>
        <v>0.32037381553557842</v>
      </c>
      <c r="H91" s="412" t="b">
        <f>Wh_hp&gt;='2027'!Maxi_hp</f>
        <v>0</v>
      </c>
      <c r="I91" s="388">
        <f>IF(H91,Wh_hp,'2027'!Maxi_hp)</f>
        <v>34.112652515484889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6.214907487751975E-2</v>
      </c>
      <c r="M91" s="832"/>
      <c r="N91" s="832"/>
      <c r="O91" s="48">
        <f>IF(t&lt;Tnet,'2027'!Resal+('2027'!Salim-'2027'!Resal)*(1-EXP(('2027'!Tnet-t)/('2027'!Tau_j))),Resal+(Salim-Resal)*(1-EXP((Tnet-t)/(Tau_j))))*Salcycl</f>
        <v>3.6756844370629045E-2</v>
      </c>
      <c r="P91" s="169">
        <f>(INDEX(Models!$BJ91:$BT91,,T91)*(1-R91)+INDEX(Models!$BJ91:$BT91,,T91+1)*R91-ERP_i)*Q91*Ramure*Pc/MaxiM</f>
        <v>2.0320536936268633E-4</v>
      </c>
      <c r="Q91" s="304">
        <f t="shared" si="28"/>
        <v>0.6</v>
      </c>
      <c r="R91" s="177">
        <f t="shared" si="29"/>
        <v>0.48880835956462798</v>
      </c>
      <c r="S91" s="799">
        <f t="shared" si="30"/>
        <v>-1</v>
      </c>
      <c r="T91" s="176">
        <f t="shared" si="31"/>
        <v>5</v>
      </c>
      <c r="U91" s="250">
        <f t="shared" si="32"/>
        <v>-0.51119164043537202</v>
      </c>
      <c r="V91" s="382">
        <f t="shared" si="33"/>
        <v>45.908378714134393</v>
      </c>
      <c r="W91" s="400">
        <f t="shared" si="34"/>
        <v>14.710744498245607</v>
      </c>
      <c r="X91" s="157">
        <f t="shared" si="35"/>
        <v>46829</v>
      </c>
      <c r="Y91" s="383">
        <f t="shared" si="36"/>
        <v>14.119031626027166</v>
      </c>
      <c r="Z91" s="383">
        <f t="shared" si="37"/>
        <v>15.054665136874783</v>
      </c>
      <c r="AA91" s="384">
        <f t="shared" si="38"/>
        <v>16.283142964422726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7.5444760893647017E-2</v>
      </c>
      <c r="AD91" s="230">
        <f>(INDEX(Models!$BJ91:$BT91,,AH91)*(1-AF91)+INDEX(Models!$BJ91:$BT91,,AH91+1)*AF91-ERP_i)*AE91*Ramure*Pc/MaxiM</f>
        <v>2.3068026543520978E-3</v>
      </c>
      <c r="AE91" s="304">
        <f t="shared" si="40"/>
        <v>0.6</v>
      </c>
      <c r="AF91" s="177">
        <f t="shared" si="41"/>
        <v>1.3795925938606235E-2</v>
      </c>
      <c r="AG91" s="799">
        <f t="shared" si="49"/>
        <v>3</v>
      </c>
      <c r="AH91" s="176">
        <f t="shared" si="42"/>
        <v>9</v>
      </c>
      <c r="AI91" s="224">
        <f t="shared" si="43"/>
        <v>3.0137959259386062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'2027'!Wh/'2027'!Env_an*'2028'!Env_an</f>
        <v>28.105100848703522</v>
      </c>
      <c r="C92" s="829"/>
      <c r="D92" s="391">
        <f t="shared" si="25"/>
        <v>29.968131111244418</v>
      </c>
      <c r="E92" s="383">
        <f t="shared" si="47"/>
        <v>31.11418409747348</v>
      </c>
      <c r="F92" s="383">
        <f t="shared" si="26"/>
        <v>31.116876127836857</v>
      </c>
      <c r="G92" s="110">
        <f t="shared" si="48"/>
        <v>0.60770400999267249</v>
      </c>
      <c r="H92" s="412" t="b">
        <f>Wh_hp&gt;='2027'!Maxi_hp</f>
        <v>0</v>
      </c>
      <c r="I92" s="388">
        <f>IF(H92,Wh_hp,'2027'!Maxi_hp)</f>
        <v>46.811989092410982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6.2167048576541539E-2</v>
      </c>
      <c r="M92" s="832"/>
      <c r="N92" s="832"/>
      <c r="O92" s="48">
        <f>IF(t&lt;Tnet,'2027'!Resal+('2027'!Salim-'2027'!Resal)*(1-EXP(('2027'!Tnet-t)/('2027'!Tau_j))),Resal+(Salim-Resal)*(1-EXP((Tnet-t)/(Tau_j))))*Salcycl</f>
        <v>3.6833779174113734E-2</v>
      </c>
      <c r="P92" s="169">
        <f>(INDEX(Models!$BJ92:$BT92,,T92)*(1-R92)+INDEX(Models!$BJ92:$BT92,,T92+1)*R92-ERP_i)*Q92*Ramure*Pc/MaxiM</f>
        <v>1.9676790957314069E-4</v>
      </c>
      <c r="Q92" s="304">
        <f t="shared" si="28"/>
        <v>0.6</v>
      </c>
      <c r="R92" s="177">
        <f t="shared" si="29"/>
        <v>0.48943297517883455</v>
      </c>
      <c r="S92" s="799">
        <f t="shared" si="30"/>
        <v>-1</v>
      </c>
      <c r="T92" s="176">
        <f t="shared" si="31"/>
        <v>5</v>
      </c>
      <c r="U92" s="250">
        <f t="shared" si="32"/>
        <v>-0.51056702482116545</v>
      </c>
      <c r="V92" s="382">
        <f t="shared" si="33"/>
        <v>46.242910047756283</v>
      </c>
      <c r="W92" s="400">
        <f t="shared" si="34"/>
        <v>28.105100848703522</v>
      </c>
      <c r="X92" s="157">
        <f t="shared" si="35"/>
        <v>46830</v>
      </c>
      <c r="Y92" s="383">
        <f t="shared" si="36"/>
        <v>26.953303397458129</v>
      </c>
      <c r="Z92" s="383">
        <f t="shared" si="37"/>
        <v>28.739983337702046</v>
      </c>
      <c r="AA92" s="384">
        <f t="shared" si="38"/>
        <v>31.086507654693971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7.5483690321759556E-2</v>
      </c>
      <c r="AD92" s="230">
        <f>(INDEX(Models!$BJ92:$BT92,,AH92)*(1-AF92)+INDEX(Models!$BJ92:$BT92,,AH92+1)*AF92-ERP_i)*AE92*Ramure*Pc/MaxiM</f>
        <v>2.2197152968800875E-3</v>
      </c>
      <c r="AE92" s="304">
        <f t="shared" si="40"/>
        <v>0.6</v>
      </c>
      <c r="AF92" s="177">
        <f t="shared" si="41"/>
        <v>1.4420541552813138E-2</v>
      </c>
      <c r="AG92" s="799">
        <f t="shared" si="49"/>
        <v>3</v>
      </c>
      <c r="AH92" s="176">
        <f t="shared" si="42"/>
        <v>9</v>
      </c>
      <c r="AI92" s="224">
        <f t="shared" si="43"/>
        <v>3.0144205415528131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'2027'!Wh/'2027'!Env_an*'2028'!Env_an</f>
        <v>31.206603435229535</v>
      </c>
      <c r="C93" s="829"/>
      <c r="D93" s="391">
        <f t="shared" si="25"/>
        <v>33.275863752452118</v>
      </c>
      <c r="E93" s="383">
        <f t="shared" si="47"/>
        <v>34.551175825452816</v>
      </c>
      <c r="F93" s="383">
        <f t="shared" si="26"/>
        <v>34.55465842013168</v>
      </c>
      <c r="G93" s="110">
        <f t="shared" si="48"/>
        <v>0.66995225655596657</v>
      </c>
      <c r="H93" s="412" t="b">
        <f>Wh_hp&gt;='2027'!Maxi_hp</f>
        <v>0</v>
      </c>
      <c r="I93" s="388">
        <f>IF(H93,Wh_hp,'2027'!Maxi_hp)</f>
        <v>50.974512464979433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6.2185021931101536E-2</v>
      </c>
      <c r="M93" s="832"/>
      <c r="N93" s="832"/>
      <c r="O93" s="48">
        <f>IF(t&lt;Tnet,'2027'!Resal+('2027'!Salim-'2027'!Resal)*(1-EXP(('2027'!Tnet-t)/('2027'!Tau_j))),Resal+(Salim-Resal)*(1-EXP((Tnet-t)/(Tau_j))))*Salcycl</f>
        <v>3.6910815407364829E-2</v>
      </c>
      <c r="P93" s="169">
        <f>(INDEX(Models!$BJ93:$BT93,,T93)*(1-R93)+INDEX(Models!$BJ93:$BT93,,T93+1)*R93-ERP_i)*Q93*Ramure*Pc/MaxiM</f>
        <v>1.9066807818216377E-4</v>
      </c>
      <c r="Q93" s="304">
        <f t="shared" si="28"/>
        <v>0.6</v>
      </c>
      <c r="R93" s="177">
        <f t="shared" si="29"/>
        <v>0.49008208716145596</v>
      </c>
      <c r="S93" s="799">
        <f t="shared" si="30"/>
        <v>-1</v>
      </c>
      <c r="T93" s="176">
        <f t="shared" si="31"/>
        <v>5</v>
      </c>
      <c r="U93" s="250">
        <f t="shared" si="32"/>
        <v>-0.50991791283854404</v>
      </c>
      <c r="V93" s="382">
        <f t="shared" si="33"/>
        <v>46.576152113339759</v>
      </c>
      <c r="W93" s="400">
        <f t="shared" si="34"/>
        <v>31.206603435229535</v>
      </c>
      <c r="X93" s="157">
        <f t="shared" si="35"/>
        <v>46831</v>
      </c>
      <c r="Y93" s="383">
        <f t="shared" si="36"/>
        <v>29.924623572022885</v>
      </c>
      <c r="Z93" s="383">
        <f t="shared" si="37"/>
        <v>31.908877840320024</v>
      </c>
      <c r="AA93" s="384">
        <f t="shared" si="38"/>
        <v>34.515597158773637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7.5522938411366952E-2</v>
      </c>
      <c r="AD93" s="230">
        <f>(INDEX(Models!$BJ93:$BT93,,AH93)*(1-AF93)+INDEX(Models!$BJ93:$BT93,,AH93+1)*AF93-ERP_i)*AE93*Ramure*Pc/MaxiM</f>
        <v>2.1385594136762282E-3</v>
      </c>
      <c r="AE93" s="304">
        <f t="shared" si="40"/>
        <v>0.6</v>
      </c>
      <c r="AF93" s="177">
        <f t="shared" si="41"/>
        <v>1.5069653535434657E-2</v>
      </c>
      <c r="AG93" s="799">
        <f t="shared" si="49"/>
        <v>3</v>
      </c>
      <c r="AH93" s="176">
        <f t="shared" si="42"/>
        <v>9</v>
      </c>
      <c r="AI93" s="224">
        <f t="shared" si="43"/>
        <v>3.0150696535354347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'2027'!Wh/'2027'!Env_an*'2028'!Env_an</f>
        <v>44.173880436097136</v>
      </c>
      <c r="C94" s="829"/>
      <c r="D94" s="391">
        <f t="shared" si="25"/>
        <v>47.103883034183632</v>
      </c>
      <c r="E94" s="383">
        <f t="shared" si="47"/>
        <v>48.913078415418603</v>
      </c>
      <c r="F94" s="383">
        <f t="shared" si="26"/>
        <v>48.921372792134669</v>
      </c>
      <c r="G94" s="110">
        <f t="shared" si="48"/>
        <v>0.94165116261999993</v>
      </c>
      <c r="H94" s="412" t="b">
        <f>Wh_hp&gt;='2027'!Maxi_hp</f>
        <v>0</v>
      </c>
      <c r="I94" s="388">
        <f>IF(H94,Wh_hp,'2027'!Maxi_hp)</f>
        <v>52.150714918937091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6.2202994941206291E-2</v>
      </c>
      <c r="M94" s="832"/>
      <c r="N94" s="832"/>
      <c r="O94" s="48">
        <f>IF(t&lt;Tnet,'2027'!Resal+('2027'!Salim-'2027'!Resal)*(1-EXP(('2027'!Tnet-t)/('2027'!Tau_j))),Resal+(Salim-Resal)*(1-EXP((Tnet-t)/(Tau_j))))*Salcycl</f>
        <v>3.6987968041379035E-2</v>
      </c>
      <c r="P94" s="169">
        <f>(INDEX(Models!$BJ94:$BT94,,T94)*(1-R94)+INDEX(Models!$BJ94:$BT94,,T94+1)*R94-ERP_i)*Q94*Ramure*Pc/MaxiM</f>
        <v>1.849585236101479E-4</v>
      </c>
      <c r="Q94" s="304">
        <f t="shared" si="28"/>
        <v>0.6</v>
      </c>
      <c r="R94" s="177">
        <f t="shared" si="29"/>
        <v>0.49075658435115621</v>
      </c>
      <c r="S94" s="799">
        <f t="shared" si="30"/>
        <v>-1</v>
      </c>
      <c r="T94" s="176">
        <f t="shared" si="31"/>
        <v>5</v>
      </c>
      <c r="U94" s="250">
        <f t="shared" si="32"/>
        <v>-0.50924341564884379</v>
      </c>
      <c r="V94" s="382">
        <f t="shared" si="33"/>
        <v>46.910364688449746</v>
      </c>
      <c r="W94" s="400">
        <f t="shared" si="34"/>
        <v>44.173880436097136</v>
      </c>
      <c r="X94" s="157">
        <f t="shared" si="35"/>
        <v>46832</v>
      </c>
      <c r="Y94" s="383">
        <f t="shared" si="36"/>
        <v>42.331396264151159</v>
      </c>
      <c r="Z94" s="383">
        <f t="shared" si="37"/>
        <v>45.139189009776437</v>
      </c>
      <c r="AA94" s="384">
        <f t="shared" si="38"/>
        <v>48.828818248247842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7.5562533987883373E-2</v>
      </c>
      <c r="AD94" s="230">
        <f>(INDEX(Models!$BJ94:$BT94,,AH94)*(1-AF94)+INDEX(Models!$BJ94:$BT94,,AH94+1)*AF94-ERP_i)*AE94*Ramure*Pc/MaxiM</f>
        <v>2.0638985154303809E-3</v>
      </c>
      <c r="AE94" s="304">
        <f t="shared" si="40"/>
        <v>0.6</v>
      </c>
      <c r="AF94" s="177">
        <f t="shared" si="41"/>
        <v>1.5744150725134798E-2</v>
      </c>
      <c r="AG94" s="799">
        <f t="shared" si="49"/>
        <v>3</v>
      </c>
      <c r="AH94" s="176">
        <f t="shared" si="42"/>
        <v>9</v>
      </c>
      <c r="AI94" s="224">
        <f t="shared" si="43"/>
        <v>3.0157441507251348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'2027'!Wh/'2027'!Env_an*'2028'!Env_an</f>
        <v>41.937855335074076</v>
      </c>
      <c r="C95" s="829"/>
      <c r="D95" s="391">
        <f t="shared" si="25"/>
        <v>44.720402020561281</v>
      </c>
      <c r="E95" s="383">
        <f t="shared" si="47"/>
        <v>46.441778249482283</v>
      </c>
      <c r="F95" s="383">
        <f t="shared" si="26"/>
        <v>46.448775010925452</v>
      </c>
      <c r="G95" s="110">
        <f t="shared" si="48"/>
        <v>0.88764647338932023</v>
      </c>
      <c r="H95" s="412" t="b">
        <f>Wh_hp&gt;='2027'!Maxi_hp</f>
        <v>0</v>
      </c>
      <c r="I95" s="388">
        <f>IF(H95,Wh_hp,'2027'!Maxi_hp)</f>
        <v>50.892769880316351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6.2220967606862354E-2</v>
      </c>
      <c r="M95" s="832"/>
      <c r="N95" s="832"/>
      <c r="O95" s="48">
        <f>IF(t&lt;Tnet,'2027'!Resal+('2027'!Salim-'2027'!Resal)*(1-EXP(('2027'!Tnet-t)/('2027'!Tau_j))),Resal+(Salim-Resal)*(1-EXP((Tnet-t)/(Tau_j))))*Salcycl</f>
        <v>3.7065252318157917E-2</v>
      </c>
      <c r="P95" s="169">
        <f>(INDEX(Models!$BJ95:$BT95,,T95)*(1-R95)+INDEX(Models!$BJ95:$BT95,,T95+1)*R95-ERP_i)*Q95*Ramure*Pc/MaxiM</f>
        <v>1.7942618237903058E-4</v>
      </c>
      <c r="Q95" s="304">
        <f t="shared" si="28"/>
        <v>0.6</v>
      </c>
      <c r="R95" s="177">
        <f t="shared" si="29"/>
        <v>0.4914573819123309</v>
      </c>
      <c r="S95" s="799">
        <f t="shared" si="30"/>
        <v>-1</v>
      </c>
      <c r="T95" s="176">
        <f t="shared" si="31"/>
        <v>5</v>
      </c>
      <c r="U95" s="250">
        <f t="shared" si="32"/>
        <v>-0.5085426180876691</v>
      </c>
      <c r="V95" s="382">
        <f t="shared" si="33"/>
        <v>47.244763455932102</v>
      </c>
      <c r="W95" s="400">
        <f t="shared" si="34"/>
        <v>41.937855335074076</v>
      </c>
      <c r="X95" s="157">
        <f t="shared" si="35"/>
        <v>46833</v>
      </c>
      <c r="Y95" s="383">
        <f t="shared" si="36"/>
        <v>40.19819517798561</v>
      </c>
      <c r="Z95" s="383">
        <f t="shared" si="37"/>
        <v>42.865316657169231</v>
      </c>
      <c r="AA95" s="384">
        <f t="shared" si="38"/>
        <v>46.371087056488861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7.5602506256731219E-2</v>
      </c>
      <c r="AD95" s="230">
        <f>(INDEX(Models!$BJ95:$BT95,,AH95)*(1-AF95)+INDEX(Models!$BJ95:$BT95,,AH95+1)*AF95-ERP_i)*AE95*Ramure*Pc/MaxiM</f>
        <v>1.9922435822083621E-3</v>
      </c>
      <c r="AE95" s="304">
        <f t="shared" si="40"/>
        <v>0.6</v>
      </c>
      <c r="AF95" s="177">
        <f t="shared" si="41"/>
        <v>1.644494828630938E-2</v>
      </c>
      <c r="AG95" s="799">
        <f t="shared" si="49"/>
        <v>3</v>
      </c>
      <c r="AH95" s="176">
        <f t="shared" si="42"/>
        <v>9</v>
      </c>
      <c r="AI95" s="224">
        <f t="shared" si="43"/>
        <v>3.0164449482863094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'2027'!Wh/'2027'!Env_an*'2028'!Env_an</f>
        <v>47.800835506074179</v>
      </c>
      <c r="C96" s="829"/>
      <c r="D96" s="391">
        <f t="shared" si="25"/>
        <v>50.973363622507414</v>
      </c>
      <c r="E96" s="383">
        <f t="shared" si="47"/>
        <v>52.939685621098889</v>
      </c>
      <c r="F96" s="383">
        <f t="shared" si="26"/>
        <v>52.948902458584229</v>
      </c>
      <c r="G96" s="110">
        <f t="shared" si="48"/>
        <v>1.0046718730909368</v>
      </c>
      <c r="H96" s="412" t="b">
        <f>Wh_hp&gt;='2027'!Maxi_hp</f>
        <v>0</v>
      </c>
      <c r="I96" s="388">
        <f>IF(H96,Wh_hp,'2027'!Maxi_hp)</f>
        <v>53.286062169656844</v>
      </c>
      <c r="J96" s="85">
        <f>IF(H96,An,'2027'!An_max)</f>
        <v>2021</v>
      </c>
      <c r="K96" s="197">
        <f t="shared" si="27"/>
        <v>46834</v>
      </c>
      <c r="L96" s="147">
        <f>IF(t&lt;Tvie,1-EXP((T0-t)*PertePVj)+'2027'!Pspv,1-EXP((T0-t)*PertePVj)+Pspv)</f>
        <v>6.2238939928076387E-2</v>
      </c>
      <c r="M96" s="832"/>
      <c r="N96" s="832"/>
      <c r="O96" s="48">
        <f>IF(t&lt;Tnet,'2027'!Resal+('2027'!Salim-'2027'!Resal)*(1-EXP(('2027'!Tnet-t)/('2027'!Tau_j))),Resal+(Salim-Resal)*(1-EXP((Tnet-t)/(Tau_j))))*Salcycl</f>
        <v>3.7142683707358612E-2</v>
      </c>
      <c r="P96" s="169">
        <f>(INDEX(Models!$BJ96:$BT96,,T96)*(1-R96)+INDEX(Models!$BJ96:$BT96,,T96+1)*R96-ERP_i)*Q96*Ramure*Pc/MaxiM</f>
        <v>1.7407041614410943E-4</v>
      </c>
      <c r="Q96" s="304">
        <f t="shared" si="28"/>
        <v>0.6</v>
      </c>
      <c r="R96" s="177">
        <f t="shared" si="29"/>
        <v>0.49218542161462553</v>
      </c>
      <c r="S96" s="799">
        <f t="shared" si="30"/>
        <v>-1</v>
      </c>
      <c r="T96" s="176">
        <f t="shared" si="31"/>
        <v>5</v>
      </c>
      <c r="U96" s="250">
        <f t="shared" si="32"/>
        <v>-0.50781457838537447</v>
      </c>
      <c r="V96" s="382">
        <f t="shared" si="33"/>
        <v>47.578554537425113</v>
      </c>
      <c r="W96" s="400">
        <f t="shared" si="34"/>
        <v>47.800835506074179</v>
      </c>
      <c r="X96" s="157">
        <f t="shared" si="35"/>
        <v>46834</v>
      </c>
      <c r="Y96" s="383">
        <f t="shared" si="36"/>
        <v>45.809204220167402</v>
      </c>
      <c r="Z96" s="383">
        <f t="shared" si="37"/>
        <v>48.849548323806459</v>
      </c>
      <c r="AA96" s="384">
        <f t="shared" si="38"/>
        <v>52.847051768122334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7.5642884712959477E-2</v>
      </c>
      <c r="AD96" s="230">
        <f>(INDEX(Models!$BJ96:$BT96,,AH96)*(1-AF96)+INDEX(Models!$BJ96:$BT96,,AH96+1)*AF96-ERP_i)*AE96*Ramure*Pc/MaxiM</f>
        <v>1.9235656592043935E-3</v>
      </c>
      <c r="AE96" s="304">
        <f t="shared" si="40"/>
        <v>0.6</v>
      </c>
      <c r="AF96" s="177">
        <f t="shared" si="41"/>
        <v>1.7172987988604227E-2</v>
      </c>
      <c r="AG96" s="799">
        <f t="shared" si="49"/>
        <v>3</v>
      </c>
      <c r="AH96" s="176">
        <f t="shared" si="42"/>
        <v>9</v>
      </c>
      <c r="AI96" s="224">
        <f t="shared" si="43"/>
        <v>3.0171729879886042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'2027'!Wh/'2027'!Env_an*'2028'!Env_an</f>
        <v>47.014605580997461</v>
      </c>
      <c r="C97" s="829"/>
      <c r="D97" s="391">
        <f t="shared" si="25"/>
        <v>50.13591267998477</v>
      </c>
      <c r="E97" s="383">
        <f t="shared" si="47"/>
        <v>52.074126123796781</v>
      </c>
      <c r="F97" s="383">
        <f t="shared" si="26"/>
        <v>52.08268728768401</v>
      </c>
      <c r="G97" s="110">
        <f t="shared" si="48"/>
        <v>0.98128713545778756</v>
      </c>
      <c r="H97" s="412" t="b">
        <f>Wh_hp&gt;='2027'!Maxi_hp</f>
        <v>0</v>
      </c>
      <c r="I97" s="388">
        <f>IF(H97,Wh_hp,'2027'!Maxi_hp)</f>
        <v>52.432685420203406</v>
      </c>
      <c r="J97" s="85">
        <f>IF(H97,An,'2027'!An_max)</f>
        <v>2021</v>
      </c>
      <c r="K97" s="197">
        <f t="shared" si="27"/>
        <v>46835</v>
      </c>
      <c r="L97" s="147">
        <f>IF(t&lt;Tvie,1-EXP((T0-t)*PertePVj)+'2027'!Pspv,1-EXP((T0-t)*PertePVj)+Pspv)</f>
        <v>6.2256911904854939E-2</v>
      </c>
      <c r="M97" s="832"/>
      <c r="N97" s="832"/>
      <c r="O97" s="48">
        <f>IF(t&lt;Tnet,'2027'!Resal+('2027'!Salim-'2027'!Resal)*(1-EXP(('2027'!Tnet-t)/('2027'!Tau_j))),Resal+(Salim-Resal)*(1-EXP((Tnet-t)/(Tau_j))))*Salcycl</f>
        <v>3.722027786321868E-2</v>
      </c>
      <c r="P97" s="169">
        <f>(INDEX(Models!$BJ97:$BT97,,T97)*(1-R97)+INDEX(Models!$BJ97:$BT97,,T97+1)*R97-ERP_i)*Q97*Ramure*Pc/MaxiM</f>
        <v>1.6889020166657831E-4</v>
      </c>
      <c r="Q97" s="304">
        <f t="shared" si="28"/>
        <v>0.6</v>
      </c>
      <c r="R97" s="177">
        <f t="shared" si="29"/>
        <v>0.49294167206718542</v>
      </c>
      <c r="S97" s="799">
        <f t="shared" si="30"/>
        <v>-1</v>
      </c>
      <c r="T97" s="176">
        <f t="shared" si="31"/>
        <v>5</v>
      </c>
      <c r="U97" s="250">
        <f t="shared" si="32"/>
        <v>-0.50705832793281458</v>
      </c>
      <c r="V97" s="382">
        <f t="shared" si="33"/>
        <v>47.910944342393883</v>
      </c>
      <c r="W97" s="400">
        <f t="shared" si="34"/>
        <v>47.014605580997461</v>
      </c>
      <c r="X97" s="157">
        <f t="shared" si="35"/>
        <v>46835</v>
      </c>
      <c r="Y97" s="383">
        <f t="shared" si="36"/>
        <v>45.062146507541918</v>
      </c>
      <c r="Z97" s="383">
        <f t="shared" si="37"/>
        <v>48.053829539898281</v>
      </c>
      <c r="AA97" s="384">
        <f t="shared" si="38"/>
        <v>51.988512472004714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7.5683699052270806E-2</v>
      </c>
      <c r="AD97" s="230">
        <f>(INDEX(Models!$BJ97:$BT97,,AH97)*(1-AF97)+INDEX(Models!$BJ97:$BT97,,AH97+1)*AF97-ERP_i)*AE97*Ramure*Pc/MaxiM</f>
        <v>1.8578319281699572E-3</v>
      </c>
      <c r="AE97" s="304">
        <f t="shared" si="40"/>
        <v>0.6</v>
      </c>
      <c r="AF97" s="177">
        <f t="shared" si="41"/>
        <v>1.7929238441163786E-2</v>
      </c>
      <c r="AG97" s="799">
        <f t="shared" si="49"/>
        <v>3</v>
      </c>
      <c r="AH97" s="176">
        <f t="shared" si="42"/>
        <v>9</v>
      </c>
      <c r="AI97" s="224">
        <f t="shared" si="43"/>
        <v>3.0179292384411638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'2027'!Wh/'2027'!Env_an*'2028'!Env_an</f>
        <v>41.837972321097965</v>
      </c>
      <c r="C98" s="829"/>
      <c r="D98" s="391">
        <f t="shared" si="25"/>
        <v>44.616456983593984</v>
      </c>
      <c r="E98" s="383">
        <f t="shared" si="47"/>
        <v>46.345036499164017</v>
      </c>
      <c r="F98" s="383">
        <f t="shared" si="26"/>
        <v>46.351192345775246</v>
      </c>
      <c r="G98" s="110">
        <f t="shared" si="48"/>
        <v>0.86724054178449639</v>
      </c>
      <c r="H98" s="412" t="b">
        <f>Wh_hp&gt;='2027'!Maxi_hp</f>
        <v>0</v>
      </c>
      <c r="I98" s="388">
        <f>IF(H98,Wh_hp,'2027'!Maxi_hp)</f>
        <v>46.352104768587445</v>
      </c>
      <c r="J98" s="85">
        <f>IF(H98,An,'2027'!An_max)</f>
        <v>2027</v>
      </c>
      <c r="K98" s="197">
        <f t="shared" si="27"/>
        <v>46836</v>
      </c>
      <c r="L98" s="147">
        <f>IF(t&lt;Tvie,1-EXP((T0-t)*PertePVj)+'2027'!Pspv,1-EXP((T0-t)*PertePVj)+Pspv)</f>
        <v>6.2274883537204673E-2</v>
      </c>
      <c r="M98" s="832"/>
      <c r="N98" s="832"/>
      <c r="O98" s="48">
        <f>IF(t&lt;Tnet,'2027'!Resal+('2027'!Salim-'2027'!Resal)*(1-EXP(('2027'!Tnet-t)/('2027'!Tau_j))),Resal+(Salim-Resal)*(1-EXP((Tnet-t)/(Tau_j))))*Salcycl</f>
        <v>3.7298050581990906E-2</v>
      </c>
      <c r="P98" s="169">
        <f>(INDEX(Models!$BJ98:$BT98,,T98)*(1-R98)+INDEX(Models!$BJ98:$BT98,,T98+1)*R98-ERP_i)*Q98*Ramure*Pc/MaxiM</f>
        <v>1.6388417518900904E-4</v>
      </c>
      <c r="Q98" s="304">
        <f t="shared" si="28"/>
        <v>0.6</v>
      </c>
      <c r="R98" s="177">
        <f t="shared" si="29"/>
        <v>0.49372712890243264</v>
      </c>
      <c r="S98" s="799">
        <f t="shared" si="30"/>
        <v>-1</v>
      </c>
      <c r="T98" s="176">
        <f t="shared" si="31"/>
        <v>5</v>
      </c>
      <c r="U98" s="250">
        <f t="shared" si="32"/>
        <v>-0.50627287109756736</v>
      </c>
      <c r="V98" s="382">
        <f t="shared" si="33"/>
        <v>48.241139571235443</v>
      </c>
      <c r="W98" s="400">
        <f t="shared" si="34"/>
        <v>41.837972321097965</v>
      </c>
      <c r="X98" s="157">
        <f t="shared" si="35"/>
        <v>46836</v>
      </c>
      <c r="Y98" s="383">
        <f t="shared" si="36"/>
        <v>40.11487770860154</v>
      </c>
      <c r="Z98" s="383">
        <f t="shared" si="37"/>
        <v>42.778930631525981</v>
      </c>
      <c r="AA98" s="384">
        <f t="shared" si="38"/>
        <v>46.283767994861662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7.5724979083915164E-2</v>
      </c>
      <c r="AD98" s="230">
        <f>(INDEX(Models!$BJ98:$BT98,,AH98)*(1-AF98)+INDEX(Models!$BJ98:$BT98,,AH98+1)*AF98-ERP_i)*AE98*Ramure*Pc/MaxiM</f>
        <v>1.7950064117857791E-3</v>
      </c>
      <c r="AE98" s="304">
        <f t="shared" si="40"/>
        <v>0.6</v>
      </c>
      <c r="AF98" s="177">
        <f t="shared" si="41"/>
        <v>1.8714695276411231E-2</v>
      </c>
      <c r="AG98" s="799">
        <f t="shared" si="49"/>
        <v>3</v>
      </c>
      <c r="AH98" s="176">
        <f t="shared" si="42"/>
        <v>9</v>
      </c>
      <c r="AI98" s="224">
        <f t="shared" si="43"/>
        <v>3.0187146952764112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'2027'!Wh/'2027'!Env_an*'2028'!Env_an</f>
        <v>46.312493728190795</v>
      </c>
      <c r="C99" s="829"/>
      <c r="D99" s="391">
        <f t="shared" si="25"/>
        <v>49.389080553027284</v>
      </c>
      <c r="E99" s="383">
        <f t="shared" si="47"/>
        <v>51.306721486519663</v>
      </c>
      <c r="F99" s="383">
        <f t="shared" si="26"/>
        <v>51.314341523117157</v>
      </c>
      <c r="G99" s="110">
        <f t="shared" si="48"/>
        <v>0.95354294618165036</v>
      </c>
      <c r="H99" s="412" t="b">
        <f>Wh_hp&gt;='2027'!Maxi_hp</f>
        <v>0</v>
      </c>
      <c r="I99" s="388">
        <f>IF(H99,Wh_hp,'2027'!Maxi_hp)</f>
        <v>54.664172365947202</v>
      </c>
      <c r="J99" s="85">
        <f>IF(H99,An,'2027'!An_max)</f>
        <v>2018</v>
      </c>
      <c r="K99" s="197">
        <f t="shared" si="27"/>
        <v>46837</v>
      </c>
      <c r="L99" s="147">
        <f>IF(t&lt;Tvie,1-EXP((T0-t)*PertePVj)+'2027'!Pspv,1-EXP((T0-t)*PertePVj)+Pspv)</f>
        <v>6.2292854825132249E-2</v>
      </c>
      <c r="M99" s="832"/>
      <c r="N99" s="832"/>
      <c r="O99" s="48">
        <f>IF(t&lt;Tnet,'2027'!Resal+('2027'!Salim-'2027'!Resal)*(1-EXP(('2027'!Tnet-t)/('2027'!Tau_j))),Resal+(Salim-Resal)*(1-EXP((Tnet-t)/(Tau_j))))*Salcycl</f>
        <v>3.7376017760094471E-2</v>
      </c>
      <c r="P99" s="169">
        <f>(INDEX(Models!$BJ99:$BT99,,T99)*(1-R99)+INDEX(Models!$BJ99:$BT99,,T99+1)*R99-ERP_i)*Q99*Ramure*Pc/MaxiM</f>
        <v>1.5905067517920512E-4</v>
      </c>
      <c r="Q99" s="304">
        <f t="shared" si="28"/>
        <v>0.6</v>
      </c>
      <c r="R99" s="177">
        <f t="shared" si="29"/>
        <v>0.49454281490383623</v>
      </c>
      <c r="S99" s="799">
        <f t="shared" si="30"/>
        <v>-1</v>
      </c>
      <c r="T99" s="176">
        <f t="shared" si="31"/>
        <v>5</v>
      </c>
      <c r="U99" s="250">
        <f t="shared" si="32"/>
        <v>-0.50545718509616377</v>
      </c>
      <c r="V99" s="382">
        <f t="shared" si="33"/>
        <v>48.568347218974829</v>
      </c>
      <c r="W99" s="400">
        <f t="shared" si="34"/>
        <v>46.312493728190795</v>
      </c>
      <c r="X99" s="157">
        <f t="shared" si="35"/>
        <v>46837</v>
      </c>
      <c r="Y99" s="383">
        <f t="shared" si="36"/>
        <v>44.400051817928002</v>
      </c>
      <c r="Z99" s="383">
        <f t="shared" si="37"/>
        <v>47.349593150053352</v>
      </c>
      <c r="AA99" s="384">
        <f t="shared" si="38"/>
        <v>51.231216133011358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7.576675464584269E-2</v>
      </c>
      <c r="AD99" s="230">
        <f>(INDEX(Models!$BJ99:$BT99,,AH99)*(1-AF99)+INDEX(Models!$BJ99:$BT99,,AH99+1)*AF99-ERP_i)*AE99*Ramure*Pc/MaxiM</f>
        <v>1.7350506459785317E-3</v>
      </c>
      <c r="AE99" s="304">
        <f t="shared" si="40"/>
        <v>0.6</v>
      </c>
      <c r="AF99" s="177">
        <f t="shared" si="41"/>
        <v>1.9530381277814701E-2</v>
      </c>
      <c r="AG99" s="799">
        <f t="shared" si="49"/>
        <v>3</v>
      </c>
      <c r="AH99" s="176">
        <f t="shared" si="42"/>
        <v>9</v>
      </c>
      <c r="AI99" s="224">
        <f t="shared" si="43"/>
        <v>3.0195303812778147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'2027'!Wh/'2027'!Env_an*'2028'!Env_an</f>
        <v>44.773853996765858</v>
      </c>
      <c r="C100" s="829"/>
      <c r="D100" s="391">
        <f t="shared" si="25"/>
        <v>47.749142495398814</v>
      </c>
      <c r="E100" s="383">
        <f t="shared" si="47"/>
        <v>49.607137930353282</v>
      </c>
      <c r="F100" s="383">
        <f t="shared" si="26"/>
        <v>49.613879074551797</v>
      </c>
      <c r="G100" s="110">
        <f t="shared" si="48"/>
        <v>0.91575781926108368</v>
      </c>
      <c r="H100" s="412" t="b">
        <f>Wh_hp&gt;='2027'!Maxi_hp</f>
        <v>0</v>
      </c>
      <c r="I100" s="388">
        <f>IF(H100,Wh_hp,'2027'!Maxi_hp)</f>
        <v>53.82661692337178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6.2310825768644107E-2</v>
      </c>
      <c r="M100" s="832"/>
      <c r="N100" s="832"/>
      <c r="O100" s="48">
        <f>IF(t&lt;Tnet,'2027'!Resal+('2027'!Salim-'2027'!Resal)*(1-EXP(('2027'!Tnet-t)/('2027'!Tau_j))),Resal+(Salim-Resal)*(1-EXP((Tnet-t)/(Tau_j))))*Salcycl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1.5445662209969766E-4</v>
      </c>
      <c r="Q100" s="304">
        <f t="shared" si="28"/>
        <v>0.6</v>
      </c>
      <c r="R100" s="177">
        <f t="shared" si="29"/>
        <v>0.49538978007180079</v>
      </c>
      <c r="S100" s="799">
        <f t="shared" si="30"/>
        <v>-1</v>
      </c>
      <c r="T100" s="176">
        <f t="shared" si="31"/>
        <v>5</v>
      </c>
      <c r="U100" s="250">
        <f t="shared" si="32"/>
        <v>-0.50461021992819921</v>
      </c>
      <c r="V100" s="382">
        <f t="shared" si="33"/>
        <v>48.891771212151248</v>
      </c>
      <c r="W100" s="400">
        <f t="shared" si="34"/>
        <v>44.773853996765858</v>
      </c>
      <c r="X100" s="157">
        <f t="shared" si="35"/>
        <v>46838</v>
      </c>
      <c r="Y100" s="383">
        <f t="shared" si="36"/>
        <v>42.932088556800544</v>
      </c>
      <c r="Z100" s="383">
        <f t="shared" si="37"/>
        <v>45.784989031139133</v>
      </c>
      <c r="AA100" s="384">
        <f t="shared" si="38"/>
        <v>49.540616367996456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7.5809055522439578E-2</v>
      </c>
      <c r="AD100" s="230">
        <f>(INDEX(Models!$BJ100:$BT100,,AH100)*(1-AF100)+INDEX(Models!$BJ100:$BT100,,AH100+1)*AF100-ERP_i)*AE100*Ramure*Pc/MaxiM</f>
        <v>1.6786334555660655E-3</v>
      </c>
      <c r="AE100" s="304">
        <f t="shared" si="40"/>
        <v>0.6</v>
      </c>
      <c r="AF100" s="177">
        <f t="shared" si="41"/>
        <v>2.0377346445779487E-2</v>
      </c>
      <c r="AG100" s="799">
        <f t="shared" si="49"/>
        <v>3</v>
      </c>
      <c r="AH100" s="176">
        <f t="shared" si="42"/>
        <v>9</v>
      </c>
      <c r="AI100" s="224">
        <f t="shared" si="43"/>
        <v>3.0203773464457795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'2027'!Wh/'2027'!Env_an*'2028'!Env_an</f>
        <v>14.417455925515092</v>
      </c>
      <c r="C101" s="829"/>
      <c r="D101" s="391">
        <f t="shared" si="25"/>
        <v>15.375811766071363</v>
      </c>
      <c r="E101" s="383">
        <f t="shared" si="47"/>
        <v>15.975410445553933</v>
      </c>
      <c r="F101" s="383">
        <f t="shared" si="26"/>
        <v>15.975410445553933</v>
      </c>
      <c r="G101" s="110">
        <f t="shared" si="48"/>
        <v>0.29293051248592894</v>
      </c>
      <c r="H101" s="412" t="b">
        <f>Wh_hp&gt;='2027'!Maxi_hp</f>
        <v>0</v>
      </c>
      <c r="I101" s="388">
        <f>IF(H101,Wh_hp,'2027'!Maxi_hp)</f>
        <v>53.283033319082513</v>
      </c>
      <c r="J101" s="85">
        <f>IF(H101,An,'2027'!An_max)</f>
        <v>2021</v>
      </c>
      <c r="K101" s="197">
        <f t="shared" si="27"/>
        <v>46839</v>
      </c>
      <c r="L101" s="147">
        <f>IF(t&lt;Tvie,1-EXP((T0-t)*PertePVj)+'2027'!Pspv,1-EXP((T0-t)*PertePVj)+Pspv)</f>
        <v>6.2328796367747019E-2</v>
      </c>
      <c r="M101" s="832"/>
      <c r="N101" s="832"/>
      <c r="O101" s="48">
        <f>IF(t&lt;Tnet,'2027'!Resal+('2027'!Salim-'2027'!Resal)*(1-EXP(('2027'!Tnet-t)/('2027'!Tau_j))),Resal+(Salim-Resal)*(1-EXP((Tnet-t)/(Tau_j))))*Salcycl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1.500777553769218E-4</v>
      </c>
      <c r="Q101" s="304">
        <f t="shared" si="28"/>
        <v>0.6</v>
      </c>
      <c r="R101" s="177">
        <f t="shared" si="29"/>
        <v>0.49626910162146509</v>
      </c>
      <c r="S101" s="799">
        <f t="shared" si="30"/>
        <v>-1</v>
      </c>
      <c r="T101" s="176">
        <f t="shared" si="31"/>
        <v>5</v>
      </c>
      <c r="U101" s="250">
        <f t="shared" si="32"/>
        <v>-0.50373089837853491</v>
      </c>
      <c r="V101" s="382">
        <f t="shared" si="33"/>
        <v>49.210620169805601</v>
      </c>
      <c r="W101" s="400">
        <f t="shared" si="34"/>
        <v>14.417455925515092</v>
      </c>
      <c r="X101" s="157">
        <f t="shared" si="35"/>
        <v>46839</v>
      </c>
      <c r="Y101" s="383">
        <f t="shared" si="36"/>
        <v>13.843444803794798</v>
      </c>
      <c r="Z101" s="383">
        <f t="shared" si="37"/>
        <v>14.763645028416681</v>
      </c>
      <c r="AA101" s="384">
        <f t="shared" si="38"/>
        <v>15.975410445553933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7.5851911365100208E-2</v>
      </c>
      <c r="AD101" s="230">
        <f>(INDEX(Models!$BJ101:$BT101,,AH101)*(1-AF101)+INDEX(Models!$BJ101:$BT101,,AH101+1)*AF101-ERP_i)*AE101*Ramure*Pc/MaxiM</f>
        <v>1.6246283442704619E-3</v>
      </c>
      <c r="AE101" s="304">
        <f t="shared" si="40"/>
        <v>0.6</v>
      </c>
      <c r="AF101" s="177">
        <f t="shared" si="41"/>
        <v>2.1256667995443568E-2</v>
      </c>
      <c r="AG101" s="799">
        <f t="shared" si="49"/>
        <v>3</v>
      </c>
      <c r="AH101" s="176">
        <f t="shared" si="42"/>
        <v>9</v>
      </c>
      <c r="AI101" s="224">
        <f t="shared" si="43"/>
        <v>3.0212566679954436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'2027'!Wh/'2027'!Env_an*'2028'!Env_an</f>
        <v>27.670722497835651</v>
      </c>
      <c r="C102" s="829"/>
      <c r="D102" s="391">
        <f t="shared" si="25"/>
        <v>29.510613852588129</v>
      </c>
      <c r="E102" s="383">
        <f t="shared" si="47"/>
        <v>30.66392216205632</v>
      </c>
      <c r="F102" s="383">
        <f t="shared" si="26"/>
        <v>30.665576000257033</v>
      </c>
      <c r="G102" s="110">
        <f t="shared" si="48"/>
        <v>0.55868104841831456</v>
      </c>
      <c r="H102" s="412" t="b">
        <f>Wh_hp&gt;='2027'!Maxi_hp</f>
        <v>0</v>
      </c>
      <c r="I102" s="388">
        <f>IF(H102,Wh_hp,'2027'!Maxi_hp)</f>
        <v>55.473113479022246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6.2346766622447425E-2</v>
      </c>
      <c r="M102" s="832"/>
      <c r="N102" s="832"/>
      <c r="O102" s="48">
        <f>IF(t&lt;Tnet,'2027'!Resal+('2027'!Salim-'2027'!Resal)*(1-EXP(('2027'!Tnet-t)/('2027'!Tau_j))),Resal+(Salim-Resal)*(1-EXP((Tnet-t)/(Tau_j))))*Salcycl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1.4591133894944146E-4</v>
      </c>
      <c r="Q102" s="304">
        <f t="shared" si="28"/>
        <v>0.6</v>
      </c>
      <c r="R102" s="177">
        <f t="shared" si="29"/>
        <v>0.4971818839058515</v>
      </c>
      <c r="S102" s="799">
        <f t="shared" si="30"/>
        <v>-1</v>
      </c>
      <c r="T102" s="176">
        <f t="shared" si="31"/>
        <v>5</v>
      </c>
      <c r="U102" s="250">
        <f t="shared" si="32"/>
        <v>-0.5028181160941485</v>
      </c>
      <c r="V102" s="382">
        <f t="shared" si="33"/>
        <v>49.524101968755907</v>
      </c>
      <c r="W102" s="400">
        <f t="shared" si="34"/>
        <v>27.670722497835651</v>
      </c>
      <c r="X102" s="157">
        <f t="shared" si="35"/>
        <v>46840</v>
      </c>
      <c r="Y102" s="383">
        <f t="shared" si="36"/>
        <v>26.555957273867531</v>
      </c>
      <c r="Z102" s="383">
        <f t="shared" si="37"/>
        <v>28.321725269596111</v>
      </c>
      <c r="AA102" s="384">
        <f t="shared" si="38"/>
        <v>30.647746788328845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7.5895351615816675E-2</v>
      </c>
      <c r="AD102" s="230">
        <f>(INDEX(Models!$BJ102:$BT102,,AH102)*(1-AF102)+INDEX(Models!$BJ102:$BT102,,AH102+1)*AF102-ERP_i)*AE102*Ramure*Pc/MaxiM</f>
        <v>1.5729980016973054E-3</v>
      </c>
      <c r="AE102" s="304">
        <f t="shared" si="40"/>
        <v>0.6</v>
      </c>
      <c r="AF102" s="177">
        <f t="shared" si="41"/>
        <v>2.216945027982975E-2</v>
      </c>
      <c r="AG102" s="799">
        <f t="shared" si="49"/>
        <v>3</v>
      </c>
      <c r="AH102" s="176">
        <f t="shared" si="42"/>
        <v>9</v>
      </c>
      <c r="AI102" s="224">
        <f t="shared" si="43"/>
        <v>3.0221694502798297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'2027'!Wh/'2027'!Env_an*'2028'!Env_an</f>
        <v>7.7584120480390766</v>
      </c>
      <c r="C103" s="829"/>
      <c r="D103" s="391">
        <f t="shared" si="25"/>
        <v>8.2744456723497386</v>
      </c>
      <c r="E103" s="383">
        <f t="shared" si="47"/>
        <v>8.5985253859556057</v>
      </c>
      <c r="F103" s="383">
        <f t="shared" si="26"/>
        <v>8.5985253859556057</v>
      </c>
      <c r="G103" s="110">
        <f t="shared" si="48"/>
        <v>0.15567105972428591</v>
      </c>
      <c r="H103" s="412" t="b">
        <f>Wh_hp&gt;='2027'!Maxi_hp</f>
        <v>0</v>
      </c>
      <c r="I103" s="388">
        <f>IF(H103,Wh_hp,'2027'!Maxi_hp)</f>
        <v>54.228775027955102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6.2364736532752096E-2</v>
      </c>
      <c r="M103" s="832"/>
      <c r="N103" s="832"/>
      <c r="O103" s="48">
        <f>IF(t&lt;Tnet,'2027'!Resal+('2027'!Salim-'2027'!Resal)*(1-EXP(('2027'!Tnet-t)/('2027'!Tau_j))),Resal+(Salim-Resal)*(1-EXP((Tnet-t)/(Tau_j))))*Salcycl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1.4195459959315249E-4</v>
      </c>
      <c r="Q103" s="304">
        <f t="shared" si="28"/>
        <v>0.6</v>
      </c>
      <c r="R103" s="177">
        <f t="shared" si="29"/>
        <v>0.49812925825746979</v>
      </c>
      <c r="S103" s="799">
        <f t="shared" si="30"/>
        <v>-1</v>
      </c>
      <c r="T103" s="176">
        <f t="shared" si="31"/>
        <v>5</v>
      </c>
      <c r="U103" s="250">
        <f t="shared" si="32"/>
        <v>-0.50187074174253021</v>
      </c>
      <c r="V103" s="382">
        <f t="shared" si="33"/>
        <v>49.831424797277961</v>
      </c>
      <c r="W103" s="400">
        <f t="shared" si="34"/>
        <v>7.7584120480390766</v>
      </c>
      <c r="X103" s="157">
        <f t="shared" si="35"/>
        <v>46841</v>
      </c>
      <c r="Y103" s="383">
        <f t="shared" si="36"/>
        <v>7.4500358192935625</v>
      </c>
      <c r="Z103" s="383">
        <f t="shared" si="37"/>
        <v>7.9455584805378816</v>
      </c>
      <c r="AA103" s="384">
        <f t="shared" si="38"/>
        <v>8.5985253859556057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7.5939405433895352E-2</v>
      </c>
      <c r="AD103" s="230">
        <f>(INDEX(Models!$BJ103:$BT103,,AH103)*(1-AF103)+INDEX(Models!$BJ103:$BT103,,AH103+1)*AF103-ERP_i)*AE103*Ramure*Pc/MaxiM</f>
        <v>1.52370425604276E-3</v>
      </c>
      <c r="AE103" s="304">
        <f t="shared" si="40"/>
        <v>0.6</v>
      </c>
      <c r="AF103" s="177">
        <f t="shared" si="41"/>
        <v>2.3116824631448374E-2</v>
      </c>
      <c r="AG103" s="799">
        <f t="shared" si="49"/>
        <v>3</v>
      </c>
      <c r="AH103" s="176">
        <f t="shared" si="42"/>
        <v>9</v>
      </c>
      <c r="AI103" s="224">
        <f t="shared" si="43"/>
        <v>3.0231168246314484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'2027'!Wh/'2027'!Env_an*'2028'!Env_an</f>
        <v>27.634136899151802</v>
      </c>
      <c r="C104" s="829"/>
      <c r="D104" s="391">
        <f t="shared" si="25"/>
        <v>29.472725256771771</v>
      </c>
      <c r="E104" s="383">
        <f t="shared" si="47"/>
        <v>30.629584091044734</v>
      </c>
      <c r="F104" s="383">
        <f t="shared" si="26"/>
        <v>30.631103443935149</v>
      </c>
      <c r="G104" s="110">
        <f t="shared" si="48"/>
        <v>0.55118088471353754</v>
      </c>
      <c r="H104" s="412" t="b">
        <f>Wh_hp&gt;='2027'!Maxi_hp</f>
        <v>0</v>
      </c>
      <c r="I104" s="388">
        <f>IF(H104,Wh_hp,'2027'!Maxi_hp)</f>
        <v>49.948595361830613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6.2382706098667473E-2</v>
      </c>
      <c r="M104" s="832"/>
      <c r="N104" s="832"/>
      <c r="O104" s="48">
        <f>IF(t&lt;Tnet,'2027'!Resal+('2027'!Salim-'2027'!Resal)*(1-EXP(('2027'!Tnet-t)/('2027'!Tau_j))),Resal+(Salim-Resal)*(1-EXP((Tnet-t)/(Tau_j))))*Salcycl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1.3820476811596206E-4</v>
      </c>
      <c r="Q104" s="304">
        <f t="shared" si="28"/>
        <v>0.6</v>
      </c>
      <c r="R104" s="177">
        <f t="shared" si="29"/>
        <v>0.49911238274113401</v>
      </c>
      <c r="S104" s="799">
        <f t="shared" si="30"/>
        <v>-1</v>
      </c>
      <c r="T104" s="176">
        <f t="shared" si="31"/>
        <v>5</v>
      </c>
      <c r="U104" s="250">
        <f t="shared" si="32"/>
        <v>-0.50088761725886599</v>
      </c>
      <c r="V104" s="382">
        <f t="shared" si="33"/>
        <v>50.131797152251387</v>
      </c>
      <c r="W104" s="400">
        <f t="shared" si="34"/>
        <v>27.634136899151802</v>
      </c>
      <c r="X104" s="157">
        <f t="shared" si="35"/>
        <v>46842</v>
      </c>
      <c r="Y104" s="383">
        <f t="shared" si="36"/>
        <v>26.523904887586397</v>
      </c>
      <c r="Z104" s="383">
        <f t="shared" si="37"/>
        <v>28.288625924574259</v>
      </c>
      <c r="AA104" s="384">
        <f t="shared" si="38"/>
        <v>30.614869261826684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7.5984101625839295E-2</v>
      </c>
      <c r="AD104" s="230">
        <f>(INDEX(Models!$BJ104:$BT104,,AH104)*(1-AF104)+INDEX(Models!$BJ104:$BT104,,AH104+1)*AF104-ERP_i)*AE104*Ramure*Pc/MaxiM</f>
        <v>1.4767085303259515E-3</v>
      </c>
      <c r="AE104" s="304">
        <f t="shared" si="40"/>
        <v>0.6</v>
      </c>
      <c r="AF104" s="177">
        <f t="shared" si="41"/>
        <v>2.4099949115112373E-2</v>
      </c>
      <c r="AG104" s="799">
        <f t="shared" si="49"/>
        <v>3</v>
      </c>
      <c r="AH104" s="176">
        <f t="shared" si="42"/>
        <v>9</v>
      </c>
      <c r="AI104" s="224">
        <f t="shared" si="43"/>
        <v>3.0240999491151124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'2027'!Wh/'2027'!Env_an*'2028'!Env_an</f>
        <v>32.359188324462878</v>
      </c>
      <c r="C105" s="829"/>
      <c r="D105" s="391">
        <f t="shared" si="25"/>
        <v>34.512811040594435</v>
      </c>
      <c r="E105" s="383">
        <f t="shared" si="47"/>
        <v>35.8704649957577</v>
      </c>
      <c r="F105" s="383">
        <f t="shared" si="26"/>
        <v>35.872823270843647</v>
      </c>
      <c r="G105" s="110">
        <f t="shared" si="48"/>
        <v>0.64169212000758469</v>
      </c>
      <c r="H105" s="412" t="b">
        <f>Wh_hp&gt;='2027'!Maxi_hp</f>
        <v>0</v>
      </c>
      <c r="I105" s="388">
        <f>IF(H105,Wh_hp,'2027'!Maxi_hp)</f>
        <v>50.703405728850484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6.2400675320200216E-2</v>
      </c>
      <c r="M105" s="832"/>
      <c r="N105" s="832"/>
      <c r="O105" s="48">
        <f>IF(t&lt;Tnet,'2027'!Resal+('2027'!Salim-'2027'!Resal)*(1-EXP(('2027'!Tnet-t)/('2027'!Tau_j))),Resal+(Salim-Resal)*(1-EXP((Tnet-t)/(Tau_j))))*Salcycl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1.3465911853359236E-4</v>
      </c>
      <c r="Q105" s="304">
        <f t="shared" si="28"/>
        <v>0.6</v>
      </c>
      <c r="R105" s="177">
        <f t="shared" si="29"/>
        <v>0.50013244181041927</v>
      </c>
      <c r="S105" s="799">
        <f t="shared" si="30"/>
        <v>-1</v>
      </c>
      <c r="T105" s="176">
        <f t="shared" si="31"/>
        <v>5</v>
      </c>
      <c r="U105" s="250">
        <f t="shared" si="32"/>
        <v>-0.49986755818958073</v>
      </c>
      <c r="V105" s="382">
        <f t="shared" si="33"/>
        <v>50.424427849964403</v>
      </c>
      <c r="W105" s="400">
        <f t="shared" si="34"/>
        <v>32.359188324462878</v>
      </c>
      <c r="X105" s="157">
        <f t="shared" si="35"/>
        <v>46843</v>
      </c>
      <c r="Y105" s="383">
        <f t="shared" si="36"/>
        <v>31.055408820222503</v>
      </c>
      <c r="Z105" s="383">
        <f t="shared" si="37"/>
        <v>33.122260226486681</v>
      </c>
      <c r="AA105" s="384">
        <f t="shared" si="38"/>
        <v>35.847745247377453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7.602946857836651E-2</v>
      </c>
      <c r="AD105" s="230">
        <f>(INDEX(Models!$BJ105:$BT105,,AH105)*(1-AF105)+INDEX(Models!$BJ105:$BT105,,AH105+1)*AF105-ERP_i)*AE105*Ramure*Pc/MaxiM</f>
        <v>1.4319722727221271E-3</v>
      </c>
      <c r="AE105" s="304">
        <f t="shared" si="40"/>
        <v>0.6</v>
      </c>
      <c r="AF105" s="177">
        <f t="shared" si="41"/>
        <v>2.5120008184397857E-2</v>
      </c>
      <c r="AG105" s="799">
        <f t="shared" si="49"/>
        <v>3</v>
      </c>
      <c r="AH105" s="176">
        <f t="shared" si="42"/>
        <v>9</v>
      </c>
      <c r="AI105" s="224">
        <f t="shared" si="43"/>
        <v>3.0251200081843979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'2027'!Wh/'2027'!Env_an*'2028'!Env_an</f>
        <v>20.200497023891376</v>
      </c>
      <c r="C106" s="829"/>
      <c r="D106" s="391">
        <f t="shared" si="25"/>
        <v>21.545327132276608</v>
      </c>
      <c r="E106" s="383">
        <f t="shared" si="47"/>
        <v>22.394727125293485</v>
      </c>
      <c r="F106" s="383">
        <f t="shared" si="26"/>
        <v>22.395140372827349</v>
      </c>
      <c r="G106" s="110">
        <f t="shared" si="48"/>
        <v>0.39831994117715303</v>
      </c>
      <c r="H106" s="412" t="b">
        <f>Wh_hp&gt;='2027'!Maxi_hp</f>
        <v>0</v>
      </c>
      <c r="I106" s="388">
        <f>IF(H106,Wh_hp,'2027'!Maxi_hp)</f>
        <v>45.942881049826532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6.2418644197356876E-2</v>
      </c>
      <c r="M106" s="832"/>
      <c r="N106" s="832"/>
      <c r="O106" s="48">
        <f>IF(t&lt;Tnet,'2027'!Resal+('2027'!Salim-'2027'!Resal)*(1-EXP(('2027'!Tnet-t)/('2027'!Tau_j))),Resal+(Salim-Resal)*(1-EXP((Tnet-t)/(Tau_j))))*Salcycl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1.3131500544048087E-4</v>
      </c>
      <c r="Q106" s="304">
        <f t="shared" si="28"/>
        <v>0.6</v>
      </c>
      <c r="R106" s="177">
        <f t="shared" si="29"/>
        <v>0.50119064585985862</v>
      </c>
      <c r="S106" s="799">
        <f t="shared" si="30"/>
        <v>-1</v>
      </c>
      <c r="T106" s="176">
        <f t="shared" si="31"/>
        <v>5</v>
      </c>
      <c r="U106" s="250">
        <f t="shared" si="32"/>
        <v>-0.49880935414014138</v>
      </c>
      <c r="V106" s="382">
        <f t="shared" si="33"/>
        <v>50.708526026871802</v>
      </c>
      <c r="W106" s="400">
        <f t="shared" si="34"/>
        <v>20.200497023891376</v>
      </c>
      <c r="X106" s="157">
        <f t="shared" si="35"/>
        <v>46844</v>
      </c>
      <c r="Y106" s="383">
        <f t="shared" si="36"/>
        <v>19.396100045035318</v>
      </c>
      <c r="Z106" s="383">
        <f t="shared" si="37"/>
        <v>20.687378140567585</v>
      </c>
      <c r="AA106" s="384">
        <f t="shared" si="38"/>
        <v>22.390767758846099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7.6075534194469205E-2</v>
      </c>
      <c r="AD106" s="230">
        <f>(INDEX(Models!$BJ106:$BT106,,AH106)*(1-AF106)+INDEX(Models!$BJ106:$BT106,,AH106+1)*AF106-ERP_i)*AE106*Ramure*Pc/MaxiM</f>
        <v>1.3894573631633145E-3</v>
      </c>
      <c r="AE106" s="304">
        <f t="shared" si="40"/>
        <v>0.6</v>
      </c>
      <c r="AF106" s="177">
        <f t="shared" si="41"/>
        <v>2.6178212233836984E-2</v>
      </c>
      <c r="AG106" s="799">
        <f t="shared" si="49"/>
        <v>3</v>
      </c>
      <c r="AH106" s="176">
        <f t="shared" si="42"/>
        <v>9</v>
      </c>
      <c r="AI106" s="224">
        <f t="shared" si="43"/>
        <v>3.026178212233837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'2027'!Wh/'2027'!Env_an*'2028'!Env_an</f>
        <v>22.472952971557621</v>
      </c>
      <c r="C107" s="829"/>
      <c r="D107" s="391">
        <f t="shared" si="25"/>
        <v>23.969529182445882</v>
      </c>
      <c r="E107" s="383">
        <f t="shared" si="47"/>
        <v>24.916574930157825</v>
      </c>
      <c r="F107" s="383">
        <f t="shared" si="26"/>
        <v>24.91721714976714</v>
      </c>
      <c r="G107" s="110">
        <f t="shared" si="48"/>
        <v>0.44072635950629191</v>
      </c>
      <c r="H107" s="412" t="b">
        <f>Wh_hp&gt;='2027'!Maxi_hp</f>
        <v>0</v>
      </c>
      <c r="I107" s="388">
        <f>IF(H107,Wh_hp,'2027'!Maxi_hp)</f>
        <v>55.561785950469968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6.2436612730144114E-2</v>
      </c>
      <c r="M107" s="832"/>
      <c r="N107" s="832"/>
      <c r="O107" s="48">
        <f>IF(t&lt;Tnet,'2027'!Resal+('2027'!Salim-'2027'!Resal)*(1-EXP(('2027'!Tnet-t)/('2027'!Tau_j))),Resal+(Salim-Resal)*(1-EXP((Tnet-t)/(Tau_j))))*Salcycl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1.2816438365822075E-4</v>
      </c>
      <c r="Q107" s="304">
        <f t="shared" si="28"/>
        <v>0.6</v>
      </c>
      <c r="R107" s="177">
        <f t="shared" si="29"/>
        <v>0.50228823066467221</v>
      </c>
      <c r="S107" s="799">
        <f t="shared" si="30"/>
        <v>-1</v>
      </c>
      <c r="T107" s="176">
        <f t="shared" si="31"/>
        <v>5</v>
      </c>
      <c r="U107" s="250">
        <f t="shared" si="32"/>
        <v>-0.49771176933532779</v>
      </c>
      <c r="V107" s="382">
        <f t="shared" si="33"/>
        <v>50.985495685077765</v>
      </c>
      <c r="W107" s="400">
        <f t="shared" si="34"/>
        <v>22.472952971557621</v>
      </c>
      <c r="X107" s="157">
        <f t="shared" si="35"/>
        <v>46845</v>
      </c>
      <c r="Y107" s="383">
        <f t="shared" si="36"/>
        <v>21.577285524271019</v>
      </c>
      <c r="Z107" s="383">
        <f t="shared" si="37"/>
        <v>23.014215163737507</v>
      </c>
      <c r="AA107" s="384">
        <f t="shared" si="38"/>
        <v>24.910457095385386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7.6122325832357063E-2</v>
      </c>
      <c r="AD107" s="230">
        <f>(INDEX(Models!$BJ107:$BT107,,AH107)*(1-AF107)+INDEX(Models!$BJ107:$BT107,,AH107+1)*AF107-ERP_i)*AE107*Ramure*Pc/MaxiM</f>
        <v>1.3490684351111712E-3</v>
      </c>
      <c r="AE107" s="304">
        <f t="shared" si="40"/>
        <v>0.6</v>
      </c>
      <c r="AF107" s="177">
        <f t="shared" si="41"/>
        <v>2.7275797038650573E-2</v>
      </c>
      <c r="AG107" s="799">
        <f t="shared" si="49"/>
        <v>3</v>
      </c>
      <c r="AH107" s="176">
        <f t="shared" si="42"/>
        <v>9</v>
      </c>
      <c r="AI107" s="224">
        <f t="shared" si="43"/>
        <v>3.0272757970386506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'2027'!Wh/'2027'!Env_an*'2028'!Env_an</f>
        <v>45.237474130152627</v>
      </c>
      <c r="C108" s="829"/>
      <c r="D108" s="391">
        <f t="shared" si="25"/>
        <v>48.250968123202448</v>
      </c>
      <c r="E108" s="383">
        <f t="shared" si="47"/>
        <v>50.161577188204888</v>
      </c>
      <c r="F108" s="383">
        <f t="shared" si="26"/>
        <v>50.166804366693043</v>
      </c>
      <c r="G108" s="110">
        <f t="shared" si="48"/>
        <v>0.8825398569868057</v>
      </c>
      <c r="H108" s="412" t="b">
        <f>Wh_hp&gt;='2027'!Maxi_hp</f>
        <v>0</v>
      </c>
      <c r="I108" s="388">
        <f>IF(H108,Wh_hp,'2027'!Maxi_hp)</f>
        <v>57.558924699627966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6.2454580918568592E-2</v>
      </c>
      <c r="M108" s="832"/>
      <c r="N108" s="832"/>
      <c r="O108" s="48">
        <f>IF(t&lt;Tnet,'2027'!Resal+('2027'!Salim-'2027'!Resal)*(1-EXP(('2027'!Tnet-t)/('2027'!Tau_j))),Resal+(Salim-Resal)*(1-EXP((Tnet-t)/(Tau_j))))*Salcycl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1.2520148085209777E-4</v>
      </c>
      <c r="Q108" s="304">
        <f t="shared" si="28"/>
        <v>0.6</v>
      </c>
      <c r="R108" s="177">
        <f t="shared" si="29"/>
        <v>0.5034264566995249</v>
      </c>
      <c r="S108" s="799">
        <f t="shared" si="30"/>
        <v>-1</v>
      </c>
      <c r="T108" s="176">
        <f t="shared" si="31"/>
        <v>5</v>
      </c>
      <c r="U108" s="250">
        <f t="shared" si="32"/>
        <v>-0.4965735433004751</v>
      </c>
      <c r="V108" s="382">
        <f t="shared" si="33"/>
        <v>51.25720208150809</v>
      </c>
      <c r="W108" s="400">
        <f t="shared" si="34"/>
        <v>45.237474130152627</v>
      </c>
      <c r="X108" s="157">
        <f t="shared" si="35"/>
        <v>46846</v>
      </c>
      <c r="Y108" s="383">
        <f t="shared" si="36"/>
        <v>43.403698591230338</v>
      </c>
      <c r="Z108" s="383">
        <f t="shared" si="37"/>
        <v>46.295035640785812</v>
      </c>
      <c r="AA108" s="384">
        <f t="shared" si="38"/>
        <v>50.112065140338167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7.6169870247071558E-2</v>
      </c>
      <c r="AD108" s="230">
        <f>(INDEX(Models!$BJ108:$BT108,,AH108)*(1-AF108)+INDEX(Models!$BJ108:$BT108,,AH108+1)*AF108-ERP_i)*AE108*Ramure*Pc/MaxiM</f>
        <v>1.3111150146976735E-3</v>
      </c>
      <c r="AE108" s="304">
        <f t="shared" si="40"/>
        <v>0.6</v>
      </c>
      <c r="AF108" s="177">
        <f t="shared" si="41"/>
        <v>2.841402307350327E-2</v>
      </c>
      <c r="AG108" s="799">
        <f t="shared" si="49"/>
        <v>3</v>
      </c>
      <c r="AH108" s="176">
        <f t="shared" si="42"/>
        <v>9</v>
      </c>
      <c r="AI108" s="224">
        <f t="shared" si="43"/>
        <v>3.0284140230735033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'2027'!Wh/'2027'!Env_an*'2028'!Env_an</f>
        <v>51.909054276153299</v>
      </c>
      <c r="C109" s="829"/>
      <c r="D109" s="391">
        <f t="shared" si="25"/>
        <v>55.368036645372811</v>
      </c>
      <c r="E109" s="383">
        <f t="shared" si="47"/>
        <v>57.565296829931661</v>
      </c>
      <c r="F109" s="383">
        <f t="shared" si="26"/>
        <v>57.572341328599009</v>
      </c>
      <c r="G109" s="110">
        <f t="shared" si="48"/>
        <v>1.007482097951178</v>
      </c>
      <c r="H109" s="412" t="b">
        <f>Wh_hp&gt;='2027'!Maxi_hp</f>
        <v>0</v>
      </c>
      <c r="I109" s="388">
        <f>IF(H109,Wh_hp,'2027'!Maxi_hp)</f>
        <v>59.132284614261103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6.2472548762636748E-2</v>
      </c>
      <c r="M109" s="832"/>
      <c r="N109" s="832"/>
      <c r="O109" s="48">
        <f>IF(t&lt;Tnet,'2027'!Resal+('2027'!Salim-'2027'!Resal)*(1-EXP(('2027'!Tnet-t)/('2027'!Tau_j))),Resal+(Salim-Resal)*(1-EXP((Tnet-t)/(Tau_j))))*Salcycl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1.2235907911303741E-4</v>
      </c>
      <c r="Q109" s="304">
        <f t="shared" si="28"/>
        <v>0.6</v>
      </c>
      <c r="R109" s="177">
        <f t="shared" si="29"/>
        <v>0.50460660832754356</v>
      </c>
      <c r="S109" s="799">
        <f t="shared" si="30"/>
        <v>-1</v>
      </c>
      <c r="T109" s="176">
        <f t="shared" si="31"/>
        <v>5</v>
      </c>
      <c r="U109" s="250">
        <f t="shared" si="32"/>
        <v>-0.49539339167245638</v>
      </c>
      <c r="V109" s="382">
        <f t="shared" si="33"/>
        <v>51.523550028050998</v>
      </c>
      <c r="W109" s="400">
        <f t="shared" si="34"/>
        <v>51.909054276153299</v>
      </c>
      <c r="X109" s="157">
        <f t="shared" si="35"/>
        <v>46847</v>
      </c>
      <c r="Y109" s="383">
        <f t="shared" si="36"/>
        <v>49.798159277913165</v>
      </c>
      <c r="Z109" s="383">
        <f t="shared" si="37"/>
        <v>53.116481242430588</v>
      </c>
      <c r="AA109" s="384">
        <f t="shared" si="38"/>
        <v>57.498947122222575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7.6218193534507789E-2</v>
      </c>
      <c r="AD109" s="230">
        <f>(INDEX(Models!$BJ109:$BT109,,AH109)*(1-AF109)+INDEX(Models!$BJ109:$BT109,,AH109+1)*AF109-ERP_i)*AE109*Ramure*Pc/MaxiM</f>
        <v>1.2748171202127746E-3</v>
      </c>
      <c r="AE109" s="304">
        <f t="shared" si="40"/>
        <v>0.6</v>
      </c>
      <c r="AF109" s="177">
        <f t="shared" si="41"/>
        <v>2.9594174701522036E-2</v>
      </c>
      <c r="AG109" s="799">
        <f t="shared" si="49"/>
        <v>3</v>
      </c>
      <c r="AH109" s="176">
        <f t="shared" si="42"/>
        <v>9</v>
      </c>
      <c r="AI109" s="224">
        <f t="shared" si="43"/>
        <v>3.029594174701522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'2027'!Wh/'2027'!Env_an*'2028'!Env_an</f>
        <v>11.235868051005507</v>
      </c>
      <c r="C110" s="829"/>
      <c r="D110" s="391">
        <f t="shared" si="25"/>
        <v>11.984804682946317</v>
      </c>
      <c r="E110" s="383">
        <f t="shared" si="47"/>
        <v>12.461468570437599</v>
      </c>
      <c r="F110" s="383">
        <f t="shared" si="26"/>
        <v>12.461468570437599</v>
      </c>
      <c r="G110" s="110">
        <f t="shared" si="48"/>
        <v>0.21694786330940363</v>
      </c>
      <c r="H110" s="412" t="b">
        <f>Wh_hp&gt;='2027'!Maxi_hp</f>
        <v>0</v>
      </c>
      <c r="I110" s="388">
        <f>IF(H110,Wh_hp,'2027'!Maxi_hp)</f>
        <v>59.680123270108488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6.2490516262355356E-2</v>
      </c>
      <c r="M110" s="832"/>
      <c r="N110" s="832"/>
      <c r="O110" s="48">
        <f>IF(t&lt;Tnet,'2027'!Resal+('2027'!Salim-'2027'!Resal)*(1-EXP(('2027'!Tnet-t)/('2027'!Tau_j))),Resal+(Salim-Resal)*(1-EXP((Tnet-t)/(Tau_j))))*Salcycl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1.1963459024103266E-4</v>
      </c>
      <c r="Q110" s="304">
        <f t="shared" si="28"/>
        <v>0.6</v>
      </c>
      <c r="R110" s="177">
        <f t="shared" si="29"/>
        <v>0.50582999285058383</v>
      </c>
      <c r="S110" s="799">
        <f t="shared" si="30"/>
        <v>-1</v>
      </c>
      <c r="T110" s="176">
        <f t="shared" si="31"/>
        <v>5</v>
      </c>
      <c r="U110" s="250">
        <f t="shared" si="32"/>
        <v>-0.49417000714941617</v>
      </c>
      <c r="V110" s="382">
        <f t="shared" si="33"/>
        <v>51.784441114835637</v>
      </c>
      <c r="W110" s="400">
        <f t="shared" si="34"/>
        <v>11.235868051005507</v>
      </c>
      <c r="X110" s="157">
        <f t="shared" si="35"/>
        <v>46848</v>
      </c>
      <c r="Y110" s="383">
        <f t="shared" si="36"/>
        <v>10.791733304688556</v>
      </c>
      <c r="Z110" s="383">
        <f t="shared" si="37"/>
        <v>11.511065745878412</v>
      </c>
      <c r="AA110" s="384">
        <f t="shared" si="38"/>
        <v>12.461468570437599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7.6267321077535977E-2</v>
      </c>
      <c r="AD110" s="230">
        <f>(INDEX(Models!$BJ110:$BT110,,AH110)*(1-AF110)+INDEX(Models!$BJ110:$BT110,,AH110+1)*AF110-ERP_i)*AE110*Ramure*Pc/MaxiM</f>
        <v>1.2401386330169158E-3</v>
      </c>
      <c r="AE110" s="304">
        <f t="shared" si="40"/>
        <v>0.6</v>
      </c>
      <c r="AF110" s="177">
        <f t="shared" si="41"/>
        <v>3.0817559224562086E-2</v>
      </c>
      <c r="AG110" s="799">
        <f t="shared" si="49"/>
        <v>3</v>
      </c>
      <c r="AH110" s="176">
        <f t="shared" si="42"/>
        <v>9</v>
      </c>
      <c r="AI110" s="224">
        <f t="shared" si="43"/>
        <v>3.0308175592245621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'2027'!Wh/'2027'!Env_an*'2028'!Env_an</f>
        <v>37.717399927109945</v>
      </c>
      <c r="C111" s="829"/>
      <c r="D111" s="391">
        <f t="shared" si="25"/>
        <v>40.232257316432019</v>
      </c>
      <c r="E111" s="383">
        <f t="shared" si="47"/>
        <v>41.835935180192607</v>
      </c>
      <c r="F111" s="383">
        <f t="shared" si="26"/>
        <v>41.83890634827813</v>
      </c>
      <c r="G111" s="110">
        <f t="shared" si="48"/>
        <v>0.7247468488660268</v>
      </c>
      <c r="H111" s="412" t="b">
        <f>Wh_hp&gt;='2027'!Maxi_hp</f>
        <v>0</v>
      </c>
      <c r="I111" s="388">
        <f>IF(H111,Wh_hp,'2027'!Maxi_hp)</f>
        <v>57.850737846912956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6.2508483417730965E-2</v>
      </c>
      <c r="M111" s="832"/>
      <c r="N111" s="832"/>
      <c r="O111" s="48">
        <f>IF(t&lt;Tnet,'2027'!Resal+('2027'!Salim-'2027'!Resal)*(1-EXP(('2027'!Tnet-t)/('2027'!Tau_j))),Resal+(Salim-Resal)*(1-EXP((Tnet-t)/(Tau_j))))*Salcycl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1.1702554533212441E-4</v>
      </c>
      <c r="Q111" s="304">
        <f t="shared" si="28"/>
        <v>0.6</v>
      </c>
      <c r="R111" s="177">
        <f t="shared" si="29"/>
        <v>0.50709793941153281</v>
      </c>
      <c r="S111" s="799">
        <f t="shared" si="30"/>
        <v>-1</v>
      </c>
      <c r="T111" s="176">
        <f t="shared" si="31"/>
        <v>5</v>
      </c>
      <c r="U111" s="250">
        <f t="shared" si="32"/>
        <v>-0.49290206058846719</v>
      </c>
      <c r="V111" s="382">
        <f t="shared" si="33"/>
        <v>52.039776985629473</v>
      </c>
      <c r="W111" s="400">
        <f t="shared" si="34"/>
        <v>37.717399927109945</v>
      </c>
      <c r="X111" s="157">
        <f t="shared" si="35"/>
        <v>46849</v>
      </c>
      <c r="Y111" s="383">
        <f t="shared" si="36"/>
        <v>36.203642373363152</v>
      </c>
      <c r="Z111" s="383">
        <f t="shared" si="37"/>
        <v>38.617567981145697</v>
      </c>
      <c r="AA111" s="384">
        <f t="shared" si="38"/>
        <v>41.808260607461712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7.6317277493877803E-2</v>
      </c>
      <c r="AD111" s="230">
        <f>(INDEX(Models!$BJ111:$BT111,,AH111)*(1-AF111)+INDEX(Models!$BJ111:$BT111,,AH111+1)*AF111-ERP_i)*AE111*Ramure*Pc/MaxiM</f>
        <v>1.2070453195237624E-3</v>
      </c>
      <c r="AE111" s="304">
        <f t="shared" si="40"/>
        <v>0.6</v>
      </c>
      <c r="AF111" s="177">
        <f t="shared" si="41"/>
        <v>3.208550578551117E-2</v>
      </c>
      <c r="AG111" s="799">
        <f t="shared" si="49"/>
        <v>3</v>
      </c>
      <c r="AH111" s="176">
        <f t="shared" si="42"/>
        <v>9</v>
      </c>
      <c r="AI111" s="224">
        <f t="shared" si="43"/>
        <v>3.0320855057855112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'2027'!Wh/'2027'!Env_an*'2028'!Env_an</f>
        <v>30.642272184320195</v>
      </c>
      <c r="C112" s="829"/>
      <c r="D112" s="391">
        <f t="shared" si="25"/>
        <v>32.686012519284169</v>
      </c>
      <c r="E112" s="383">
        <f t="shared" si="47"/>
        <v>33.991788820898321</v>
      </c>
      <c r="F112" s="383">
        <f t="shared" si="26"/>
        <v>33.993379559860784</v>
      </c>
      <c r="G112" s="110">
        <f t="shared" si="48"/>
        <v>0.5859727170387925</v>
      </c>
      <c r="H112" s="412" t="b">
        <f>Wh_hp&gt;='2027'!Maxi_hp</f>
        <v>0</v>
      </c>
      <c r="I112" s="388">
        <f>IF(H112,Wh_hp,'2027'!Maxi_hp)</f>
        <v>57.096062387011123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6.2526450228770014E-2</v>
      </c>
      <c r="M112" s="832"/>
      <c r="N112" s="832"/>
      <c r="O112" s="48">
        <f>IF(t&lt;Tnet,'2027'!Resal+('2027'!Salim-'2027'!Resal)*(1-EXP(('2027'!Tnet-t)/('2027'!Tau_j))),Resal+(Salim-Resal)*(1-EXP((Tnet-t)/(Tau_j))))*Salcycl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1.1452959756896054E-4</v>
      </c>
      <c r="Q112" s="304">
        <f t="shared" si="28"/>
        <v>0.6</v>
      </c>
      <c r="R112" s="177">
        <f t="shared" si="29"/>
        <v>0.50841179773927636</v>
      </c>
      <c r="S112" s="799">
        <f t="shared" si="30"/>
        <v>-1</v>
      </c>
      <c r="T112" s="176">
        <f t="shared" si="31"/>
        <v>5</v>
      </c>
      <c r="U112" s="250">
        <f t="shared" si="32"/>
        <v>-0.49158820226072358</v>
      </c>
      <c r="V112" s="382">
        <f t="shared" si="33"/>
        <v>52.289459340310636</v>
      </c>
      <c r="W112" s="400">
        <f t="shared" si="34"/>
        <v>30.642272184320195</v>
      </c>
      <c r="X112" s="157">
        <f t="shared" si="35"/>
        <v>46850</v>
      </c>
      <c r="Y112" s="383">
        <f t="shared" si="36"/>
        <v>29.420066895372852</v>
      </c>
      <c r="Z112" s="383">
        <f t="shared" si="37"/>
        <v>31.382290095066871</v>
      </c>
      <c r="AA112" s="384">
        <f t="shared" si="38"/>
        <v>33.977052589107281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7.6368086585363995E-2</v>
      </c>
      <c r="AD112" s="230">
        <f>(INDEX(Models!$BJ112:$BT112,,AH112)*(1-AF112)+INDEX(Models!$BJ112:$BT112,,AH112+1)*AF112-ERP_i)*AE112*Ramure*Pc/MaxiM</f>
        <v>1.1755048653766492E-3</v>
      </c>
      <c r="AE112" s="304">
        <f t="shared" si="40"/>
        <v>0.6</v>
      </c>
      <c r="AF112" s="177">
        <f t="shared" si="41"/>
        <v>3.3399364113254837E-2</v>
      </c>
      <c r="AG112" s="799">
        <f t="shared" si="49"/>
        <v>3</v>
      </c>
      <c r="AH112" s="176">
        <f t="shared" si="42"/>
        <v>9</v>
      </c>
      <c r="AI112" s="224">
        <f t="shared" si="43"/>
        <v>3.0333993641132548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'2027'!Wh/'2027'!Env_an*'2028'!Env_an</f>
        <v>35.948822327704647</v>
      </c>
      <c r="C113" s="829"/>
      <c r="D113" s="391">
        <f t="shared" si="25"/>
        <v>38.347227290476461</v>
      </c>
      <c r="E113" s="383">
        <f t="shared" si="47"/>
        <v>39.882578418480804</v>
      </c>
      <c r="F113" s="383">
        <f t="shared" si="26"/>
        <v>39.885034061301823</v>
      </c>
      <c r="G113" s="110">
        <f t="shared" si="48"/>
        <v>0.68426964440173499</v>
      </c>
      <c r="H113" s="412" t="b">
        <f>Wh_hp&gt;='2027'!Maxi_hp</f>
        <v>0</v>
      </c>
      <c r="I113" s="388">
        <f>IF(H113,Wh_hp,'2027'!Maxi_hp)</f>
        <v>45.048186570983958</v>
      </c>
      <c r="J113" s="85">
        <f>IF(H113,An,'2027'!An_max)</f>
        <v>2020</v>
      </c>
      <c r="K113" s="197">
        <f t="shared" si="27"/>
        <v>46851</v>
      </c>
      <c r="L113" s="147">
        <f>IF(t&lt;Tvie,1-EXP((T0-t)*PertePVj)+'2027'!Pspv,1-EXP((T0-t)*PertePVj)+Pspv)</f>
        <v>6.2544416695479277E-2</v>
      </c>
      <c r="M113" s="832"/>
      <c r="N113" s="832"/>
      <c r="O113" s="48">
        <f>IF(t&lt;Tnet,'2027'!Resal+('2027'!Salim-'2027'!Resal)*(1-EXP(('2027'!Tnet-t)/('2027'!Tau_j))),Resal+(Salim-Resal)*(1-EXP((Tnet-t)/(Tau_j))))*Salcycl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1.1214452512836763E-4</v>
      </c>
      <c r="Q113" s="304">
        <f t="shared" si="28"/>
        <v>0.6</v>
      </c>
      <c r="R113" s="177">
        <f t="shared" si="29"/>
        <v>0.50977293672684243</v>
      </c>
      <c r="S113" s="799">
        <f t="shared" si="30"/>
        <v>-1</v>
      </c>
      <c r="T113" s="176">
        <f t="shared" si="31"/>
        <v>5</v>
      </c>
      <c r="U113" s="250">
        <f t="shared" si="32"/>
        <v>-0.49022706327315757</v>
      </c>
      <c r="V113" s="382">
        <f t="shared" si="33"/>
        <v>52.533389935207332</v>
      </c>
      <c r="W113" s="400">
        <f t="shared" si="34"/>
        <v>35.948822327704647</v>
      </c>
      <c r="X113" s="157">
        <f t="shared" si="35"/>
        <v>46851</v>
      </c>
      <c r="Y113" s="383">
        <f t="shared" si="36"/>
        <v>34.511361258954842</v>
      </c>
      <c r="Z113" s="383">
        <f t="shared" si="37"/>
        <v>36.813862836362517</v>
      </c>
      <c r="AA113" s="384">
        <f t="shared" si="38"/>
        <v>39.859951189848722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7.6419771288178631E-2</v>
      </c>
      <c r="AD113" s="230">
        <f>(INDEX(Models!$BJ113:$BT113,,AH113)*(1-AF113)+INDEX(Models!$BJ113:$BT113,,AH113+1)*AF113-ERP_i)*AE113*Ramure*Pc/MaxiM</f>
        <v>1.1454869103448475E-3</v>
      </c>
      <c r="AE113" s="304">
        <f t="shared" si="40"/>
        <v>0.6</v>
      </c>
      <c r="AF113" s="177">
        <f t="shared" si="41"/>
        <v>3.4760503100820905E-2</v>
      </c>
      <c r="AG113" s="799">
        <f t="shared" si="49"/>
        <v>3</v>
      </c>
      <c r="AH113" s="176">
        <f t="shared" si="42"/>
        <v>9</v>
      </c>
      <c r="AI113" s="224">
        <f t="shared" si="43"/>
        <v>3.0347605031008209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'2027'!Wh/'2027'!Env_an*'2028'!Env_an</f>
        <v>52.565673586624293</v>
      </c>
      <c r="C114" s="829"/>
      <c r="D114" s="391">
        <f t="shared" si="25"/>
        <v>56.073783069035215</v>
      </c>
      <c r="E114" s="383">
        <f t="shared" si="47"/>
        <v>58.323891460795863</v>
      </c>
      <c r="F114" s="383">
        <f t="shared" si="26"/>
        <v>58.33026497452488</v>
      </c>
      <c r="G114" s="110">
        <f t="shared" si="48"/>
        <v>0.99609962229317739</v>
      </c>
      <c r="H114" s="412" t="b">
        <f>Wh_hp&gt;='2027'!Maxi_hp</f>
        <v>0</v>
      </c>
      <c r="I114" s="388">
        <f>IF(H114,Wh_hp,'2027'!Maxi_hp)</f>
        <v>58.330300369076909</v>
      </c>
      <c r="J114" s="85">
        <f>IF(H114,An,'2027'!An_max)</f>
        <v>2026</v>
      </c>
      <c r="K114" s="197">
        <f t="shared" si="27"/>
        <v>46852</v>
      </c>
      <c r="L114" s="147">
        <f>IF(t&lt;Tvie,1-EXP((T0-t)*PertePVj)+'2027'!Pspv,1-EXP((T0-t)*PertePVj)+Pspv)</f>
        <v>6.2562382817865414E-2</v>
      </c>
      <c r="M114" s="832"/>
      <c r="N114" s="832"/>
      <c r="O114" s="48">
        <f>IF(t&lt;Tnet,'2027'!Resal+('2027'!Salim-'2027'!Resal)*(1-EXP(('2027'!Tnet-t)/('2027'!Tau_j))),Resal+(Salim-Resal)*(1-EXP((Tnet-t)/(Tau_j))))*Salcycl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1.0987812448049955E-4</v>
      </c>
      <c r="Q114" s="304">
        <f t="shared" si="28"/>
        <v>0.6</v>
      </c>
      <c r="R114" s="177">
        <f t="shared" si="29"/>
        <v>0.51118274283318499</v>
      </c>
      <c r="S114" s="799">
        <f t="shared" si="30"/>
        <v>-1</v>
      </c>
      <c r="T114" s="176">
        <f t="shared" si="31"/>
        <v>5</v>
      </c>
      <c r="U114" s="250">
        <f t="shared" si="32"/>
        <v>-0.48881725716681501</v>
      </c>
      <c r="V114" s="382">
        <f t="shared" si="33"/>
        <v>52.771470070888611</v>
      </c>
      <c r="W114" s="400">
        <f t="shared" si="34"/>
        <v>52.565673586624293</v>
      </c>
      <c r="X114" s="157">
        <f t="shared" si="35"/>
        <v>46852</v>
      </c>
      <c r="Y114" s="383">
        <f t="shared" si="36"/>
        <v>50.443298110026973</v>
      </c>
      <c r="Z114" s="383">
        <f t="shared" si="37"/>
        <v>53.809765242465573</v>
      </c>
      <c r="AA114" s="384">
        <f t="shared" si="38"/>
        <v>58.26546227782255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7.6472353623682474E-2</v>
      </c>
      <c r="AD114" s="230">
        <f>(INDEX(Models!$BJ114:$BT114,,AH114)*(1-AF114)+INDEX(Models!$BJ114:$BT114,,AH114+1)*AF114-ERP_i)*AE114*Ramure*Pc/MaxiM</f>
        <v>1.117185759325709E-3</v>
      </c>
      <c r="AE114" s="304">
        <f t="shared" si="40"/>
        <v>0.6</v>
      </c>
      <c r="AF114" s="177">
        <f t="shared" si="41"/>
        <v>3.6170309207163243E-2</v>
      </c>
      <c r="AG114" s="799">
        <f t="shared" si="49"/>
        <v>3</v>
      </c>
      <c r="AH114" s="176">
        <f t="shared" si="42"/>
        <v>9</v>
      </c>
      <c r="AI114" s="224">
        <f t="shared" si="43"/>
        <v>3.0361703092071632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'2027'!Wh/'2027'!Env_an*'2028'!Env_an</f>
        <v>43.56618396625808</v>
      </c>
      <c r="C115" s="829"/>
      <c r="D115" s="391">
        <f t="shared" si="25"/>
        <v>46.474579342351888</v>
      </c>
      <c r="E115" s="383">
        <f t="shared" si="47"/>
        <v>48.343676795745573</v>
      </c>
      <c r="F115" s="383">
        <f t="shared" si="26"/>
        <v>48.347557939982572</v>
      </c>
      <c r="G115" s="110">
        <f t="shared" si="48"/>
        <v>0.82192504910634989</v>
      </c>
      <c r="H115" s="412" t="b">
        <f>Wh_hp&gt;='2027'!Maxi_hp</f>
        <v>0</v>
      </c>
      <c r="I115" s="388">
        <f>IF(H115,Wh_hp,'2027'!Maxi_hp)</f>
        <v>59.403908056990687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6.2580348595934754E-2</v>
      </c>
      <c r="M115" s="832"/>
      <c r="N115" s="832"/>
      <c r="O115" s="48">
        <f>IF(t&lt;Tnet,'2027'!Resal+('2027'!Salim-'2027'!Resal)*(1-EXP(('2027'!Tnet-t)/('2027'!Tau_j))),Resal+(Salim-Resal)*(1-EXP((Tnet-t)/(Tau_j))))*Salcycl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1.0766050412022226E-4</v>
      </c>
      <c r="Q115" s="304">
        <f t="shared" si="28"/>
        <v>0.6</v>
      </c>
      <c r="R115" s="177">
        <f t="shared" si="29"/>
        <v>0.51264261829908209</v>
      </c>
      <c r="S115" s="799">
        <f t="shared" si="30"/>
        <v>-1</v>
      </c>
      <c r="T115" s="176">
        <f t="shared" si="31"/>
        <v>5</v>
      </c>
      <c r="U115" s="250">
        <f t="shared" si="32"/>
        <v>-0.48735738170091791</v>
      </c>
      <c r="V115" s="382">
        <f t="shared" si="33"/>
        <v>53.003605226052727</v>
      </c>
      <c r="W115" s="400">
        <f t="shared" si="34"/>
        <v>43.56618396625808</v>
      </c>
      <c r="X115" s="157">
        <f t="shared" si="35"/>
        <v>46853</v>
      </c>
      <c r="Y115" s="383">
        <f t="shared" si="36"/>
        <v>41.81963707476578</v>
      </c>
      <c r="Z115" s="383">
        <f t="shared" si="37"/>
        <v>44.61143631043835</v>
      </c>
      <c r="AA115" s="384">
        <f t="shared" si="38"/>
        <v>48.308267789675618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7.6525854649405312E-2</v>
      </c>
      <c r="AD115" s="230">
        <f>(INDEX(Models!$BJ115:$BT115,,AH115)*(1-AF115)+INDEX(Models!$BJ115:$BT115,,AH115+1)*AF115-ERP_i)*AE115*Ramure*Pc/MaxiM</f>
        <v>1.0898840987861435E-3</v>
      </c>
      <c r="AE115" s="304">
        <f t="shared" si="40"/>
        <v>0.6</v>
      </c>
      <c r="AF115" s="177">
        <f t="shared" si="41"/>
        <v>3.7630184673060452E-2</v>
      </c>
      <c r="AG115" s="799">
        <f t="shared" si="49"/>
        <v>3</v>
      </c>
      <c r="AH115" s="176">
        <f t="shared" si="42"/>
        <v>9</v>
      </c>
      <c r="AI115" s="224">
        <f t="shared" si="43"/>
        <v>3.0376301846730605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'2027'!Wh/'2027'!Env_an*'2028'!Env_an</f>
        <v>37.208421278123218</v>
      </c>
      <c r="C116" s="829"/>
      <c r="D116" s="391">
        <f t="shared" si="25"/>
        <v>39.693145249262834</v>
      </c>
      <c r="E116" s="383">
        <f t="shared" si="47"/>
        <v>41.29310134797749</v>
      </c>
      <c r="F116" s="383">
        <f t="shared" si="26"/>
        <v>41.295584509700838</v>
      </c>
      <c r="G116" s="110">
        <f t="shared" si="48"/>
        <v>0.69898450080185359</v>
      </c>
      <c r="H116" s="412" t="b">
        <f>Wh_hp&gt;='2027'!Maxi_hp</f>
        <v>0</v>
      </c>
      <c r="I116" s="388">
        <f>IF(H116,Wh_hp,'2027'!Maxi_hp)</f>
        <v>58.857771528976158</v>
      </c>
      <c r="J116" s="85">
        <f>IF(H116,An,'2027'!An_max)</f>
        <v>2018</v>
      </c>
      <c r="K116" s="197">
        <f t="shared" si="27"/>
        <v>46854</v>
      </c>
      <c r="L116" s="147">
        <f>IF(t&lt;Tvie,1-EXP((T0-t)*PertePVj)+'2027'!Pspv,1-EXP((T0-t)*PertePVj)+Pspv)</f>
        <v>6.259831402969418E-2</v>
      </c>
      <c r="M116" s="832"/>
      <c r="N116" s="832"/>
      <c r="O116" s="48">
        <f>IF(t&lt;Tnet,'2027'!Resal+('2027'!Salim-'2027'!Resal)*(1-EXP(('2027'!Tnet-t)/('2027'!Tau_j))),Resal+(Salim-Resal)*(1-EXP((Tnet-t)/(Tau_j))))*Salcycl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1.0548941642802515E-4</v>
      </c>
      <c r="Q116" s="304">
        <f t="shared" si="28"/>
        <v>0.6</v>
      </c>
      <c r="R116" s="177">
        <f t="shared" si="29"/>
        <v>0.51415397916771033</v>
      </c>
      <c r="S116" s="799">
        <f t="shared" si="30"/>
        <v>-1</v>
      </c>
      <c r="T116" s="176">
        <f t="shared" si="31"/>
        <v>5</v>
      </c>
      <c r="U116" s="250">
        <f t="shared" si="32"/>
        <v>-0.48584602083228962</v>
      </c>
      <c r="V116" s="382">
        <f t="shared" si="33"/>
        <v>53.2296974169519</v>
      </c>
      <c r="W116" s="400">
        <f t="shared" si="34"/>
        <v>37.208421278123218</v>
      </c>
      <c r="X116" s="157">
        <f t="shared" si="35"/>
        <v>46854</v>
      </c>
      <c r="Y116" s="383">
        <f t="shared" si="36"/>
        <v>35.724414059675681</v>
      </c>
      <c r="Z116" s="383">
        <f t="shared" si="37"/>
        <v>38.110038198509628</v>
      </c>
      <c r="AA116" s="384">
        <f t="shared" si="38"/>
        <v>41.270548990669205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7.6580294409801367E-2</v>
      </c>
      <c r="AD116" s="230">
        <f>(INDEX(Models!$BJ116:$BT116,,AH116)*(1-AF116)+INDEX(Models!$BJ116:$BT116,,AH116+1)*AF116-ERP_i)*AE116*Ramure*Pc/MaxiM</f>
        <v>1.0635562991287814E-3</v>
      </c>
      <c r="AE116" s="304">
        <f t="shared" si="40"/>
        <v>0.6</v>
      </c>
      <c r="AF116" s="177">
        <f t="shared" si="41"/>
        <v>3.9141545541689027E-2</v>
      </c>
      <c r="AG116" s="799">
        <f t="shared" si="49"/>
        <v>3</v>
      </c>
      <c r="AH116" s="176">
        <f t="shared" si="42"/>
        <v>9</v>
      </c>
      <c r="AI116" s="224">
        <f t="shared" si="43"/>
        <v>3.039141545541689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'2027'!Wh/'2027'!Env_an*'2028'!Env_an</f>
        <v>7.951335640006727</v>
      </c>
      <c r="C117" s="829"/>
      <c r="D117" s="391">
        <f t="shared" si="25"/>
        <v>8.482476773263075</v>
      </c>
      <c r="E117" s="383">
        <f t="shared" si="47"/>
        <v>8.8251613811808411</v>
      </c>
      <c r="F117" s="383">
        <f t="shared" si="26"/>
        <v>8.8251613811808411</v>
      </c>
      <c r="G117" s="110">
        <f t="shared" si="48"/>
        <v>0.14874772721059723</v>
      </c>
      <c r="H117" s="412" t="b">
        <f>Wh_hp&gt;='2027'!Maxi_hp</f>
        <v>0</v>
      </c>
      <c r="I117" s="388">
        <f>IF(H117,Wh_hp,'2027'!Maxi_hp)</f>
        <v>58.816606841862637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6.261627911915002E-2</v>
      </c>
      <c r="M117" s="832"/>
      <c r="N117" s="832"/>
      <c r="O117" s="48">
        <f>IF(t&lt;Tnet,'2027'!Resal+('2027'!Salim-'2027'!Resal)*(1-EXP(('2027'!Tnet-t)/('2027'!Tau_j))),Resal+(Salim-Resal)*(1-EXP((Tnet-t)/(Tau_j))))*Salcycl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1.0336260599018233E-4</v>
      </c>
      <c r="Q117" s="304">
        <f t="shared" si="28"/>
        <v>0.6</v>
      </c>
      <c r="R117" s="177">
        <f t="shared" si="29"/>
        <v>0.51571825310063191</v>
      </c>
      <c r="S117" s="799">
        <f t="shared" si="30"/>
        <v>-1</v>
      </c>
      <c r="T117" s="176">
        <f t="shared" si="31"/>
        <v>5</v>
      </c>
      <c r="U117" s="250">
        <f t="shared" si="32"/>
        <v>-0.48428174689936804</v>
      </c>
      <c r="V117" s="382">
        <f t="shared" si="33"/>
        <v>53.449648732968711</v>
      </c>
      <c r="W117" s="400">
        <f t="shared" si="34"/>
        <v>7.951335640006727</v>
      </c>
      <c r="X117" s="157">
        <f t="shared" si="35"/>
        <v>46855</v>
      </c>
      <c r="Y117" s="383">
        <f t="shared" si="36"/>
        <v>7.6385890533549752</v>
      </c>
      <c r="Z117" s="383">
        <f t="shared" si="37"/>
        <v>8.1488390327251157</v>
      </c>
      <c r="AA117" s="384">
        <f t="shared" si="38"/>
        <v>8.8251613811808411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7.6635691886376756E-2</v>
      </c>
      <c r="AD117" s="230">
        <f>(INDEX(Models!$BJ117:$BT117,,AH117)*(1-AF117)+INDEX(Models!$BJ117:$BT117,,AH117+1)*AF117-ERP_i)*AE117*Ramure*Pc/MaxiM</f>
        <v>1.0381777927651263E-3</v>
      </c>
      <c r="AE117" s="304">
        <f t="shared" si="40"/>
        <v>0.6</v>
      </c>
      <c r="AF117" s="177">
        <f t="shared" si="41"/>
        <v>4.0705819474610383E-2</v>
      </c>
      <c r="AG117" s="799">
        <f t="shared" si="49"/>
        <v>3</v>
      </c>
      <c r="AH117" s="176">
        <f t="shared" si="42"/>
        <v>9</v>
      </c>
      <c r="AI117" s="224">
        <f t="shared" si="43"/>
        <v>3.0407058194746104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'2027'!Wh/'2027'!Env_an*'2028'!Env_an</f>
        <v>40.244705596792564</v>
      </c>
      <c r="C118" s="829"/>
      <c r="D118" s="391">
        <f t="shared" si="25"/>
        <v>42.933833813923577</v>
      </c>
      <c r="E118" s="383">
        <f t="shared" si="47"/>
        <v>44.672252387144745</v>
      </c>
      <c r="F118" s="383">
        <f t="shared" si="26"/>
        <v>44.67516072101229</v>
      </c>
      <c r="G118" s="110">
        <f t="shared" si="48"/>
        <v>0.74992040208445188</v>
      </c>
      <c r="H118" s="412" t="b">
        <f>Wh_hp&gt;='2027'!Maxi_hp</f>
        <v>0</v>
      </c>
      <c r="I118" s="388">
        <f>IF(H118,Wh_hp,'2027'!Maxi_hp)</f>
        <v>59.036177217934771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6.2634243864309158E-2</v>
      </c>
      <c r="M118" s="832"/>
      <c r="N118" s="832"/>
      <c r="O118" s="48">
        <f>IF(t&lt;Tnet,'2027'!Resal+('2027'!Salim-'2027'!Resal)*(1-EXP(('2027'!Tnet-t)/('2027'!Tau_j))),Resal+(Salim-Resal)*(1-EXP((Tnet-t)/(Tau_j))))*Salcycl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1.0127780950477923E-4</v>
      </c>
      <c r="Q118" s="304">
        <f t="shared" si="28"/>
        <v>0.6</v>
      </c>
      <c r="R118" s="177">
        <f t="shared" si="29"/>
        <v>0.51733687698019559</v>
      </c>
      <c r="S118" s="799">
        <f t="shared" si="30"/>
        <v>-1</v>
      </c>
      <c r="T118" s="176">
        <f t="shared" si="31"/>
        <v>5</v>
      </c>
      <c r="U118" s="250">
        <f t="shared" si="32"/>
        <v>-0.48266312301980446</v>
      </c>
      <c r="V118" s="382">
        <f t="shared" si="33"/>
        <v>53.663361348283772</v>
      </c>
      <c r="W118" s="400">
        <f t="shared" si="34"/>
        <v>40.244705596792564</v>
      </c>
      <c r="X118" s="157">
        <f t="shared" si="35"/>
        <v>46856</v>
      </c>
      <c r="Y118" s="383">
        <f t="shared" si="36"/>
        <v>38.640140324202555</v>
      </c>
      <c r="Z118" s="383">
        <f t="shared" si="37"/>
        <v>41.222052407266624</v>
      </c>
      <c r="AA118" s="384">
        <f t="shared" si="38"/>
        <v>44.646050187895732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7.6692064946820487E-2</v>
      </c>
      <c r="AD118" s="230">
        <f>(INDEX(Models!$BJ118:$BT118,,AH118)*(1-AF118)+INDEX(Models!$BJ118:$BT118,,AH118+1)*AF118-ERP_i)*AE118*Ramure*Pc/MaxiM</f>
        <v>1.0137250954790589E-3</v>
      </c>
      <c r="AE118" s="304">
        <f t="shared" si="40"/>
        <v>0.6</v>
      </c>
      <c r="AF118" s="177">
        <f t="shared" si="41"/>
        <v>4.2324443354174068E-2</v>
      </c>
      <c r="AG118" s="799">
        <f t="shared" si="49"/>
        <v>3</v>
      </c>
      <c r="AH118" s="176">
        <f t="shared" si="42"/>
        <v>9</v>
      </c>
      <c r="AI118" s="224">
        <f t="shared" si="43"/>
        <v>3.0423244433541741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'2027'!Wh/'2027'!Env_an*'2028'!Env_an</f>
        <v>43.9147294788145</v>
      </c>
      <c r="C119" s="829"/>
      <c r="D119" s="391">
        <f t="shared" si="25"/>
        <v>46.849984462584715</v>
      </c>
      <c r="E119" s="383">
        <f t="shared" si="47"/>
        <v>48.751283345879592</v>
      </c>
      <c r="F119" s="383">
        <f t="shared" si="26"/>
        <v>48.754844081679423</v>
      </c>
      <c r="G119" s="110">
        <f t="shared" si="48"/>
        <v>0.81516572603050674</v>
      </c>
      <c r="H119" s="412" t="b">
        <f>Wh_hp&gt;='2027'!Maxi_hp</f>
        <v>0</v>
      </c>
      <c r="I119" s="388">
        <f>IF(H119,Wh_hp,'2027'!Maxi_hp)</f>
        <v>59.816550107721071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6.2652208265178033E-2</v>
      </c>
      <c r="M119" s="832"/>
      <c r="N119" s="832"/>
      <c r="O119" s="48">
        <f>IF(t&lt;Tnet,'2027'!Resal+('2027'!Salim-'2027'!Resal)*(1-EXP(('2027'!Tnet-t)/('2027'!Tau_j))),Resal+(Salim-Resal)*(1-EXP((Tnet-t)/(Tau_j))))*Salcycl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9.9232755686426752E-5</v>
      </c>
      <c r="Q119" s="304">
        <f t="shared" si="28"/>
        <v>0.6</v>
      </c>
      <c r="R119" s="177">
        <f t="shared" si="29"/>
        <v>0.51901129428972703</v>
      </c>
      <c r="S119" s="799">
        <f t="shared" si="30"/>
        <v>-1</v>
      </c>
      <c r="T119" s="176">
        <f t="shared" si="31"/>
        <v>5</v>
      </c>
      <c r="U119" s="250">
        <f t="shared" si="32"/>
        <v>-0.48098870571027297</v>
      </c>
      <c r="V119" s="382">
        <f t="shared" si="33"/>
        <v>53.870737517877124</v>
      </c>
      <c r="W119" s="400">
        <f t="shared" si="34"/>
        <v>43.9147294788145</v>
      </c>
      <c r="X119" s="157">
        <f t="shared" si="35"/>
        <v>46857</v>
      </c>
      <c r="Y119" s="383">
        <f t="shared" si="36"/>
        <v>42.162029600032206</v>
      </c>
      <c r="Z119" s="383">
        <f t="shared" si="37"/>
        <v>44.980134344798188</v>
      </c>
      <c r="AA119" s="384">
        <f t="shared" si="38"/>
        <v>48.719313933446365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7.6749430292801929E-2</v>
      </c>
      <c r="AD119" s="230">
        <f>(INDEX(Models!$BJ119:$BT119,,AH119)*(1-AF119)+INDEX(Models!$BJ119:$BT119,,AH119+1)*AF119-ERP_i)*AE119*Ramure*Pc/MaxiM</f>
        <v>9.9017582806332802E-4</v>
      </c>
      <c r="AE119" s="304">
        <f t="shared" si="40"/>
        <v>0.6</v>
      </c>
      <c r="AF119" s="177">
        <f t="shared" si="41"/>
        <v>4.3998860663705397E-2</v>
      </c>
      <c r="AG119" s="799">
        <f t="shared" si="49"/>
        <v>3</v>
      </c>
      <c r="AH119" s="176">
        <f t="shared" si="42"/>
        <v>9</v>
      </c>
      <c r="AI119" s="224">
        <f t="shared" si="43"/>
        <v>3.0439988606637054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'2027'!Wh/'2027'!Env_an*'2028'!Env_an</f>
        <v>45.563761070402585</v>
      </c>
      <c r="C120" s="829"/>
      <c r="D120" s="391">
        <f t="shared" si="25"/>
        <v>48.610168720720097</v>
      </c>
      <c r="E120" s="383">
        <f t="shared" si="47"/>
        <v>50.587402023498292</v>
      </c>
      <c r="F120" s="383">
        <f t="shared" si="26"/>
        <v>50.591215134250625</v>
      </c>
      <c r="G120" s="110">
        <f t="shared" si="48"/>
        <v>0.84263639646242261</v>
      </c>
      <c r="H120" s="412" t="b">
        <f>Wh_hp&gt;='2027'!Maxi_hp</f>
        <v>0</v>
      </c>
      <c r="I120" s="388">
        <f>IF(H120,Wh_hp,'2027'!Maxi_hp)</f>
        <v>51.884062779817704</v>
      </c>
      <c r="J120" s="85">
        <f>IF(H120,An,'2027'!An_max)</f>
        <v>2021</v>
      </c>
      <c r="K120" s="197">
        <f t="shared" si="27"/>
        <v>46858</v>
      </c>
      <c r="L120" s="147">
        <f>IF(t&lt;Tvie,1-EXP((T0-t)*PertePVj)+'2027'!Pspv,1-EXP((T0-t)*PertePVj)+Pspv)</f>
        <v>6.2670172321763196E-2</v>
      </c>
      <c r="M120" s="832"/>
      <c r="N120" s="832"/>
      <c r="O120" s="48">
        <f>IF(t&lt;Tnet,'2027'!Resal+('2027'!Salim-'2027'!Resal)*(1-EXP(('2027'!Tnet-t)/('2027'!Tau_j))),Resal+(Salim-Resal)*(1-EXP((Tnet-t)/(Tau_j))))*Salcycl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9.7225165106538242E-5</v>
      </c>
      <c r="Q120" s="304">
        <f t="shared" si="28"/>
        <v>0.6</v>
      </c>
      <c r="R120" s="177">
        <f t="shared" si="29"/>
        <v>0.52074295226336942</v>
      </c>
      <c r="S120" s="799">
        <f t="shared" si="30"/>
        <v>-1</v>
      </c>
      <c r="T120" s="176">
        <f t="shared" si="31"/>
        <v>5</v>
      </c>
      <c r="U120" s="250">
        <f t="shared" si="32"/>
        <v>-0.47925704773663058</v>
      </c>
      <c r="V120" s="382">
        <f t="shared" si="33"/>
        <v>54.071679586735257</v>
      </c>
      <c r="W120" s="400">
        <f t="shared" si="34"/>
        <v>45.563761070402585</v>
      </c>
      <c r="X120" s="157">
        <f t="shared" si="35"/>
        <v>46858</v>
      </c>
      <c r="Y120" s="383">
        <f t="shared" si="36"/>
        <v>43.745543380471297</v>
      </c>
      <c r="Z120" s="383">
        <f t="shared" si="37"/>
        <v>46.670384414020916</v>
      </c>
      <c r="AA120" s="384">
        <f t="shared" si="38"/>
        <v>50.553270040856368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7.6807803406137007E-2</v>
      </c>
      <c r="AD120" s="230">
        <f>(INDEX(Models!$BJ120:$BT120,,AH120)*(1-AF120)+INDEX(Models!$BJ120:$BT120,,AH120+1)*AF120-ERP_i)*AE120*Ramure*Pc/MaxiM</f>
        <v>9.6750873757847308E-4</v>
      </c>
      <c r="AE120" s="304">
        <f t="shared" si="40"/>
        <v>0.6</v>
      </c>
      <c r="AF120" s="177">
        <f t="shared" si="41"/>
        <v>4.5730518637348005E-2</v>
      </c>
      <c r="AG120" s="799">
        <f t="shared" si="49"/>
        <v>3</v>
      </c>
      <c r="AH120" s="176">
        <f t="shared" si="42"/>
        <v>9</v>
      </c>
      <c r="AI120" s="224">
        <f t="shared" si="43"/>
        <v>3.045730518637348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'2027'!Wh/'2027'!Env_an*'2028'!Env_an</f>
        <v>53.478243961353634</v>
      </c>
      <c r="C121" s="829"/>
      <c r="D121" s="391">
        <f t="shared" si="25"/>
        <v>57.054909915551413</v>
      </c>
      <c r="E121" s="383">
        <f t="shared" si="47"/>
        <v>59.380950715561653</v>
      </c>
      <c r="F121" s="383">
        <f t="shared" si="26"/>
        <v>59.386490058425373</v>
      </c>
      <c r="G121" s="110">
        <f t="shared" si="48"/>
        <v>0.98547536283471304</v>
      </c>
      <c r="H121" s="412" t="b">
        <f>Wh_hp&gt;='2027'!Maxi_hp</f>
        <v>0</v>
      </c>
      <c r="I121" s="388">
        <f>IF(H121,Wh_hp,'2027'!Maxi_hp)</f>
        <v>59.386605451986881</v>
      </c>
      <c r="J121" s="85">
        <f>IF(H121,An,'2027'!An_max)</f>
        <v>2026</v>
      </c>
      <c r="K121" s="197">
        <f t="shared" si="27"/>
        <v>46859</v>
      </c>
      <c r="L121" s="147">
        <f>IF(t&lt;Tvie,1-EXP((T0-t)*PertePVj)+'2027'!Pspv,1-EXP((T0-t)*PertePVj)+Pspv)</f>
        <v>6.2688136034071418E-2</v>
      </c>
      <c r="M121" s="832"/>
      <c r="N121" s="832"/>
      <c r="O121" s="48">
        <f>IF(t&lt;Tnet,'2027'!Resal+('2027'!Salim-'2027'!Resal)*(1-EXP(('2027'!Tnet-t)/('2027'!Tau_j))),Resal+(Salim-Resal)*(1-EXP((Tnet-t)/(Tau_j))))*Salcycl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9.525231626432582E-5</v>
      </c>
      <c r="Q121" s="304">
        <f t="shared" si="28"/>
        <v>0.6</v>
      </c>
      <c r="R121" s="177">
        <f t="shared" si="29"/>
        <v>0.52253329879804622</v>
      </c>
      <c r="S121" s="799">
        <f t="shared" si="30"/>
        <v>-1</v>
      </c>
      <c r="T121" s="176">
        <f t="shared" si="31"/>
        <v>5</v>
      </c>
      <c r="U121" s="250">
        <f t="shared" si="32"/>
        <v>-0.47746670120195378</v>
      </c>
      <c r="V121" s="382">
        <f t="shared" si="33"/>
        <v>54.266337126381323</v>
      </c>
      <c r="W121" s="400">
        <f t="shared" si="34"/>
        <v>53.478243961353634</v>
      </c>
      <c r="X121" s="157">
        <f t="shared" si="35"/>
        <v>46859</v>
      </c>
      <c r="Y121" s="383">
        <f t="shared" si="36"/>
        <v>51.337365420153475</v>
      </c>
      <c r="Z121" s="383">
        <f t="shared" si="37"/>
        <v>54.770847776252616</v>
      </c>
      <c r="AA121" s="384">
        <f t="shared" si="38"/>
        <v>59.331493461010567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7.6867198493072816E-2</v>
      </c>
      <c r="AD121" s="230">
        <f>(INDEX(Models!$BJ121:$BT121,,AH121)*(1-AF121)+INDEX(Models!$BJ121:$BT121,,AH121+1)*AF121-ERP_i)*AE121*Ramure*Pc/MaxiM</f>
        <v>9.4569941223944759E-4</v>
      </c>
      <c r="AE121" s="304">
        <f t="shared" si="40"/>
        <v>0.6</v>
      </c>
      <c r="AF121" s="177">
        <f t="shared" si="41"/>
        <v>4.7520865172024696E-2</v>
      </c>
      <c r="AG121" s="799">
        <f t="shared" si="49"/>
        <v>3</v>
      </c>
      <c r="AH121" s="176">
        <f t="shared" si="42"/>
        <v>9</v>
      </c>
      <c r="AI121" s="224">
        <f t="shared" si="43"/>
        <v>3.0475208651720247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'2027'!Wh/'2027'!Env_an*'2028'!Env_an</f>
        <v>39.560395022024679</v>
      </c>
      <c r="C122" s="829"/>
      <c r="D122" s="391">
        <f t="shared" si="25"/>
        <v>42.207033457477401</v>
      </c>
      <c r="E122" s="383">
        <f t="shared" si="47"/>
        <v>43.931704982002657</v>
      </c>
      <c r="F122" s="383">
        <f t="shared" si="26"/>
        <v>43.934203624416917</v>
      </c>
      <c r="G122" s="110">
        <f t="shared" si="48"/>
        <v>0.72645317145196586</v>
      </c>
      <c r="H122" s="412" t="b">
        <f>Wh_hp&gt;='2027'!Maxi_hp</f>
        <v>0</v>
      </c>
      <c r="I122" s="388">
        <f>IF(H122,Wh_hp,'2027'!Maxi_hp)</f>
        <v>43.935777254192551</v>
      </c>
      <c r="J122" s="85">
        <f>IF(H122,An,'2027'!An_max)</f>
        <v>2026</v>
      </c>
      <c r="K122" s="197">
        <f t="shared" si="27"/>
        <v>46860</v>
      </c>
      <c r="L122" s="147">
        <f>IF(t&lt;Tvie,1-EXP((T0-t)*PertePVj)+'2027'!Pspv,1-EXP((T0-t)*PertePVj)+Pspv)</f>
        <v>6.2706099402109028E-2</v>
      </c>
      <c r="M122" s="832"/>
      <c r="N122" s="832"/>
      <c r="O122" s="48">
        <f>IF(t&lt;Tnet,'2027'!Resal+('2027'!Salim-'2027'!Resal)*(1-EXP(('2027'!Tnet-t)/('2027'!Tau_j))),Resal+(Salim-Resal)*(1-EXP((Tnet-t)/(Tau_j))))*Salcycl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9.3347148214319059E-5</v>
      </c>
      <c r="Q122" s="304">
        <f t="shared" si="28"/>
        <v>0.6</v>
      </c>
      <c r="R122" s="177">
        <f t="shared" si="29"/>
        <v>0.52438377912076906</v>
      </c>
      <c r="S122" s="799">
        <f t="shared" si="30"/>
        <v>-1</v>
      </c>
      <c r="T122" s="176">
        <f t="shared" si="31"/>
        <v>5</v>
      </c>
      <c r="U122" s="250">
        <f t="shared" si="32"/>
        <v>-0.47561622087923089</v>
      </c>
      <c r="V122" s="382">
        <f t="shared" si="33"/>
        <v>54.454923645486453</v>
      </c>
      <c r="W122" s="400">
        <f t="shared" si="34"/>
        <v>39.560395022024679</v>
      </c>
      <c r="X122" s="157">
        <f t="shared" si="35"/>
        <v>46860</v>
      </c>
      <c r="Y122" s="383">
        <f t="shared" si="36"/>
        <v>37.990017195548674</v>
      </c>
      <c r="Z122" s="383">
        <f t="shared" si="37"/>
        <v>40.531595448679653</v>
      </c>
      <c r="AA122" s="384">
        <f t="shared" si="38"/>
        <v>43.9094449112239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7.6927628426494116E-2</v>
      </c>
      <c r="AD122" s="230">
        <f>(INDEX(Models!$BJ122:$BT122,,AH122)*(1-AF122)+INDEX(Models!$BJ122:$BT122,,AH122+1)*AF122-ERP_i)*AE122*Ramure*Pc/MaxiM</f>
        <v>9.2496439539984363E-4</v>
      </c>
      <c r="AE122" s="304">
        <f t="shared" si="40"/>
        <v>0.6</v>
      </c>
      <c r="AF122" s="177">
        <f t="shared" si="41"/>
        <v>4.9371345494747754E-2</v>
      </c>
      <c r="AG122" s="799">
        <f t="shared" si="49"/>
        <v>3</v>
      </c>
      <c r="AH122" s="176">
        <f t="shared" si="42"/>
        <v>9</v>
      </c>
      <c r="AI122" s="224">
        <f t="shared" si="43"/>
        <v>3.0493713454947478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'2027'!Wh/'2027'!Env_an*'2028'!Env_an</f>
        <v>9.2473196486353437</v>
      </c>
      <c r="C123" s="829"/>
      <c r="D123" s="391">
        <f t="shared" si="25"/>
        <v>9.8661656380185185</v>
      </c>
      <c r="E123" s="383">
        <f t="shared" si="47"/>
        <v>10.270249063101833</v>
      </c>
      <c r="F123" s="383">
        <f t="shared" si="26"/>
        <v>10.270249063101833</v>
      </c>
      <c r="G123" s="110">
        <f t="shared" si="48"/>
        <v>0.16923328369846147</v>
      </c>
      <c r="H123" s="412" t="b">
        <f>Wh_hp&gt;='2027'!Maxi_hp</f>
        <v>0</v>
      </c>
      <c r="I123" s="388">
        <f>IF(H123,Wh_hp,'2027'!Maxi_hp)</f>
        <v>59.533076172726751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6.2724062425882909E-2</v>
      </c>
      <c r="M123" s="832"/>
      <c r="N123" s="832"/>
      <c r="O123" s="48">
        <f>IF(t&lt;Tnet,'2027'!Resal+('2027'!Salim-'2027'!Resal)*(1-EXP(('2027'!Tnet-t)/('2027'!Tau_j))),Resal+(Salim-Resal)*(1-EXP((Tnet-t)/(Tau_j))))*Salcycl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9.1504728968397971E-5</v>
      </c>
      <c r="Q123" s="304">
        <f t="shared" si="28"/>
        <v>0.6</v>
      </c>
      <c r="R123" s="177">
        <f t="shared" si="29"/>
        <v>0.52629583220540599</v>
      </c>
      <c r="S123" s="799">
        <f t="shared" si="30"/>
        <v>-1</v>
      </c>
      <c r="T123" s="176">
        <f t="shared" si="31"/>
        <v>5</v>
      </c>
      <c r="U123" s="250">
        <f t="shared" si="32"/>
        <v>-0.47370416779459401</v>
      </c>
      <c r="V123" s="382">
        <f t="shared" si="33"/>
        <v>54.637440538189317</v>
      </c>
      <c r="W123" s="400">
        <f t="shared" si="34"/>
        <v>9.2473196486353437</v>
      </c>
      <c r="X123" s="157">
        <f t="shared" si="35"/>
        <v>46861</v>
      </c>
      <c r="Y123" s="383">
        <f t="shared" si="36"/>
        <v>8.8849557850364995</v>
      </c>
      <c r="Z123" s="383">
        <f t="shared" si="37"/>
        <v>9.4795517828322602</v>
      </c>
      <c r="AA123" s="384">
        <f t="shared" si="38"/>
        <v>10.270249063101833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7.6989104685915605E-2</v>
      </c>
      <c r="AD123" s="230">
        <f>(INDEX(Models!$BJ123:$BT123,,AH123)*(1-AF123)+INDEX(Models!$BJ123:$BT123,,AH123+1)*AF123-ERP_i)*AE123*Ramure*Pc/MaxiM</f>
        <v>9.0487173608907816E-4</v>
      </c>
      <c r="AE123" s="304">
        <f t="shared" si="40"/>
        <v>0.6</v>
      </c>
      <c r="AF123" s="177">
        <f t="shared" si="41"/>
        <v>5.1283398579384354E-2</v>
      </c>
      <c r="AG123" s="799">
        <f t="shared" si="49"/>
        <v>3</v>
      </c>
      <c r="AH123" s="176">
        <f t="shared" si="42"/>
        <v>9</v>
      </c>
      <c r="AI123" s="224">
        <f t="shared" si="43"/>
        <v>3.0512833985793844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'2027'!Wh/'2027'!Env_an*'2028'!Env_an</f>
        <v>9.6477870993006114</v>
      </c>
      <c r="C124" s="829"/>
      <c r="D124" s="391">
        <f t="shared" si="25"/>
        <v>10.29363031067893</v>
      </c>
      <c r="E124" s="383">
        <f t="shared" si="47"/>
        <v>10.716197855272616</v>
      </c>
      <c r="F124" s="383">
        <f t="shared" si="26"/>
        <v>10.716197855272616</v>
      </c>
      <c r="G124" s="110">
        <f t="shared" si="48"/>
        <v>0.17599410712990646</v>
      </c>
      <c r="H124" s="412" t="b">
        <f>Wh_hp&gt;='2027'!Maxi_hp</f>
        <v>0</v>
      </c>
      <c r="I124" s="388">
        <f>IF(H124,Wh_hp,'2027'!Maxi_hp)</f>
        <v>52.580415314681325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6.2742025105399502E-2</v>
      </c>
      <c r="M124" s="832"/>
      <c r="N124" s="832"/>
      <c r="O124" s="48">
        <f>IF(t&lt;Tnet,'2027'!Resal+('2027'!Salim-'2027'!Resal)*(1-EXP(('2027'!Tnet-t)/('2027'!Tau_j))),Resal+(Salim-Resal)*(1-EXP((Tnet-t)/(Tau_j))))*Salcycl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8.9723107537234198E-5</v>
      </c>
      <c r="Q124" s="304">
        <f t="shared" si="28"/>
        <v>0.6</v>
      </c>
      <c r="R124" s="177">
        <f t="shared" si="29"/>
        <v>0.5282708869340752</v>
      </c>
      <c r="S124" s="799">
        <f t="shared" si="30"/>
        <v>-1</v>
      </c>
      <c r="T124" s="176">
        <f t="shared" si="31"/>
        <v>5</v>
      </c>
      <c r="U124" s="250">
        <f t="shared" si="32"/>
        <v>-0.4717291130659248</v>
      </c>
      <c r="V124" s="382">
        <f t="shared" si="33"/>
        <v>54.813889096528257</v>
      </c>
      <c r="W124" s="400">
        <f t="shared" si="34"/>
        <v>9.6477870993006114</v>
      </c>
      <c r="X124" s="157">
        <f t="shared" si="35"/>
        <v>46862</v>
      </c>
      <c r="Y124" s="383">
        <f t="shared" si="36"/>
        <v>9.2699474372426121</v>
      </c>
      <c r="Z124" s="383">
        <f t="shared" si="37"/>
        <v>9.8904972649446545</v>
      </c>
      <c r="AA124" s="384">
        <f t="shared" si="38"/>
        <v>10.716197855272616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7.7051637295190337E-2</v>
      </c>
      <c r="AD124" s="230">
        <f>(INDEX(Models!$BJ124:$BT124,,AH124)*(1-AF124)+INDEX(Models!$BJ124:$BT124,,AH124+1)*AF124-ERP_i)*AE124*Ramure*Pc/MaxiM</f>
        <v>8.8540196901197772E-4</v>
      </c>
      <c r="AE124" s="304">
        <f t="shared" si="40"/>
        <v>0.6</v>
      </c>
      <c r="AF124" s="177">
        <f t="shared" si="41"/>
        <v>5.3258453308053788E-2</v>
      </c>
      <c r="AG124" s="799">
        <f t="shared" si="49"/>
        <v>3</v>
      </c>
      <c r="AH124" s="176">
        <f t="shared" si="42"/>
        <v>9</v>
      </c>
      <c r="AI124" s="224">
        <f t="shared" si="43"/>
        <v>3.0532584533080538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'2027'!Wh/'2027'!Env_an*'2028'!Env_an</f>
        <v>9.2867003737222475</v>
      </c>
      <c r="C125" s="829"/>
      <c r="D125" s="391">
        <f t="shared" si="25"/>
        <v>9.9085615736388846</v>
      </c>
      <c r="E125" s="383">
        <f t="shared" si="47"/>
        <v>10.316267509635884</v>
      </c>
      <c r="F125" s="383">
        <f t="shared" si="26"/>
        <v>10.316267509635884</v>
      </c>
      <c r="G125" s="110">
        <f t="shared" si="48"/>
        <v>0.16888253726954444</v>
      </c>
      <c r="H125" s="412" t="b">
        <f>Wh_hp&gt;='2027'!Maxi_hp</f>
        <v>0</v>
      </c>
      <c r="I125" s="388">
        <f>IF(H125,Wh_hp,'2027'!Maxi_hp)</f>
        <v>55.246951602065522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6.2759987440665466E-2</v>
      </c>
      <c r="M125" s="832"/>
      <c r="N125" s="832"/>
      <c r="O125" s="48">
        <f>IF(t&lt;Tnet,'2027'!Resal+('2027'!Salim-'2027'!Resal)*(1-EXP(('2027'!Tnet-t)/('2027'!Tau_j))),Resal+(Salim-Resal)*(1-EXP((Tnet-t)/(Tau_j))))*Salcycl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8.8000659902728501E-5</v>
      </c>
      <c r="Q125" s="304">
        <f t="shared" si="28"/>
        <v>0.6</v>
      </c>
      <c r="R125" s="177">
        <f t="shared" si="29"/>
        <v>0.53031035799954829</v>
      </c>
      <c r="S125" s="799">
        <f t="shared" si="30"/>
        <v>-1</v>
      </c>
      <c r="T125" s="176">
        <f t="shared" si="31"/>
        <v>5</v>
      </c>
      <c r="U125" s="250">
        <f t="shared" si="32"/>
        <v>-0.46968964200045177</v>
      </c>
      <c r="V125" s="382">
        <f t="shared" si="33"/>
        <v>54.984270653989142</v>
      </c>
      <c r="W125" s="400">
        <f t="shared" si="34"/>
        <v>9.2867003737222475</v>
      </c>
      <c r="X125" s="157">
        <f t="shared" si="35"/>
        <v>46863</v>
      </c>
      <c r="Y125" s="383">
        <f t="shared" si="36"/>
        <v>8.923205467162461</v>
      </c>
      <c r="Z125" s="383">
        <f t="shared" si="37"/>
        <v>9.5207261188046566</v>
      </c>
      <c r="AA125" s="384">
        <f t="shared" si="38"/>
        <v>10.316267509635884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7.7115234757934789E-2</v>
      </c>
      <c r="AD125" s="230">
        <f>(INDEX(Models!$BJ125:$BT125,,AH125)*(1-AF125)+INDEX(Models!$BJ125:$BT125,,AH125+1)*AF125-ERP_i)*AE125*Ramure*Pc/MaxiM</f>
        <v>8.665390053481188E-4</v>
      </c>
      <c r="AE125" s="304">
        <f t="shared" si="40"/>
        <v>0.6</v>
      </c>
      <c r="AF125" s="177">
        <f t="shared" si="41"/>
        <v>5.5297924373526541E-2</v>
      </c>
      <c r="AG125" s="799">
        <f t="shared" si="49"/>
        <v>3</v>
      </c>
      <c r="AH125" s="176">
        <f t="shared" si="42"/>
        <v>9</v>
      </c>
      <c r="AI125" s="224">
        <f t="shared" si="43"/>
        <v>3.0552979243735265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'2027'!Wh/'2027'!Env_an*'2028'!Env_an</f>
        <v>26.991130620933184</v>
      </c>
      <c r="C126" s="829"/>
      <c r="D126" s="391">
        <f t="shared" si="25"/>
        <v>28.799077662082645</v>
      </c>
      <c r="E126" s="383">
        <f t="shared" si="47"/>
        <v>29.986835223809631</v>
      </c>
      <c r="F126" s="383">
        <f t="shared" si="26"/>
        <v>29.987535827592005</v>
      </c>
      <c r="G126" s="110">
        <f t="shared" si="48"/>
        <v>0.48939478852249424</v>
      </c>
      <c r="H126" s="412" t="b">
        <f>Wh_hp&gt;='2027'!Maxi_hp</f>
        <v>0</v>
      </c>
      <c r="I126" s="388">
        <f>IF(H126,Wh_hp,'2027'!Maxi_hp)</f>
        <v>61.484611749803321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6.2777949431687352E-2</v>
      </c>
      <c r="M126" s="832"/>
      <c r="N126" s="832"/>
      <c r="O126" s="48">
        <f>IF(t&lt;Tnet,'2027'!Resal+('2027'!Salim-'2027'!Resal)*(1-EXP(('2027'!Tnet-t)/('2027'!Tau_j))),Resal+(Salim-Resal)*(1-EXP((Tnet-t)/(Tau_j))))*Salcycl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8.6335825142891547E-5</v>
      </c>
      <c r="Q126" s="304">
        <f t="shared" si="28"/>
        <v>0.6</v>
      </c>
      <c r="R126" s="177">
        <f t="shared" si="29"/>
        <v>0.53241564154643073</v>
      </c>
      <c r="S126" s="799">
        <f t="shared" si="30"/>
        <v>-1</v>
      </c>
      <c r="T126" s="176">
        <f t="shared" si="31"/>
        <v>5</v>
      </c>
      <c r="U126" s="250">
        <f t="shared" si="32"/>
        <v>-0.46758435845356927</v>
      </c>
      <c r="V126" s="382">
        <f t="shared" si="33"/>
        <v>55.148586603139144</v>
      </c>
      <c r="W126" s="400">
        <f t="shared" si="34"/>
        <v>26.991130620933184</v>
      </c>
      <c r="X126" s="157">
        <f t="shared" si="35"/>
        <v>46864</v>
      </c>
      <c r="Y126" s="383">
        <f t="shared" si="36"/>
        <v>25.929886655719955</v>
      </c>
      <c r="Z126" s="383">
        <f t="shared" si="37"/>
        <v>27.666748386891442</v>
      </c>
      <c r="AA126" s="384">
        <f t="shared" si="38"/>
        <v>29.980652249053325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7.7179903990746201E-2</v>
      </c>
      <c r="AD126" s="230">
        <f>(INDEX(Models!$BJ126:$BT126,,AH126)*(1-AF126)+INDEX(Models!$BJ126:$BT126,,AH126+1)*AF126-ERP_i)*AE126*Ramure*Pc/MaxiM</f>
        <v>8.4826752013678021E-4</v>
      </c>
      <c r="AE126" s="304">
        <f t="shared" si="40"/>
        <v>0.6</v>
      </c>
      <c r="AF126" s="177">
        <f t="shared" si="41"/>
        <v>5.7403207920409205E-2</v>
      </c>
      <c r="AG126" s="799">
        <f t="shared" si="49"/>
        <v>3</v>
      </c>
      <c r="AH126" s="176">
        <f t="shared" si="42"/>
        <v>9</v>
      </c>
      <c r="AI126" s="224">
        <f t="shared" si="43"/>
        <v>3.0574032079204092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'2027'!Wh/'2027'!Env_an*'2028'!Env_an</f>
        <v>8.9890829403950825</v>
      </c>
      <c r="C127" s="829"/>
      <c r="D127" s="391">
        <f t="shared" si="25"/>
        <v>9.5913825458648159</v>
      </c>
      <c r="E127" s="383">
        <f t="shared" si="47"/>
        <v>9.9878862239667345</v>
      </c>
      <c r="F127" s="383">
        <f t="shared" si="26"/>
        <v>9.9878862239667345</v>
      </c>
      <c r="G127" s="110">
        <f t="shared" si="48"/>
        <v>0.16251735917718946</v>
      </c>
      <c r="H127" s="412" t="b">
        <f>Wh_hp&gt;='2027'!Maxi_hp</f>
        <v>0</v>
      </c>
      <c r="I127" s="388">
        <f>IF(H127,Wh_hp,'2027'!Maxi_hp)</f>
        <v>61.411826255045938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6.2795911078471822E-2</v>
      </c>
      <c r="M127" s="832"/>
      <c r="N127" s="832"/>
      <c r="O127" s="48">
        <f>IF(t&lt;Tnet,'2027'!Resal+('2027'!Salim-'2027'!Resal)*(1-EXP(('2027'!Tnet-t)/('2027'!Tau_j))),Resal+(Salim-Resal)*(1-EXP((Tnet-t)/(Tau_j))))*Salcycl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8.4726861836789897E-5</v>
      </c>
      <c r="Q127" s="304">
        <f t="shared" si="28"/>
        <v>0.6</v>
      </c>
      <c r="R127" s="177">
        <f t="shared" si="29"/>
        <v>0.53458811055046407</v>
      </c>
      <c r="S127" s="799">
        <f t="shared" si="30"/>
        <v>-1</v>
      </c>
      <c r="T127" s="176">
        <f t="shared" si="31"/>
        <v>5</v>
      </c>
      <c r="U127" s="250">
        <f t="shared" si="32"/>
        <v>-0.46541188944953593</v>
      </c>
      <c r="V127" s="382">
        <f t="shared" si="33"/>
        <v>55.306838414762581</v>
      </c>
      <c r="W127" s="400">
        <f t="shared" si="34"/>
        <v>8.9890829403950825</v>
      </c>
      <c r="X127" s="157">
        <f t="shared" si="35"/>
        <v>46865</v>
      </c>
      <c r="Y127" s="383">
        <f t="shared" si="36"/>
        <v>8.6376153921669552</v>
      </c>
      <c r="Z127" s="383">
        <f t="shared" si="37"/>
        <v>9.2163654579298147</v>
      </c>
      <c r="AA127" s="384">
        <f t="shared" si="38"/>
        <v>9.9878862239667345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7.7245650254364473E-2</v>
      </c>
      <c r="AD127" s="230">
        <f>(INDEX(Models!$BJ127:$BT127,,AH127)*(1-AF127)+INDEX(Models!$BJ127:$BT127,,AH127+1)*AF127-ERP_i)*AE127*Ramure*Pc/MaxiM</f>
        <v>8.3057057182817052E-4</v>
      </c>
      <c r="AE127" s="304">
        <f t="shared" si="40"/>
        <v>0.6</v>
      </c>
      <c r="AF127" s="177">
        <f t="shared" si="41"/>
        <v>5.9575676924442433E-2</v>
      </c>
      <c r="AG127" s="799">
        <f t="shared" si="49"/>
        <v>3</v>
      </c>
      <c r="AH127" s="176">
        <f t="shared" si="42"/>
        <v>9</v>
      </c>
      <c r="AI127" s="224">
        <f t="shared" si="43"/>
        <v>3.0595756769244424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'2027'!Wh/'2027'!Env_an*'2028'!Env_an</f>
        <v>31.061205771966296</v>
      </c>
      <c r="C128" s="829"/>
      <c r="D128" s="391">
        <f t="shared" si="25"/>
        <v>33.14304902365631</v>
      </c>
      <c r="E128" s="383">
        <f t="shared" si="47"/>
        <v>34.516392743377658</v>
      </c>
      <c r="F128" s="383">
        <f t="shared" si="26"/>
        <v>34.517459746874522</v>
      </c>
      <c r="G128" s="110">
        <f t="shared" si="48"/>
        <v>0.56004556495324009</v>
      </c>
      <c r="H128" s="412" t="b">
        <f>Wh_hp&gt;='2027'!Maxi_hp</f>
        <v>0</v>
      </c>
      <c r="I128" s="388">
        <f>IF(H128,Wh_hp,'2027'!Maxi_hp)</f>
        <v>58.10105142457774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6.2813872381025426E-2</v>
      </c>
      <c r="M128" s="832"/>
      <c r="N128" s="832"/>
      <c r="O128" s="48">
        <f>IF(t&lt;Tnet,'2027'!Resal+('2027'!Salim-'2027'!Resal)*(1-EXP(('2027'!Tnet-t)/('2027'!Tau_j))),Resal+(Salim-Resal)*(1-EXP((Tnet-t)/(Tau_j))))*Salcycl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8.3200645676897598E-5</v>
      </c>
      <c r="Q128" s="304">
        <f t="shared" si="28"/>
        <v>0.6</v>
      </c>
      <c r="R128" s="177">
        <f t="shared" si="29"/>
        <v>0.53682910993704558</v>
      </c>
      <c r="S128" s="799">
        <f t="shared" si="30"/>
        <v>-1</v>
      </c>
      <c r="T128" s="176">
        <f t="shared" si="31"/>
        <v>5</v>
      </c>
      <c r="U128" s="250">
        <f t="shared" si="32"/>
        <v>-0.46317089006295442</v>
      </c>
      <c r="V128" s="382">
        <f t="shared" si="33"/>
        <v>55.459026045090638</v>
      </c>
      <c r="W128" s="400">
        <f t="shared" si="34"/>
        <v>31.061205771966296</v>
      </c>
      <c r="X128" s="157">
        <f t="shared" si="35"/>
        <v>46866</v>
      </c>
      <c r="Y128" s="383">
        <f t="shared" si="36"/>
        <v>29.839256355590603</v>
      </c>
      <c r="Z128" s="383">
        <f t="shared" si="37"/>
        <v>31.839199787773797</v>
      </c>
      <c r="AA128" s="384">
        <f t="shared" si="38"/>
        <v>34.507023230483448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7.7312477083010103E-2</v>
      </c>
      <c r="AD128" s="230">
        <f>(INDEX(Models!$BJ128:$BT128,,AH128)*(1-AF128)+INDEX(Models!$BJ128:$BT128,,AH128+1)*AF128-ERP_i)*AE128*Ramure*Pc/MaxiM</f>
        <v>8.1379761631853993E-4</v>
      </c>
      <c r="AE128" s="304">
        <f t="shared" si="40"/>
        <v>0.6</v>
      </c>
      <c r="AF128" s="177">
        <f t="shared" si="41"/>
        <v>6.1816676311023944E-2</v>
      </c>
      <c r="AG128" s="799">
        <f t="shared" si="49"/>
        <v>3</v>
      </c>
      <c r="AH128" s="176">
        <f t="shared" si="42"/>
        <v>9</v>
      </c>
      <c r="AI128" s="224">
        <f t="shared" si="43"/>
        <v>3.0618166763110239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'2027'!Wh/'2027'!Env_an*'2028'!Env_an</f>
        <v>47.008851379042831</v>
      </c>
      <c r="C129" s="829"/>
      <c r="D129" s="391">
        <f t="shared" si="25"/>
        <v>50.160529402686215</v>
      </c>
      <c r="E129" s="383">
        <f t="shared" si="47"/>
        <v>52.243934297770238</v>
      </c>
      <c r="F129" s="383">
        <f t="shared" si="26"/>
        <v>52.247262045267512</v>
      </c>
      <c r="G129" s="110">
        <f t="shared" si="48"/>
        <v>0.84538934377089869</v>
      </c>
      <c r="H129" s="412" t="b">
        <f>Wh_hp&gt;='2027'!Maxi_hp</f>
        <v>0</v>
      </c>
      <c r="I129" s="388">
        <f>IF(H129,Wh_hp,'2027'!Maxi_hp)</f>
        <v>57.415722541484826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6.2831833339354715E-2</v>
      </c>
      <c r="M129" s="832"/>
      <c r="N129" s="832"/>
      <c r="O129" s="48">
        <f>IF(t&lt;Tnet,'2027'!Resal+('2027'!Salim-'2027'!Resal)*(1-EXP(('2027'!Tnet-t)/('2027'!Tau_j))),Resal+(Salim-Resal)*(1-EXP((Tnet-t)/(Tau_j))))*Salcycl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8.1745916332459846E-5</v>
      </c>
      <c r="Q129" s="304">
        <f t="shared" si="28"/>
        <v>0.6</v>
      </c>
      <c r="R129" s="177">
        <f t="shared" si="29"/>
        <v>0.53913995144201143</v>
      </c>
      <c r="S129" s="799">
        <f t="shared" si="30"/>
        <v>-1</v>
      </c>
      <c r="T129" s="176">
        <f t="shared" si="31"/>
        <v>5</v>
      </c>
      <c r="U129" s="250">
        <f t="shared" si="32"/>
        <v>-0.46086004855798857</v>
      </c>
      <c r="V129" s="382">
        <f t="shared" si="33"/>
        <v>55.605151627325689</v>
      </c>
      <c r="W129" s="400">
        <f t="shared" si="34"/>
        <v>47.008851379042831</v>
      </c>
      <c r="X129" s="157">
        <f t="shared" si="35"/>
        <v>46867</v>
      </c>
      <c r="Y129" s="383">
        <f t="shared" si="36"/>
        <v>45.147503094337303</v>
      </c>
      <c r="Z129" s="383">
        <f t="shared" si="37"/>
        <v>48.174388226617502</v>
      </c>
      <c r="AA129" s="384">
        <f t="shared" si="38"/>
        <v>52.214788745752777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7.7380386212209426E-2</v>
      </c>
      <c r="AD129" s="230">
        <f>(INDEX(Models!$BJ129:$BT129,,AH129)*(1-AF129)+INDEX(Models!$BJ129:$BT129,,AH129+1)*AF129-ERP_i)*AE129*Ramure*Pc/MaxiM</f>
        <v>7.9770464175660271E-4</v>
      </c>
      <c r="AE129" s="304">
        <f t="shared" si="40"/>
        <v>0.6</v>
      </c>
      <c r="AF129" s="177">
        <f t="shared" si="41"/>
        <v>6.4127517815990132E-2</v>
      </c>
      <c r="AG129" s="799">
        <f t="shared" si="49"/>
        <v>3</v>
      </c>
      <c r="AH129" s="176">
        <f t="shared" si="42"/>
        <v>9</v>
      </c>
      <c r="AI129" s="224">
        <f t="shared" si="43"/>
        <v>3.0641275178159901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'2027'!Wh/'2027'!Env_an*'2028'!Env_an</f>
        <v>53.896086653329348</v>
      </c>
      <c r="C130" s="829"/>
      <c r="D130" s="391">
        <f t="shared" si="25"/>
        <v>57.510617087409756</v>
      </c>
      <c r="E130" s="383">
        <f t="shared" si="47"/>
        <v>59.904971177036231</v>
      </c>
      <c r="F130" s="383">
        <f t="shared" si="26"/>
        <v>59.90955747020098</v>
      </c>
      <c r="G130" s="110">
        <f t="shared" si="48"/>
        <v>0.9668252181518856</v>
      </c>
      <c r="H130" s="412" t="b">
        <f>Wh_hp&gt;='2027'!Maxi_hp</f>
        <v>0</v>
      </c>
      <c r="I130" s="388">
        <f>IF(H130,Wh_hp,'2027'!Maxi_hp)</f>
        <v>59.909778849647175</v>
      </c>
      <c r="J130" s="85">
        <f>IF(H130,An,'2027'!An_max)</f>
        <v>2026</v>
      </c>
      <c r="K130" s="197">
        <f t="shared" si="27"/>
        <v>46868</v>
      </c>
      <c r="L130" s="147">
        <f>IF(t&lt;Tvie,1-EXP((T0-t)*PertePVj)+'2027'!Pspv,1-EXP((T0-t)*PertePVj)+Pspv)</f>
        <v>6.2849793953466349E-2</v>
      </c>
      <c r="M130" s="832"/>
      <c r="N130" s="832"/>
      <c r="O130" s="48">
        <f>IF(t&lt;Tnet,'2027'!Resal+('2027'!Salim-'2027'!Resal)*(1-EXP(('2027'!Tnet-t)/('2027'!Tau_j))),Resal+(Salim-Resal)*(1-EXP((Tnet-t)/(Tau_j))))*Salcycl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8.0361739119896091E-5</v>
      </c>
      <c r="Q130" s="304">
        <f t="shared" si="28"/>
        <v>0.6</v>
      </c>
      <c r="R130" s="177">
        <f t="shared" si="29"/>
        <v>0.54152190821987034</v>
      </c>
      <c r="S130" s="799">
        <f t="shared" si="30"/>
        <v>-1</v>
      </c>
      <c r="T130" s="176">
        <f t="shared" si="31"/>
        <v>5</v>
      </c>
      <c r="U130" s="250">
        <f t="shared" si="32"/>
        <v>-0.4584780917801296</v>
      </c>
      <c r="V130" s="382">
        <f t="shared" si="33"/>
        <v>55.745216801049807</v>
      </c>
      <c r="W130" s="400">
        <f t="shared" si="34"/>
        <v>53.896086653329348</v>
      </c>
      <c r="X130" s="157">
        <f t="shared" si="35"/>
        <v>46868</v>
      </c>
      <c r="Y130" s="383">
        <f t="shared" si="36"/>
        <v>51.757317774026916</v>
      </c>
      <c r="Z130" s="383">
        <f t="shared" si="37"/>
        <v>55.228412094546279</v>
      </c>
      <c r="AA130" s="384">
        <f t="shared" si="38"/>
        <v>59.864912285477715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7.7449377505497075E-2</v>
      </c>
      <c r="AD130" s="230">
        <f>(INDEX(Models!$BJ130:$BT130,,AH130)*(1-AF130)+INDEX(Models!$BJ130:$BT130,,AH130+1)*AF130-ERP_i)*AE130*Ramure*Pc/MaxiM</f>
        <v>7.8227984099775265E-4</v>
      </c>
      <c r="AE130" s="304">
        <f t="shared" si="40"/>
        <v>0.6</v>
      </c>
      <c r="AF130" s="177">
        <f t="shared" si="41"/>
        <v>6.6509474593849038E-2</v>
      </c>
      <c r="AG130" s="799">
        <f t="shared" si="49"/>
        <v>3</v>
      </c>
      <c r="AH130" s="176">
        <f t="shared" si="42"/>
        <v>9</v>
      </c>
      <c r="AI130" s="224">
        <f t="shared" si="43"/>
        <v>3.066509474593849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'2027'!Wh/'2027'!Env_an*'2028'!Env_an</f>
        <v>39.123207320497173</v>
      </c>
      <c r="C131" s="829"/>
      <c r="D131" s="391">
        <f t="shared" si="25"/>
        <v>41.7477975993393</v>
      </c>
      <c r="E131" s="383">
        <f t="shared" si="47"/>
        <v>43.49003238202507</v>
      </c>
      <c r="F131" s="383">
        <f t="shared" si="26"/>
        <v>43.491997592159557</v>
      </c>
      <c r="G131" s="110">
        <f t="shared" si="48"/>
        <v>0.70011500129705495</v>
      </c>
      <c r="H131" s="412" t="b">
        <f>Wh_hp&gt;='2027'!Maxi_hp</f>
        <v>0</v>
      </c>
      <c r="I131" s="388">
        <f>IF(H131,Wh_hp,'2027'!Maxi_hp)</f>
        <v>43.493424228291971</v>
      </c>
      <c r="J131" s="85">
        <f>IF(H131,An,'2027'!An_max)</f>
        <v>2026</v>
      </c>
      <c r="K131" s="197">
        <f t="shared" si="27"/>
        <v>46869</v>
      </c>
      <c r="L131" s="147">
        <f>IF(t&lt;Tvie,1-EXP((T0-t)*PertePVj)+'2027'!Pspv,1-EXP((T0-t)*PertePVj)+Pspv)</f>
        <v>6.2867754223366878E-2</v>
      </c>
      <c r="M131" s="832"/>
      <c r="N131" s="832"/>
      <c r="O131" s="48">
        <f>IF(t&lt;Tnet,'2027'!Resal+('2027'!Salim-'2027'!Resal)*(1-EXP(('2027'!Tnet-t)/('2027'!Tau_j))),Resal+(Salim-Resal)*(1-EXP((Tnet-t)/(Tau_j))))*Salcycl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7.9047312988950787E-5</v>
      </c>
      <c r="Q131" s="304">
        <f t="shared" si="28"/>
        <v>0.6</v>
      </c>
      <c r="R131" s="177">
        <f t="shared" si="29"/>
        <v>0.54397620920700529</v>
      </c>
      <c r="S131" s="799">
        <f t="shared" si="30"/>
        <v>-1</v>
      </c>
      <c r="T131" s="176">
        <f t="shared" si="31"/>
        <v>5</v>
      </c>
      <c r="U131" s="250">
        <f t="shared" si="32"/>
        <v>-0.45602379079299465</v>
      </c>
      <c r="V131" s="382">
        <f t="shared" si="33"/>
        <v>55.879223281394808</v>
      </c>
      <c r="W131" s="400">
        <f t="shared" si="34"/>
        <v>39.123207320497173</v>
      </c>
      <c r="X131" s="157">
        <f t="shared" si="35"/>
        <v>46869</v>
      </c>
      <c r="Y131" s="383">
        <f t="shared" si="36"/>
        <v>37.581739296755288</v>
      </c>
      <c r="Z131" s="383">
        <f t="shared" si="37"/>
        <v>40.102919802540818</v>
      </c>
      <c r="AA131" s="384">
        <f t="shared" si="38"/>
        <v>43.472916316632684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7.7519448880463387E-2</v>
      </c>
      <c r="AD131" s="230">
        <f>(INDEX(Models!$BJ131:$BT131,,AH131)*(1-AF131)+INDEX(Models!$BJ131:$BT131,,AH131+1)*AF131-ERP_i)*AE131*Ramure*Pc/MaxiM</f>
        <v>7.6751260963647426E-4</v>
      </c>
      <c r="AE131" s="304">
        <f t="shared" si="40"/>
        <v>0.6</v>
      </c>
      <c r="AF131" s="177">
        <f t="shared" si="41"/>
        <v>6.8963775580983988E-2</v>
      </c>
      <c r="AG131" s="799">
        <f t="shared" si="49"/>
        <v>3</v>
      </c>
      <c r="AH131" s="176">
        <f t="shared" si="42"/>
        <v>9</v>
      </c>
      <c r="AI131" s="224">
        <f t="shared" si="43"/>
        <v>3.068963775580984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'2027'!Wh/'2027'!Env_an*'2028'!Env_an</f>
        <v>23.573246375608054</v>
      </c>
      <c r="C132" s="829"/>
      <c r="D132" s="391">
        <f t="shared" si="25"/>
        <v>25.155145675964814</v>
      </c>
      <c r="E132" s="383">
        <f t="shared" si="47"/>
        <v>26.207438628774693</v>
      </c>
      <c r="F132" s="383">
        <f t="shared" si="26"/>
        <v>26.207790787296766</v>
      </c>
      <c r="G132" s="110">
        <f t="shared" si="48"/>
        <v>0.42086982549272439</v>
      </c>
      <c r="H132" s="412" t="b">
        <f>Wh_hp&gt;='2027'!Maxi_hp</f>
        <v>0</v>
      </c>
      <c r="I132" s="388">
        <f>IF(H132,Wh_hp,'2027'!Maxi_hp)</f>
        <v>46.721279625112096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6.2885714149062966E-2</v>
      </c>
      <c r="M132" s="832"/>
      <c r="N132" s="832"/>
      <c r="O132" s="48">
        <f>IF(t&lt;Tnet,'2027'!Resal+('2027'!Salim-'2027'!Resal)*(1-EXP(('2027'!Tnet-t)/('2027'!Tau_j))),Resal+(Salim-Resal)*(1-EXP((Tnet-t)/(Tau_j))))*Salcycl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7.780197184772855E-5</v>
      </c>
      <c r="Q132" s="304">
        <f t="shared" si="28"/>
        <v>0.6</v>
      </c>
      <c r="R132" s="177">
        <f t="shared" si="29"/>
        <v>0.54650403324988273</v>
      </c>
      <c r="S132" s="799">
        <f t="shared" si="30"/>
        <v>-1</v>
      </c>
      <c r="T132" s="176">
        <f t="shared" si="31"/>
        <v>5</v>
      </c>
      <c r="U132" s="250">
        <f t="shared" si="32"/>
        <v>-0.45349596675011733</v>
      </c>
      <c r="V132" s="382">
        <f t="shared" si="33"/>
        <v>56.00717285986353</v>
      </c>
      <c r="W132" s="400">
        <f t="shared" si="34"/>
        <v>23.573246375608054</v>
      </c>
      <c r="X132" s="157">
        <f t="shared" si="35"/>
        <v>46870</v>
      </c>
      <c r="Y132" s="383">
        <f t="shared" si="36"/>
        <v>22.651146040604342</v>
      </c>
      <c r="Z132" s="383">
        <f t="shared" si="37"/>
        <v>24.171167148557767</v>
      </c>
      <c r="AA132" s="384">
        <f t="shared" si="38"/>
        <v>26.204380668594794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7.7590596234688877E-2</v>
      </c>
      <c r="AD132" s="230">
        <f>(INDEX(Models!$BJ132:$BT132,,AH132)*(1-AF132)+INDEX(Models!$BJ132:$BT132,,AH132+1)*AF132-ERP_i)*AE132*Ramure*Pc/MaxiM</f>
        <v>7.5339355039779894E-4</v>
      </c>
      <c r="AE132" s="304">
        <f t="shared" si="40"/>
        <v>0.6</v>
      </c>
      <c r="AF132" s="177">
        <f t="shared" si="41"/>
        <v>7.1491599623861202E-2</v>
      </c>
      <c r="AG132" s="799">
        <f t="shared" si="49"/>
        <v>3</v>
      </c>
      <c r="AH132" s="176">
        <f t="shared" si="42"/>
        <v>9</v>
      </c>
      <c r="AI132" s="224">
        <f t="shared" si="43"/>
        <v>3.0714915996238612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'2027'!Wh/'2027'!Env_an*'2028'!Env_an</f>
        <v>43.112597779373026</v>
      </c>
      <c r="C133" s="829"/>
      <c r="D133" s="391">
        <f t="shared" si="25"/>
        <v>46.006580722606593</v>
      </c>
      <c r="E133" s="383">
        <f t="shared" si="47"/>
        <v>47.935750318682295</v>
      </c>
      <c r="F133" s="383">
        <f t="shared" si="26"/>
        <v>47.938206676495582</v>
      </c>
      <c r="G133" s="110">
        <f t="shared" si="48"/>
        <v>0.76807802612298459</v>
      </c>
      <c r="H133" s="412" t="b">
        <f>Wh_hp&gt;='2027'!Maxi_hp</f>
        <v>0</v>
      </c>
      <c r="I133" s="388">
        <f>IF(H133,Wh_hp,'2027'!Maxi_hp)</f>
        <v>51.783140656081144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6.290367373056116E-2</v>
      </c>
      <c r="M133" s="832"/>
      <c r="N133" s="832"/>
      <c r="O133" s="48">
        <f>IF(t&lt;Tnet,'2027'!Resal+('2027'!Salim-'2027'!Resal)*(1-EXP(('2027'!Tnet-t)/('2027'!Tau_j))),Resal+(Salim-Resal)*(1-EXP((Tnet-t)/(Tau_j))))*Salcycl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7.6625185933241235E-5</v>
      </c>
      <c r="Q133" s="304">
        <f t="shared" si="28"/>
        <v>0.6</v>
      </c>
      <c r="R133" s="177">
        <f t="shared" si="29"/>
        <v>0.54910650301101471</v>
      </c>
      <c r="S133" s="799">
        <f t="shared" si="30"/>
        <v>-1</v>
      </c>
      <c r="T133" s="176">
        <f t="shared" si="31"/>
        <v>5</v>
      </c>
      <c r="U133" s="250">
        <f t="shared" si="32"/>
        <v>-0.45089349698898529</v>
      </c>
      <c r="V133" s="382">
        <f t="shared" si="33"/>
        <v>56.129067411659733</v>
      </c>
      <c r="W133" s="400">
        <f t="shared" si="34"/>
        <v>43.112597779373026</v>
      </c>
      <c r="X133" s="157">
        <f t="shared" si="35"/>
        <v>46871</v>
      </c>
      <c r="Y133" s="383">
        <f t="shared" si="36"/>
        <v>41.413391724992614</v>
      </c>
      <c r="Z133" s="383">
        <f t="shared" si="37"/>
        <v>44.193313498366251</v>
      </c>
      <c r="AA133" s="384">
        <f t="shared" si="38"/>
        <v>47.914487390389716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7.7662813372179035E-2</v>
      </c>
      <c r="AD133" s="230">
        <f>(INDEX(Models!$BJ133:$BT133,,AH133)*(1-AF133)+INDEX(Models!$BJ133:$BT133,,AH133+1)*AF133-ERP_i)*AE133*Ramure*Pc/MaxiM</f>
        <v>7.3991447753880813E-4</v>
      </c>
      <c r="AE133" s="304">
        <f t="shared" si="40"/>
        <v>0.6</v>
      </c>
      <c r="AF133" s="177">
        <f t="shared" si="41"/>
        <v>7.4094069384993411E-2</v>
      </c>
      <c r="AG133" s="799">
        <f t="shared" si="49"/>
        <v>3</v>
      </c>
      <c r="AH133" s="176">
        <f t="shared" si="42"/>
        <v>9</v>
      </c>
      <c r="AI133" s="224">
        <f t="shared" si="43"/>
        <v>3.0740940693849934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'2027'!Wh/'2027'!Env_an*'2028'!Env_an</f>
        <v>45.636659879009642</v>
      </c>
      <c r="C134" s="829"/>
      <c r="D134" s="391">
        <f t="shared" si="25"/>
        <v>48.701006750959159</v>
      </c>
      <c r="E134" s="383">
        <f t="shared" si="47"/>
        <v>50.748077607717576</v>
      </c>
      <c r="F134" s="383">
        <f t="shared" si="26"/>
        <v>50.750877501287484</v>
      </c>
      <c r="G134" s="110">
        <f t="shared" si="48"/>
        <v>0.81137532536617385</v>
      </c>
      <c r="H134" s="412" t="b">
        <f>Wh_hp&gt;='2027'!Maxi_hp</f>
        <v>0</v>
      </c>
      <c r="I134" s="388">
        <f>IF(H134,Wh_hp,'2027'!Maxi_hp)</f>
        <v>61.648626642094747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6.2921632967868124E-2</v>
      </c>
      <c r="M134" s="832"/>
      <c r="N134" s="832"/>
      <c r="O134" s="48">
        <f>IF(t&lt;Tnet,'2027'!Resal+('2027'!Salim-'2027'!Resal)*(1-EXP(('2027'!Tnet-t)/('2027'!Tau_j))),Resal+(Salim-Resal)*(1-EXP((Tnet-t)/(Tau_j))))*Salcycl</f>
        <v>4.0337899547294519E-2</v>
      </c>
      <c r="P134" s="169">
        <f>(INDEX(Models!$BJ134:$BT134,,T134)*(1-R134)+INDEX(Models!$BJ134:$BT134,,T134+1)*R134-ERP_i)*Q134*Ramure*Pc/MaxiM</f>
        <v>7.5516563244957144E-5</v>
      </c>
      <c r="Q134" s="304">
        <f t="shared" si="28"/>
        <v>0.6</v>
      </c>
      <c r="R134" s="177">
        <f t="shared" si="29"/>
        <v>0.55178467866829384</v>
      </c>
      <c r="S134" s="799">
        <f t="shared" si="30"/>
        <v>-1</v>
      </c>
      <c r="T134" s="176">
        <f t="shared" si="31"/>
        <v>5</v>
      </c>
      <c r="U134" s="250">
        <f t="shared" si="32"/>
        <v>-0.44821532133170616</v>
      </c>
      <c r="V134" s="382">
        <f t="shared" si="33"/>
        <v>56.244908888390327</v>
      </c>
      <c r="W134" s="400">
        <f t="shared" si="34"/>
        <v>45.636659879009642</v>
      </c>
      <c r="X134" s="157">
        <f t="shared" si="35"/>
        <v>46872</v>
      </c>
      <c r="Y134" s="383">
        <f t="shared" si="36"/>
        <v>43.837314074533836</v>
      </c>
      <c r="Z134" s="383">
        <f t="shared" si="37"/>
        <v>46.780840980646261</v>
      </c>
      <c r="AA134" s="384">
        <f t="shared" si="38"/>
        <v>50.723920313213867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7.7736091930978218E-2</v>
      </c>
      <c r="AD134" s="230">
        <f>(INDEX(Models!$BJ134:$BT134,,AH134)*(1-AF134)+INDEX(Models!$BJ134:$BT134,,AH134+1)*AF134-ERP_i)*AE134*Ramure*Pc/MaxiM</f>
        <v>7.2706842143853282E-4</v>
      </c>
      <c r="AE134" s="304">
        <f t="shared" si="40"/>
        <v>0.6</v>
      </c>
      <c r="AF134" s="177">
        <f t="shared" si="41"/>
        <v>7.6772245042272313E-2</v>
      </c>
      <c r="AG134" s="799">
        <f t="shared" si="49"/>
        <v>3</v>
      </c>
      <c r="AH134" s="176">
        <f t="shared" si="42"/>
        <v>9</v>
      </c>
      <c r="AI134" s="224">
        <f t="shared" si="43"/>
        <v>3.0767722450422723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'2027'!Wh/'2027'!Env_an*'2028'!Env_an</f>
        <v>46.175681797452768</v>
      </c>
      <c r="C135" s="829"/>
      <c r="D135" s="391">
        <f t="shared" si="25"/>
        <v>49.277166548053287</v>
      </c>
      <c r="E135" s="383">
        <f t="shared" si="47"/>
        <v>51.353460984508693</v>
      </c>
      <c r="F135" s="383">
        <f t="shared" si="26"/>
        <v>51.356298968409554</v>
      </c>
      <c r="G135" s="110">
        <f t="shared" si="48"/>
        <v>0.81937257859223089</v>
      </c>
      <c r="H135" s="412" t="b">
        <f>Wh_hp&gt;='2027'!Maxi_hp</f>
        <v>0</v>
      </c>
      <c r="I135" s="388">
        <f>IF(H135,Wh_hp,'2027'!Maxi_hp)</f>
        <v>57.098058064772587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6.2939591860990296E-2</v>
      </c>
      <c r="M135" s="832"/>
      <c r="N135" s="832"/>
      <c r="O135" s="48">
        <f>IF(t&lt;Tnet,'2027'!Resal+('2027'!Salim-'2027'!Resal)*(1-EXP(('2027'!Tnet-t)/('2027'!Tau_j))),Resal+(Salim-Resal)*(1-EXP((Tnet-t)/(Tau_j))))*Salcycl</f>
        <v>4.0431441165800761E-2</v>
      </c>
      <c r="P135" s="169">
        <f>(INDEX(Models!$BJ135:$BT135,,T135)*(1-R135)+INDEX(Models!$BJ135:$BT135,,T135+1)*R135-ERP_i)*Q135*Ramure*Pc/MaxiM</f>
        <v>7.4476981357518492E-5</v>
      </c>
      <c r="Q135" s="304">
        <f t="shared" si="28"/>
        <v>0.6</v>
      </c>
      <c r="R135" s="177">
        <f t="shared" si="29"/>
        <v>0.55453955142635381</v>
      </c>
      <c r="S135" s="799">
        <f t="shared" si="30"/>
        <v>-1</v>
      </c>
      <c r="T135" s="176">
        <f t="shared" si="31"/>
        <v>5</v>
      </c>
      <c r="U135" s="250">
        <f t="shared" si="32"/>
        <v>-0.44546044857364614</v>
      </c>
      <c r="V135" s="382">
        <f t="shared" si="33"/>
        <v>56.353843939761973</v>
      </c>
      <c r="W135" s="400">
        <f t="shared" si="34"/>
        <v>46.175681797452768</v>
      </c>
      <c r="X135" s="157">
        <f t="shared" si="35"/>
        <v>46873</v>
      </c>
      <c r="Y135" s="383">
        <f t="shared" si="36"/>
        <v>44.355869814509845</v>
      </c>
      <c r="Z135" s="383">
        <f t="shared" si="37"/>
        <v>47.335123146009387</v>
      </c>
      <c r="AA135" s="384">
        <f t="shared" si="38"/>
        <v>51.32905883992872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7.7810421312702077E-2</v>
      </c>
      <c r="AD135" s="230">
        <f>(INDEX(Models!$BJ135:$BT135,,AH135)*(1-AF135)+INDEX(Models!$BJ135:$BT135,,AH135+1)*AF135-ERP_i)*AE135*Ramure*Pc/MaxiM</f>
        <v>7.1486048262133298E-4</v>
      </c>
      <c r="AE135" s="304">
        <f t="shared" si="40"/>
        <v>0.6</v>
      </c>
      <c r="AF135" s="177">
        <f t="shared" si="41"/>
        <v>7.9527117800332281E-2</v>
      </c>
      <c r="AG135" s="799">
        <f t="shared" si="49"/>
        <v>3</v>
      </c>
      <c r="AH135" s="176">
        <f t="shared" si="42"/>
        <v>9</v>
      </c>
      <c r="AI135" s="224">
        <f t="shared" si="43"/>
        <v>3.0795271178003323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'2027'!Wh/'2027'!Env_an*'2028'!Env_an</f>
        <v>27.377391661368797</v>
      </c>
      <c r="C136" s="829"/>
      <c r="D136" s="391">
        <f t="shared" si="25"/>
        <v>29.216810479979614</v>
      </c>
      <c r="E136" s="383">
        <f t="shared" si="47"/>
        <v>30.450846973384309</v>
      </c>
      <c r="F136" s="383">
        <f t="shared" si="26"/>
        <v>30.451438697595623</v>
      </c>
      <c r="G136" s="110">
        <f t="shared" si="48"/>
        <v>0.48491318793032046</v>
      </c>
      <c r="H136" s="412" t="b">
        <f>Wh_hp&gt;='2027'!Maxi_hp</f>
        <v>0</v>
      </c>
      <c r="I136" s="388">
        <f>IF(H136,Wh_hp,'2027'!Maxi_hp)</f>
        <v>49.564429764978506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6.2957550409934449E-2</v>
      </c>
      <c r="M136" s="832"/>
      <c r="N136" s="832"/>
      <c r="O136" s="48">
        <f>IF(t&lt;Tnet,'2027'!Resal+('2027'!Salim-'2027'!Resal)*(1-EXP(('2027'!Tnet-t)/('2027'!Tau_j))),Resal+(Salim-Resal)*(1-EXP((Tnet-t)/(Tau_j))))*Salcycl</f>
        <v>4.052552280346456E-2</v>
      </c>
      <c r="P136" s="169">
        <f>(INDEX(Models!$BJ136:$BT136,,T136)*(1-R136)+INDEX(Models!$BJ136:$BT136,,T136+1)*R136-ERP_i)*Q136*Ramure*Pc/MaxiM</f>
        <v>7.3549553966596306E-5</v>
      </c>
      <c r="Q136" s="304">
        <f t="shared" si="28"/>
        <v>0.6</v>
      </c>
      <c r="R136" s="177">
        <f t="shared" si="29"/>
        <v>0.55737203686178893</v>
      </c>
      <c r="S136" s="799">
        <f t="shared" si="30"/>
        <v>-1</v>
      </c>
      <c r="T136" s="176">
        <f t="shared" si="31"/>
        <v>5</v>
      </c>
      <c r="U136" s="250">
        <f t="shared" si="32"/>
        <v>-0.44262796313821107</v>
      </c>
      <c r="V136" s="382">
        <f t="shared" si="33"/>
        <v>56.455280469125924</v>
      </c>
      <c r="W136" s="400">
        <f t="shared" si="34"/>
        <v>27.377391661368797</v>
      </c>
      <c r="X136" s="157">
        <f t="shared" si="35"/>
        <v>46874</v>
      </c>
      <c r="Y136" s="383">
        <f t="shared" si="36"/>
        <v>26.306983483821927</v>
      </c>
      <c r="Z136" s="383">
        <f t="shared" si="37"/>
        <v>28.07448424063459</v>
      </c>
      <c r="AA136" s="384">
        <f t="shared" si="38"/>
        <v>30.445777642294964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7.7885788614779766E-2</v>
      </c>
      <c r="AD136" s="230">
        <f>(INDEX(Models!$BJ136:$BT136,,AH136)*(1-AF136)+INDEX(Models!$BJ136:$BT136,,AH136+1)*AF136-ERP_i)*AE136*Ramure*Pc/MaxiM</f>
        <v>7.036522832478215E-4</v>
      </c>
      <c r="AE136" s="304">
        <f t="shared" si="40"/>
        <v>0.6</v>
      </c>
      <c r="AF136" s="177">
        <f t="shared" si="41"/>
        <v>8.2359603235767409E-2</v>
      </c>
      <c r="AG136" s="799">
        <f t="shared" si="49"/>
        <v>3</v>
      </c>
      <c r="AH136" s="176">
        <f t="shared" si="42"/>
        <v>9</v>
      </c>
      <c r="AI136" s="224">
        <f t="shared" si="43"/>
        <v>3.0823596032357674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'2027'!Wh/'2027'!Env_an*'2028'!Env_an</f>
        <v>38.212622938520148</v>
      </c>
      <c r="C137" s="829"/>
      <c r="D137" s="391">
        <f t="shared" si="25"/>
        <v>40.780815538798535</v>
      </c>
      <c r="E137" s="383">
        <f t="shared" si="47"/>
        <v>42.507475070518616</v>
      </c>
      <c r="F137" s="383">
        <f t="shared" si="26"/>
        <v>42.509133791940187</v>
      </c>
      <c r="G137" s="110">
        <f t="shared" si="48"/>
        <v>0.6757134243512658</v>
      </c>
      <c r="H137" s="412" t="b">
        <f>Wh_hp&gt;='2027'!Maxi_hp</f>
        <v>0</v>
      </c>
      <c r="I137" s="388">
        <f>IF(H137,Wh_hp,'2027'!Maxi_hp)</f>
        <v>61.404519088032231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6.2975508614707132E-2</v>
      </c>
      <c r="M137" s="832"/>
      <c r="N137" s="832"/>
      <c r="O137" s="48">
        <f>IF(t&lt;Tnet,'2027'!Resal+('2027'!Salim-'2027'!Resal)*(1-EXP(('2027'!Tnet-t)/('2027'!Tau_j))),Resal+(Salim-Resal)*(1-EXP((Tnet-t)/(Tau_j))))*Salcycl</f>
        <v>4.0620138666331199E-2</v>
      </c>
      <c r="P137" s="169">
        <f>(INDEX(Models!$BJ137:$BT137,,T137)*(1-R137)+INDEX(Models!$BJ137:$BT137,,T137+1)*R137-ERP_i)*Q137*Ramure*Pc/MaxiM</f>
        <v>7.2695281321101649E-5</v>
      </c>
      <c r="Q137" s="304">
        <f t="shared" si="28"/>
        <v>0.6</v>
      </c>
      <c r="R137" s="177">
        <f t="shared" si="29"/>
        <v>0.56028296812735268</v>
      </c>
      <c r="S137" s="799">
        <f t="shared" si="30"/>
        <v>-1</v>
      </c>
      <c r="T137" s="176">
        <f t="shared" si="31"/>
        <v>5</v>
      </c>
      <c r="U137" s="250">
        <f t="shared" si="32"/>
        <v>-0.43971703187264727</v>
      </c>
      <c r="V137" s="382">
        <f t="shared" si="33"/>
        <v>56.549618083535194</v>
      </c>
      <c r="W137" s="400">
        <f t="shared" si="34"/>
        <v>38.212622938520148</v>
      </c>
      <c r="X137" s="157">
        <f t="shared" si="35"/>
        <v>46875</v>
      </c>
      <c r="Y137" s="383">
        <f t="shared" si="36"/>
        <v>36.713037128079378</v>
      </c>
      <c r="Z137" s="383">
        <f t="shared" si="37"/>
        <v>39.180445618665729</v>
      </c>
      <c r="AA137" s="384">
        <f t="shared" si="38"/>
        <v>42.493317202260386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7.7962178566243684E-2</v>
      </c>
      <c r="AD137" s="230">
        <f>(INDEX(Models!$BJ137:$BT137,,AH137)*(1-AF137)+INDEX(Models!$BJ137:$BT137,,AH137+1)*AF137-ERP_i)*AE137*Ramure*Pc/MaxiM</f>
        <v>6.9317934968525898E-4</v>
      </c>
      <c r="AE137" s="304">
        <f t="shared" si="40"/>
        <v>0.6</v>
      </c>
      <c r="AF137" s="177">
        <f t="shared" si="41"/>
        <v>8.5270534501331152E-2</v>
      </c>
      <c r="AG137" s="799">
        <f t="shared" si="49"/>
        <v>3</v>
      </c>
      <c r="AH137" s="176">
        <f t="shared" si="42"/>
        <v>9</v>
      </c>
      <c r="AI137" s="224">
        <f t="shared" si="43"/>
        <v>3.0852705345013312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'2027'!Wh/'2027'!Env_an*'2028'!Env_an</f>
        <v>20.69258615135189</v>
      </c>
      <c r="C138" s="829"/>
      <c r="D138" s="391">
        <f t="shared" si="25"/>
        <v>22.083715973157354</v>
      </c>
      <c r="E138" s="383">
        <f t="shared" si="47"/>
        <v>23.021023425629124</v>
      </c>
      <c r="F138" s="383">
        <f t="shared" si="26"/>
        <v>23.021177989540472</v>
      </c>
      <c r="G138" s="110">
        <f t="shared" si="48"/>
        <v>0.36532909843347866</v>
      </c>
      <c r="H138" s="412" t="b">
        <f>Wh_hp&gt;='2027'!Maxi_hp</f>
        <v>0</v>
      </c>
      <c r="I138" s="388">
        <f>IF(H138,Wh_hp,'2027'!Maxi_hp)</f>
        <v>54.000058250195806</v>
      </c>
      <c r="J138" s="85">
        <f>IF(H138,An,'2027'!An_max)</f>
        <v>2021</v>
      </c>
      <c r="K138" s="197">
        <f t="shared" si="27"/>
        <v>46876</v>
      </c>
      <c r="L138" s="147">
        <f>IF(t&lt;Tvie,1-EXP((T0-t)*PertePVj)+'2027'!Pspv,1-EXP((T0-t)*PertePVj)+Pspv)</f>
        <v>6.2993466475314897E-2</v>
      </c>
      <c r="M138" s="832"/>
      <c r="N138" s="832"/>
      <c r="O138" s="48">
        <f>IF(t&lt;Tnet,'2027'!Resal+('2027'!Salim-'2027'!Resal)*(1-EXP(('2027'!Tnet-t)/('2027'!Tau_j))),Resal+(Salim-Resal)*(1-EXP((Tnet-t)/(Tau_j))))*Salcycl</f>
        <v>4.0715281642443139E-2</v>
      </c>
      <c r="P138" s="169">
        <f>(INDEX(Models!$BJ138:$BT138,,T138)*(1-R138)+INDEX(Models!$BJ138:$BT138,,T138+1)*R138-ERP_i)*Q138*Ramure*Pc/MaxiM</f>
        <v>7.1914025943524486E-5</v>
      </c>
      <c r="Q138" s="304">
        <f t="shared" si="28"/>
        <v>0.6</v>
      </c>
      <c r="R138" s="177">
        <f t="shared" si="29"/>
        <v>0.56327308904364315</v>
      </c>
      <c r="S138" s="799">
        <f t="shared" si="30"/>
        <v>-1</v>
      </c>
      <c r="T138" s="176">
        <f t="shared" si="31"/>
        <v>5</v>
      </c>
      <c r="U138" s="250">
        <f t="shared" si="32"/>
        <v>-0.43672691095635685</v>
      </c>
      <c r="V138" s="382">
        <f t="shared" si="33"/>
        <v>56.637254118583982</v>
      </c>
      <c r="W138" s="400">
        <f t="shared" si="34"/>
        <v>20.69258615135189</v>
      </c>
      <c r="X138" s="157">
        <f t="shared" si="35"/>
        <v>46876</v>
      </c>
      <c r="Y138" s="383">
        <f t="shared" si="36"/>
        <v>19.886334041337314</v>
      </c>
      <c r="Z138" s="383">
        <f t="shared" si="37"/>
        <v>21.223260809646654</v>
      </c>
      <c r="AA138" s="384">
        <f t="shared" si="38"/>
        <v>23.019709088249723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7.8039573467940049E-2</v>
      </c>
      <c r="AD138" s="230">
        <f>(INDEX(Models!$BJ138:$BT138,,AH138)*(1-AF138)+INDEX(Models!$BJ138:$BT138,,AH138+1)*AF138-ERP_i)*AE138*Ramure*Pc/MaxiM</f>
        <v>6.8343641545647027E-4</v>
      </c>
      <c r="AE138" s="304">
        <f t="shared" si="40"/>
        <v>0.6</v>
      </c>
      <c r="AF138" s="177">
        <f t="shared" si="41"/>
        <v>8.8260655417621514E-2</v>
      </c>
      <c r="AG138" s="799">
        <f t="shared" si="49"/>
        <v>3</v>
      </c>
      <c r="AH138" s="176">
        <f t="shared" si="42"/>
        <v>9</v>
      </c>
      <c r="AI138" s="224">
        <f t="shared" si="43"/>
        <v>3.0882606554176215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'2027'!Wh/'2027'!Env_an*'2028'!Env_an</f>
        <v>42.447469249978113</v>
      </c>
      <c r="C139" s="829"/>
      <c r="D139" s="391">
        <f t="shared" si="25"/>
        <v>45.30201363907026</v>
      </c>
      <c r="E139" s="383">
        <f t="shared" si="47"/>
        <v>47.229493832300243</v>
      </c>
      <c r="F139" s="383">
        <f t="shared" si="26"/>
        <v>47.231648121423099</v>
      </c>
      <c r="G139" s="110">
        <f t="shared" si="48"/>
        <v>0.7483681433494549</v>
      </c>
      <c r="H139" s="412" t="b">
        <f>Wh_hp&gt;='2027'!Maxi_hp</f>
        <v>0</v>
      </c>
      <c r="I139" s="388">
        <f>IF(H139,Wh_hp,'2027'!Maxi_hp)</f>
        <v>59.96671405061354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6.3011423991764404E-2</v>
      </c>
      <c r="M139" s="832"/>
      <c r="N139" s="832"/>
      <c r="O139" s="48">
        <f>IF(t&lt;Tnet,'2027'!Resal+('2027'!Salim-'2027'!Resal)*(1-EXP(('2027'!Tnet-t)/('2027'!Tau_j))),Resal+(Salim-Resal)*(1-EXP((Tnet-t)/(Tau_j))))*Salcycl</f>
        <v>4.0810943265112351E-2</v>
      </c>
      <c r="P139" s="169">
        <f>(INDEX(Models!$BJ139:$BT139,,T139)*(1-R139)+INDEX(Models!$BJ139:$BT139,,T139+1)*R139-ERP_i)*Q139*Ramure*Pc/MaxiM</f>
        <v>7.1205841973570136E-5</v>
      </c>
      <c r="Q139" s="304">
        <f t="shared" si="28"/>
        <v>0.6</v>
      </c>
      <c r="R139" s="177">
        <f t="shared" si="29"/>
        <v>0.56634304711021954</v>
      </c>
      <c r="S139" s="799">
        <f t="shared" si="30"/>
        <v>-1</v>
      </c>
      <c r="T139" s="176">
        <f t="shared" si="31"/>
        <v>5</v>
      </c>
      <c r="U139" s="250">
        <f t="shared" si="32"/>
        <v>-0.43365695288978046</v>
      </c>
      <c r="V139" s="382">
        <f t="shared" si="33"/>
        <v>56.718585828558389</v>
      </c>
      <c r="W139" s="400">
        <f t="shared" si="34"/>
        <v>42.447469249978113</v>
      </c>
      <c r="X139" s="157">
        <f t="shared" si="35"/>
        <v>46877</v>
      </c>
      <c r="Y139" s="383">
        <f t="shared" si="36"/>
        <v>40.780739519547275</v>
      </c>
      <c r="Z139" s="383">
        <f t="shared" si="37"/>
        <v>43.523198215800697</v>
      </c>
      <c r="AA139" s="384">
        <f t="shared" si="38"/>
        <v>47.211243958977668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7.8117953138060831E-2</v>
      </c>
      <c r="AD139" s="230">
        <f>(INDEX(Models!$BJ139:$BT139,,AH139)*(1-AF139)+INDEX(Models!$BJ139:$BT139,,AH139+1)*AF139-ERP_i)*AE139*Ramure*Pc/MaxiM</f>
        <v>6.7441995193570354E-4</v>
      </c>
      <c r="AE139" s="304">
        <f t="shared" si="40"/>
        <v>0.6</v>
      </c>
      <c r="AF139" s="177">
        <f t="shared" si="41"/>
        <v>9.1330613484197798E-2</v>
      </c>
      <c r="AG139" s="799">
        <f t="shared" si="49"/>
        <v>3</v>
      </c>
      <c r="AH139" s="176">
        <f t="shared" si="42"/>
        <v>9</v>
      </c>
      <c r="AI139" s="224">
        <f t="shared" si="43"/>
        <v>3.0913306134841978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'2027'!Wh/'2027'!Env_an*'2028'!Env_an</f>
        <v>37.249422537496216</v>
      </c>
      <c r="C140" s="829"/>
      <c r="D140" s="391">
        <f t="shared" si="25"/>
        <v>39.755166051816758</v>
      </c>
      <c r="E140" s="383">
        <f t="shared" si="47"/>
        <v>41.450798581486346</v>
      </c>
      <c r="F140" s="383">
        <f t="shared" si="26"/>
        <v>41.452285771694079</v>
      </c>
      <c r="G140" s="110">
        <f t="shared" si="48"/>
        <v>0.65584609926283011</v>
      </c>
      <c r="H140" s="412" t="b">
        <f>Wh_hp&gt;='2027'!Maxi_hp</f>
        <v>0</v>
      </c>
      <c r="I140" s="388">
        <f>IF(H140,Wh_hp,'2027'!Maxi_hp)</f>
        <v>63.959766591204975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6.3029381164062093E-2</v>
      </c>
      <c r="M140" s="832"/>
      <c r="N140" s="832"/>
      <c r="O140" s="48">
        <f>IF(t&lt;Tnet,'2027'!Resal+('2027'!Salim-'2027'!Resal)*(1-EXP(('2027'!Tnet-t)/('2027'!Tau_j))),Resal+(Salim-Resal)*(1-EXP((Tnet-t)/(Tau_j))))*Salcycl</f>
        <v>4.0907113679274923E-2</v>
      </c>
      <c r="P140" s="169">
        <f>(INDEX(Models!$BJ140:$BT140,,T140)*(1-R140)+INDEX(Models!$BJ140:$BT140,,T140+1)*R140-ERP_i)*Q140*Ramure*Pc/MaxiM</f>
        <v>7.0570971013826593E-5</v>
      </c>
      <c r="Q140" s="304">
        <f t="shared" si="28"/>
        <v>0.6</v>
      </c>
      <c r="R140" s="177">
        <f t="shared" si="29"/>
        <v>0.56949338647156089</v>
      </c>
      <c r="S140" s="799">
        <f t="shared" si="30"/>
        <v>-1</v>
      </c>
      <c r="T140" s="176">
        <f t="shared" si="31"/>
        <v>5</v>
      </c>
      <c r="U140" s="250">
        <f t="shared" si="32"/>
        <v>-0.43050661352843911</v>
      </c>
      <c r="V140" s="382">
        <f t="shared" si="33"/>
        <v>56.794010376058566</v>
      </c>
      <c r="W140" s="400">
        <f t="shared" si="34"/>
        <v>37.249422537496216</v>
      </c>
      <c r="X140" s="157">
        <f t="shared" si="35"/>
        <v>46878</v>
      </c>
      <c r="Y140" s="383">
        <f t="shared" si="36"/>
        <v>35.790299790419624</v>
      </c>
      <c r="Z140" s="383">
        <f t="shared" si="37"/>
        <v>38.197889102311812</v>
      </c>
      <c r="AA140" s="384">
        <f t="shared" si="38"/>
        <v>41.43824799979587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7.8197294863914593E-2</v>
      </c>
      <c r="AD140" s="230">
        <f>(INDEX(Models!$BJ140:$BT140,,AH140)*(1-AF140)+INDEX(Models!$BJ140:$BT140,,AH140+1)*AF140-ERP_i)*AE140*Ramure*Pc/MaxiM</f>
        <v>6.6612810424443545E-4</v>
      </c>
      <c r="AE140" s="304">
        <f t="shared" si="40"/>
        <v>0.6</v>
      </c>
      <c r="AF140" s="177">
        <f t="shared" si="41"/>
        <v>9.4480952845539257E-2</v>
      </c>
      <c r="AG140" s="799">
        <f t="shared" si="49"/>
        <v>3</v>
      </c>
      <c r="AH140" s="176">
        <f t="shared" si="42"/>
        <v>9</v>
      </c>
      <c r="AI140" s="224">
        <f t="shared" si="43"/>
        <v>3.0944809528455393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'2027'!Wh/'2027'!Env_an*'2028'!Env_an</f>
        <v>50.960414307213931</v>
      </c>
      <c r="C141" s="829"/>
      <c r="D141" s="391">
        <f t="shared" si="25"/>
        <v>54.389529347204622</v>
      </c>
      <c r="E141" s="383">
        <f t="shared" si="47"/>
        <v>56.715061336318684</v>
      </c>
      <c r="F141" s="383">
        <f t="shared" si="26"/>
        <v>56.718443261891963</v>
      </c>
      <c r="G141" s="110">
        <f t="shared" si="48"/>
        <v>0.89617249046237257</v>
      </c>
      <c r="H141" s="412" t="b">
        <f>Wh_hp&gt;='2027'!Maxi_hp</f>
        <v>0</v>
      </c>
      <c r="I141" s="388">
        <f>IF(H141,Wh_hp,'2027'!Maxi_hp)</f>
        <v>60.392486037860046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6.3047337992214736E-2</v>
      </c>
      <c r="M141" s="832"/>
      <c r="N141" s="832"/>
      <c r="O141" s="48">
        <f>IF(t&lt;Tnet,'2027'!Resal+('2027'!Salim-'2027'!Resal)*(1-EXP(('2027'!Tnet-t)/('2027'!Tau_j))),Resal+(Salim-Resal)*(1-EXP((Tnet-t)/(Tau_j))))*Salcycl</f>
        <v>4.1003781611444003E-2</v>
      </c>
      <c r="P141" s="169">
        <f>(INDEX(Models!$BJ141:$BT141,,T141)*(1-R141)+INDEX(Models!$BJ141:$BT141,,T141+1)*R141-ERP_i)*Q141*Ramure*Pc/MaxiM</f>
        <v>7.0009837911746105E-5</v>
      </c>
      <c r="Q141" s="304">
        <f t="shared" si="28"/>
        <v>0.6</v>
      </c>
      <c r="R141" s="177">
        <f t="shared" si="29"/>
        <v>0.57272454087671321</v>
      </c>
      <c r="S141" s="799">
        <f t="shared" si="30"/>
        <v>-1</v>
      </c>
      <c r="T141" s="176">
        <f t="shared" si="31"/>
        <v>5</v>
      </c>
      <c r="U141" s="250">
        <f t="shared" si="32"/>
        <v>-0.42727545912328679</v>
      </c>
      <c r="V141" s="382">
        <f t="shared" si="33"/>
        <v>56.863924837892256</v>
      </c>
      <c r="W141" s="400">
        <f t="shared" si="34"/>
        <v>50.960414307213931</v>
      </c>
      <c r="X141" s="157">
        <f t="shared" si="35"/>
        <v>46879</v>
      </c>
      <c r="Y141" s="383">
        <f t="shared" si="36"/>
        <v>48.955156950895393</v>
      </c>
      <c r="Z141" s="383">
        <f t="shared" si="37"/>
        <v>52.249338665616193</v>
      </c>
      <c r="AA141" s="384">
        <f t="shared" si="38"/>
        <v>56.686630546825306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7.8277573360860442E-2</v>
      </c>
      <c r="AD141" s="230">
        <f>(INDEX(Models!$BJ141:$BT141,,AH141)*(1-AF141)+INDEX(Models!$BJ141:$BT141,,AH141+1)*AF141-ERP_i)*AE141*Ramure*Pc/MaxiM</f>
        <v>6.5856062680520072E-4</v>
      </c>
      <c r="AE141" s="304">
        <f t="shared" si="40"/>
        <v>0.6</v>
      </c>
      <c r="AF141" s="177">
        <f t="shared" si="41"/>
        <v>9.7712107250691904E-2</v>
      </c>
      <c r="AG141" s="799">
        <f t="shared" si="49"/>
        <v>3</v>
      </c>
      <c r="AH141" s="176">
        <f t="shared" si="42"/>
        <v>9</v>
      </c>
      <c r="AI141" s="224">
        <f t="shared" si="43"/>
        <v>3.0977121072506919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'2027'!Wh/'2027'!Env_an*'2028'!Env_an</f>
        <v>46.991399200363823</v>
      </c>
      <c r="C142" s="829"/>
      <c r="D142" s="391">
        <f t="shared" si="25"/>
        <v>50.154401286794467</v>
      </c>
      <c r="E142" s="383">
        <f t="shared" si="47"/>
        <v>52.304150752792104</v>
      </c>
      <c r="F142" s="383">
        <f t="shared" si="26"/>
        <v>52.30688000454488</v>
      </c>
      <c r="G142" s="110">
        <f t="shared" si="48"/>
        <v>0.82542834199489035</v>
      </c>
      <c r="H142" s="412" t="b">
        <f>Wh_hp&gt;='2027'!Maxi_hp</f>
        <v>0</v>
      </c>
      <c r="I142" s="388">
        <f>IF(H142,Wh_hp,'2027'!Maxi_hp)</f>
        <v>59.443974291396984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6.3065294476228884E-2</v>
      </c>
      <c r="M142" s="832"/>
      <c r="N142" s="832"/>
      <c r="O142" s="48">
        <f>IF(t&lt;Tnet,'2027'!Resal+('2027'!Salim-'2027'!Resal)*(1-EXP(('2027'!Tnet-t)/('2027'!Tau_j))),Resal+(Salim-Resal)*(1-EXP((Tnet-t)/(Tau_j))))*Salcycl</f>
        <v>4.1100934343779164E-2</v>
      </c>
      <c r="P142" s="169">
        <f>(INDEX(Models!$BJ142:$BT142,,T142)*(1-R142)+INDEX(Models!$BJ142:$BT142,,T142+1)*R142-ERP_i)*Q142*Ramure*Pc/MaxiM</f>
        <v>6.9511634344067717E-5</v>
      </c>
      <c r="Q142" s="304">
        <f t="shared" si="28"/>
        <v>0.6</v>
      </c>
      <c r="R142" s="177">
        <f t="shared" si="29"/>
        <v>0.57603682667484613</v>
      </c>
      <c r="S142" s="799">
        <f t="shared" si="30"/>
        <v>-1</v>
      </c>
      <c r="T142" s="176">
        <f t="shared" si="31"/>
        <v>5</v>
      </c>
      <c r="U142" s="250">
        <f t="shared" si="32"/>
        <v>-0.42396317332515382</v>
      </c>
      <c r="V142" s="382">
        <f t="shared" si="33"/>
        <v>56.928726844562775</v>
      </c>
      <c r="W142" s="400">
        <f t="shared" si="34"/>
        <v>46.991399200363823</v>
      </c>
      <c r="X142" s="157">
        <f t="shared" si="35"/>
        <v>46880</v>
      </c>
      <c r="Y142" s="383">
        <f t="shared" si="36"/>
        <v>45.145817908749819</v>
      </c>
      <c r="Z142" s="383">
        <f t="shared" si="37"/>
        <v>48.18459348617268</v>
      </c>
      <c r="AA142" s="384">
        <f t="shared" si="38"/>
        <v>52.281290629774226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7.8358760739324074E-2</v>
      </c>
      <c r="AD142" s="230">
        <f>(INDEX(Models!$BJ142:$BT142,,AH142)*(1-AF142)+INDEX(Models!$BJ142:$BT142,,AH142+1)*AF142-ERP_i)*AE142*Ramure*Pc/MaxiM</f>
        <v>6.5173879996312744E-4</v>
      </c>
      <c r="AE142" s="304">
        <f t="shared" si="40"/>
        <v>0.6</v>
      </c>
      <c r="AF142" s="177">
        <f t="shared" si="41"/>
        <v>0.10102439304882482</v>
      </c>
      <c r="AG142" s="799">
        <f t="shared" si="49"/>
        <v>3</v>
      </c>
      <c r="AH142" s="176">
        <f t="shared" si="42"/>
        <v>9</v>
      </c>
      <c r="AI142" s="224">
        <f t="shared" si="43"/>
        <v>3.1010243930488248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'2027'!Wh/'2027'!Env_an*'2028'!Env_an</f>
        <v>53.960659705187709</v>
      </c>
      <c r="C143" s="829"/>
      <c r="D143" s="391">
        <f t="shared" ref="D143:D206" si="50">Wh/(1-Ppv)</f>
        <v>57.593868121870948</v>
      </c>
      <c r="E143" s="383">
        <f t="shared" si="47"/>
        <v>60.068608139845779</v>
      </c>
      <c r="F143" s="383">
        <f t="shared" ref="F143:F206" si="51">Wh_sa/(1-Pvg*MEDIAN((-Sdif+Wh/Env_an)/Csdif,0,1))</f>
        <v>60.0724409072131</v>
      </c>
      <c r="G143" s="110">
        <f t="shared" si="48"/>
        <v>0.94685907530519042</v>
      </c>
      <c r="H143" s="412" t="b">
        <f>Wh_hp&gt;='2027'!Maxi_hp</f>
        <v>0</v>
      </c>
      <c r="I143" s="388">
        <f>IF(H143,Wh_hp,'2027'!Maxi_hp)</f>
        <v>60.072738793091652</v>
      </c>
      <c r="J143" s="85">
        <f>IF(H143,An,'2027'!An_max)</f>
        <v>2026</v>
      </c>
      <c r="K143" s="197">
        <f t="shared" ref="K143:K206" si="52">t</f>
        <v>46881</v>
      </c>
      <c r="L143" s="147">
        <f>IF(t&lt;Tvie,1-EXP((T0-t)*PertePVj)+'2027'!Pspv,1-EXP((T0-t)*PertePVj)+Pspv)</f>
        <v>6.3083250616111086E-2</v>
      </c>
      <c r="M143" s="832"/>
      <c r="N143" s="832"/>
      <c r="O143" s="48">
        <f>IF(t&lt;Tnet,'2027'!Resal+('2027'!Salim-'2027'!Resal)*(1-EXP(('2027'!Tnet-t)/('2027'!Tau_j))),Resal+(Salim-Resal)*(1-EXP((Tnet-t)/(Tau_j))))*Salcycl</f>
        <v>4.1198557692786728E-2</v>
      </c>
      <c r="P143" s="169">
        <f>(INDEX(Models!$BJ143:$BT143,,T143)*(1-R143)+INDEX(Models!$BJ143:$BT143,,T143+1)*R143-ERP_i)*Q143*Ramure*Pc/MaxiM</f>
        <v>6.9043406995378313E-5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0.57943043589219156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-0.42056956410780844</v>
      </c>
      <c r="V143" s="382">
        <f t="shared" ref="V143:V206" si="58">MaxiM*(1-Ppv)*(1-Pvg)*(1-Psa)</f>
        <v>56.988815218220346</v>
      </c>
      <c r="W143" s="400">
        <f t="shared" ref="W143:W206" si="59">Wh*(A143&gt;Tmaj)</f>
        <v>53.960659705187709</v>
      </c>
      <c r="X143" s="157">
        <f t="shared" ref="X143:X206" si="60">t</f>
        <v>46881</v>
      </c>
      <c r="Y143" s="383">
        <f t="shared" ref="Y143:Y206" si="61">Wh_pvt_s*(1-Ppv)</f>
        <v>51.837073095976713</v>
      </c>
      <c r="Z143" s="383">
        <f t="shared" ref="Z143:Z206" si="62">Wh_sa_s*(1-Psa_s)</f>
        <v>55.32729896232987</v>
      </c>
      <c r="AA143" s="384">
        <f t="shared" ref="AA143:AA206" si="63">Wh_hp*(1-Pvg_s*MEDIAN((-Sdif+Wh/Env_an)/Csdif,0,1))</f>
        <v>60.036621143978167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7.8440826480799586E-2</v>
      </c>
      <c r="AD143" s="230">
        <f>(INDEX(Models!$BJ143:$BT143,,AH143)*(1-AF143)+INDEX(Models!$BJ143:$BT143,,AH143+1)*AF143-ERP_i)*AE143*Ramure*Pc/MaxiM</f>
        <v>6.4525661343074444E-4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0.10441800226617026</v>
      </c>
      <c r="AG143" s="799">
        <f t="shared" si="49"/>
        <v>3</v>
      </c>
      <c r="AH143" s="176">
        <f t="shared" ref="AH143:AH206" si="67">MIN(MATCH(Hp_vg_s,Echel_vg),10)</f>
        <v>9</v>
      </c>
      <c r="AI143" s="224">
        <f t="shared" ref="AI143:AI206" si="68">IF(OR(t&lt;Ttai,Notai),Hdd_s+PousH*Croivg,Hdtai_s+PousH*(Croivg-Croi_tai))</f>
        <v>3.1044180022661703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'2027'!Wh/'2027'!Env_an*'2028'!Env_an</f>
        <v>50.40530267440527</v>
      </c>
      <c r="C144" s="829"/>
      <c r="D144" s="391">
        <f t="shared" si="50"/>
        <v>53.80015751900288</v>
      </c>
      <c r="E144" s="383">
        <f t="shared" ref="E144:E169" si="72">Wh_pvt/(1-Psa)</f>
        <v>56.117626722564452</v>
      </c>
      <c r="F144" s="383">
        <f t="shared" si="51"/>
        <v>56.120836705286102</v>
      </c>
      <c r="G144" s="110">
        <f t="shared" ref="G144:G169" si="73">+Wh_hp/MaxiM</f>
        <v>0.88360229168693094</v>
      </c>
      <c r="H144" s="412" t="b">
        <f>Wh_hp&gt;='2027'!Maxi_hp</f>
        <v>0</v>
      </c>
      <c r="I144" s="388">
        <f>IF(H144,Wh_hp,'2027'!Maxi_hp)</f>
        <v>56.121441075742069</v>
      </c>
      <c r="J144" s="85">
        <f>IF(H144,An,'2027'!An_max)</f>
        <v>2026</v>
      </c>
      <c r="K144" s="197">
        <f t="shared" si="52"/>
        <v>46882</v>
      </c>
      <c r="L144" s="147">
        <f>IF(t&lt;Tvie,1-EXP((T0-t)*PertePVj)+'2027'!Pspv,1-EXP((T0-t)*PertePVj)+Pspv)</f>
        <v>6.3101206411868005E-2</v>
      </c>
      <c r="M144" s="832"/>
      <c r="N144" s="832"/>
      <c r="O144" s="48">
        <f>IF(t&lt;Tnet,'2027'!Resal+('2027'!Salim-'2027'!Resal)*(1-EXP(('2027'!Tnet-t)/('2027'!Tau_j))),Resal+(Salim-Resal)*(1-EXP((Tnet-t)/(Tau_j))))*Salcycl</f>
        <v>4.1296635993156493E-2</v>
      </c>
      <c r="P144" s="169">
        <f>(INDEX(Models!$BJ144:$BT144,,T144)*(1-R144)+INDEX(Models!$BJ144:$BT144,,T144+1)*R144-ERP_i)*Q144*Ramure*Pc/MaxiM</f>
        <v>6.8604421727689346E-5</v>
      </c>
      <c r="Q144" s="304">
        <f t="shared" si="53"/>
        <v>0.6</v>
      </c>
      <c r="R144" s="177">
        <f t="shared" si="54"/>
        <v>0.58290542943890977</v>
      </c>
      <c r="S144" s="799">
        <f t="shared" si="55"/>
        <v>-1</v>
      </c>
      <c r="T144" s="176">
        <f t="shared" si="56"/>
        <v>5</v>
      </c>
      <c r="U144" s="250">
        <f t="shared" si="57"/>
        <v>-0.41709457056109023</v>
      </c>
      <c r="V144" s="382">
        <f t="shared" si="58"/>
        <v>57.044586864947682</v>
      </c>
      <c r="W144" s="400">
        <f t="shared" si="59"/>
        <v>50.40530267440527</v>
      </c>
      <c r="X144" s="157">
        <f t="shared" si="60"/>
        <v>46882</v>
      </c>
      <c r="Y144" s="383">
        <f t="shared" si="61"/>
        <v>48.424985143151076</v>
      </c>
      <c r="Z144" s="383">
        <f t="shared" si="62"/>
        <v>51.686463334735677</v>
      </c>
      <c r="AA144" s="384">
        <f t="shared" si="63"/>
        <v>56.090933031990787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7.8523737423712853E-2</v>
      </c>
      <c r="AD144" s="230">
        <f>(INDEX(Models!$BJ144:$BT144,,AH144)*(1-AF144)+INDEX(Models!$BJ144:$BT144,,AH144+1)*AF144-ERP_i)*AE144*Ramure*Pc/MaxiM</f>
        <v>6.3910755659949304E-4</v>
      </c>
      <c r="AE144" s="304">
        <f t="shared" si="65"/>
        <v>0.6</v>
      </c>
      <c r="AF144" s="177">
        <f t="shared" si="66"/>
        <v>0.10789299581288825</v>
      </c>
      <c r="AG144" s="799">
        <f t="shared" ref="AG144:AG207" si="74">INDEX(Echel_vg,AH144)</f>
        <v>3</v>
      </c>
      <c r="AH144" s="176">
        <f t="shared" si="67"/>
        <v>9</v>
      </c>
      <c r="AI144" s="224">
        <f t="shared" si="68"/>
        <v>3.1078929958128882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'2027'!Wh/'2027'!Env_an*'2028'!Env_an</f>
        <v>54.353350390546879</v>
      </c>
      <c r="C145" s="829"/>
      <c r="D145" s="391">
        <f t="shared" si="50"/>
        <v>58.015222617487403</v>
      </c>
      <c r="E145" s="383">
        <f t="shared" si="72"/>
        <v>60.520476965881365</v>
      </c>
      <c r="F145" s="383">
        <f t="shared" si="51"/>
        <v>60.524321086664848</v>
      </c>
      <c r="G145" s="110">
        <f t="shared" si="73"/>
        <v>0.95195247396578142</v>
      </c>
      <c r="H145" s="412" t="b">
        <f>Wh_hp&gt;='2027'!Maxi_hp</f>
        <v>0</v>
      </c>
      <c r="I145" s="388">
        <f>IF(H145,Wh_hp,'2027'!Maxi_hp)</f>
        <v>60.524587940264638</v>
      </c>
      <c r="J145" s="85">
        <f>IF(H145,An,'2027'!An_max)</f>
        <v>2026</v>
      </c>
      <c r="K145" s="197">
        <f t="shared" si="52"/>
        <v>46883</v>
      </c>
      <c r="L145" s="147">
        <f>IF(t&lt;Tvie,1-EXP((T0-t)*PertePVj)+'2027'!Pspv,1-EXP((T0-t)*PertePVj)+Pspv)</f>
        <v>6.3119161863506079E-2</v>
      </c>
      <c r="M145" s="832"/>
      <c r="N145" s="832"/>
      <c r="O145" s="48">
        <f>IF(t&lt;Tnet,'2027'!Resal+('2027'!Salim-'2027'!Resal)*(1-EXP(('2027'!Tnet-t)/('2027'!Tau_j))),Resal+(Salim-Resal)*(1-EXP((Tnet-t)/(Tau_j))))*Salcycl</f>
        <v>4.13951520872234E-2</v>
      </c>
      <c r="P145" s="169">
        <f>(INDEX(Models!$BJ145:$BT145,,T145)*(1-R145)+INDEX(Models!$BJ145:$BT145,,T145+1)*R145-ERP_i)*Q145*Ramure*Pc/MaxiM</f>
        <v>6.8194010552310075E-5</v>
      </c>
      <c r="Q145" s="304">
        <f t="shared" si="53"/>
        <v>0.6</v>
      </c>
      <c r="R145" s="177">
        <f t="shared" si="54"/>
        <v>0.58646173049727413</v>
      </c>
      <c r="S145" s="799">
        <f t="shared" si="55"/>
        <v>-1</v>
      </c>
      <c r="T145" s="176">
        <f t="shared" si="56"/>
        <v>5</v>
      </c>
      <c r="U145" s="250">
        <f t="shared" si="57"/>
        <v>-0.41353826950272593</v>
      </c>
      <c r="V145" s="382">
        <f t="shared" si="58"/>
        <v>57.096438601490938</v>
      </c>
      <c r="W145" s="400">
        <f t="shared" si="59"/>
        <v>54.353350390546879</v>
      </c>
      <c r="X145" s="157">
        <f t="shared" si="60"/>
        <v>46883</v>
      </c>
      <c r="Y145" s="383">
        <f t="shared" si="61"/>
        <v>52.2158971149031</v>
      </c>
      <c r="Z145" s="383">
        <f t="shared" si="62"/>
        <v>55.733765692938398</v>
      </c>
      <c r="AA145" s="384">
        <f t="shared" si="63"/>
        <v>60.488622533717191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7.8607457759983956E-2</v>
      </c>
      <c r="AD145" s="230">
        <f>(INDEX(Models!$BJ145:$BT145,,AH145)*(1-AF145)+INDEX(Models!$BJ145:$BT145,,AH145+1)*AF145-ERP_i)*AE145*Ramure*Pc/MaxiM</f>
        <v>6.3328590164867448E-4</v>
      </c>
      <c r="AE145" s="304">
        <f t="shared" si="65"/>
        <v>0.6</v>
      </c>
      <c r="AF145" s="177">
        <f t="shared" si="66"/>
        <v>0.11144929687125238</v>
      </c>
      <c r="AG145" s="799">
        <f t="shared" si="74"/>
        <v>3</v>
      </c>
      <c r="AH145" s="176">
        <f t="shared" si="67"/>
        <v>9</v>
      </c>
      <c r="AI145" s="224">
        <f t="shared" si="68"/>
        <v>3.1114492968712524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'2027'!Wh/'2027'!Env_an*'2028'!Env_an</f>
        <v>40.523698142335753</v>
      </c>
      <c r="C146" s="829"/>
      <c r="D146" s="391">
        <f t="shared" si="50"/>
        <v>43.254673524175423</v>
      </c>
      <c r="E146" s="383">
        <f t="shared" si="72"/>
        <v>45.12718487386072</v>
      </c>
      <c r="F146" s="383">
        <f t="shared" si="51"/>
        <v>45.128973560381667</v>
      </c>
      <c r="G146" s="110">
        <f t="shared" si="73"/>
        <v>0.70912103231843138</v>
      </c>
      <c r="H146" s="412" t="b">
        <f>Wh_hp&gt;='2027'!Maxi_hp</f>
        <v>0</v>
      </c>
      <c r="I146" s="388">
        <f>IF(H146,Wh_hp,'2027'!Maxi_hp)</f>
        <v>56.127004376201441</v>
      </c>
      <c r="J146" s="85">
        <f>IF(H146,An,'2027'!An_max)</f>
        <v>2018</v>
      </c>
      <c r="K146" s="197">
        <f t="shared" si="52"/>
        <v>46884</v>
      </c>
      <c r="L146" s="147">
        <f>IF(t&lt;Tvie,1-EXP((T0-t)*PertePVj)+'2027'!Pspv,1-EXP((T0-t)*PertePVj)+Pspv)</f>
        <v>6.3137116971032192E-2</v>
      </c>
      <c r="M146" s="832"/>
      <c r="N146" s="832"/>
      <c r="O146" s="48">
        <f>IF(t&lt;Tnet,'2027'!Resal+('2027'!Salim-'2027'!Resal)*(1-EXP(('2027'!Tnet-t)/('2027'!Tau_j))),Resal+(Salim-Resal)*(1-EXP((Tnet-t)/(Tau_j))))*Salcycl</f>
        <v>4.1494087320521608E-2</v>
      </c>
      <c r="P146" s="169">
        <f>(INDEX(Models!$BJ146:$BT146,,T146)*(1-R146)+INDEX(Models!$BJ146:$BT146,,T146+1)*R146-ERP_i)*Q146*Ramure*Pc/MaxiM</f>
        <v>6.7811570248720103E-5</v>
      </c>
      <c r="Q146" s="304">
        <f t="shared" si="53"/>
        <v>0.6</v>
      </c>
      <c r="R146" s="177">
        <f t="shared" si="54"/>
        <v>0.59009911814510274</v>
      </c>
      <c r="S146" s="799">
        <f t="shared" si="55"/>
        <v>-1</v>
      </c>
      <c r="T146" s="176">
        <f t="shared" si="56"/>
        <v>5</v>
      </c>
      <c r="U146" s="250">
        <f t="shared" si="57"/>
        <v>-0.4099008818548972</v>
      </c>
      <c r="V146" s="382">
        <f t="shared" si="58"/>
        <v>57.144767156959794</v>
      </c>
      <c r="W146" s="400">
        <f t="shared" si="59"/>
        <v>40.523698142335753</v>
      </c>
      <c r="X146" s="157">
        <f t="shared" si="60"/>
        <v>46884</v>
      </c>
      <c r="Y146" s="383">
        <f t="shared" si="61"/>
        <v>38.938298404608346</v>
      </c>
      <c r="Z146" s="383">
        <f t="shared" si="62"/>
        <v>41.562430436690036</v>
      </c>
      <c r="AA146" s="384">
        <f t="shared" si="63"/>
        <v>45.112414239212235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7.8691949043075457E-2</v>
      </c>
      <c r="AD146" s="230">
        <f>(INDEX(Models!$BJ146:$BT146,,AH146)*(1-AF146)+INDEX(Models!$BJ146:$BT146,,AH146+1)*AF146-ERP_i)*AE146*Ramure*Pc/MaxiM</f>
        <v>6.2778667899705126E-4</v>
      </c>
      <c r="AE146" s="304">
        <f t="shared" si="65"/>
        <v>0.6</v>
      </c>
      <c r="AF146" s="177">
        <f t="shared" si="66"/>
        <v>0.11508668451908122</v>
      </c>
      <c r="AG146" s="799">
        <f t="shared" si="74"/>
        <v>3</v>
      </c>
      <c r="AH146" s="176">
        <f t="shared" si="67"/>
        <v>9</v>
      </c>
      <c r="AI146" s="224">
        <f t="shared" si="68"/>
        <v>3.1150866845190812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'2027'!Wh/'2027'!Env_an*'2028'!Env_an</f>
        <v>42.445799169635968</v>
      </c>
      <c r="C147" s="829"/>
      <c r="D147" s="391">
        <f t="shared" si="50"/>
        <v>45.307177195503556</v>
      </c>
      <c r="E147" s="383">
        <f t="shared" si="72"/>
        <v>47.27344137024555</v>
      </c>
      <c r="F147" s="383">
        <f t="shared" si="51"/>
        <v>47.275455884693898</v>
      </c>
      <c r="G147" s="110">
        <f t="shared" si="73"/>
        <v>0.74217113958222014</v>
      </c>
      <c r="H147" s="412" t="b">
        <f>Wh_hp&gt;='2027'!Maxi_hp</f>
        <v>0</v>
      </c>
      <c r="I147" s="388">
        <f>IF(H147,Wh_hp,'2027'!Maxi_hp)</f>
        <v>64.735176440204555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6.3155071734452672E-2</v>
      </c>
      <c r="M147" s="832"/>
      <c r="N147" s="832"/>
      <c r="O147" s="48">
        <f>IF(t&lt;Tnet,'2027'!Resal+('2027'!Salim-'2027'!Resal)*(1-EXP(('2027'!Tnet-t)/('2027'!Tau_j))),Resal+(Salim-Resal)*(1-EXP((Tnet-t)/(Tau_j))))*Salcycl</f>
        <v>4.1593421543868879E-2</v>
      </c>
      <c r="P147" s="169">
        <f>(INDEX(Models!$BJ147:$BT147,,T147)*(1-R147)+INDEX(Models!$BJ147:$BT147,,T147+1)*R147-ERP_i)*Q147*Ramure*Pc/MaxiM</f>
        <v>6.7456561066482255E-5</v>
      </c>
      <c r="Q147" s="304">
        <f t="shared" si="53"/>
        <v>0.6</v>
      </c>
      <c r="R147" s="177">
        <f t="shared" si="54"/>
        <v>0.59381722127055492</v>
      </c>
      <c r="S147" s="799">
        <f t="shared" si="55"/>
        <v>-1</v>
      </c>
      <c r="T147" s="176">
        <f t="shared" si="56"/>
        <v>5</v>
      </c>
      <c r="U147" s="250">
        <f t="shared" si="57"/>
        <v>-0.40618277872944508</v>
      </c>
      <c r="V147" s="382">
        <f t="shared" si="58"/>
        <v>57.189969166361976</v>
      </c>
      <c r="W147" s="400">
        <f t="shared" si="59"/>
        <v>42.445799169635968</v>
      </c>
      <c r="X147" s="157">
        <f t="shared" si="60"/>
        <v>46885</v>
      </c>
      <c r="Y147" s="383">
        <f t="shared" si="61"/>
        <v>40.784701323743221</v>
      </c>
      <c r="Z147" s="383">
        <f t="shared" si="62"/>
        <v>43.534100568010821</v>
      </c>
      <c r="AA147" s="384">
        <f t="shared" si="63"/>
        <v>47.256862466003113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7.8777170208252187E-2</v>
      </c>
      <c r="AD147" s="230">
        <f>(INDEX(Models!$BJ147:$BT147,,AH147)*(1-AF147)+INDEX(Models!$BJ147:$BT147,,AH147+1)*AF147-ERP_i)*AE147*Ramure*Pc/MaxiM</f>
        <v>6.2260565288023667E-4</v>
      </c>
      <c r="AE147" s="304">
        <f t="shared" si="65"/>
        <v>0.6</v>
      </c>
      <c r="AF147" s="177">
        <f t="shared" si="66"/>
        <v>0.1188047876445335</v>
      </c>
      <c r="AG147" s="799">
        <f t="shared" si="74"/>
        <v>3</v>
      </c>
      <c r="AH147" s="176">
        <f t="shared" si="67"/>
        <v>9</v>
      </c>
      <c r="AI147" s="224">
        <f t="shared" si="68"/>
        <v>3.1188047876445335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'2027'!Wh/'2027'!Env_an*'2028'!Env_an</f>
        <v>48.367776919999905</v>
      </c>
      <c r="C148" s="829"/>
      <c r="D148" s="391">
        <f t="shared" si="50"/>
        <v>51.629359818090769</v>
      </c>
      <c r="E148" s="383">
        <f t="shared" si="72"/>
        <v>53.875602484526887</v>
      </c>
      <c r="F148" s="383">
        <f t="shared" si="51"/>
        <v>53.878418978881371</v>
      </c>
      <c r="G148" s="110">
        <f t="shared" si="73"/>
        <v>0.84509864446084848</v>
      </c>
      <c r="H148" s="412" t="b">
        <f>Wh_hp&gt;='2027'!Maxi_hp</f>
        <v>0</v>
      </c>
      <c r="I148" s="388">
        <f>IF(H148,Wh_hp,'2027'!Maxi_hp)</f>
        <v>63.17753058579234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6.3173026153774181E-2</v>
      </c>
      <c r="M148" s="832"/>
      <c r="N148" s="832"/>
      <c r="O148" s="48">
        <f>IF(t&lt;Tnet,'2027'!Resal+('2027'!Salim-'2027'!Resal)*(1-EXP(('2027'!Tnet-t)/('2027'!Tau_j))),Resal+(Salim-Resal)*(1-EXP((Tnet-t)/(Tau_j))))*Salcycl</f>
        <v>4.1693133122385727E-2</v>
      </c>
      <c r="P148" s="169">
        <f>(INDEX(Models!$BJ148:$BT148,,T148)*(1-R148)+INDEX(Models!$BJ148:$BT148,,T148+1)*R148-ERP_i)*Q148*Ramure*Pc/MaxiM</f>
        <v>6.7128505461383468E-5</v>
      </c>
      <c r="Q148" s="304">
        <f t="shared" si="53"/>
        <v>0.6</v>
      </c>
      <c r="R148" s="177">
        <f t="shared" si="54"/>
        <v>0.59761551283615733</v>
      </c>
      <c r="S148" s="799">
        <f t="shared" si="55"/>
        <v>-1</v>
      </c>
      <c r="T148" s="176">
        <f t="shared" si="56"/>
        <v>5</v>
      </c>
      <c r="U148" s="250">
        <f t="shared" si="57"/>
        <v>-0.40238448716384273</v>
      </c>
      <c r="V148" s="382">
        <f t="shared" si="58"/>
        <v>57.23244116935296</v>
      </c>
      <c r="W148" s="400">
        <f t="shared" si="59"/>
        <v>48.367776919999905</v>
      </c>
      <c r="X148" s="157">
        <f t="shared" si="60"/>
        <v>46886</v>
      </c>
      <c r="Y148" s="383">
        <f t="shared" si="61"/>
        <v>46.47179546843806</v>
      </c>
      <c r="Z148" s="383">
        <f t="shared" si="62"/>
        <v>49.605526704300587</v>
      </c>
      <c r="AA148" s="384">
        <f t="shared" si="63"/>
        <v>53.852500641665621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7.8863077605706419E-2</v>
      </c>
      <c r="AD148" s="230">
        <f>(INDEX(Models!$BJ148:$BT148,,AH148)*(1-AF148)+INDEX(Models!$BJ148:$BT148,,AH148+1)*AF148-ERP_i)*AE148*Ramure*Pc/MaxiM</f>
        <v>6.1773929657153693E-4</v>
      </c>
      <c r="AE148" s="304">
        <f t="shared" si="65"/>
        <v>0.6</v>
      </c>
      <c r="AF148" s="177">
        <f t="shared" si="66"/>
        <v>0.12260307921013558</v>
      </c>
      <c r="AG148" s="799">
        <f t="shared" si="74"/>
        <v>3</v>
      </c>
      <c r="AH148" s="176">
        <f t="shared" si="67"/>
        <v>9</v>
      </c>
      <c r="AI148" s="224">
        <f t="shared" si="68"/>
        <v>3.1226030792101356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'2027'!Wh/'2027'!Env_an*'2028'!Env_an</f>
        <v>50.899317205021738</v>
      </c>
      <c r="C149" s="829"/>
      <c r="D149" s="391">
        <f t="shared" si="50"/>
        <v>54.332650658577244</v>
      </c>
      <c r="E149" s="383">
        <f t="shared" si="72"/>
        <v>56.702426448176389</v>
      </c>
      <c r="F149" s="383">
        <f t="shared" si="51"/>
        <v>56.705613696855785</v>
      </c>
      <c r="G149" s="110">
        <f t="shared" si="73"/>
        <v>0.88873300356028417</v>
      </c>
      <c r="H149" s="412" t="b">
        <f>Wh_hp&gt;='2027'!Maxi_hp</f>
        <v>0</v>
      </c>
      <c r="I149" s="388">
        <f>IF(H149,Wh_hp,'2027'!Maxi_hp)</f>
        <v>63.749746861981109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6.319098022900338E-2</v>
      </c>
      <c r="M149" s="832"/>
      <c r="N149" s="832"/>
      <c r="O149" s="48">
        <f>IF(t&lt;Tnet,'2027'!Resal+('2027'!Salim-'2027'!Resal)*(1-EXP(('2027'!Tnet-t)/('2027'!Tau_j))),Resal+(Salim-Resal)*(1-EXP((Tnet-t)/(Tau_j))))*Salcycl</f>
        <v>4.179319895181241E-2</v>
      </c>
      <c r="P149" s="169">
        <f>(INDEX(Models!$BJ149:$BT149,,T149)*(1-R149)+INDEX(Models!$BJ149:$BT149,,T149+1)*R149-ERP_i)*Q149*Ramure*Pc/MaxiM</f>
        <v>6.6828634677601129E-5</v>
      </c>
      <c r="Q149" s="304">
        <f t="shared" si="53"/>
        <v>0.6</v>
      </c>
      <c r="R149" s="177">
        <f t="shared" si="54"/>
        <v>0.60149330455119687</v>
      </c>
      <c r="S149" s="799">
        <f t="shared" si="55"/>
        <v>-1</v>
      </c>
      <c r="T149" s="176">
        <f t="shared" si="56"/>
        <v>5</v>
      </c>
      <c r="U149" s="250">
        <f t="shared" si="57"/>
        <v>-0.39850669544880313</v>
      </c>
      <c r="V149" s="382">
        <f t="shared" si="58"/>
        <v>57.271167306055276</v>
      </c>
      <c r="W149" s="400">
        <f t="shared" si="59"/>
        <v>50.899317205021738</v>
      </c>
      <c r="X149" s="157">
        <f t="shared" si="60"/>
        <v>46887</v>
      </c>
      <c r="Y149" s="383">
        <f t="shared" si="61"/>
        <v>48.903108098104276</v>
      </c>
      <c r="Z149" s="383">
        <f t="shared" si="62"/>
        <v>52.201790403404381</v>
      </c>
      <c r="AA149" s="384">
        <f t="shared" si="63"/>
        <v>56.676368440841166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7.8949625047119124E-2</v>
      </c>
      <c r="AD149" s="230">
        <f>(INDEX(Models!$BJ149:$BT149,,AH149)*(1-AF149)+INDEX(Models!$BJ149:$BT149,,AH149+1)*AF149-ERP_i)*AE149*Ramure*Pc/MaxiM</f>
        <v>6.1319988706519141E-4</v>
      </c>
      <c r="AE149" s="304">
        <f t="shared" si="65"/>
        <v>0.6</v>
      </c>
      <c r="AF149" s="177">
        <f t="shared" si="66"/>
        <v>0.12648087092517546</v>
      </c>
      <c r="AG149" s="799">
        <f t="shared" si="74"/>
        <v>3</v>
      </c>
      <c r="AH149" s="176">
        <f t="shared" si="67"/>
        <v>9</v>
      </c>
      <c r="AI149" s="224">
        <f t="shared" si="68"/>
        <v>3.1264808709251755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'2027'!Wh/'2027'!Env_an*'2028'!Env_an</f>
        <v>49.376228654441938</v>
      </c>
      <c r="C150" s="829"/>
      <c r="D150" s="391">
        <f t="shared" si="50"/>
        <v>52.707834696986069</v>
      </c>
      <c r="E150" s="383">
        <f t="shared" si="72"/>
        <v>55.012506328578269</v>
      </c>
      <c r="F150" s="383">
        <f t="shared" si="51"/>
        <v>55.015443490789863</v>
      </c>
      <c r="G150" s="110">
        <f t="shared" si="73"/>
        <v>0.86162773743711885</v>
      </c>
      <c r="H150" s="412" t="b">
        <f>Wh_hp&gt;='2027'!Maxi_hp</f>
        <v>0</v>
      </c>
      <c r="I150" s="388">
        <f>IF(H150,Wh_hp,'2027'!Maxi_hp)</f>
        <v>55.016117502770236</v>
      </c>
      <c r="J150" s="85">
        <f>IF(H150,An,'2027'!An_max)</f>
        <v>2026</v>
      </c>
      <c r="K150" s="197">
        <f t="shared" si="52"/>
        <v>46888</v>
      </c>
      <c r="L150" s="147">
        <f>IF(t&lt;Tvie,1-EXP((T0-t)*PertePVj)+'2027'!Pspv,1-EXP((T0-t)*PertePVj)+Pspv)</f>
        <v>6.3208933960146818E-2</v>
      </c>
      <c r="M150" s="832"/>
      <c r="N150" s="832"/>
      <c r="O150" s="48">
        <f>IF(t&lt;Tnet,'2027'!Resal+('2027'!Salim-'2027'!Resal)*(1-EXP(('2027'!Tnet-t)/('2027'!Tau_j))),Resal+(Salim-Resal)*(1-EXP((Tnet-t)/(Tau_j))))*Salcycl</f>
        <v>4.1893594482441475E-2</v>
      </c>
      <c r="P150" s="169">
        <f>(INDEX(Models!$BJ150:$BT150,,T150)*(1-R150)+INDEX(Models!$BJ150:$BT150,,T150+1)*R150-ERP_i)*Q150*Ramure*Pc/MaxiM</f>
        <v>6.6540190812528955E-5</v>
      </c>
      <c r="Q150" s="304">
        <f t="shared" si="53"/>
        <v>0.6</v>
      </c>
      <c r="R150" s="177">
        <f t="shared" si="54"/>
        <v>0.60544974201232304</v>
      </c>
      <c r="S150" s="799">
        <f t="shared" si="55"/>
        <v>-1</v>
      </c>
      <c r="T150" s="176">
        <f t="shared" si="56"/>
        <v>5</v>
      </c>
      <c r="U150" s="250">
        <f t="shared" si="57"/>
        <v>-0.39455025798767696</v>
      </c>
      <c r="V150" s="382">
        <f t="shared" si="58"/>
        <v>57.305001994252599</v>
      </c>
      <c r="W150" s="400">
        <f t="shared" si="59"/>
        <v>49.376228654441938</v>
      </c>
      <c r="X150" s="157">
        <f t="shared" si="60"/>
        <v>46888</v>
      </c>
      <c r="Y150" s="383">
        <f t="shared" si="61"/>
        <v>47.441386695542633</v>
      </c>
      <c r="Z150" s="383">
        <f t="shared" si="62"/>
        <v>50.642441431571434</v>
      </c>
      <c r="AA150" s="384">
        <f t="shared" si="63"/>
        <v>54.988559200435361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7.9036763866137325E-2</v>
      </c>
      <c r="AD150" s="230">
        <f>(INDEX(Models!$BJ150:$BT150,,AH150)*(1-AF150)+INDEX(Models!$BJ150:$BT150,,AH150+1)*AF150-ERP_i)*AE150*Ramure*Pc/MaxiM</f>
        <v>6.0905243945466928E-4</v>
      </c>
      <c r="AE150" s="304">
        <f t="shared" si="65"/>
        <v>0.6</v>
      </c>
      <c r="AF150" s="177">
        <f t="shared" si="66"/>
        <v>0.13043730838630152</v>
      </c>
      <c r="AG150" s="799">
        <f t="shared" si="74"/>
        <v>3</v>
      </c>
      <c r="AH150" s="176">
        <f t="shared" si="67"/>
        <v>9</v>
      </c>
      <c r="AI150" s="224">
        <f t="shared" si="68"/>
        <v>3.1304373083863015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'2027'!Wh/'2027'!Env_an*'2028'!Env_an</f>
        <v>52.660977010866439</v>
      </c>
      <c r="C151" s="829"/>
      <c r="D151" s="391">
        <f t="shared" si="50"/>
        <v>56.215295144134878</v>
      </c>
      <c r="E151" s="383">
        <f t="shared" si="72"/>
        <v>58.679499273796267</v>
      </c>
      <c r="F151" s="383">
        <f t="shared" si="51"/>
        <v>58.682932339687085</v>
      </c>
      <c r="G151" s="110">
        <f t="shared" si="73"/>
        <v>0.9184852720391421</v>
      </c>
      <c r="H151" s="412" t="b">
        <f>Wh_hp&gt;='2027'!Maxi_hp</f>
        <v>0</v>
      </c>
      <c r="I151" s="388">
        <f>IF(H151,Wh_hp,'2027'!Maxi_hp)</f>
        <v>58.683352824859902</v>
      </c>
      <c r="J151" s="85">
        <f>IF(H151,An,'2027'!An_max)</f>
        <v>2026</v>
      </c>
      <c r="K151" s="197">
        <f t="shared" si="52"/>
        <v>46889</v>
      </c>
      <c r="L151" s="147">
        <f>IF(t&lt;Tvie,1-EXP((T0-t)*PertePVj)+'2027'!Pspv,1-EXP((T0-t)*PertePVj)+Pspv)</f>
        <v>6.3226887347211047E-2</v>
      </c>
      <c r="M151" s="832"/>
      <c r="N151" s="832"/>
      <c r="O151" s="48">
        <f>IF(t&lt;Tnet,'2027'!Resal+('2027'!Salim-'2027'!Resal)*(1-EXP(('2027'!Tnet-t)/('2027'!Tau_j))),Resal+(Salim-Resal)*(1-EXP((Tnet-t)/(Tau_j))))*Salcycl</f>
        <v>4.1994293750931805E-2</v>
      </c>
      <c r="P151" s="169">
        <f>(INDEX(Models!$BJ151:$BT151,,T151)*(1-R151)+INDEX(Models!$BJ151:$BT151,,T151+1)*R151-ERP_i)*Q151*Ramure*Pc/MaxiM</f>
        <v>6.6211593025317959E-5</v>
      </c>
      <c r="Q151" s="304">
        <f t="shared" si="53"/>
        <v>0.6</v>
      </c>
      <c r="R151" s="177">
        <f t="shared" si="54"/>
        <v>0.60948380037229688</v>
      </c>
      <c r="S151" s="799">
        <f t="shared" si="55"/>
        <v>-1</v>
      </c>
      <c r="T151" s="176">
        <f t="shared" si="56"/>
        <v>5</v>
      </c>
      <c r="U151" s="250">
        <f t="shared" si="57"/>
        <v>-0.39051619962770318</v>
      </c>
      <c r="V151" s="382">
        <f t="shared" si="58"/>
        <v>57.334148508219997</v>
      </c>
      <c r="W151" s="400">
        <f t="shared" si="59"/>
        <v>52.660977010866439</v>
      </c>
      <c r="X151" s="157">
        <f t="shared" si="60"/>
        <v>46889</v>
      </c>
      <c r="Y151" s="383">
        <f t="shared" si="61"/>
        <v>50.595861708828835</v>
      </c>
      <c r="Z151" s="383">
        <f t="shared" si="62"/>
        <v>54.010796238108917</v>
      </c>
      <c r="AA151" s="384">
        <f t="shared" si="63"/>
        <v>58.651568962978658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7.9124442993145402E-2</v>
      </c>
      <c r="AD151" s="230">
        <f>(INDEX(Models!$BJ151:$BT151,,AH151)*(1-AF151)+INDEX(Models!$BJ151:$BT151,,AH151+1)*AF151-ERP_i)*AE151*Ramure*Pc/MaxiM</f>
        <v>6.0488764287129583E-4</v>
      </c>
      <c r="AE151" s="304">
        <f t="shared" si="65"/>
        <v>0.6</v>
      </c>
      <c r="AF151" s="177">
        <f t="shared" si="66"/>
        <v>0.13447136674627513</v>
      </c>
      <c r="AG151" s="799">
        <f t="shared" si="74"/>
        <v>3</v>
      </c>
      <c r="AH151" s="176">
        <f t="shared" si="67"/>
        <v>9</v>
      </c>
      <c r="AI151" s="224">
        <f t="shared" si="68"/>
        <v>3.1344713667462751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'2027'!Wh/'2027'!Env_an*'2028'!Env_an</f>
        <v>50.933784380815062</v>
      </c>
      <c r="C152" s="829"/>
      <c r="D152" s="391">
        <f t="shared" si="50"/>
        <v>54.372568817268522</v>
      </c>
      <c r="E152" s="383">
        <f t="shared" si="72"/>
        <v>56.76197964317258</v>
      </c>
      <c r="F152" s="383">
        <f t="shared" si="51"/>
        <v>56.7651189970696</v>
      </c>
      <c r="G152" s="110">
        <f t="shared" si="73"/>
        <v>0.88797605971985738</v>
      </c>
      <c r="H152" s="412" t="b">
        <f>Wh_hp&gt;='2027'!Maxi_hp</f>
        <v>0</v>
      </c>
      <c r="I152" s="388">
        <f>IF(H152,Wh_hp,'2027'!Maxi_hp)</f>
        <v>65.112138934007149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6.3244840390202728E-2</v>
      </c>
      <c r="M152" s="832"/>
      <c r="N152" s="832"/>
      <c r="O152" s="48">
        <f>IF(t&lt;Tnet,'2027'!Resal+('2027'!Salim-'2027'!Resal)*(1-EXP(('2027'!Tnet-t)/('2027'!Tau_j))),Resal+(Salim-Resal)*(1-EXP((Tnet-t)/(Tau_j))))*Salcycl</f>
        <v>4.2095269420214118E-2</v>
      </c>
      <c r="P152" s="169">
        <f>(INDEX(Models!$BJ152:$BT152,,T152)*(1-R152)+INDEX(Models!$BJ152:$BT152,,T152+1)*R152-ERP_i)*Q152*Ramure*Pc/MaxiM</f>
        <v>6.584005870118918E-5</v>
      </c>
      <c r="Q152" s="304">
        <f t="shared" si="53"/>
        <v>0.6</v>
      </c>
      <c r="R152" s="177">
        <f t="shared" si="54"/>
        <v>0.61359428059625398</v>
      </c>
      <c r="S152" s="799">
        <f t="shared" si="55"/>
        <v>-1</v>
      </c>
      <c r="T152" s="176">
        <f t="shared" si="56"/>
        <v>5</v>
      </c>
      <c r="U152" s="250">
        <f t="shared" si="57"/>
        <v>-0.38640571940374607</v>
      </c>
      <c r="V152" s="382">
        <f t="shared" si="58"/>
        <v>57.35880733090891</v>
      </c>
      <c r="W152" s="400">
        <f t="shared" si="59"/>
        <v>50.933784380815062</v>
      </c>
      <c r="X152" s="157">
        <f t="shared" si="60"/>
        <v>46890</v>
      </c>
      <c r="Y152" s="383">
        <f t="shared" si="61"/>
        <v>48.938180873725265</v>
      </c>
      <c r="Z152" s="383">
        <f t="shared" si="62"/>
        <v>52.242232531828627</v>
      </c>
      <c r="AA152" s="384">
        <f t="shared" si="63"/>
        <v>56.736476894652768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7.9212609044600493E-2</v>
      </c>
      <c r="AD152" s="230">
        <f>(INDEX(Models!$BJ152:$BT152,,AH152)*(1-AF152)+INDEX(Models!$BJ152:$BT152,,AH152+1)*AF152-ERP_i)*AE152*Ramure*Pc/MaxiM</f>
        <v>6.0069611974545862E-4</v>
      </c>
      <c r="AE152" s="304">
        <f t="shared" si="65"/>
        <v>0.6</v>
      </c>
      <c r="AF152" s="177">
        <f t="shared" si="66"/>
        <v>0.13858184697023246</v>
      </c>
      <c r="AG152" s="799">
        <f t="shared" si="74"/>
        <v>3</v>
      </c>
      <c r="AH152" s="176">
        <f t="shared" si="67"/>
        <v>9</v>
      </c>
      <c r="AI152" s="224">
        <f t="shared" si="68"/>
        <v>3.1385818469702325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'2027'!Wh/'2027'!Env_an*'2028'!Env_an</f>
        <v>53.543206060711832</v>
      </c>
      <c r="C153" s="829"/>
      <c r="D153" s="391">
        <f t="shared" si="50"/>
        <v>57.159260532934447</v>
      </c>
      <c r="E153" s="383">
        <f t="shared" si="72"/>
        <v>59.677439166704019</v>
      </c>
      <c r="F153" s="383">
        <f t="shared" si="51"/>
        <v>59.680970763977342</v>
      </c>
      <c r="G153" s="110">
        <f t="shared" si="73"/>
        <v>0.93314112343359701</v>
      </c>
      <c r="H153" s="412" t="b">
        <f>Wh_hp&gt;='2027'!Maxi_hp</f>
        <v>0</v>
      </c>
      <c r="I153" s="388">
        <f>IF(H153,Wh_hp,'2027'!Maxi_hp)</f>
        <v>63.796579298765408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6.3262793089128411E-2</v>
      </c>
      <c r="M153" s="832"/>
      <c r="N153" s="832"/>
      <c r="O153" s="48">
        <f>IF(t&lt;Tnet,'2027'!Resal+('2027'!Salim-'2027'!Resal)*(1-EXP(('2027'!Tnet-t)/('2027'!Tau_j))),Resal+(Salim-Resal)*(1-EXP((Tnet-t)/(Tau_j))))*Salcycl</f>
        <v>4.219649282763701E-2</v>
      </c>
      <c r="P153" s="169">
        <f>(INDEX(Models!$BJ153:$BT153,,T153)*(1-R153)+INDEX(Models!$BJ153:$BT153,,T153+1)*R153-ERP_i)*Q153*Ramure*Pc/MaxiM</f>
        <v>6.5422752511801446E-5</v>
      </c>
      <c r="Q153" s="304">
        <f t="shared" si="53"/>
        <v>0.6</v>
      </c>
      <c r="R153" s="177">
        <f t="shared" si="54"/>
        <v>0.61777980636355045</v>
      </c>
      <c r="S153" s="799">
        <f t="shared" si="55"/>
        <v>-1</v>
      </c>
      <c r="T153" s="176">
        <f t="shared" si="56"/>
        <v>5</v>
      </c>
      <c r="U153" s="250">
        <f t="shared" si="57"/>
        <v>-0.3822201936364496</v>
      </c>
      <c r="V153" s="382">
        <f t="shared" si="58"/>
        <v>57.379178936526905</v>
      </c>
      <c r="W153" s="400">
        <f t="shared" si="59"/>
        <v>53.543206060711832</v>
      </c>
      <c r="X153" s="157">
        <f t="shared" si="60"/>
        <v>46891</v>
      </c>
      <c r="Y153" s="383">
        <f t="shared" si="61"/>
        <v>51.444251981299928</v>
      </c>
      <c r="Z153" s="383">
        <f t="shared" si="62"/>
        <v>54.918553038957839</v>
      </c>
      <c r="AA153" s="384">
        <f t="shared" si="63"/>
        <v>59.648772673892495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7.9301206427085699E-2</v>
      </c>
      <c r="AD153" s="230">
        <f>(INDEX(Models!$BJ153:$BT153,,AH153)*(1-AF153)+INDEX(Models!$BJ153:$BT153,,AH153+1)*AF153-ERP_i)*AE153*Ramure*Pc/MaxiM</f>
        <v>5.9646882584528708E-4</v>
      </c>
      <c r="AE153" s="304">
        <f t="shared" si="65"/>
        <v>0.6</v>
      </c>
      <c r="AF153" s="177">
        <f t="shared" si="66"/>
        <v>0.14276737273752893</v>
      </c>
      <c r="AG153" s="799">
        <f t="shared" si="74"/>
        <v>3</v>
      </c>
      <c r="AH153" s="176">
        <f t="shared" si="67"/>
        <v>9</v>
      </c>
      <c r="AI153" s="224">
        <f t="shared" si="68"/>
        <v>3.1427673727375289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'2027'!Wh/'2027'!Env_an*'2028'!Env_an</f>
        <v>47.778055232667512</v>
      </c>
      <c r="C154" s="829"/>
      <c r="D154" s="391">
        <f t="shared" si="50"/>
        <v>51.005736244114885</v>
      </c>
      <c r="E154" s="383">
        <f t="shared" si="72"/>
        <v>53.258459031372524</v>
      </c>
      <c r="F154" s="383">
        <f t="shared" si="51"/>
        <v>53.261090535605355</v>
      </c>
      <c r="G154" s="110">
        <f t="shared" si="73"/>
        <v>0.83242314170615184</v>
      </c>
      <c r="H154" s="412" t="b">
        <f>Wh_hp&gt;='2027'!Maxi_hp</f>
        <v>0</v>
      </c>
      <c r="I154" s="388">
        <f>IF(H154,Wh_hp,'2027'!Maxi_hp)</f>
        <v>63.305602398396879</v>
      </c>
      <c r="J154" s="85">
        <f>IF(H154,An,'2027'!An_max)</f>
        <v>2021</v>
      </c>
      <c r="K154" s="197">
        <f t="shared" si="52"/>
        <v>46892</v>
      </c>
      <c r="L154" s="147">
        <f>IF(t&lt;Tvie,1-EXP((T0-t)*PertePVj)+'2027'!Pspv,1-EXP((T0-t)*PertePVj)+Pspv)</f>
        <v>6.3280745443994757E-2</v>
      </c>
      <c r="M154" s="832"/>
      <c r="N154" s="832"/>
      <c r="O154" s="48">
        <f>IF(t&lt;Tnet,'2027'!Resal+('2027'!Salim-'2027'!Resal)*(1-EXP(('2027'!Tnet-t)/('2027'!Tau_j))),Resal+(Salim-Resal)*(1-EXP((Tnet-t)/(Tau_j))))*Salcycl</f>
        <v>4.2297934041438341E-2</v>
      </c>
      <c r="P154" s="169">
        <f>(INDEX(Models!$BJ154:$BT154,,T154)*(1-R154)+INDEX(Models!$BJ154:$BT154,,T154+1)*R154-ERP_i)*Q154*Ramure*Pc/MaxiM</f>
        <v>6.4956793165531755E-5</v>
      </c>
      <c r="Q154" s="304">
        <f t="shared" si="53"/>
        <v>0.6</v>
      </c>
      <c r="R154" s="177">
        <f t="shared" si="54"/>
        <v>0.62203882167121105</v>
      </c>
      <c r="S154" s="799">
        <f t="shared" si="55"/>
        <v>-1</v>
      </c>
      <c r="T154" s="176">
        <f t="shared" si="56"/>
        <v>5</v>
      </c>
      <c r="U154" s="250">
        <f t="shared" si="57"/>
        <v>-0.37796117832878895</v>
      </c>
      <c r="V154" s="382">
        <f t="shared" si="58"/>
        <v>57.395463789292187</v>
      </c>
      <c r="W154" s="400">
        <f t="shared" si="59"/>
        <v>47.778055232667512</v>
      </c>
      <c r="X154" s="157">
        <f t="shared" si="60"/>
        <v>46892</v>
      </c>
      <c r="Y154" s="383">
        <f t="shared" si="61"/>
        <v>45.909169782562387</v>
      </c>
      <c r="Z154" s="383">
        <f t="shared" si="62"/>
        <v>49.010596888309756</v>
      </c>
      <c r="AA154" s="384">
        <f t="shared" si="63"/>
        <v>53.237099679080771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7.9390177456113348E-2</v>
      </c>
      <c r="AD154" s="230">
        <f>(INDEX(Models!$BJ154:$BT154,,AH154)*(1-AF154)+INDEX(Models!$BJ154:$BT154,,AH154+1)*AF154-ERP_i)*AE154*Ramure*Pc/MaxiM</f>
        <v>5.9219707332757322E-4</v>
      </c>
      <c r="AE154" s="304">
        <f t="shared" si="65"/>
        <v>0.6</v>
      </c>
      <c r="AF154" s="177">
        <f t="shared" si="66"/>
        <v>0.14702638804518964</v>
      </c>
      <c r="AG154" s="799">
        <f t="shared" si="74"/>
        <v>3</v>
      </c>
      <c r="AH154" s="176">
        <f t="shared" si="67"/>
        <v>9</v>
      </c>
      <c r="AI154" s="224">
        <f t="shared" si="68"/>
        <v>3.1470263880451896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'2027'!Wh/'2027'!Env_an*'2028'!Env_an</f>
        <v>47.870822116685389</v>
      </c>
      <c r="C155" s="829"/>
      <c r="D155" s="391">
        <f t="shared" si="50"/>
        <v>51.105749491979417</v>
      </c>
      <c r="E155" s="383">
        <f t="shared" si="72"/>
        <v>53.3685527491442</v>
      </c>
      <c r="F155" s="383">
        <f t="shared" si="51"/>
        <v>53.371175738996989</v>
      </c>
      <c r="G155" s="110">
        <f t="shared" si="73"/>
        <v>0.83385947565174878</v>
      </c>
      <c r="H155" s="412" t="b">
        <f>Wh_hp&gt;='2027'!Maxi_hp</f>
        <v>0</v>
      </c>
      <c r="I155" s="388">
        <f>IF(H155,Wh_hp,'2027'!Maxi_hp)</f>
        <v>61.653025263591708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6.3298697454808317E-2</v>
      </c>
      <c r="M155" s="832"/>
      <c r="N155" s="832"/>
      <c r="O155" s="48">
        <f>IF(t&lt;Tnet,'2027'!Resal+('2027'!Salim-'2027'!Resal)*(1-EXP(('2027'!Tnet-t)/('2027'!Tau_j))),Resal+(Salim-Resal)*(1-EXP((Tnet-t)/(Tau_j))))*Salcycl</f>
        <v>4.2399561925558667E-2</v>
      </c>
      <c r="P155" s="169">
        <f>(INDEX(Models!$BJ155:$BT155,,T155)*(1-R155)+INDEX(Models!$BJ155:$BT155,,T155+1)*R155-ERP_i)*Q155*Ramure*Pc/MaxiM</f>
        <v>6.44392608554807E-5</v>
      </c>
      <c r="Q155" s="304">
        <f t="shared" si="53"/>
        <v>0.6</v>
      </c>
      <c r="R155" s="177">
        <f t="shared" si="54"/>
        <v>0.62636958919215391</v>
      </c>
      <c r="S155" s="799">
        <f t="shared" si="55"/>
        <v>-1</v>
      </c>
      <c r="T155" s="176">
        <f t="shared" si="56"/>
        <v>5</v>
      </c>
      <c r="U155" s="250">
        <f t="shared" si="57"/>
        <v>-0.37363041080784609</v>
      </c>
      <c r="V155" s="382">
        <f t="shared" si="58"/>
        <v>57.407862339554008</v>
      </c>
      <c r="W155" s="400">
        <f t="shared" si="59"/>
        <v>47.870822116685389</v>
      </c>
      <c r="X155" s="157">
        <f t="shared" si="60"/>
        <v>46893</v>
      </c>
      <c r="Y155" s="383">
        <f t="shared" si="61"/>
        <v>45.998811930019208</v>
      </c>
      <c r="Z155" s="383">
        <f t="shared" si="62"/>
        <v>49.107236004724108</v>
      </c>
      <c r="AA155" s="384">
        <f t="shared" si="63"/>
        <v>53.347246480275771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7.9479462489583805E-2</v>
      </c>
      <c r="AD155" s="230">
        <f>(INDEX(Models!$BJ155:$BT155,,AH155)*(1-AF155)+INDEX(Models!$BJ155:$BT155,,AH155+1)*AF155-ERP_i)*AE155*Ramure*Pc/MaxiM</f>
        <v>5.8787255435743303E-4</v>
      </c>
      <c r="AE155" s="304">
        <f t="shared" si="65"/>
        <v>0.6</v>
      </c>
      <c r="AF155" s="177">
        <f t="shared" si="66"/>
        <v>0.15135715556613238</v>
      </c>
      <c r="AG155" s="799">
        <f t="shared" si="74"/>
        <v>3</v>
      </c>
      <c r="AH155" s="176">
        <f t="shared" si="67"/>
        <v>9</v>
      </c>
      <c r="AI155" s="224">
        <f t="shared" si="68"/>
        <v>3.1513571555661324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'2027'!Wh/'2027'!Env_an*'2028'!Env_an</f>
        <v>36.362751796015587</v>
      </c>
      <c r="C156" s="829"/>
      <c r="D156" s="391">
        <f t="shared" si="50"/>
        <v>38.820751710718994</v>
      </c>
      <c r="E156" s="383">
        <f t="shared" si="72"/>
        <v>40.543922935119433</v>
      </c>
      <c r="F156" s="383">
        <f t="shared" si="51"/>
        <v>40.545156645687804</v>
      </c>
      <c r="G156" s="110">
        <f t="shared" si="73"/>
        <v>0.63329336191454322</v>
      </c>
      <c r="H156" s="412" t="b">
        <f>Wh_hp&gt;='2027'!Maxi_hp</f>
        <v>0</v>
      </c>
      <c r="I156" s="388">
        <f>IF(H156,Wh_hp,'2027'!Maxi_hp)</f>
        <v>60.757180610940942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6.3316649121575752E-2</v>
      </c>
      <c r="M156" s="832"/>
      <c r="N156" s="832"/>
      <c r="O156" s="48">
        <f>IF(t&lt;Tnet,'2027'!Resal+('2027'!Salim-'2027'!Resal)*(1-EXP(('2027'!Tnet-t)/('2027'!Tau_j))),Resal+(Salim-Resal)*(1-EXP((Tnet-t)/(Tau_j))))*Salcycl</f>
        <v>4.2501344212743083E-2</v>
      </c>
      <c r="P156" s="169">
        <f>(INDEX(Models!$BJ156:$BT156,,T156)*(1-R156)+INDEX(Models!$BJ156:$BT156,,T156+1)*R156-ERP_i)*Q156*Ramure*Pc/MaxiM</f>
        <v>6.3902530183256549E-5</v>
      </c>
      <c r="Q156" s="304">
        <f t="shared" si="53"/>
        <v>0.6</v>
      </c>
      <c r="R156" s="177">
        <f t="shared" si="54"/>
        <v>0.63077018943770957</v>
      </c>
      <c r="S156" s="799">
        <f t="shared" si="55"/>
        <v>-1</v>
      </c>
      <c r="T156" s="176">
        <f t="shared" si="56"/>
        <v>5</v>
      </c>
      <c r="U156" s="250">
        <f t="shared" si="57"/>
        <v>-0.36922981056229048</v>
      </c>
      <c r="V156" s="382">
        <f t="shared" si="58"/>
        <v>57.416572984907638</v>
      </c>
      <c r="W156" s="400">
        <f t="shared" si="59"/>
        <v>36.362751796015587</v>
      </c>
      <c r="X156" s="157">
        <f t="shared" si="60"/>
        <v>46894</v>
      </c>
      <c r="Y156" s="383">
        <f t="shared" si="61"/>
        <v>34.946388287936905</v>
      </c>
      <c r="Z156" s="383">
        <f t="shared" si="62"/>
        <v>37.308646785665708</v>
      </c>
      <c r="AA156" s="384">
        <f t="shared" si="63"/>
        <v>40.533887699059605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7.9569000075675564E-2</v>
      </c>
      <c r="AD156" s="230">
        <f>(INDEX(Models!$BJ156:$BT156,,AH156)*(1-AF156)+INDEX(Models!$BJ156:$BT156,,AH156+1)*AF156-ERP_i)*AE156*Ramure*Pc/MaxiM</f>
        <v>5.836978465665045E-4</v>
      </c>
      <c r="AE156" s="304">
        <f t="shared" si="65"/>
        <v>0.6</v>
      </c>
      <c r="AF156" s="177">
        <f t="shared" si="66"/>
        <v>0.15575775581168783</v>
      </c>
      <c r="AG156" s="799">
        <f t="shared" si="74"/>
        <v>3</v>
      </c>
      <c r="AH156" s="176">
        <f t="shared" si="67"/>
        <v>9</v>
      </c>
      <c r="AI156" s="224">
        <f t="shared" si="68"/>
        <v>3.1557577558116878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'2027'!Wh/'2027'!Env_an*'2028'!Env_an</f>
        <v>19.198973882553698</v>
      </c>
      <c r="C157" s="829"/>
      <c r="D157" s="391">
        <f t="shared" si="50"/>
        <v>20.497152869808851</v>
      </c>
      <c r="E157" s="383">
        <f t="shared" si="72"/>
        <v>21.409256735123382</v>
      </c>
      <c r="F157" s="383">
        <f t="shared" si="51"/>
        <v>21.409323298248502</v>
      </c>
      <c r="G157" s="110">
        <f t="shared" si="73"/>
        <v>0.33432979694552462</v>
      </c>
      <c r="H157" s="412" t="b">
        <f>Wh_hp&gt;='2027'!Maxi_hp</f>
        <v>0</v>
      </c>
      <c r="I157" s="388">
        <f>IF(H157,Wh_hp,'2027'!Maxi_hp)</f>
        <v>57.940082195716684</v>
      </c>
      <c r="J157" s="85">
        <f>IF(H157,An,'2027'!An_max)</f>
        <v>2020</v>
      </c>
      <c r="K157" s="197">
        <f t="shared" si="52"/>
        <v>46895</v>
      </c>
      <c r="L157" s="147">
        <f>IF(t&lt;Tvie,1-EXP((T0-t)*PertePVj)+'2027'!Pspv,1-EXP((T0-t)*PertePVj)+Pspv)</f>
        <v>6.3334600444303502E-2</v>
      </c>
      <c r="M157" s="832"/>
      <c r="N157" s="832"/>
      <c r="O157" s="48">
        <f>IF(t&lt;Tnet,'2027'!Resal+('2027'!Salim-'2027'!Resal)*(1-EXP(('2027'!Tnet-t)/('2027'!Tau_j))),Resal+(Salim-Resal)*(1-EXP((Tnet-t)/(Tau_j))))*Salcycl</f>
        <v>4.2603247585805366E-2</v>
      </c>
      <c r="P157" s="169">
        <f>(INDEX(Models!$BJ157:$BT157,,T157)*(1-R157)+INDEX(Models!$BJ157:$BT157,,T157+1)*R157-ERP_i)*Q157*Ramure*Pc/MaxiM</f>
        <v>6.3358196154751783E-5</v>
      </c>
      <c r="Q157" s="304">
        <f t="shared" si="53"/>
        <v>0.6</v>
      </c>
      <c r="R157" s="177">
        <f t="shared" si="54"/>
        <v>0.63523852076948184</v>
      </c>
      <c r="S157" s="799">
        <f t="shared" si="55"/>
        <v>-1</v>
      </c>
      <c r="T157" s="176">
        <f t="shared" si="56"/>
        <v>5</v>
      </c>
      <c r="U157" s="250">
        <f t="shared" si="57"/>
        <v>-0.36476147923051816</v>
      </c>
      <c r="V157" s="382">
        <f t="shared" si="58"/>
        <v>57.421795284140067</v>
      </c>
      <c r="W157" s="400">
        <f t="shared" si="59"/>
        <v>19.198973882553698</v>
      </c>
      <c r="X157" s="157">
        <f t="shared" si="60"/>
        <v>46895</v>
      </c>
      <c r="Y157" s="383">
        <f t="shared" si="61"/>
        <v>18.455421287435417</v>
      </c>
      <c r="Z157" s="383">
        <f t="shared" si="62"/>
        <v>19.703323402561548</v>
      </c>
      <c r="AA157" s="384">
        <f t="shared" si="63"/>
        <v>21.40871433570868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7.9658727114809647E-2</v>
      </c>
      <c r="AD157" s="230">
        <f>(INDEX(Models!$BJ157:$BT157,,AH157)*(1-AF157)+INDEX(Models!$BJ157:$BT157,,AH157+1)*AF157-ERP_i)*AE157*Ramure*Pc/MaxiM</f>
        <v>5.7964177582180577E-4</v>
      </c>
      <c r="AE157" s="304">
        <f t="shared" si="65"/>
        <v>0.6</v>
      </c>
      <c r="AF157" s="177">
        <f t="shared" si="66"/>
        <v>0.16022608714346021</v>
      </c>
      <c r="AG157" s="799">
        <f t="shared" si="74"/>
        <v>3</v>
      </c>
      <c r="AH157" s="176">
        <f t="shared" si="67"/>
        <v>9</v>
      </c>
      <c r="AI157" s="224">
        <f t="shared" si="68"/>
        <v>3.1602260871434602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'2027'!Wh/'2027'!Env_an*'2028'!Env_an</f>
        <v>15.871593804952131</v>
      </c>
      <c r="C158" s="829"/>
      <c r="D158" s="391">
        <f t="shared" si="50"/>
        <v>16.945109741199843</v>
      </c>
      <c r="E158" s="383">
        <f t="shared" si="72"/>
        <v>17.701036723183201</v>
      </c>
      <c r="F158" s="383">
        <f t="shared" si="51"/>
        <v>17.701036723183201</v>
      </c>
      <c r="G158" s="110">
        <f t="shared" si="73"/>
        <v>0.27637698086921525</v>
      </c>
      <c r="H158" s="412" t="b">
        <f>Wh_hp&gt;='2027'!Maxi_hp</f>
        <v>0</v>
      </c>
      <c r="I158" s="388">
        <f>IF(H158,Wh_hp,'2027'!Maxi_hp)</f>
        <v>27.39141049073487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6.3352551422998338E-2</v>
      </c>
      <c r="M158" s="832"/>
      <c r="N158" s="832"/>
      <c r="O158" s="48">
        <f>IF(t&lt;Tnet,'2027'!Resal+('2027'!Salim-'2027'!Resal)*(1-EXP(('2027'!Tnet-t)/('2027'!Tau_j))),Resal+(Salim-Resal)*(1-EXP((Tnet-t)/(Tau_j))))*Salcycl</f>
        <v>4.2705237766854337E-2</v>
      </c>
      <c r="P158" s="169">
        <f>(INDEX(Models!$BJ158:$BT158,,T158)*(1-R158)+INDEX(Models!$BJ158:$BT158,,T158+1)*R158-ERP_i)*Q158*Ramure*Pc/MaxiM</f>
        <v>6.2804887004021343E-5</v>
      </c>
      <c r="Q158" s="304">
        <f t="shared" si="53"/>
        <v>0.6</v>
      </c>
      <c r="R158" s="177">
        <f t="shared" si="54"/>
        <v>0.6397723003003114</v>
      </c>
      <c r="S158" s="799">
        <f t="shared" si="55"/>
        <v>-1</v>
      </c>
      <c r="T158" s="176">
        <f t="shared" si="56"/>
        <v>5</v>
      </c>
      <c r="U158" s="250">
        <f t="shared" si="57"/>
        <v>-0.3602276996996886</v>
      </c>
      <c r="V158" s="382">
        <f t="shared" si="58"/>
        <v>57.423729506643618</v>
      </c>
      <c r="W158" s="400">
        <f t="shared" si="59"/>
        <v>15.871593804952131</v>
      </c>
      <c r="X158" s="157">
        <f t="shared" si="60"/>
        <v>46896</v>
      </c>
      <c r="Y158" s="383">
        <f t="shared" si="61"/>
        <v>15.257428880015263</v>
      </c>
      <c r="Z158" s="383">
        <f t="shared" si="62"/>
        <v>16.289404197059479</v>
      </c>
      <c r="AA158" s="384">
        <f t="shared" si="63"/>
        <v>17.701036723183201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7.9748579035198275E-2</v>
      </c>
      <c r="AD158" s="230">
        <f>(INDEX(Models!$BJ158:$BT158,,AH158)*(1-AF158)+INDEX(Models!$BJ158:$BT158,,AH158+1)*AF158-ERP_i)*AE158*Ramure*Pc/MaxiM</f>
        <v>5.7569970843537768E-4</v>
      </c>
      <c r="AE158" s="304">
        <f t="shared" si="65"/>
        <v>0.6</v>
      </c>
      <c r="AF158" s="177">
        <f t="shared" si="66"/>
        <v>0.16475986667428977</v>
      </c>
      <c r="AG158" s="799">
        <f t="shared" si="74"/>
        <v>3</v>
      </c>
      <c r="AH158" s="176">
        <f t="shared" si="67"/>
        <v>9</v>
      </c>
      <c r="AI158" s="224">
        <f t="shared" si="68"/>
        <v>3.1647598666742898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'2027'!Wh/'2027'!Env_an*'2028'!Env_an</f>
        <v>39.924794287879543</v>
      </c>
      <c r="C159" s="829"/>
      <c r="D159" s="391">
        <f t="shared" si="50"/>
        <v>42.626027020918833</v>
      </c>
      <c r="E159" s="383">
        <f t="shared" si="72"/>
        <v>44.532335143270444</v>
      </c>
      <c r="F159" s="383">
        <f t="shared" si="51"/>
        <v>44.533900376959245</v>
      </c>
      <c r="G159" s="110">
        <f t="shared" si="73"/>
        <v>0.69526160940882487</v>
      </c>
      <c r="H159" s="412" t="b">
        <f>Wh_hp&gt;='2027'!Maxi_hp</f>
        <v>0</v>
      </c>
      <c r="I159" s="388">
        <f>IF(H159,Wh_hp,'2027'!Maxi_hp)</f>
        <v>59.825577923222795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6.3370502057666589E-2</v>
      </c>
      <c r="M159" s="832"/>
      <c r="N159" s="832"/>
      <c r="O159" s="48">
        <f>IF(t&lt;Tnet,'2027'!Resal+('2027'!Salim-'2027'!Resal)*(1-EXP(('2027'!Tnet-t)/('2027'!Tau_j))),Resal+(Salim-Resal)*(1-EXP((Tnet-t)/(Tau_j))))*Salcycl</f>
        <v>4.2807279614208278E-2</v>
      </c>
      <c r="P159" s="169">
        <f>(INDEX(Models!$BJ159:$BT159,,T159)*(1-R159)+INDEX(Models!$BJ159:$BT159,,T159+1)*R159-ERP_i)*Q159*Ramure*Pc/MaxiM</f>
        <v>6.2241658998786492E-5</v>
      </c>
      <c r="Q159" s="304">
        <f t="shared" si="53"/>
        <v>0.6</v>
      </c>
      <c r="R159" s="177">
        <f t="shared" si="54"/>
        <v>0.64436906571802843</v>
      </c>
      <c r="S159" s="799">
        <f t="shared" si="55"/>
        <v>-1</v>
      </c>
      <c r="T159" s="176">
        <f t="shared" si="56"/>
        <v>5</v>
      </c>
      <c r="U159" s="250">
        <f t="shared" si="57"/>
        <v>-0.35563093428197157</v>
      </c>
      <c r="V159" s="382">
        <f t="shared" si="58"/>
        <v>57.422575849885575</v>
      </c>
      <c r="W159" s="400">
        <f t="shared" si="59"/>
        <v>39.924794287879543</v>
      </c>
      <c r="X159" s="157">
        <f t="shared" si="60"/>
        <v>46897</v>
      </c>
      <c r="Y159" s="383">
        <f t="shared" si="61"/>
        <v>38.369165967837368</v>
      </c>
      <c r="Z159" s="383">
        <f t="shared" si="62"/>
        <v>40.965147960992027</v>
      </c>
      <c r="AA159" s="384">
        <f t="shared" si="63"/>
        <v>44.519519144157599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7.9838489981355065E-2</v>
      </c>
      <c r="AD159" s="230">
        <f>(INDEX(Models!$BJ159:$BT159,,AH159)*(1-AF159)+INDEX(Models!$BJ159:$BT159,,AH159+1)*AF159-ERP_i)*AE159*Ramure*Pc/MaxiM</f>
        <v>5.7187102119317639E-4</v>
      </c>
      <c r="AE159" s="304">
        <f t="shared" si="65"/>
        <v>0.6</v>
      </c>
      <c r="AF159" s="177">
        <f t="shared" si="66"/>
        <v>0.1693566320920068</v>
      </c>
      <c r="AG159" s="799">
        <f t="shared" si="74"/>
        <v>3</v>
      </c>
      <c r="AH159" s="176">
        <f t="shared" si="67"/>
        <v>9</v>
      </c>
      <c r="AI159" s="224">
        <f t="shared" si="68"/>
        <v>3.1693566320920068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'2027'!Wh/'2027'!Env_an*'2028'!Env_an</f>
        <v>24.269333694777973</v>
      </c>
      <c r="C160" s="829"/>
      <c r="D160" s="391">
        <f t="shared" si="50"/>
        <v>25.911845477057327</v>
      </c>
      <c r="E160" s="383">
        <f t="shared" si="72"/>
        <v>27.073553723711871</v>
      </c>
      <c r="F160" s="383">
        <f t="shared" si="51"/>
        <v>27.073846315625371</v>
      </c>
      <c r="G160" s="110">
        <f t="shared" si="73"/>
        <v>0.42265271241426661</v>
      </c>
      <c r="H160" s="412" t="b">
        <f>Wh_hp&gt;='2027'!Maxi_hp</f>
        <v>0</v>
      </c>
      <c r="I160" s="388">
        <f>IF(H160,Wh_hp,'2027'!Maxi_hp)</f>
        <v>62.596709791929555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6.3388452348315139E-2</v>
      </c>
      <c r="M160" s="832"/>
      <c r="N160" s="832"/>
      <c r="O160" s="48">
        <f>IF(t&lt;Tnet,'2027'!Resal+('2027'!Salim-'2027'!Resal)*(1-EXP(('2027'!Tnet-t)/('2027'!Tau_j))),Resal+(Salim-Resal)*(1-EXP((Tnet-t)/(Tau_j))))*Salcycl</f>
        <v>4.2909337226648803E-2</v>
      </c>
      <c r="P160" s="169">
        <f>(INDEX(Models!$BJ160:$BT160,,T160)*(1-R160)+INDEX(Models!$BJ160:$BT160,,T160+1)*R160-ERP_i)*Q160*Ramure*Pc/MaxiM</f>
        <v>6.1667611798452181E-5</v>
      </c>
      <c r="Q160" s="304">
        <f t="shared" si="53"/>
        <v>0.6</v>
      </c>
      <c r="R160" s="177">
        <f t="shared" si="54"/>
        <v>0.64902617805886076</v>
      </c>
      <c r="S160" s="799">
        <f t="shared" si="55"/>
        <v>-1</v>
      </c>
      <c r="T160" s="176">
        <f t="shared" si="56"/>
        <v>5</v>
      </c>
      <c r="U160" s="250">
        <f t="shared" si="57"/>
        <v>-0.35097382194113924</v>
      </c>
      <c r="V160" s="382">
        <f t="shared" si="58"/>
        <v>57.418534460616598</v>
      </c>
      <c r="W160" s="400">
        <f t="shared" si="59"/>
        <v>24.269333694777973</v>
      </c>
      <c r="X160" s="157">
        <f t="shared" si="60"/>
        <v>46898</v>
      </c>
      <c r="Y160" s="383">
        <f t="shared" si="61"/>
        <v>23.328555694071355</v>
      </c>
      <c r="Z160" s="383">
        <f t="shared" si="62"/>
        <v>24.90739704476394</v>
      </c>
      <c r="AA160" s="384">
        <f t="shared" si="63"/>
        <v>27.071150610090434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7.9928393014812707E-2</v>
      </c>
      <c r="AD160" s="230">
        <f>(INDEX(Models!$BJ160:$BT160,,AH160)*(1-AF160)+INDEX(Models!$BJ160:$BT160,,AH160+1)*AF160-ERP_i)*AE160*Ramure*Pc/MaxiM</f>
        <v>5.6815555994846974E-4</v>
      </c>
      <c r="AE160" s="304">
        <f t="shared" si="65"/>
        <v>0.6</v>
      </c>
      <c r="AF160" s="177">
        <f t="shared" si="66"/>
        <v>0.17401374443283935</v>
      </c>
      <c r="AG160" s="799">
        <f t="shared" si="74"/>
        <v>3</v>
      </c>
      <c r="AH160" s="176">
        <f t="shared" si="67"/>
        <v>9</v>
      </c>
      <c r="AI160" s="224">
        <f t="shared" si="68"/>
        <v>3.1740137444328393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'2027'!Wh/'2027'!Env_an*'2028'!Env_an</f>
        <v>44.682538263911034</v>
      </c>
      <c r="C161" s="829"/>
      <c r="D161" s="391">
        <f t="shared" si="50"/>
        <v>47.707499147332832</v>
      </c>
      <c r="E161" s="383">
        <f t="shared" si="72"/>
        <v>49.851688780734143</v>
      </c>
      <c r="F161" s="383">
        <f t="shared" si="51"/>
        <v>49.853769415735087</v>
      </c>
      <c r="G161" s="110">
        <f t="shared" si="73"/>
        <v>0.77826630637946459</v>
      </c>
      <c r="H161" s="412" t="b">
        <f>Wh_hp&gt;='2027'!Maxi_hp</f>
        <v>0</v>
      </c>
      <c r="I161" s="388">
        <f>IF(H161,Wh_hp,'2027'!Maxi_hp)</f>
        <v>62.270971233570506</v>
      </c>
      <c r="J161" s="85">
        <f>IF(H161,An,'2027'!An_max)</f>
        <v>2020</v>
      </c>
      <c r="K161" s="197">
        <f t="shared" si="52"/>
        <v>46899</v>
      </c>
      <c r="L161" s="147">
        <f>IF(t&lt;Tvie,1-EXP((T0-t)*PertePVj)+'2027'!Pspv,1-EXP((T0-t)*PertePVj)+Pspv)</f>
        <v>6.3406402294950537E-2</v>
      </c>
      <c r="M161" s="832"/>
      <c r="N161" s="832"/>
      <c r="O161" s="48">
        <f>IF(t&lt;Tnet,'2027'!Resal+('2027'!Salim-'2027'!Resal)*(1-EXP(('2027'!Tnet-t)/('2027'!Tau_j))),Resal+(Salim-Resal)*(1-EXP((Tnet-t)/(Tau_j))))*Salcycl</f>
        <v>4.301137405459303E-2</v>
      </c>
      <c r="P161" s="169">
        <f>(INDEX(Models!$BJ161:$BT161,,T161)*(1-R161)+INDEX(Models!$BJ161:$BT161,,T161+1)*R161-ERP_i)*Q161*Ramure*Pc/MaxiM</f>
        <v>6.1081891858792825E-5</v>
      </c>
      <c r="Q161" s="304">
        <f t="shared" si="53"/>
        <v>0.6</v>
      </c>
      <c r="R161" s="177">
        <f t="shared" si="54"/>
        <v>0.65374082544983669</v>
      </c>
      <c r="S161" s="799">
        <f t="shared" si="55"/>
        <v>-1</v>
      </c>
      <c r="T161" s="176">
        <f t="shared" si="56"/>
        <v>5</v>
      </c>
      <c r="U161" s="250">
        <f t="shared" si="57"/>
        <v>-0.34625917455016336</v>
      </c>
      <c r="V161" s="382">
        <f t="shared" si="58"/>
        <v>57.411805422545306</v>
      </c>
      <c r="W161" s="400">
        <f t="shared" si="59"/>
        <v>44.682538263911034</v>
      </c>
      <c r="X161" s="157">
        <f t="shared" si="60"/>
        <v>46899</v>
      </c>
      <c r="Y161" s="383">
        <f t="shared" si="61"/>
        <v>42.93988293145258</v>
      </c>
      <c r="Z161" s="383">
        <f t="shared" si="62"/>
        <v>45.84686788022988</v>
      </c>
      <c r="AA161" s="384">
        <f t="shared" si="63"/>
        <v>49.834539001940058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8.0018220326166595E-2</v>
      </c>
      <c r="AD161" s="230">
        <f>(INDEX(Models!$BJ161:$BT161,,AH161)*(1-AF161)+INDEX(Models!$BJ161:$BT161,,AH161+1)*AF161-ERP_i)*AE161*Ramure*Pc/MaxiM</f>
        <v>5.645536364122807E-4</v>
      </c>
      <c r="AE161" s="304">
        <f t="shared" si="65"/>
        <v>0.6</v>
      </c>
      <c r="AF161" s="177">
        <f t="shared" si="66"/>
        <v>0.17872839182381517</v>
      </c>
      <c r="AG161" s="799">
        <f t="shared" si="74"/>
        <v>3</v>
      </c>
      <c r="AH161" s="176">
        <f t="shared" si="67"/>
        <v>9</v>
      </c>
      <c r="AI161" s="224">
        <f t="shared" si="68"/>
        <v>3.1787283918238152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'2027'!Wh/'2027'!Env_an*'2028'!Env_an</f>
        <v>53.743521738399735</v>
      </c>
      <c r="C162" s="829"/>
      <c r="D162" s="391">
        <f t="shared" si="50"/>
        <v>57.383001412954229</v>
      </c>
      <c r="E162" s="383">
        <f t="shared" si="72"/>
        <v>59.968442023849356</v>
      </c>
      <c r="F162" s="383">
        <f t="shared" si="51"/>
        <v>59.971739023163941</v>
      </c>
      <c r="G162" s="110">
        <f t="shared" si="73"/>
        <v>0.93625090582908943</v>
      </c>
      <c r="H162" s="412" t="b">
        <f>Wh_hp&gt;='2027'!Maxi_hp</f>
        <v>0</v>
      </c>
      <c r="I162" s="388">
        <f>IF(H162,Wh_hp,'2027'!Maxi_hp)</f>
        <v>61.405954695216622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6.3424351897579223E-2</v>
      </c>
      <c r="M162" s="832"/>
      <c r="N162" s="832"/>
      <c r="O162" s="48">
        <f>IF(t&lt;Tnet,'2027'!Resal+('2027'!Salim-'2027'!Resal)*(1-EXP(('2027'!Tnet-t)/('2027'!Tau_j))),Resal+(Salim-Resal)*(1-EXP((Tnet-t)/(Tau_j))))*Salcycl</f>
        <v>4.3113353017690599E-2</v>
      </c>
      <c r="P162" s="169">
        <f>(INDEX(Models!$BJ162:$BT162,,T162)*(1-R162)+INDEX(Models!$BJ162:$BT162,,T162+1)*R162-ERP_i)*Q162*Ramure*Pc/MaxiM</f>
        <v>6.0483695836472613E-5</v>
      </c>
      <c r="Q162" s="304">
        <f t="shared" si="53"/>
        <v>0.6</v>
      </c>
      <c r="R162" s="177">
        <f t="shared" si="54"/>
        <v>0.65851002783137902</v>
      </c>
      <c r="S162" s="799">
        <f t="shared" si="55"/>
        <v>-1</v>
      </c>
      <c r="T162" s="176">
        <f t="shared" si="56"/>
        <v>5</v>
      </c>
      <c r="U162" s="250">
        <f t="shared" si="57"/>
        <v>-0.34148997216862098</v>
      </c>
      <c r="V162" s="382">
        <f t="shared" si="58"/>
        <v>57.402588748665316</v>
      </c>
      <c r="W162" s="400">
        <f t="shared" si="59"/>
        <v>53.743521738399735</v>
      </c>
      <c r="X162" s="157">
        <f t="shared" si="60"/>
        <v>46900</v>
      </c>
      <c r="Y162" s="383">
        <f t="shared" si="61"/>
        <v>51.642214373148825</v>
      </c>
      <c r="Z162" s="383">
        <f t="shared" si="62"/>
        <v>55.139394749137665</v>
      </c>
      <c r="AA162" s="384">
        <f t="shared" si="63"/>
        <v>59.941155007615151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8.0107903457440094E-2</v>
      </c>
      <c r="AD162" s="230">
        <f>(INDEX(Models!$BJ162:$BT162,,AH162)*(1-AF162)+INDEX(Models!$BJ162:$BT162,,AH162+1)*AF162-ERP_i)*AE162*Ramure*Pc/MaxiM</f>
        <v>5.6106602319529815E-4</v>
      </c>
      <c r="AE162" s="304">
        <f t="shared" si="65"/>
        <v>0.6</v>
      </c>
      <c r="AF162" s="177">
        <f t="shared" si="66"/>
        <v>0.18349759420535738</v>
      </c>
      <c r="AG162" s="799">
        <f t="shared" si="74"/>
        <v>3</v>
      </c>
      <c r="AH162" s="176">
        <f t="shared" si="67"/>
        <v>9</v>
      </c>
      <c r="AI162" s="224">
        <f t="shared" si="68"/>
        <v>3.1834975942053574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'2027'!Wh/'2027'!Env_an*'2028'!Env_an</f>
        <v>58.109821826257011</v>
      </c>
      <c r="C163" s="829"/>
      <c r="D163" s="391">
        <f t="shared" si="50"/>
        <v>62.046173874813356</v>
      </c>
      <c r="E163" s="383">
        <f t="shared" si="72"/>
        <v>64.84862243851191</v>
      </c>
      <c r="F163" s="383">
        <f t="shared" si="51"/>
        <v>64.852505396426295</v>
      </c>
      <c r="G163" s="110">
        <f t="shared" si="73"/>
        <v>1.0125472202397046</v>
      </c>
      <c r="H163" s="412" t="b">
        <f>Wh_hp&gt;='2027'!Maxi_hp</f>
        <v>1</v>
      </c>
      <c r="I163" s="388">
        <f>IF(H163,Wh_hp,'2027'!Maxi_hp)</f>
        <v>64.852505396426295</v>
      </c>
      <c r="J163" s="85">
        <f>IF(H163,An,'2027'!An_max)</f>
        <v>2028</v>
      </c>
      <c r="K163" s="197">
        <f t="shared" si="52"/>
        <v>46901</v>
      </c>
      <c r="L163" s="147">
        <f>IF(t&lt;Tvie,1-EXP((T0-t)*PertePVj)+'2027'!Pspv,1-EXP((T0-t)*PertePVj)+Pspv)</f>
        <v>6.3442301156207859E-2</v>
      </c>
      <c r="M163" s="832"/>
      <c r="N163" s="832"/>
      <c r="O163" s="48">
        <f>IF(t&lt;Tnet,'2027'!Resal+('2027'!Salim-'2027'!Resal)*(1-EXP(('2027'!Tnet-t)/('2027'!Tau_j))),Resal+(Salim-Resal)*(1-EXP((Tnet-t)/(Tau_j))))*Salcycl</f>
        <v>4.3215236628284331E-2</v>
      </c>
      <c r="P163" s="169">
        <f>(INDEX(Models!$BJ163:$BT163,,T163)*(1-R163)+INDEX(Models!$BJ163:$BT163,,T163+1)*R163-ERP_i)*Q163*Ramure*Pc/MaxiM</f>
        <v>5.9873676285178968E-5</v>
      </c>
      <c r="Q163" s="304">
        <f t="shared" si="53"/>
        <v>0.6</v>
      </c>
      <c r="R163" s="177">
        <f t="shared" si="54"/>
        <v>0.663330642662601</v>
      </c>
      <c r="S163" s="799">
        <f t="shared" si="55"/>
        <v>-1</v>
      </c>
      <c r="T163" s="176">
        <f t="shared" si="56"/>
        <v>5</v>
      </c>
      <c r="U163" s="250">
        <f t="shared" si="57"/>
        <v>-0.336669357337399</v>
      </c>
      <c r="V163" s="382">
        <f t="shared" si="58"/>
        <v>57.38974011750328</v>
      </c>
      <c r="W163" s="400">
        <f t="shared" si="59"/>
        <v>58.109821826257011</v>
      </c>
      <c r="X163" s="157">
        <f t="shared" si="60"/>
        <v>46901</v>
      </c>
      <c r="Y163" s="383">
        <f t="shared" si="61"/>
        <v>55.835918604923307</v>
      </c>
      <c r="Z163" s="383">
        <f t="shared" si="62"/>
        <v>59.618236734217639</v>
      </c>
      <c r="AA163" s="384">
        <f t="shared" si="63"/>
        <v>64.816336699598082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8.0197373533649197E-2</v>
      </c>
      <c r="AD163" s="230">
        <f>(INDEX(Models!$BJ163:$BT163,,AH163)*(1-AF163)+INDEX(Models!$BJ163:$BT163,,AH163+1)*AF163-ERP_i)*AE163*Ramure*Pc/MaxiM</f>
        <v>5.5770700926855679E-4</v>
      </c>
      <c r="AE163" s="304">
        <f t="shared" si="65"/>
        <v>0.6</v>
      </c>
      <c r="AF163" s="177">
        <f t="shared" si="66"/>
        <v>0.18831820903657936</v>
      </c>
      <c r="AG163" s="799">
        <f t="shared" si="74"/>
        <v>3</v>
      </c>
      <c r="AH163" s="176">
        <f t="shared" si="67"/>
        <v>9</v>
      </c>
      <c r="AI163" s="224">
        <f t="shared" si="68"/>
        <v>3.1883182090365794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'2027'!Wh/'2027'!Env_an*'2028'!Env_an</f>
        <v>49.305780284017146</v>
      </c>
      <c r="C164" s="829"/>
      <c r="D164" s="391">
        <f t="shared" si="50"/>
        <v>52.646756624848862</v>
      </c>
      <c r="E164" s="383">
        <f t="shared" si="72"/>
        <v>55.030512631730403</v>
      </c>
      <c r="F164" s="383">
        <f t="shared" si="51"/>
        <v>55.033118862660743</v>
      </c>
      <c r="G164" s="110">
        <f t="shared" si="73"/>
        <v>0.85939101942962892</v>
      </c>
      <c r="H164" s="412" t="b">
        <f>Wh_hp&gt;='2027'!Maxi_hp</f>
        <v>0</v>
      </c>
      <c r="I164" s="388">
        <f>IF(H164,Wh_hp,'2027'!Maxi_hp)</f>
        <v>59.25879141798292</v>
      </c>
      <c r="J164" s="85">
        <f>IF(H164,An,'2027'!An_max)</f>
        <v>2020</v>
      </c>
      <c r="K164" s="197">
        <f t="shared" si="52"/>
        <v>46902</v>
      </c>
      <c r="L164" s="147">
        <f>IF(t&lt;Tvie,1-EXP((T0-t)*PertePVj)+'2027'!Pspv,1-EXP((T0-t)*PertePVj)+Pspv)</f>
        <v>6.3460250070842994E-2</v>
      </c>
      <c r="M164" s="832"/>
      <c r="N164" s="832"/>
      <c r="O164" s="48">
        <f>IF(t&lt;Tnet,'2027'!Resal+('2027'!Salim-'2027'!Resal)*(1-EXP(('2027'!Tnet-t)/('2027'!Tau_j))),Resal+(Salim-Resal)*(1-EXP((Tnet-t)/(Tau_j))))*Salcycl</f>
        <v>4.3316987120106835E-2</v>
      </c>
      <c r="P164" s="169">
        <f>(INDEX(Models!$BJ164:$BT164,,T164)*(1-R164)+INDEX(Models!$BJ164:$BT164,,T164+1)*R164-ERP_i)*Q164*Ramure*Pc/MaxiM</f>
        <v>5.9260236009961416E-5</v>
      </c>
      <c r="Q164" s="304">
        <f t="shared" si="53"/>
        <v>0.6</v>
      </c>
      <c r="R164" s="177">
        <f t="shared" si="54"/>
        <v>0.66819937160268861</v>
      </c>
      <c r="S164" s="799">
        <f t="shared" si="55"/>
        <v>-1</v>
      </c>
      <c r="T164" s="176">
        <f t="shared" si="56"/>
        <v>5</v>
      </c>
      <c r="U164" s="250">
        <f t="shared" si="57"/>
        <v>-0.33180062839731145</v>
      </c>
      <c r="V164" s="382">
        <f t="shared" si="58"/>
        <v>57.372246471999844</v>
      </c>
      <c r="W164" s="400">
        <f t="shared" si="59"/>
        <v>49.305780284017146</v>
      </c>
      <c r="X164" s="157">
        <f t="shared" si="60"/>
        <v>46902</v>
      </c>
      <c r="Y164" s="383">
        <f t="shared" si="61"/>
        <v>47.381669429562876</v>
      </c>
      <c r="Z164" s="383">
        <f t="shared" si="62"/>
        <v>50.592267368413339</v>
      </c>
      <c r="AA164" s="384">
        <f t="shared" si="63"/>
        <v>55.008729078760553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8.028656150233543E-2</v>
      </c>
      <c r="AD164" s="230">
        <f>(INDEX(Models!$BJ164:$BT164,,AH164)*(1-AF164)+INDEX(Models!$BJ164:$BT164,,AH164+1)*AF164-ERP_i)*AE164*Ramure*Pc/MaxiM</f>
        <v>5.5457263335082049E-4</v>
      </c>
      <c r="AE164" s="304">
        <f t="shared" si="65"/>
        <v>0.6</v>
      </c>
      <c r="AF164" s="177">
        <f t="shared" si="66"/>
        <v>0.19318693797666686</v>
      </c>
      <c r="AG164" s="799">
        <f t="shared" si="74"/>
        <v>3</v>
      </c>
      <c r="AH164" s="176">
        <f t="shared" si="67"/>
        <v>9</v>
      </c>
      <c r="AI164" s="224">
        <f t="shared" si="68"/>
        <v>3.1931869379766669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'2027'!Wh/'2027'!Env_an*'2028'!Env_an</f>
        <v>53.449464875884608</v>
      </c>
      <c r="C165" s="829"/>
      <c r="D165" s="391">
        <f t="shared" si="50"/>
        <v>57.072312463363239</v>
      </c>
      <c r="E165" s="383">
        <f t="shared" si="72"/>
        <v>59.662785069335357</v>
      </c>
      <c r="F165" s="383">
        <f t="shared" si="51"/>
        <v>59.66594521682503</v>
      </c>
      <c r="G165" s="110">
        <f t="shared" si="73"/>
        <v>0.93197367948786081</v>
      </c>
      <c r="H165" s="412" t="b">
        <f>Wh_hp&gt;='2027'!Maxi_hp</f>
        <v>0</v>
      </c>
      <c r="I165" s="388">
        <f>IF(H165,Wh_hp,'2027'!Maxi_hp)</f>
        <v>62.682352866116169</v>
      </c>
      <c r="J165" s="85">
        <f>IF(H165,An,'2027'!An_max)</f>
        <v>2018</v>
      </c>
      <c r="K165" s="197">
        <f t="shared" si="52"/>
        <v>46903</v>
      </c>
      <c r="L165" s="147">
        <f>IF(t&lt;Tvie,1-EXP((T0-t)*PertePVj)+'2027'!Pspv,1-EXP((T0-t)*PertePVj)+Pspv)</f>
        <v>6.347819864149129E-2</v>
      </c>
      <c r="M165" s="832"/>
      <c r="N165" s="832"/>
      <c r="O165" s="48">
        <f>IF(t&lt;Tnet,'2027'!Resal+('2027'!Salim-'2027'!Resal)*(1-EXP(('2027'!Tnet-t)/('2027'!Tau_j))),Resal+(Salim-Resal)*(1-EXP((Tnet-t)/(Tau_j))))*Salcycl</f>
        <v>4.3418566581524431E-2</v>
      </c>
      <c r="P165" s="169">
        <f>(INDEX(Models!$BJ165:$BT165,,T165)*(1-R165)+INDEX(Models!$BJ165:$BT165,,T165+1)*R165-ERP_i)*Q165*Ramure*Pc/MaxiM</f>
        <v>5.86646150286106E-5</v>
      </c>
      <c r="Q165" s="304">
        <f t="shared" si="53"/>
        <v>0.6</v>
      </c>
      <c r="R165" s="177">
        <f t="shared" si="54"/>
        <v>0.67311276815231524</v>
      </c>
      <c r="S165" s="799">
        <f t="shared" si="55"/>
        <v>-1</v>
      </c>
      <c r="T165" s="176">
        <f t="shared" si="56"/>
        <v>5</v>
      </c>
      <c r="U165" s="250">
        <f t="shared" si="57"/>
        <v>-0.32688723184768476</v>
      </c>
      <c r="V165" s="382">
        <f t="shared" si="58"/>
        <v>57.350503926917298</v>
      </c>
      <c r="W165" s="400">
        <f t="shared" si="59"/>
        <v>53.449464875884608</v>
      </c>
      <c r="X165" s="157">
        <f t="shared" si="60"/>
        <v>46903</v>
      </c>
      <c r="Y165" s="383">
        <f t="shared" si="61"/>
        <v>51.361614349271186</v>
      </c>
      <c r="Z165" s="383">
        <f t="shared" si="62"/>
        <v>54.84294575392326</v>
      </c>
      <c r="AA165" s="384">
        <f t="shared" si="63"/>
        <v>59.636231628967636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8.0375398379734231E-2</v>
      </c>
      <c r="AD165" s="230">
        <f>(INDEX(Models!$BJ165:$BT165,,AH165)*(1-AF165)+INDEX(Models!$BJ165:$BT165,,AH165+1)*AF165-ERP_i)*AE165*Ramure*Pc/MaxiM</f>
        <v>5.5159963212834343E-4</v>
      </c>
      <c r="AE165" s="304">
        <f t="shared" si="65"/>
        <v>0.6</v>
      </c>
      <c r="AF165" s="177">
        <f t="shared" si="66"/>
        <v>0.1981003345262935</v>
      </c>
      <c r="AG165" s="799">
        <f t="shared" si="74"/>
        <v>3</v>
      </c>
      <c r="AH165" s="176">
        <f t="shared" si="67"/>
        <v>9</v>
      </c>
      <c r="AI165" s="224">
        <f t="shared" si="68"/>
        <v>3.1981003345262935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'2027'!Wh/'2027'!Env_an*'2028'!Env_an</f>
        <v>54.464297064792007</v>
      </c>
      <c r="C166" s="829"/>
      <c r="D166" s="391">
        <f t="shared" si="50"/>
        <v>58.157045358279532</v>
      </c>
      <c r="E166" s="383">
        <f t="shared" si="72"/>
        <v>60.803196651584415</v>
      </c>
      <c r="F166" s="383">
        <f t="shared" si="51"/>
        <v>60.806476926734391</v>
      </c>
      <c r="G166" s="110">
        <f t="shared" si="73"/>
        <v>0.9500943290303645</v>
      </c>
      <c r="H166" s="412" t="b">
        <f>Wh_hp&gt;='2027'!Maxi_hp</f>
        <v>0</v>
      </c>
      <c r="I166" s="388">
        <f>IF(H166,Wh_hp,'2027'!Maxi_hp)</f>
        <v>63.124729427681508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6.3496146868159409E-2</v>
      </c>
      <c r="M166" s="832"/>
      <c r="N166" s="832"/>
      <c r="O166" s="48">
        <f>IF(t&lt;Tnet,'2027'!Resal+('2027'!Salim-'2027'!Resal)*(1-EXP(('2027'!Tnet-t)/('2027'!Tau_j))),Resal+(Salim-Resal)*(1-EXP((Tnet-t)/(Tau_j))))*Salcycl</f>
        <v>4.3519937092582575E-2</v>
      </c>
      <c r="P166" s="169">
        <f>(INDEX(Models!$BJ166:$BT166,,T166)*(1-R166)+INDEX(Models!$BJ166:$BT166,,T166+1)*R166-ERP_i)*Q166*Ramure*Pc/MaxiM</f>
        <v>5.8087069448969905E-5</v>
      </c>
      <c r="Q166" s="304">
        <f t="shared" si="53"/>
        <v>0.6</v>
      </c>
      <c r="R166" s="177">
        <f t="shared" si="54"/>
        <v>0.67806724622939751</v>
      </c>
      <c r="S166" s="799">
        <f t="shared" si="55"/>
        <v>-1</v>
      </c>
      <c r="T166" s="176">
        <f t="shared" si="56"/>
        <v>5</v>
      </c>
      <c r="U166" s="250">
        <f t="shared" si="57"/>
        <v>-0.32193275377060243</v>
      </c>
      <c r="V166" s="382">
        <f t="shared" si="58"/>
        <v>57.324909596908157</v>
      </c>
      <c r="W166" s="400">
        <f t="shared" si="59"/>
        <v>54.464297064792007</v>
      </c>
      <c r="X166" s="157">
        <f t="shared" si="60"/>
        <v>46904</v>
      </c>
      <c r="Y166" s="383">
        <f t="shared" si="61"/>
        <v>52.336759892675573</v>
      </c>
      <c r="Z166" s="383">
        <f t="shared" si="62"/>
        <v>55.885258472404416</v>
      </c>
      <c r="AA166" s="384">
        <f t="shared" si="63"/>
        <v>60.775485961896209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8.0463815502154395E-2</v>
      </c>
      <c r="AD166" s="230">
        <f>(INDEX(Models!$BJ166:$BT166,,AH166)*(1-AF166)+INDEX(Models!$BJ166:$BT166,,AH166+1)*AF166-ERP_i)*AE166*Ramure*Pc/MaxiM</f>
        <v>5.4878759998593606E-4</v>
      </c>
      <c r="AE166" s="304">
        <f t="shared" si="65"/>
        <v>0.6</v>
      </c>
      <c r="AF166" s="177">
        <f t="shared" si="66"/>
        <v>0.20305481260337599</v>
      </c>
      <c r="AG166" s="799">
        <f t="shared" si="74"/>
        <v>3</v>
      </c>
      <c r="AH166" s="176">
        <f t="shared" si="67"/>
        <v>9</v>
      </c>
      <c r="AI166" s="224">
        <f t="shared" si="68"/>
        <v>3.203054812603376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'2027'!Wh/'2027'!Env_an*'2028'!Env_an</f>
        <v>43.437696103165848</v>
      </c>
      <c r="C167" s="829"/>
      <c r="D167" s="391">
        <f t="shared" si="50"/>
        <v>46.383715824969649</v>
      </c>
      <c r="E167" s="383">
        <f t="shared" si="72"/>
        <v>48.499307049697549</v>
      </c>
      <c r="F167" s="383">
        <f t="shared" si="51"/>
        <v>48.501133135356824</v>
      </c>
      <c r="G167" s="110">
        <f t="shared" si="73"/>
        <v>0.75811467609962302</v>
      </c>
      <c r="H167" s="412" t="b">
        <f>Wh_hp&gt;='2027'!Maxi_hp</f>
        <v>0</v>
      </c>
      <c r="I167" s="388">
        <f>IF(H167,Wh_hp,'2027'!Maxi_hp)</f>
        <v>62.353294055215706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6.3514094750853789E-2</v>
      </c>
      <c r="M167" s="832"/>
      <c r="N167" s="832"/>
      <c r="O167" s="48">
        <f>IF(t&lt;Tnet,'2027'!Resal+('2027'!Salim-'2027'!Resal)*(1-EXP(('2027'!Tnet-t)/('2027'!Tau_j))),Resal+(Salim-Resal)*(1-EXP((Tnet-t)/(Tau_j))))*Salcycl</f>
        <v>4.3621060865055995E-2</v>
      </c>
      <c r="P167" s="169">
        <f>(INDEX(Models!$BJ167:$BT167,,T167)*(1-R167)+INDEX(Models!$BJ167:$BT167,,T167+1)*R167-ERP_i)*Q167*Ramure*Pc/MaxiM</f>
        <v>5.7527938199055059E-5</v>
      </c>
      <c r="Q167" s="304">
        <f t="shared" si="53"/>
        <v>0.6</v>
      </c>
      <c r="R167" s="177">
        <f t="shared" si="54"/>
        <v>0.68305908964381012</v>
      </c>
      <c r="S167" s="799">
        <f t="shared" si="55"/>
        <v>-1</v>
      </c>
      <c r="T167" s="176">
        <f t="shared" si="56"/>
        <v>5</v>
      </c>
      <c r="U167" s="250">
        <f t="shared" si="57"/>
        <v>-0.31694091035618988</v>
      </c>
      <c r="V167" s="382">
        <f t="shared" si="58"/>
        <v>57.295860381453977</v>
      </c>
      <c r="W167" s="400">
        <f t="shared" si="59"/>
        <v>43.437696103165848</v>
      </c>
      <c r="X167" s="157">
        <f t="shared" si="60"/>
        <v>46905</v>
      </c>
      <c r="Y167" s="383">
        <f t="shared" si="61"/>
        <v>41.7469897843919</v>
      </c>
      <c r="Z167" s="383">
        <f t="shared" si="62"/>
        <v>44.578342877766403</v>
      </c>
      <c r="AA167" s="384">
        <f t="shared" si="63"/>
        <v>48.483797347738253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8.0551744781064166E-2</v>
      </c>
      <c r="AD167" s="230">
        <f>(INDEX(Models!$BJ167:$BT167,,AH167)*(1-AF167)+INDEX(Models!$BJ167:$BT167,,AH167+1)*AF167-ERP_i)*AE167*Ramure*Pc/MaxiM</f>
        <v>5.4613654824483345E-4</v>
      </c>
      <c r="AE167" s="304">
        <f t="shared" si="65"/>
        <v>0.6</v>
      </c>
      <c r="AF167" s="177">
        <f t="shared" si="66"/>
        <v>0.20804665601778849</v>
      </c>
      <c r="AG167" s="799">
        <f t="shared" si="74"/>
        <v>3</v>
      </c>
      <c r="AH167" s="176">
        <f t="shared" si="67"/>
        <v>9</v>
      </c>
      <c r="AI167" s="224">
        <f t="shared" si="68"/>
        <v>3.2080466560177885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'2027'!Wh/'2027'!Env_an*'2028'!Env_an</f>
        <v>53.130443220637218</v>
      </c>
      <c r="C168" s="829"/>
      <c r="D168" s="391">
        <f t="shared" si="50"/>
        <v>56.734929137924212</v>
      </c>
      <c r="E168" s="383">
        <f t="shared" si="72"/>
        <v>59.328901457374911</v>
      </c>
      <c r="F168" s="383">
        <f t="shared" si="51"/>
        <v>59.331933994611688</v>
      </c>
      <c r="G168" s="110">
        <f t="shared" si="73"/>
        <v>0.92781433724790685</v>
      </c>
      <c r="H168" s="412" t="b">
        <f>Wh_hp&gt;='2027'!Maxi_hp</f>
        <v>0</v>
      </c>
      <c r="I168" s="388">
        <f>IF(H168,Wh_hp,'2027'!Maxi_hp)</f>
        <v>59.332247089379663</v>
      </c>
      <c r="J168" s="85">
        <f>IF(H168,An,'2027'!An_max)</f>
        <v>2026</v>
      </c>
      <c r="K168" s="197">
        <f t="shared" si="52"/>
        <v>46906</v>
      </c>
      <c r="L168" s="147">
        <f>IF(t&lt;Tvie,1-EXP((T0-t)*PertePVj)+'2027'!Pspv,1-EXP((T0-t)*PertePVj)+Pspv)</f>
        <v>6.3532042289581203E-2</v>
      </c>
      <c r="M168" s="832"/>
      <c r="N168" s="832"/>
      <c r="O168" s="48">
        <f>IF(t&lt;Tnet,'2027'!Resal+('2027'!Salim-'2027'!Resal)*(1-EXP(('2027'!Tnet-t)/('2027'!Tau_j))),Resal+(Salim-Resal)*(1-EXP((Tnet-t)/(Tau_j))))*Salcycl</f>
        <v>4.3721900384660672E-2</v>
      </c>
      <c r="P168" s="169">
        <f>(INDEX(Models!$BJ168:$BT168,,T168)*(1-R168)+INDEX(Models!$BJ168:$BT168,,T168+1)*R168-ERP_i)*Q168*Ramure*Pc/MaxiM</f>
        <v>5.6987640553518364E-5</v>
      </c>
      <c r="Q168" s="304">
        <f t="shared" si="53"/>
        <v>0.6</v>
      </c>
      <c r="R168" s="177">
        <f t="shared" si="54"/>
        <v>0.68808446242608201</v>
      </c>
      <c r="S168" s="799">
        <f t="shared" si="55"/>
        <v>-1</v>
      </c>
      <c r="T168" s="176">
        <f t="shared" si="56"/>
        <v>5</v>
      </c>
      <c r="U168" s="250">
        <f t="shared" si="57"/>
        <v>-0.31191553757391799</v>
      </c>
      <c r="V168" s="382">
        <f t="shared" si="58"/>
        <v>57.263752955291217</v>
      </c>
      <c r="W168" s="400">
        <f t="shared" si="59"/>
        <v>53.130443220637218</v>
      </c>
      <c r="X168" s="157">
        <f t="shared" si="60"/>
        <v>46906</v>
      </c>
      <c r="Y168" s="383">
        <f t="shared" si="61"/>
        <v>51.057040638319528</v>
      </c>
      <c r="Z168" s="383">
        <f t="shared" si="62"/>
        <v>54.520862372215561</v>
      </c>
      <c r="AA168" s="384">
        <f t="shared" si="63"/>
        <v>59.303004398619642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8.0639118960310063E-2</v>
      </c>
      <c r="AD168" s="230">
        <f>(INDEX(Models!$BJ168:$BT168,,AH168)*(1-AF168)+INDEX(Models!$BJ168:$BT168,,AH168+1)*AF168-ERP_i)*AE168*Ramure*Pc/MaxiM</f>
        <v>5.4364688346096178E-4</v>
      </c>
      <c r="AE168" s="304">
        <f t="shared" si="65"/>
        <v>0.6</v>
      </c>
      <c r="AF168" s="177">
        <f t="shared" si="66"/>
        <v>0.21307202880006049</v>
      </c>
      <c r="AG168" s="799">
        <f t="shared" si="74"/>
        <v>3</v>
      </c>
      <c r="AH168" s="176">
        <f t="shared" si="67"/>
        <v>9</v>
      </c>
      <c r="AI168" s="224">
        <f t="shared" si="68"/>
        <v>3.2130720288000605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'2027'!Wh/'2027'!Env_an*'2028'!Env_an</f>
        <v>25.328726860559577</v>
      </c>
      <c r="C169" s="829"/>
      <c r="D169" s="391">
        <f t="shared" si="50"/>
        <v>27.047601661739986</v>
      </c>
      <c r="E169" s="383">
        <f t="shared" si="72"/>
        <v>28.287215875582589</v>
      </c>
      <c r="F169" s="383">
        <f t="shared" si="51"/>
        <v>28.287541236344492</v>
      </c>
      <c r="G169" s="110">
        <f t="shared" si="73"/>
        <v>0.44256574700937951</v>
      </c>
      <c r="H169" s="412" t="b">
        <f>Wh_hp&gt;='2027'!Maxi_hp</f>
        <v>0</v>
      </c>
      <c r="I169" s="388">
        <f>IF(H169,Wh_hp,'2027'!Maxi_hp)</f>
        <v>57.206955445857666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6.354998948434798E-2</v>
      </c>
      <c r="M169" s="832"/>
      <c r="N169" s="832"/>
      <c r="O169" s="48">
        <f>IF(t&lt;Tnet,'2027'!Resal+('2027'!Salim-'2027'!Resal)*(1-EXP(('2027'!Tnet-t)/('2027'!Tau_j))),Resal+(Salim-Resal)*(1-EXP((Tnet-t)/(Tau_j))))*Salcycl</f>
        <v>4.3822418554546869E-2</v>
      </c>
      <c r="P169" s="169">
        <f>(INDEX(Models!$BJ169:$BT169,,T169)*(1-R169)+INDEX(Models!$BJ169:$BT169,,T169+1)*R169-ERP_i)*Q169*Ramure*Pc/MaxiM</f>
        <v>5.6466673350482845E-5</v>
      </c>
      <c r="Q169" s="304">
        <f t="shared" si="53"/>
        <v>0.6</v>
      </c>
      <c r="R169" s="177">
        <f t="shared" si="54"/>
        <v>0.6931394199557418</v>
      </c>
      <c r="S169" s="799">
        <f t="shared" si="55"/>
        <v>-1</v>
      </c>
      <c r="T169" s="176">
        <f t="shared" si="56"/>
        <v>5</v>
      </c>
      <c r="U169" s="250">
        <f t="shared" si="57"/>
        <v>-0.3068605800442582</v>
      </c>
      <c r="V169" s="382">
        <f t="shared" si="58"/>
        <v>57.22898375757368</v>
      </c>
      <c r="W169" s="400">
        <f t="shared" si="59"/>
        <v>25.328726860559577</v>
      </c>
      <c r="X169" s="157">
        <f t="shared" si="60"/>
        <v>46907</v>
      </c>
      <c r="Y169" s="383">
        <f t="shared" si="61"/>
        <v>24.348765501275402</v>
      </c>
      <c r="Z169" s="383">
        <f t="shared" si="62"/>
        <v>26.001137517066034</v>
      </c>
      <c r="AA169" s="384">
        <f t="shared" si="63"/>
        <v>28.284422156061868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8.072587187383938E-2</v>
      </c>
      <c r="AD169" s="230">
        <f>(INDEX(Models!$BJ169:$BT169,,AH169)*(1-AF169)+INDEX(Models!$BJ169:$BT169,,AH169+1)*AF169-ERP_i)*AE169*Ramure*Pc/MaxiM</f>
        <v>5.4131938480148122E-4</v>
      </c>
      <c r="AE169" s="304">
        <f t="shared" si="65"/>
        <v>0.6</v>
      </c>
      <c r="AF169" s="177">
        <f t="shared" si="66"/>
        <v>0.21812698632972038</v>
      </c>
      <c r="AG169" s="799">
        <f t="shared" si="74"/>
        <v>3</v>
      </c>
      <c r="AH169" s="176">
        <f t="shared" si="67"/>
        <v>9</v>
      </c>
      <c r="AI169" s="224">
        <f t="shared" si="68"/>
        <v>3.2181269863297204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'2027'!Wh/'2027'!Env_an*'2028'!Env_an</f>
        <v>34.901833493330933</v>
      </c>
      <c r="C170" s="829"/>
      <c r="D170" s="391">
        <f t="shared" si="50"/>
        <v>37.271079075120973</v>
      </c>
      <c r="E170" s="383">
        <f t="shared" ref="E170:E232" si="75">Wh_pvt/(1-Psa)</f>
        <v>38.98332734379143</v>
      </c>
      <c r="F170" s="383">
        <f t="shared" si="51"/>
        <v>38.984295137915751</v>
      </c>
      <c r="G170" s="110">
        <f t="shared" ref="G170:G232" si="76">+Wh_hp/MaxiM</f>
        <v>0.61023880506618589</v>
      </c>
      <c r="H170" s="412" t="b">
        <f>Wh_hp&gt;='2027'!Maxi_hp</f>
        <v>0</v>
      </c>
      <c r="I170" s="388">
        <f>IF(H170,Wh_hp,'2027'!Maxi_hp)</f>
        <v>45.501902889660293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6.3567936335161002E-2</v>
      </c>
      <c r="M170" s="832"/>
      <c r="N170" s="832"/>
      <c r="O170" s="48">
        <f>IF(t&lt;Tnet,'2027'!Resal+('2027'!Salim-'2027'!Resal)*(1-EXP(('2027'!Tnet-t)/('2027'!Tau_j))),Resal+(Salim-Resal)*(1-EXP((Tnet-t)/(Tau_j))))*Salcycl</f>
        <v>4.3922578839159919E-2</v>
      </c>
      <c r="P170" s="169">
        <f>(INDEX(Models!$BJ170:$BT170,,T170)*(1-R170)+INDEX(Models!$BJ170:$BT170,,T170+1)*R170-ERP_i)*Q170*Ramure*Pc/MaxiM</f>
        <v>5.6010387211151591E-5</v>
      </c>
      <c r="Q170" s="304">
        <f t="shared" si="53"/>
        <v>0.6</v>
      </c>
      <c r="R170" s="177">
        <f t="shared" si="54"/>
        <v>0.69821992082601381</v>
      </c>
      <c r="S170" s="799">
        <f t="shared" si="55"/>
        <v>-1</v>
      </c>
      <c r="T170" s="176">
        <f t="shared" si="56"/>
        <v>5</v>
      </c>
      <c r="U170" s="250">
        <f t="shared" si="57"/>
        <v>-0.30178007917398619</v>
      </c>
      <c r="V170" s="382">
        <f t="shared" si="58"/>
        <v>57.191946427248482</v>
      </c>
      <c r="W170" s="400">
        <f t="shared" si="59"/>
        <v>34.901833493330933</v>
      </c>
      <c r="X170" s="157">
        <f t="shared" si="60"/>
        <v>46908</v>
      </c>
      <c r="Y170" s="383">
        <f t="shared" si="61"/>
        <v>33.547989003010038</v>
      </c>
      <c r="Z170" s="383">
        <f t="shared" si="62"/>
        <v>35.825331387859535</v>
      </c>
      <c r="AA170" s="384">
        <f t="shared" si="63"/>
        <v>38.974974650214584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8.0811938702254116E-2</v>
      </c>
      <c r="AD170" s="230">
        <f>(INDEX(Models!$BJ170:$BT170,,AH170)*(1-AF170)+INDEX(Models!$BJ170:$BT170,,AH170+1)*AF170-ERP_i)*AE170*Ramure*Pc/MaxiM</f>
        <v>5.3941650607333626E-4</v>
      </c>
      <c r="AE170" s="304">
        <f t="shared" si="65"/>
        <v>0.6</v>
      </c>
      <c r="AF170" s="177">
        <f t="shared" si="66"/>
        <v>0.22320748719999228</v>
      </c>
      <c r="AG170" s="799">
        <f t="shared" si="74"/>
        <v>3</v>
      </c>
      <c r="AH170" s="176">
        <f t="shared" si="67"/>
        <v>9</v>
      </c>
      <c r="AI170" s="224">
        <f t="shared" si="68"/>
        <v>3.2232074871999923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'2027'!Wh/'2027'!Env_an*'2028'!Env_an</f>
        <v>45.525977423144226</v>
      </c>
      <c r="C171" s="829"/>
      <c r="D171" s="391">
        <f t="shared" si="50"/>
        <v>48.617354852910637</v>
      </c>
      <c r="E171" s="383">
        <f t="shared" si="75"/>
        <v>50.85616240019349</v>
      </c>
      <c r="F171" s="383">
        <f t="shared" si="51"/>
        <v>50.858167540111033</v>
      </c>
      <c r="G171" s="110">
        <f t="shared" si="76"/>
        <v>0.79654980091491823</v>
      </c>
      <c r="H171" s="412" t="b">
        <f>Wh_hp&gt;='2027'!Maxi_hp</f>
        <v>0</v>
      </c>
      <c r="I171" s="388">
        <f>IF(H171,Wh_hp,'2027'!Maxi_hp)</f>
        <v>58.87079114151684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6.3585882842026598E-2</v>
      </c>
      <c r="M171" s="832"/>
      <c r="N171" s="832"/>
      <c r="O171" s="48">
        <f>IF(t&lt;Tnet,'2027'!Resal+('2027'!Salim-'2027'!Resal)*(1-EXP(('2027'!Tnet-t)/('2027'!Tau_j))),Resal+(Salim-Resal)*(1-EXP((Tnet-t)/(Tau_j))))*Salcycl</f>
        <v>4.4022345407531936E-2</v>
      </c>
      <c r="P171" s="169">
        <f>(INDEX(Models!$BJ171:$BT171,,T171)*(1-R171)+INDEX(Models!$BJ171:$BT171,,T171+1)*R171-ERP_i)*Q171*Ramure*Pc/MaxiM</f>
        <v>5.5578644286066144E-5</v>
      </c>
      <c r="Q171" s="304">
        <f t="shared" si="53"/>
        <v>0.6</v>
      </c>
      <c r="R171" s="177">
        <f t="shared" si="54"/>
        <v>0.70332183937315373</v>
      </c>
      <c r="S171" s="799">
        <f t="shared" si="55"/>
        <v>-1</v>
      </c>
      <c r="T171" s="176">
        <f t="shared" si="56"/>
        <v>5</v>
      </c>
      <c r="U171" s="250">
        <f t="shared" si="57"/>
        <v>-0.29667816062684627</v>
      </c>
      <c r="V171" s="382">
        <f t="shared" si="58"/>
        <v>57.1530392476865</v>
      </c>
      <c r="W171" s="400">
        <f t="shared" si="59"/>
        <v>45.525977423144226</v>
      </c>
      <c r="X171" s="157">
        <f t="shared" si="60"/>
        <v>46909</v>
      </c>
      <c r="Y171" s="383">
        <f t="shared" si="61"/>
        <v>43.754934409596189</v>
      </c>
      <c r="Z171" s="383">
        <f t="shared" si="62"/>
        <v>46.726051655855926</v>
      </c>
      <c r="AA171" s="384">
        <f t="shared" si="63"/>
        <v>50.838768540735352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8.0897256226496642E-2</v>
      </c>
      <c r="AD171" s="230">
        <f>(INDEX(Models!$BJ171:$BT171,,AH171)*(1-AF171)+INDEX(Models!$BJ171:$BT171,,AH171+1)*AF171-ERP_i)*AE171*Ramure*Pc/MaxiM</f>
        <v>5.3770316793130314E-4</v>
      </c>
      <c r="AE171" s="304">
        <f t="shared" si="65"/>
        <v>0.6</v>
      </c>
      <c r="AF171" s="177">
        <f t="shared" si="66"/>
        <v>0.22830940574713221</v>
      </c>
      <c r="AG171" s="799">
        <f t="shared" si="74"/>
        <v>3</v>
      </c>
      <c r="AH171" s="176">
        <f t="shared" si="67"/>
        <v>9</v>
      </c>
      <c r="AI171" s="224">
        <f t="shared" si="68"/>
        <v>3.2283094057471322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'2027'!Wh/'2027'!Env_an*'2028'!Env_an</f>
        <v>27.616375523440123</v>
      </c>
      <c r="C172" s="829"/>
      <c r="D172" s="391">
        <f t="shared" si="50"/>
        <v>29.492191850906398</v>
      </c>
      <c r="E172" s="383">
        <f t="shared" si="75"/>
        <v>30.85350021533408</v>
      </c>
      <c r="F172" s="383">
        <f t="shared" si="51"/>
        <v>30.853946559930321</v>
      </c>
      <c r="G172" s="110">
        <f t="shared" si="76"/>
        <v>0.48352243391968286</v>
      </c>
      <c r="H172" s="412" t="b">
        <f>Wh_hp&gt;='2027'!Maxi_hp</f>
        <v>0</v>
      </c>
      <c r="I172" s="388">
        <f>IF(H172,Wh_hp,'2027'!Maxi_hp)</f>
        <v>52.613805955532094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6.360382900495154E-2</v>
      </c>
      <c r="M172" s="832"/>
      <c r="N172" s="832"/>
      <c r="O172" s="48">
        <f>IF(t&lt;Tnet,'2027'!Resal+('2027'!Salim-'2027'!Resal)*(1-EXP(('2027'!Tnet-t)/('2027'!Tau_j))),Resal+(Salim-Resal)*(1-EXP((Tnet-t)/(Tau_j))))*Salcycl</f>
        <v>4.4121683275050887E-2</v>
      </c>
      <c r="P172" s="169">
        <f>(INDEX(Models!$BJ172:$BT172,,T172)*(1-R172)+INDEX(Models!$BJ172:$BT172,,T172+1)*R172-ERP_i)*Q172*Ramure*Pc/MaxiM</f>
        <v>5.5172398074893225E-5</v>
      </c>
      <c r="Q172" s="304">
        <f t="shared" si="53"/>
        <v>0.6</v>
      </c>
      <c r="R172" s="177">
        <f t="shared" si="54"/>
        <v>0.70844097879097978</v>
      </c>
      <c r="S172" s="799">
        <f t="shared" si="55"/>
        <v>-1</v>
      </c>
      <c r="T172" s="176">
        <f t="shared" si="56"/>
        <v>5</v>
      </c>
      <c r="U172" s="250">
        <f t="shared" si="57"/>
        <v>-0.29155902120902027</v>
      </c>
      <c r="V172" s="382">
        <f t="shared" si="58"/>
        <v>57.112657897477575</v>
      </c>
      <c r="W172" s="400">
        <f t="shared" si="59"/>
        <v>27.616375523440123</v>
      </c>
      <c r="X172" s="157">
        <f t="shared" si="60"/>
        <v>46910</v>
      </c>
      <c r="Y172" s="383">
        <f t="shared" si="61"/>
        <v>26.548098518676564</v>
      </c>
      <c r="Z172" s="383">
        <f t="shared" si="62"/>
        <v>28.351353135570381</v>
      </c>
      <c r="AA172" s="384">
        <f t="shared" si="63"/>
        <v>30.849608850519864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8.0981763076953331E-2</v>
      </c>
      <c r="AD172" s="230">
        <f>(INDEX(Models!$BJ172:$BT172,,AH172)*(1-AF172)+INDEX(Models!$BJ172:$BT172,,AH172+1)*AF172-ERP_i)*AE172*Ramure*Pc/MaxiM</f>
        <v>5.3618175809025945E-4</v>
      </c>
      <c r="AE172" s="304">
        <f t="shared" si="65"/>
        <v>0.6</v>
      </c>
      <c r="AF172" s="177">
        <f t="shared" si="66"/>
        <v>0.23342854516495803</v>
      </c>
      <c r="AG172" s="799">
        <f t="shared" si="74"/>
        <v>3</v>
      </c>
      <c r="AH172" s="176">
        <f t="shared" si="67"/>
        <v>9</v>
      </c>
      <c r="AI172" s="224">
        <f t="shared" si="68"/>
        <v>3.233428545164958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'2027'!Wh/'2027'!Env_an*'2028'!Env_an</f>
        <v>20.588722341316441</v>
      </c>
      <c r="C173" s="829"/>
      <c r="D173" s="391">
        <f t="shared" si="50"/>
        <v>21.987613325208788</v>
      </c>
      <c r="E173" s="383">
        <f t="shared" si="75"/>
        <v>23.004902981993741</v>
      </c>
      <c r="F173" s="383">
        <f t="shared" si="51"/>
        <v>23.005012384982479</v>
      </c>
      <c r="G173" s="110">
        <f t="shared" si="76"/>
        <v>0.36073699054634634</v>
      </c>
      <c r="H173" s="412" t="b">
        <f>Wh_hp&gt;='2027'!Maxi_hp</f>
        <v>0</v>
      </c>
      <c r="I173" s="388">
        <f>IF(H173,Wh_hp,'2027'!Maxi_hp)</f>
        <v>63.747853574878313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6.3621774823942379E-2</v>
      </c>
      <c r="M173" s="832"/>
      <c r="N173" s="832"/>
      <c r="O173" s="48">
        <f>IF(t&lt;Tnet,'2027'!Resal+('2027'!Salim-'2027'!Resal)*(1-EXP(('2027'!Tnet-t)/('2027'!Tau_j))),Resal+(Salim-Resal)*(1-EXP((Tnet-t)/(Tau_j))))*Salcycl</f>
        <v>4.4220558442745903E-2</v>
      </c>
      <c r="P173" s="169">
        <f>(INDEX(Models!$BJ173:$BT173,,T173)*(1-R173)+INDEX(Models!$BJ173:$BT173,,T173+1)*R173-ERP_i)*Q173*Ramure*Pc/MaxiM</f>
        <v>5.4792665924240467E-5</v>
      </c>
      <c r="Q173" s="304">
        <f t="shared" si="53"/>
        <v>0.6</v>
      </c>
      <c r="R173" s="177">
        <f t="shared" si="54"/>
        <v>0.71357308474424619</v>
      </c>
      <c r="S173" s="799">
        <f t="shared" si="55"/>
        <v>-1</v>
      </c>
      <c r="T173" s="176">
        <f t="shared" si="56"/>
        <v>5</v>
      </c>
      <c r="U173" s="250">
        <f t="shared" si="57"/>
        <v>-0.28642691525575381</v>
      </c>
      <c r="V173" s="382">
        <f t="shared" si="58"/>
        <v>57.071197789542857</v>
      </c>
      <c r="W173" s="400">
        <f t="shared" si="59"/>
        <v>20.588722341316441</v>
      </c>
      <c r="X173" s="157">
        <f t="shared" si="60"/>
        <v>46911</v>
      </c>
      <c r="Y173" s="383">
        <f t="shared" si="61"/>
        <v>19.794212132575588</v>
      </c>
      <c r="Z173" s="383">
        <f t="shared" si="62"/>
        <v>21.139120496799126</v>
      </c>
      <c r="AA173" s="384">
        <f t="shared" si="63"/>
        <v>23.003944455082127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8.1065399976264302E-2</v>
      </c>
      <c r="AD173" s="230">
        <f>(INDEX(Models!$BJ173:$BT173,,AH173)*(1-AF173)+INDEX(Models!$BJ173:$BT173,,AH173+1)*AF173-ERP_i)*AE173*Ramure*Pc/MaxiM</f>
        <v>5.3485491516543928E-4</v>
      </c>
      <c r="AE173" s="304">
        <f t="shared" si="65"/>
        <v>0.6</v>
      </c>
      <c r="AF173" s="177">
        <f t="shared" si="66"/>
        <v>0.23856065111822478</v>
      </c>
      <c r="AG173" s="799">
        <f t="shared" si="74"/>
        <v>3</v>
      </c>
      <c r="AH173" s="176">
        <f t="shared" si="67"/>
        <v>9</v>
      </c>
      <c r="AI173" s="224">
        <f t="shared" si="68"/>
        <v>3.2385606511182248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'2027'!Wh/'2027'!Env_an*'2028'!Env_an</f>
        <v>44.8565401814162</v>
      </c>
      <c r="C174" s="829"/>
      <c r="D174" s="391">
        <f t="shared" si="50"/>
        <v>47.905214642103495</v>
      </c>
      <c r="E174" s="383">
        <f t="shared" si="75"/>
        <v>50.126780312576805</v>
      </c>
      <c r="F174" s="383">
        <f t="shared" si="51"/>
        <v>50.128677207433306</v>
      </c>
      <c r="G174" s="110">
        <f t="shared" si="76"/>
        <v>0.78654286429564069</v>
      </c>
      <c r="H174" s="412" t="b">
        <f>Wh_hp&gt;='2027'!Maxi_hp</f>
        <v>0</v>
      </c>
      <c r="I174" s="388">
        <f>IF(H174,Wh_hp,'2027'!Maxi_hp)</f>
        <v>60.451525350346095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6.3639720299005664E-2</v>
      </c>
      <c r="M174" s="832"/>
      <c r="N174" s="832"/>
      <c r="O174" s="48">
        <f>IF(t&lt;Tnet,'2027'!Resal+('2027'!Salim-'2027'!Resal)*(1-EXP(('2027'!Tnet-t)/('2027'!Tau_j))),Resal+(Salim-Resal)*(1-EXP((Tnet-t)/(Tau_j))))*Salcycl</f>
        <v>4.4318938033127891E-2</v>
      </c>
      <c r="P174" s="169">
        <f>(INDEX(Models!$BJ174:$BT174,,T174)*(1-R174)+INDEX(Models!$BJ174:$BT174,,T174+1)*R174-ERP_i)*Q174*Ramure*Pc/MaxiM</f>
        <v>5.4440523385390434E-5</v>
      </c>
      <c r="Q174" s="304">
        <f t="shared" si="53"/>
        <v>0.6</v>
      </c>
      <c r="R174" s="177">
        <f t="shared" si="54"/>
        <v>0.71871385938855203</v>
      </c>
      <c r="S174" s="799">
        <f t="shared" si="55"/>
        <v>-1</v>
      </c>
      <c r="T174" s="176">
        <f t="shared" si="56"/>
        <v>5</v>
      </c>
      <c r="U174" s="250">
        <f t="shared" si="57"/>
        <v>-0.28128614061144791</v>
      </c>
      <c r="V174" s="382">
        <f t="shared" si="58"/>
        <v>57.029054067345633</v>
      </c>
      <c r="W174" s="400">
        <f t="shared" si="59"/>
        <v>44.8565401814162</v>
      </c>
      <c r="X174" s="157">
        <f t="shared" si="60"/>
        <v>46912</v>
      </c>
      <c r="Y174" s="383">
        <f t="shared" si="61"/>
        <v>43.113531197779992</v>
      </c>
      <c r="Z174" s="383">
        <f t="shared" si="62"/>
        <v>46.043742064269672</v>
      </c>
      <c r="AA174" s="384">
        <f t="shared" si="63"/>
        <v>50.110080377561196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8.1148109974143873E-2</v>
      </c>
      <c r="AD174" s="230">
        <f>(INDEX(Models!$BJ174:$BT174,,AH174)*(1-AF174)+INDEX(Models!$BJ174:$BT174,,AH174+1)*AF174-ERP_i)*AE174*Ramure*Pc/MaxiM</f>
        <v>5.3372549779332813E-4</v>
      </c>
      <c r="AE174" s="304">
        <f t="shared" si="65"/>
        <v>0.6</v>
      </c>
      <c r="AF174" s="177">
        <f t="shared" si="66"/>
        <v>0.24370142576253073</v>
      </c>
      <c r="AG174" s="799">
        <f t="shared" si="74"/>
        <v>3</v>
      </c>
      <c r="AH174" s="176">
        <f t="shared" si="67"/>
        <v>9</v>
      </c>
      <c r="AI174" s="224">
        <f t="shared" si="68"/>
        <v>3.2437014257625307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'2027'!Wh/'2027'!Env_an*'2028'!Env_an</f>
        <v>55.959531152967799</v>
      </c>
      <c r="C175" s="829"/>
      <c r="D175" s="391">
        <f t="shared" si="50"/>
        <v>59.763965685344296</v>
      </c>
      <c r="E175" s="383">
        <f t="shared" si="75"/>
        <v>62.541875041645028</v>
      </c>
      <c r="F175" s="383">
        <f t="shared" si="51"/>
        <v>62.545172655167136</v>
      </c>
      <c r="G175" s="110">
        <f t="shared" si="76"/>
        <v>0.98197527080496805</v>
      </c>
      <c r="H175" s="412" t="b">
        <f>Wh_hp&gt;='2027'!Maxi_hp</f>
        <v>0</v>
      </c>
      <c r="I175" s="388">
        <f>IF(H175,Wh_hp,'2027'!Maxi_hp)</f>
        <v>62.545249956191086</v>
      </c>
      <c r="J175" s="85">
        <f>IF(H175,An,'2027'!An_max)</f>
        <v>2026</v>
      </c>
      <c r="K175" s="197">
        <f t="shared" si="52"/>
        <v>46913</v>
      </c>
      <c r="L175" s="147">
        <f>IF(t&lt;Tvie,1-EXP((T0-t)*PertePVj)+'2027'!Pspv,1-EXP((T0-t)*PertePVj)+Pspv)</f>
        <v>6.3657665430148058E-2</v>
      </c>
      <c r="M175" s="832"/>
      <c r="N175" s="832"/>
      <c r="O175" s="48">
        <f>IF(t&lt;Tnet,'2027'!Resal+('2027'!Salim-'2027'!Resal)*(1-EXP(('2027'!Tnet-t)/('2027'!Tau_j))),Resal+(Salim-Resal)*(1-EXP((Tnet-t)/(Tau_j))))*Salcycl</f>
        <v>4.4416790421633344E-2</v>
      </c>
      <c r="P175" s="169">
        <f>(INDEX(Models!$BJ175:$BT175,,T175)*(1-R175)+INDEX(Models!$BJ175:$BT175,,T175+1)*R175-ERP_i)*Q175*Ramure*Pc/MaxiM</f>
        <v>5.4117098189756893E-5</v>
      </c>
      <c r="Q175" s="304">
        <f t="shared" si="53"/>
        <v>0.6</v>
      </c>
      <c r="R175" s="177">
        <f t="shared" si="54"/>
        <v>0.72385897569956359</v>
      </c>
      <c r="S175" s="799">
        <f t="shared" si="55"/>
        <v>-1</v>
      </c>
      <c r="T175" s="176">
        <f t="shared" si="56"/>
        <v>5</v>
      </c>
      <c r="U175" s="250">
        <f t="shared" si="57"/>
        <v>-0.27614102430043641</v>
      </c>
      <c r="V175" s="382">
        <f t="shared" si="58"/>
        <v>56.986621597521349</v>
      </c>
      <c r="W175" s="400">
        <f t="shared" si="59"/>
        <v>55.959531152967799</v>
      </c>
      <c r="X175" s="157">
        <f t="shared" si="60"/>
        <v>46913</v>
      </c>
      <c r="Y175" s="383">
        <f t="shared" si="61"/>
        <v>53.778643822969322</v>
      </c>
      <c r="Z175" s="383">
        <f t="shared" si="62"/>
        <v>57.434809724452748</v>
      </c>
      <c r="AA175" s="384">
        <f t="shared" si="63"/>
        <v>62.512706813932894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8.1229838672549376E-2</v>
      </c>
      <c r="AD175" s="230">
        <f>(INDEX(Models!$BJ175:$BT175,,AH175)*(1-AF175)+INDEX(Models!$BJ175:$BT175,,AH175+1)*AF175-ERP_i)*AE175*Ramure*Pc/MaxiM</f>
        <v>5.3279655305496141E-4</v>
      </c>
      <c r="AE175" s="304">
        <f t="shared" si="65"/>
        <v>0.6</v>
      </c>
      <c r="AF175" s="177">
        <f t="shared" si="66"/>
        <v>0.24884654207354195</v>
      </c>
      <c r="AG175" s="799">
        <f t="shared" si="74"/>
        <v>3</v>
      </c>
      <c r="AH175" s="176">
        <f t="shared" si="67"/>
        <v>9</v>
      </c>
      <c r="AI175" s="224">
        <f t="shared" si="68"/>
        <v>3.248846542073542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'2027'!Wh/'2027'!Env_an*'2028'!Env_an</f>
        <v>54.077550326726701</v>
      </c>
      <c r="C176" s="829"/>
      <c r="D176" s="391">
        <f t="shared" si="50"/>
        <v>57.755144388881384</v>
      </c>
      <c r="E176" s="383">
        <f t="shared" si="75"/>
        <v>60.445835468759739</v>
      </c>
      <c r="F176" s="383">
        <f t="shared" si="51"/>
        <v>60.448855049424481</v>
      </c>
      <c r="G176" s="110">
        <f t="shared" si="76"/>
        <v>0.94965335894934266</v>
      </c>
      <c r="H176" s="412" t="b">
        <f>Wh_hp&gt;='2027'!Maxi_hp</f>
        <v>0</v>
      </c>
      <c r="I176" s="388">
        <f>IF(H176,Wh_hp,'2027'!Maxi_hp)</f>
        <v>60.44906226365989</v>
      </c>
      <c r="J176" s="85">
        <f>IF(H176,An,'2027'!An_max)</f>
        <v>2026</v>
      </c>
      <c r="K176" s="197">
        <f t="shared" si="52"/>
        <v>46914</v>
      </c>
      <c r="L176" s="147">
        <f>IF(t&lt;Tvie,1-EXP((T0-t)*PertePVj)+'2027'!Pspv,1-EXP((T0-t)*PertePVj)+Pspv)</f>
        <v>6.3675610217376E-2</v>
      </c>
      <c r="M176" s="832"/>
      <c r="N176" s="832"/>
      <c r="O176" s="48">
        <f>IF(t&lt;Tnet,'2027'!Resal+('2027'!Salim-'2027'!Resal)*(1-EXP(('2027'!Tnet-t)/('2027'!Tau_j))),Resal+(Salim-Resal)*(1-EXP((Tnet-t)/(Tau_j))))*Salcycl</f>
        <v>4.4514085362737432E-2</v>
      </c>
      <c r="P176" s="169">
        <f>(INDEX(Models!$BJ176:$BT176,,T176)*(1-R176)+INDEX(Models!$BJ176:$BT176,,T176+1)*R176-ERP_i)*Q176*Ramure*Pc/MaxiM</f>
        <v>5.3823563856174482E-5</v>
      </c>
      <c r="Q176" s="304">
        <f t="shared" si="53"/>
        <v>0.6</v>
      </c>
      <c r="R176" s="177">
        <f t="shared" si="54"/>
        <v>0.72900409201057514</v>
      </c>
      <c r="S176" s="799">
        <f t="shared" si="55"/>
        <v>-1</v>
      </c>
      <c r="T176" s="176">
        <f t="shared" si="56"/>
        <v>5</v>
      </c>
      <c r="U176" s="250">
        <f t="shared" si="57"/>
        <v>-0.27099590798942486</v>
      </c>
      <c r="V176" s="382">
        <f t="shared" si="58"/>
        <v>56.94429496538379</v>
      </c>
      <c r="W176" s="400">
        <f t="shared" si="59"/>
        <v>54.077550326726701</v>
      </c>
      <c r="X176" s="157">
        <f t="shared" si="60"/>
        <v>46914</v>
      </c>
      <c r="Y176" s="383">
        <f t="shared" si="61"/>
        <v>51.97190573439493</v>
      </c>
      <c r="Z176" s="383">
        <f t="shared" si="62"/>
        <v>55.506303479353633</v>
      </c>
      <c r="AA176" s="384">
        <f t="shared" si="63"/>
        <v>60.419005072071634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8.1310534439582707E-2</v>
      </c>
      <c r="AD176" s="230">
        <f>(INDEX(Models!$BJ176:$BT176,,AH176)*(1-AF176)+INDEX(Models!$BJ176:$BT176,,AH176+1)*AF176-ERP_i)*AE176*Ramure*Pc/MaxiM</f>
        <v>5.3207128424054978E-4</v>
      </c>
      <c r="AE176" s="304">
        <f t="shared" si="65"/>
        <v>0.6</v>
      </c>
      <c r="AF176" s="177">
        <f t="shared" si="66"/>
        <v>0.25399165838455362</v>
      </c>
      <c r="AG176" s="799">
        <f t="shared" si="74"/>
        <v>3</v>
      </c>
      <c r="AH176" s="176">
        <f t="shared" si="67"/>
        <v>9</v>
      </c>
      <c r="AI176" s="224">
        <f t="shared" si="68"/>
        <v>3.2539916583845536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'2027'!Wh/'2027'!Env_an*'2028'!Env_an</f>
        <v>41.977613294937846</v>
      </c>
      <c r="C177" s="829"/>
      <c r="D177" s="391">
        <f t="shared" si="50"/>
        <v>44.833199113272983</v>
      </c>
      <c r="E177" s="383">
        <f t="shared" si="75"/>
        <v>46.926633498543879</v>
      </c>
      <c r="F177" s="383">
        <f t="shared" si="51"/>
        <v>46.92820528622228</v>
      </c>
      <c r="G177" s="110">
        <f t="shared" si="76"/>
        <v>0.73770956381299357</v>
      </c>
      <c r="H177" s="412" t="b">
        <f>Wh_hp&gt;='2027'!Maxi_hp</f>
        <v>0</v>
      </c>
      <c r="I177" s="388">
        <f>IF(H177,Wh_hp,'2027'!Maxi_hp)</f>
        <v>56.41651381708197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6.3693554660696372E-2</v>
      </c>
      <c r="M177" s="832"/>
      <c r="N177" s="832"/>
      <c r="O177" s="48">
        <f>IF(t&lt;Tnet,'2027'!Resal+('2027'!Salim-'2027'!Resal)*(1-EXP(('2027'!Tnet-t)/('2027'!Tau_j))),Resal+(Salim-Resal)*(1-EXP((Tnet-t)/(Tau_j))))*Salcycl</f>
        <v>4.4610794109827948E-2</v>
      </c>
      <c r="P177" s="169">
        <f>(INDEX(Models!$BJ177:$BT177,,T177)*(1-R177)+INDEX(Models!$BJ177:$BT177,,T177+1)*R177-ERP_i)*Q177*Ramure*Pc/MaxiM</f>
        <v>5.3562057174306041E-5</v>
      </c>
      <c r="Q177" s="304">
        <f t="shared" si="53"/>
        <v>0.6</v>
      </c>
      <c r="R177" s="177">
        <f t="shared" si="54"/>
        <v>0.7341448666548811</v>
      </c>
      <c r="S177" s="799">
        <f t="shared" si="55"/>
        <v>-1</v>
      </c>
      <c r="T177" s="176">
        <f t="shared" si="56"/>
        <v>5</v>
      </c>
      <c r="U177" s="250">
        <f t="shared" si="57"/>
        <v>-0.26585513334511895</v>
      </c>
      <c r="V177" s="382">
        <f t="shared" si="58"/>
        <v>56.901486565643211</v>
      </c>
      <c r="W177" s="400">
        <f t="shared" si="59"/>
        <v>41.977613294937846</v>
      </c>
      <c r="X177" s="157">
        <f t="shared" si="60"/>
        <v>46915</v>
      </c>
      <c r="Y177" s="383">
        <f t="shared" si="61"/>
        <v>40.349548081729907</v>
      </c>
      <c r="Z177" s="383">
        <f t="shared" si="62"/>
        <v>43.09438248831858</v>
      </c>
      <c r="AA177" s="384">
        <f t="shared" si="63"/>
        <v>46.912606503334217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8.1390148610571617E-2</v>
      </c>
      <c r="AD177" s="230">
        <f>(INDEX(Models!$BJ177:$BT177,,AH177)*(1-AF177)+INDEX(Models!$BJ177:$BT177,,AH177+1)*AF177-ERP_i)*AE177*Ramure*Pc/MaxiM</f>
        <v>5.3156219022491629E-4</v>
      </c>
      <c r="AE177" s="304">
        <f t="shared" si="65"/>
        <v>0.6</v>
      </c>
      <c r="AF177" s="177">
        <f t="shared" si="66"/>
        <v>0.25913243302885958</v>
      </c>
      <c r="AG177" s="799">
        <f t="shared" si="74"/>
        <v>3</v>
      </c>
      <c r="AH177" s="176">
        <f t="shared" si="67"/>
        <v>9</v>
      </c>
      <c r="AI177" s="224">
        <f t="shared" si="68"/>
        <v>3.2591324330288596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'2027'!Wh/'2027'!Env_an*'2028'!Env_an</f>
        <v>52.79043089941861</v>
      </c>
      <c r="C178" s="829"/>
      <c r="D178" s="391">
        <f t="shared" si="50"/>
        <v>56.382654309553757</v>
      </c>
      <c r="E178" s="383">
        <f t="shared" si="75"/>
        <v>59.02131365910693</v>
      </c>
      <c r="F178" s="383">
        <f t="shared" si="51"/>
        <v>59.024142006169598</v>
      </c>
      <c r="G178" s="110">
        <f t="shared" si="76"/>
        <v>0.92846654967625053</v>
      </c>
      <c r="H178" s="412" t="b">
        <f>Wh_hp&gt;='2027'!Maxi_hp</f>
        <v>0</v>
      </c>
      <c r="I178" s="388">
        <f>IF(H178,Wh_hp,'2027'!Maxi_hp)</f>
        <v>64.279104061315721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6.3711498760115393E-2</v>
      </c>
      <c r="M178" s="832"/>
      <c r="N178" s="832"/>
      <c r="O178" s="48">
        <f>IF(t&lt;Tnet,'2027'!Resal+('2027'!Salim-'2027'!Resal)*(1-EXP(('2027'!Tnet-t)/('2027'!Tau_j))),Resal+(Salim-Resal)*(1-EXP((Tnet-t)/(Tau_j))))*Salcycl</f>
        <v>4.4706889527966837E-2</v>
      </c>
      <c r="P178" s="169">
        <f>(INDEX(Models!$BJ178:$BT178,,T178)*(1-R178)+INDEX(Models!$BJ178:$BT178,,T178+1)*R178-ERP_i)*Q178*Ramure*Pc/MaxiM</f>
        <v>5.3372235154818235E-5</v>
      </c>
      <c r="Q178" s="304">
        <f t="shared" si="53"/>
        <v>0.6</v>
      </c>
      <c r="R178" s="177">
        <f t="shared" si="54"/>
        <v>0.73927697260814762</v>
      </c>
      <c r="S178" s="799">
        <f t="shared" si="55"/>
        <v>-1</v>
      </c>
      <c r="T178" s="176">
        <f t="shared" si="56"/>
        <v>5</v>
      </c>
      <c r="U178" s="250">
        <f t="shared" si="57"/>
        <v>-0.26072302739185244</v>
      </c>
      <c r="V178" s="382">
        <f t="shared" si="58"/>
        <v>56.857345046895219</v>
      </c>
      <c r="W178" s="400">
        <f t="shared" si="59"/>
        <v>52.79043089941861</v>
      </c>
      <c r="X178" s="157">
        <f t="shared" si="60"/>
        <v>46916</v>
      </c>
      <c r="Y178" s="383">
        <f t="shared" si="61"/>
        <v>50.737150564881539</v>
      </c>
      <c r="Z178" s="383">
        <f t="shared" si="62"/>
        <v>54.189654681962473</v>
      </c>
      <c r="AA178" s="384">
        <f t="shared" si="63"/>
        <v>58.995976388651911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8.1468635674855211E-2</v>
      </c>
      <c r="AD178" s="230">
        <f>(INDEX(Models!$BJ178:$BT178,,AH178)*(1-AF178)+INDEX(Models!$BJ178:$BT178,,AH178+1)*AF178-ERP_i)*AE178*Ramure*Pc/MaxiM</f>
        <v>5.3149840812528448E-4</v>
      </c>
      <c r="AE178" s="304">
        <f t="shared" si="65"/>
        <v>0.6</v>
      </c>
      <c r="AF178" s="177">
        <f t="shared" si="66"/>
        <v>0.26426453898212587</v>
      </c>
      <c r="AG178" s="799">
        <f t="shared" si="74"/>
        <v>3</v>
      </c>
      <c r="AH178" s="176">
        <f t="shared" si="67"/>
        <v>9</v>
      </c>
      <c r="AI178" s="224">
        <f t="shared" si="68"/>
        <v>3.2642645389821259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'2027'!Wh/'2027'!Env_an*'2028'!Env_an</f>
        <v>46.928871848658829</v>
      </c>
      <c r="C179" s="829"/>
      <c r="D179" s="391">
        <f t="shared" si="50"/>
        <v>50.123195131491414</v>
      </c>
      <c r="E179" s="383">
        <f t="shared" si="75"/>
        <v>52.474160643110714</v>
      </c>
      <c r="F179" s="383">
        <f t="shared" si="51"/>
        <v>52.476260467650256</v>
      </c>
      <c r="G179" s="110">
        <f t="shared" si="76"/>
        <v>0.82602893684556955</v>
      </c>
      <c r="H179" s="412" t="b">
        <f>Wh_hp&gt;='2027'!Maxi_hp</f>
        <v>0</v>
      </c>
      <c r="I179" s="388">
        <f>IF(H179,Wh_hp,'2027'!Maxi_hp)</f>
        <v>56.161235442538548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6.3729442515639945E-2</v>
      </c>
      <c r="M179" s="832"/>
      <c r="N179" s="832"/>
      <c r="O179" s="48">
        <f>IF(t&lt;Tnet,'2027'!Resal+('2027'!Salim-'2027'!Resal)*(1-EXP(('2027'!Tnet-t)/('2027'!Tau_j))),Resal+(Salim-Resal)*(1-EXP((Tnet-t)/(Tau_j))))*Salcycl</f>
        <v>4.4802346198708737E-2</v>
      </c>
      <c r="P179" s="169">
        <f>(INDEX(Models!$BJ179:$BT179,,T179)*(1-R179)+INDEX(Models!$BJ179:$BT179,,T179+1)*R179-ERP_i)*Q179*Ramure*Pc/MaxiM</f>
        <v>5.3247534986722173E-5</v>
      </c>
      <c r="Q179" s="304">
        <f t="shared" si="53"/>
        <v>0.6</v>
      </c>
      <c r="R179" s="177">
        <f t="shared" si="54"/>
        <v>0.74439611202597344</v>
      </c>
      <c r="S179" s="799">
        <f t="shared" si="55"/>
        <v>-1</v>
      </c>
      <c r="T179" s="176">
        <f t="shared" si="56"/>
        <v>5</v>
      </c>
      <c r="U179" s="250">
        <f t="shared" si="57"/>
        <v>-0.2556038879740265</v>
      </c>
      <c r="V179" s="382">
        <f t="shared" si="58"/>
        <v>56.811872721351378</v>
      </c>
      <c r="W179" s="400">
        <f t="shared" si="59"/>
        <v>46.928871848658829</v>
      </c>
      <c r="X179" s="157">
        <f t="shared" si="60"/>
        <v>46917</v>
      </c>
      <c r="Y179" s="383">
        <f t="shared" si="61"/>
        <v>45.107429831288286</v>
      </c>
      <c r="Z179" s="383">
        <f t="shared" si="62"/>
        <v>48.177772408529236</v>
      </c>
      <c r="AA179" s="384">
        <f t="shared" si="63"/>
        <v>52.455288960113791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8.1545953446889072E-2</v>
      </c>
      <c r="AD179" s="230">
        <f>(INDEX(Models!$BJ179:$BT179,,AH179)*(1-AF179)+INDEX(Models!$BJ179:$BT179,,AH179+1)*AF179-ERP_i)*AE179*Ramure*Pc/MaxiM</f>
        <v>5.3179732889293218E-4</v>
      </c>
      <c r="AE179" s="304">
        <f t="shared" si="65"/>
        <v>0.6</v>
      </c>
      <c r="AF179" s="177">
        <f t="shared" si="66"/>
        <v>0.26938367839995214</v>
      </c>
      <c r="AG179" s="799">
        <f t="shared" si="74"/>
        <v>3</v>
      </c>
      <c r="AH179" s="176">
        <f t="shared" si="67"/>
        <v>9</v>
      </c>
      <c r="AI179" s="224">
        <f t="shared" si="68"/>
        <v>3.2693836783999521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'2027'!Wh/'2027'!Env_an*'2028'!Env_an</f>
        <v>52.904150853071805</v>
      </c>
      <c r="C180" s="829"/>
      <c r="D180" s="391">
        <f t="shared" si="50"/>
        <v>56.506278388839263</v>
      </c>
      <c r="E180" s="383">
        <f t="shared" si="75"/>
        <v>59.162505721508097</v>
      </c>
      <c r="F180" s="383">
        <f t="shared" si="51"/>
        <v>59.165346973200919</v>
      </c>
      <c r="G180" s="110">
        <f t="shared" si="76"/>
        <v>0.93197940628977083</v>
      </c>
      <c r="H180" s="412" t="b">
        <f>Wh_hp&gt;='2027'!Maxi_hp</f>
        <v>0</v>
      </c>
      <c r="I180" s="388">
        <f>IF(H180,Wh_hp,'2027'!Maxi_hp)</f>
        <v>59.165616067593504</v>
      </c>
      <c r="J180" s="85">
        <f>IF(H180,An,'2027'!An_max)</f>
        <v>2026</v>
      </c>
      <c r="K180" s="197">
        <f t="shared" si="52"/>
        <v>46918</v>
      </c>
      <c r="L180" s="147">
        <f>IF(t&lt;Tvie,1-EXP((T0-t)*PertePVj)+'2027'!Pspv,1-EXP((T0-t)*PertePVj)+Pspv)</f>
        <v>6.3747385927276468E-2</v>
      </c>
      <c r="M180" s="832"/>
      <c r="N180" s="832"/>
      <c r="O180" s="48">
        <f>IF(t&lt;Tnet,'2027'!Resal+('2027'!Salim-'2027'!Resal)*(1-EXP(('2027'!Tnet-t)/('2027'!Tau_j))),Resal+(Salim-Resal)*(1-EXP((Tnet-t)/(Tau_j))))*Salcycl</f>
        <v>4.4897140516196657E-2</v>
      </c>
      <c r="P180" s="169">
        <f>(INDEX(Models!$BJ180:$BT180,,T180)*(1-R180)+INDEX(Models!$BJ180:$BT180,,T180+1)*R180-ERP_i)*Q180*Ramure*Pc/MaxiM</f>
        <v>5.3190502715767971E-5</v>
      </c>
      <c r="Q180" s="304">
        <f t="shared" si="53"/>
        <v>0.6</v>
      </c>
      <c r="R180" s="177">
        <f t="shared" si="54"/>
        <v>0.74949803057311359</v>
      </c>
      <c r="S180" s="799">
        <f t="shared" si="55"/>
        <v>-1</v>
      </c>
      <c r="T180" s="176">
        <f t="shared" si="56"/>
        <v>5</v>
      </c>
      <c r="U180" s="250">
        <f t="shared" si="57"/>
        <v>-0.25050196942688646</v>
      </c>
      <c r="V180" s="382">
        <f t="shared" si="58"/>
        <v>56.765071266206625</v>
      </c>
      <c r="W180" s="400">
        <f t="shared" si="59"/>
        <v>52.904150853071805</v>
      </c>
      <c r="X180" s="157">
        <f t="shared" si="60"/>
        <v>46918</v>
      </c>
      <c r="Y180" s="383">
        <f t="shared" si="61"/>
        <v>50.847905856242917</v>
      </c>
      <c r="Z180" s="383">
        <f t="shared" si="62"/>
        <v>54.310028182514962</v>
      </c>
      <c r="AA180" s="384">
        <f t="shared" si="63"/>
        <v>59.136904326076092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8.1622063220389937E-2</v>
      </c>
      <c r="AD180" s="230">
        <f>(INDEX(Models!$BJ180:$BT180,,AH180)*(1-AF180)+INDEX(Models!$BJ180:$BT180,,AH180+1)*AF180-ERP_i)*AE180*Ramure*Pc/MaxiM</f>
        <v>5.3246908852202374E-4</v>
      </c>
      <c r="AE180" s="304">
        <f t="shared" si="65"/>
        <v>0.6</v>
      </c>
      <c r="AF180" s="177">
        <f t="shared" si="66"/>
        <v>0.27448559694709207</v>
      </c>
      <c r="AG180" s="799">
        <f t="shared" si="74"/>
        <v>3</v>
      </c>
      <c r="AH180" s="176">
        <f t="shared" si="67"/>
        <v>9</v>
      </c>
      <c r="AI180" s="224">
        <f t="shared" si="68"/>
        <v>3.2744855969470921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'2027'!Wh/'2027'!Env_an*'2028'!Env_an</f>
        <v>50.812591826666107</v>
      </c>
      <c r="C181" s="829"/>
      <c r="D181" s="391">
        <f t="shared" si="50"/>
        <v>54.273349834527181</v>
      </c>
      <c r="E181" s="383">
        <f t="shared" si="75"/>
        <v>56.830212161410223</v>
      </c>
      <c r="F181" s="383">
        <f t="shared" si="51"/>
        <v>56.832786196668664</v>
      </c>
      <c r="G181" s="110">
        <f t="shared" si="76"/>
        <v>0.89589085304147287</v>
      </c>
      <c r="H181" s="412" t="b">
        <f>Wh_hp&gt;='2027'!Maxi_hp</f>
        <v>0</v>
      </c>
      <c r="I181" s="388">
        <f>IF(H181,Wh_hp,'2027'!Maxi_hp)</f>
        <v>63.760579589282713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6.3765328995031623E-2</v>
      </c>
      <c r="M181" s="832"/>
      <c r="N181" s="832"/>
      <c r="O181" s="48">
        <f>IF(t&lt;Tnet,'2027'!Resal+('2027'!Salim-'2027'!Resal)*(1-EXP(('2027'!Tnet-t)/('2027'!Tau_j))),Resal+(Salim-Resal)*(1-EXP((Tnet-t)/(Tau_j))))*Salcycl</f>
        <v>4.4991250773813558E-2</v>
      </c>
      <c r="P181" s="169">
        <f>(INDEX(Models!$BJ181:$BT181,,T181)*(1-R181)+INDEX(Models!$BJ181:$BT181,,T181+1)*R181-ERP_i)*Q181*Ramure*Pc/MaxiM</f>
        <v>5.3203683141764307E-5</v>
      </c>
      <c r="Q181" s="304">
        <f t="shared" si="53"/>
        <v>0.6</v>
      </c>
      <c r="R181" s="177">
        <f t="shared" si="54"/>
        <v>0.75457853144338549</v>
      </c>
      <c r="S181" s="799">
        <f t="shared" si="55"/>
        <v>-1</v>
      </c>
      <c r="T181" s="176">
        <f t="shared" si="56"/>
        <v>5</v>
      </c>
      <c r="U181" s="250">
        <f t="shared" si="57"/>
        <v>-0.24542146855661456</v>
      </c>
      <c r="V181" s="382">
        <f t="shared" si="58"/>
        <v>56.71694223830012</v>
      </c>
      <c r="W181" s="400">
        <f t="shared" si="59"/>
        <v>50.812591826666107</v>
      </c>
      <c r="X181" s="157">
        <f t="shared" si="60"/>
        <v>46919</v>
      </c>
      <c r="Y181" s="383">
        <f t="shared" si="61"/>
        <v>48.839635203673694</v>
      </c>
      <c r="Z181" s="383">
        <f t="shared" si="62"/>
        <v>52.16601853811769</v>
      </c>
      <c r="AA181" s="384">
        <f t="shared" si="63"/>
        <v>56.806973903163019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8.1696929904356758E-2</v>
      </c>
      <c r="AD181" s="230">
        <f>(INDEX(Models!$BJ181:$BT181,,AH181)*(1-AF181)+INDEX(Models!$BJ181:$BT181,,AH181+1)*AF181-ERP_i)*AE181*Ramure*Pc/MaxiM</f>
        <v>5.3352380482500758E-4</v>
      </c>
      <c r="AE181" s="304">
        <f t="shared" si="65"/>
        <v>0.6</v>
      </c>
      <c r="AF181" s="177">
        <f t="shared" si="66"/>
        <v>0.27956609781736397</v>
      </c>
      <c r="AG181" s="799">
        <f t="shared" si="74"/>
        <v>3</v>
      </c>
      <c r="AH181" s="176">
        <f t="shared" si="67"/>
        <v>9</v>
      </c>
      <c r="AI181" s="224">
        <f t="shared" si="68"/>
        <v>3.279566097817364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'2027'!Wh/'2027'!Env_an*'2028'!Env_an</f>
        <v>50.949288521136808</v>
      </c>
      <c r="C182" s="829"/>
      <c r="D182" s="391">
        <f t="shared" si="50"/>
        <v>54.420399659682097</v>
      </c>
      <c r="E182" s="383">
        <f t="shared" si="75"/>
        <v>56.989763618659815</v>
      </c>
      <c r="F182" s="383">
        <f t="shared" si="51"/>
        <v>56.992362908827985</v>
      </c>
      <c r="G182" s="110">
        <f t="shared" si="76"/>
        <v>0.8990851677300139</v>
      </c>
      <c r="H182" s="412" t="b">
        <f>Wh_hp&gt;='2027'!Maxi_hp</f>
        <v>0</v>
      </c>
      <c r="I182" s="388">
        <f>IF(H182,Wh_hp,'2027'!Maxi_hp)</f>
        <v>62.238525909161851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6.378327171891196E-2</v>
      </c>
      <c r="M182" s="832"/>
      <c r="N182" s="832"/>
      <c r="O182" s="48">
        <f>IF(t&lt;Tnet,'2027'!Resal+('2027'!Salim-'2027'!Resal)*(1-EXP(('2027'!Tnet-t)/('2027'!Tau_j))),Resal+(Salim-Resal)*(1-EXP((Tnet-t)/(Tau_j))))*Salcycl</f>
        <v>4.5084657240733753E-2</v>
      </c>
      <c r="P182" s="169">
        <f>(INDEX(Models!$BJ182:$BT182,,T182)*(1-R182)+INDEX(Models!$BJ182:$BT182,,T182+1)*R182-ERP_i)*Q182*Ramure*Pc/MaxiM</f>
        <v>5.3289613005887368E-5</v>
      </c>
      <c r="Q182" s="304">
        <f t="shared" si="53"/>
        <v>0.6</v>
      </c>
      <c r="R182" s="177">
        <f t="shared" si="54"/>
        <v>0.75963348897304517</v>
      </c>
      <c r="S182" s="799">
        <f t="shared" si="55"/>
        <v>-1</v>
      </c>
      <c r="T182" s="176">
        <f t="shared" si="56"/>
        <v>5</v>
      </c>
      <c r="U182" s="250">
        <f t="shared" si="57"/>
        <v>-0.24036651102695478</v>
      </c>
      <c r="V182" s="382">
        <f t="shared" si="58"/>
        <v>56.667487067483272</v>
      </c>
      <c r="W182" s="400">
        <f t="shared" si="59"/>
        <v>50.949288521136808</v>
      </c>
      <c r="X182" s="157">
        <f t="shared" si="60"/>
        <v>46920</v>
      </c>
      <c r="Y182" s="383">
        <f t="shared" si="61"/>
        <v>48.971725015903118</v>
      </c>
      <c r="Z182" s="383">
        <f t="shared" si="62"/>
        <v>52.308107232623527</v>
      </c>
      <c r="AA182" s="384">
        <f t="shared" si="63"/>
        <v>56.966268774694065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8.1770522139933702E-2</v>
      </c>
      <c r="AD182" s="230">
        <f>(INDEX(Models!$BJ182:$BT182,,AH182)*(1-AF182)+INDEX(Models!$BJ182:$BT182,,AH182+1)*AF182-ERP_i)*AE182*Ramure*Pc/MaxiM</f>
        <v>5.3497155752339309E-4</v>
      </c>
      <c r="AE182" s="304">
        <f t="shared" si="65"/>
        <v>0.6</v>
      </c>
      <c r="AF182" s="177">
        <f t="shared" si="66"/>
        <v>0.28462105534702387</v>
      </c>
      <c r="AG182" s="799">
        <f t="shared" si="74"/>
        <v>3</v>
      </c>
      <c r="AH182" s="176">
        <f t="shared" si="67"/>
        <v>9</v>
      </c>
      <c r="AI182" s="224">
        <f t="shared" si="68"/>
        <v>3.2846210553470239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'2027'!Wh/'2027'!Env_an*'2028'!Env_an</f>
        <v>53.274395173595906</v>
      </c>
      <c r="C183" s="829"/>
      <c r="D183" s="391">
        <f t="shared" si="50"/>
        <v>56.905003484190786</v>
      </c>
      <c r="E183" s="383">
        <f t="shared" si="75"/>
        <v>59.597458251526433</v>
      </c>
      <c r="F183" s="383">
        <f t="shared" si="51"/>
        <v>59.600375277261335</v>
      </c>
      <c r="G183" s="110">
        <f t="shared" si="76"/>
        <v>0.94096173699889429</v>
      </c>
      <c r="H183" s="412" t="b">
        <f>Wh_hp&gt;='2027'!Maxi_hp</f>
        <v>0</v>
      </c>
      <c r="I183" s="388">
        <f>IF(H183,Wh_hp,'2027'!Maxi_hp)</f>
        <v>59.600610591533282</v>
      </c>
      <c r="J183" s="85">
        <f>IF(H183,An,'2027'!An_max)</f>
        <v>2026</v>
      </c>
      <c r="K183" s="197">
        <f t="shared" si="52"/>
        <v>46921</v>
      </c>
      <c r="L183" s="147">
        <f>IF(t&lt;Tvie,1-EXP((T0-t)*PertePVj)+'2027'!Pspv,1-EXP((T0-t)*PertePVj)+Pspv)</f>
        <v>6.3801214098924142E-2</v>
      </c>
      <c r="M183" s="832"/>
      <c r="N183" s="832"/>
      <c r="O183" s="48">
        <f>IF(t&lt;Tnet,'2027'!Resal+('2027'!Salim-'2027'!Resal)*(1-EXP(('2027'!Tnet-t)/('2027'!Tau_j))),Resal+(Salim-Resal)*(1-EXP((Tnet-t)/(Tau_j))))*Salcycl</f>
        <v>4.5177342227790129E-2</v>
      </c>
      <c r="P183" s="169">
        <f>(INDEX(Models!$BJ183:$BT183,,T183)*(1-R183)+INDEX(Models!$BJ183:$BT183,,T183+1)*R183-ERP_i)*Q183*Ramure*Pc/MaxiM</f>
        <v>5.3450814518363704E-5</v>
      </c>
      <c r="Q183" s="304">
        <f t="shared" si="53"/>
        <v>0.6</v>
      </c>
      <c r="R183" s="177">
        <f t="shared" si="54"/>
        <v>0.76465886175531717</v>
      </c>
      <c r="S183" s="799">
        <f t="shared" si="55"/>
        <v>-1</v>
      </c>
      <c r="T183" s="176">
        <f t="shared" si="56"/>
        <v>5</v>
      </c>
      <c r="U183" s="250">
        <f t="shared" si="57"/>
        <v>-0.23534113824468283</v>
      </c>
      <c r="V183" s="382">
        <f t="shared" si="58"/>
        <v>56.616707056277747</v>
      </c>
      <c r="W183" s="400">
        <f t="shared" si="59"/>
        <v>53.274395173595906</v>
      </c>
      <c r="X183" s="157">
        <f t="shared" si="60"/>
        <v>46921</v>
      </c>
      <c r="Y183" s="383">
        <f t="shared" si="61"/>
        <v>51.205967517430039</v>
      </c>
      <c r="Z183" s="383">
        <f t="shared" si="62"/>
        <v>54.695614103093654</v>
      </c>
      <c r="AA183" s="384">
        <f t="shared" si="63"/>
        <v>59.57107872334867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8.1842812397219425E-2</v>
      </c>
      <c r="AD183" s="230">
        <f>(INDEX(Models!$BJ183:$BT183,,AH183)*(1-AF183)+INDEX(Models!$BJ183:$BT183,,AH183+1)*AF183-ERP_i)*AE183*Ramure*Pc/MaxiM</f>
        <v>5.3682237029159237E-4</v>
      </c>
      <c r="AE183" s="304">
        <f t="shared" si="65"/>
        <v>0.6</v>
      </c>
      <c r="AF183" s="177">
        <f t="shared" si="66"/>
        <v>0.28964642812929586</v>
      </c>
      <c r="AG183" s="799">
        <f t="shared" si="74"/>
        <v>3</v>
      </c>
      <c r="AH183" s="176">
        <f t="shared" si="67"/>
        <v>9</v>
      </c>
      <c r="AI183" s="224">
        <f t="shared" si="68"/>
        <v>3.2896464281292959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'2027'!Wh/'2027'!Env_an*'2028'!Env_an</f>
        <v>54.569841940224322</v>
      </c>
      <c r="C184" s="829"/>
      <c r="D184" s="391">
        <f t="shared" si="50"/>
        <v>58.289851045166017</v>
      </c>
      <c r="E184" s="383">
        <f t="shared" si="75"/>
        <v>61.053709117458766</v>
      </c>
      <c r="F184" s="383">
        <f t="shared" si="51"/>
        <v>61.056824394934061</v>
      </c>
      <c r="G184" s="110">
        <f t="shared" si="76"/>
        <v>0.96473223763404492</v>
      </c>
      <c r="H184" s="412" t="b">
        <f>Wh_hp&gt;='2027'!Maxi_hp</f>
        <v>0</v>
      </c>
      <c r="I184" s="388">
        <f>IF(H184,Wh_hp,'2027'!Maxi_hp)</f>
        <v>61.056968911946178</v>
      </c>
      <c r="J184" s="85">
        <f>IF(H184,An,'2027'!An_max)</f>
        <v>2026</v>
      </c>
      <c r="K184" s="197">
        <f t="shared" si="52"/>
        <v>46922</v>
      </c>
      <c r="L184" s="147">
        <f>IF(t&lt;Tvie,1-EXP((T0-t)*PertePVj)+'2027'!Pspv,1-EXP((T0-t)*PertePVj)+Pspv)</f>
        <v>6.3819156135074717E-2</v>
      </c>
      <c r="M184" s="832"/>
      <c r="N184" s="832"/>
      <c r="O184" s="48">
        <f>IF(t&lt;Tnet,'2027'!Resal+('2027'!Salim-'2027'!Resal)*(1-EXP(('2027'!Tnet-t)/('2027'!Tau_j))),Resal+(Salim-Resal)*(1-EXP((Tnet-t)/(Tau_j))))*Salcycl</f>
        <v>4.5269290142151315E-2</v>
      </c>
      <c r="P184" s="169">
        <f>(INDEX(Models!$BJ184:$BT184,,T184)*(1-R184)+INDEX(Models!$BJ184:$BT184,,T184+1)*R184-ERP_i)*Q184*Ramure*Pc/MaxiM</f>
        <v>5.372941534832902E-5</v>
      </c>
      <c r="Q184" s="304">
        <f t="shared" si="53"/>
        <v>0.6</v>
      </c>
      <c r="R184" s="177">
        <f t="shared" si="54"/>
        <v>0.76965070516972967</v>
      </c>
      <c r="S184" s="799">
        <f t="shared" si="55"/>
        <v>-1</v>
      </c>
      <c r="T184" s="176">
        <f t="shared" si="56"/>
        <v>5</v>
      </c>
      <c r="U184" s="250">
        <f t="shared" si="57"/>
        <v>-0.23034929483027033</v>
      </c>
      <c r="V184" s="382">
        <f t="shared" si="58"/>
        <v>56.564601132875993</v>
      </c>
      <c r="W184" s="400">
        <f t="shared" si="59"/>
        <v>54.569841940224322</v>
      </c>
      <c r="X184" s="157">
        <f t="shared" si="60"/>
        <v>46922</v>
      </c>
      <c r="Y184" s="383">
        <f t="shared" si="61"/>
        <v>52.451142978192806</v>
      </c>
      <c r="Z184" s="383">
        <f t="shared" si="62"/>
        <v>56.026721035706856</v>
      </c>
      <c r="AA184" s="384">
        <f t="shared" si="63"/>
        <v>61.025554719424171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8.1913777051275324E-2</v>
      </c>
      <c r="AD184" s="230">
        <f>(INDEX(Models!$BJ184:$BT184,,AH184)*(1-AF184)+INDEX(Models!$BJ184:$BT184,,AH184+1)*AF184-ERP_i)*AE184*Ramure*Pc/MaxiM</f>
        <v>5.3931034927098289E-4</v>
      </c>
      <c r="AE184" s="304">
        <f t="shared" si="65"/>
        <v>0.6</v>
      </c>
      <c r="AF184" s="177">
        <f t="shared" si="66"/>
        <v>0.29463827154370836</v>
      </c>
      <c r="AG184" s="799">
        <f t="shared" si="74"/>
        <v>3</v>
      </c>
      <c r="AH184" s="176">
        <f t="shared" si="67"/>
        <v>9</v>
      </c>
      <c r="AI184" s="224">
        <f t="shared" si="68"/>
        <v>3.2946382715437084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'2027'!Wh/'2027'!Env_an*'2028'!Env_an</f>
        <v>30.784381062400655</v>
      </c>
      <c r="C185" s="829"/>
      <c r="D185" s="391">
        <f t="shared" si="50"/>
        <v>32.883572924067835</v>
      </c>
      <c r="E185" s="383">
        <f t="shared" si="75"/>
        <v>34.446063141676731</v>
      </c>
      <c r="F185" s="383">
        <f t="shared" si="51"/>
        <v>34.446714430732257</v>
      </c>
      <c r="G185" s="110">
        <f t="shared" si="76"/>
        <v>0.54472941557754773</v>
      </c>
      <c r="H185" s="412" t="b">
        <f>Wh_hp&gt;='2027'!Maxi_hp</f>
        <v>0</v>
      </c>
      <c r="I185" s="388">
        <f>IF(H185,Wh_hp,'2027'!Maxi_hp)</f>
        <v>56.990075158502776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6.3837097827370126E-2</v>
      </c>
      <c r="M185" s="832"/>
      <c r="N185" s="832"/>
      <c r="O185" s="48">
        <f>IF(t&lt;Tnet,'2027'!Resal+('2027'!Salim-'2027'!Resal)*(1-EXP(('2027'!Tnet-t)/('2027'!Tau_j))),Resal+(Salim-Resal)*(1-EXP((Tnet-t)/(Tau_j))))*Salcycl</f>
        <v>4.5360487530385338E-2</v>
      </c>
      <c r="P185" s="169">
        <f>(INDEX(Models!$BJ185:$BT185,,T185)*(1-R185)+INDEX(Models!$BJ185:$BT185,,T185+1)*R185-ERP_i)*Q185*Ramure*Pc/MaxiM</f>
        <v>5.4075911086279046E-5</v>
      </c>
      <c r="Q185" s="304">
        <f t="shared" si="53"/>
        <v>0.6</v>
      </c>
      <c r="R185" s="177">
        <f t="shared" si="54"/>
        <v>0.77460518324681193</v>
      </c>
      <c r="S185" s="799">
        <f t="shared" si="55"/>
        <v>-1</v>
      </c>
      <c r="T185" s="176">
        <f t="shared" si="56"/>
        <v>5</v>
      </c>
      <c r="U185" s="250">
        <f t="shared" si="57"/>
        <v>-0.22539481675318801</v>
      </c>
      <c r="V185" s="382">
        <f t="shared" si="58"/>
        <v>56.511173277880708</v>
      </c>
      <c r="W185" s="400">
        <f t="shared" si="59"/>
        <v>30.784381062400655</v>
      </c>
      <c r="X185" s="157">
        <f t="shared" si="60"/>
        <v>46923</v>
      </c>
      <c r="Y185" s="383">
        <f t="shared" si="61"/>
        <v>29.598345503501555</v>
      </c>
      <c r="Z185" s="383">
        <f t="shared" si="62"/>
        <v>31.616661410968383</v>
      </c>
      <c r="AA185" s="384">
        <f t="shared" si="63"/>
        <v>34.44018472895705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8.1983396436740533E-2</v>
      </c>
      <c r="AD185" s="230">
        <f>(INDEX(Models!$BJ185:$BT185,,AH185)*(1-AF185)+INDEX(Models!$BJ185:$BT185,,AH185+1)*AF185-ERP_i)*AE185*Ramure*Pc/MaxiM</f>
        <v>5.4215493047355518E-4</v>
      </c>
      <c r="AE185" s="304">
        <f t="shared" si="65"/>
        <v>0.6</v>
      </c>
      <c r="AF185" s="177">
        <f t="shared" si="66"/>
        <v>0.29959274962079041</v>
      </c>
      <c r="AG185" s="799">
        <f t="shared" si="74"/>
        <v>3</v>
      </c>
      <c r="AH185" s="176">
        <f t="shared" si="67"/>
        <v>9</v>
      </c>
      <c r="AI185" s="224">
        <f t="shared" si="68"/>
        <v>3.2995927496207904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'2027'!Wh/'2027'!Env_an*'2028'!Env_an</f>
        <v>22.154297998804559</v>
      </c>
      <c r="C186" s="829"/>
      <c r="D186" s="391">
        <f t="shared" si="50"/>
        <v>23.66545666100675</v>
      </c>
      <c r="E186" s="383">
        <f t="shared" si="75"/>
        <v>24.792289085963223</v>
      </c>
      <c r="F186" s="383">
        <f t="shared" si="51"/>
        <v>24.79246744505059</v>
      </c>
      <c r="G186" s="110">
        <f t="shared" si="76"/>
        <v>0.39239555747924332</v>
      </c>
      <c r="H186" s="412" t="b">
        <f>Wh_hp&gt;='2027'!Maxi_hp</f>
        <v>0</v>
      </c>
      <c r="I186" s="388">
        <f>IF(H186,Wh_hp,'2027'!Maxi_hp)</f>
        <v>52.195932812822107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6.3855039175817252E-2</v>
      </c>
      <c r="M186" s="832"/>
      <c r="N186" s="832"/>
      <c r="O186" s="48">
        <f>IF(t&lt;Tnet,'2027'!Resal+('2027'!Salim-'2027'!Resal)*(1-EXP(('2027'!Tnet-t)/('2027'!Tau_j))),Resal+(Salim-Resal)*(1-EXP((Tnet-t)/(Tau_j))))*Salcycl</f>
        <v>4.5450923109575075E-2</v>
      </c>
      <c r="P186" s="169">
        <f>(INDEX(Models!$BJ186:$BT186,,T186)*(1-R186)+INDEX(Models!$BJ186:$BT186,,T186+1)*R186-ERP_i)*Q186*Ramure*Pc/MaxiM</f>
        <v>5.4492308469514234E-5</v>
      </c>
      <c r="Q186" s="304">
        <f t="shared" si="53"/>
        <v>0.6</v>
      </c>
      <c r="R186" s="177">
        <f t="shared" si="54"/>
        <v>0.77951857979643868</v>
      </c>
      <c r="S186" s="799">
        <f t="shared" si="55"/>
        <v>-1</v>
      </c>
      <c r="T186" s="176">
        <f t="shared" si="56"/>
        <v>5</v>
      </c>
      <c r="U186" s="250">
        <f t="shared" si="57"/>
        <v>-0.22048142020356132</v>
      </c>
      <c r="V186" s="382">
        <f t="shared" si="58"/>
        <v>56.456424416764442</v>
      </c>
      <c r="W186" s="400">
        <f t="shared" si="59"/>
        <v>22.154297998804559</v>
      </c>
      <c r="X186" s="157">
        <f t="shared" si="60"/>
        <v>46924</v>
      </c>
      <c r="Y186" s="383">
        <f t="shared" si="61"/>
        <v>21.303444485466208</v>
      </c>
      <c r="Z186" s="383">
        <f t="shared" si="62"/>
        <v>22.756565892007409</v>
      </c>
      <c r="AA186" s="384">
        <f t="shared" si="63"/>
        <v>24.790682409311419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8.2051654880625408E-2</v>
      </c>
      <c r="AD186" s="230">
        <f>(INDEX(Models!$BJ186:$BT186,,AH186)*(1-AF186)+INDEX(Models!$BJ186:$BT186,,AH186+1)*AF186-ERP_i)*AE186*Ramure*Pc/MaxiM</f>
        <v>5.4536452032167594E-4</v>
      </c>
      <c r="AE186" s="304">
        <f t="shared" si="65"/>
        <v>0.6</v>
      </c>
      <c r="AF186" s="177">
        <f t="shared" si="66"/>
        <v>0.30450614617041705</v>
      </c>
      <c r="AG186" s="799">
        <f t="shared" si="74"/>
        <v>3</v>
      </c>
      <c r="AH186" s="176">
        <f t="shared" si="67"/>
        <v>9</v>
      </c>
      <c r="AI186" s="224">
        <f t="shared" si="68"/>
        <v>3.304506146170417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'2027'!Wh/'2027'!Env_an*'2028'!Env_an</f>
        <v>42.910030129878166</v>
      </c>
      <c r="C187" s="829"/>
      <c r="D187" s="391">
        <f t="shared" si="50"/>
        <v>45.837828864450827</v>
      </c>
      <c r="E187" s="383">
        <f t="shared" si="75"/>
        <v>48.024911565527162</v>
      </c>
      <c r="F187" s="383">
        <f t="shared" si="51"/>
        <v>48.026649833780155</v>
      </c>
      <c r="G187" s="110">
        <f t="shared" si="76"/>
        <v>0.76079704999871078</v>
      </c>
      <c r="H187" s="412" t="b">
        <f>Wh_hp&gt;='2027'!Maxi_hp</f>
        <v>0</v>
      </c>
      <c r="I187" s="388">
        <f>IF(H187,Wh_hp,'2027'!Maxi_hp)</f>
        <v>63.676809848065162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6.3872980180422423E-2</v>
      </c>
      <c r="M187" s="832"/>
      <c r="N187" s="832"/>
      <c r="O187" s="48">
        <f>IF(t&lt;Tnet,'2027'!Resal+('2027'!Salim-'2027'!Resal)*(1-EXP(('2027'!Tnet-t)/('2027'!Tau_j))),Resal+(Salim-Resal)*(1-EXP((Tnet-t)/(Tau_j))))*Salcycl</f>
        <v>4.5540587786240726E-2</v>
      </c>
      <c r="P187" s="169">
        <f>(INDEX(Models!$BJ187:$BT187,,T187)*(1-R187)+INDEX(Models!$BJ187:$BT187,,T187+1)*R187-ERP_i)*Q187*Ramure*Pc/MaxiM</f>
        <v>5.4980588499912815E-5</v>
      </c>
      <c r="Q187" s="304">
        <f t="shared" si="53"/>
        <v>0.6</v>
      </c>
      <c r="R187" s="177">
        <f t="shared" si="54"/>
        <v>0.78438730873652629</v>
      </c>
      <c r="S187" s="799">
        <f t="shared" si="55"/>
        <v>-1</v>
      </c>
      <c r="T187" s="176">
        <f t="shared" si="56"/>
        <v>5</v>
      </c>
      <c r="U187" s="250">
        <f t="shared" si="57"/>
        <v>-0.21561269126347371</v>
      </c>
      <c r="V187" s="382">
        <f t="shared" si="58"/>
        <v>56.400355338218361</v>
      </c>
      <c r="W187" s="400">
        <f t="shared" si="59"/>
        <v>42.910030129878166</v>
      </c>
      <c r="X187" s="157">
        <f t="shared" si="60"/>
        <v>46925</v>
      </c>
      <c r="Y187" s="383">
        <f t="shared" si="61"/>
        <v>41.252160634514368</v>
      </c>
      <c r="Z187" s="383">
        <f t="shared" si="62"/>
        <v>44.066841102893299</v>
      </c>
      <c r="AA187" s="384">
        <f t="shared" si="63"/>
        <v>48.009294290708212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8.211854071302073E-2</v>
      </c>
      <c r="AD187" s="230">
        <f>(INDEX(Models!$BJ187:$BT187,,AH187)*(1-AF187)+INDEX(Models!$BJ187:$BT187,,AH187+1)*AF187-ERP_i)*AE187*Ramure*Pc/MaxiM</f>
        <v>5.4894747699930175E-4</v>
      </c>
      <c r="AE187" s="304">
        <f t="shared" si="65"/>
        <v>0.6</v>
      </c>
      <c r="AF187" s="177">
        <f t="shared" si="66"/>
        <v>0.30937487511050499</v>
      </c>
      <c r="AG187" s="799">
        <f t="shared" si="74"/>
        <v>3</v>
      </c>
      <c r="AH187" s="176">
        <f t="shared" si="67"/>
        <v>9</v>
      </c>
      <c r="AI187" s="224">
        <f t="shared" si="68"/>
        <v>3.309374875110505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'2027'!Wh/'2027'!Env_an*'2028'!Env_an</f>
        <v>40.47520600595017</v>
      </c>
      <c r="C188" s="829"/>
      <c r="D188" s="391">
        <f t="shared" si="50"/>
        <v>43.237702642860164</v>
      </c>
      <c r="E188" s="383">
        <f t="shared" si="75"/>
        <v>45.304943410305746</v>
      </c>
      <c r="F188" s="383">
        <f t="shared" si="51"/>
        <v>45.306447407709776</v>
      </c>
      <c r="G188" s="110">
        <f t="shared" si="76"/>
        <v>0.71835588123533534</v>
      </c>
      <c r="H188" s="412" t="b">
        <f>Wh_hp&gt;='2027'!Maxi_hp</f>
        <v>0</v>
      </c>
      <c r="I188" s="388">
        <f>IF(H188,Wh_hp,'2027'!Maxi_hp)</f>
        <v>54.409239843799597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6.3890920841192411E-2</v>
      </c>
      <c r="M188" s="832"/>
      <c r="N188" s="832"/>
      <c r="O188" s="48">
        <f>IF(t&lt;Tnet,'2027'!Resal+('2027'!Salim-'2027'!Resal)*(1-EXP(('2027'!Tnet-t)/('2027'!Tau_j))),Resal+(Salim-Resal)*(1-EXP((Tnet-t)/(Tau_j))))*Salcycl</f>
        <v>4.5629474662920201E-2</v>
      </c>
      <c r="P188" s="169">
        <f>(INDEX(Models!$BJ188:$BT188,,T188)*(1-R188)+INDEX(Models!$BJ188:$BT188,,T188+1)*R188-ERP_i)*Q188*Ramure*Pc/MaxiM</f>
        <v>5.5542135551952053E-5</v>
      </c>
      <c r="Q188" s="304">
        <f t="shared" si="53"/>
        <v>0.6</v>
      </c>
      <c r="R188" s="177">
        <f t="shared" si="54"/>
        <v>0.78920792356774827</v>
      </c>
      <c r="S188" s="799">
        <f t="shared" si="55"/>
        <v>-1</v>
      </c>
      <c r="T188" s="176">
        <f t="shared" si="56"/>
        <v>5</v>
      </c>
      <c r="U188" s="250">
        <f t="shared" si="57"/>
        <v>-0.21079207643225178</v>
      </c>
      <c r="V188" s="382">
        <f t="shared" si="58"/>
        <v>56.342966728371721</v>
      </c>
      <c r="W188" s="400">
        <f t="shared" si="59"/>
        <v>40.47520600595017</v>
      </c>
      <c r="X188" s="157">
        <f t="shared" si="60"/>
        <v>46926</v>
      </c>
      <c r="Y188" s="383">
        <f t="shared" si="61"/>
        <v>38.913341866811066</v>
      </c>
      <c r="Z188" s="383">
        <f t="shared" si="62"/>
        <v>41.569238813257527</v>
      </c>
      <c r="AA188" s="384">
        <f t="shared" si="63"/>
        <v>45.291475533487507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8.2184046255632318E-2</v>
      </c>
      <c r="AD188" s="230">
        <f>(INDEX(Models!$BJ188:$BT188,,AH188)*(1-AF188)+INDEX(Models!$BJ188:$BT188,,AH188+1)*AF188-ERP_i)*AE188*Ramure*Pc/MaxiM</f>
        <v>5.5290645136281565E-4</v>
      </c>
      <c r="AE188" s="304">
        <f t="shared" si="65"/>
        <v>0.6</v>
      </c>
      <c r="AF188" s="177">
        <f t="shared" si="66"/>
        <v>0.31419548994172652</v>
      </c>
      <c r="AG188" s="799">
        <f t="shared" si="74"/>
        <v>3</v>
      </c>
      <c r="AH188" s="176">
        <f t="shared" si="67"/>
        <v>9</v>
      </c>
      <c r="AI188" s="224">
        <f t="shared" si="68"/>
        <v>3.3141954899417265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'2027'!Wh/'2027'!Env_an*'2028'!Env_an</f>
        <v>38.177658442447822</v>
      </c>
      <c r="C189" s="829"/>
      <c r="D189" s="391">
        <f t="shared" si="50"/>
        <v>40.784125453512239</v>
      </c>
      <c r="E189" s="383">
        <f t="shared" si="75"/>
        <v>42.738003506505912</v>
      </c>
      <c r="F189" s="383">
        <f t="shared" si="51"/>
        <v>42.739301088540138</v>
      </c>
      <c r="G189" s="110">
        <f t="shared" si="76"/>
        <v>0.67828329500951501</v>
      </c>
      <c r="H189" s="412" t="b">
        <f>Wh_hp&gt;='2027'!Maxi_hp</f>
        <v>0</v>
      </c>
      <c r="I189" s="388">
        <f>IF(H189,Wh_hp,'2027'!Maxi_hp)</f>
        <v>62.441537989908561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6.3908861158133656E-2</v>
      </c>
      <c r="M189" s="832"/>
      <c r="N189" s="832"/>
      <c r="O189" s="48">
        <f>IF(t&lt;Tnet,'2027'!Resal+('2027'!Salim-'2027'!Resal)*(1-EXP(('2027'!Tnet-t)/('2027'!Tau_j))),Resal+(Salim-Resal)*(1-EXP((Tnet-t)/(Tau_j))))*Salcycl</f>
        <v>4.5717579032353198E-2</v>
      </c>
      <c r="P189" s="169">
        <f>(INDEX(Models!$BJ189:$BT189,,T189)*(1-R189)+INDEX(Models!$BJ189:$BT189,,T189+1)*R189-ERP_i)*Q189*Ramure*Pc/MaxiM</f>
        <v>5.6178246487474335E-5</v>
      </c>
      <c r="Q189" s="304">
        <f t="shared" si="53"/>
        <v>0.6</v>
      </c>
      <c r="R189" s="177">
        <f t="shared" si="54"/>
        <v>0.7939771259492906</v>
      </c>
      <c r="S189" s="799">
        <f t="shared" si="55"/>
        <v>-1</v>
      </c>
      <c r="T189" s="176">
        <f t="shared" si="56"/>
        <v>5</v>
      </c>
      <c r="U189" s="250">
        <f t="shared" si="57"/>
        <v>-0.2060228740507094</v>
      </c>
      <c r="V189" s="382">
        <f t="shared" si="58"/>
        <v>56.284259141078522</v>
      </c>
      <c r="W189" s="400">
        <f t="shared" si="59"/>
        <v>38.177658442447822</v>
      </c>
      <c r="X189" s="157">
        <f t="shared" si="60"/>
        <v>46927</v>
      </c>
      <c r="Y189" s="383">
        <f t="shared" si="61"/>
        <v>36.706248664687926</v>
      </c>
      <c r="Z189" s="383">
        <f t="shared" si="62"/>
        <v>39.212259513641975</v>
      </c>
      <c r="AA189" s="384">
        <f t="shared" si="63"/>
        <v>42.726430105991277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8.2248167788221915E-2</v>
      </c>
      <c r="AD189" s="230">
        <f>(INDEX(Models!$BJ189:$BT189,,AH189)*(1-AF189)+INDEX(Models!$BJ189:$BT189,,AH189+1)*AF189-ERP_i)*AE189*Ramure*Pc/MaxiM</f>
        <v>5.5724355847332088E-4</v>
      </c>
      <c r="AE189" s="304">
        <f t="shared" si="65"/>
        <v>0.6</v>
      </c>
      <c r="AF189" s="177">
        <f t="shared" si="66"/>
        <v>0.31896469232326918</v>
      </c>
      <c r="AG189" s="799">
        <f t="shared" si="74"/>
        <v>3</v>
      </c>
      <c r="AH189" s="176">
        <f t="shared" si="67"/>
        <v>9</v>
      </c>
      <c r="AI189" s="224">
        <f t="shared" si="68"/>
        <v>3.3189646923232692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'2027'!Wh/'2027'!Env_an*'2028'!Env_an</f>
        <v>33.131209652624769</v>
      </c>
      <c r="C190" s="829"/>
      <c r="D190" s="391">
        <f t="shared" si="50"/>
        <v>35.393823573481363</v>
      </c>
      <c r="E190" s="383">
        <f t="shared" si="75"/>
        <v>37.092858171901725</v>
      </c>
      <c r="F190" s="383">
        <f t="shared" si="51"/>
        <v>37.093730231343116</v>
      </c>
      <c r="G190" s="110">
        <f t="shared" si="76"/>
        <v>0.58924954458855738</v>
      </c>
      <c r="H190" s="412" t="b">
        <f>Wh_hp&gt;='2027'!Maxi_hp</f>
        <v>0</v>
      </c>
      <c r="I190" s="388">
        <f>IF(H190,Wh_hp,'2027'!Maxi_hp)</f>
        <v>58.359170518097258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6.3926801131252931E-2</v>
      </c>
      <c r="M190" s="832"/>
      <c r="N190" s="832"/>
      <c r="O190" s="48">
        <f>IF(t&lt;Tnet,'2027'!Resal+('2027'!Salim-'2027'!Resal)*(1-EXP(('2027'!Tnet-t)/('2027'!Tau_j))),Resal+(Salim-Resal)*(1-EXP((Tnet-t)/(Tau_j))))*Salcycl</f>
        <v>4.5804898359312694E-2</v>
      </c>
      <c r="P190" s="169">
        <f>(INDEX(Models!$BJ190:$BT190,,T190)*(1-R190)+INDEX(Models!$BJ190:$BT190,,T190+1)*R190-ERP_i)*Q190*Ramure*Pc/MaxiM</f>
        <v>5.6890716232203706E-5</v>
      </c>
      <c r="Q190" s="304">
        <f t="shared" si="53"/>
        <v>0.6</v>
      </c>
      <c r="R190" s="177">
        <f t="shared" si="54"/>
        <v>0.79869177334026653</v>
      </c>
      <c r="S190" s="799">
        <f t="shared" si="55"/>
        <v>-1</v>
      </c>
      <c r="T190" s="176">
        <f t="shared" si="56"/>
        <v>5</v>
      </c>
      <c r="U190" s="250">
        <f t="shared" si="57"/>
        <v>-0.20130822665973352</v>
      </c>
      <c r="V190" s="382">
        <f t="shared" si="58"/>
        <v>56.224232966704534</v>
      </c>
      <c r="W190" s="400">
        <f t="shared" si="59"/>
        <v>33.131209652624769</v>
      </c>
      <c r="X190" s="157">
        <f t="shared" si="60"/>
        <v>46928</v>
      </c>
      <c r="Y190" s="383">
        <f t="shared" si="61"/>
        <v>31.85701088041548</v>
      </c>
      <c r="Z190" s="383">
        <f t="shared" si="62"/>
        <v>34.032606551405344</v>
      </c>
      <c r="AA190" s="384">
        <f t="shared" si="63"/>
        <v>37.085116032348672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8.2310905493208603E-2</v>
      </c>
      <c r="AD190" s="230">
        <f>(INDEX(Models!$BJ190:$BT190,,AH190)*(1-AF190)+INDEX(Models!$BJ190:$BT190,,AH190+1)*AF190-ERP_i)*AE190*Ramure*Pc/MaxiM</f>
        <v>5.6196622305704452E-4</v>
      </c>
      <c r="AE190" s="304">
        <f t="shared" si="65"/>
        <v>0.6</v>
      </c>
      <c r="AF190" s="177">
        <f t="shared" si="66"/>
        <v>0.32367933971424501</v>
      </c>
      <c r="AG190" s="799">
        <f t="shared" si="74"/>
        <v>3</v>
      </c>
      <c r="AH190" s="176">
        <f t="shared" si="67"/>
        <v>9</v>
      </c>
      <c r="AI190" s="224">
        <f t="shared" si="68"/>
        <v>3.323679339714245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'2027'!Wh/'2027'!Env_an*'2028'!Env_an</f>
        <v>11.76286587453709</v>
      </c>
      <c r="C191" s="829"/>
      <c r="D191" s="391">
        <f t="shared" si="50"/>
        <v>12.566422503832268</v>
      </c>
      <c r="E191" s="383">
        <f t="shared" si="75"/>
        <v>13.170851754816171</v>
      </c>
      <c r="F191" s="383">
        <f t="shared" si="51"/>
        <v>13.170851754816171</v>
      </c>
      <c r="G191" s="110">
        <f t="shared" si="76"/>
        <v>0.20942988685491523</v>
      </c>
      <c r="H191" s="412" t="b">
        <f>Wh_hp&gt;='2027'!Maxi_hp</f>
        <v>0</v>
      </c>
      <c r="I191" s="388">
        <f>IF(H191,Wh_hp,'2027'!Maxi_hp)</f>
        <v>60.460509614669505</v>
      </c>
      <c r="J191" s="85">
        <f>IF(H191,An,'2027'!An_max)</f>
        <v>2021</v>
      </c>
      <c r="K191" s="197">
        <f t="shared" si="52"/>
        <v>46929</v>
      </c>
      <c r="L191" s="147">
        <f>IF(t&lt;Tvie,1-EXP((T0-t)*PertePVj)+'2027'!Pspv,1-EXP((T0-t)*PertePVj)+Pspv)</f>
        <v>6.3944740760556562E-2</v>
      </c>
      <c r="M191" s="832"/>
      <c r="N191" s="832"/>
      <c r="O191" s="48">
        <f>IF(t&lt;Tnet,'2027'!Resal+('2027'!Salim-'2027'!Resal)*(1-EXP(('2027'!Tnet-t)/('2027'!Tau_j))),Resal+(Salim-Resal)*(1-EXP((Tnet-t)/(Tau_j))))*Salcycl</f>
        <v>4.5891432250225052E-2</v>
      </c>
      <c r="P191" s="169">
        <f>(INDEX(Models!$BJ191:$BT191,,T191)*(1-R191)+INDEX(Models!$BJ191:$BT191,,T191+1)*R191-ERP_i)*Q191*Ramure*Pc/MaxiM</f>
        <v>5.7681293060944136E-5</v>
      </c>
      <c r="Q191" s="304">
        <f t="shared" si="53"/>
        <v>0.6</v>
      </c>
      <c r="R191" s="177">
        <f t="shared" si="54"/>
        <v>0.80334888568109875</v>
      </c>
      <c r="S191" s="799">
        <f t="shared" si="55"/>
        <v>-1</v>
      </c>
      <c r="T191" s="176">
        <f t="shared" si="56"/>
        <v>5</v>
      </c>
      <c r="U191" s="250">
        <f t="shared" si="57"/>
        <v>-0.19665111431890125</v>
      </c>
      <c r="V191" s="382">
        <f t="shared" si="58"/>
        <v>56.162888467641302</v>
      </c>
      <c r="W191" s="400">
        <f t="shared" si="59"/>
        <v>11.76286587453709</v>
      </c>
      <c r="X191" s="157">
        <f t="shared" si="60"/>
        <v>46929</v>
      </c>
      <c r="Y191" s="383">
        <f t="shared" si="61"/>
        <v>11.313106656286081</v>
      </c>
      <c r="Z191" s="383">
        <f t="shared" si="62"/>
        <v>12.08593888514458</v>
      </c>
      <c r="AA191" s="384">
        <f t="shared" si="63"/>
        <v>13.170851754816171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8.2372263378856392E-2</v>
      </c>
      <c r="AD191" s="230">
        <f>(INDEX(Models!$BJ191:$BT191,,AH191)*(1-AF191)+INDEX(Models!$BJ191:$BT191,,AH191+1)*AF191-ERP_i)*AE191*Ramure*Pc/MaxiM</f>
        <v>5.6708174694847702E-4</v>
      </c>
      <c r="AE191" s="304">
        <f t="shared" si="65"/>
        <v>0.6</v>
      </c>
      <c r="AF191" s="177">
        <f t="shared" si="66"/>
        <v>0.32833645205507711</v>
      </c>
      <c r="AG191" s="799">
        <f t="shared" si="74"/>
        <v>3</v>
      </c>
      <c r="AH191" s="176">
        <f t="shared" si="67"/>
        <v>9</v>
      </c>
      <c r="AI191" s="224">
        <f t="shared" si="68"/>
        <v>3.3283364520550771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'2027'!Wh/'2027'!Env_an*'2028'!Env_an</f>
        <v>14.292997429677165</v>
      </c>
      <c r="C192" s="829"/>
      <c r="D192" s="391">
        <f t="shared" si="50"/>
        <v>15.269687570128459</v>
      </c>
      <c r="E192" s="383">
        <f t="shared" si="75"/>
        <v>16.005578995180603</v>
      </c>
      <c r="F192" s="383">
        <f t="shared" si="51"/>
        <v>16.005578995180603</v>
      </c>
      <c r="G192" s="110">
        <f t="shared" si="76"/>
        <v>0.25476119485494375</v>
      </c>
      <c r="H192" s="412" t="b">
        <f>Wh_hp&gt;='2027'!Maxi_hp</f>
        <v>0</v>
      </c>
      <c r="I192" s="388">
        <f>IF(H192,Wh_hp,'2027'!Maxi_hp)</f>
        <v>59.284461981263078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6.3962680046051434E-2</v>
      </c>
      <c r="M192" s="832"/>
      <c r="N192" s="832"/>
      <c r="O192" s="48">
        <f>IF(t&lt;Tnet,'2027'!Resal+('2027'!Salim-'2027'!Resal)*(1-EXP(('2027'!Tnet-t)/('2027'!Tau_j))),Resal+(Salim-Resal)*(1-EXP((Tnet-t)/(Tau_j))))*Salcycl</f>
        <v>4.5977182410816018E-2</v>
      </c>
      <c r="P192" s="169">
        <f>(INDEX(Models!$BJ192:$BT192,,T192)*(1-R192)+INDEX(Models!$BJ192:$BT192,,T192+1)*R192-ERP_i)*Q192*Ramure*Pc/MaxiM</f>
        <v>5.860821599155152E-5</v>
      </c>
      <c r="Q192" s="304">
        <f t="shared" si="53"/>
        <v>0.6</v>
      </c>
      <c r="R192" s="177">
        <f t="shared" si="54"/>
        <v>0.80794565109881589</v>
      </c>
      <c r="S192" s="799">
        <f t="shared" si="55"/>
        <v>-1</v>
      </c>
      <c r="T192" s="176">
        <f t="shared" si="56"/>
        <v>5</v>
      </c>
      <c r="U192" s="250">
        <f t="shared" si="57"/>
        <v>-0.19205434890118411</v>
      </c>
      <c r="V192" s="382">
        <f t="shared" si="58"/>
        <v>56.100222605465191</v>
      </c>
      <c r="W192" s="400">
        <f t="shared" si="59"/>
        <v>14.292997429677165</v>
      </c>
      <c r="X192" s="157">
        <f t="shared" si="60"/>
        <v>46930</v>
      </c>
      <c r="Y192" s="383">
        <f t="shared" si="61"/>
        <v>13.746834207951698</v>
      </c>
      <c r="Z192" s="383">
        <f t="shared" si="62"/>
        <v>14.686203119153433</v>
      </c>
      <c r="AA192" s="384">
        <f t="shared" si="63"/>
        <v>16.005578995180603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8.2432249181641146E-2</v>
      </c>
      <c r="AD192" s="230">
        <f>(INDEX(Models!$BJ192:$BT192,,AH192)*(1-AF192)+INDEX(Models!$BJ192:$BT192,,AH192+1)*AF192-ERP_i)*AE192*Ramure*Pc/MaxiM</f>
        <v>5.729052797692366E-4</v>
      </c>
      <c r="AE192" s="304">
        <f t="shared" si="65"/>
        <v>0.6</v>
      </c>
      <c r="AF192" s="177">
        <f t="shared" si="66"/>
        <v>0.33293321747279414</v>
      </c>
      <c r="AG192" s="799">
        <f t="shared" si="74"/>
        <v>3</v>
      </c>
      <c r="AH192" s="176">
        <f t="shared" si="67"/>
        <v>9</v>
      </c>
      <c r="AI192" s="224">
        <f t="shared" si="68"/>
        <v>3.3329332174727941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'2027'!Wh/'2027'!Env_an*'2028'!Env_an</f>
        <v>56.702338871254838</v>
      </c>
      <c r="C193" s="829"/>
      <c r="D193" s="391">
        <f t="shared" si="50"/>
        <v>60.578167526760204</v>
      </c>
      <c r="E193" s="383">
        <f t="shared" si="75"/>
        <v>63.503264590421693</v>
      </c>
      <c r="F193" s="383">
        <f t="shared" si="51"/>
        <v>63.507051622398627</v>
      </c>
      <c r="G193" s="110">
        <f t="shared" si="76"/>
        <v>1.0118869712014775</v>
      </c>
      <c r="H193" s="412" t="b">
        <f>Wh_hp&gt;='2027'!Maxi_hp</f>
        <v>1</v>
      </c>
      <c r="I193" s="388">
        <f>IF(H193,Wh_hp,'2027'!Maxi_hp)</f>
        <v>63.507051622398627</v>
      </c>
      <c r="J193" s="85">
        <f>IF(H193,An,'2027'!An_max)</f>
        <v>2028</v>
      </c>
      <c r="K193" s="197">
        <f t="shared" si="52"/>
        <v>46931</v>
      </c>
      <c r="L193" s="147">
        <f>IF(t&lt;Tvie,1-EXP((T0-t)*PertePVj)+'2027'!Pspv,1-EXP((T0-t)*PertePVj)+Pspv)</f>
        <v>6.3980618987743876E-2</v>
      </c>
      <c r="M193" s="832"/>
      <c r="N193" s="832"/>
      <c r="O193" s="48">
        <f>IF(t&lt;Tnet,'2027'!Resal+('2027'!Salim-'2027'!Resal)*(1-EXP(('2027'!Tnet-t)/('2027'!Tau_j))),Resal+(Salim-Resal)*(1-EXP((Tnet-t)/(Tau_j))))*Salcycl</f>
        <v>4.6062152592115498E-2</v>
      </c>
      <c r="P193" s="169">
        <f>(INDEX(Models!$BJ193:$BT193,,T193)*(1-R193)+INDEX(Models!$BJ193:$BT193,,T193+1)*R193-ERP_i)*Q193*Ramure*Pc/MaxiM</f>
        <v>5.9631676800992439E-5</v>
      </c>
      <c r="Q193" s="304">
        <f t="shared" si="53"/>
        <v>0.6</v>
      </c>
      <c r="R193" s="177">
        <f t="shared" si="54"/>
        <v>0.81247943062964545</v>
      </c>
      <c r="S193" s="799">
        <f t="shared" si="55"/>
        <v>-1</v>
      </c>
      <c r="T193" s="176">
        <f t="shared" si="56"/>
        <v>5</v>
      </c>
      <c r="U193" s="250">
        <f t="shared" si="57"/>
        <v>-0.18752056937035461</v>
      </c>
      <c r="V193" s="382">
        <f t="shared" si="58"/>
        <v>56.036237727153022</v>
      </c>
      <c r="W193" s="400">
        <f t="shared" si="59"/>
        <v>56.702338871254838</v>
      </c>
      <c r="X193" s="157">
        <f t="shared" si="60"/>
        <v>46931</v>
      </c>
      <c r="Y193" s="383">
        <f t="shared" si="61"/>
        <v>54.508667193865577</v>
      </c>
      <c r="Z193" s="383">
        <f t="shared" si="62"/>
        <v>58.234549732204577</v>
      </c>
      <c r="AA193" s="384">
        <f t="shared" si="63"/>
        <v>63.470267594897315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8.2490874248553822E-2</v>
      </c>
      <c r="AD193" s="230">
        <f>(INDEX(Models!$BJ193:$BT193,,AH193)*(1-AF193)+INDEX(Models!$BJ193:$BT193,,AH193+1)*AF193-ERP_i)*AE193*Ramure*Pc/MaxiM</f>
        <v>5.7921170266294968E-4</v>
      </c>
      <c r="AE193" s="304">
        <f t="shared" si="65"/>
        <v>0.6</v>
      </c>
      <c r="AF193" s="177">
        <f t="shared" si="66"/>
        <v>0.3374669970036237</v>
      </c>
      <c r="AG193" s="799">
        <f t="shared" si="74"/>
        <v>3</v>
      </c>
      <c r="AH193" s="176">
        <f t="shared" si="67"/>
        <v>9</v>
      </c>
      <c r="AI193" s="224">
        <f t="shared" si="68"/>
        <v>3.3374669970036237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'2027'!Wh/'2027'!Env_an*'2028'!Env_an</f>
        <v>55.07669416105734</v>
      </c>
      <c r="C194" s="829"/>
      <c r="D194" s="391">
        <f t="shared" si="50"/>
        <v>58.842531288189392</v>
      </c>
      <c r="E194" s="383">
        <f t="shared" si="75"/>
        <v>61.689265640712165</v>
      </c>
      <c r="F194" s="383">
        <f t="shared" si="51"/>
        <v>61.692928162836729</v>
      </c>
      <c r="G194" s="110">
        <f t="shared" si="76"/>
        <v>0.98402177940164615</v>
      </c>
      <c r="H194" s="412" t="b">
        <f>Wh_hp&gt;='2027'!Maxi_hp</f>
        <v>0</v>
      </c>
      <c r="I194" s="388">
        <f>IF(H194,Wh_hp,'2027'!Maxi_hp)</f>
        <v>61.693001513826836</v>
      </c>
      <c r="J194" s="85">
        <f>IF(H194,An,'2027'!An_max)</f>
        <v>2026</v>
      </c>
      <c r="K194" s="197">
        <f t="shared" si="52"/>
        <v>46932</v>
      </c>
      <c r="L194" s="147">
        <f>IF(t&lt;Tvie,1-EXP((T0-t)*PertePVj)+'2027'!Pspv,1-EXP((T0-t)*PertePVj)+Pspv)</f>
        <v>6.3998557585640659E-2</v>
      </c>
      <c r="M194" s="832"/>
      <c r="N194" s="832"/>
      <c r="O194" s="48">
        <f>IF(t&lt;Tnet,'2027'!Resal+('2027'!Salim-'2027'!Resal)*(1-EXP(('2027'!Tnet-t)/('2027'!Tau_j))),Resal+(Salim-Resal)*(1-EXP((Tnet-t)/(Tau_j))))*Salcycl</f>
        <v>4.6146348525245823E-2</v>
      </c>
      <c r="P194" s="169">
        <f>(INDEX(Models!$BJ194:$BT194,,T194)*(1-R194)+INDEX(Models!$BJ194:$BT194,,T194+1)*R194-ERP_i)*Q194*Ramure*Pc/MaxiM</f>
        <v>6.0753613872261779E-5</v>
      </c>
      <c r="Q194" s="304">
        <f t="shared" si="53"/>
        <v>0.6</v>
      </c>
      <c r="R194" s="177">
        <f t="shared" si="54"/>
        <v>0.81694776196141772</v>
      </c>
      <c r="S194" s="799">
        <f t="shared" si="55"/>
        <v>-1</v>
      </c>
      <c r="T194" s="176">
        <f t="shared" si="56"/>
        <v>5</v>
      </c>
      <c r="U194" s="250">
        <f t="shared" si="57"/>
        <v>-0.18305223803858228</v>
      </c>
      <c r="V194" s="382">
        <f t="shared" si="58"/>
        <v>55.970933710605387</v>
      </c>
      <c r="W194" s="400">
        <f t="shared" si="59"/>
        <v>55.07669416105734</v>
      </c>
      <c r="X194" s="157">
        <f t="shared" si="60"/>
        <v>46932</v>
      </c>
      <c r="Y194" s="383">
        <f t="shared" si="61"/>
        <v>52.947616928825873</v>
      </c>
      <c r="Z194" s="383">
        <f t="shared" si="62"/>
        <v>56.567879630880356</v>
      </c>
      <c r="AA194" s="384">
        <f t="shared" si="63"/>
        <v>61.657600712813291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8.2548153400254204E-2</v>
      </c>
      <c r="AD194" s="230">
        <f>(INDEX(Models!$BJ194:$BT194,,AH194)*(1-AF194)+INDEX(Models!$BJ194:$BT194,,AH194+1)*AF194-ERP_i)*AE194*Ramure*Pc/MaxiM</f>
        <v>5.8600881709963497E-4</v>
      </c>
      <c r="AE194" s="304">
        <f t="shared" si="65"/>
        <v>0.6</v>
      </c>
      <c r="AF194" s="177">
        <f t="shared" si="66"/>
        <v>0.34193532833539608</v>
      </c>
      <c r="AG194" s="799">
        <f t="shared" si="74"/>
        <v>3</v>
      </c>
      <c r="AH194" s="176">
        <f t="shared" si="67"/>
        <v>9</v>
      </c>
      <c r="AI194" s="224">
        <f t="shared" si="68"/>
        <v>3.3419353283353961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'2027'!Wh/'2027'!Env_an*'2028'!Env_an</f>
        <v>13.582877563509173</v>
      </c>
      <c r="C195" s="829"/>
      <c r="D195" s="391">
        <f t="shared" si="50"/>
        <v>14.511877082380311</v>
      </c>
      <c r="E195" s="383">
        <f t="shared" si="75"/>
        <v>15.215275907439331</v>
      </c>
      <c r="F195" s="383">
        <f t="shared" si="51"/>
        <v>15.215275907439331</v>
      </c>
      <c r="G195" s="110">
        <f t="shared" si="76"/>
        <v>0.24295149469438956</v>
      </c>
      <c r="H195" s="412" t="b">
        <f>Wh_hp&gt;='2027'!Maxi_hp</f>
        <v>0</v>
      </c>
      <c r="I195" s="388">
        <f>IF(H195,Wh_hp,'2027'!Maxi_hp)</f>
        <v>52.702185547178217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6.4016495839748222E-2</v>
      </c>
      <c r="M195" s="832"/>
      <c r="N195" s="832"/>
      <c r="O195" s="48">
        <f>IF(t&lt;Tnet,'2027'!Resal+('2027'!Salim-'2027'!Resal)*(1-EXP(('2027'!Tnet-t)/('2027'!Tau_j))),Resal+(Salim-Resal)*(1-EXP((Tnet-t)/(Tau_j))))*Salcycl</f>
        <v>4.6229777845507282E-2</v>
      </c>
      <c r="P195" s="169">
        <f>(INDEX(Models!$BJ195:$BT195,,T195)*(1-R195)+INDEX(Models!$BJ195:$BT195,,T195+1)*R195-ERP_i)*Q195*Ramure*Pc/MaxiM</f>
        <v>6.1975900094496565E-5</v>
      </c>
      <c r="Q195" s="304">
        <f t="shared" si="53"/>
        <v>0.6</v>
      </c>
      <c r="R195" s="177">
        <f t="shared" si="54"/>
        <v>0.82134836220697327</v>
      </c>
      <c r="S195" s="799">
        <f t="shared" si="55"/>
        <v>-1</v>
      </c>
      <c r="T195" s="176">
        <f t="shared" si="56"/>
        <v>5</v>
      </c>
      <c r="U195" s="250">
        <f t="shared" si="57"/>
        <v>-0.17865163779302667</v>
      </c>
      <c r="V195" s="382">
        <f t="shared" si="58"/>
        <v>55.904310321413107</v>
      </c>
      <c r="W195" s="400">
        <f t="shared" si="59"/>
        <v>13.582877563509173</v>
      </c>
      <c r="X195" s="157">
        <f t="shared" si="60"/>
        <v>46933</v>
      </c>
      <c r="Y195" s="383">
        <f t="shared" si="61"/>
        <v>13.064861779751789</v>
      </c>
      <c r="Z195" s="383">
        <f t="shared" si="62"/>
        <v>13.95843166218336</v>
      </c>
      <c r="AA195" s="384">
        <f t="shared" si="63"/>
        <v>15.215275907439331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8.2604104776138346E-2</v>
      </c>
      <c r="AD195" s="230">
        <f>(INDEX(Models!$BJ195:$BT195,,AH195)*(1-AF195)+INDEX(Models!$BJ195:$BT195,,AH195+1)*AF195-ERP_i)*AE195*Ramure*Pc/MaxiM</f>
        <v>5.933042453165028E-4</v>
      </c>
      <c r="AE195" s="304">
        <f t="shared" si="65"/>
        <v>0.6</v>
      </c>
      <c r="AF195" s="177">
        <f t="shared" si="66"/>
        <v>0.34633592858095197</v>
      </c>
      <c r="AG195" s="799">
        <f t="shared" si="74"/>
        <v>3</v>
      </c>
      <c r="AH195" s="176">
        <f t="shared" si="67"/>
        <v>9</v>
      </c>
      <c r="AI195" s="224">
        <f t="shared" si="68"/>
        <v>3.346335928580952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'2027'!Wh/'2027'!Env_an*'2028'!Env_an</f>
        <v>48.992769440186251</v>
      </c>
      <c r="C196" s="829"/>
      <c r="D196" s="391">
        <f t="shared" si="50"/>
        <v>52.344628057720591</v>
      </c>
      <c r="E196" s="383">
        <f t="shared" si="75"/>
        <v>54.886559081189247</v>
      </c>
      <c r="F196" s="383">
        <f t="shared" si="51"/>
        <v>54.889425235921863</v>
      </c>
      <c r="G196" s="110">
        <f t="shared" si="76"/>
        <v>0.87742503392583771</v>
      </c>
      <c r="H196" s="412" t="b">
        <f>Wh_hp&gt;='2027'!Maxi_hp</f>
        <v>0</v>
      </c>
      <c r="I196" s="388">
        <f>IF(H196,Wh_hp,'2027'!Maxi_hp)</f>
        <v>60.959454139649438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6.4034433750073338E-2</v>
      </c>
      <c r="M196" s="832"/>
      <c r="N196" s="832"/>
      <c r="O196" s="48">
        <f>IF(t&lt;Tnet,'2027'!Resal+('2027'!Salim-'2027'!Resal)*(1-EXP(('2027'!Tnet-t)/('2027'!Tau_j))),Resal+(Salim-Resal)*(1-EXP((Tnet-t)/(Tau_j))))*Salcycl</f>
        <v>4.6312450006359147E-2</v>
      </c>
      <c r="P196" s="169">
        <f>(INDEX(Models!$BJ196:$BT196,,T196)*(1-R196)+INDEX(Models!$BJ196:$BT196,,T196+1)*R196-ERP_i)*Q196*Ramure*Pc/MaxiM</f>
        <v>6.3300343416481145E-5</v>
      </c>
      <c r="Q196" s="304">
        <f t="shared" si="53"/>
        <v>0.6</v>
      </c>
      <c r="R196" s="177">
        <f t="shared" si="54"/>
        <v>0.82567912972791624</v>
      </c>
      <c r="S196" s="799">
        <f t="shared" si="55"/>
        <v>-1</v>
      </c>
      <c r="T196" s="176">
        <f t="shared" si="56"/>
        <v>5</v>
      </c>
      <c r="U196" s="250">
        <f t="shared" si="57"/>
        <v>-0.17432087027208382</v>
      </c>
      <c r="V196" s="382">
        <f t="shared" si="58"/>
        <v>55.836367220158245</v>
      </c>
      <c r="W196" s="400">
        <f t="shared" si="59"/>
        <v>48.992769440186251</v>
      </c>
      <c r="X196" s="157">
        <f t="shared" si="60"/>
        <v>46934</v>
      </c>
      <c r="Y196" s="383">
        <f t="shared" si="61"/>
        <v>47.104682057033457</v>
      </c>
      <c r="Z196" s="383">
        <f t="shared" si="62"/>
        <v>50.327366471145702</v>
      </c>
      <c r="AA196" s="384">
        <f t="shared" si="63"/>
        <v>54.862207987083302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8.2658749662523179E-2</v>
      </c>
      <c r="AD196" s="230">
        <f>(INDEX(Models!$BJ196:$BT196,,AH196)*(1-AF196)+INDEX(Models!$BJ196:$BT196,,AH196+1)*AF196-ERP_i)*AE196*Ramure*Pc/MaxiM</f>
        <v>6.011054388400884E-4</v>
      </c>
      <c r="AE196" s="304">
        <f t="shared" si="65"/>
        <v>0.6</v>
      </c>
      <c r="AF196" s="177">
        <f t="shared" si="66"/>
        <v>0.35066669610189471</v>
      </c>
      <c r="AG196" s="799">
        <f t="shared" si="74"/>
        <v>3</v>
      </c>
      <c r="AH196" s="176">
        <f t="shared" si="67"/>
        <v>9</v>
      </c>
      <c r="AI196" s="224">
        <f t="shared" si="68"/>
        <v>3.3506666961018947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'2027'!Wh/'2027'!Env_an*'2028'!Env_an</f>
        <v>54.120627855396116</v>
      </c>
      <c r="C197" s="829"/>
      <c r="D197" s="391">
        <f t="shared" si="50"/>
        <v>57.824419013197399</v>
      </c>
      <c r="E197" s="383">
        <f t="shared" si="75"/>
        <v>60.637665685949344</v>
      </c>
      <c r="F197" s="383">
        <f t="shared" si="51"/>
        <v>60.641425369633524</v>
      </c>
      <c r="G197" s="110">
        <f t="shared" si="76"/>
        <v>0.97047320450609964</v>
      </c>
      <c r="H197" s="412" t="b">
        <f>Wh_hp&gt;='2027'!Maxi_hp</f>
        <v>0</v>
      </c>
      <c r="I197" s="388">
        <f>IF(H197,Wh_hp,'2027'!Maxi_hp)</f>
        <v>60.641566347052844</v>
      </c>
      <c r="J197" s="85">
        <f>IF(H197,An,'2027'!An_max)</f>
        <v>2026</v>
      </c>
      <c r="K197" s="197">
        <f t="shared" si="52"/>
        <v>46935</v>
      </c>
      <c r="L197" s="147">
        <f>IF(t&lt;Tvie,1-EXP((T0-t)*PertePVj)+'2027'!Pspv,1-EXP((T0-t)*PertePVj)+Pspv)</f>
        <v>6.4052371316622447E-2</v>
      </c>
      <c r="M197" s="832"/>
      <c r="N197" s="832"/>
      <c r="O197" s="48">
        <f>IF(t&lt;Tnet,'2027'!Resal+('2027'!Salim-'2027'!Resal)*(1-EXP(('2027'!Tnet-t)/('2027'!Tau_j))),Resal+(Salim-Resal)*(1-EXP((Tnet-t)/(Tau_j))))*Salcycl</f>
        <v>4.6394376183973407E-2</v>
      </c>
      <c r="P197" s="169">
        <f>(INDEX(Models!$BJ197:$BT197,,T197)*(1-R197)+INDEX(Models!$BJ197:$BT197,,T197+1)*R197-ERP_i)*Q197*Ramure*Pc/MaxiM</f>
        <v>6.4728688060679282E-5</v>
      </c>
      <c r="Q197" s="304">
        <f t="shared" si="53"/>
        <v>0.6</v>
      </c>
      <c r="R197" s="177">
        <f t="shared" si="54"/>
        <v>0.82993814503557684</v>
      </c>
      <c r="S197" s="799">
        <f t="shared" si="55"/>
        <v>-1</v>
      </c>
      <c r="T197" s="176">
        <f t="shared" si="56"/>
        <v>5</v>
      </c>
      <c r="U197" s="250">
        <f t="shared" si="57"/>
        <v>-0.17006185496442316</v>
      </c>
      <c r="V197" s="382">
        <f t="shared" si="58"/>
        <v>55.767103966446157</v>
      </c>
      <c r="W197" s="400">
        <f t="shared" si="59"/>
        <v>54.120627855396116</v>
      </c>
      <c r="X197" s="157">
        <f t="shared" si="60"/>
        <v>46935</v>
      </c>
      <c r="Y197" s="383">
        <f t="shared" si="61"/>
        <v>52.032300692405336</v>
      </c>
      <c r="Z197" s="383">
        <f t="shared" si="62"/>
        <v>55.593175406192927</v>
      </c>
      <c r="AA197" s="384">
        <f t="shared" si="63"/>
        <v>60.606028000551539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8.2712112305280902E-2</v>
      </c>
      <c r="AD197" s="230">
        <f>(INDEX(Models!$BJ197:$BT197,,AH197)*(1-AF197)+INDEX(Models!$BJ197:$BT197,,AH197+1)*AF197-ERP_i)*AE197*Ramure*Pc/MaxiM</f>
        <v>6.0941968897906958E-4</v>
      </c>
      <c r="AE197" s="304">
        <f t="shared" si="65"/>
        <v>0.6</v>
      </c>
      <c r="AF197" s="177">
        <f t="shared" si="66"/>
        <v>0.35492571140955542</v>
      </c>
      <c r="AG197" s="799">
        <f t="shared" si="74"/>
        <v>3</v>
      </c>
      <c r="AH197" s="176">
        <f t="shared" si="67"/>
        <v>9</v>
      </c>
      <c r="AI197" s="224">
        <f t="shared" si="68"/>
        <v>3.3549257114095554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'2027'!Wh/'2027'!Env_an*'2028'!Env_an</f>
        <v>44.5833318420949</v>
      </c>
      <c r="C198" s="829"/>
      <c r="D198" s="391">
        <f t="shared" si="50"/>
        <v>47.63534296312239</v>
      </c>
      <c r="E198" s="383">
        <f t="shared" si="75"/>
        <v>49.957128966075288</v>
      </c>
      <c r="F198" s="383">
        <f t="shared" si="51"/>
        <v>49.959496181231366</v>
      </c>
      <c r="G198" s="110">
        <f t="shared" si="76"/>
        <v>0.80045378150041424</v>
      </c>
      <c r="H198" s="412" t="b">
        <f>Wh_hp&gt;='2027'!Maxi_hp</f>
        <v>0</v>
      </c>
      <c r="I198" s="388">
        <f>IF(H198,Wh_hp,'2027'!Maxi_hp)</f>
        <v>49.96029793398943</v>
      </c>
      <c r="J198" s="85">
        <f>IF(H198,An,'2027'!An_max)</f>
        <v>2026</v>
      </c>
      <c r="K198" s="197">
        <f t="shared" si="52"/>
        <v>46936</v>
      </c>
      <c r="L198" s="147">
        <f>IF(t&lt;Tvie,1-EXP((T0-t)*PertePVj)+'2027'!Pspv,1-EXP((T0-t)*PertePVj)+Pspv)</f>
        <v>6.407030853940221E-2</v>
      </c>
      <c r="M198" s="832"/>
      <c r="N198" s="832"/>
      <c r="O198" s="48">
        <f>IF(t&lt;Tnet,'2027'!Resal+('2027'!Salim-'2027'!Resal)*(1-EXP(('2027'!Tnet-t)/('2027'!Tau_j))),Resal+(Salim-Resal)*(1-EXP((Tnet-t)/(Tau_j))))*Salcycl</f>
        <v>4.6475569173111846E-2</v>
      </c>
      <c r="P198" s="169">
        <f>(INDEX(Models!$BJ198:$BT198,,T198)*(1-R198)+INDEX(Models!$BJ198:$BT198,,T198+1)*R198-ERP_i)*Q198*Ramure*Pc/MaxiM</f>
        <v>6.6273609506937753E-5</v>
      </c>
      <c r="Q198" s="304">
        <f t="shared" si="53"/>
        <v>0.6</v>
      </c>
      <c r="R198" s="177">
        <f t="shared" si="54"/>
        <v>0.83412367080287331</v>
      </c>
      <c r="S198" s="799">
        <f t="shared" si="55"/>
        <v>-1</v>
      </c>
      <c r="T198" s="176">
        <f t="shared" si="56"/>
        <v>5</v>
      </c>
      <c r="U198" s="250">
        <f t="shared" si="57"/>
        <v>-0.16587632919712669</v>
      </c>
      <c r="V198" s="382">
        <f t="shared" si="58"/>
        <v>55.696519414698656</v>
      </c>
      <c r="W198" s="400">
        <f t="shared" si="59"/>
        <v>44.5833318420949</v>
      </c>
      <c r="X198" s="157">
        <f t="shared" si="60"/>
        <v>46936</v>
      </c>
      <c r="Y198" s="383">
        <f t="shared" si="61"/>
        <v>42.869677712164133</v>
      </c>
      <c r="Z198" s="383">
        <f t="shared" si="62"/>
        <v>45.804378366565501</v>
      </c>
      <c r="AA198" s="384">
        <f t="shared" si="63"/>
        <v>49.937409061825356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8.2764219708373901E-2</v>
      </c>
      <c r="AD198" s="230">
        <f>(INDEX(Models!$BJ198:$BT198,,AH198)*(1-AF198)+INDEX(Models!$BJ198:$BT198,,AH198+1)*AF198-ERP_i)*AE198*Ramure*Pc/MaxiM</f>
        <v>6.1836082913198289E-4</v>
      </c>
      <c r="AE198" s="304">
        <f t="shared" si="65"/>
        <v>0.6</v>
      </c>
      <c r="AF198" s="177">
        <f t="shared" si="66"/>
        <v>0.35911123717685189</v>
      </c>
      <c r="AG198" s="799">
        <f t="shared" si="74"/>
        <v>3</v>
      </c>
      <c r="AH198" s="176">
        <f t="shared" si="67"/>
        <v>9</v>
      </c>
      <c r="AI198" s="224">
        <f t="shared" si="68"/>
        <v>3.3591112371768519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'2027'!Wh/'2027'!Env_an*'2028'!Env_an</f>
        <v>43.133812923473968</v>
      </c>
      <c r="C199" s="829"/>
      <c r="D199" s="391">
        <f t="shared" si="50"/>
        <v>46.087478560153201</v>
      </c>
      <c r="E199" s="383">
        <f t="shared" si="75"/>
        <v>48.337899920690425</v>
      </c>
      <c r="F199" s="383">
        <f t="shared" si="51"/>
        <v>48.340129024770512</v>
      </c>
      <c r="G199" s="110">
        <f t="shared" si="76"/>
        <v>0.77542780523960309</v>
      </c>
      <c r="H199" s="412" t="b">
        <f>Wh_hp&gt;='2027'!Maxi_hp</f>
        <v>0</v>
      </c>
      <c r="I199" s="388">
        <f>IF(H199,Wh_hp,'2027'!Maxi_hp)</f>
        <v>58.082093863284776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6.4088245418419176E-2</v>
      </c>
      <c r="M199" s="832"/>
      <c r="N199" s="832"/>
      <c r="O199" s="48">
        <f>IF(t&lt;Tnet,'2027'!Resal+('2027'!Salim-'2027'!Resal)*(1-EXP(('2027'!Tnet-t)/('2027'!Tau_j))),Resal+(Salim-Resal)*(1-EXP((Tnet-t)/(Tau_j))))*Salcycl</f>
        <v>4.6556043275143642E-2</v>
      </c>
      <c r="P199" s="169">
        <f>(INDEX(Models!$BJ199:$BT199,,T199)*(1-R199)+INDEX(Models!$BJ199:$BT199,,T199+1)*R199-ERP_i)*Q199*Ramure*Pc/MaxiM</f>
        <v>6.7892308485893087E-5</v>
      </c>
      <c r="Q199" s="304">
        <f t="shared" si="53"/>
        <v>0.6</v>
      </c>
      <c r="R199" s="177">
        <f t="shared" si="54"/>
        <v>0.83823415102683041</v>
      </c>
      <c r="S199" s="799">
        <f t="shared" si="55"/>
        <v>-1</v>
      </c>
      <c r="T199" s="176">
        <f t="shared" si="56"/>
        <v>5</v>
      </c>
      <c r="U199" s="250">
        <f t="shared" si="57"/>
        <v>-0.16176584897316959</v>
      </c>
      <c r="V199" s="382">
        <f t="shared" si="58"/>
        <v>55.624615419070373</v>
      </c>
      <c r="W199" s="400">
        <f t="shared" si="59"/>
        <v>43.133812923473968</v>
      </c>
      <c r="X199" s="157">
        <f t="shared" si="60"/>
        <v>46937</v>
      </c>
      <c r="Y199" s="383">
        <f t="shared" si="61"/>
        <v>41.477675428256347</v>
      </c>
      <c r="Z199" s="383">
        <f t="shared" si="62"/>
        <v>44.317934062917949</v>
      </c>
      <c r="AA199" s="384">
        <f t="shared" si="63"/>
        <v>48.319520013384604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8.2815101419844564E-2</v>
      </c>
      <c r="AD199" s="230">
        <f>(INDEX(Models!$BJ199:$BT199,,AH199)*(1-AF199)+INDEX(Models!$BJ199:$BT199,,AH199+1)*AF199-ERP_i)*AE199*Ramure*Pc/MaxiM</f>
        <v>6.2769314860636216E-4</v>
      </c>
      <c r="AE199" s="304">
        <f t="shared" si="65"/>
        <v>0.6</v>
      </c>
      <c r="AF199" s="177">
        <f t="shared" si="66"/>
        <v>0.36322171740080877</v>
      </c>
      <c r="AG199" s="799">
        <f t="shared" si="74"/>
        <v>3</v>
      </c>
      <c r="AH199" s="176">
        <f t="shared" si="67"/>
        <v>9</v>
      </c>
      <c r="AI199" s="224">
        <f t="shared" si="68"/>
        <v>3.3632217174008088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'2027'!Wh/'2027'!Env_an*'2028'!Env_an</f>
        <v>54.071245187620789</v>
      </c>
      <c r="C200" s="829"/>
      <c r="D200" s="391">
        <f t="shared" si="50"/>
        <v>57.774978469774062</v>
      </c>
      <c r="E200" s="383">
        <f t="shared" si="75"/>
        <v>60.601163048751729</v>
      </c>
      <c r="F200" s="383">
        <f t="shared" si="51"/>
        <v>60.605219781583841</v>
      </c>
      <c r="G200" s="110">
        <f t="shared" si="76"/>
        <v>0.97335279433393729</v>
      </c>
      <c r="H200" s="412" t="b">
        <f>Wh_hp&gt;='2027'!Maxi_hp</f>
        <v>0</v>
      </c>
      <c r="I200" s="388">
        <f>IF(H200,Wh_hp,'2027'!Maxi_hp)</f>
        <v>61.390169549077257</v>
      </c>
      <c r="J200" s="85">
        <f>IF(H200,An,'2027'!An_max)</f>
        <v>2020</v>
      </c>
      <c r="K200" s="197">
        <f t="shared" si="52"/>
        <v>46938</v>
      </c>
      <c r="L200" s="147">
        <f>IF(t&lt;Tvie,1-EXP((T0-t)*PertePVj)+'2027'!Pspv,1-EXP((T0-t)*PertePVj)+Pspv)</f>
        <v>6.4106181953679897E-2</v>
      </c>
      <c r="M200" s="832"/>
      <c r="N200" s="832"/>
      <c r="O200" s="48">
        <f>IF(t&lt;Tnet,'2027'!Resal+('2027'!Salim-'2027'!Resal)*(1-EXP(('2027'!Tnet-t)/('2027'!Tau_j))),Resal+(Salim-Resal)*(1-EXP((Tnet-t)/(Tau_j))))*Salcycl</f>
        <v>4.6635814179079305E-2</v>
      </c>
      <c r="P200" s="169">
        <f>(INDEX(Models!$BJ200:$BT200,,T200)*(1-R200)+INDEX(Models!$BJ200:$BT200,,T200+1)*R200-ERP_i)*Q200*Ramure*Pc/MaxiM</f>
        <v>6.958571383858608E-5</v>
      </c>
      <c r="Q200" s="304">
        <f t="shared" si="53"/>
        <v>0.6</v>
      </c>
      <c r="R200" s="177">
        <f t="shared" si="54"/>
        <v>0.84226820938680425</v>
      </c>
      <c r="S200" s="799">
        <f t="shared" si="55"/>
        <v>-1</v>
      </c>
      <c r="T200" s="176">
        <f t="shared" si="56"/>
        <v>5</v>
      </c>
      <c r="U200" s="250">
        <f t="shared" si="57"/>
        <v>-0.15773179061319575</v>
      </c>
      <c r="V200" s="382">
        <f t="shared" si="58"/>
        <v>55.551391309130864</v>
      </c>
      <c r="W200" s="400">
        <f t="shared" si="59"/>
        <v>54.071245187620789</v>
      </c>
      <c r="X200" s="157">
        <f t="shared" si="60"/>
        <v>46938</v>
      </c>
      <c r="Y200" s="383">
        <f t="shared" si="61"/>
        <v>51.988058992509913</v>
      </c>
      <c r="Z200" s="383">
        <f t="shared" si="62"/>
        <v>55.549099684230285</v>
      </c>
      <c r="AA200" s="384">
        <f t="shared" si="63"/>
        <v>60.568059143919356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8.2864789306905565E-2</v>
      </c>
      <c r="AD200" s="230">
        <f>(INDEX(Models!$BJ200:$BT200,,AH200)*(1-AF200)+INDEX(Models!$BJ200:$BT200,,AH200+1)*AF200-ERP_i)*AE200*Ramure*Pc/MaxiM</f>
        <v>6.3742169021158439E-4</v>
      </c>
      <c r="AE200" s="304">
        <f t="shared" si="65"/>
        <v>0.6</v>
      </c>
      <c r="AF200" s="177">
        <f t="shared" si="66"/>
        <v>0.36725577576078283</v>
      </c>
      <c r="AG200" s="799">
        <f t="shared" si="74"/>
        <v>3</v>
      </c>
      <c r="AH200" s="176">
        <f t="shared" si="67"/>
        <v>9</v>
      </c>
      <c r="AI200" s="224">
        <f t="shared" si="68"/>
        <v>3.3672557757607828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'2027'!Wh/'2027'!Env_an*'2028'!Env_an</f>
        <v>45.96156273253888</v>
      </c>
      <c r="C201" s="829"/>
      <c r="D201" s="391">
        <f t="shared" si="50"/>
        <v>49.110746012011589</v>
      </c>
      <c r="E201" s="383">
        <f t="shared" si="75"/>
        <v>51.517374972160617</v>
      </c>
      <c r="F201" s="383">
        <f t="shared" si="51"/>
        <v>51.520150413044696</v>
      </c>
      <c r="G201" s="110">
        <f t="shared" si="76"/>
        <v>0.82846740827153431</v>
      </c>
      <c r="H201" s="412" t="b">
        <f>Wh_hp&gt;='2027'!Maxi_hp</f>
        <v>0</v>
      </c>
      <c r="I201" s="388">
        <f>IF(H201,Wh_hp,'2027'!Maxi_hp)</f>
        <v>60.936475957669771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6.4124118145191145E-2</v>
      </c>
      <c r="M201" s="832"/>
      <c r="N201" s="832"/>
      <c r="O201" s="48">
        <f>IF(t&lt;Tnet,'2027'!Resal+('2027'!Salim-'2027'!Resal)*(1-EXP(('2027'!Tnet-t)/('2027'!Tau_j))),Resal+(Salim-Resal)*(1-EXP((Tnet-t)/(Tau_j))))*Salcycl</f>
        <v>4.6714898836548668E-2</v>
      </c>
      <c r="P201" s="169">
        <f>(INDEX(Models!$BJ201:$BT201,,T201)*(1-R201)+INDEX(Models!$BJ201:$BT201,,T201+1)*R201-ERP_i)*Q201*Ramure*Pc/MaxiM</f>
        <v>7.1354733157573112E-5</v>
      </c>
      <c r="Q201" s="304">
        <f t="shared" si="53"/>
        <v>0.6</v>
      </c>
      <c r="R201" s="177">
        <f t="shared" si="54"/>
        <v>0.84622464684793042</v>
      </c>
      <c r="S201" s="799">
        <f t="shared" si="55"/>
        <v>-1</v>
      </c>
      <c r="T201" s="176">
        <f t="shared" si="56"/>
        <v>5</v>
      </c>
      <c r="U201" s="250">
        <f t="shared" si="57"/>
        <v>-0.15377535315206964</v>
      </c>
      <c r="V201" s="382">
        <f t="shared" si="58"/>
        <v>55.476846342600766</v>
      </c>
      <c r="W201" s="400">
        <f t="shared" si="59"/>
        <v>45.96156273253888</v>
      </c>
      <c r="X201" s="157">
        <f t="shared" si="60"/>
        <v>46939</v>
      </c>
      <c r="Y201" s="383">
        <f t="shared" si="61"/>
        <v>44.197061206034455</v>
      </c>
      <c r="Z201" s="383">
        <f t="shared" si="62"/>
        <v>47.2253447951244</v>
      </c>
      <c r="AA201" s="384">
        <f t="shared" si="63"/>
        <v>51.494963003075377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8.2913317321851282E-2</v>
      </c>
      <c r="AD201" s="230">
        <f>(INDEX(Models!$BJ201:$BT201,,AH201)*(1-AF201)+INDEX(Models!$BJ201:$BT201,,AH201+1)*AF201-ERP_i)*AE201*Ramure*Pc/MaxiM</f>
        <v>6.4755150347568151E-4</v>
      </c>
      <c r="AE201" s="304">
        <f t="shared" si="65"/>
        <v>0.6</v>
      </c>
      <c r="AF201" s="177">
        <f t="shared" si="66"/>
        <v>0.37121221322190889</v>
      </c>
      <c r="AG201" s="799">
        <f t="shared" si="74"/>
        <v>3</v>
      </c>
      <c r="AH201" s="176">
        <f t="shared" si="67"/>
        <v>9</v>
      </c>
      <c r="AI201" s="224">
        <f t="shared" si="68"/>
        <v>3.3712122132219089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'2027'!Wh/'2027'!Env_an*'2028'!Env_an</f>
        <v>53.535834979214201</v>
      </c>
      <c r="C202" s="829"/>
      <c r="D202" s="391">
        <f t="shared" si="50"/>
        <v>57.205086741670335</v>
      </c>
      <c r="E202" s="383">
        <f t="shared" si="75"/>
        <v>60.013308406010907</v>
      </c>
      <c r="F202" s="383">
        <f t="shared" si="51"/>
        <v>60.017490407496105</v>
      </c>
      <c r="G202" s="110">
        <f t="shared" si="76"/>
        <v>0.96633032069877656</v>
      </c>
      <c r="H202" s="412" t="b">
        <f>Wh_hp&gt;='2027'!Maxi_hp</f>
        <v>0</v>
      </c>
      <c r="I202" s="388">
        <f>IF(H202,Wh_hp,'2027'!Maxi_hp)</f>
        <v>60.017668218312338</v>
      </c>
      <c r="J202" s="85">
        <f>IF(H202,An,'2027'!An_max)</f>
        <v>2026</v>
      </c>
      <c r="K202" s="197">
        <f t="shared" si="52"/>
        <v>46940</v>
      </c>
      <c r="L202" s="147">
        <f>IF(t&lt;Tvie,1-EXP((T0-t)*PertePVj)+'2027'!Pspv,1-EXP((T0-t)*PertePVj)+Pspv)</f>
        <v>6.4142053992959247E-2</v>
      </c>
      <c r="M202" s="832"/>
      <c r="N202" s="832"/>
      <c r="O202" s="48">
        <f>IF(t&lt;Tnet,'2027'!Resal+('2027'!Salim-'2027'!Resal)*(1-EXP(('2027'!Tnet-t)/('2027'!Tau_j))),Resal+(Salim-Resal)*(1-EXP((Tnet-t)/(Tau_j))))*Salcycl</f>
        <v>4.6793315331692446E-2</v>
      </c>
      <c r="P202" s="169">
        <f>(INDEX(Models!$BJ202:$BT202,,T202)*(1-R202)+INDEX(Models!$BJ202:$BT202,,T202+1)*R202-ERP_i)*Q202*Ramure*Pc/MaxiM</f>
        <v>7.3200255623189815E-5</v>
      </c>
      <c r="Q202" s="304">
        <f t="shared" si="53"/>
        <v>0.6</v>
      </c>
      <c r="R202" s="177">
        <f t="shared" si="54"/>
        <v>0.85010243856296996</v>
      </c>
      <c r="S202" s="799">
        <f t="shared" si="55"/>
        <v>-1</v>
      </c>
      <c r="T202" s="176">
        <f t="shared" si="56"/>
        <v>5</v>
      </c>
      <c r="U202" s="250">
        <f t="shared" si="57"/>
        <v>-0.14989756143703004</v>
      </c>
      <c r="V202" s="382">
        <f t="shared" si="58"/>
        <v>55.400979710705442</v>
      </c>
      <c r="W202" s="400">
        <f t="shared" si="59"/>
        <v>53.535834979214201</v>
      </c>
      <c r="X202" s="157">
        <f t="shared" si="60"/>
        <v>46940</v>
      </c>
      <c r="Y202" s="383">
        <f t="shared" si="61"/>
        <v>51.475853740176547</v>
      </c>
      <c r="Z202" s="383">
        <f t="shared" si="62"/>
        <v>55.003918019614993</v>
      </c>
      <c r="AA202" s="384">
        <f t="shared" si="63"/>
        <v>59.979893222484314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8.2960721260570872E-2</v>
      </c>
      <c r="AD202" s="230">
        <f>(INDEX(Models!$BJ202:$BT202,,AH202)*(1-AF202)+INDEX(Models!$BJ202:$BT202,,AH202+1)*AF202-ERP_i)*AE202*Ramure*Pc/MaxiM</f>
        <v>6.5808765571145509E-4</v>
      </c>
      <c r="AE202" s="304">
        <f t="shared" si="65"/>
        <v>0.6</v>
      </c>
      <c r="AF202" s="177">
        <f t="shared" si="66"/>
        <v>0.37509000493694833</v>
      </c>
      <c r="AG202" s="799">
        <f t="shared" si="74"/>
        <v>3</v>
      </c>
      <c r="AH202" s="176">
        <f t="shared" si="67"/>
        <v>9</v>
      </c>
      <c r="AI202" s="224">
        <f t="shared" si="68"/>
        <v>3.3750900049369483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'2027'!Wh/'2027'!Env_an*'2028'!Env_an</f>
        <v>55.842640780805667</v>
      </c>
      <c r="C203" s="829"/>
      <c r="D203" s="391">
        <f t="shared" si="50"/>
        <v>59.671140530517114</v>
      </c>
      <c r="E203" s="383">
        <f t="shared" si="75"/>
        <v>62.605529483349116</v>
      </c>
      <c r="F203" s="383">
        <f t="shared" si="51"/>
        <v>62.610232961581062</v>
      </c>
      <c r="G203" s="110">
        <f t="shared" si="76"/>
        <v>1.0093784288127614</v>
      </c>
      <c r="H203" s="412" t="b">
        <f>Wh_hp&gt;='2027'!Maxi_hp</f>
        <v>0</v>
      </c>
      <c r="I203" s="388">
        <f>IF(H203,Wh_hp,'2027'!Maxi_hp)</f>
        <v>63.179240618782657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6.4159989496990977E-2</v>
      </c>
      <c r="M203" s="832"/>
      <c r="N203" s="832"/>
      <c r="O203" s="48">
        <f>IF(t&lt;Tnet,'2027'!Resal+('2027'!Salim-'2027'!Resal)*(1-EXP(('2027'!Tnet-t)/('2027'!Tau_j))),Resal+(Salim-Resal)*(1-EXP((Tnet-t)/(Tau_j))))*Salcycl</f>
        <v>4.6871082746971153E-2</v>
      </c>
      <c r="P203" s="169">
        <f>(INDEX(Models!$BJ203:$BT203,,T203)*(1-R203)+INDEX(Models!$BJ203:$BT203,,T203+1)*R203-ERP_i)*Q203*Ramure*Pc/MaxiM</f>
        <v>7.5123154945499335E-5</v>
      </c>
      <c r="Q203" s="304">
        <f t="shared" si="53"/>
        <v>0.6</v>
      </c>
      <c r="R203" s="177">
        <f t="shared" si="54"/>
        <v>0.85390073012857237</v>
      </c>
      <c r="S203" s="799">
        <f t="shared" si="55"/>
        <v>-1</v>
      </c>
      <c r="T203" s="176">
        <f t="shared" si="56"/>
        <v>5</v>
      </c>
      <c r="U203" s="250">
        <f t="shared" si="57"/>
        <v>-0.14609926987142763</v>
      </c>
      <c r="V203" s="382">
        <f t="shared" si="58"/>
        <v>55.323790549485196</v>
      </c>
      <c r="W203" s="400">
        <f t="shared" si="59"/>
        <v>55.842640780805667</v>
      </c>
      <c r="X203" s="157">
        <f t="shared" si="60"/>
        <v>46941</v>
      </c>
      <c r="Y203" s="383">
        <f t="shared" si="61"/>
        <v>53.693569354500191</v>
      </c>
      <c r="Z203" s="383">
        <f t="shared" si="62"/>
        <v>57.374731526642236</v>
      </c>
      <c r="AA203" s="384">
        <f t="shared" si="63"/>
        <v>62.568344509164746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8.3007038515487158E-2</v>
      </c>
      <c r="AD203" s="230">
        <f>(INDEX(Models!$BJ203:$BT203,,AH203)*(1-AF203)+INDEX(Models!$BJ203:$BT203,,AH203+1)*AF203-ERP_i)*AE203*Ramure*Pc/MaxiM</f>
        <v>6.6903524288146961E-4</v>
      </c>
      <c r="AE203" s="304">
        <f t="shared" si="65"/>
        <v>0.6</v>
      </c>
      <c r="AF203" s="177">
        <f t="shared" si="66"/>
        <v>0.37888829650255085</v>
      </c>
      <c r="AG203" s="799">
        <f t="shared" si="74"/>
        <v>3</v>
      </c>
      <c r="AH203" s="176">
        <f t="shared" si="67"/>
        <v>9</v>
      </c>
      <c r="AI203" s="224">
        <f t="shared" si="68"/>
        <v>3.3788882965025508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'2027'!Wh/'2027'!Env_an*'2028'!Env_an</f>
        <v>55.190388486088416</v>
      </c>
      <c r="C204" s="829"/>
      <c r="D204" s="391">
        <f t="shared" si="50"/>
        <v>58.975300904156555</v>
      </c>
      <c r="E204" s="383">
        <f t="shared" si="75"/>
        <v>61.880479324681538</v>
      </c>
      <c r="F204" s="383">
        <f t="shared" si="51"/>
        <v>61.885245405991938</v>
      </c>
      <c r="G204" s="110">
        <f t="shared" si="76"/>
        <v>0.99900633133523764</v>
      </c>
      <c r="H204" s="412" t="b">
        <f>Wh_hp&gt;='2027'!Maxi_hp</f>
        <v>0</v>
      </c>
      <c r="I204" s="388">
        <f>IF(H204,Wh_hp,'2027'!Maxi_hp)</f>
        <v>61.885251080603396</v>
      </c>
      <c r="J204" s="85">
        <f>IF(H204,An,'2027'!An_max)</f>
        <v>2026</v>
      </c>
      <c r="K204" s="197">
        <f t="shared" si="52"/>
        <v>46942</v>
      </c>
      <c r="L204" s="147">
        <f>IF(t&lt;Tvie,1-EXP((T0-t)*PertePVj)+'2027'!Pspv,1-EXP((T0-t)*PertePVj)+Pspv)</f>
        <v>6.4177924657292884E-2</v>
      </c>
      <c r="M204" s="832"/>
      <c r="N204" s="832"/>
      <c r="O204" s="48">
        <f>IF(t&lt;Tnet,'2027'!Resal+('2027'!Salim-'2027'!Resal)*(1-EXP(('2027'!Tnet-t)/('2027'!Tau_j))),Resal+(Salim-Resal)*(1-EXP((Tnet-t)/(Tau_j))))*Salcycl</f>
        <v>4.6948221025919376E-2</v>
      </c>
      <c r="P204" s="169">
        <f>(INDEX(Models!$BJ204:$BT204,,T204)*(1-R204)+INDEX(Models!$BJ204:$BT204,,T204+1)*R204-ERP_i)*Q204*Ramure*Pc/MaxiM</f>
        <v>7.7124292380194141E-5</v>
      </c>
      <c r="Q204" s="304">
        <f t="shared" si="53"/>
        <v>0.6</v>
      </c>
      <c r="R204" s="177">
        <f t="shared" si="54"/>
        <v>0.85761883325402444</v>
      </c>
      <c r="S204" s="799">
        <f t="shared" si="55"/>
        <v>-1</v>
      </c>
      <c r="T204" s="176">
        <f t="shared" si="56"/>
        <v>5</v>
      </c>
      <c r="U204" s="250">
        <f t="shared" si="57"/>
        <v>-0.14238116674597556</v>
      </c>
      <c r="V204" s="382">
        <f t="shared" si="58"/>
        <v>55.245277945615626</v>
      </c>
      <c r="W204" s="400">
        <f t="shared" si="59"/>
        <v>55.190388486088416</v>
      </c>
      <c r="X204" s="157">
        <f t="shared" si="60"/>
        <v>46942</v>
      </c>
      <c r="Y204" s="383">
        <f t="shared" si="61"/>
        <v>53.067641959559616</v>
      </c>
      <c r="Z204" s="383">
        <f t="shared" si="62"/>
        <v>56.706978129497244</v>
      </c>
      <c r="AA204" s="384">
        <f t="shared" si="63"/>
        <v>61.843198487117839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8.3052307824772104E-2</v>
      </c>
      <c r="AD204" s="230">
        <f>(INDEX(Models!$BJ204:$BT204,,AH204)*(1-AF204)+INDEX(Models!$BJ204:$BT204,,AH204+1)*AF204-ERP_i)*AE204*Ramure*Pc/MaxiM</f>
        <v>6.803994002060837E-4</v>
      </c>
      <c r="AE204" s="304">
        <f t="shared" si="65"/>
        <v>0.6</v>
      </c>
      <c r="AF204" s="177">
        <f t="shared" si="66"/>
        <v>0.38260639962800269</v>
      </c>
      <c r="AG204" s="799">
        <f t="shared" si="74"/>
        <v>3</v>
      </c>
      <c r="AH204" s="176">
        <f t="shared" si="67"/>
        <v>9</v>
      </c>
      <c r="AI204" s="224">
        <f t="shared" si="68"/>
        <v>3.3826063996280027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'2027'!Wh/'2027'!Env_an*'2028'!Env_an</f>
        <v>54.666190243002305</v>
      </c>
      <c r="C205" s="829"/>
      <c r="D205" s="391">
        <f t="shared" si="50"/>
        <v>58.41627310204872</v>
      </c>
      <c r="E205" s="383">
        <f t="shared" si="75"/>
        <v>61.298835571191489</v>
      </c>
      <c r="F205" s="383">
        <f t="shared" si="51"/>
        <v>61.303628230491675</v>
      </c>
      <c r="G205" s="110">
        <f t="shared" si="76"/>
        <v>0.99094130180927342</v>
      </c>
      <c r="H205" s="412" t="b">
        <f>Wh_hp&gt;='2027'!Maxi_hp</f>
        <v>0</v>
      </c>
      <c r="I205" s="388">
        <f>IF(H205,Wh_hp,'2027'!Maxi_hp)</f>
        <v>61.303680738337384</v>
      </c>
      <c r="J205" s="85">
        <f>IF(H205,An,'2027'!An_max)</f>
        <v>2026</v>
      </c>
      <c r="K205" s="197">
        <f t="shared" si="52"/>
        <v>46943</v>
      </c>
      <c r="L205" s="147">
        <f>IF(t&lt;Tvie,1-EXP((T0-t)*PertePVj)+'2027'!Pspv,1-EXP((T0-t)*PertePVj)+Pspv)</f>
        <v>6.4195859473871408E-2</v>
      </c>
      <c r="M205" s="832"/>
      <c r="N205" s="832"/>
      <c r="O205" s="48">
        <f>IF(t&lt;Tnet,'2027'!Resal+('2027'!Salim-'2027'!Resal)*(1-EXP(('2027'!Tnet-t)/('2027'!Tau_j))),Resal+(Salim-Resal)*(1-EXP((Tnet-t)/(Tau_j))))*Salcycl</f>
        <v>4.7024750833888351E-2</v>
      </c>
      <c r="P205" s="169">
        <f>(INDEX(Models!$BJ205:$BT205,,T205)*(1-R205)+INDEX(Models!$BJ205:$BT205,,T205+1)*R205-ERP_i)*Q205*Ramure*Pc/MaxiM</f>
        <v>7.9203910785265682E-5</v>
      </c>
      <c r="Q205" s="304">
        <f t="shared" si="53"/>
        <v>0.6</v>
      </c>
      <c r="R205" s="177">
        <f t="shared" si="54"/>
        <v>0.86125622090185316</v>
      </c>
      <c r="S205" s="799">
        <f t="shared" si="55"/>
        <v>-1</v>
      </c>
      <c r="T205" s="176">
        <f t="shared" si="56"/>
        <v>5</v>
      </c>
      <c r="U205" s="250">
        <f t="shared" si="57"/>
        <v>-0.13874377909814684</v>
      </c>
      <c r="V205" s="382">
        <f t="shared" si="58"/>
        <v>55.165865135980646</v>
      </c>
      <c r="W205" s="400">
        <f t="shared" si="59"/>
        <v>54.666190243002305</v>
      </c>
      <c r="X205" s="157">
        <f t="shared" si="60"/>
        <v>46943</v>
      </c>
      <c r="Y205" s="383">
        <f t="shared" si="61"/>
        <v>52.565151139837248</v>
      </c>
      <c r="Z205" s="383">
        <f t="shared" si="62"/>
        <v>56.17110340020939</v>
      </c>
      <c r="AA205" s="384">
        <f t="shared" si="63"/>
        <v>61.261744151349184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8.309656901970007E-2</v>
      </c>
      <c r="AD205" s="230">
        <f>(INDEX(Models!$BJ205:$BT205,,AH205)*(1-AF205)+INDEX(Models!$BJ205:$BT205,,AH205+1)*AF205-ERP_i)*AE205*Ramure*Pc/MaxiM</f>
        <v>6.9217999026096894E-4</v>
      </c>
      <c r="AE205" s="304">
        <f t="shared" si="65"/>
        <v>0.6</v>
      </c>
      <c r="AF205" s="177">
        <f t="shared" si="66"/>
        <v>0.38624378727583153</v>
      </c>
      <c r="AG205" s="799">
        <f t="shared" si="74"/>
        <v>3</v>
      </c>
      <c r="AH205" s="176">
        <f t="shared" si="67"/>
        <v>9</v>
      </c>
      <c r="AI205" s="224">
        <f t="shared" si="68"/>
        <v>3.3862437872758315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'2027'!Wh/'2027'!Env_an*'2028'!Env_an</f>
        <v>53.230734664470184</v>
      </c>
      <c r="C206" s="829"/>
      <c r="D206" s="391">
        <f t="shared" si="50"/>
        <v>56.883435896083512</v>
      </c>
      <c r="E206" s="383">
        <f t="shared" si="75"/>
        <v>59.695117315292194</v>
      </c>
      <c r="F206" s="383">
        <f t="shared" si="51"/>
        <v>59.699744151525223</v>
      </c>
      <c r="G206" s="110">
        <f t="shared" si="76"/>
        <v>0.96631955965227467</v>
      </c>
      <c r="H206" s="412" t="b">
        <f>Wh_hp&gt;='2027'!Maxi_hp</f>
        <v>0</v>
      </c>
      <c r="I206" s="388">
        <f>IF(H206,Wh_hp,'2027'!Maxi_hp)</f>
        <v>60.983970970198122</v>
      </c>
      <c r="J206" s="85">
        <f>IF(H206,An,'2027'!An_max)</f>
        <v>2018</v>
      </c>
      <c r="K206" s="197">
        <f t="shared" si="52"/>
        <v>46944</v>
      </c>
      <c r="L206" s="147">
        <f>IF(t&lt;Tvie,1-EXP((T0-t)*PertePVj)+'2027'!Pspv,1-EXP((T0-t)*PertePVj)+Pspv)</f>
        <v>6.4213793946733433E-2</v>
      </c>
      <c r="M206" s="832"/>
      <c r="N206" s="832"/>
      <c r="O206" s="48">
        <f>IF(t&lt;Tnet,'2027'!Resal+('2027'!Salim-'2027'!Resal)*(1-EXP(('2027'!Tnet-t)/('2027'!Tau_j))),Resal+(Salim-Resal)*(1-EXP((Tnet-t)/(Tau_j))))*Salcycl</f>
        <v>4.71006934178251E-2</v>
      </c>
      <c r="P206" s="169">
        <f>(INDEX(Models!$BJ206:$BT206,,T206)*(1-R206)+INDEX(Models!$BJ206:$BT206,,T206+1)*R206-ERP_i)*Q206*Ramure*Pc/MaxiM</f>
        <v>8.1418794655689205E-5</v>
      </c>
      <c r="Q206" s="304">
        <f t="shared" si="53"/>
        <v>0.6</v>
      </c>
      <c r="R206" s="177">
        <f t="shared" si="54"/>
        <v>0.86481252196021741</v>
      </c>
      <c r="S206" s="799">
        <f t="shared" si="55"/>
        <v>-1</v>
      </c>
      <c r="T206" s="176">
        <f t="shared" si="56"/>
        <v>5</v>
      </c>
      <c r="U206" s="250">
        <f t="shared" si="57"/>
        <v>-0.13518747803978254</v>
      </c>
      <c r="V206" s="382">
        <f t="shared" si="58"/>
        <v>55.085841542640587</v>
      </c>
      <c r="W206" s="400">
        <f t="shared" si="59"/>
        <v>53.230734664470184</v>
      </c>
      <c r="X206" s="157">
        <f t="shared" si="60"/>
        <v>46944</v>
      </c>
      <c r="Y206" s="383">
        <f t="shared" si="61"/>
        <v>51.187130922837099</v>
      </c>
      <c r="Z206" s="383">
        <f t="shared" si="62"/>
        <v>54.699599750162847</v>
      </c>
      <c r="AA206" s="384">
        <f t="shared" si="63"/>
        <v>59.659698932422856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8.3139862771992298E-2</v>
      </c>
      <c r="AD206" s="230">
        <f>(INDEX(Models!$BJ206:$BT206,,AH206)*(1-AF206)+INDEX(Models!$BJ206:$BT206,,AH206+1)*AF206-ERP_i)*AE206*Ramure*Pc/MaxiM</f>
        <v>7.0467881438288202E-4</v>
      </c>
      <c r="AE206" s="304">
        <f t="shared" si="65"/>
        <v>0.6</v>
      </c>
      <c r="AF206" s="177">
        <f t="shared" si="66"/>
        <v>0.3898000883341961</v>
      </c>
      <c r="AG206" s="799">
        <f t="shared" si="74"/>
        <v>3</v>
      </c>
      <c r="AH206" s="176">
        <f t="shared" si="67"/>
        <v>9</v>
      </c>
      <c r="AI206" s="224">
        <f t="shared" si="68"/>
        <v>3.3898000883341961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'2027'!Wh/'2027'!Env_an*'2028'!Env_an</f>
        <v>53.00069007181424</v>
      </c>
      <c r="C207" s="829"/>
      <c r="D207" s="391">
        <f t="shared" ref="D207:D270" si="77">Wh/(1-Ppv)</f>
        <v>56.638691075553247</v>
      </c>
      <c r="E207" s="383">
        <f t="shared" si="75"/>
        <v>59.442977154511134</v>
      </c>
      <c r="F207" s="383">
        <f t="shared" ref="F207:F270" si="78">Wh_sa/(1-Pvg*MEDIAN((-Sdif+Wh/Env_an)/Csdif,0,1))</f>
        <v>59.447694386763757</v>
      </c>
      <c r="G207" s="110">
        <f t="shared" si="76"/>
        <v>0.96355687652344357</v>
      </c>
      <c r="H207" s="412" t="b">
        <f>Wh_hp&gt;='2027'!Maxi_hp</f>
        <v>0</v>
      </c>
      <c r="I207" s="388">
        <f>IF(H207,Wh_hp,'2027'!Maxi_hp)</f>
        <v>61.397076269848142</v>
      </c>
      <c r="J207" s="85">
        <f>IF(H207,An,'2027'!An_max)</f>
        <v>2018</v>
      </c>
      <c r="K207" s="197">
        <f t="shared" ref="K207:K270" si="79">t</f>
        <v>46945</v>
      </c>
      <c r="L207" s="147">
        <f>IF(t&lt;Tvie,1-EXP((T0-t)*PertePVj)+'2027'!Pspv,1-EXP((T0-t)*PertePVj)+Pspv)</f>
        <v>6.4231728075885286E-2</v>
      </c>
      <c r="M207" s="832"/>
      <c r="N207" s="832"/>
      <c r="O207" s="48">
        <f>IF(t&lt;Tnet,'2027'!Resal+('2027'!Salim-'2027'!Resal)*(1-EXP(('2027'!Tnet-t)/('2027'!Tau_j))),Resal+(Salim-Resal)*(1-EXP((Tnet-t)/(Tau_j))))*Salcycl</f>
        <v>4.7176070466131884E-2</v>
      </c>
      <c r="P207" s="169">
        <f>(INDEX(Models!$BJ207:$BT207,,T207)*(1-R207)+INDEX(Models!$BJ207:$BT207,,T207+1)*R207-ERP_i)*Q207*Ramure*Pc/MaxiM</f>
        <v>8.3708465583053521E-5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0.86828751550693561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-0.13171248449306433</v>
      </c>
      <c r="V207" s="382">
        <f t="shared" ref="V207:V270" si="85">MaxiM*(1-Ppv)*(1-Pvg)*(1-Psa)</f>
        <v>55.005013605918499</v>
      </c>
      <c r="W207" s="400">
        <f t="shared" ref="W207:W270" si="86">Wh*(A207&gt;Tmaj)</f>
        <v>53.00069007181424</v>
      </c>
      <c r="X207" s="157">
        <f t="shared" ref="X207:X270" si="87">t</f>
        <v>46945</v>
      </c>
      <c r="Y207" s="383">
        <f t="shared" ref="Y207:Y270" si="88">Wh_pvt_s*(1-Ppv)</f>
        <v>50.967207088377982</v>
      </c>
      <c r="Z207" s="383">
        <f t="shared" ref="Z207:Z270" si="89">Wh_sa_s*(1-Psa_s)</f>
        <v>54.465628529571603</v>
      </c>
      <c r="AA207" s="384">
        <f t="shared" ref="AA207:AA270" si="90">Wh_hp*(1-Pvg_s*MEDIAN((-Sdif+Wh/Env_an)/Csdif,0,1))</f>
        <v>59.407256635031466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8.318223034298243E-2</v>
      </c>
      <c r="AD207" s="230">
        <f>(INDEX(Models!$BJ207:$BT207,,AH207)*(1-AF207)+INDEX(Models!$BJ207:$BT207,,AH207+1)*AF207-ERP_i)*AE207*Ramure*Pc/MaxiM</f>
        <v>7.1757801351747476E-4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0.39327508188091409</v>
      </c>
      <c r="AG207" s="799">
        <f t="shared" si="74"/>
        <v>3</v>
      </c>
      <c r="AH207" s="176">
        <f t="shared" ref="AH207:AH270" si="94">MIN(MATCH(Hp_vg_s,Echel_vg),10)</f>
        <v>9</v>
      </c>
      <c r="AI207" s="224">
        <f t="shared" ref="AI207:AI270" si="95">IF(OR(t&lt;Ttai,Notai),Hdd_s+PousH*Croivg,Hdtai_s+PousH*(Croivg-Croi_tai))</f>
        <v>3.3932750818809141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'2027'!Wh/'2027'!Env_an*'2028'!Env_an</f>
        <v>52.731678311079008</v>
      </c>
      <c r="C208" s="829"/>
      <c r="D208" s="391">
        <f t="shared" si="77"/>
        <v>56.352294155692668</v>
      </c>
      <c r="E208" s="383">
        <f t="shared" si="75"/>
        <v>59.147045523826677</v>
      </c>
      <c r="F208" s="383">
        <f t="shared" si="78"/>
        <v>59.151846727498672</v>
      </c>
      <c r="G208" s="110">
        <f t="shared" si="76"/>
        <v>0.96009399501013504</v>
      </c>
      <c r="H208" s="412" t="b">
        <f>Wh_hp&gt;='2027'!Maxi_hp</f>
        <v>0</v>
      </c>
      <c r="I208" s="388">
        <f>IF(H208,Wh_hp,'2027'!Maxi_hp)</f>
        <v>59.152087540114273</v>
      </c>
      <c r="J208" s="85">
        <f>IF(H208,An,'2027'!An_max)</f>
        <v>2026</v>
      </c>
      <c r="K208" s="197">
        <f t="shared" si="79"/>
        <v>46946</v>
      </c>
      <c r="L208" s="147">
        <f>IF(t&lt;Tvie,1-EXP((T0-t)*PertePVj)+'2027'!Pspv,1-EXP((T0-t)*PertePVj)+Pspv)</f>
        <v>6.4249661861333629E-2</v>
      </c>
      <c r="M208" s="832"/>
      <c r="N208" s="832"/>
      <c r="O208" s="48">
        <f>IF(t&lt;Tnet,'2027'!Resal+('2027'!Salim-'2027'!Resal)*(1-EXP(('2027'!Tnet-t)/('2027'!Tau_j))),Resal+(Salim-Resal)*(1-EXP((Tnet-t)/(Tau_j))))*Salcycl</f>
        <v>4.7250903969635688E-2</v>
      </c>
      <c r="P208" s="169">
        <f>(INDEX(Models!$BJ208:$BT208,,T208)*(1-R208)+INDEX(Models!$BJ208:$BT208,,T208+1)*R208-ERP_i)*Q208*Ramure*Pc/MaxiM</f>
        <v>8.6073800715434821E-5</v>
      </c>
      <c r="Q208" s="304">
        <f t="shared" si="80"/>
        <v>0.6</v>
      </c>
      <c r="R208" s="177">
        <f t="shared" si="81"/>
        <v>0.87168112472428105</v>
      </c>
      <c r="S208" s="799">
        <f t="shared" si="82"/>
        <v>-1</v>
      </c>
      <c r="T208" s="176">
        <f t="shared" si="83"/>
        <v>5</v>
      </c>
      <c r="U208" s="250">
        <f t="shared" si="84"/>
        <v>-0.12831887527571889</v>
      </c>
      <c r="V208" s="382">
        <f t="shared" si="85"/>
        <v>54.923184441561084</v>
      </c>
      <c r="W208" s="400">
        <f t="shared" si="86"/>
        <v>52.731678311079008</v>
      </c>
      <c r="X208" s="157">
        <f t="shared" si="87"/>
        <v>46946</v>
      </c>
      <c r="Y208" s="383">
        <f t="shared" si="88"/>
        <v>50.70984032142276</v>
      </c>
      <c r="Z208" s="383">
        <f t="shared" si="89"/>
        <v>54.191634514705569</v>
      </c>
      <c r="AA208" s="384">
        <f t="shared" si="90"/>
        <v>59.111077918390883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8.3223713336392363E-2</v>
      </c>
      <c r="AD208" s="230">
        <f>(INDEX(Models!$BJ208:$BT208,,AH208)*(1-AF208)+INDEX(Models!$BJ208:$BT208,,AH208+1)*AF208-ERP_i)*AE208*Ramure*Pc/MaxiM</f>
        <v>7.3088470939445594E-4</v>
      </c>
      <c r="AE208" s="304">
        <f t="shared" si="92"/>
        <v>0.6</v>
      </c>
      <c r="AF208" s="177">
        <f t="shared" si="93"/>
        <v>0.39666869109825953</v>
      </c>
      <c r="AG208" s="799">
        <f t="shared" ref="AG208:AG271" si="99">INDEX(Echel_vg,AH208)</f>
        <v>3</v>
      </c>
      <c r="AH208" s="176">
        <f t="shared" si="94"/>
        <v>9</v>
      </c>
      <c r="AI208" s="224">
        <f t="shared" si="95"/>
        <v>3.3966686910982595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'2027'!Wh/'2027'!Env_an*'2028'!Env_an</f>
        <v>52.180555397641974</v>
      </c>
      <c r="C209" s="829"/>
      <c r="D209" s="391">
        <f t="shared" si="77"/>
        <v>55.764399240339799</v>
      </c>
      <c r="E209" s="383">
        <f t="shared" si="75"/>
        <v>58.534559937818344</v>
      </c>
      <c r="F209" s="383">
        <f t="shared" si="78"/>
        <v>58.539382598380357</v>
      </c>
      <c r="G209" s="110">
        <f t="shared" si="76"/>
        <v>0.95149682279238357</v>
      </c>
      <c r="H209" s="412" t="b">
        <f>Wh_hp&gt;='2027'!Maxi_hp</f>
        <v>0</v>
      </c>
      <c r="I209" s="388">
        <f>IF(H209,Wh_hp,'2027'!Maxi_hp)</f>
        <v>61.162094530225126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6.4267595303085123E-2</v>
      </c>
      <c r="M209" s="832"/>
      <c r="N209" s="832"/>
      <c r="O209" s="48">
        <f>IF(t&lt;Tnet,'2027'!Resal+('2027'!Salim-'2027'!Resal)*(1-EXP(('2027'!Tnet-t)/('2027'!Tau_j))),Resal+(Salim-Resal)*(1-EXP((Tnet-t)/(Tau_j))))*Salcycl</f>
        <v>4.7325216084673785E-2</v>
      </c>
      <c r="P209" s="169">
        <f>(INDEX(Models!$BJ209:$BT209,,T209)*(1-R209)+INDEX(Models!$BJ209:$BT209,,T209+1)*R209-ERP_i)*Q209*Ramure*Pc/MaxiM</f>
        <v>8.8515719887634871E-5</v>
      </c>
      <c r="Q209" s="304">
        <f t="shared" si="80"/>
        <v>0.6</v>
      </c>
      <c r="R209" s="177">
        <f t="shared" si="81"/>
        <v>0.87499341052241397</v>
      </c>
      <c r="S209" s="799">
        <f t="shared" si="82"/>
        <v>-1</v>
      </c>
      <c r="T209" s="176">
        <f t="shared" si="83"/>
        <v>5</v>
      </c>
      <c r="U209" s="250">
        <f t="shared" si="84"/>
        <v>-0.12500658947758597</v>
      </c>
      <c r="V209" s="382">
        <f t="shared" si="85"/>
        <v>54.840157236538168</v>
      </c>
      <c r="W209" s="400">
        <f t="shared" si="86"/>
        <v>52.180555397641974</v>
      </c>
      <c r="X209" s="157">
        <f t="shared" si="87"/>
        <v>46947</v>
      </c>
      <c r="Y209" s="383">
        <f t="shared" si="88"/>
        <v>50.181408570082176</v>
      </c>
      <c r="Z209" s="383">
        <f t="shared" si="89"/>
        <v>53.627947817342083</v>
      </c>
      <c r="AA209" s="384">
        <f t="shared" si="90"/>
        <v>58.498813719680619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8.326435345645028E-2</v>
      </c>
      <c r="AD209" s="230">
        <f>(INDEX(Models!$BJ209:$BT209,,AH209)*(1-AF209)+INDEX(Models!$BJ209:$BT209,,AH209+1)*AF209-ERP_i)*AE209*Ramure*Pc/MaxiM</f>
        <v>7.4460631366559012E-4</v>
      </c>
      <c r="AE209" s="304">
        <f t="shared" si="92"/>
        <v>0.6</v>
      </c>
      <c r="AF209" s="177">
        <f t="shared" si="93"/>
        <v>0.39998097689639245</v>
      </c>
      <c r="AG209" s="799">
        <f t="shared" si="99"/>
        <v>3</v>
      </c>
      <c r="AH209" s="176">
        <f t="shared" si="94"/>
        <v>9</v>
      </c>
      <c r="AI209" s="224">
        <f t="shared" si="95"/>
        <v>3.3999809768963924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'2027'!Wh/'2027'!Env_an*'2028'!Env_an</f>
        <v>50.459172680590662</v>
      </c>
      <c r="C210" s="829"/>
      <c r="D210" s="391">
        <f t="shared" si="77"/>
        <v>53.925822686456009</v>
      </c>
      <c r="E210" s="383">
        <f t="shared" si="75"/>
        <v>56.609036026706498</v>
      </c>
      <c r="F210" s="383">
        <f t="shared" si="78"/>
        <v>56.61361212937679</v>
      </c>
      <c r="G210" s="110">
        <f t="shared" si="76"/>
        <v>0.92152278623963346</v>
      </c>
      <c r="H210" s="412" t="b">
        <f>Wh_hp&gt;='2027'!Maxi_hp</f>
        <v>0</v>
      </c>
      <c r="I210" s="388">
        <f>IF(H210,Wh_hp,'2027'!Maxi_hp)</f>
        <v>62.506291921724774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6.4285528401146319E-2</v>
      </c>
      <c r="M210" s="832"/>
      <c r="N210" s="832"/>
      <c r="O210" s="48">
        <f>IF(t&lt;Tnet,'2027'!Resal+('2027'!Salim-'2027'!Resal)*(1-EXP(('2027'!Tnet-t)/('2027'!Tau_j))),Resal+(Salim-Resal)*(1-EXP((Tnet-t)/(Tau_j))))*Salcycl</f>
        <v>4.7399028999268372E-2</v>
      </c>
      <c r="P210" s="169">
        <f>(INDEX(Models!$BJ210:$BT210,,T210)*(1-R210)+INDEX(Models!$BJ210:$BT210,,T210+1)*R210-ERP_i)*Q210*Ramure*Pc/MaxiM</f>
        <v>9.1035190993096554E-5</v>
      </c>
      <c r="Q210" s="304">
        <f t="shared" si="80"/>
        <v>0.6</v>
      </c>
      <c r="R210" s="177">
        <f t="shared" si="81"/>
        <v>0.8782245649275664</v>
      </c>
      <c r="S210" s="799">
        <f t="shared" si="82"/>
        <v>-1</v>
      </c>
      <c r="T210" s="176">
        <f t="shared" si="83"/>
        <v>5</v>
      </c>
      <c r="U210" s="250">
        <f t="shared" si="84"/>
        <v>-0.1217754350724336</v>
      </c>
      <c r="V210" s="382">
        <f t="shared" si="85"/>
        <v>54.755735255469943</v>
      </c>
      <c r="W210" s="400">
        <f t="shared" si="86"/>
        <v>50.459172680590662</v>
      </c>
      <c r="X210" s="157">
        <f t="shared" si="87"/>
        <v>46948</v>
      </c>
      <c r="Y210" s="383">
        <f t="shared" si="88"/>
        <v>48.528489665056945</v>
      </c>
      <c r="Z210" s="383">
        <f t="shared" si="89"/>
        <v>51.862497736234005</v>
      </c>
      <c r="AA210" s="384">
        <f t="shared" si="90"/>
        <v>56.575471709454689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8.3304192273010558E-2</v>
      </c>
      <c r="AD210" s="230">
        <f>(INDEX(Models!$BJ210:$BT210,,AH210)*(1-AF210)+INDEX(Models!$BJ210:$BT210,,AH210+1)*AF210-ERP_i)*AE210*Ramure*Pc/MaxiM</f>
        <v>7.5875054873838956E-4</v>
      </c>
      <c r="AE210" s="304">
        <f t="shared" si="92"/>
        <v>0.6</v>
      </c>
      <c r="AF210" s="177">
        <f t="shared" si="93"/>
        <v>0.40321213130154465</v>
      </c>
      <c r="AG210" s="799">
        <f t="shared" si="99"/>
        <v>3</v>
      </c>
      <c r="AH210" s="176">
        <f t="shared" si="94"/>
        <v>9</v>
      </c>
      <c r="AI210" s="224">
        <f t="shared" si="95"/>
        <v>3.4032121313015447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'2027'!Wh/'2027'!Env_an*'2028'!Env_an</f>
        <v>51.927459231691699</v>
      </c>
      <c r="C211" s="829"/>
      <c r="D211" s="391">
        <f t="shared" si="77"/>
        <v>55.496047143466718</v>
      </c>
      <c r="E211" s="383">
        <f t="shared" si="75"/>
        <v>58.261876183789539</v>
      </c>
      <c r="F211" s="383">
        <f t="shared" si="78"/>
        <v>58.266940960326423</v>
      </c>
      <c r="G211" s="110">
        <f t="shared" si="76"/>
        <v>0.94983308925493781</v>
      </c>
      <c r="H211" s="412" t="b">
        <f>Wh_hp&gt;='2027'!Maxi_hp</f>
        <v>0</v>
      </c>
      <c r="I211" s="388">
        <f>IF(H211,Wh_hp,'2027'!Maxi_hp)</f>
        <v>60.8270261955942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6.4303461155523656E-2</v>
      </c>
      <c r="M211" s="832"/>
      <c r="N211" s="832"/>
      <c r="O211" s="48">
        <f>IF(t&lt;Tnet,'2027'!Resal+('2027'!Salim-'2027'!Resal)*(1-EXP(('2027'!Tnet-t)/('2027'!Tau_j))),Resal+(Salim-Resal)*(1-EXP((Tnet-t)/(Tau_j))))*Salcycl</f>
        <v>4.747236480332169E-2</v>
      </c>
      <c r="P211" s="169">
        <f>(INDEX(Models!$BJ211:$BT211,,T211)*(1-R211)+INDEX(Models!$BJ211:$BT211,,T211+1)*R211-ERP_i)*Q211*Ramure*Pc/MaxiM</f>
        <v>9.3633235209016749E-5</v>
      </c>
      <c r="Q211" s="304">
        <f t="shared" si="80"/>
        <v>0.6</v>
      </c>
      <c r="R211" s="177">
        <f t="shared" si="81"/>
        <v>0.88137490428890786</v>
      </c>
      <c r="S211" s="799">
        <f t="shared" si="82"/>
        <v>-1</v>
      </c>
      <c r="T211" s="176">
        <f t="shared" si="83"/>
        <v>5</v>
      </c>
      <c r="U211" s="250">
        <f t="shared" si="84"/>
        <v>-0.1186250957110922</v>
      </c>
      <c r="V211" s="382">
        <f t="shared" si="85"/>
        <v>54.669721847267731</v>
      </c>
      <c r="W211" s="400">
        <f t="shared" si="86"/>
        <v>51.927459231691699</v>
      </c>
      <c r="X211" s="157">
        <f t="shared" si="87"/>
        <v>46949</v>
      </c>
      <c r="Y211" s="383">
        <f t="shared" si="88"/>
        <v>49.940406763099212</v>
      </c>
      <c r="Z211" s="383">
        <f t="shared" si="89"/>
        <v>53.372439343178854</v>
      </c>
      <c r="AA211" s="384">
        <f t="shared" si="90"/>
        <v>58.225110506882181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8.3343270995247687E-2</v>
      </c>
      <c r="AD211" s="230">
        <f>(INDEX(Models!$BJ211:$BT211,,AH211)*(1-AF211)+INDEX(Models!$BJ211:$BT211,,AH211+1)*AF211-ERP_i)*AE211*Ramure*Pc/MaxiM</f>
        <v>7.7332546810642531E-4</v>
      </c>
      <c r="AE211" s="304">
        <f t="shared" si="92"/>
        <v>0.6</v>
      </c>
      <c r="AF211" s="177">
        <f t="shared" si="93"/>
        <v>0.40636247066288611</v>
      </c>
      <c r="AG211" s="799">
        <f t="shared" si="99"/>
        <v>3</v>
      </c>
      <c r="AH211" s="176">
        <f t="shared" si="94"/>
        <v>9</v>
      </c>
      <c r="AI211" s="224">
        <f t="shared" si="95"/>
        <v>3.4063624706628861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'2027'!Wh/'2027'!Env_an*'2028'!Env_an</f>
        <v>51.470994275827344</v>
      </c>
      <c r="C212" s="829"/>
      <c r="D212" s="391">
        <f t="shared" si="77"/>
        <v>55.009266987521187</v>
      </c>
      <c r="E212" s="383">
        <f t="shared" si="75"/>
        <v>57.755254745436687</v>
      </c>
      <c r="F212" s="383">
        <f t="shared" si="78"/>
        <v>57.760363065029267</v>
      </c>
      <c r="G212" s="110">
        <f t="shared" si="76"/>
        <v>0.94299703422380332</v>
      </c>
      <c r="H212" s="412" t="b">
        <f>Wh_hp&gt;='2027'!Maxi_hp</f>
        <v>0</v>
      </c>
      <c r="I212" s="388">
        <f>IF(H212,Wh_hp,'2027'!Maxi_hp)</f>
        <v>61.26677577265081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6.4321393566224017E-2</v>
      </c>
      <c r="M212" s="832"/>
      <c r="N212" s="832"/>
      <c r="O212" s="48">
        <f>IF(t&lt;Tnet,'2027'!Resal+('2027'!Salim-'2027'!Resal)*(1-EXP(('2027'!Tnet-t)/('2027'!Tau_j))),Resal+(Salim-Resal)*(1-EXP((Tnet-t)/(Tau_j))))*Salcycl</f>
        <v>4.7545245363712428E-2</v>
      </c>
      <c r="P212" s="169">
        <f>(INDEX(Models!$BJ212:$BT212,,T212)*(1-R212)+INDEX(Models!$BJ212:$BT212,,T212+1)*R212-ERP_i)*Q212*Ramure*Pc/MaxiM</f>
        <v>9.6279144500105611E-5</v>
      </c>
      <c r="Q212" s="304">
        <f t="shared" si="80"/>
        <v>0.6</v>
      </c>
      <c r="R212" s="177">
        <f t="shared" si="81"/>
        <v>0.88444486235548414</v>
      </c>
      <c r="S212" s="799">
        <f t="shared" si="82"/>
        <v>-1</v>
      </c>
      <c r="T212" s="176">
        <f t="shared" si="83"/>
        <v>5</v>
      </c>
      <c r="U212" s="250">
        <f t="shared" si="84"/>
        <v>-0.11555513764451586</v>
      </c>
      <c r="V212" s="382">
        <f t="shared" si="85"/>
        <v>54.581922187889006</v>
      </c>
      <c r="W212" s="400">
        <f t="shared" si="86"/>
        <v>51.470994275827344</v>
      </c>
      <c r="X212" s="157">
        <f t="shared" si="87"/>
        <v>46950</v>
      </c>
      <c r="Y212" s="383">
        <f t="shared" si="88"/>
        <v>49.502885895502388</v>
      </c>
      <c r="Z212" s="383">
        <f t="shared" si="89"/>
        <v>52.905864850513737</v>
      </c>
      <c r="AA212" s="384">
        <f t="shared" si="90"/>
        <v>57.718529975844554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8.3381630255395245E-2</v>
      </c>
      <c r="AD212" s="230">
        <f>(INDEX(Models!$BJ212:$BT212,,AH212)*(1-AF212)+INDEX(Models!$BJ212:$BT212,,AH212+1)*AF212-ERP_i)*AE212*Ramure*Pc/MaxiM</f>
        <v>7.8844989345434457E-4</v>
      </c>
      <c r="AE212" s="304">
        <f t="shared" si="92"/>
        <v>0.6</v>
      </c>
      <c r="AF212" s="177">
        <f t="shared" si="93"/>
        <v>0.40943242872946239</v>
      </c>
      <c r="AG212" s="799">
        <f t="shared" si="99"/>
        <v>3</v>
      </c>
      <c r="AH212" s="176">
        <f t="shared" si="94"/>
        <v>9</v>
      </c>
      <c r="AI212" s="224">
        <f t="shared" si="95"/>
        <v>3.4094324287294624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'2027'!Wh/'2027'!Env_an*'2028'!Env_an</f>
        <v>52.399238686893511</v>
      </c>
      <c r="C213" s="829"/>
      <c r="D213" s="391">
        <f t="shared" si="77"/>
        <v>56.00239501607485</v>
      </c>
      <c r="E213" s="383">
        <f t="shared" si="75"/>
        <v>58.802431080162563</v>
      </c>
      <c r="F213" s="383">
        <f t="shared" si="78"/>
        <v>58.807931506421724</v>
      </c>
      <c r="G213" s="110">
        <f t="shared" si="76"/>
        <v>0.96158737189099286</v>
      </c>
      <c r="H213" s="412" t="b">
        <f>Wh_hp&gt;='2027'!Maxi_hp</f>
        <v>0</v>
      </c>
      <c r="I213" s="388">
        <f>IF(H213,Wh_hp,'2027'!Maxi_hp)</f>
        <v>58.808193172739628</v>
      </c>
      <c r="J213" s="85">
        <f>IF(H213,An,'2027'!An_max)</f>
        <v>2026</v>
      </c>
      <c r="K213" s="197">
        <f t="shared" si="79"/>
        <v>46951</v>
      </c>
      <c r="L213" s="147">
        <f>IF(t&lt;Tvie,1-EXP((T0-t)*PertePVj)+'2027'!Pspv,1-EXP((T0-t)*PertePVj)+Pspv)</f>
        <v>6.4339325633253619E-2</v>
      </c>
      <c r="M213" s="832"/>
      <c r="N213" s="832"/>
      <c r="O213" s="48">
        <f>IF(t&lt;Tnet,'2027'!Resal+('2027'!Salim-'2027'!Resal)*(1-EXP(('2027'!Tnet-t)/('2027'!Tau_j))),Resal+(Salim-Resal)*(1-EXP((Tnet-t)/(Tau_j))))*Salcycl</f>
        <v>4.7617692205115844E-2</v>
      </c>
      <c r="P213" s="169">
        <f>(INDEX(Models!$BJ213:$BT213,,T213)*(1-R213)+INDEX(Models!$BJ213:$BT213,,T213+1)*R213-ERP_i)*Q213*Ramure*Pc/MaxiM</f>
        <v>9.8961859716508788E-5</v>
      </c>
      <c r="Q213" s="304">
        <f t="shared" si="80"/>
        <v>0.6</v>
      </c>
      <c r="R213" s="177">
        <f t="shared" si="81"/>
        <v>0.8874349832717745</v>
      </c>
      <c r="S213" s="799">
        <f t="shared" si="82"/>
        <v>-1</v>
      </c>
      <c r="T213" s="176">
        <f t="shared" si="83"/>
        <v>5</v>
      </c>
      <c r="U213" s="250">
        <f t="shared" si="84"/>
        <v>-0.11256501672822544</v>
      </c>
      <c r="V213" s="382">
        <f t="shared" si="85"/>
        <v>54.492140468965637</v>
      </c>
      <c r="W213" s="400">
        <f t="shared" si="86"/>
        <v>52.399238686893511</v>
      </c>
      <c r="X213" s="157">
        <f t="shared" si="87"/>
        <v>46951</v>
      </c>
      <c r="Y213" s="383">
        <f t="shared" si="88"/>
        <v>50.395857016067602</v>
      </c>
      <c r="Z213" s="383">
        <f t="shared" si="89"/>
        <v>53.861253760798952</v>
      </c>
      <c r="AA213" s="384">
        <f t="shared" si="90"/>
        <v>58.76324293407378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8.3419309903885741E-2</v>
      </c>
      <c r="AD213" s="230">
        <f>(INDEX(Models!$BJ213:$BT213,,AH213)*(1-AF213)+INDEX(Models!$BJ213:$BT213,,AH213+1)*AF213-ERP_i)*AE213*Ramure*Pc/MaxiM</f>
        <v>8.0402209197245444E-4</v>
      </c>
      <c r="AE213" s="304">
        <f t="shared" si="92"/>
        <v>0.6</v>
      </c>
      <c r="AF213" s="177">
        <f t="shared" si="93"/>
        <v>0.4124225496457532</v>
      </c>
      <c r="AG213" s="799">
        <f t="shared" si="99"/>
        <v>3</v>
      </c>
      <c r="AH213" s="176">
        <f t="shared" si="94"/>
        <v>9</v>
      </c>
      <c r="AI213" s="224">
        <f t="shared" si="95"/>
        <v>3.4124225496457532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'2027'!Wh/'2027'!Env_an*'2028'!Env_an</f>
        <v>43.301126288650487</v>
      </c>
      <c r="C214" s="829"/>
      <c r="D214" s="391">
        <f t="shared" si="77"/>
        <v>46.279551280776275</v>
      </c>
      <c r="E214" s="383">
        <f t="shared" si="75"/>
        <v>48.597135370277584</v>
      </c>
      <c r="F214" s="383">
        <f t="shared" si="78"/>
        <v>48.600636815135424</v>
      </c>
      <c r="G214" s="110">
        <f t="shared" si="76"/>
        <v>0.79595035553977445</v>
      </c>
      <c r="H214" s="412" t="b">
        <f>Wh_hp&gt;='2027'!Maxi_hp</f>
        <v>0</v>
      </c>
      <c r="I214" s="388">
        <f>IF(H214,Wh_hp,'2027'!Maxi_hp)</f>
        <v>60.996282625351171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6.4357257356619457E-2</v>
      </c>
      <c r="M214" s="832"/>
      <c r="N214" s="832"/>
      <c r="O214" s="48">
        <f>IF(t&lt;Tnet,'2027'!Resal+('2027'!Salim-'2027'!Resal)*(1-EXP(('2027'!Tnet-t)/('2027'!Tau_j))),Resal+(Salim-Resal)*(1-EXP((Tnet-t)/(Tau_j))))*Salcycl</f>
        <v>4.7689726397304531E-2</v>
      </c>
      <c r="P214" s="169">
        <f>(INDEX(Models!$BJ214:$BT214,,T214)*(1-R214)+INDEX(Models!$BJ214:$BT214,,T214+1)*R214-ERP_i)*Q214*Ramure*Pc/MaxiM</f>
        <v>1.0168210002080194E-4</v>
      </c>
      <c r="Q214" s="304">
        <f t="shared" si="80"/>
        <v>0.6</v>
      </c>
      <c r="R214" s="177">
        <f t="shared" si="81"/>
        <v>0.89034591453733825</v>
      </c>
      <c r="S214" s="799">
        <f t="shared" si="82"/>
        <v>-1</v>
      </c>
      <c r="T214" s="176">
        <f t="shared" si="83"/>
        <v>5</v>
      </c>
      <c r="U214" s="250">
        <f t="shared" si="84"/>
        <v>-0.1096540854626617</v>
      </c>
      <c r="V214" s="382">
        <f t="shared" si="85"/>
        <v>54.400180345023124</v>
      </c>
      <c r="W214" s="400">
        <f t="shared" si="86"/>
        <v>43.301126288650487</v>
      </c>
      <c r="X214" s="157">
        <f t="shared" si="87"/>
        <v>46952</v>
      </c>
      <c r="Y214" s="383">
        <f t="shared" si="88"/>
        <v>41.65362022188566</v>
      </c>
      <c r="Z214" s="383">
        <f t="shared" si="89"/>
        <v>44.518723144483261</v>
      </c>
      <c r="AA214" s="384">
        <f t="shared" si="90"/>
        <v>48.572398147134685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8.3456348817122439E-2</v>
      </c>
      <c r="AD214" s="230">
        <f>(INDEX(Models!$BJ214:$BT214,,AH214)*(1-AF214)+INDEX(Models!$BJ214:$BT214,,AH214+1)*AF214-ERP_i)*AE214*Ramure*Pc/MaxiM</f>
        <v>8.2005205870199459E-4</v>
      </c>
      <c r="AE214" s="304">
        <f t="shared" si="92"/>
        <v>0.6</v>
      </c>
      <c r="AF214" s="177">
        <f t="shared" si="93"/>
        <v>0.41533348091131694</v>
      </c>
      <c r="AG214" s="799">
        <f t="shared" si="99"/>
        <v>3</v>
      </c>
      <c r="AH214" s="176">
        <f t="shared" si="94"/>
        <v>9</v>
      </c>
      <c r="AI214" s="224">
        <f t="shared" si="95"/>
        <v>3.4153334809113169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'2027'!Wh/'2027'!Env_an*'2028'!Env_an</f>
        <v>42.878824587417434</v>
      </c>
      <c r="C215" s="829"/>
      <c r="D215" s="391">
        <f t="shared" si="77"/>
        <v>45.82908028005852</v>
      </c>
      <c r="E215" s="383">
        <f t="shared" si="75"/>
        <v>48.127726350948357</v>
      </c>
      <c r="F215" s="383">
        <f t="shared" si="78"/>
        <v>48.131242138254471</v>
      </c>
      <c r="G215" s="110">
        <f t="shared" si="76"/>
        <v>0.78955548635236439</v>
      </c>
      <c r="H215" s="412" t="b">
        <f>Wh_hp&gt;='2027'!Maxi_hp</f>
        <v>0</v>
      </c>
      <c r="I215" s="388">
        <f>IF(H215,Wh_hp,'2027'!Maxi_hp)</f>
        <v>59.776097909915435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6.4375188736327749E-2</v>
      </c>
      <c r="M215" s="832"/>
      <c r="N215" s="832"/>
      <c r="O215" s="48">
        <f>IF(t&lt;Tnet,'2027'!Resal+('2027'!Salim-'2027'!Resal)*(1-EXP(('2027'!Tnet-t)/('2027'!Tau_j))),Resal+(Salim-Resal)*(1-EXP((Tnet-t)/(Tau_j))))*Salcycl</f>
        <v>4.7761368449613914E-2</v>
      </c>
      <c r="P215" s="169">
        <f>(INDEX(Models!$BJ215:$BT215,,T215)*(1-R215)+INDEX(Models!$BJ215:$BT215,,T215+1)*R215-ERP_i)*Q215*Ramure*Pc/MaxiM</f>
        <v>1.0444067027797452E-4</v>
      </c>
      <c r="Q215" s="304">
        <f t="shared" si="80"/>
        <v>0.6</v>
      </c>
      <c r="R215" s="177">
        <f t="shared" si="81"/>
        <v>0.89317839997277337</v>
      </c>
      <c r="S215" s="799">
        <f t="shared" si="82"/>
        <v>-1</v>
      </c>
      <c r="T215" s="176">
        <f t="shared" si="83"/>
        <v>5</v>
      </c>
      <c r="U215" s="250">
        <f t="shared" si="84"/>
        <v>-0.10682160002722657</v>
      </c>
      <c r="V215" s="382">
        <f t="shared" si="85"/>
        <v>54.305845576486597</v>
      </c>
      <c r="W215" s="400">
        <f t="shared" si="86"/>
        <v>42.878824587417434</v>
      </c>
      <c r="X215" s="157">
        <f t="shared" si="87"/>
        <v>46953</v>
      </c>
      <c r="Y215" s="383">
        <f t="shared" si="88"/>
        <v>41.248723696341955</v>
      </c>
      <c r="Z215" s="383">
        <f t="shared" si="89"/>
        <v>44.086821127189502</v>
      </c>
      <c r="AA215" s="384">
        <f t="shared" si="90"/>
        <v>48.103081341996216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8.349278471897674E-2</v>
      </c>
      <c r="AD215" s="230">
        <f>(INDEX(Models!$BJ215:$BT215,,AH215)*(1-AF215)+INDEX(Models!$BJ215:$BT215,,AH215+1)*AF215-ERP_i)*AE215*Ramure*Pc/MaxiM</f>
        <v>8.3655016094491823E-4</v>
      </c>
      <c r="AE215" s="304">
        <f t="shared" si="92"/>
        <v>0.6</v>
      </c>
      <c r="AF215" s="177">
        <f t="shared" si="93"/>
        <v>0.41816596634675207</v>
      </c>
      <c r="AG215" s="799">
        <f t="shared" si="99"/>
        <v>3</v>
      </c>
      <c r="AH215" s="176">
        <f t="shared" si="94"/>
        <v>9</v>
      </c>
      <c r="AI215" s="224">
        <f t="shared" si="95"/>
        <v>3.4181659663467521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'2027'!Wh/'2027'!Env_an*'2028'!Env_an</f>
        <v>50.707795631233658</v>
      </c>
      <c r="C216" s="829"/>
      <c r="D216" s="391">
        <f t="shared" si="77"/>
        <v>54.197758377853582</v>
      </c>
      <c r="E216" s="383">
        <f t="shared" si="75"/>
        <v>56.920411844559524</v>
      </c>
      <c r="F216" s="383">
        <f t="shared" si="78"/>
        <v>56.925953245221997</v>
      </c>
      <c r="G216" s="110">
        <f t="shared" si="76"/>
        <v>0.93540463667724427</v>
      </c>
      <c r="H216" s="412" t="b">
        <f>Wh_hp&gt;='2027'!Maxi_hp</f>
        <v>0</v>
      </c>
      <c r="I216" s="388">
        <f>IF(H216,Wh_hp,'2027'!Maxi_hp)</f>
        <v>56.926411535570587</v>
      </c>
      <c r="J216" s="85">
        <f>IF(H216,An,'2027'!An_max)</f>
        <v>2026</v>
      </c>
      <c r="K216" s="197">
        <f t="shared" si="79"/>
        <v>46954</v>
      </c>
      <c r="L216" s="147">
        <f>IF(t&lt;Tvie,1-EXP((T0-t)*PertePVj)+'2027'!Pspv,1-EXP((T0-t)*PertePVj)+Pspv)</f>
        <v>6.4393119772385266E-2</v>
      </c>
      <c r="M216" s="832"/>
      <c r="N216" s="832"/>
      <c r="O216" s="48">
        <f>IF(t&lt;Tnet,'2027'!Resal+('2027'!Salim-'2027'!Resal)*(1-EXP(('2027'!Tnet-t)/('2027'!Tau_j))),Resal+(Salim-Resal)*(1-EXP((Tnet-t)/(Tau_j))))*Salcycl</f>
        <v>4.7832638213178631E-2</v>
      </c>
      <c r="P216" s="169">
        <f>(INDEX(Models!$BJ216:$BT216,,T216)*(1-R216)+INDEX(Models!$BJ216:$BT216,,T216+1)*R216-ERP_i)*Q216*Ramure*Pc/MaxiM</f>
        <v>1.0723846140024938E-4</v>
      </c>
      <c r="Q216" s="304">
        <f t="shared" si="80"/>
        <v>0.6</v>
      </c>
      <c r="R216" s="177">
        <f t="shared" si="81"/>
        <v>0.89593327273083334</v>
      </c>
      <c r="S216" s="799">
        <f t="shared" si="82"/>
        <v>-1</v>
      </c>
      <c r="T216" s="176">
        <f t="shared" si="83"/>
        <v>5</v>
      </c>
      <c r="U216" s="250">
        <f t="shared" si="84"/>
        <v>-0.1040667272691666</v>
      </c>
      <c r="V216" s="382">
        <f t="shared" si="85"/>
        <v>54.2089400334619</v>
      </c>
      <c r="W216" s="400">
        <f t="shared" si="86"/>
        <v>50.707795631233658</v>
      </c>
      <c r="X216" s="157">
        <f t="shared" si="87"/>
        <v>46954</v>
      </c>
      <c r="Y216" s="383">
        <f t="shared" si="88"/>
        <v>48.77373321348243</v>
      </c>
      <c r="Z216" s="383">
        <f t="shared" si="89"/>
        <v>52.130584163315199</v>
      </c>
      <c r="AA216" s="384">
        <f t="shared" si="90"/>
        <v>56.881848397996606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8.3528654016959622E-2</v>
      </c>
      <c r="AD216" s="230">
        <f>(INDEX(Models!$BJ216:$BT216,,AH216)*(1-AF216)+INDEX(Models!$BJ216:$BT216,,AH216+1)*AF216-ERP_i)*AE216*Ramure*Pc/MaxiM</f>
        <v>8.5352715763273171E-4</v>
      </c>
      <c r="AE216" s="304">
        <f t="shared" si="92"/>
        <v>0.6</v>
      </c>
      <c r="AF216" s="177">
        <f t="shared" si="93"/>
        <v>0.42092083910481204</v>
      </c>
      <c r="AG216" s="799">
        <f t="shared" si="99"/>
        <v>3</v>
      </c>
      <c r="AH216" s="176">
        <f t="shared" si="94"/>
        <v>9</v>
      </c>
      <c r="AI216" s="224">
        <f t="shared" si="95"/>
        <v>3.420920839104812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'2027'!Wh/'2027'!Env_an*'2028'!Env_an</f>
        <v>40.943588020365972</v>
      </c>
      <c r="C217" s="829"/>
      <c r="D217" s="391">
        <f t="shared" si="77"/>
        <v>43.762368121926478</v>
      </c>
      <c r="E217" s="383">
        <f t="shared" si="75"/>
        <v>45.964217535064094</v>
      </c>
      <c r="F217" s="383">
        <f t="shared" si="78"/>
        <v>45.967518665791843</v>
      </c>
      <c r="G217" s="110">
        <f t="shared" si="76"/>
        <v>0.75665450781346577</v>
      </c>
      <c r="H217" s="412" t="b">
        <f>Wh_hp&gt;='2027'!Maxi_hp</f>
        <v>0</v>
      </c>
      <c r="I217" s="388">
        <f>IF(H217,Wh_hp,'2027'!Maxi_hp)</f>
        <v>55.348148280408218</v>
      </c>
      <c r="J217" s="85">
        <f>IF(H217,An,'2027'!An_max)</f>
        <v>2020</v>
      </c>
      <c r="K217" s="197">
        <f t="shared" si="79"/>
        <v>46955</v>
      </c>
      <c r="L217" s="147">
        <f>IF(t&lt;Tvie,1-EXP((T0-t)*PertePVj)+'2027'!Pspv,1-EXP((T0-t)*PertePVj)+Pspv)</f>
        <v>6.4411050464798669E-2</v>
      </c>
      <c r="M217" s="832"/>
      <c r="N217" s="832"/>
      <c r="O217" s="48">
        <f>IF(t&lt;Tnet,'2027'!Resal+('2027'!Salim-'2027'!Resal)*(1-EXP(('2027'!Tnet-t)/('2027'!Tau_j))),Resal+(Salim-Resal)*(1-EXP((Tnet-t)/(Tau_j))))*Salcycl</f>
        <v>4.7903554791461959E-2</v>
      </c>
      <c r="P217" s="169">
        <f>(INDEX(Models!$BJ217:$BT217,,T217)*(1-R217)+INDEX(Models!$BJ217:$BT217,,T217+1)*R217-ERP_i)*Q217*Ramure*Pc/MaxiM</f>
        <v>1.1007645057201874E-4</v>
      </c>
      <c r="Q217" s="304">
        <f t="shared" si="80"/>
        <v>0.6</v>
      </c>
      <c r="R217" s="177">
        <f t="shared" si="81"/>
        <v>0.89861144838811247</v>
      </c>
      <c r="S217" s="799">
        <f t="shared" si="82"/>
        <v>-1</v>
      </c>
      <c r="T217" s="176">
        <f t="shared" si="83"/>
        <v>5</v>
      </c>
      <c r="U217" s="250">
        <f t="shared" si="84"/>
        <v>-0.10138855161188748</v>
      </c>
      <c r="V217" s="382">
        <f t="shared" si="85"/>
        <v>54.109267704466227</v>
      </c>
      <c r="W217" s="400">
        <f t="shared" si="86"/>
        <v>40.943588020365972</v>
      </c>
      <c r="X217" s="157">
        <f t="shared" si="87"/>
        <v>46955</v>
      </c>
      <c r="Y217" s="383">
        <f t="shared" si="88"/>
        <v>39.390494754436439</v>
      </c>
      <c r="Z217" s="383">
        <f t="shared" si="89"/>
        <v>42.102351437568345</v>
      </c>
      <c r="AA217" s="384">
        <f t="shared" si="90"/>
        <v>45.941398039945113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8.3563991653862996E-2</v>
      </c>
      <c r="AD217" s="230">
        <f>(INDEX(Models!$BJ217:$BT217,,AH217)*(1-AF217)+INDEX(Models!$BJ217:$BT217,,AH217+1)*AF217-ERP_i)*AE217*Ramure*Pc/MaxiM</f>
        <v>8.7099421896825492E-4</v>
      </c>
      <c r="AE217" s="304">
        <f t="shared" si="92"/>
        <v>0.6</v>
      </c>
      <c r="AF217" s="177">
        <f t="shared" si="93"/>
        <v>0.42359901476209094</v>
      </c>
      <c r="AG217" s="799">
        <f t="shared" si="99"/>
        <v>3</v>
      </c>
      <c r="AH217" s="176">
        <f t="shared" si="94"/>
        <v>9</v>
      </c>
      <c r="AI217" s="224">
        <f t="shared" si="95"/>
        <v>3.4235990147620909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'2027'!Wh/'2027'!Env_an*'2028'!Env_an</f>
        <v>47.049218874628629</v>
      </c>
      <c r="C218" s="829"/>
      <c r="D218" s="391">
        <f t="shared" si="77"/>
        <v>50.289307716631413</v>
      </c>
      <c r="E218" s="383">
        <f t="shared" si="75"/>
        <v>52.823467977656207</v>
      </c>
      <c r="F218" s="383">
        <f t="shared" si="78"/>
        <v>52.828337048744515</v>
      </c>
      <c r="G218" s="110">
        <f t="shared" si="76"/>
        <v>0.87115671501032932</v>
      </c>
      <c r="H218" s="412" t="b">
        <f>Wh_hp&gt;='2027'!Maxi_hp</f>
        <v>0</v>
      </c>
      <c r="I218" s="388">
        <f>IF(H218,Wh_hp,'2027'!Maxi_hp)</f>
        <v>56.109961045476417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6.4428980813574399E-2</v>
      </c>
      <c r="M218" s="832"/>
      <c r="N218" s="832"/>
      <c r="O218" s="48">
        <f>IF(t&lt;Tnet,'2027'!Resal+('2027'!Salim-'2027'!Resal)*(1-EXP(('2027'!Tnet-t)/('2027'!Tau_j))),Resal+(Salim-Resal)*(1-EXP((Tnet-t)/(Tau_j))))*Salcycl</f>
        <v>4.7974136459512991E-2</v>
      </c>
      <c r="P218" s="169">
        <f>(INDEX(Models!$BJ218:$BT218,,T218)*(1-R218)+INDEX(Models!$BJ218:$BT218,,T218+1)*R218-ERP_i)*Q218*Ramure*Pc/MaxiM</f>
        <v>1.1295570142683683E-4</v>
      </c>
      <c r="Q218" s="304">
        <f t="shared" si="80"/>
        <v>0.6</v>
      </c>
      <c r="R218" s="177">
        <f t="shared" si="81"/>
        <v>0.90121391814924467</v>
      </c>
      <c r="S218" s="799">
        <f t="shared" si="82"/>
        <v>-1</v>
      </c>
      <c r="T218" s="176">
        <f t="shared" si="83"/>
        <v>5</v>
      </c>
      <c r="U218" s="250">
        <f t="shared" si="84"/>
        <v>-9.8786081850755381E-2</v>
      </c>
      <c r="V218" s="382">
        <f t="shared" si="85"/>
        <v>54.006632697464021</v>
      </c>
      <c r="W218" s="400">
        <f t="shared" si="86"/>
        <v>47.049218874628629</v>
      </c>
      <c r="X218" s="157">
        <f t="shared" si="87"/>
        <v>46956</v>
      </c>
      <c r="Y218" s="383">
        <f t="shared" si="88"/>
        <v>45.259963563160547</v>
      </c>
      <c r="Z218" s="383">
        <f t="shared" si="89"/>
        <v>48.376833650232882</v>
      </c>
      <c r="AA218" s="384">
        <f t="shared" si="90"/>
        <v>52.790017391324284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8.3598830975507077E-2</v>
      </c>
      <c r="AD218" s="230">
        <f>(INDEX(Models!$BJ218:$BT218,,AH218)*(1-AF218)+INDEX(Models!$BJ218:$BT218,,AH218+1)*AF218-ERP_i)*AE218*Ramure*Pc/MaxiM</f>
        <v>8.8896294669733086E-4</v>
      </c>
      <c r="AE218" s="304">
        <f t="shared" si="92"/>
        <v>0.6</v>
      </c>
      <c r="AF218" s="177">
        <f t="shared" si="93"/>
        <v>0.42620148452322315</v>
      </c>
      <c r="AG218" s="799">
        <f t="shared" si="99"/>
        <v>3</v>
      </c>
      <c r="AH218" s="176">
        <f t="shared" si="94"/>
        <v>9</v>
      </c>
      <c r="AI218" s="224">
        <f t="shared" si="95"/>
        <v>3.4262014845232232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'2027'!Wh/'2027'!Env_an*'2028'!Env_an</f>
        <v>50.933909658489775</v>
      </c>
      <c r="C219" s="829"/>
      <c r="D219" s="391">
        <f t="shared" si="77"/>
        <v>54.442564775306273</v>
      </c>
      <c r="E219" s="383">
        <f t="shared" si="75"/>
        <v>57.190235352551902</v>
      </c>
      <c r="F219" s="383">
        <f t="shared" si="78"/>
        <v>57.19634179616515</v>
      </c>
      <c r="G219" s="110">
        <f t="shared" si="76"/>
        <v>0.94493859942254377</v>
      </c>
      <c r="H219" s="412" t="b">
        <f>Wh_hp&gt;='2027'!Maxi_hp</f>
        <v>0</v>
      </c>
      <c r="I219" s="388">
        <f>IF(H219,Wh_hp,'2027'!Maxi_hp)</f>
        <v>57.196763072187998</v>
      </c>
      <c r="J219" s="85">
        <f>IF(H219,An,'2027'!An_max)</f>
        <v>2026</v>
      </c>
      <c r="K219" s="197">
        <f t="shared" si="79"/>
        <v>46957</v>
      </c>
      <c r="L219" s="147">
        <f>IF(t&lt;Tvie,1-EXP((T0-t)*PertePVj)+'2027'!Pspv,1-EXP((T0-t)*PertePVj)+Pspv)</f>
        <v>6.4446910818719005E-2</v>
      </c>
      <c r="M219" s="832"/>
      <c r="N219" s="832"/>
      <c r="O219" s="48">
        <f>IF(t&lt;Tnet,'2027'!Resal+('2027'!Salim-'2027'!Resal)*(1-EXP(('2027'!Tnet-t)/('2027'!Tau_j))),Resal+(Salim-Resal)*(1-EXP((Tnet-t)/(Tau_j))))*Salcycl</f>
        <v>4.8044400592294825E-2</v>
      </c>
      <c r="P219" s="169">
        <f>(INDEX(Models!$BJ219:$BT219,,T219)*(1-R219)+INDEX(Models!$BJ219:$BT219,,T219+1)*R219-ERP_i)*Q219*Ramure*Pc/MaxiM</f>
        <v>1.1587612638511376E-4</v>
      </c>
      <c r="Q219" s="304">
        <f t="shared" si="80"/>
        <v>0.6</v>
      </c>
      <c r="R219" s="177">
        <f t="shared" si="81"/>
        <v>0.90374174219212189</v>
      </c>
      <c r="S219" s="799">
        <f t="shared" si="82"/>
        <v>-1</v>
      </c>
      <c r="T219" s="176">
        <f t="shared" si="83"/>
        <v>5</v>
      </c>
      <c r="U219" s="250">
        <f t="shared" si="84"/>
        <v>-9.6258257807878111E-2</v>
      </c>
      <c r="V219" s="382">
        <f t="shared" si="85"/>
        <v>53.901328048725645</v>
      </c>
      <c r="W219" s="400">
        <f t="shared" si="86"/>
        <v>50.933909658489775</v>
      </c>
      <c r="X219" s="157">
        <f t="shared" si="87"/>
        <v>46957</v>
      </c>
      <c r="Y219" s="383">
        <f t="shared" si="88"/>
        <v>48.993986995300943</v>
      </c>
      <c r="Z219" s="383">
        <f t="shared" si="89"/>
        <v>52.369007768630688</v>
      </c>
      <c r="AA219" s="384">
        <f t="shared" si="90"/>
        <v>57.148521722116591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8.3633203615067861E-2</v>
      </c>
      <c r="AD219" s="230">
        <f>(INDEX(Models!$BJ219:$BT219,,AH219)*(1-AF219)+INDEX(Models!$BJ219:$BT219,,AH219+1)*AF219-ERP_i)*AE219*Ramure*Pc/MaxiM</f>
        <v>9.074357015550307E-4</v>
      </c>
      <c r="AE219" s="304">
        <f t="shared" si="92"/>
        <v>0.6</v>
      </c>
      <c r="AF219" s="177">
        <f t="shared" si="93"/>
        <v>0.42872930856610036</v>
      </c>
      <c r="AG219" s="799">
        <f t="shared" si="99"/>
        <v>3</v>
      </c>
      <c r="AH219" s="176">
        <f t="shared" si="94"/>
        <v>9</v>
      </c>
      <c r="AI219" s="224">
        <f t="shared" si="95"/>
        <v>3.4287293085661004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'2027'!Wh/'2027'!Env_an*'2028'!Env_an</f>
        <v>25.956238188804083</v>
      </c>
      <c r="C220" s="829"/>
      <c r="D220" s="391">
        <f t="shared" si="77"/>
        <v>27.744802453098849</v>
      </c>
      <c r="E220" s="383">
        <f t="shared" si="75"/>
        <v>29.147201504265578</v>
      </c>
      <c r="F220" s="383">
        <f t="shared" si="78"/>
        <v>29.148104487439522</v>
      </c>
      <c r="G220" s="110">
        <f t="shared" si="76"/>
        <v>0.48247137611470764</v>
      </c>
      <c r="H220" s="412" t="b">
        <f>Wh_hp&gt;='2027'!Maxi_hp</f>
        <v>0</v>
      </c>
      <c r="I220" s="388">
        <f>IF(H220,Wh_hp,'2027'!Maxi_hp)</f>
        <v>59.315557328001788</v>
      </c>
      <c r="J220" s="85">
        <f>IF(H220,An,'2027'!An_max)</f>
        <v>2020</v>
      </c>
      <c r="K220" s="197">
        <f t="shared" si="79"/>
        <v>46958</v>
      </c>
      <c r="L220" s="147">
        <f>IF(t&lt;Tvie,1-EXP((T0-t)*PertePVj)+'2027'!Pspv,1-EXP((T0-t)*PertePVj)+Pspv)</f>
        <v>6.4464840480239149E-2</v>
      </c>
      <c r="M220" s="832"/>
      <c r="N220" s="832"/>
      <c r="O220" s="48">
        <f>IF(t&lt;Tnet,'2027'!Resal+('2027'!Salim-'2027'!Resal)*(1-EXP(('2027'!Tnet-t)/('2027'!Tau_j))),Resal+(Salim-Resal)*(1-EXP((Tnet-t)/(Tau_j))))*Salcycl</f>
        <v>4.811436360233394E-2</v>
      </c>
      <c r="P220" s="169">
        <f>(INDEX(Models!$BJ220:$BT220,,T220)*(1-R220)+INDEX(Models!$BJ220:$BT220,,T220+1)*R220-ERP_i)*Q220*Ramure*Pc/MaxiM</f>
        <v>1.1881513591782178E-4</v>
      </c>
      <c r="Q220" s="304">
        <f t="shared" si="80"/>
        <v>0.6</v>
      </c>
      <c r="R220" s="177">
        <f t="shared" si="81"/>
        <v>0.90619604317925684</v>
      </c>
      <c r="S220" s="799">
        <f t="shared" si="82"/>
        <v>-1</v>
      </c>
      <c r="T220" s="176">
        <f t="shared" si="83"/>
        <v>5</v>
      </c>
      <c r="U220" s="250">
        <f t="shared" si="84"/>
        <v>-9.3803956820743106E-2</v>
      </c>
      <c r="V220" s="382">
        <f t="shared" si="85"/>
        <v>53.793778265384297</v>
      </c>
      <c r="W220" s="400">
        <f t="shared" si="86"/>
        <v>25.956238188804083</v>
      </c>
      <c r="X220" s="157">
        <f t="shared" si="87"/>
        <v>46958</v>
      </c>
      <c r="Y220" s="383">
        <f t="shared" si="88"/>
        <v>24.981514871573108</v>
      </c>
      <c r="Z220" s="383">
        <f t="shared" si="89"/>
        <v>26.702913960387008</v>
      </c>
      <c r="AA220" s="384">
        <f t="shared" si="90"/>
        <v>29.141063371596257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8.3667139394292239E-2</v>
      </c>
      <c r="AD220" s="230">
        <f>(INDEX(Models!$BJ220:$BT220,,AH220)*(1-AF220)+INDEX(Models!$BJ220:$BT220,,AH220+1)*AF220-ERP_i)*AE220*Ramure*Pc/MaxiM</f>
        <v>9.2647477834852132E-4</v>
      </c>
      <c r="AE220" s="304">
        <f t="shared" si="92"/>
        <v>0.6</v>
      </c>
      <c r="AF220" s="177">
        <f t="shared" si="93"/>
        <v>0.43118360955323531</v>
      </c>
      <c r="AG220" s="799">
        <f t="shared" si="99"/>
        <v>3</v>
      </c>
      <c r="AH220" s="176">
        <f t="shared" si="94"/>
        <v>9</v>
      </c>
      <c r="AI220" s="224">
        <f t="shared" si="95"/>
        <v>3.4311836095532353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'2027'!Wh/'2027'!Env_an*'2028'!Env_an</f>
        <v>55.043717732897512</v>
      </c>
      <c r="C221" s="829"/>
      <c r="D221" s="391">
        <f t="shared" si="77"/>
        <v>58.837738051089254</v>
      </c>
      <c r="E221" s="383">
        <f t="shared" si="75"/>
        <v>61.816297034891861</v>
      </c>
      <c r="F221" s="383">
        <f t="shared" si="78"/>
        <v>61.823821811123061</v>
      </c>
      <c r="G221" s="110">
        <f t="shared" si="76"/>
        <v>1.0253284376351126</v>
      </c>
      <c r="H221" s="412" t="b">
        <f>Wh_hp&gt;='2027'!Maxi_hp</f>
        <v>1</v>
      </c>
      <c r="I221" s="388">
        <f>IF(H221,Wh_hp,'2027'!Maxi_hp)</f>
        <v>61.823821811123061</v>
      </c>
      <c r="J221" s="85">
        <f>IF(H221,An,'2027'!An_max)</f>
        <v>2028</v>
      </c>
      <c r="K221" s="197">
        <f t="shared" si="79"/>
        <v>46959</v>
      </c>
      <c r="L221" s="147">
        <f>IF(t&lt;Tvie,1-EXP((T0-t)*PertePVj)+'2027'!Pspv,1-EXP((T0-t)*PertePVj)+Pspv)</f>
        <v>6.4482769798141493E-2</v>
      </c>
      <c r="M221" s="832"/>
      <c r="N221" s="832"/>
      <c r="O221" s="48">
        <f>IF(t&lt;Tnet,'2027'!Resal+('2027'!Salim-'2027'!Resal)*(1-EXP(('2027'!Tnet-t)/('2027'!Tau_j))),Resal+(Salim-Resal)*(1-EXP((Tnet-t)/(Tau_j))))*Salcycl</f>
        <v>4.8184040886845386E-2</v>
      </c>
      <c r="P221" s="169">
        <f>(INDEX(Models!$BJ221:$BT221,,T221)*(1-R221)+INDEX(Models!$BJ221:$BT221,,T221+1)*R221-ERP_i)*Q221*Ramure*Pc/MaxiM</f>
        <v>1.217132168597834E-4</v>
      </c>
      <c r="Q221" s="304">
        <f t="shared" si="80"/>
        <v>0.6</v>
      </c>
      <c r="R221" s="177">
        <f t="shared" si="81"/>
        <v>0.90857799995711575</v>
      </c>
      <c r="S221" s="799">
        <f t="shared" si="82"/>
        <v>-1</v>
      </c>
      <c r="T221" s="176">
        <f t="shared" si="83"/>
        <v>5</v>
      </c>
      <c r="U221" s="250">
        <f t="shared" si="84"/>
        <v>-9.1422000042884199E-2</v>
      </c>
      <c r="V221" s="382">
        <f t="shared" si="85"/>
        <v>53.683986235526731</v>
      </c>
      <c r="W221" s="400">
        <f t="shared" si="86"/>
        <v>55.043717732897512</v>
      </c>
      <c r="X221" s="157">
        <f t="shared" si="87"/>
        <v>46959</v>
      </c>
      <c r="Y221" s="383">
        <f t="shared" si="88"/>
        <v>52.946111605142683</v>
      </c>
      <c r="Z221" s="383">
        <f t="shared" si="89"/>
        <v>56.595549387923505</v>
      </c>
      <c r="AA221" s="384">
        <f t="shared" si="90"/>
        <v>61.765350364049013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8.3700666241741814E-2</v>
      </c>
      <c r="AD221" s="230">
        <f>(INDEX(Models!$BJ221:$BT221,,AH221)*(1-AF221)+INDEX(Models!$BJ221:$BT221,,AH221+1)*AF221-ERP_i)*AE221*Ramure*Pc/MaxiM</f>
        <v>9.4577535586016202E-4</v>
      </c>
      <c r="AE221" s="304">
        <f t="shared" si="92"/>
        <v>0.6</v>
      </c>
      <c r="AF221" s="177">
        <f t="shared" si="93"/>
        <v>0.43356556633109422</v>
      </c>
      <c r="AG221" s="799">
        <f t="shared" si="99"/>
        <v>3</v>
      </c>
      <c r="AH221" s="176">
        <f t="shared" si="94"/>
        <v>9</v>
      </c>
      <c r="AI221" s="224">
        <f t="shared" si="95"/>
        <v>3.4335655663310942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'2027'!Wh/'2027'!Env_an*'2028'!Env_an</f>
        <v>55.082086717794404</v>
      </c>
      <c r="C222" s="829"/>
      <c r="D222" s="391">
        <f t="shared" si="77"/>
        <v>58.879880129803816</v>
      </c>
      <c r="E222" s="383">
        <f t="shared" si="75"/>
        <v>61.865083651598269</v>
      </c>
      <c r="F222" s="383">
        <f t="shared" si="78"/>
        <v>61.872791150508753</v>
      </c>
      <c r="G222" s="110">
        <f t="shared" si="76"/>
        <v>1.0281889115450082</v>
      </c>
      <c r="H222" s="412" t="b">
        <f>Wh_hp&gt;='2027'!Maxi_hp</f>
        <v>1</v>
      </c>
      <c r="I222" s="388">
        <f>IF(H222,Wh_hp,'2027'!Maxi_hp)</f>
        <v>61.872791150508753</v>
      </c>
      <c r="J222" s="85">
        <f>IF(H222,An,'2027'!An_max)</f>
        <v>2028</v>
      </c>
      <c r="K222" s="197">
        <f t="shared" si="79"/>
        <v>46960</v>
      </c>
      <c r="L222" s="147">
        <f>IF(t&lt;Tvie,1-EXP((T0-t)*PertePVj)+'2027'!Pspv,1-EXP((T0-t)*PertePVj)+Pspv)</f>
        <v>6.4500698772432585E-2</v>
      </c>
      <c r="M222" s="832"/>
      <c r="N222" s="832"/>
      <c r="O222" s="48">
        <f>IF(t&lt;Tnet,'2027'!Resal+('2027'!Salim-'2027'!Resal)*(1-EXP(('2027'!Tnet-t)/('2027'!Tau_j))),Resal+(Salim-Resal)*(1-EXP((Tnet-t)/(Tau_j))))*Salcycl</f>
        <v>4.8253446784393618E-2</v>
      </c>
      <c r="P222" s="169">
        <f>(INDEX(Models!$BJ222:$BT222,,T222)*(1-R222)+INDEX(Models!$BJ222:$BT222,,T222+1)*R222-ERP_i)*Q222*Ramure*Pc/MaxiM</f>
        <v>1.2457008593226863E-4</v>
      </c>
      <c r="Q222" s="304">
        <f t="shared" si="80"/>
        <v>0.6</v>
      </c>
      <c r="R222" s="177">
        <f t="shared" si="81"/>
        <v>0.91088884146208171</v>
      </c>
      <c r="S222" s="799">
        <f t="shared" si="82"/>
        <v>-1</v>
      </c>
      <c r="T222" s="176">
        <f t="shared" si="83"/>
        <v>5</v>
      </c>
      <c r="U222" s="250">
        <f t="shared" si="84"/>
        <v>-8.9111158537918345E-2</v>
      </c>
      <c r="V222" s="382">
        <f t="shared" si="85"/>
        <v>53.571951709754664</v>
      </c>
      <c r="W222" s="400">
        <f t="shared" si="86"/>
        <v>55.082086717794404</v>
      </c>
      <c r="X222" s="157">
        <f t="shared" si="87"/>
        <v>46960</v>
      </c>
      <c r="Y222" s="383">
        <f t="shared" si="88"/>
        <v>52.984079185458214</v>
      </c>
      <c r="Z222" s="383">
        <f t="shared" si="89"/>
        <v>56.637219414201816</v>
      </c>
      <c r="AA222" s="384">
        <f t="shared" si="90"/>
        <v>61.813062666992472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8.3733810128041139E-2</v>
      </c>
      <c r="AD222" s="230">
        <f>(INDEX(Models!$BJ222:$BT222,,AH222)*(1-AF222)+INDEX(Models!$BJ222:$BT222,,AH222+1)*AF222-ERP_i)*AE222*Ramure*Pc/MaxiM</f>
        <v>9.6534328588778699E-4</v>
      </c>
      <c r="AE222" s="304">
        <f t="shared" si="92"/>
        <v>0.6</v>
      </c>
      <c r="AF222" s="177">
        <f t="shared" si="93"/>
        <v>0.43587640783605996</v>
      </c>
      <c r="AG222" s="799">
        <f t="shared" si="99"/>
        <v>3</v>
      </c>
      <c r="AH222" s="176">
        <f t="shared" si="94"/>
        <v>9</v>
      </c>
      <c r="AI222" s="224">
        <f t="shared" si="95"/>
        <v>3.43587640783606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'2027'!Wh/'2027'!Env_an*'2028'!Env_an</f>
        <v>42.946765849349234</v>
      </c>
      <c r="C223" s="829"/>
      <c r="D223" s="391">
        <f t="shared" si="77"/>
        <v>45.908734377179215</v>
      </c>
      <c r="E223" s="383">
        <f t="shared" si="75"/>
        <v>48.239807012166828</v>
      </c>
      <c r="F223" s="383">
        <f t="shared" si="78"/>
        <v>48.244226401151444</v>
      </c>
      <c r="G223" s="110">
        <f t="shared" si="76"/>
        <v>0.80335011641186593</v>
      </c>
      <c r="H223" s="412" t="b">
        <f>Wh_hp&gt;='2027'!Maxi_hp</f>
        <v>0</v>
      </c>
      <c r="I223" s="388">
        <f>IF(H223,Wh_hp,'2027'!Maxi_hp)</f>
        <v>56.218409152668862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6.4518627403118867E-2</v>
      </c>
      <c r="M223" s="832"/>
      <c r="N223" s="832"/>
      <c r="O223" s="48">
        <f>IF(t&lt;Tnet,'2027'!Resal+('2027'!Salim-'2027'!Resal)*(1-EXP(('2027'!Tnet-t)/('2027'!Tau_j))),Resal+(Salim-Resal)*(1-EXP((Tnet-t)/(Tau_j))))*Salcycl</f>
        <v>4.8322594541053733E-2</v>
      </c>
      <c r="P223" s="169">
        <f>(INDEX(Models!$BJ223:$BT223,,T223)*(1-R223)+INDEX(Models!$BJ223:$BT223,,T223+1)*R223-ERP_i)*Q223*Ramure*Pc/MaxiM</f>
        <v>1.2738548504207209E-4</v>
      </c>
      <c r="Q223" s="304">
        <f t="shared" si="80"/>
        <v>0.6</v>
      </c>
      <c r="R223" s="177">
        <f t="shared" si="81"/>
        <v>0.91312984084866322</v>
      </c>
      <c r="S223" s="799">
        <f t="shared" si="82"/>
        <v>-1</v>
      </c>
      <c r="T223" s="176">
        <f t="shared" si="83"/>
        <v>5</v>
      </c>
      <c r="U223" s="250">
        <f t="shared" si="84"/>
        <v>-8.6870159151336834E-2</v>
      </c>
      <c r="V223" s="382">
        <f t="shared" si="85"/>
        <v>53.457674498712763</v>
      </c>
      <c r="W223" s="400">
        <f t="shared" si="86"/>
        <v>42.946765849349234</v>
      </c>
      <c r="X223" s="157">
        <f t="shared" si="87"/>
        <v>46961</v>
      </c>
      <c r="Y223" s="383">
        <f t="shared" si="88"/>
        <v>41.321761245838985</v>
      </c>
      <c r="Z223" s="383">
        <f t="shared" si="89"/>
        <v>44.171655851500759</v>
      </c>
      <c r="AA223" s="384">
        <f t="shared" si="90"/>
        <v>48.210047364913287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8.3766595017942647E-2</v>
      </c>
      <c r="AD223" s="230">
        <f>(INDEX(Models!$BJ223:$BT223,,AH223)*(1-AF223)+INDEX(Models!$BJ223:$BT223,,AH223+1)*AF223-ERP_i)*AE223*Ramure*Pc/MaxiM</f>
        <v>9.8518440549642556E-4</v>
      </c>
      <c r="AE223" s="304">
        <f t="shared" si="92"/>
        <v>0.6</v>
      </c>
      <c r="AF223" s="177">
        <f t="shared" si="93"/>
        <v>0.43811740722264148</v>
      </c>
      <c r="AG223" s="799">
        <f t="shared" si="99"/>
        <v>3</v>
      </c>
      <c r="AH223" s="176">
        <f t="shared" si="94"/>
        <v>9</v>
      </c>
      <c r="AI223" s="224">
        <f t="shared" si="95"/>
        <v>3.4381174072226415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'2027'!Wh/'2027'!Env_an*'2028'!Env_an</f>
        <v>30.674436560706543</v>
      </c>
      <c r="C224" s="829"/>
      <c r="D224" s="391">
        <f t="shared" si="77"/>
        <v>32.790630940516195</v>
      </c>
      <c r="E224" s="383">
        <f t="shared" si="75"/>
        <v>34.458110465109193</v>
      </c>
      <c r="F224" s="383">
        <f t="shared" si="78"/>
        <v>34.459872928068926</v>
      </c>
      <c r="G224" s="110">
        <f t="shared" si="76"/>
        <v>0.57501591469165336</v>
      </c>
      <c r="H224" s="412" t="b">
        <f>Wh_hp&gt;='2027'!Maxi_hp</f>
        <v>0</v>
      </c>
      <c r="I224" s="388">
        <f>IF(H224,Wh_hp,'2027'!Maxi_hp)</f>
        <v>59.204840320642759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6.4536555690207109E-2</v>
      </c>
      <c r="M224" s="832"/>
      <c r="N224" s="832"/>
      <c r="O224" s="48">
        <f>IF(t&lt;Tnet,'2027'!Resal+('2027'!Salim-'2027'!Resal)*(1-EXP(('2027'!Tnet-t)/('2027'!Tau_j))),Resal+(Salim-Resal)*(1-EXP((Tnet-t)/(Tau_j))))*Salcycl</f>
        <v>4.8391496285944677E-2</v>
      </c>
      <c r="P224" s="169">
        <f>(INDEX(Models!$BJ224:$BT224,,T224)*(1-R224)+INDEX(Models!$BJ224:$BT224,,T224+1)*R224-ERP_i)*Q224*Ramure*Pc/MaxiM</f>
        <v>1.3015917558456718E-4</v>
      </c>
      <c r="Q224" s="304">
        <f t="shared" si="80"/>
        <v>0.6</v>
      </c>
      <c r="R224" s="177">
        <f t="shared" si="81"/>
        <v>0.91530230985269656</v>
      </c>
      <c r="S224" s="799">
        <f t="shared" si="82"/>
        <v>-1</v>
      </c>
      <c r="T224" s="176">
        <f t="shared" si="83"/>
        <v>5</v>
      </c>
      <c r="U224" s="250">
        <f t="shared" si="84"/>
        <v>-8.4697690147303439E-2</v>
      </c>
      <c r="V224" s="382">
        <f t="shared" si="85"/>
        <v>53.341154477832887</v>
      </c>
      <c r="W224" s="400">
        <f t="shared" si="86"/>
        <v>30.674436560706543</v>
      </c>
      <c r="X224" s="157">
        <f t="shared" si="87"/>
        <v>46962</v>
      </c>
      <c r="Y224" s="383">
        <f t="shared" si="88"/>
        <v>29.52294251331319</v>
      </c>
      <c r="Z224" s="383">
        <f t="shared" si="89"/>
        <v>31.559696632609644</v>
      </c>
      <c r="AA224" s="384">
        <f t="shared" si="90"/>
        <v>34.446260272853024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8.3799042838861429E-2</v>
      </c>
      <c r="AD224" s="230">
        <f>(INDEX(Models!$BJ224:$BT224,,AH224)*(1-AF224)+INDEX(Models!$BJ224:$BT224,,AH224+1)*AF224-ERP_i)*AE224*Ramure*Pc/MaxiM</f>
        <v>1.0053045203793941E-3</v>
      </c>
      <c r="AE224" s="304">
        <f t="shared" si="92"/>
        <v>0.6</v>
      </c>
      <c r="AF224" s="177">
        <f t="shared" si="93"/>
        <v>0.44028987622667515</v>
      </c>
      <c r="AG224" s="799">
        <f t="shared" si="99"/>
        <v>3</v>
      </c>
      <c r="AH224" s="176">
        <f t="shared" si="94"/>
        <v>9</v>
      </c>
      <c r="AI224" s="224">
        <f t="shared" si="95"/>
        <v>3.4402898762266751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'2027'!Wh/'2027'!Env_an*'2028'!Env_an</f>
        <v>47.442808003189668</v>
      </c>
      <c r="C225" s="829"/>
      <c r="D225" s="391">
        <f t="shared" si="77"/>
        <v>50.716805172662028</v>
      </c>
      <c r="E225" s="383">
        <f t="shared" si="75"/>
        <v>53.299718205608166</v>
      </c>
      <c r="F225" s="383">
        <f t="shared" si="78"/>
        <v>53.305703112336332</v>
      </c>
      <c r="G225" s="110">
        <f t="shared" si="76"/>
        <v>0.89138853798057449</v>
      </c>
      <c r="H225" s="412" t="b">
        <f>Wh_hp&gt;='2027'!Maxi_hp</f>
        <v>0</v>
      </c>
      <c r="I225" s="388">
        <f>IF(H225,Wh_hp,'2027'!Maxi_hp)</f>
        <v>53.306581898235017</v>
      </c>
      <c r="J225" s="85">
        <f>IF(H225,An,'2027'!An_max)</f>
        <v>2026</v>
      </c>
      <c r="K225" s="197">
        <f t="shared" si="79"/>
        <v>46963</v>
      </c>
      <c r="L225" s="147">
        <f>IF(t&lt;Tvie,1-EXP((T0-t)*PertePVj)+'2027'!Pspv,1-EXP((T0-t)*PertePVj)+Pspv)</f>
        <v>6.4554483633703863E-2</v>
      </c>
      <c r="M225" s="832"/>
      <c r="N225" s="832"/>
      <c r="O225" s="48">
        <f>IF(t&lt;Tnet,'2027'!Resal+('2027'!Salim-'2027'!Resal)*(1-EXP(('2027'!Tnet-t)/('2027'!Tau_j))),Resal+(Salim-Resal)*(1-EXP((Tnet-t)/(Tau_j))))*Salcycl</f>
        <v>4.8460163015915568E-2</v>
      </c>
      <c r="P225" s="169">
        <f>(INDEX(Models!$BJ225:$BT225,,T225)*(1-R225)+INDEX(Models!$BJ225:$BT225,,T225+1)*R225-ERP_i)*Q225*Ramure*Pc/MaxiM</f>
        <v>1.3289093304575639E-4</v>
      </c>
      <c r="Q225" s="304">
        <f t="shared" si="80"/>
        <v>0.6</v>
      </c>
      <c r="R225" s="177">
        <f t="shared" si="81"/>
        <v>0.917407593399579</v>
      </c>
      <c r="S225" s="799">
        <f t="shared" si="82"/>
        <v>-1</v>
      </c>
      <c r="T225" s="176">
        <f t="shared" si="83"/>
        <v>5</v>
      </c>
      <c r="U225" s="250">
        <f t="shared" si="84"/>
        <v>-8.2592406600420998E-2</v>
      </c>
      <c r="V225" s="382">
        <f t="shared" si="85"/>
        <v>53.222391585851959</v>
      </c>
      <c r="W225" s="400">
        <f t="shared" si="86"/>
        <v>47.442808003189668</v>
      </c>
      <c r="X225" s="157">
        <f t="shared" si="87"/>
        <v>46963</v>
      </c>
      <c r="Y225" s="383">
        <f t="shared" si="88"/>
        <v>45.644785103193961</v>
      </c>
      <c r="Z225" s="383">
        <f t="shared" si="89"/>
        <v>48.794701887609079</v>
      </c>
      <c r="AA225" s="384">
        <f t="shared" si="90"/>
        <v>53.259509027581252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8.3831173465380701E-2</v>
      </c>
      <c r="AD225" s="230">
        <f>(INDEX(Models!$BJ225:$BT225,,AH225)*(1-AF225)+INDEX(Models!$BJ225:$BT225,,AH225+1)*AF225-ERP_i)*AE225*Ramure*Pc/MaxiM</f>
        <v>1.0257093891548139E-3</v>
      </c>
      <c r="AE225" s="304">
        <f t="shared" si="92"/>
        <v>0.6</v>
      </c>
      <c r="AF225" s="177">
        <f t="shared" si="93"/>
        <v>0.44239515977355737</v>
      </c>
      <c r="AG225" s="799">
        <f t="shared" si="99"/>
        <v>3</v>
      </c>
      <c r="AH225" s="176">
        <f t="shared" si="94"/>
        <v>9</v>
      </c>
      <c r="AI225" s="224">
        <f t="shared" si="95"/>
        <v>3.4423951597735574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'2027'!Wh/'2027'!Env_an*'2028'!Env_an</f>
        <v>52.677991470401331</v>
      </c>
      <c r="C226" s="829"/>
      <c r="D226" s="391">
        <f t="shared" si="77"/>
        <v>56.314344480550957</v>
      </c>
      <c r="E226" s="383">
        <f t="shared" si="75"/>
        <v>59.186586955911523</v>
      </c>
      <c r="F226" s="383">
        <f t="shared" si="78"/>
        <v>59.194526947232497</v>
      </c>
      <c r="G226" s="110">
        <f t="shared" si="76"/>
        <v>0.99202524440531814</v>
      </c>
      <c r="H226" s="412" t="b">
        <f>Wh_hp&gt;='2027'!Maxi_hp</f>
        <v>0</v>
      </c>
      <c r="I226" s="388">
        <f>IF(H226,Wh_hp,'2027'!Maxi_hp)</f>
        <v>59.194600004868803</v>
      </c>
      <c r="J226" s="85">
        <f>IF(H226,An,'2027'!An_max)</f>
        <v>2026</v>
      </c>
      <c r="K226" s="197">
        <f t="shared" si="79"/>
        <v>46964</v>
      </c>
      <c r="L226" s="147">
        <f>IF(t&lt;Tvie,1-EXP((T0-t)*PertePVj)+'2027'!Pspv,1-EXP((T0-t)*PertePVj)+Pspv)</f>
        <v>6.4572411233615568E-2</v>
      </c>
      <c r="M226" s="832"/>
      <c r="N226" s="832"/>
      <c r="O226" s="48">
        <f>IF(t&lt;Tnet,'2027'!Resal+('2027'!Salim-'2027'!Resal)*(1-EXP(('2027'!Tnet-t)/('2027'!Tau_j))),Resal+(Salim-Resal)*(1-EXP((Tnet-t)/(Tau_j))))*Salcycl</f>
        <v>4.8528604589078907E-2</v>
      </c>
      <c r="P226" s="169">
        <f>(INDEX(Models!$BJ226:$BT226,,T226)*(1-R226)+INDEX(Models!$BJ226:$BT226,,T226+1)*R226-ERP_i)*Q226*Ramure*Pc/MaxiM</f>
        <v>1.356793061028847E-4</v>
      </c>
      <c r="Q226" s="304">
        <f t="shared" si="80"/>
        <v>0.6</v>
      </c>
      <c r="R226" s="177">
        <f t="shared" si="81"/>
        <v>0.91944706446505209</v>
      </c>
      <c r="S226" s="799">
        <f t="shared" si="82"/>
        <v>-1</v>
      </c>
      <c r="T226" s="176">
        <f t="shared" si="83"/>
        <v>5</v>
      </c>
      <c r="U226" s="250">
        <f t="shared" si="84"/>
        <v>-8.0552935534947911E-2</v>
      </c>
      <c r="V226" s="382">
        <f t="shared" si="85"/>
        <v>53.101380581186739</v>
      </c>
      <c r="W226" s="400">
        <f t="shared" si="86"/>
        <v>52.677991470401331</v>
      </c>
      <c r="X226" s="157">
        <f t="shared" si="87"/>
        <v>46964</v>
      </c>
      <c r="Y226" s="383">
        <f t="shared" si="88"/>
        <v>50.676004264920287</v>
      </c>
      <c r="Z226" s="383">
        <f t="shared" si="89"/>
        <v>54.174160430472632</v>
      </c>
      <c r="AA226" s="384">
        <f t="shared" si="90"/>
        <v>59.133252678941382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8.3863004719082396E-2</v>
      </c>
      <c r="AD226" s="230">
        <f>(INDEX(Models!$BJ226:$BT226,,AH226)*(1-AF226)+INDEX(Models!$BJ226:$BT226,,AH226+1)*AF226-ERP_i)*AE226*Ramure*Pc/MaxiM</f>
        <v>1.0470603641261258E-3</v>
      </c>
      <c r="AE226" s="304">
        <f t="shared" si="92"/>
        <v>0.6</v>
      </c>
      <c r="AF226" s="177">
        <f t="shared" si="93"/>
        <v>0.44443463083903056</v>
      </c>
      <c r="AG226" s="799">
        <f t="shared" si="99"/>
        <v>3</v>
      </c>
      <c r="AH226" s="176">
        <f t="shared" si="94"/>
        <v>9</v>
      </c>
      <c r="AI226" s="224">
        <f t="shared" si="95"/>
        <v>3.4444346308390306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'2027'!Wh/'2027'!Env_an*'2028'!Env_an</f>
        <v>52.321773537402237</v>
      </c>
      <c r="C227" s="829"/>
      <c r="D227" s="391">
        <f t="shared" si="77"/>
        <v>55.934608856763489</v>
      </c>
      <c r="E227" s="383">
        <f t="shared" si="75"/>
        <v>58.791699044582465</v>
      </c>
      <c r="F227" s="383">
        <f t="shared" si="78"/>
        <v>58.799702057624167</v>
      </c>
      <c r="G227" s="110">
        <f t="shared" si="76"/>
        <v>0.98760857261352919</v>
      </c>
      <c r="H227" s="412" t="b">
        <f>Wh_hp&gt;='2027'!Maxi_hp</f>
        <v>0</v>
      </c>
      <c r="I227" s="388">
        <f>IF(H227,Wh_hp,'2027'!Maxi_hp)</f>
        <v>58.799817068025227</v>
      </c>
      <c r="J227" s="85">
        <f>IF(H227,An,'2027'!An_max)</f>
        <v>2026</v>
      </c>
      <c r="K227" s="197">
        <f t="shared" si="79"/>
        <v>46965</v>
      </c>
      <c r="L227" s="147">
        <f>IF(t&lt;Tvie,1-EXP((T0-t)*PertePVj)+'2027'!Pspv,1-EXP((T0-t)*PertePVj)+Pspv)</f>
        <v>6.4590338489948995E-2</v>
      </c>
      <c r="M227" s="832"/>
      <c r="N227" s="832"/>
      <c r="O227" s="48">
        <f>IF(t&lt;Tnet,'2027'!Resal+('2027'!Salim-'2027'!Resal)*(1-EXP(('2027'!Tnet-t)/('2027'!Tau_j))),Resal+(Salim-Resal)*(1-EXP((Tnet-t)/(Tau_j))))*Salcycl</f>
        <v>4.8596829726802189E-2</v>
      </c>
      <c r="P227" s="169">
        <f>(INDEX(Models!$BJ227:$BT227,,T227)*(1-R227)+INDEX(Models!$BJ227:$BT227,,T227+1)*R227-ERP_i)*Q227*Ramure*Pc/MaxiM</f>
        <v>1.3855864472131716E-4</v>
      </c>
      <c r="Q227" s="304">
        <f t="shared" si="80"/>
        <v>0.6</v>
      </c>
      <c r="R227" s="177">
        <f t="shared" si="81"/>
        <v>0.9214221191937213</v>
      </c>
      <c r="S227" s="799">
        <f t="shared" si="82"/>
        <v>-1</v>
      </c>
      <c r="T227" s="176">
        <f t="shared" si="83"/>
        <v>5</v>
      </c>
      <c r="U227" s="250">
        <f t="shared" si="84"/>
        <v>-7.8577880806278699E-2</v>
      </c>
      <c r="V227" s="382">
        <f t="shared" si="85"/>
        <v>52.978119735491362</v>
      </c>
      <c r="W227" s="400">
        <f t="shared" si="86"/>
        <v>52.321773537402237</v>
      </c>
      <c r="X227" s="157">
        <f t="shared" si="87"/>
        <v>46965</v>
      </c>
      <c r="Y227" s="383">
        <f t="shared" si="88"/>
        <v>50.334533999726013</v>
      </c>
      <c r="Z227" s="383">
        <f t="shared" si="89"/>
        <v>53.810149788778041</v>
      </c>
      <c r="AA227" s="384">
        <f t="shared" si="90"/>
        <v>58.737943245230078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8.389455238292165E-2</v>
      </c>
      <c r="AD227" s="230">
        <f>(INDEX(Models!$BJ227:$BT227,,AH227)*(1-AF227)+INDEX(Models!$BJ227:$BT227,,AH227+1)*AF227-ERP_i)*AE227*Ramure*Pc/MaxiM</f>
        <v>1.069249456465166E-3</v>
      </c>
      <c r="AE227" s="304">
        <f t="shared" si="92"/>
        <v>0.6</v>
      </c>
      <c r="AF227" s="177">
        <f t="shared" si="93"/>
        <v>0.44640968556769955</v>
      </c>
      <c r="AG227" s="799">
        <f t="shared" si="99"/>
        <v>3</v>
      </c>
      <c r="AH227" s="176">
        <f t="shared" si="94"/>
        <v>9</v>
      </c>
      <c r="AI227" s="224">
        <f t="shared" si="95"/>
        <v>3.4464096855676996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'2027'!Wh/'2027'!Env_an*'2028'!Env_an</f>
        <v>52.311839349708627</v>
      </c>
      <c r="C228" s="829"/>
      <c r="D228" s="391">
        <f t="shared" si="77"/>
        <v>55.925060501235066</v>
      </c>
      <c r="E228" s="383">
        <f t="shared" si="75"/>
        <v>58.785865598978781</v>
      </c>
      <c r="F228" s="383">
        <f t="shared" si="78"/>
        <v>58.794065103474011</v>
      </c>
      <c r="G228" s="110">
        <f t="shared" si="76"/>
        <v>0.98976629444532482</v>
      </c>
      <c r="H228" s="412" t="b">
        <f>Wh_hp&gt;='2027'!Maxi_hp</f>
        <v>0</v>
      </c>
      <c r="I228" s="388">
        <f>IF(H228,Wh_hp,'2027'!Maxi_hp)</f>
        <v>58.794161999837499</v>
      </c>
      <c r="J228" s="85">
        <f>IF(H228,An,'2027'!An_max)</f>
        <v>2026</v>
      </c>
      <c r="K228" s="197">
        <f t="shared" si="79"/>
        <v>46966</v>
      </c>
      <c r="L228" s="147">
        <f>IF(t&lt;Tvie,1-EXP((T0-t)*PertePVj)+'2027'!Pspv,1-EXP((T0-t)*PertePVj)+Pspv)</f>
        <v>6.4608265402710585E-2</v>
      </c>
      <c r="M228" s="832"/>
      <c r="N228" s="832"/>
      <c r="O228" s="48">
        <f>IF(t&lt;Tnet,'2027'!Resal+('2027'!Salim-'2027'!Resal)*(1-EXP(('2027'!Tnet-t)/('2027'!Tau_j))),Resal+(Salim-Resal)*(1-EXP((Tnet-t)/(Tau_j))))*Salcycl</f>
        <v>4.8664846023691415E-2</v>
      </c>
      <c r="P228" s="169">
        <f>(INDEX(Models!$BJ228:$BT228,,T228)*(1-R228)+INDEX(Models!$BJ228:$BT228,,T228+1)*R228-ERP_i)*Q228*Ramure*Pc/MaxiM</f>
        <v>1.4153012861546819E-4</v>
      </c>
      <c r="Q228" s="304">
        <f t="shared" si="80"/>
        <v>0.6</v>
      </c>
      <c r="R228" s="177">
        <f t="shared" si="81"/>
        <v>0.92333417227835812</v>
      </c>
      <c r="S228" s="799">
        <f t="shared" si="82"/>
        <v>-1</v>
      </c>
      <c r="T228" s="176">
        <f t="shared" si="83"/>
        <v>5</v>
      </c>
      <c r="U228" s="250">
        <f t="shared" si="84"/>
        <v>-7.6665827721641877E-2</v>
      </c>
      <c r="V228" s="382">
        <f t="shared" si="85"/>
        <v>52.852609157185015</v>
      </c>
      <c r="W228" s="400">
        <f t="shared" si="86"/>
        <v>52.311839349708627</v>
      </c>
      <c r="X228" s="157">
        <f t="shared" si="87"/>
        <v>46966</v>
      </c>
      <c r="Y228" s="383">
        <f t="shared" si="88"/>
        <v>50.325716060040982</v>
      </c>
      <c r="Z228" s="383">
        <f t="shared" si="89"/>
        <v>53.801754065859392</v>
      </c>
      <c r="AA228" s="384">
        <f t="shared" si="90"/>
        <v>58.730783861445033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8.3925830229236831E-2</v>
      </c>
      <c r="AD228" s="230">
        <f>(INDEX(Models!$BJ228:$BT228,,AH228)*(1-AF228)+INDEX(Models!$BJ228:$BT228,,AH228+1)*AF228-ERP_i)*AE228*Ramure*Pc/MaxiM</f>
        <v>1.0922857995286372E-3</v>
      </c>
      <c r="AE228" s="304">
        <f t="shared" si="92"/>
        <v>0.6</v>
      </c>
      <c r="AF228" s="177">
        <f t="shared" si="93"/>
        <v>0.4483217386523366</v>
      </c>
      <c r="AG228" s="799">
        <f t="shared" si="99"/>
        <v>3</v>
      </c>
      <c r="AH228" s="176">
        <f t="shared" si="94"/>
        <v>9</v>
      </c>
      <c r="AI228" s="224">
        <f t="shared" si="95"/>
        <v>3.4483217386523366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'2027'!Wh/'2027'!Env_an*'2028'!Env_an</f>
        <v>49.400580996471334</v>
      </c>
      <c r="C229" s="829"/>
      <c r="D229" s="391">
        <f t="shared" si="77"/>
        <v>52.813731336582002</v>
      </c>
      <c r="E229" s="383">
        <f t="shared" si="75"/>
        <v>55.519336272640743</v>
      </c>
      <c r="F229" s="383">
        <f t="shared" si="78"/>
        <v>55.526641978990945</v>
      </c>
      <c r="G229" s="110">
        <f t="shared" si="76"/>
        <v>0.93693843513637087</v>
      </c>
      <c r="H229" s="412" t="b">
        <f>Wh_hp&gt;='2027'!Maxi_hp</f>
        <v>0</v>
      </c>
      <c r="I229" s="388">
        <f>IF(H229,Wh_hp,'2027'!Maxi_hp)</f>
        <v>56.932913500318811</v>
      </c>
      <c r="J229" s="85">
        <f>IF(H229,An,'2027'!An_max)</f>
        <v>2018</v>
      </c>
      <c r="K229" s="197">
        <f t="shared" si="79"/>
        <v>46967</v>
      </c>
      <c r="L229" s="147">
        <f>IF(t&lt;Tvie,1-EXP((T0-t)*PertePVj)+'2027'!Pspv,1-EXP((T0-t)*PertePVj)+Pspv)</f>
        <v>6.4626191971906999E-2</v>
      </c>
      <c r="M229" s="832"/>
      <c r="N229" s="832"/>
      <c r="O229" s="48">
        <f>IF(t&lt;Tnet,'2027'!Resal+('2027'!Salim-'2027'!Resal)*(1-EXP(('2027'!Tnet-t)/('2027'!Tau_j))),Resal+(Salim-Resal)*(1-EXP((Tnet-t)/(Tau_j))))*Salcycl</f>
        <v>4.873265996502972E-2</v>
      </c>
      <c r="P229" s="169">
        <f>(INDEX(Models!$BJ229:$BT229,,T229)*(1-R229)+INDEX(Models!$BJ229:$BT229,,T229+1)*R229-ERP_i)*Q229*Ramure*Pc/MaxiM</f>
        <v>1.4459492959727164E-4</v>
      </c>
      <c r="Q229" s="304">
        <f t="shared" si="80"/>
        <v>0.6</v>
      </c>
      <c r="R229" s="177">
        <f t="shared" si="81"/>
        <v>0.92518465260108107</v>
      </c>
      <c r="S229" s="799">
        <f t="shared" si="82"/>
        <v>-1</v>
      </c>
      <c r="T229" s="176">
        <f t="shared" si="83"/>
        <v>5</v>
      </c>
      <c r="U229" s="250">
        <f t="shared" si="84"/>
        <v>-7.481534739891893E-2</v>
      </c>
      <c r="V229" s="382">
        <f t="shared" si="85"/>
        <v>52.724849017754835</v>
      </c>
      <c r="W229" s="400">
        <f t="shared" si="86"/>
        <v>49.400580996471334</v>
      </c>
      <c r="X229" s="157">
        <f t="shared" si="87"/>
        <v>46967</v>
      </c>
      <c r="Y229" s="383">
        <f t="shared" si="88"/>
        <v>47.529279798992796</v>
      </c>
      <c r="Z229" s="383">
        <f t="shared" si="89"/>
        <v>50.81313950749977</v>
      </c>
      <c r="AA229" s="384">
        <f t="shared" si="90"/>
        <v>55.470246691816527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8.3956850060373234E-2</v>
      </c>
      <c r="AD229" s="230">
        <f>(INDEX(Models!$BJ229:$BT229,,AH229)*(1-AF229)+INDEX(Models!$BJ229:$BT229,,AH229+1)*AF229-ERP_i)*AE229*Ramure*Pc/MaxiM</f>
        <v>1.1161785305503836E-3</v>
      </c>
      <c r="AE229" s="304">
        <f t="shared" si="92"/>
        <v>0.6</v>
      </c>
      <c r="AF229" s="177">
        <f t="shared" si="93"/>
        <v>0.45017221897505966</v>
      </c>
      <c r="AG229" s="799">
        <f t="shared" si="99"/>
        <v>3</v>
      </c>
      <c r="AH229" s="176">
        <f t="shared" si="94"/>
        <v>9</v>
      </c>
      <c r="AI229" s="224">
        <f t="shared" si="95"/>
        <v>3.4501722189750597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'2027'!Wh/'2027'!Env_an*'2028'!Env_an</f>
        <v>48.669185608670745</v>
      </c>
      <c r="C230" s="829"/>
      <c r="D230" s="391">
        <f t="shared" si="77"/>
        <v>52.0328000876885</v>
      </c>
      <c r="E230" s="383">
        <f t="shared" si="75"/>
        <v>54.7022868350981</v>
      </c>
      <c r="F230" s="383">
        <f t="shared" si="78"/>
        <v>54.709508462346463</v>
      </c>
      <c r="G230" s="110">
        <f t="shared" si="76"/>
        <v>0.9253458923559732</v>
      </c>
      <c r="H230" s="412" t="b">
        <f>Wh_hp&gt;='2027'!Maxi_hp</f>
        <v>0</v>
      </c>
      <c r="I230" s="388">
        <f>IF(H230,Wh_hp,'2027'!Maxi_hp)</f>
        <v>54.710193659523242</v>
      </c>
      <c r="J230" s="85">
        <f>IF(H230,An,'2027'!An_max)</f>
        <v>2026</v>
      </c>
      <c r="K230" s="197">
        <f t="shared" si="79"/>
        <v>46968</v>
      </c>
      <c r="L230" s="147">
        <f>IF(t&lt;Tvie,1-EXP((T0-t)*PertePVj)+'2027'!Pspv,1-EXP((T0-t)*PertePVj)+Pspv)</f>
        <v>6.4644118197544786E-2</v>
      </c>
      <c r="M230" s="832"/>
      <c r="N230" s="832"/>
      <c r="O230" s="48">
        <f>IF(t&lt;Tnet,'2027'!Resal+('2027'!Salim-'2027'!Resal)*(1-EXP(('2027'!Tnet-t)/('2027'!Tau_j))),Resal+(Salim-Resal)*(1-EXP((Tnet-t)/(Tau_j))))*Salcycl</f>
        <v>4.8800276951068977E-2</v>
      </c>
      <c r="P230" s="169">
        <f>(INDEX(Models!$BJ230:$BT230,,T230)*(1-R230)+INDEX(Models!$BJ230:$BT230,,T230+1)*R230-ERP_i)*Q230*Ramure*Pc/MaxiM</f>
        <v>1.4775421121514969E-4</v>
      </c>
      <c r="Q230" s="304">
        <f t="shared" si="80"/>
        <v>0.6</v>
      </c>
      <c r="R230" s="177">
        <f t="shared" si="81"/>
        <v>0.92697499913575787</v>
      </c>
      <c r="S230" s="799">
        <f t="shared" si="82"/>
        <v>-1</v>
      </c>
      <c r="T230" s="176">
        <f t="shared" si="83"/>
        <v>5</v>
      </c>
      <c r="U230" s="250">
        <f t="shared" si="84"/>
        <v>-7.3025000864242129E-2</v>
      </c>
      <c r="V230" s="382">
        <f t="shared" si="85"/>
        <v>52.594839551414303</v>
      </c>
      <c r="W230" s="400">
        <f t="shared" si="86"/>
        <v>48.669185608670745</v>
      </c>
      <c r="X230" s="157">
        <f t="shared" si="87"/>
        <v>46968</v>
      </c>
      <c r="Y230" s="383">
        <f t="shared" si="88"/>
        <v>46.827194901384274</v>
      </c>
      <c r="Z230" s="383">
        <f t="shared" si="89"/>
        <v>50.063506107586605</v>
      </c>
      <c r="AA230" s="384">
        <f t="shared" si="90"/>
        <v>54.653744094398263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8.3987621760796036E-2</v>
      </c>
      <c r="AD230" s="230">
        <f>(INDEX(Models!$BJ230:$BT230,,AH230)*(1-AF230)+INDEX(Models!$BJ230:$BT230,,AH230+1)*AF230-ERP_i)*AE230*Ramure*Pc/MaxiM</f>
        <v>1.1409367884460194E-3</v>
      </c>
      <c r="AE230" s="304">
        <f t="shared" si="92"/>
        <v>0.6</v>
      </c>
      <c r="AF230" s="177">
        <f t="shared" si="93"/>
        <v>0.45196256550973635</v>
      </c>
      <c r="AG230" s="799">
        <f t="shared" si="99"/>
        <v>3</v>
      </c>
      <c r="AH230" s="176">
        <f t="shared" si="94"/>
        <v>9</v>
      </c>
      <c r="AI230" s="224">
        <f t="shared" si="95"/>
        <v>3.4519625655097363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'2027'!Wh/'2027'!Env_an*'2028'!Env_an</f>
        <v>44.198817835215799</v>
      </c>
      <c r="C231" s="829"/>
      <c r="D231" s="391">
        <f t="shared" si="77"/>
        <v>47.254382820083791</v>
      </c>
      <c r="E231" s="383">
        <f t="shared" si="75"/>
        <v>49.682239669536798</v>
      </c>
      <c r="F231" s="383">
        <f t="shared" si="78"/>
        <v>49.688054580386591</v>
      </c>
      <c r="G231" s="110">
        <f t="shared" si="76"/>
        <v>0.84245408557379098</v>
      </c>
      <c r="H231" s="412" t="b">
        <f>Wh_hp&gt;='2027'!Maxi_hp</f>
        <v>0</v>
      </c>
      <c r="I231" s="388">
        <f>IF(H231,Wh_hp,'2027'!Maxi_hp)</f>
        <v>57.498472641811972</v>
      </c>
      <c r="J231" s="85">
        <f>IF(H231,An,'2027'!An_max)</f>
        <v>2020</v>
      </c>
      <c r="K231" s="197">
        <f t="shared" si="79"/>
        <v>46969</v>
      </c>
      <c r="L231" s="147">
        <f>IF(t&lt;Tvie,1-EXP((T0-t)*PertePVj)+'2027'!Pspv,1-EXP((T0-t)*PertePVj)+Pspv)</f>
        <v>6.4662044079630498E-2</v>
      </c>
      <c r="M231" s="832"/>
      <c r="N231" s="832"/>
      <c r="O231" s="48">
        <f>IF(t&lt;Tnet,'2027'!Resal+('2027'!Salim-'2027'!Resal)*(1-EXP(('2027'!Tnet-t)/('2027'!Tau_j))),Resal+(Salim-Resal)*(1-EXP((Tnet-t)/(Tau_j))))*Salcycl</f>
        <v>4.8867701327516271E-2</v>
      </c>
      <c r="P231" s="169">
        <f>(INDEX(Models!$BJ231:$BT231,,T231)*(1-R231)+INDEX(Models!$BJ231:$BT231,,T231+1)*R231-ERP_i)*Q231*Ramure*Pc/MaxiM</f>
        <v>1.5100912840067981E-4</v>
      </c>
      <c r="Q231" s="304">
        <f t="shared" si="80"/>
        <v>0.6</v>
      </c>
      <c r="R231" s="177">
        <f t="shared" si="81"/>
        <v>0.92870665710940026</v>
      </c>
      <c r="S231" s="799">
        <f t="shared" si="82"/>
        <v>-1</v>
      </c>
      <c r="T231" s="176">
        <f t="shared" si="83"/>
        <v>5</v>
      </c>
      <c r="U231" s="250">
        <f t="shared" si="84"/>
        <v>-7.1293342890599798E-2</v>
      </c>
      <c r="V231" s="382">
        <f t="shared" si="85"/>
        <v>52.462581054397702</v>
      </c>
      <c r="W231" s="400">
        <f t="shared" si="86"/>
        <v>44.198817835215799</v>
      </c>
      <c r="X231" s="157">
        <f t="shared" si="87"/>
        <v>46969</v>
      </c>
      <c r="Y231" s="383">
        <f t="shared" si="88"/>
        <v>42.531883075169226</v>
      </c>
      <c r="Z231" s="383">
        <f t="shared" si="89"/>
        <v>45.47220906192991</v>
      </c>
      <c r="AA231" s="384">
        <f t="shared" si="90"/>
        <v>49.643133462420735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8.4018153359480499E-2</v>
      </c>
      <c r="AD231" s="230">
        <f>(INDEX(Models!$BJ231:$BT231,,AH231)*(1-AF231)+INDEX(Models!$BJ231:$BT231,,AH231+1)*AF231-ERP_i)*AE231*Ramure*Pc/MaxiM</f>
        <v>1.1665697112184428E-3</v>
      </c>
      <c r="AE231" s="304">
        <f t="shared" si="92"/>
        <v>0.6</v>
      </c>
      <c r="AF231" s="177">
        <f t="shared" si="93"/>
        <v>0.45369422348337851</v>
      </c>
      <c r="AG231" s="799">
        <f t="shared" si="99"/>
        <v>3</v>
      </c>
      <c r="AH231" s="176">
        <f t="shared" si="94"/>
        <v>9</v>
      </c>
      <c r="AI231" s="224">
        <f t="shared" si="95"/>
        <v>3.4536942234833785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'2027'!Wh/'2027'!Env_an*'2028'!Env_an</f>
        <v>48.53404737073361</v>
      </c>
      <c r="C232" s="829"/>
      <c r="D232" s="391">
        <f t="shared" si="77"/>
        <v>51.890311117276489</v>
      </c>
      <c r="E232" s="383">
        <f t="shared" si="75"/>
        <v>54.560211603224296</v>
      </c>
      <c r="F232" s="383">
        <f t="shared" si="78"/>
        <v>54.567762277609923</v>
      </c>
      <c r="G232" s="110">
        <f t="shared" si="76"/>
        <v>0.92748056031689707</v>
      </c>
      <c r="H232" s="412" t="b">
        <f>Wh_hp&gt;='2027'!Maxi_hp</f>
        <v>0</v>
      </c>
      <c r="I232" s="388">
        <f>IF(H232,Wh_hp,'2027'!Maxi_hp)</f>
        <v>58.413322100606401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6.4679969618170907E-2</v>
      </c>
      <c r="M232" s="832"/>
      <c r="N232" s="832"/>
      <c r="O232" s="48">
        <f>IF(t&lt;Tnet,'2027'!Resal+('2027'!Salim-'2027'!Resal)*(1-EXP(('2027'!Tnet-t)/('2027'!Tau_j))),Resal+(Salim-Resal)*(1-EXP((Tnet-t)/(Tau_j))))*Salcycl</f>
        <v>4.8934936421508084E-2</v>
      </c>
      <c r="P232" s="169">
        <f>(INDEX(Models!$BJ232:$BT232,,T232)*(1-R232)+INDEX(Models!$BJ232:$BT232,,T232+1)*R232-ERP_i)*Q232*Ramure*Pc/MaxiM</f>
        <v>1.5436082714522827E-4</v>
      </c>
      <c r="Q232" s="304">
        <f t="shared" si="80"/>
        <v>0.6</v>
      </c>
      <c r="R232" s="177">
        <f t="shared" si="81"/>
        <v>0.93038107441893181</v>
      </c>
      <c r="S232" s="799">
        <f t="shared" si="82"/>
        <v>-1</v>
      </c>
      <c r="T232" s="176">
        <f t="shared" si="83"/>
        <v>5</v>
      </c>
      <c r="U232" s="250">
        <f t="shared" si="84"/>
        <v>-6.9618925581068247E-2</v>
      </c>
      <c r="V232" s="382">
        <f t="shared" si="85"/>
        <v>52.328073879628761</v>
      </c>
      <c r="W232" s="400">
        <f t="shared" si="86"/>
        <v>48.53404737073361</v>
      </c>
      <c r="X232" s="157">
        <f t="shared" si="87"/>
        <v>46970</v>
      </c>
      <c r="Y232" s="383">
        <f t="shared" si="88"/>
        <v>46.698631162902515</v>
      </c>
      <c r="Z232" s="383">
        <f t="shared" si="89"/>
        <v>49.92797079715973</v>
      </c>
      <c r="AA232" s="384">
        <f t="shared" si="90"/>
        <v>54.509401569537879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8.4048451101294844E-2</v>
      </c>
      <c r="AD232" s="230">
        <f>(INDEX(Models!$BJ232:$BT232,,AH232)*(1-AF232)+INDEX(Models!$BJ232:$BT232,,AH232+1)*AF232-ERP_i)*AE232*Ramure*Pc/MaxiM</f>
        <v>1.1930864331709684E-3</v>
      </c>
      <c r="AE232" s="304">
        <f t="shared" si="92"/>
        <v>0.6</v>
      </c>
      <c r="AF232" s="177">
        <f t="shared" si="93"/>
        <v>0.45536864079291028</v>
      </c>
      <c r="AG232" s="799">
        <f t="shared" si="99"/>
        <v>3</v>
      </c>
      <c r="AH232" s="176">
        <f t="shared" si="94"/>
        <v>9</v>
      </c>
      <c r="AI232" s="224">
        <f t="shared" si="95"/>
        <v>3.4553686407929103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'2027'!Wh/'2027'!Env_an*'2028'!Env_an</f>
        <v>51.073742492006126</v>
      </c>
      <c r="C233" s="829"/>
      <c r="D233" s="391">
        <f t="shared" si="77"/>
        <v>54.606679712117284</v>
      </c>
      <c r="E233" s="383">
        <f t="shared" ref="E233:E296" si="100">Wh_pvt/(1-Psa)</f>
        <v>57.420392920729938</v>
      </c>
      <c r="F233" s="383">
        <f t="shared" si="78"/>
        <v>57.429178435321745</v>
      </c>
      <c r="G233" s="110">
        <f t="shared" ref="G233:G296" si="101">+Wh_hp/MaxiM</f>
        <v>0.97857427871873992</v>
      </c>
      <c r="H233" s="412" t="b">
        <f>Wh_hp&gt;='2027'!Maxi_hp</f>
        <v>0</v>
      </c>
      <c r="I233" s="388">
        <f>IF(H233,Wh_hp,'2027'!Maxi_hp)</f>
        <v>57.429398305158223</v>
      </c>
      <c r="J233" s="85">
        <f>IF(H233,An,'2027'!An_max)</f>
        <v>2026</v>
      </c>
      <c r="K233" s="197">
        <f t="shared" si="79"/>
        <v>46971</v>
      </c>
      <c r="L233" s="147">
        <f>IF(t&lt;Tvie,1-EXP((T0-t)*PertePVj)+'2027'!Pspv,1-EXP((T0-t)*PertePVj)+Pspv)</f>
        <v>6.4697894813172341E-2</v>
      </c>
      <c r="M233" s="832"/>
      <c r="N233" s="832"/>
      <c r="O233" s="48">
        <f>IF(t&lt;Tnet,'2027'!Resal+('2027'!Salim-'2027'!Resal)*(1-EXP(('2027'!Tnet-t)/('2027'!Tau_j))),Resal+(Salim-Resal)*(1-EXP((Tnet-t)/(Tau_j))))*Salcycl</f>
        <v>4.900198458232502E-2</v>
      </c>
      <c r="P233" s="169">
        <f>(INDEX(Models!$BJ233:$BT233,,T233)*(1-R233)+INDEX(Models!$BJ233:$BT233,,T233+1)*R233-ERP_i)*Q233*Ramure*Pc/MaxiM</f>
        <v>1.5780916513342773E-4</v>
      </c>
      <c r="Q233" s="304">
        <f t="shared" si="80"/>
        <v>0.6</v>
      </c>
      <c r="R233" s="177">
        <f t="shared" si="81"/>
        <v>0.93199969829849527</v>
      </c>
      <c r="S233" s="799">
        <f t="shared" si="82"/>
        <v>-1</v>
      </c>
      <c r="T233" s="176">
        <f t="shared" si="83"/>
        <v>5</v>
      </c>
      <c r="U233" s="250">
        <f t="shared" si="84"/>
        <v>-6.8000301701504673E-2</v>
      </c>
      <c r="V233" s="382">
        <f t="shared" si="85"/>
        <v>52.191741516650822</v>
      </c>
      <c r="W233" s="400">
        <f t="shared" si="86"/>
        <v>51.073742492006126</v>
      </c>
      <c r="X233" s="157">
        <f t="shared" si="87"/>
        <v>46971</v>
      </c>
      <c r="Y233" s="383">
        <f t="shared" si="88"/>
        <v>49.139261501527024</v>
      </c>
      <c r="Z233" s="383">
        <f t="shared" si="89"/>
        <v>52.538384366954247</v>
      </c>
      <c r="AA233" s="384">
        <f t="shared" si="90"/>
        <v>57.361231816254467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8.4078519526032389E-2</v>
      </c>
      <c r="AD233" s="230">
        <f>(INDEX(Models!$BJ233:$BT233,,AH233)*(1-AF233)+INDEX(Models!$BJ233:$BT233,,AH233+1)*AF233-ERP_i)*AE233*Ramure*Pc/MaxiM</f>
        <v>1.2204861896934925E-3</v>
      </c>
      <c r="AE233" s="304">
        <f t="shared" si="92"/>
        <v>0.6</v>
      </c>
      <c r="AF233" s="177">
        <f t="shared" si="93"/>
        <v>0.45698726467247397</v>
      </c>
      <c r="AG233" s="799">
        <f t="shared" si="99"/>
        <v>3</v>
      </c>
      <c r="AH233" s="176">
        <f t="shared" si="94"/>
        <v>9</v>
      </c>
      <c r="AI233" s="224">
        <f t="shared" si="95"/>
        <v>3.456987264672474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'2027'!Wh/'2027'!Env_an*'2028'!Env_an</f>
        <v>51.504863924500626</v>
      </c>
      <c r="C234" s="829"/>
      <c r="D234" s="391">
        <f t="shared" si="77"/>
        <v>55.068678597806368</v>
      </c>
      <c r="E234" s="383">
        <f t="shared" si="100"/>
        <v>57.910268726781432</v>
      </c>
      <c r="F234" s="383">
        <f t="shared" si="78"/>
        <v>57.919477935519552</v>
      </c>
      <c r="G234" s="110">
        <f t="shared" si="101"/>
        <v>0.98945065076273386</v>
      </c>
      <c r="H234" s="412" t="b">
        <f>Wh_hp&gt;='2027'!Maxi_hp</f>
        <v>0</v>
      </c>
      <c r="I234" s="388">
        <f>IF(H234,Wh_hp,'2027'!Maxi_hp)</f>
        <v>57.919589541729216</v>
      </c>
      <c r="J234" s="85">
        <f>IF(H234,An,'2027'!An_max)</f>
        <v>2026</v>
      </c>
      <c r="K234" s="197">
        <f t="shared" si="79"/>
        <v>46972</v>
      </c>
      <c r="L234" s="147">
        <f>IF(t&lt;Tvie,1-EXP((T0-t)*PertePVj)+'2027'!Pspv,1-EXP((T0-t)*PertePVj)+Pspv)</f>
        <v>6.4715819664641572E-2</v>
      </c>
      <c r="M234" s="832"/>
      <c r="N234" s="832"/>
      <c r="O234" s="48">
        <f>IF(t&lt;Tnet,'2027'!Resal+('2027'!Salim-'2027'!Resal)*(1-EXP(('2027'!Tnet-t)/('2027'!Tau_j))),Resal+(Salim-Resal)*(1-EXP((Tnet-t)/(Tau_j))))*Salcycl</f>
        <v>4.9068847226069419E-2</v>
      </c>
      <c r="P234" s="169">
        <f>(INDEX(Models!$BJ234:$BT234,,T234)*(1-R234)+INDEX(Models!$BJ234:$BT234,,T234+1)*R234-ERP_i)*Q234*Ramure*Pc/MaxiM</f>
        <v>1.6143251625846939E-4</v>
      </c>
      <c r="Q234" s="304">
        <f t="shared" si="80"/>
        <v>0.6</v>
      </c>
      <c r="R234" s="177">
        <f t="shared" si="81"/>
        <v>0.93356397223141685</v>
      </c>
      <c r="S234" s="799">
        <f t="shared" si="82"/>
        <v>-1</v>
      </c>
      <c r="T234" s="176">
        <f t="shared" si="83"/>
        <v>5</v>
      </c>
      <c r="U234" s="250">
        <f t="shared" si="84"/>
        <v>-6.643602776858315E-2</v>
      </c>
      <c r="V234" s="382">
        <f t="shared" si="85"/>
        <v>52.053873115250241</v>
      </c>
      <c r="W234" s="400">
        <f t="shared" si="86"/>
        <v>51.504863924500626</v>
      </c>
      <c r="X234" s="157">
        <f t="shared" si="87"/>
        <v>46972</v>
      </c>
      <c r="Y234" s="383">
        <f t="shared" si="88"/>
        <v>49.55386231239045</v>
      </c>
      <c r="Z234" s="383">
        <f t="shared" si="89"/>
        <v>52.982679868082727</v>
      </c>
      <c r="AA234" s="384">
        <f t="shared" si="90"/>
        <v>57.848196930765745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8.4108361553709224E-2</v>
      </c>
      <c r="AD234" s="230">
        <f>(INDEX(Models!$BJ234:$BT234,,AH234)*(1-AF234)+INDEX(Models!$BJ234:$BT234,,AH234+1)*AF234-ERP_i)*AE234*Ramure*Pc/MaxiM</f>
        <v>1.2495179864052679E-3</v>
      </c>
      <c r="AE234" s="304">
        <f t="shared" si="92"/>
        <v>0.6</v>
      </c>
      <c r="AF234" s="177">
        <f t="shared" si="93"/>
        <v>0.45855153860539533</v>
      </c>
      <c r="AG234" s="799">
        <f t="shared" si="99"/>
        <v>3</v>
      </c>
      <c r="AH234" s="176">
        <f t="shared" si="94"/>
        <v>9</v>
      </c>
      <c r="AI234" s="224">
        <f t="shared" si="95"/>
        <v>3.4585515386053953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'2027'!Wh/'2027'!Env_an*'2028'!Env_an</f>
        <v>49.57283779099189</v>
      </c>
      <c r="C235" s="829"/>
      <c r="D235" s="391">
        <f t="shared" si="77"/>
        <v>53.003984140468752</v>
      </c>
      <c r="E235" s="383">
        <f t="shared" si="100"/>
        <v>55.742942898329481</v>
      </c>
      <c r="F235" s="383">
        <f t="shared" si="78"/>
        <v>55.75156257929531</v>
      </c>
      <c r="G235" s="110">
        <f t="shared" si="101"/>
        <v>0.95488788425613758</v>
      </c>
      <c r="H235" s="412" t="b">
        <f>Wh_hp&gt;='2027'!Maxi_hp</f>
        <v>0</v>
      </c>
      <c r="I235" s="388">
        <f>IF(H235,Wh_hp,'2027'!Maxi_hp)</f>
        <v>56.144783633335642</v>
      </c>
      <c r="J235" s="85">
        <f>IF(H235,An,'2027'!An_max)</f>
        <v>2021</v>
      </c>
      <c r="K235" s="197">
        <f t="shared" si="79"/>
        <v>46973</v>
      </c>
      <c r="L235" s="147">
        <f>IF(t&lt;Tvie,1-EXP((T0-t)*PertePVj)+'2027'!Pspv,1-EXP((T0-t)*PertePVj)+Pspv)</f>
        <v>6.4733744172585039E-2</v>
      </c>
      <c r="M235" s="832"/>
      <c r="N235" s="832"/>
      <c r="O235" s="48">
        <f>IF(t&lt;Tnet,'2027'!Resal+('2027'!Salim-'2027'!Resal)*(1-EXP(('2027'!Tnet-t)/('2027'!Tau_j))),Resal+(Salim-Resal)*(1-EXP((Tnet-t)/(Tau_j))))*Salcycl</f>
        <v>4.9135524883506136E-2</v>
      </c>
      <c r="P235" s="169">
        <f>(INDEX(Models!$BJ235:$BT235,,T235)*(1-R235)+INDEX(Models!$BJ235:$BT235,,T235+1)*R235-ERP_i)*Q235*Ramure*Pc/MaxiM</f>
        <v>1.6525647633853312E-4</v>
      </c>
      <c r="Q235" s="304">
        <f t="shared" si="80"/>
        <v>0.6</v>
      </c>
      <c r="R235" s="177">
        <f t="shared" si="81"/>
        <v>0.9350753331000452</v>
      </c>
      <c r="S235" s="799">
        <f t="shared" si="82"/>
        <v>-1</v>
      </c>
      <c r="T235" s="176">
        <f t="shared" si="83"/>
        <v>5</v>
      </c>
      <c r="U235" s="250">
        <f t="shared" si="84"/>
        <v>-6.4924666899954853E-2</v>
      </c>
      <c r="V235" s="382">
        <f t="shared" si="85"/>
        <v>51.914272544539635</v>
      </c>
      <c r="W235" s="400">
        <f t="shared" si="86"/>
        <v>49.57283779099189</v>
      </c>
      <c r="X235" s="157">
        <f t="shared" si="87"/>
        <v>46973</v>
      </c>
      <c r="Y235" s="383">
        <f t="shared" si="88"/>
        <v>47.698191665701849</v>
      </c>
      <c r="Z235" s="383">
        <f t="shared" si="89"/>
        <v>50.999585806187383</v>
      </c>
      <c r="AA235" s="384">
        <f t="shared" si="90"/>
        <v>55.68479160957105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8.4137978574716984E-2</v>
      </c>
      <c r="AD235" s="230">
        <f>(INDEX(Models!$BJ235:$BT235,,AH235)*(1-AF235)+INDEX(Models!$BJ235:$BT235,,AH235+1)*AF235-ERP_i)*AE235*Ramure*Pc/MaxiM</f>
        <v>1.2801326664031584E-3</v>
      </c>
      <c r="AE235" s="304">
        <f t="shared" si="92"/>
        <v>0.6</v>
      </c>
      <c r="AF235" s="177">
        <f t="shared" si="93"/>
        <v>0.46006289947402346</v>
      </c>
      <c r="AG235" s="799">
        <f t="shared" si="99"/>
        <v>3</v>
      </c>
      <c r="AH235" s="176">
        <f t="shared" si="94"/>
        <v>9</v>
      </c>
      <c r="AI235" s="224">
        <f t="shared" si="95"/>
        <v>3.4600628994740235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'2027'!Wh/'2027'!Env_an*'2028'!Env_an</f>
        <v>46.84586352964002</v>
      </c>
      <c r="C236" s="829"/>
      <c r="D236" s="391">
        <f t="shared" si="77"/>
        <v>50.089224373533085</v>
      </c>
      <c r="E236" s="383">
        <f t="shared" si="100"/>
        <v>52.681248048794878</v>
      </c>
      <c r="F236" s="383">
        <f t="shared" si="78"/>
        <v>52.688954858739223</v>
      </c>
      <c r="G236" s="110">
        <f t="shared" si="101"/>
        <v>0.90481556032617638</v>
      </c>
      <c r="H236" s="412" t="b">
        <f>Wh_hp&gt;='2027'!Maxi_hp</f>
        <v>0</v>
      </c>
      <c r="I236" s="388">
        <f>IF(H236,Wh_hp,'2027'!Maxi_hp)</f>
        <v>53.37794367209424</v>
      </c>
      <c r="J236" s="85">
        <f>IF(H236,An,'2027'!An_max)</f>
        <v>2021</v>
      </c>
      <c r="K236" s="197">
        <f t="shared" si="79"/>
        <v>46974</v>
      </c>
      <c r="L236" s="147">
        <f>IF(t&lt;Tvie,1-EXP((T0-t)*PertePVj)+'2027'!Pspv,1-EXP((T0-t)*PertePVj)+Pspv)</f>
        <v>6.4751668337009516E-2</v>
      </c>
      <c r="M236" s="832"/>
      <c r="N236" s="832"/>
      <c r="O236" s="48">
        <f>IF(t&lt;Tnet,'2027'!Resal+('2027'!Salim-'2027'!Resal)*(1-EXP(('2027'!Tnet-t)/('2027'!Tau_j))),Resal+(Salim-Resal)*(1-EXP((Tnet-t)/(Tau_j))))*Salcycl</f>
        <v>4.9202017250255498E-2</v>
      </c>
      <c r="P236" s="169">
        <f>(INDEX(Models!$BJ236:$BT236,,T236)*(1-R236)+INDEX(Models!$BJ236:$BT236,,T236+1)*R236-ERP_i)*Q236*Ramure*Pc/MaxiM</f>
        <v>1.6928372021786999E-4</v>
      </c>
      <c r="Q236" s="304">
        <f t="shared" si="80"/>
        <v>0.6</v>
      </c>
      <c r="R236" s="177">
        <f t="shared" si="81"/>
        <v>0.9365352085659423</v>
      </c>
      <c r="S236" s="799">
        <f t="shared" si="82"/>
        <v>-1</v>
      </c>
      <c r="T236" s="176">
        <f t="shared" si="83"/>
        <v>5</v>
      </c>
      <c r="U236" s="250">
        <f t="shared" si="84"/>
        <v>-6.3464791434057699E-2</v>
      </c>
      <c r="V236" s="382">
        <f t="shared" si="85"/>
        <v>51.772744993844874</v>
      </c>
      <c r="W236" s="400">
        <f t="shared" si="86"/>
        <v>46.84586352964002</v>
      </c>
      <c r="X236" s="157">
        <f t="shared" si="87"/>
        <v>46974</v>
      </c>
      <c r="Y236" s="383">
        <f t="shared" si="88"/>
        <v>45.07854568950394</v>
      </c>
      <c r="Z236" s="383">
        <f t="shared" si="89"/>
        <v>48.199546754976353</v>
      </c>
      <c r="AA236" s="384">
        <f t="shared" si="90"/>
        <v>52.629208880203095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8.416737054341307E-2</v>
      </c>
      <c r="AD236" s="230">
        <f>(INDEX(Models!$BJ236:$BT236,,AH236)*(1-AF236)+INDEX(Models!$BJ236:$BT236,,AH236+1)*AF236-ERP_i)*AE236*Ramure*Pc/MaxiM</f>
        <v>1.312348635516742E-3</v>
      </c>
      <c r="AE236" s="304">
        <f t="shared" si="92"/>
        <v>0.6</v>
      </c>
      <c r="AF236" s="177">
        <f t="shared" si="93"/>
        <v>0.46152277493992067</v>
      </c>
      <c r="AG236" s="799">
        <f t="shared" si="99"/>
        <v>3</v>
      </c>
      <c r="AH236" s="176">
        <f t="shared" si="94"/>
        <v>9</v>
      </c>
      <c r="AI236" s="224">
        <f t="shared" si="95"/>
        <v>3.4615227749399207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'2027'!Wh/'2027'!Env_an*'2028'!Env_an</f>
        <v>45.299945800115239</v>
      </c>
      <c r="C237" s="829"/>
      <c r="D237" s="391">
        <f t="shared" si="77"/>
        <v>48.43720373104518</v>
      </c>
      <c r="E237" s="383">
        <f t="shared" si="100"/>
        <v>50.947291349373394</v>
      </c>
      <c r="F237" s="383">
        <f t="shared" si="78"/>
        <v>50.954584452793199</v>
      </c>
      <c r="G237" s="110">
        <f t="shared" si="101"/>
        <v>0.87738451314285359</v>
      </c>
      <c r="H237" s="412" t="b">
        <f>Wh_hp&gt;='2027'!Maxi_hp</f>
        <v>0</v>
      </c>
      <c r="I237" s="388">
        <f>IF(H237,Wh_hp,'2027'!Maxi_hp)</f>
        <v>51.914944304147305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6.476959215792133E-2</v>
      </c>
      <c r="M237" s="832"/>
      <c r="N237" s="832"/>
      <c r="O237" s="48">
        <f>IF(t&lt;Tnet,'2027'!Resal+('2027'!Salim-'2027'!Resal)*(1-EXP(('2027'!Tnet-t)/('2027'!Tau_j))),Resal+(Salim-Resal)*(1-EXP((Tnet-t)/(Tau_j))))*Salcycl</f>
        <v>4.9268323238524606E-2</v>
      </c>
      <c r="P237" s="169">
        <f>(INDEX(Models!$BJ237:$BT237,,T237)*(1-R237)+INDEX(Models!$BJ237:$BT237,,T237+1)*R237-ERP_i)*Q237*Ramure*Pc/MaxiM</f>
        <v>1.7351697185614517E-4</v>
      </c>
      <c r="Q237" s="304">
        <f t="shared" si="80"/>
        <v>0.6</v>
      </c>
      <c r="R237" s="177">
        <f t="shared" si="81"/>
        <v>0.93794501467228475</v>
      </c>
      <c r="S237" s="799">
        <f t="shared" si="82"/>
        <v>-1</v>
      </c>
      <c r="T237" s="176">
        <f t="shared" si="83"/>
        <v>5</v>
      </c>
      <c r="U237" s="250">
        <f t="shared" si="84"/>
        <v>-6.2054985327715195E-2</v>
      </c>
      <c r="V237" s="382">
        <f t="shared" si="85"/>
        <v>51.629095764731005</v>
      </c>
      <c r="W237" s="400">
        <f t="shared" si="86"/>
        <v>45.299945800115239</v>
      </c>
      <c r="X237" s="157">
        <f t="shared" si="87"/>
        <v>46975</v>
      </c>
      <c r="Y237" s="383">
        <f t="shared" si="88"/>
        <v>43.59349035738245</v>
      </c>
      <c r="Z237" s="383">
        <f t="shared" si="89"/>
        <v>46.612567332972745</v>
      </c>
      <c r="AA237" s="384">
        <f t="shared" si="90"/>
        <v>50.89800286748622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8.4196536073736963E-2</v>
      </c>
      <c r="AD237" s="230">
        <f>(INDEX(Models!$BJ237:$BT237,,AH237)*(1-AF237)+INDEX(Models!$BJ237:$BT237,,AH237+1)*AF237-ERP_i)*AE237*Ramure*Pc/MaxiM</f>
        <v>1.3461848516535249E-3</v>
      </c>
      <c r="AE237" s="304">
        <f t="shared" si="92"/>
        <v>0.6</v>
      </c>
      <c r="AF237" s="177">
        <f t="shared" si="93"/>
        <v>0.46293258104626345</v>
      </c>
      <c r="AG237" s="799">
        <f t="shared" si="99"/>
        <v>3</v>
      </c>
      <c r="AH237" s="176">
        <f t="shared" si="94"/>
        <v>9</v>
      </c>
      <c r="AI237" s="224">
        <f t="shared" si="95"/>
        <v>3.4629325810462634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'2027'!Wh/'2027'!Env_an*'2028'!Env_an</f>
        <v>46.201812241503831</v>
      </c>
      <c r="C238" s="829"/>
      <c r="D238" s="391">
        <f t="shared" si="77"/>
        <v>49.402475922774464</v>
      </c>
      <c r="E238" s="383">
        <f t="shared" si="100"/>
        <v>51.966199318588316</v>
      </c>
      <c r="F238" s="383">
        <f t="shared" si="78"/>
        <v>51.974093118379216</v>
      </c>
      <c r="G238" s="110">
        <f t="shared" si="101"/>
        <v>0.89739312460774212</v>
      </c>
      <c r="H238" s="412" t="b">
        <f>Wh_hp&gt;='2027'!Maxi_hp</f>
        <v>0</v>
      </c>
      <c r="I238" s="388">
        <f>IF(H238,Wh_hp,'2027'!Maxi_hp)</f>
        <v>51.975164680858448</v>
      </c>
      <c r="J238" s="85">
        <f>IF(H238,An,'2027'!An_max)</f>
        <v>2026</v>
      </c>
      <c r="K238" s="197">
        <f t="shared" si="79"/>
        <v>46976</v>
      </c>
      <c r="L238" s="147">
        <f>IF(t&lt;Tvie,1-EXP((T0-t)*PertePVj)+'2027'!Pspv,1-EXP((T0-t)*PertePVj)+Pspv)</f>
        <v>6.4787515635327364E-2</v>
      </c>
      <c r="M238" s="832"/>
      <c r="N238" s="832"/>
      <c r="O238" s="48">
        <f>IF(t&lt;Tnet,'2027'!Resal+('2027'!Salim-'2027'!Resal)*(1-EXP(('2027'!Tnet-t)/('2027'!Tau_j))),Resal+(Salim-Resal)*(1-EXP((Tnet-t)/(Tau_j))))*Salcycl</f>
        <v>4.933444102957156E-2</v>
      </c>
      <c r="P238" s="169">
        <f>(INDEX(Models!$BJ238:$BT238,,T238)*(1-R238)+INDEX(Models!$BJ238:$BT238,,T238+1)*R238-ERP_i)*Q238*Ramure*Pc/MaxiM</f>
        <v>1.7795901382457744E-4</v>
      </c>
      <c r="Q238" s="304">
        <f t="shared" si="80"/>
        <v>0.6</v>
      </c>
      <c r="R238" s="177">
        <f t="shared" si="81"/>
        <v>0.93930615365985082</v>
      </c>
      <c r="S238" s="799">
        <f t="shared" si="82"/>
        <v>-1</v>
      </c>
      <c r="T238" s="176">
        <f t="shared" si="83"/>
        <v>5</v>
      </c>
      <c r="U238" s="250">
        <f t="shared" si="84"/>
        <v>-6.0693846340149127E-2</v>
      </c>
      <c r="V238" s="382">
        <f t="shared" si="85"/>
        <v>51.483130270610026</v>
      </c>
      <c r="W238" s="400">
        <f t="shared" si="86"/>
        <v>46.201812241503831</v>
      </c>
      <c r="X238" s="157">
        <f t="shared" si="87"/>
        <v>46976</v>
      </c>
      <c r="Y238" s="383">
        <f t="shared" si="88"/>
        <v>44.460399526960522</v>
      </c>
      <c r="Z238" s="383">
        <f t="shared" si="89"/>
        <v>47.540425593403256</v>
      </c>
      <c r="AA238" s="384">
        <f t="shared" si="90"/>
        <v>51.91280622865375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8.4225472535467028E-2</v>
      </c>
      <c r="AD238" s="230">
        <f>(INDEX(Models!$BJ238:$BT238,,AH238)*(1-AF238)+INDEX(Models!$BJ238:$BT238,,AH238+1)*AF238-ERP_i)*AE238*Ramure*Pc/MaxiM</f>
        <v>1.3816608914367127E-3</v>
      </c>
      <c r="AE238" s="304">
        <f t="shared" si="92"/>
        <v>0.6</v>
      </c>
      <c r="AF238" s="177">
        <f t="shared" si="93"/>
        <v>0.46429372003382952</v>
      </c>
      <c r="AG238" s="799">
        <f t="shared" si="99"/>
        <v>3</v>
      </c>
      <c r="AH238" s="176">
        <f t="shared" si="94"/>
        <v>9</v>
      </c>
      <c r="AI238" s="224">
        <f t="shared" si="95"/>
        <v>3.4642937200338295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'2027'!Wh/'2027'!Env_an*'2028'!Env_an</f>
        <v>34.771306271726665</v>
      </c>
      <c r="C239" s="829"/>
      <c r="D239" s="391">
        <f t="shared" si="77"/>
        <v>37.180826015461172</v>
      </c>
      <c r="E239" s="383">
        <f t="shared" si="100"/>
        <v>39.113023789171685</v>
      </c>
      <c r="F239" s="383">
        <f t="shared" si="78"/>
        <v>39.11687446059625</v>
      </c>
      <c r="G239" s="110">
        <f t="shared" si="101"/>
        <v>0.67728866300834301</v>
      </c>
      <c r="H239" s="412" t="b">
        <f>Wh_hp&gt;='2027'!Maxi_hp</f>
        <v>0</v>
      </c>
      <c r="I239" s="388">
        <f>IF(H239,Wh_hp,'2027'!Maxi_hp)</f>
        <v>49.870847104426645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6.4805438769233947E-2</v>
      </c>
      <c r="M239" s="832"/>
      <c r="N239" s="832"/>
      <c r="O239" s="48">
        <f>IF(t&lt;Tnet,'2027'!Resal+('2027'!Salim-'2027'!Resal)*(1-EXP(('2027'!Tnet-t)/('2027'!Tau_j))),Resal+(Salim-Resal)*(1-EXP((Tnet-t)/(Tau_j))))*Salcycl</f>
        <v>4.9400368126113446E-2</v>
      </c>
      <c r="P239" s="169">
        <f>(INDEX(Models!$BJ239:$BT239,,T239)*(1-R239)+INDEX(Models!$BJ239:$BT239,,T239+1)*R239-ERP_i)*Q239*Ramure*Pc/MaxiM</f>
        <v>1.8261269699867855E-4</v>
      </c>
      <c r="Q239" s="304">
        <f t="shared" si="80"/>
        <v>0.6</v>
      </c>
      <c r="R239" s="177">
        <f t="shared" si="81"/>
        <v>0.94062001198759448</v>
      </c>
      <c r="S239" s="799">
        <f t="shared" si="82"/>
        <v>-1</v>
      </c>
      <c r="T239" s="176">
        <f t="shared" si="83"/>
        <v>5</v>
      </c>
      <c r="U239" s="250">
        <f t="shared" si="84"/>
        <v>-5.9379988012405516E-2</v>
      </c>
      <c r="V239" s="382">
        <f t="shared" si="85"/>
        <v>51.33465403086462</v>
      </c>
      <c r="W239" s="400">
        <f t="shared" si="86"/>
        <v>34.771306271726665</v>
      </c>
      <c r="X239" s="157">
        <f t="shared" si="87"/>
        <v>46977</v>
      </c>
      <c r="Y239" s="383">
        <f t="shared" si="88"/>
        <v>33.474090002114728</v>
      </c>
      <c r="Z239" s="383">
        <f t="shared" si="89"/>
        <v>35.793717574726948</v>
      </c>
      <c r="AA239" s="384">
        <f t="shared" si="90"/>
        <v>39.086956928979745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8.4254176149771723E-2</v>
      </c>
      <c r="AD239" s="230">
        <f>(INDEX(Models!$BJ239:$BT239,,AH239)*(1-AF239)+INDEX(Models!$BJ239:$BT239,,AH239+1)*AF239-ERP_i)*AE239*Ramure*Pc/MaxiM</f>
        <v>1.4187970184061367E-3</v>
      </c>
      <c r="AE239" s="304">
        <f t="shared" si="92"/>
        <v>0.6</v>
      </c>
      <c r="AF239" s="177">
        <f t="shared" si="93"/>
        <v>0.46560757836157318</v>
      </c>
      <c r="AG239" s="799">
        <f t="shared" si="99"/>
        <v>3</v>
      </c>
      <c r="AH239" s="176">
        <f t="shared" si="94"/>
        <v>9</v>
      </c>
      <c r="AI239" s="224">
        <f t="shared" si="95"/>
        <v>3.4656075783615732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'2027'!Wh/'2027'!Env_an*'2028'!Env_an</f>
        <v>33.005835379275418</v>
      </c>
      <c r="C240" s="829"/>
      <c r="D240" s="391">
        <f t="shared" si="77"/>
        <v>35.293691076715888</v>
      </c>
      <c r="E240" s="383">
        <f t="shared" si="100"/>
        <v>37.130386542598686</v>
      </c>
      <c r="F240" s="383">
        <f t="shared" si="78"/>
        <v>37.133817956592225</v>
      </c>
      <c r="G240" s="110">
        <f t="shared" si="101"/>
        <v>0.64479206595876815</v>
      </c>
      <c r="H240" s="412" t="b">
        <f>Wh_hp&gt;='2027'!Maxi_hp</f>
        <v>0</v>
      </c>
      <c r="I240" s="388">
        <f>IF(H240,Wh_hp,'2027'!Maxi_hp)</f>
        <v>56.99494858795164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6.4823361559647741E-2</v>
      </c>
      <c r="M240" s="832"/>
      <c r="N240" s="832"/>
      <c r="O240" s="48">
        <f>IF(t&lt;Tnet,'2027'!Resal+('2027'!Salim-'2027'!Resal)*(1-EXP(('2027'!Tnet-t)/('2027'!Tau_j))),Resal+(Salim-Resal)*(1-EXP((Tnet-t)/(Tau_j))))*Salcycl</f>
        <v>4.946610140391642E-2</v>
      </c>
      <c r="P240" s="169">
        <f>(INDEX(Models!$BJ240:$BT240,,T240)*(1-R240)+INDEX(Models!$BJ240:$BT240,,T240+1)*R240-ERP_i)*Q240*Ramure*Pc/MaxiM</f>
        <v>1.8757156101084491E-4</v>
      </c>
      <c r="Q240" s="304">
        <f t="shared" si="80"/>
        <v>0.6</v>
      </c>
      <c r="R240" s="177">
        <f t="shared" si="81"/>
        <v>0.94188795854854335</v>
      </c>
      <c r="S240" s="799">
        <f t="shared" si="82"/>
        <v>-1</v>
      </c>
      <c r="T240" s="176">
        <f t="shared" si="83"/>
        <v>5</v>
      </c>
      <c r="U240" s="250">
        <f t="shared" si="84"/>
        <v>-5.8112041451456597E-2</v>
      </c>
      <c r="V240" s="382">
        <f t="shared" si="85"/>
        <v>51.183468029435787</v>
      </c>
      <c r="W240" s="400">
        <f t="shared" si="86"/>
        <v>33.005835379275418</v>
      </c>
      <c r="X240" s="157">
        <f t="shared" si="87"/>
        <v>46978</v>
      </c>
      <c r="Y240" s="383">
        <f t="shared" si="88"/>
        <v>31.776979203048409</v>
      </c>
      <c r="Z240" s="383">
        <f t="shared" si="89"/>
        <v>33.979654641549537</v>
      </c>
      <c r="AA240" s="384">
        <f t="shared" si="90"/>
        <v>37.107142665543662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8.4282642082765355E-2</v>
      </c>
      <c r="AD240" s="230">
        <f>(INDEX(Models!$BJ240:$BT240,,AH240)*(1-AF240)+INDEX(Models!$BJ240:$BT240,,AH240+1)*AF240-ERP_i)*AE240*Ramure*Pc/MaxiM</f>
        <v>1.4581528174171848E-3</v>
      </c>
      <c r="AE240" s="304">
        <f t="shared" si="92"/>
        <v>0.6</v>
      </c>
      <c r="AF240" s="177">
        <f t="shared" si="93"/>
        <v>0.46687552492252182</v>
      </c>
      <c r="AG240" s="799">
        <f t="shared" si="99"/>
        <v>3</v>
      </c>
      <c r="AH240" s="176">
        <f t="shared" si="94"/>
        <v>9</v>
      </c>
      <c r="AI240" s="224">
        <f t="shared" si="95"/>
        <v>3.4668755249225218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'2027'!Wh/'2027'!Env_an*'2028'!Env_an</f>
        <v>37.390082620250894</v>
      </c>
      <c r="C241" s="829"/>
      <c r="D241" s="391">
        <f t="shared" si="77"/>
        <v>39.982606140318318</v>
      </c>
      <c r="E241" s="383">
        <f t="shared" si="100"/>
        <v>42.066214619629967</v>
      </c>
      <c r="F241" s="383">
        <f t="shared" si="78"/>
        <v>42.071227097156942</v>
      </c>
      <c r="G241" s="110">
        <f t="shared" si="101"/>
        <v>0.73266279617971175</v>
      </c>
      <c r="H241" s="412" t="b">
        <f>Wh_hp&gt;='2027'!Maxi_hp</f>
        <v>0</v>
      </c>
      <c r="I241" s="388">
        <f>IF(H241,Wh_hp,'2027'!Maxi_hp)</f>
        <v>50.673625731633024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6.4841284006575406E-2</v>
      </c>
      <c r="M241" s="832"/>
      <c r="N241" s="832"/>
      <c r="O241" s="48">
        <f>IF(t&lt;Tnet,'2027'!Resal+('2027'!Salim-'2027'!Resal)*(1-EXP(('2027'!Tnet-t)/('2027'!Tau_j))),Resal+(Salim-Resal)*(1-EXP((Tnet-t)/(Tau_j))))*Salcycl</f>
        <v>4.9531637161841141E-2</v>
      </c>
      <c r="P241" s="169">
        <f>(INDEX(Models!$BJ241:$BT241,,T241)*(1-R241)+INDEX(Models!$BJ241:$BT241,,T241+1)*R241-ERP_i)*Q241*Ramure*Pc/MaxiM</f>
        <v>1.927354567626213E-4</v>
      </c>
      <c r="Q241" s="304">
        <f t="shared" si="80"/>
        <v>0.6</v>
      </c>
      <c r="R241" s="177">
        <f t="shared" si="81"/>
        <v>0.94311134307158362</v>
      </c>
      <c r="S241" s="799">
        <f t="shared" si="82"/>
        <v>-1</v>
      </c>
      <c r="T241" s="176">
        <f t="shared" si="83"/>
        <v>5</v>
      </c>
      <c r="U241" s="250">
        <f t="shared" si="84"/>
        <v>-5.6888656928416381E-2</v>
      </c>
      <c r="V241" s="382">
        <f t="shared" si="85"/>
        <v>51.029383293696732</v>
      </c>
      <c r="W241" s="400">
        <f t="shared" si="86"/>
        <v>37.390082620250894</v>
      </c>
      <c r="X241" s="157">
        <f t="shared" si="87"/>
        <v>46979</v>
      </c>
      <c r="Y241" s="383">
        <f t="shared" si="88"/>
        <v>35.99282455245018</v>
      </c>
      <c r="Z241" s="383">
        <f t="shared" si="89"/>
        <v>38.488466114775811</v>
      </c>
      <c r="AA241" s="384">
        <f t="shared" si="90"/>
        <v>42.03224066349388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8.4310864535849794E-2</v>
      </c>
      <c r="AD241" s="230">
        <f>(INDEX(Models!$BJ241:$BT241,,AH241)*(1-AF241)+INDEX(Models!$BJ241:$BT241,,AH241+1)*AF241-ERP_i)*AE241*Ramure*Pc/MaxiM</f>
        <v>1.4990726759699492E-3</v>
      </c>
      <c r="AE241" s="304">
        <f t="shared" si="92"/>
        <v>0.6</v>
      </c>
      <c r="AF241" s="177">
        <f t="shared" si="93"/>
        <v>0.46809890944556187</v>
      </c>
      <c r="AG241" s="799">
        <f t="shared" si="99"/>
        <v>3</v>
      </c>
      <c r="AH241" s="176">
        <f t="shared" si="94"/>
        <v>9</v>
      </c>
      <c r="AI241" s="224">
        <f t="shared" si="95"/>
        <v>3.4680989094455619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'2027'!Wh/'2027'!Env_an*'2028'!Env_an</f>
        <v>34.583509351055476</v>
      </c>
      <c r="C242" s="829"/>
      <c r="D242" s="391">
        <f t="shared" si="77"/>
        <v>36.982141702102211</v>
      </c>
      <c r="E242" s="383">
        <f t="shared" si="100"/>
        <v>38.912062125492355</v>
      </c>
      <c r="F242" s="383">
        <f t="shared" si="78"/>
        <v>38.916245257202981</v>
      </c>
      <c r="G242" s="110">
        <f t="shared" si="101"/>
        <v>0.67974986994143793</v>
      </c>
      <c r="H242" s="412" t="b">
        <f>Wh_hp&gt;='2027'!Maxi_hp</f>
        <v>0</v>
      </c>
      <c r="I242" s="388">
        <f>IF(H242,Wh_hp,'2027'!Maxi_hp)</f>
        <v>55.891220971481495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6.4859206110023382E-2</v>
      </c>
      <c r="M242" s="832"/>
      <c r="N242" s="832"/>
      <c r="O242" s="48">
        <f>IF(t&lt;Tnet,'2027'!Resal+('2027'!Salim-'2027'!Resal)*(1-EXP(('2027'!Tnet-t)/('2027'!Tau_j))),Resal+(Salim-Resal)*(1-EXP((Tnet-t)/(Tau_j))))*Salcycl</f>
        <v>4.9596971169662073E-2</v>
      </c>
      <c r="P242" s="169">
        <f>(INDEX(Models!$BJ242:$BT242,,T242)*(1-R242)+INDEX(Models!$BJ242:$BT242,,T242+1)*R242-ERP_i)*Q242*Ramure*Pc/MaxiM</f>
        <v>1.981073375193626E-4</v>
      </c>
      <c r="Q242" s="304">
        <f t="shared" si="80"/>
        <v>0.6</v>
      </c>
      <c r="R242" s="177">
        <f t="shared" si="81"/>
        <v>0.94429149469960239</v>
      </c>
      <c r="S242" s="799">
        <f t="shared" si="82"/>
        <v>-1</v>
      </c>
      <c r="T242" s="176">
        <f t="shared" si="83"/>
        <v>5</v>
      </c>
      <c r="U242" s="250">
        <f t="shared" si="84"/>
        <v>-5.5708505300397615E-2</v>
      </c>
      <c r="V242" s="382">
        <f t="shared" si="85"/>
        <v>50.87220564437839</v>
      </c>
      <c r="W242" s="400">
        <f t="shared" si="86"/>
        <v>34.583509351055476</v>
      </c>
      <c r="X242" s="157">
        <f t="shared" si="87"/>
        <v>46980</v>
      </c>
      <c r="Y242" s="383">
        <f t="shared" si="88"/>
        <v>33.295022664186845</v>
      </c>
      <c r="Z242" s="383">
        <f t="shared" si="89"/>
        <v>35.604288553905342</v>
      </c>
      <c r="AA242" s="384">
        <f t="shared" si="90"/>
        <v>38.883694084731566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8.4338836831708078E-2</v>
      </c>
      <c r="AD242" s="230">
        <f>(INDEX(Models!$BJ242:$BT242,,AH242)*(1-AF242)+INDEX(Models!$BJ242:$BT242,,AH242+1)*AF242-ERP_i)*AE242*Ramure*Pc/MaxiM</f>
        <v>1.5415785486891209E-3</v>
      </c>
      <c r="AE242" s="304">
        <f t="shared" si="92"/>
        <v>0.6</v>
      </c>
      <c r="AF242" s="177">
        <f t="shared" si="93"/>
        <v>0.46927906107358108</v>
      </c>
      <c r="AG242" s="799">
        <f t="shared" si="99"/>
        <v>3</v>
      </c>
      <c r="AH242" s="176">
        <f t="shared" si="94"/>
        <v>9</v>
      </c>
      <c r="AI242" s="224">
        <f t="shared" si="95"/>
        <v>3.4692790610735811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'2027'!Wh/'2027'!Env_an*'2028'!Env_an</f>
        <v>27.747002786636877</v>
      </c>
      <c r="C243" s="829"/>
      <c r="D243" s="391">
        <f t="shared" si="77"/>
        <v>29.672039486570771</v>
      </c>
      <c r="E243" s="383">
        <f t="shared" si="100"/>
        <v>31.222620339974039</v>
      </c>
      <c r="F243" s="383">
        <f t="shared" si="78"/>
        <v>31.224865958536046</v>
      </c>
      <c r="G243" s="110">
        <f t="shared" si="101"/>
        <v>0.54707934858070062</v>
      </c>
      <c r="H243" s="412" t="b">
        <f>Wh_hp&gt;='2027'!Maxi_hp</f>
        <v>0</v>
      </c>
      <c r="I243" s="388">
        <f>IF(H243,Wh_hp,'2027'!Maxi_hp)</f>
        <v>54.973908818601828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6.4877127869998441E-2</v>
      </c>
      <c r="M243" s="832"/>
      <c r="N243" s="832"/>
      <c r="O243" s="48">
        <f>IF(t&lt;Tnet,'2027'!Resal+('2027'!Salim-'2027'!Resal)*(1-EXP(('2027'!Tnet-t)/('2027'!Tau_j))),Resal+(Salim-Resal)*(1-EXP((Tnet-t)/(Tau_j))))*Salcycl</f>
        <v>4.9662098713030602E-2</v>
      </c>
      <c r="P243" s="169">
        <f>(INDEX(Models!$BJ243:$BT243,,T243)*(1-R243)+INDEX(Models!$BJ243:$BT243,,T243+1)*R243-ERP_i)*Q243*Ramure*Pc/MaxiM</f>
        <v>2.0369026731300636E-4</v>
      </c>
      <c r="Q243" s="304">
        <f t="shared" si="80"/>
        <v>0.6</v>
      </c>
      <c r="R243" s="177">
        <f t="shared" si="81"/>
        <v>0.94542972073445508</v>
      </c>
      <c r="S243" s="799">
        <f t="shared" si="82"/>
        <v>-1</v>
      </c>
      <c r="T243" s="176">
        <f t="shared" si="83"/>
        <v>5</v>
      </c>
      <c r="U243" s="250">
        <f t="shared" si="84"/>
        <v>-5.4570279265544974E-2</v>
      </c>
      <c r="V243" s="382">
        <f t="shared" si="85"/>
        <v>50.711740993493159</v>
      </c>
      <c r="W243" s="400">
        <f t="shared" si="86"/>
        <v>27.747002786636877</v>
      </c>
      <c r="X243" s="157">
        <f t="shared" si="87"/>
        <v>46981</v>
      </c>
      <c r="Y243" s="383">
        <f t="shared" si="88"/>
        <v>26.720691720957525</v>
      </c>
      <c r="Z243" s="383">
        <f t="shared" si="89"/>
        <v>28.574524821635197</v>
      </c>
      <c r="AA243" s="384">
        <f t="shared" si="90"/>
        <v>31.207384208481631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8.4366551494914163E-2</v>
      </c>
      <c r="AD243" s="230">
        <f>(INDEX(Models!$BJ243:$BT243,,AH243)*(1-AF243)+INDEX(Models!$BJ243:$BT243,,AH243+1)*AF243-ERP_i)*AE243*Ramure*Pc/MaxiM</f>
        <v>1.5856933149413206E-3</v>
      </c>
      <c r="AE243" s="304">
        <f t="shared" si="92"/>
        <v>0.6</v>
      </c>
      <c r="AF243" s="177">
        <f t="shared" si="93"/>
        <v>0.47041728710843334</v>
      </c>
      <c r="AG243" s="799">
        <f t="shared" si="99"/>
        <v>3</v>
      </c>
      <c r="AH243" s="176">
        <f t="shared" si="94"/>
        <v>9</v>
      </c>
      <c r="AI243" s="224">
        <f t="shared" si="95"/>
        <v>3.4704172871084333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'2027'!Wh/'2027'!Env_an*'2028'!Env_an</f>
        <v>35.204737535878024</v>
      </c>
      <c r="C244" s="829"/>
      <c r="D244" s="391">
        <f t="shared" si="77"/>
        <v>37.647899852328351</v>
      </c>
      <c r="E244" s="383">
        <f t="shared" si="100"/>
        <v>39.617983918450889</v>
      </c>
      <c r="F244" s="383">
        <f t="shared" si="78"/>
        <v>39.62268511034425</v>
      </c>
      <c r="G244" s="110">
        <f t="shared" si="101"/>
        <v>0.69640107893551495</v>
      </c>
      <c r="H244" s="412" t="b">
        <f>Wh_hp&gt;='2027'!Maxi_hp</f>
        <v>0</v>
      </c>
      <c r="I244" s="388">
        <f>IF(H244,Wh_hp,'2027'!Maxi_hp)</f>
        <v>54.287330596628593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6.4895049286506912E-2</v>
      </c>
      <c r="M244" s="832"/>
      <c r="N244" s="832"/>
      <c r="O244" s="48">
        <f>IF(t&lt;Tnet,'2027'!Resal+('2027'!Salim-'2027'!Resal)*(1-EXP(('2027'!Tnet-t)/('2027'!Tau_j))),Resal+(Salim-Resal)*(1-EXP((Tnet-t)/(Tau_j))))*Salcycl</f>
        <v>4.9727014635013465E-2</v>
      </c>
      <c r="P244" s="169">
        <f>(INDEX(Models!$BJ244:$BT244,,T244)*(1-R244)+INDEX(Models!$BJ244:$BT244,,T244+1)*R244-ERP_i)*Q244*Ramure*Pc/MaxiM</f>
        <v>2.0948743125953105E-4</v>
      </c>
      <c r="Q244" s="304">
        <f t="shared" si="80"/>
        <v>0.6</v>
      </c>
      <c r="R244" s="177">
        <f t="shared" si="81"/>
        <v>0.94652730553926867</v>
      </c>
      <c r="S244" s="799">
        <f t="shared" si="82"/>
        <v>-1</v>
      </c>
      <c r="T244" s="176">
        <f t="shared" si="83"/>
        <v>5</v>
      </c>
      <c r="U244" s="250">
        <f t="shared" si="84"/>
        <v>-5.3472694460731385E-2</v>
      </c>
      <c r="V244" s="382">
        <f t="shared" si="85"/>
        <v>50.547795340887063</v>
      </c>
      <c r="W244" s="400">
        <f t="shared" si="86"/>
        <v>35.204737535878024</v>
      </c>
      <c r="X244" s="157">
        <f t="shared" si="87"/>
        <v>46982</v>
      </c>
      <c r="Y244" s="383">
        <f t="shared" si="88"/>
        <v>33.893109167486926</v>
      </c>
      <c r="Z244" s="383">
        <f t="shared" si="89"/>
        <v>36.2452462064565</v>
      </c>
      <c r="AA244" s="384">
        <f t="shared" si="90"/>
        <v>39.586073288478651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8.4394000326233051E-2</v>
      </c>
      <c r="AD244" s="230">
        <f>(INDEX(Models!$BJ244:$BT244,,AH244)*(1-AF244)+INDEX(Models!$BJ244:$BT244,,AH244+1)*AF244-ERP_i)*AE244*Ramure*Pc/MaxiM</f>
        <v>1.6314408537945067E-3</v>
      </c>
      <c r="AE244" s="304">
        <f t="shared" si="92"/>
        <v>0.6</v>
      </c>
      <c r="AF244" s="177">
        <f t="shared" si="93"/>
        <v>0.47151487191324692</v>
      </c>
      <c r="AG244" s="799">
        <f t="shared" si="99"/>
        <v>3</v>
      </c>
      <c r="AH244" s="176">
        <f t="shared" si="94"/>
        <v>9</v>
      </c>
      <c r="AI244" s="224">
        <f t="shared" si="95"/>
        <v>3.4715148719132469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'2027'!Wh/'2027'!Env_an*'2028'!Env_an</f>
        <v>40.102193474383334</v>
      </c>
      <c r="C245" s="829"/>
      <c r="D245" s="391">
        <f t="shared" si="77"/>
        <v>42.886054670016392</v>
      </c>
      <c r="E245" s="383">
        <f t="shared" si="100"/>
        <v>45.133320003220383</v>
      </c>
      <c r="F245" s="383">
        <f t="shared" si="78"/>
        <v>45.140212735969484</v>
      </c>
      <c r="G245" s="110">
        <f t="shared" si="101"/>
        <v>0.79594155055972982</v>
      </c>
      <c r="H245" s="412" t="b">
        <f>Wh_hp&gt;='2027'!Maxi_hp</f>
        <v>0</v>
      </c>
      <c r="I245" s="388">
        <f>IF(H245,Wh_hp,'2027'!Maxi_hp)</f>
        <v>46.197672752985881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6.4912970359555677E-2</v>
      </c>
      <c r="M245" s="832"/>
      <c r="N245" s="832"/>
      <c r="O245" s="48">
        <f>IF(t&lt;Tnet,'2027'!Resal+('2027'!Salim-'2027'!Resal)*(1-EXP(('2027'!Tnet-t)/('2027'!Tau_j))),Resal+(Salim-Resal)*(1-EXP((Tnet-t)/(Tau_j))))*Salcycl</f>
        <v>4.9791713373703625E-2</v>
      </c>
      <c r="P245" s="169">
        <f>(INDEX(Models!$BJ245:$BT245,,T245)*(1-R245)+INDEX(Models!$BJ245:$BT245,,T245+1)*R245-ERP_i)*Q245*Ramure*Pc/MaxiM</f>
        <v>2.1550214621386793E-4</v>
      </c>
      <c r="Q245" s="304">
        <f t="shared" si="80"/>
        <v>0.6</v>
      </c>
      <c r="R245" s="177">
        <f t="shared" si="81"/>
        <v>0.94758550958870802</v>
      </c>
      <c r="S245" s="799">
        <f t="shared" si="82"/>
        <v>-1</v>
      </c>
      <c r="T245" s="176">
        <f t="shared" si="83"/>
        <v>5</v>
      </c>
      <c r="U245" s="250">
        <f t="shared" si="84"/>
        <v>-5.2414490411292036E-2</v>
      </c>
      <c r="V245" s="382">
        <f t="shared" si="85"/>
        <v>50.380174775168598</v>
      </c>
      <c r="W245" s="400">
        <f t="shared" si="86"/>
        <v>40.102193474383334</v>
      </c>
      <c r="X245" s="157">
        <f t="shared" si="87"/>
        <v>46983</v>
      </c>
      <c r="Y245" s="383">
        <f t="shared" si="88"/>
        <v>38.600634812703824</v>
      </c>
      <c r="Z245" s="383">
        <f t="shared" si="89"/>
        <v>41.280259044493832</v>
      </c>
      <c r="AA245" s="384">
        <f t="shared" si="90"/>
        <v>45.086515648272261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8.4421174469805862E-2</v>
      </c>
      <c r="AD245" s="230">
        <f>(INDEX(Models!$BJ245:$BT245,,AH245)*(1-AF245)+INDEX(Models!$BJ245:$BT245,,AH245+1)*AF245-ERP_i)*AE245*Ramure*Pc/MaxiM</f>
        <v>1.678846121765115E-3</v>
      </c>
      <c r="AE245" s="304">
        <f t="shared" si="92"/>
        <v>0.6</v>
      </c>
      <c r="AF245" s="177">
        <f t="shared" si="93"/>
        <v>0.4725730759626865</v>
      </c>
      <c r="AG245" s="799">
        <f t="shared" si="99"/>
        <v>3</v>
      </c>
      <c r="AH245" s="176">
        <f t="shared" si="94"/>
        <v>9</v>
      </c>
      <c r="AI245" s="224">
        <f t="shared" si="95"/>
        <v>3.4725730759626865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'2027'!Wh/'2027'!Env_an*'2028'!Env_an</f>
        <v>48.159717338699551</v>
      </c>
      <c r="C246" s="829"/>
      <c r="D246" s="391">
        <f t="shared" si="77"/>
        <v>51.503912256063181</v>
      </c>
      <c r="E246" s="383">
        <f t="shared" si="100"/>
        <v>54.206438709116512</v>
      </c>
      <c r="F246" s="383">
        <f t="shared" si="78"/>
        <v>54.217759966138317</v>
      </c>
      <c r="G246" s="110">
        <f t="shared" si="101"/>
        <v>0.95917856048592198</v>
      </c>
      <c r="H246" s="412" t="b">
        <f>Wh_hp&gt;='2027'!Maxi_hp</f>
        <v>0</v>
      </c>
      <c r="I246" s="388">
        <f>IF(H246,Wh_hp,'2027'!Maxi_hp)</f>
        <v>54.218312684414222</v>
      </c>
      <c r="J246" s="85">
        <f>IF(H246,An,'2027'!An_max)</f>
        <v>2026</v>
      </c>
      <c r="K246" s="197">
        <f t="shared" si="79"/>
        <v>46984</v>
      </c>
      <c r="L246" s="147">
        <f>IF(t&lt;Tvie,1-EXP((T0-t)*PertePVj)+'2027'!Pspv,1-EXP((T0-t)*PertePVj)+Pspv)</f>
        <v>6.4930891089151066E-2</v>
      </c>
      <c r="M246" s="832"/>
      <c r="N246" s="832"/>
      <c r="O246" s="48">
        <f>IF(t&lt;Tnet,'2027'!Resal+('2027'!Salim-'2027'!Resal)*(1-EXP(('2027'!Tnet-t)/('2027'!Tau_j))),Resal+(Salim-Resal)*(1-EXP((Tnet-t)/(Tau_j))))*Salcycl</f>
        <v>4.9856188995474761E-2</v>
      </c>
      <c r="P246" s="169">
        <f>(INDEX(Models!$BJ246:$BT246,,T246)*(1-R246)+INDEX(Models!$BJ246:$BT246,,T246+1)*R246-ERP_i)*Q246*Ramure*Pc/MaxiM</f>
        <v>2.2173787184278588E-4</v>
      </c>
      <c r="Q246" s="304">
        <f t="shared" si="80"/>
        <v>0.6</v>
      </c>
      <c r="R246" s="177">
        <f t="shared" si="81"/>
        <v>0.94860556865799328</v>
      </c>
      <c r="S246" s="799">
        <f t="shared" si="82"/>
        <v>-1</v>
      </c>
      <c r="T246" s="176">
        <f t="shared" si="83"/>
        <v>5</v>
      </c>
      <c r="U246" s="250">
        <f t="shared" si="84"/>
        <v>-5.1394431342006774E-2</v>
      </c>
      <c r="V246" s="382">
        <f t="shared" si="85"/>
        <v>50.208685464137261</v>
      </c>
      <c r="W246" s="400">
        <f t="shared" si="86"/>
        <v>48.159717338699551</v>
      </c>
      <c r="X246" s="157">
        <f t="shared" si="87"/>
        <v>46984</v>
      </c>
      <c r="Y246" s="383">
        <f t="shared" si="88"/>
        <v>46.340531041815083</v>
      </c>
      <c r="Z246" s="383">
        <f t="shared" si="89"/>
        <v>49.558402261616436</v>
      </c>
      <c r="AA246" s="384">
        <f t="shared" si="90"/>
        <v>54.129536882105448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8.444806447254441E-2</v>
      </c>
      <c r="AD246" s="230">
        <f>(INDEX(Models!$BJ246:$BT246,,AH246)*(1-AF246)+INDEX(Models!$BJ246:$BT246,,AH246+1)*AF246-ERP_i)*AE246*Ramure*Pc/MaxiM</f>
        <v>1.7279352339739464E-3</v>
      </c>
      <c r="AE246" s="304">
        <f t="shared" si="92"/>
        <v>0.6</v>
      </c>
      <c r="AF246" s="177">
        <f t="shared" si="93"/>
        <v>0.47359313503197153</v>
      </c>
      <c r="AG246" s="799">
        <f t="shared" si="99"/>
        <v>3</v>
      </c>
      <c r="AH246" s="176">
        <f t="shared" si="94"/>
        <v>9</v>
      </c>
      <c r="AI246" s="224">
        <f t="shared" si="95"/>
        <v>3.4735931350319715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'2027'!Wh/'2027'!Env_an*'2028'!Env_an</f>
        <v>32.532402797612491</v>
      </c>
      <c r="C247" s="829"/>
      <c r="D247" s="391">
        <f t="shared" si="77"/>
        <v>34.792108920733298</v>
      </c>
      <c r="E247" s="383">
        <f t="shared" si="100"/>
        <v>36.620205518175695</v>
      </c>
      <c r="F247" s="383">
        <f t="shared" si="78"/>
        <v>36.624386804708003</v>
      </c>
      <c r="G247" s="110">
        <f t="shared" si="101"/>
        <v>0.65013668666272328</v>
      </c>
      <c r="H247" s="412" t="b">
        <f>Wh_hp&gt;='2027'!Maxi_hp</f>
        <v>0</v>
      </c>
      <c r="I247" s="388">
        <f>IF(H247,Wh_hp,'2027'!Maxi_hp)</f>
        <v>54.553633144965026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6.494881147529985E-2</v>
      </c>
      <c r="M247" s="832"/>
      <c r="N247" s="832"/>
      <c r="O247" s="48">
        <f>IF(t&lt;Tnet,'2027'!Resal+('2027'!Salim-'2027'!Resal)*(1-EXP(('2027'!Tnet-t)/('2027'!Tau_j))),Resal+(Salim-Resal)*(1-EXP((Tnet-t)/(Tau_j))))*Salcycl</f>
        <v>4.992043522352866E-2</v>
      </c>
      <c r="P247" s="169">
        <f>(INDEX(Models!$BJ247:$BT247,,T247)*(1-R247)+INDEX(Models!$BJ247:$BT247,,T247+1)*R247-ERP_i)*Q247*Ramure*Pc/MaxiM</f>
        <v>2.2819599877812227E-4</v>
      </c>
      <c r="Q247" s="304">
        <f t="shared" si="80"/>
        <v>0.6</v>
      </c>
      <c r="R247" s="177">
        <f t="shared" si="81"/>
        <v>0.9495886931416575</v>
      </c>
      <c r="S247" s="799">
        <f t="shared" si="82"/>
        <v>-1</v>
      </c>
      <c r="T247" s="176">
        <f t="shared" si="83"/>
        <v>5</v>
      </c>
      <c r="U247" s="250">
        <f t="shared" si="84"/>
        <v>-5.0411306858342553E-2</v>
      </c>
      <c r="V247" s="382">
        <f t="shared" si="85"/>
        <v>50.033621229661861</v>
      </c>
      <c r="W247" s="400">
        <f t="shared" si="86"/>
        <v>32.532402797612491</v>
      </c>
      <c r="X247" s="157">
        <f t="shared" si="87"/>
        <v>46985</v>
      </c>
      <c r="Y247" s="383">
        <f t="shared" si="88"/>
        <v>31.324883846357103</v>
      </c>
      <c r="Z247" s="383">
        <f t="shared" si="89"/>
        <v>33.500715501769164</v>
      </c>
      <c r="AA247" s="384">
        <f t="shared" si="90"/>
        <v>36.591794951338699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8.4474660335197571E-2</v>
      </c>
      <c r="AD247" s="230">
        <f>(INDEX(Models!$BJ247:$BT247,,AH247)*(1-AF247)+INDEX(Models!$BJ247:$BT247,,AH247+1)*AF247-ERP_i)*AE247*Ramure*Pc/MaxiM</f>
        <v>1.778718218464767E-3</v>
      </c>
      <c r="AE247" s="304">
        <f t="shared" si="92"/>
        <v>0.6</v>
      </c>
      <c r="AF247" s="177">
        <f t="shared" si="93"/>
        <v>0.47457625951563598</v>
      </c>
      <c r="AG247" s="799">
        <f t="shared" si="99"/>
        <v>3</v>
      </c>
      <c r="AH247" s="176">
        <f t="shared" si="94"/>
        <v>9</v>
      </c>
      <c r="AI247" s="224">
        <f t="shared" si="95"/>
        <v>3.474576259515636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'2027'!Wh/'2027'!Env_an*'2028'!Env_an</f>
        <v>25.928140269221132</v>
      </c>
      <c r="C248" s="829"/>
      <c r="D248" s="391">
        <f t="shared" si="77"/>
        <v>27.729644648168474</v>
      </c>
      <c r="E248" s="383">
        <f t="shared" si="100"/>
        <v>29.188621718554984</v>
      </c>
      <c r="F248" s="383">
        <f t="shared" si="78"/>
        <v>29.190777391194853</v>
      </c>
      <c r="G248" s="110">
        <f t="shared" si="101"/>
        <v>0.51998302584280587</v>
      </c>
      <c r="H248" s="412" t="b">
        <f>Wh_hp&gt;='2027'!Maxi_hp</f>
        <v>0</v>
      </c>
      <c r="I248" s="388">
        <f>IF(H248,Wh_hp,'2027'!Maxi_hp)</f>
        <v>56.59830554422004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6.4966731518008469E-2</v>
      </c>
      <c r="M248" s="832"/>
      <c r="N248" s="832"/>
      <c r="O248" s="48">
        <f>IF(t&lt;Tnet,'2027'!Resal+('2027'!Salim-'2027'!Resal)*(1-EXP(('2027'!Tnet-t)/('2027'!Tau_j))),Resal+(Salim-Resal)*(1-EXP((Tnet-t)/(Tau_j))))*Salcycl</f>
        <v>4.9984445461467332E-2</v>
      </c>
      <c r="P248" s="169">
        <f>(INDEX(Models!$BJ248:$BT248,,T248)*(1-R248)+INDEX(Models!$BJ248:$BT248,,T248+1)*R248-ERP_i)*Q248*Ramure*Pc/MaxiM</f>
        <v>2.3489873680974067E-4</v>
      </c>
      <c r="Q248" s="304">
        <f t="shared" si="80"/>
        <v>0.6</v>
      </c>
      <c r="R248" s="177">
        <f t="shared" si="81"/>
        <v>0.9505360674932759</v>
      </c>
      <c r="S248" s="799">
        <f t="shared" si="82"/>
        <v>-1</v>
      </c>
      <c r="T248" s="176">
        <f t="shared" si="83"/>
        <v>5</v>
      </c>
      <c r="U248" s="250">
        <f t="shared" si="84"/>
        <v>-4.9463932506724151E-2</v>
      </c>
      <c r="V248" s="382">
        <f t="shared" si="85"/>
        <v>49.855404733084136</v>
      </c>
      <c r="W248" s="400">
        <f t="shared" si="86"/>
        <v>25.928140269221132</v>
      </c>
      <c r="X248" s="157">
        <f t="shared" si="87"/>
        <v>46986</v>
      </c>
      <c r="Y248" s="383">
        <f t="shared" si="88"/>
        <v>24.973559934460891</v>
      </c>
      <c r="Z248" s="383">
        <f t="shared" si="89"/>
        <v>26.70873943876348</v>
      </c>
      <c r="AA248" s="384">
        <f t="shared" si="90"/>
        <v>29.173967448813944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8.450095155469467E-2</v>
      </c>
      <c r="AD248" s="230">
        <f>(INDEX(Models!$BJ248:$BT248,,AH248)*(1-AF248)+INDEX(Models!$BJ248:$BT248,,AH248+1)*AF248-ERP_i)*AE248*Ramure*Pc/MaxiM</f>
        <v>1.8317411271503838E-3</v>
      </c>
      <c r="AE248" s="304">
        <f t="shared" si="92"/>
        <v>0.6</v>
      </c>
      <c r="AF248" s="177">
        <f t="shared" si="93"/>
        <v>0.47552363386725416</v>
      </c>
      <c r="AG248" s="799">
        <f t="shared" si="99"/>
        <v>3</v>
      </c>
      <c r="AH248" s="176">
        <f t="shared" si="94"/>
        <v>9</v>
      </c>
      <c r="AI248" s="224">
        <f t="shared" si="95"/>
        <v>3.4755236338672542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'2027'!Wh/'2027'!Env_an*'2028'!Env_an</f>
        <v>47.022805559165235</v>
      </c>
      <c r="C249" s="829"/>
      <c r="D249" s="391">
        <f t="shared" si="77"/>
        <v>50.290945084894673</v>
      </c>
      <c r="E249" s="383">
        <f t="shared" si="100"/>
        <v>52.94052368041536</v>
      </c>
      <c r="F249" s="383">
        <f t="shared" si="78"/>
        <v>52.952349650359906</v>
      </c>
      <c r="G249" s="110">
        <f t="shared" si="101"/>
        <v>0.94660988762615672</v>
      </c>
      <c r="H249" s="412" t="b">
        <f>Wh_hp&gt;='2027'!Maxi_hp</f>
        <v>0</v>
      </c>
      <c r="I249" s="388">
        <f>IF(H249,Wh_hp,'2027'!Maxi_hp)</f>
        <v>53.920594526150673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6.4984651217283473E-2</v>
      </c>
      <c r="M249" s="832"/>
      <c r="N249" s="832"/>
      <c r="O249" s="48">
        <f>IF(t&lt;Tnet,'2027'!Resal+('2027'!Salim-'2027'!Resal)*(1-EXP(('2027'!Tnet-t)/('2027'!Tau_j))),Resal+(Salim-Resal)*(1-EXP((Tnet-t)/(Tau_j))))*Salcycl</f>
        <v>5.0048212811707911E-2</v>
      </c>
      <c r="P249" s="169">
        <f>(INDEX(Models!$BJ249:$BT249,,T249)*(1-R249)+INDEX(Models!$BJ249:$BT249,,T249+1)*R249-ERP_i)*Q249*Ramure*Pc/MaxiM</f>
        <v>2.4176615915938514E-4</v>
      </c>
      <c r="Q249" s="304">
        <f t="shared" si="80"/>
        <v>0.6</v>
      </c>
      <c r="R249" s="177">
        <f t="shared" si="81"/>
        <v>0.95144884977766209</v>
      </c>
      <c r="S249" s="799">
        <f t="shared" si="82"/>
        <v>-1</v>
      </c>
      <c r="T249" s="176">
        <f t="shared" si="83"/>
        <v>5</v>
      </c>
      <c r="U249" s="250">
        <f t="shared" si="84"/>
        <v>-4.8551150222337858E-2</v>
      </c>
      <c r="V249" s="382">
        <f t="shared" si="85"/>
        <v>49.674041195149044</v>
      </c>
      <c r="W249" s="400">
        <f t="shared" si="86"/>
        <v>47.022805559165235</v>
      </c>
      <c r="X249" s="157">
        <f t="shared" si="87"/>
        <v>46987</v>
      </c>
      <c r="Y249" s="383">
        <f t="shared" si="88"/>
        <v>45.247247434930308</v>
      </c>
      <c r="Z249" s="383">
        <f t="shared" si="89"/>
        <v>48.391983611645593</v>
      </c>
      <c r="AA249" s="384">
        <f t="shared" si="90"/>
        <v>52.860084088974737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8.4526927157519971E-2</v>
      </c>
      <c r="AD249" s="230">
        <f>(INDEX(Models!$BJ249:$BT249,,AH249)*(1-AF249)+INDEX(Models!$BJ249:$BT249,,AH249+1)*AF249-ERP_i)*AE249*Ramure*Pc/MaxiM</f>
        <v>1.8862461602203067E-3</v>
      </c>
      <c r="AE249" s="304">
        <f t="shared" si="92"/>
        <v>0.6</v>
      </c>
      <c r="AF249" s="177">
        <f t="shared" si="93"/>
        <v>0.47643641615164078</v>
      </c>
      <c r="AG249" s="799">
        <f t="shared" si="99"/>
        <v>3</v>
      </c>
      <c r="AH249" s="176">
        <f t="shared" si="94"/>
        <v>9</v>
      </c>
      <c r="AI249" s="224">
        <f t="shared" si="95"/>
        <v>3.4764364161516408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'2027'!Wh/'2027'!Env_an*'2028'!Env_an</f>
        <v>44.829966227251553</v>
      </c>
      <c r="C250" s="829"/>
      <c r="D250" s="391">
        <f t="shared" si="77"/>
        <v>47.946619762079216</v>
      </c>
      <c r="E250" s="383">
        <f t="shared" si="100"/>
        <v>50.47606258634373</v>
      </c>
      <c r="F250" s="383">
        <f t="shared" si="78"/>
        <v>50.486934226639789</v>
      </c>
      <c r="G250" s="110">
        <f t="shared" si="101"/>
        <v>0.90581713184786661</v>
      </c>
      <c r="H250" s="412" t="b">
        <f>Wh_hp&gt;='2027'!Maxi_hp</f>
        <v>0</v>
      </c>
      <c r="I250" s="388">
        <f>IF(H250,Wh_hp,'2027'!Maxi_hp)</f>
        <v>53.710943273979339</v>
      </c>
      <c r="J250" s="85">
        <f>IF(H250,An,'2027'!An_max)</f>
        <v>2018</v>
      </c>
      <c r="K250" s="197">
        <f t="shared" si="79"/>
        <v>46988</v>
      </c>
      <c r="L250" s="147">
        <f>IF(t&lt;Tvie,1-EXP((T0-t)*PertePVj)+'2027'!Pspv,1-EXP((T0-t)*PertePVj)+Pspv)</f>
        <v>6.5002570573131635E-2</v>
      </c>
      <c r="M250" s="832"/>
      <c r="N250" s="832"/>
      <c r="O250" s="48">
        <f>IF(t&lt;Tnet,'2027'!Resal+('2027'!Salim-'2027'!Resal)*(1-EXP(('2027'!Tnet-t)/('2027'!Tau_j))),Resal+(Salim-Resal)*(1-EXP((Tnet-t)/(Tau_j))))*Salcycl</f>
        <v>5.0111730088647159E-2</v>
      </c>
      <c r="P250" s="169">
        <f>(INDEX(Models!$BJ250:$BT250,,T250)*(1-R250)+INDEX(Models!$BJ250:$BT250,,T250+1)*R250-ERP_i)*Q250*Ramure*Pc/MaxiM</f>
        <v>2.4880025980781705E-4</v>
      </c>
      <c r="Q250" s="304">
        <f t="shared" si="80"/>
        <v>0.6</v>
      </c>
      <c r="R250" s="177">
        <f t="shared" si="81"/>
        <v>0.95232817132732639</v>
      </c>
      <c r="S250" s="799">
        <f t="shared" si="82"/>
        <v>-1</v>
      </c>
      <c r="T250" s="176">
        <f t="shared" si="83"/>
        <v>5</v>
      </c>
      <c r="U250" s="250">
        <f t="shared" si="84"/>
        <v>-4.7671828672673611E-2</v>
      </c>
      <c r="V250" s="382">
        <f t="shared" si="85"/>
        <v>49.489531731929873</v>
      </c>
      <c r="W250" s="400">
        <f t="shared" si="86"/>
        <v>44.829966227251553</v>
      </c>
      <c r="X250" s="157">
        <f t="shared" si="87"/>
        <v>46988</v>
      </c>
      <c r="Y250" s="383">
        <f t="shared" si="88"/>
        <v>43.141193421502436</v>
      </c>
      <c r="Z250" s="383">
        <f t="shared" si="89"/>
        <v>46.140440672598409</v>
      </c>
      <c r="AA250" s="384">
        <f t="shared" si="90"/>
        <v>50.402065098485195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8.4552575724022583E-2</v>
      </c>
      <c r="AD250" s="230">
        <f>(INDEX(Models!$BJ250:$BT250,,AH250)*(1-AF250)+INDEX(Models!$BJ250:$BT250,,AH250+1)*AF250-ERP_i)*AE250*Ramure*Pc/MaxiM</f>
        <v>1.9422516344819196E-3</v>
      </c>
      <c r="AE250" s="304">
        <f t="shared" si="92"/>
        <v>0.6</v>
      </c>
      <c r="AF250" s="177">
        <f t="shared" si="93"/>
        <v>0.47731573770130487</v>
      </c>
      <c r="AG250" s="799">
        <f t="shared" si="99"/>
        <v>3</v>
      </c>
      <c r="AH250" s="176">
        <f t="shared" si="94"/>
        <v>9</v>
      </c>
      <c r="AI250" s="224">
        <f t="shared" si="95"/>
        <v>3.4773157377013049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'2027'!Wh/'2027'!Env_an*'2028'!Env_an</f>
        <v>31.431320109278367</v>
      </c>
      <c r="C251" s="829"/>
      <c r="D251" s="391">
        <f t="shared" si="77"/>
        <v>33.617121829061333</v>
      </c>
      <c r="E251" s="383">
        <f t="shared" si="100"/>
        <v>35.392963407989427</v>
      </c>
      <c r="F251" s="383">
        <f t="shared" si="78"/>
        <v>35.397332864595775</v>
      </c>
      <c r="G251" s="110">
        <f t="shared" si="101"/>
        <v>0.63744333048640867</v>
      </c>
      <c r="H251" s="412" t="b">
        <f>Wh_hp&gt;='2027'!Maxi_hp</f>
        <v>0</v>
      </c>
      <c r="I251" s="388">
        <f>IF(H251,Wh_hp,'2027'!Maxi_hp)</f>
        <v>50.59926404911738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6.5020489585559393E-2</v>
      </c>
      <c r="M251" s="832"/>
      <c r="N251" s="832"/>
      <c r="O251" s="48">
        <f>IF(t&lt;Tnet,'2027'!Resal+('2027'!Salim-'2027'!Resal)*(1-EXP(('2027'!Tnet-t)/('2027'!Tau_j))),Resal+(Salim-Resal)*(1-EXP((Tnet-t)/(Tau_j))))*Salcycl</f>
        <v>5.0174989826571779E-2</v>
      </c>
      <c r="P251" s="169">
        <f>(INDEX(Models!$BJ251:$BT251,,T251)*(1-R251)+INDEX(Models!$BJ251:$BT251,,T251+1)*R251-ERP_i)*Q251*Ramure*Pc/MaxiM</f>
        <v>2.5600315251135091E-4</v>
      </c>
      <c r="Q251" s="304">
        <f t="shared" si="80"/>
        <v>0.6</v>
      </c>
      <c r="R251" s="177">
        <f t="shared" si="81"/>
        <v>0.95317513649529095</v>
      </c>
      <c r="S251" s="799">
        <f t="shared" si="82"/>
        <v>-1</v>
      </c>
      <c r="T251" s="176">
        <f t="shared" si="83"/>
        <v>5</v>
      </c>
      <c r="U251" s="250">
        <f t="shared" si="84"/>
        <v>-4.6824863504708991E-2</v>
      </c>
      <c r="V251" s="382">
        <f t="shared" si="85"/>
        <v>49.301877462202881</v>
      </c>
      <c r="W251" s="400">
        <f t="shared" si="86"/>
        <v>31.431320109278367</v>
      </c>
      <c r="X251" s="157">
        <f t="shared" si="87"/>
        <v>46989</v>
      </c>
      <c r="Y251" s="383">
        <f t="shared" si="88"/>
        <v>30.267396044331694</v>
      </c>
      <c r="Z251" s="383">
        <f t="shared" si="89"/>
        <v>32.372255976941481</v>
      </c>
      <c r="AA251" s="384">
        <f t="shared" si="90"/>
        <v>35.363200714479419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8.4577885403718411E-2</v>
      </c>
      <c r="AD251" s="230">
        <f>(INDEX(Models!$BJ251:$BT251,,AH251)*(1-AF251)+INDEX(Models!$BJ251:$BT251,,AH251+1)*AF251-ERP_i)*AE251*Ramure*Pc/MaxiM</f>
        <v>1.9997768187215749E-3</v>
      </c>
      <c r="AE251" s="304">
        <f t="shared" si="92"/>
        <v>0.6</v>
      </c>
      <c r="AF251" s="177">
        <f t="shared" si="93"/>
        <v>0.47816270286926965</v>
      </c>
      <c r="AG251" s="799">
        <f t="shared" si="99"/>
        <v>3</v>
      </c>
      <c r="AH251" s="176">
        <f t="shared" si="94"/>
        <v>9</v>
      </c>
      <c r="AI251" s="224">
        <f t="shared" si="95"/>
        <v>3.4781627028692697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'2027'!Wh/'2027'!Env_an*'2028'!Env_an</f>
        <v>41.741713498401097</v>
      </c>
      <c r="C252" s="829"/>
      <c r="D252" s="391">
        <f t="shared" si="77"/>
        <v>44.645377806884952</v>
      </c>
      <c r="E252" s="383">
        <f t="shared" si="100"/>
        <v>47.006910223876297</v>
      </c>
      <c r="F252" s="383">
        <f t="shared" si="78"/>
        <v>47.01663882302671</v>
      </c>
      <c r="G252" s="110">
        <f t="shared" si="101"/>
        <v>0.84989694259240867</v>
      </c>
      <c r="H252" s="412" t="b">
        <f>Wh_hp&gt;='2027'!Maxi_hp</f>
        <v>0</v>
      </c>
      <c r="I252" s="388">
        <f>IF(H252,Wh_hp,'2027'!Maxi_hp)</f>
        <v>53.844483293966427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6.503840825457341E-2</v>
      </c>
      <c r="M252" s="832"/>
      <c r="N252" s="832"/>
      <c r="O252" s="48">
        <f>IF(t&lt;Tnet,'2027'!Resal+('2027'!Salim-'2027'!Resal)*(1-EXP(('2027'!Tnet-t)/('2027'!Tau_j))),Resal+(Salim-Resal)*(1-EXP((Tnet-t)/(Tau_j))))*Salcycl</f>
        <v>5.0237984282401303E-2</v>
      </c>
      <c r="P252" s="169">
        <f>(INDEX(Models!$BJ252:$BT252,,T252)*(1-R252)+INDEX(Models!$BJ252:$BT252,,T252+1)*R252-ERP_i)*Q252*Ramure*Pc/MaxiM</f>
        <v>2.6337682683480419E-4</v>
      </c>
      <c r="Q252" s="304">
        <f t="shared" si="80"/>
        <v>0.6</v>
      </c>
      <c r="R252" s="177">
        <f t="shared" si="81"/>
        <v>0.95399082249669465</v>
      </c>
      <c r="S252" s="799">
        <f t="shared" si="82"/>
        <v>-1</v>
      </c>
      <c r="T252" s="176">
        <f t="shared" si="83"/>
        <v>5</v>
      </c>
      <c r="U252" s="250">
        <f t="shared" si="84"/>
        <v>-4.6009177503305354E-2</v>
      </c>
      <c r="V252" s="382">
        <f t="shared" si="85"/>
        <v>49.111079520177384</v>
      </c>
      <c r="W252" s="400">
        <f t="shared" si="86"/>
        <v>41.741713498401097</v>
      </c>
      <c r="X252" s="157">
        <f t="shared" si="87"/>
        <v>46990</v>
      </c>
      <c r="Y252" s="383">
        <f t="shared" si="88"/>
        <v>40.174628419176592</v>
      </c>
      <c r="Z252" s="383">
        <f t="shared" si="89"/>
        <v>42.969282132945018</v>
      </c>
      <c r="AA252" s="384">
        <f t="shared" si="90"/>
        <v>46.940589500011335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8.4602843921791016E-2</v>
      </c>
      <c r="AD252" s="230">
        <f>(INDEX(Models!$BJ252:$BT252,,AH252)*(1-AF252)+INDEX(Models!$BJ252:$BT252,,AH252+1)*AF252-ERP_i)*AE252*Ramure*Pc/MaxiM</f>
        <v>2.058840031236648E-3</v>
      </c>
      <c r="AE252" s="304">
        <f t="shared" si="92"/>
        <v>0.6</v>
      </c>
      <c r="AF252" s="177">
        <f t="shared" si="93"/>
        <v>0.47897838887067312</v>
      </c>
      <c r="AG252" s="799">
        <f t="shared" si="99"/>
        <v>3</v>
      </c>
      <c r="AH252" s="176">
        <f t="shared" si="94"/>
        <v>9</v>
      </c>
      <c r="AI252" s="224">
        <f t="shared" si="95"/>
        <v>3.4789783888706731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'2027'!Wh/'2027'!Env_an*'2028'!Env_an</f>
        <v>47.470931907638004</v>
      </c>
      <c r="C253" s="829"/>
      <c r="D253" s="391">
        <f t="shared" si="77"/>
        <v>50.774108919310294</v>
      </c>
      <c r="E253" s="383">
        <f t="shared" si="100"/>
        <v>53.463353305409605</v>
      </c>
      <c r="F253" s="383">
        <f t="shared" si="78"/>
        <v>53.477229624077317</v>
      </c>
      <c r="G253" s="110">
        <f t="shared" si="101"/>
        <v>0.97042446699560336</v>
      </c>
      <c r="H253" s="412" t="b">
        <f>Wh_hp&gt;='2027'!Maxi_hp</f>
        <v>0</v>
      </c>
      <c r="I253" s="388">
        <f>IF(H253,Wh_hp,'2027'!Maxi_hp)</f>
        <v>53.47771066244259</v>
      </c>
      <c r="J253" s="85">
        <f>IF(H253,An,'2027'!An_max)</f>
        <v>2026</v>
      </c>
      <c r="K253" s="197">
        <f t="shared" si="79"/>
        <v>46991</v>
      </c>
      <c r="L253" s="147">
        <f>IF(t&lt;Tvie,1-EXP((T0-t)*PertePVj)+'2027'!Pspv,1-EXP((T0-t)*PertePVj)+Pspv)</f>
        <v>6.5056326580180235E-2</v>
      </c>
      <c r="M253" s="832"/>
      <c r="N253" s="832"/>
      <c r="O253" s="48">
        <f>IF(t&lt;Tnet,'2027'!Resal+('2027'!Salim-'2027'!Resal)*(1-EXP(('2027'!Tnet-t)/('2027'!Tau_j))),Resal+(Salim-Resal)*(1-EXP((Tnet-t)/(Tau_j))))*Salcycl</f>
        <v>5.0300705433439445E-2</v>
      </c>
      <c r="P253" s="169">
        <f>(INDEX(Models!$BJ253:$BT253,,T253)*(1-R253)+INDEX(Models!$BJ253:$BT253,,T253+1)*R253-ERP_i)*Q253*Ramure*Pc/MaxiM</f>
        <v>2.7092329806442965E-4</v>
      </c>
      <c r="Q253" s="304">
        <f t="shared" si="80"/>
        <v>0.6</v>
      </c>
      <c r="R253" s="177">
        <f t="shared" si="81"/>
        <v>0.95477627933194187</v>
      </c>
      <c r="S253" s="799">
        <f t="shared" si="82"/>
        <v>-1</v>
      </c>
      <c r="T253" s="176">
        <f t="shared" si="83"/>
        <v>5</v>
      </c>
      <c r="U253" s="250">
        <f t="shared" si="84"/>
        <v>-4.5223720668058132E-2</v>
      </c>
      <c r="V253" s="382">
        <f t="shared" si="85"/>
        <v>48.917139044763907</v>
      </c>
      <c r="W253" s="400">
        <f t="shared" si="86"/>
        <v>47.470931907638004</v>
      </c>
      <c r="X253" s="157">
        <f t="shared" si="87"/>
        <v>46991</v>
      </c>
      <c r="Y253" s="383">
        <f t="shared" si="88"/>
        <v>45.674073688031683</v>
      </c>
      <c r="Z253" s="383">
        <f t="shared" si="89"/>
        <v>48.852219643313802</v>
      </c>
      <c r="AA253" s="384">
        <f t="shared" si="90"/>
        <v>53.368673807938976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8.4627438577147454E-2</v>
      </c>
      <c r="AD253" s="230">
        <f>(INDEX(Models!$BJ253:$BT253,,AH253)*(1-AF253)+INDEX(Models!$BJ253:$BT253,,AH253+1)*AF253-ERP_i)*AE253*Ramure*Pc/MaxiM</f>
        <v>2.1194598103826553E-3</v>
      </c>
      <c r="AE253" s="304">
        <f t="shared" si="92"/>
        <v>0.6</v>
      </c>
      <c r="AF253" s="177">
        <f t="shared" si="93"/>
        <v>0.47976384570592057</v>
      </c>
      <c r="AG253" s="799">
        <f t="shared" si="99"/>
        <v>3</v>
      </c>
      <c r="AH253" s="176">
        <f t="shared" si="94"/>
        <v>9</v>
      </c>
      <c r="AI253" s="224">
        <f t="shared" si="95"/>
        <v>3.4797638457059206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'2027'!Wh/'2027'!Env_an*'2028'!Env_an</f>
        <v>46.439164188407339</v>
      </c>
      <c r="C254" s="829"/>
      <c r="D254" s="391">
        <f t="shared" si="77"/>
        <v>49.671499494278471</v>
      </c>
      <c r="E254" s="383">
        <f t="shared" si="100"/>
        <v>52.305783238299128</v>
      </c>
      <c r="F254" s="383">
        <f t="shared" si="78"/>
        <v>52.319387651949725</v>
      </c>
      <c r="G254" s="110">
        <f t="shared" si="101"/>
        <v>0.95316594496867024</v>
      </c>
      <c r="H254" s="412" t="b">
        <f>Wh_hp&gt;='2027'!Maxi_hp</f>
        <v>0</v>
      </c>
      <c r="I254" s="388">
        <f>IF(H254,Wh_hp,'2027'!Maxi_hp)</f>
        <v>54.734917062438733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6.5074244562386419E-2</v>
      </c>
      <c r="M254" s="832"/>
      <c r="N254" s="832"/>
      <c r="O254" s="48">
        <f>IF(t&lt;Tnet,'2027'!Resal+('2027'!Salim-'2027'!Resal)*(1-EXP(('2027'!Tnet-t)/('2027'!Tau_j))),Resal+(Salim-Resal)*(1-EXP((Tnet-t)/(Tau_j))))*Salcycl</f>
        <v>5.0363144970397684E-2</v>
      </c>
      <c r="P254" s="169">
        <f>(INDEX(Models!$BJ254:$BT254,,T254)*(1-R254)+INDEX(Models!$BJ254:$BT254,,T254+1)*R254-ERP_i)*Q254*Ramure*Pc/MaxiM</f>
        <v>2.7866335925291551E-4</v>
      </c>
      <c r="Q254" s="304">
        <f t="shared" si="80"/>
        <v>0.6</v>
      </c>
      <c r="R254" s="177">
        <f t="shared" si="81"/>
        <v>0.95553252978450165</v>
      </c>
      <c r="S254" s="799">
        <f t="shared" si="82"/>
        <v>-1</v>
      </c>
      <c r="T254" s="176">
        <f t="shared" si="83"/>
        <v>5</v>
      </c>
      <c r="U254" s="250">
        <f t="shared" si="84"/>
        <v>-4.4467470215498295E-2</v>
      </c>
      <c r="V254" s="382">
        <f t="shared" si="85"/>
        <v>48.720056267415053</v>
      </c>
      <c r="W254" s="400">
        <f t="shared" si="86"/>
        <v>46.439164188407339</v>
      </c>
      <c r="X254" s="157">
        <f t="shared" si="87"/>
        <v>46992</v>
      </c>
      <c r="Y254" s="383">
        <f t="shared" si="88"/>
        <v>44.682838832519103</v>
      </c>
      <c r="Z254" s="383">
        <f t="shared" si="89"/>
        <v>47.792927483962906</v>
      </c>
      <c r="AA254" s="384">
        <f t="shared" si="90"/>
        <v>52.212830021904608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8.4651656232528405E-2</v>
      </c>
      <c r="AD254" s="230">
        <f>(INDEX(Models!$BJ254:$BT254,,AH254)*(1-AF254)+INDEX(Models!$BJ254:$BT254,,AH254+1)*AF254-ERP_i)*AE254*Ramure*Pc/MaxiM</f>
        <v>2.1826524762492278E-3</v>
      </c>
      <c r="AE254" s="304">
        <f t="shared" si="92"/>
        <v>0.6</v>
      </c>
      <c r="AF254" s="177">
        <f t="shared" si="93"/>
        <v>0.48052009615848013</v>
      </c>
      <c r="AG254" s="799">
        <f t="shared" si="99"/>
        <v>3</v>
      </c>
      <c r="AH254" s="176">
        <f t="shared" si="94"/>
        <v>9</v>
      </c>
      <c r="AI254" s="224">
        <f t="shared" si="95"/>
        <v>3.4805200961584801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'2027'!Wh/'2027'!Env_an*'2028'!Env_an</f>
        <v>31.777527451383914</v>
      </c>
      <c r="C255" s="829"/>
      <c r="D255" s="391">
        <f t="shared" si="77"/>
        <v>33.990010743949561</v>
      </c>
      <c r="E255" s="383">
        <f t="shared" si="100"/>
        <v>35.794983311390276</v>
      </c>
      <c r="F255" s="383">
        <f t="shared" si="78"/>
        <v>35.800184124378809</v>
      </c>
      <c r="G255" s="110">
        <f t="shared" si="101"/>
        <v>0.6548463643758935</v>
      </c>
      <c r="H255" s="412" t="b">
        <f>Wh_hp&gt;='2027'!Maxi_hp</f>
        <v>0</v>
      </c>
      <c r="I255" s="388">
        <f>IF(H255,Wh_hp,'2027'!Maxi_hp)</f>
        <v>54.247939934538053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6.5092162201198511E-2</v>
      </c>
      <c r="M255" s="832"/>
      <c r="N255" s="832"/>
      <c r="O255" s="48">
        <f>IF(t&lt;Tnet,'2027'!Resal+('2027'!Salim-'2027'!Resal)*(1-EXP(('2027'!Tnet-t)/('2027'!Tau_j))),Resal+(Salim-Resal)*(1-EXP((Tnet-t)/(Tau_j))))*Salcycl</f>
        <v>5.0425294286039167E-2</v>
      </c>
      <c r="P255" s="169">
        <f>(INDEX(Models!$BJ255:$BT255,,T255)*(1-R255)+INDEX(Models!$BJ255:$BT255,,T255+1)*R255-ERP_i)*Q255*Ramure*Pc/MaxiM</f>
        <v>2.8650384104076027E-4</v>
      </c>
      <c r="Q255" s="304">
        <f t="shared" si="80"/>
        <v>0.6</v>
      </c>
      <c r="R255" s="177">
        <f t="shared" si="81"/>
        <v>0.95626056948679627</v>
      </c>
      <c r="S255" s="799">
        <f t="shared" si="82"/>
        <v>-1</v>
      </c>
      <c r="T255" s="176">
        <f t="shared" si="83"/>
        <v>5</v>
      </c>
      <c r="U255" s="250">
        <f t="shared" si="84"/>
        <v>-4.373943051320367E-2</v>
      </c>
      <c r="V255" s="382">
        <f t="shared" si="85"/>
        <v>48.519836975898386</v>
      </c>
      <c r="W255" s="400">
        <f t="shared" si="86"/>
        <v>31.777527451383914</v>
      </c>
      <c r="X255" s="157">
        <f t="shared" si="87"/>
        <v>46993</v>
      </c>
      <c r="Y255" s="383">
        <f t="shared" si="88"/>
        <v>30.600876374656281</v>
      </c>
      <c r="Z255" s="383">
        <f t="shared" si="89"/>
        <v>32.731436337836968</v>
      </c>
      <c r="AA255" s="384">
        <f t="shared" si="90"/>
        <v>35.759379040503319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8.4675483297310838E-2</v>
      </c>
      <c r="AD255" s="230">
        <f>(INDEX(Models!$BJ255:$BT255,,AH255)*(1-AF255)+INDEX(Models!$BJ255:$BT255,,AH255+1)*AF255-ERP_i)*AE255*Ramure*Pc/MaxiM</f>
        <v>2.2478818773316142E-3</v>
      </c>
      <c r="AE255" s="304">
        <f t="shared" si="92"/>
        <v>0.6</v>
      </c>
      <c r="AF255" s="177">
        <f t="shared" si="93"/>
        <v>0.48124813586077497</v>
      </c>
      <c r="AG255" s="799">
        <f t="shared" si="99"/>
        <v>3</v>
      </c>
      <c r="AH255" s="176">
        <f t="shared" si="94"/>
        <v>9</v>
      </c>
      <c r="AI255" s="224">
        <f t="shared" si="95"/>
        <v>3.481248135860775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'2027'!Wh/'2027'!Env_an*'2028'!Env_an</f>
        <v>46.134196543809104</v>
      </c>
      <c r="C256" s="829"/>
      <c r="D256" s="391">
        <f t="shared" si="77"/>
        <v>49.347196426044327</v>
      </c>
      <c r="E256" s="383">
        <f t="shared" si="100"/>
        <v>51.971067203690779</v>
      </c>
      <c r="F256" s="383">
        <f t="shared" si="78"/>
        <v>51.985386438544708</v>
      </c>
      <c r="G256" s="110">
        <f t="shared" si="101"/>
        <v>0.95481536727484584</v>
      </c>
      <c r="H256" s="412" t="b">
        <f>Wh_hp&gt;='2027'!Maxi_hp</f>
        <v>0</v>
      </c>
      <c r="I256" s="388">
        <f>IF(H256,Wh_hp,'2027'!Maxi_hp)</f>
        <v>52.905760781813107</v>
      </c>
      <c r="J256" s="85">
        <f>IF(H256,An,'2027'!An_max)</f>
        <v>2021</v>
      </c>
      <c r="K256" s="197">
        <f t="shared" si="79"/>
        <v>46994</v>
      </c>
      <c r="L256" s="147">
        <f>IF(t&lt;Tvie,1-EXP((T0-t)*PertePVj)+'2027'!Pspv,1-EXP((T0-t)*PertePVj)+Pspv)</f>
        <v>6.5110079496623174E-2</v>
      </c>
      <c r="M256" s="832"/>
      <c r="N256" s="832"/>
      <c r="O256" s="48">
        <f>IF(t&lt;Tnet,'2027'!Resal+('2027'!Salim-'2027'!Resal)*(1-EXP(('2027'!Tnet-t)/('2027'!Tau_j))),Resal+(Salim-Resal)*(1-EXP((Tnet-t)/(Tau_j))))*Salcycl</f>
        <v>5.0487144459871972E-2</v>
      </c>
      <c r="P256" s="169">
        <f>(INDEX(Models!$BJ256:$BT256,,T256)*(1-R256)+INDEX(Models!$BJ256:$BT256,,T256+1)*R256-ERP_i)*Q256*Ramure*Pc/MaxiM</f>
        <v>2.9444601293561852E-4</v>
      </c>
      <c r="Q256" s="304">
        <f t="shared" si="80"/>
        <v>0.6</v>
      </c>
      <c r="R256" s="177">
        <f t="shared" si="81"/>
        <v>0.95696136704797108</v>
      </c>
      <c r="S256" s="799">
        <f t="shared" si="82"/>
        <v>-1</v>
      </c>
      <c r="T256" s="176">
        <f t="shared" si="83"/>
        <v>5</v>
      </c>
      <c r="U256" s="250">
        <f t="shared" si="84"/>
        <v>-4.3038632952028977E-2</v>
      </c>
      <c r="V256" s="382">
        <f t="shared" si="85"/>
        <v>48.3164823206506</v>
      </c>
      <c r="W256" s="400">
        <f t="shared" si="86"/>
        <v>46.134196543809104</v>
      </c>
      <c r="X256" s="157">
        <f t="shared" si="87"/>
        <v>46994</v>
      </c>
      <c r="Y256" s="383">
        <f t="shared" si="88"/>
        <v>44.387851617200148</v>
      </c>
      <c r="Z256" s="383">
        <f t="shared" si="89"/>
        <v>47.479227921614779</v>
      </c>
      <c r="AA256" s="384">
        <f t="shared" si="90"/>
        <v>51.872797069166978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8.4698905703770533E-2</v>
      </c>
      <c r="AD256" s="230">
        <f>(INDEX(Models!$BJ256:$BT256,,AH256)*(1-AF256)+INDEX(Models!$BJ256:$BT256,,AH256+1)*AF256-ERP_i)*AE256*Ramure*Pc/MaxiM</f>
        <v>2.315171952300563E-3</v>
      </c>
      <c r="AE256" s="304">
        <f t="shared" si="92"/>
        <v>0.6</v>
      </c>
      <c r="AF256" s="177">
        <f t="shared" si="93"/>
        <v>0.48194893342194955</v>
      </c>
      <c r="AG256" s="799">
        <f t="shared" si="99"/>
        <v>3</v>
      </c>
      <c r="AH256" s="176">
        <f t="shared" si="94"/>
        <v>9</v>
      </c>
      <c r="AI256" s="224">
        <f t="shared" si="95"/>
        <v>3.4819489334219496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'2027'!Wh/'2027'!Env_an*'2028'!Env_an</f>
        <v>23.830052563258864</v>
      </c>
      <c r="C257" s="829"/>
      <c r="D257" s="391">
        <f t="shared" si="77"/>
        <v>25.490176700911736</v>
      </c>
      <c r="E257" s="383">
        <f t="shared" si="100"/>
        <v>26.847270977960736</v>
      </c>
      <c r="F257" s="383">
        <f t="shared" si="78"/>
        <v>26.849537228250515</v>
      </c>
      <c r="G257" s="110">
        <f t="shared" si="101"/>
        <v>0.49521634528591846</v>
      </c>
      <c r="H257" s="412" t="b">
        <f>Wh_hp&gt;='2027'!Maxi_hp</f>
        <v>0</v>
      </c>
      <c r="I257" s="388">
        <f>IF(H257,Wh_hp,'2027'!Maxi_hp)</f>
        <v>52.429420207764473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6.5127996448666958E-2</v>
      </c>
      <c r="M257" s="832"/>
      <c r="N257" s="832"/>
      <c r="O257" s="48">
        <f>IF(t&lt;Tnet,'2027'!Resal+('2027'!Salim-'2027'!Resal)*(1-EXP(('2027'!Tnet-t)/('2027'!Tau_j))),Resal+(Salim-Resal)*(1-EXP((Tnet-t)/(Tau_j))))*Salcycl</f>
        <v>5.0548686239396748E-2</v>
      </c>
      <c r="P257" s="169">
        <f>(INDEX(Models!$BJ257:$BT257,,T257)*(1-R257)+INDEX(Models!$BJ257:$BT257,,T257+1)*R257-ERP_i)*Q257*Ramure*Pc/MaxiM</f>
        <v>3.0249114027687681E-4</v>
      </c>
      <c r="Q257" s="304">
        <f t="shared" si="80"/>
        <v>0.6</v>
      </c>
      <c r="R257" s="177">
        <f t="shared" si="81"/>
        <v>0.95763586423767122</v>
      </c>
      <c r="S257" s="799">
        <f t="shared" si="82"/>
        <v>-1</v>
      </c>
      <c r="T257" s="176">
        <f t="shared" si="83"/>
        <v>5</v>
      </c>
      <c r="U257" s="250">
        <f t="shared" si="84"/>
        <v>-4.2364135762328781E-2</v>
      </c>
      <c r="V257" s="382">
        <f t="shared" si="85"/>
        <v>48.109993461599373</v>
      </c>
      <c r="W257" s="400">
        <f t="shared" si="86"/>
        <v>23.830052563258864</v>
      </c>
      <c r="X257" s="157">
        <f t="shared" si="87"/>
        <v>46995</v>
      </c>
      <c r="Y257" s="383">
        <f t="shared" si="88"/>
        <v>22.958999700675783</v>
      </c>
      <c r="Z257" s="383">
        <f t="shared" si="89"/>
        <v>24.55844181177806</v>
      </c>
      <c r="AA257" s="384">
        <f t="shared" si="90"/>
        <v>26.831672308101151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8.4721908877693999E-2</v>
      </c>
      <c r="AD257" s="230">
        <f>(INDEX(Models!$BJ257:$BT257,,AH257)*(1-AF257)+INDEX(Models!$BJ257:$BT257,,AH257+1)*AF257-ERP_i)*AE257*Ramure*Pc/MaxiM</f>
        <v>2.3845468840324791E-3</v>
      </c>
      <c r="AE257" s="304">
        <f t="shared" si="92"/>
        <v>0.6</v>
      </c>
      <c r="AF257" s="177">
        <f t="shared" si="93"/>
        <v>0.4826234306116497</v>
      </c>
      <c r="AG257" s="799">
        <f t="shared" si="99"/>
        <v>3</v>
      </c>
      <c r="AH257" s="176">
        <f t="shared" si="94"/>
        <v>9</v>
      </c>
      <c r="AI257" s="224">
        <f t="shared" si="95"/>
        <v>3.4826234306116497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'2027'!Wh/'2027'!Env_an*'2028'!Env_an</f>
        <v>39.008648803088924</v>
      </c>
      <c r="C258" s="829"/>
      <c r="D258" s="391">
        <f t="shared" si="77"/>
        <v>41.726991781853762</v>
      </c>
      <c r="E258" s="383">
        <f t="shared" si="100"/>
        <v>43.95136648484096</v>
      </c>
      <c r="F258" s="383">
        <f t="shared" si="78"/>
        <v>43.961401258386338</v>
      </c>
      <c r="G258" s="110">
        <f t="shared" si="101"/>
        <v>0.81430338372162303</v>
      </c>
      <c r="H258" s="412" t="b">
        <f>Wh_hp&gt;='2027'!Maxi_hp</f>
        <v>0</v>
      </c>
      <c r="I258" s="388">
        <f>IF(H258,Wh_hp,'2027'!Maxi_hp)</f>
        <v>47.872949450269061</v>
      </c>
      <c r="J258" s="85">
        <f>IF(H258,An,'2027'!An_max)</f>
        <v>2020</v>
      </c>
      <c r="K258" s="197">
        <f t="shared" si="79"/>
        <v>46996</v>
      </c>
      <c r="L258" s="147">
        <f>IF(t&lt;Tvie,1-EXP((T0-t)*PertePVj)+'2027'!Pspv,1-EXP((T0-t)*PertePVj)+Pspv)</f>
        <v>6.5145913057336413E-2</v>
      </c>
      <c r="M258" s="832"/>
      <c r="N258" s="832"/>
      <c r="O258" s="48">
        <f>IF(t&lt;Tnet,'2027'!Resal+('2027'!Salim-'2027'!Resal)*(1-EXP(('2027'!Tnet-t)/('2027'!Tau_j))),Resal+(Salim-Resal)*(1-EXP((Tnet-t)/(Tau_j))))*Salcycl</f>
        <v>5.0609910018483702E-2</v>
      </c>
      <c r="P258" s="169">
        <f>(INDEX(Models!$BJ258:$BT258,,T258)*(1-R258)+INDEX(Models!$BJ258:$BT258,,T258+1)*R258-ERP_i)*Q258*Ramure*Pc/MaxiM</f>
        <v>3.1064048036024485E-4</v>
      </c>
      <c r="Q258" s="304">
        <f t="shared" si="80"/>
        <v>0.6</v>
      </c>
      <c r="R258" s="177">
        <f t="shared" si="81"/>
        <v>0.95828497622029274</v>
      </c>
      <c r="S258" s="799">
        <f t="shared" si="82"/>
        <v>-1</v>
      </c>
      <c r="T258" s="176">
        <f t="shared" si="83"/>
        <v>5</v>
      </c>
      <c r="U258" s="250">
        <f t="shared" si="84"/>
        <v>-4.1715023779707316E-2</v>
      </c>
      <c r="V258" s="382">
        <f t="shared" si="85"/>
        <v>47.900371563951346</v>
      </c>
      <c r="W258" s="400">
        <f t="shared" si="86"/>
        <v>39.008648803088924</v>
      </c>
      <c r="X258" s="157">
        <f t="shared" si="87"/>
        <v>46996</v>
      </c>
      <c r="Y258" s="383">
        <f t="shared" si="88"/>
        <v>37.546825495962366</v>
      </c>
      <c r="Z258" s="383">
        <f t="shared" si="89"/>
        <v>40.16330036995943</v>
      </c>
      <c r="AA258" s="384">
        <f t="shared" si="90"/>
        <v>43.882062868324567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8.4744477704339016E-2</v>
      </c>
      <c r="AD258" s="230">
        <f>(INDEX(Models!$BJ258:$BT258,,AH258)*(1-AF258)+INDEX(Models!$BJ258:$BT258,,AH258+1)*AF258-ERP_i)*AE258*Ramure*Pc/MaxiM</f>
        <v>2.4560310691966233E-3</v>
      </c>
      <c r="AE258" s="304">
        <f t="shared" si="92"/>
        <v>0.6</v>
      </c>
      <c r="AF258" s="177">
        <f t="shared" si="93"/>
        <v>0.48327254259427121</v>
      </c>
      <c r="AG258" s="799">
        <f t="shared" si="99"/>
        <v>3</v>
      </c>
      <c r="AH258" s="176">
        <f t="shared" si="94"/>
        <v>9</v>
      </c>
      <c r="AI258" s="224">
        <f t="shared" si="95"/>
        <v>3.4832725425942712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'2027'!Wh/'2027'!Env_an*'2028'!Env_an</f>
        <v>37.543577620210591</v>
      </c>
      <c r="C259" s="829"/>
      <c r="D259" s="391">
        <f t="shared" si="77"/>
        <v>40.160595832537524</v>
      </c>
      <c r="E259" s="383">
        <f t="shared" si="100"/>
        <v>42.304182867727661</v>
      </c>
      <c r="F259" s="383">
        <f t="shared" si="78"/>
        <v>42.313575983405791</v>
      </c>
      <c r="G259" s="110">
        <f t="shared" si="101"/>
        <v>0.78720515524862156</v>
      </c>
      <c r="H259" s="412" t="b">
        <f>Wh_hp&gt;='2027'!Maxi_hp</f>
        <v>0</v>
      </c>
      <c r="I259" s="388">
        <f>IF(H259,Wh_hp,'2027'!Maxi_hp)</f>
        <v>52.448101483562709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6.51638293226382E-2</v>
      </c>
      <c r="M259" s="832"/>
      <c r="N259" s="832"/>
      <c r="O259" s="48">
        <f>IF(t&lt;Tnet,'2027'!Resal+('2027'!Salim-'2027'!Resal)*(1-EXP(('2027'!Tnet-t)/('2027'!Tau_j))),Resal+(Salim-Resal)*(1-EXP((Tnet-t)/(Tau_j))))*Salcycl</f>
        <v>5.0670805813516927E-2</v>
      </c>
      <c r="P259" s="169">
        <f>(INDEX(Models!$BJ259:$BT259,,T259)*(1-R259)+INDEX(Models!$BJ259:$BT259,,T259+1)*R259-ERP_i)*Q259*Ramure*Pc/MaxiM</f>
        <v>3.1889527803557419E-4</v>
      </c>
      <c r="Q259" s="304">
        <f t="shared" si="80"/>
        <v>0.6</v>
      </c>
      <c r="R259" s="177">
        <f t="shared" si="81"/>
        <v>0.95890959183449931</v>
      </c>
      <c r="S259" s="799">
        <f t="shared" si="82"/>
        <v>-1</v>
      </c>
      <c r="T259" s="176">
        <f t="shared" si="83"/>
        <v>5</v>
      </c>
      <c r="U259" s="250">
        <f t="shared" si="84"/>
        <v>-4.1090408165500691E-2</v>
      </c>
      <c r="V259" s="382">
        <f t="shared" si="85"/>
        <v>47.687617801623681</v>
      </c>
      <c r="W259" s="400">
        <f t="shared" si="86"/>
        <v>37.543577620210591</v>
      </c>
      <c r="X259" s="157">
        <f t="shared" si="87"/>
        <v>46997</v>
      </c>
      <c r="Y259" s="383">
        <f t="shared" si="88"/>
        <v>36.139460368959448</v>
      </c>
      <c r="Z259" s="383">
        <f t="shared" si="89"/>
        <v>38.658602975079141</v>
      </c>
      <c r="AA259" s="384">
        <f t="shared" si="90"/>
        <v>42.239064731308474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8.4766596490840895E-2</v>
      </c>
      <c r="AD259" s="230">
        <f>(INDEX(Models!$BJ259:$BT259,,AH259)*(1-AF259)+INDEX(Models!$BJ259:$BT259,,AH259+1)*AF259-ERP_i)*AE259*Ramure*Pc/MaxiM</f>
        <v>2.5296490822198851E-3</v>
      </c>
      <c r="AE259" s="304">
        <f t="shared" si="92"/>
        <v>0.6</v>
      </c>
      <c r="AF259" s="177">
        <f t="shared" si="93"/>
        <v>0.48389715820847767</v>
      </c>
      <c r="AG259" s="799">
        <f t="shared" si="99"/>
        <v>3</v>
      </c>
      <c r="AH259" s="176">
        <f t="shared" si="94"/>
        <v>9</v>
      </c>
      <c r="AI259" s="224">
        <f t="shared" si="95"/>
        <v>3.4838971582084777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'2027'!Wh/'2027'!Env_an*'2028'!Env_an</f>
        <v>36.655442545883034</v>
      </c>
      <c r="C260" s="829"/>
      <c r="D260" s="391">
        <f t="shared" si="77"/>
        <v>39.211303758154877</v>
      </c>
      <c r="E260" s="383">
        <f t="shared" si="100"/>
        <v>41.306856920825389</v>
      </c>
      <c r="F260" s="383">
        <f t="shared" si="78"/>
        <v>41.315976848411871</v>
      </c>
      <c r="G260" s="110">
        <f t="shared" si="101"/>
        <v>0.77207075729058128</v>
      </c>
      <c r="H260" s="412" t="b">
        <f>Wh_hp&gt;='2027'!Maxi_hp</f>
        <v>0</v>
      </c>
      <c r="I260" s="388">
        <f>IF(H260,Wh_hp,'2027'!Maxi_hp)</f>
        <v>55.043508007448153</v>
      </c>
      <c r="J260" s="85">
        <f>IF(H260,An,'2027'!An_max)</f>
        <v>2020</v>
      </c>
      <c r="K260" s="197">
        <f t="shared" si="79"/>
        <v>46998</v>
      </c>
      <c r="L260" s="147">
        <f>IF(t&lt;Tvie,1-EXP((T0-t)*PertePVj)+'2027'!Pspv,1-EXP((T0-t)*PertePVj)+Pspv)</f>
        <v>6.5181745244578759E-2</v>
      </c>
      <c r="M260" s="832"/>
      <c r="N260" s="832"/>
      <c r="O260" s="48">
        <f>IF(t&lt;Tnet,'2027'!Resal+('2027'!Salim-'2027'!Resal)*(1-EXP(('2027'!Tnet-t)/('2027'!Tau_j))),Resal+(Salim-Resal)*(1-EXP((Tnet-t)/(Tau_j))))*Salcycl</f>
        <v>5.0731363238000551E-2</v>
      </c>
      <c r="P260" s="169">
        <f>(INDEX(Models!$BJ260:$BT260,,T260)*(1-R260)+INDEX(Models!$BJ260:$BT260,,T260+1)*R260-ERP_i)*Q260*Ramure*Pc/MaxiM</f>
        <v>3.2725676085390635E-4</v>
      </c>
      <c r="Q260" s="304">
        <f t="shared" si="80"/>
        <v>0.6</v>
      </c>
      <c r="R260" s="177">
        <f t="shared" si="81"/>
        <v>0.95951057391312478</v>
      </c>
      <c r="S260" s="799">
        <f t="shared" si="82"/>
        <v>-1</v>
      </c>
      <c r="T260" s="176">
        <f t="shared" si="83"/>
        <v>5</v>
      </c>
      <c r="U260" s="250">
        <f t="shared" si="84"/>
        <v>-4.0489426086875224E-2</v>
      </c>
      <c r="V260" s="382">
        <f t="shared" si="85"/>
        <v>47.471733355712587</v>
      </c>
      <c r="W260" s="400">
        <f t="shared" si="86"/>
        <v>36.655442545883034</v>
      </c>
      <c r="X260" s="157">
        <f t="shared" si="87"/>
        <v>46998</v>
      </c>
      <c r="Y260" s="383">
        <f t="shared" si="88"/>
        <v>35.28603899720131</v>
      </c>
      <c r="Z260" s="383">
        <f t="shared" si="89"/>
        <v>37.746416287552364</v>
      </c>
      <c r="AA260" s="384">
        <f t="shared" si="90"/>
        <v>41.243369354979514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8.4788248926247076E-2</v>
      </c>
      <c r="AD260" s="230">
        <f>(INDEX(Models!$BJ260:$BT260,,AH260)*(1-AF260)+INDEX(Models!$BJ260:$BT260,,AH260+1)*AF260-ERP_i)*AE260*Ramure*Pc/MaxiM</f>
        <v>2.6054256340383359E-3</v>
      </c>
      <c r="AE260" s="304">
        <f t="shared" si="92"/>
        <v>0.6</v>
      </c>
      <c r="AF260" s="177">
        <f t="shared" si="93"/>
        <v>0.48449814028710314</v>
      </c>
      <c r="AG260" s="799">
        <f t="shared" si="99"/>
        <v>3</v>
      </c>
      <c r="AH260" s="176">
        <f t="shared" si="94"/>
        <v>9</v>
      </c>
      <c r="AI260" s="224">
        <f t="shared" si="95"/>
        <v>3.4844981402871031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'2027'!Wh/'2027'!Env_an*'2028'!Env_an</f>
        <v>44.302795134400085</v>
      </c>
      <c r="C261" s="829"/>
      <c r="D261" s="391">
        <f t="shared" si="77"/>
        <v>47.392788895874986</v>
      </c>
      <c r="E261" s="383">
        <f t="shared" si="100"/>
        <v>49.928748493719318</v>
      </c>
      <c r="F261" s="383">
        <f t="shared" si="78"/>
        <v>49.944020615973663</v>
      </c>
      <c r="G261" s="110">
        <f t="shared" si="101"/>
        <v>0.93754325227444724</v>
      </c>
      <c r="H261" s="412" t="b">
        <f>Wh_hp&gt;='2027'!Maxi_hp</f>
        <v>0</v>
      </c>
      <c r="I261" s="388">
        <f>IF(H261,Wh_hp,'2027'!Maxi_hp)</f>
        <v>53.392231312994895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6.5199660823164862E-2</v>
      </c>
      <c r="M261" s="832"/>
      <c r="N261" s="832"/>
      <c r="O261" s="48">
        <f>IF(t&lt;Tnet,'2027'!Resal+('2027'!Salim-'2027'!Resal)*(1-EXP(('2027'!Tnet-t)/('2027'!Tau_j))),Resal+(Salim-Resal)*(1-EXP((Tnet-t)/(Tau_j))))*Salcycl</f>
        <v>5.0791571476367751E-2</v>
      </c>
      <c r="P261" s="169">
        <f>(INDEX(Models!$BJ261:$BT261,,T261)*(1-R261)+INDEX(Models!$BJ261:$BT261,,T261+1)*R261-ERP_i)*Q261*Ramure*Pc/MaxiM</f>
        <v>3.3572613369996457E-4</v>
      </c>
      <c r="Q261" s="304">
        <f t="shared" si="80"/>
        <v>0.6</v>
      </c>
      <c r="R261" s="177">
        <f t="shared" si="81"/>
        <v>0.96008875963888896</v>
      </c>
      <c r="S261" s="799">
        <f t="shared" si="82"/>
        <v>-1</v>
      </c>
      <c r="T261" s="176">
        <f t="shared" si="83"/>
        <v>5</v>
      </c>
      <c r="U261" s="250">
        <f t="shared" si="84"/>
        <v>-3.9911240361110989E-2</v>
      </c>
      <c r="V261" s="382">
        <f t="shared" si="85"/>
        <v>47.252719419952975</v>
      </c>
      <c r="W261" s="400">
        <f t="shared" si="86"/>
        <v>44.302795134400085</v>
      </c>
      <c r="X261" s="157">
        <f t="shared" si="87"/>
        <v>46999</v>
      </c>
      <c r="Y261" s="383">
        <f t="shared" si="88"/>
        <v>42.623701225632168</v>
      </c>
      <c r="Z261" s="383">
        <f t="shared" si="89"/>
        <v>45.596582969969475</v>
      </c>
      <c r="AA261" s="384">
        <f t="shared" si="90"/>
        <v>49.82195388455591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8.4809418040432141E-2</v>
      </c>
      <c r="AD261" s="230">
        <f>(INDEX(Models!$BJ261:$BT261,,AH261)*(1-AF261)+INDEX(Models!$BJ261:$BT261,,AH261+1)*AF261-ERP_i)*AE261*Ramure*Pc/MaxiM</f>
        <v>2.6833855249300729E-3</v>
      </c>
      <c r="AE261" s="304">
        <f t="shared" si="92"/>
        <v>0.6</v>
      </c>
      <c r="AF261" s="177">
        <f t="shared" si="93"/>
        <v>0.48507632601286765</v>
      </c>
      <c r="AG261" s="799">
        <f t="shared" si="99"/>
        <v>3</v>
      </c>
      <c r="AH261" s="176">
        <f t="shared" si="94"/>
        <v>9</v>
      </c>
      <c r="AI261" s="224">
        <f t="shared" si="95"/>
        <v>3.4850763260128677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'2027'!Wh/'2027'!Env_an*'2028'!Env_an</f>
        <v>38.725077390462395</v>
      </c>
      <c r="C262" s="829"/>
      <c r="D262" s="391">
        <f t="shared" si="77"/>
        <v>41.426835163603634</v>
      </c>
      <c r="E262" s="383">
        <f t="shared" si="100"/>
        <v>43.646312078144987</v>
      </c>
      <c r="F262" s="383">
        <f t="shared" si="78"/>
        <v>43.657558146529233</v>
      </c>
      <c r="G262" s="110">
        <f t="shared" si="101"/>
        <v>0.82333071563090166</v>
      </c>
      <c r="H262" s="412" t="b">
        <f>Wh_hp&gt;='2027'!Maxi_hp</f>
        <v>0</v>
      </c>
      <c r="I262" s="388">
        <f>IF(H262,Wh_hp,'2027'!Maxi_hp)</f>
        <v>53.427461866974461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6.5217576058402948E-2</v>
      </c>
      <c r="M262" s="832"/>
      <c r="N262" s="832"/>
      <c r="O262" s="48">
        <f>IF(t&lt;Tnet,'2027'!Resal+('2027'!Salim-'2027'!Resal)*(1-EXP(('2027'!Tnet-t)/('2027'!Tau_j))),Resal+(Salim-Resal)*(1-EXP((Tnet-t)/(Tau_j))))*Salcycl</f>
        <v>5.0851419257773055E-2</v>
      </c>
      <c r="P262" s="169">
        <f>(INDEX(Models!$BJ262:$BT262,,T262)*(1-R262)+INDEX(Models!$BJ262:$BT262,,T262+1)*R262-ERP_i)*Q262*Ramure*Pc/MaxiM</f>
        <v>3.4451147554088671E-4</v>
      </c>
      <c r="Q262" s="304">
        <f t="shared" si="80"/>
        <v>0.6</v>
      </c>
      <c r="R262" s="177">
        <f t="shared" si="81"/>
        <v>0.96064496093166096</v>
      </c>
      <c r="S262" s="799">
        <f t="shared" si="82"/>
        <v>-1</v>
      </c>
      <c r="T262" s="176">
        <f t="shared" si="83"/>
        <v>5</v>
      </c>
      <c r="U262" s="250">
        <f t="shared" si="84"/>
        <v>-3.9355039068339093E-2</v>
      </c>
      <c r="V262" s="382">
        <f t="shared" si="85"/>
        <v>47.030567461272447</v>
      </c>
      <c r="W262" s="400">
        <f t="shared" si="86"/>
        <v>38.725077390462395</v>
      </c>
      <c r="X262" s="157">
        <f t="shared" si="87"/>
        <v>47000</v>
      </c>
      <c r="Y262" s="383">
        <f t="shared" si="88"/>
        <v>37.271152649893153</v>
      </c>
      <c r="Z262" s="383">
        <f t="shared" si="89"/>
        <v>39.871473505819537</v>
      </c>
      <c r="AA262" s="384">
        <f t="shared" si="90"/>
        <v>43.567290514021153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8.4830086163200771E-2</v>
      </c>
      <c r="AD262" s="230">
        <f>(INDEX(Models!$BJ262:$BT262,,AH262)*(1-AF262)+INDEX(Models!$BJ262:$BT262,,AH262+1)*AF262-ERP_i)*AE262*Ramure*Pc/MaxiM</f>
        <v>2.7652539720016364E-3</v>
      </c>
      <c r="AE262" s="304">
        <f t="shared" si="92"/>
        <v>0.6</v>
      </c>
      <c r="AF262" s="177">
        <f t="shared" si="93"/>
        <v>0.48563252730563944</v>
      </c>
      <c r="AG262" s="799">
        <f t="shared" si="99"/>
        <v>3</v>
      </c>
      <c r="AH262" s="176">
        <f t="shared" si="94"/>
        <v>9</v>
      </c>
      <c r="AI262" s="224">
        <f t="shared" si="95"/>
        <v>3.4856325273056394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'2027'!Wh/'2027'!Env_an*'2028'!Env_an</f>
        <v>43.824053303821337</v>
      </c>
      <c r="C263" s="829"/>
      <c r="D263" s="391">
        <f t="shared" si="77"/>
        <v>46.882453152156707</v>
      </c>
      <c r="E263" s="383">
        <f t="shared" si="100"/>
        <v>49.397314642857062</v>
      </c>
      <c r="F263" s="383">
        <f t="shared" si="78"/>
        <v>49.413197010267716</v>
      </c>
      <c r="G263" s="110">
        <f t="shared" si="101"/>
        <v>0.93627563076530118</v>
      </c>
      <c r="H263" s="412" t="b">
        <f>Wh_hp&gt;='2027'!Maxi_hp</f>
        <v>0</v>
      </c>
      <c r="I263" s="388">
        <f>IF(H263,Wh_hp,'2027'!Maxi_hp)</f>
        <v>54.427802265876565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6.5235490950299679E-2</v>
      </c>
      <c r="M263" s="832"/>
      <c r="N263" s="832"/>
      <c r="O263" s="48">
        <f>IF(t&lt;Tnet,'2027'!Resal+('2027'!Salim-'2027'!Resal)*(1-EXP(('2027'!Tnet-t)/('2027'!Tau_j))),Resal+(Salim-Resal)*(1-EXP((Tnet-t)/(Tau_j))))*Salcycl</f>
        <v>5.0910894830676928E-2</v>
      </c>
      <c r="P263" s="169">
        <f>(INDEX(Models!$BJ263:$BT263,,T263)*(1-R263)+INDEX(Models!$BJ263:$BT263,,T263+1)*R263-ERP_i)*Q263*Ramure*Pc/MaxiM</f>
        <v>3.5359365787985647E-4</v>
      </c>
      <c r="Q263" s="304">
        <f t="shared" si="80"/>
        <v>0.6</v>
      </c>
      <c r="R263" s="177">
        <f t="shared" si="81"/>
        <v>0.9611799648632926</v>
      </c>
      <c r="S263" s="799">
        <f t="shared" si="82"/>
        <v>-1</v>
      </c>
      <c r="T263" s="176">
        <f t="shared" si="83"/>
        <v>5</v>
      </c>
      <c r="U263" s="250">
        <f t="shared" si="84"/>
        <v>-3.8820035136707454E-2</v>
      </c>
      <c r="V263" s="382">
        <f t="shared" si="85"/>
        <v>46.805279781461579</v>
      </c>
      <c r="W263" s="400">
        <f t="shared" si="86"/>
        <v>43.824053303821337</v>
      </c>
      <c r="X263" s="157">
        <f t="shared" si="87"/>
        <v>47001</v>
      </c>
      <c r="Y263" s="383">
        <f t="shared" si="88"/>
        <v>42.160967320656347</v>
      </c>
      <c r="Z263" s="383">
        <f t="shared" si="89"/>
        <v>45.103303465723151</v>
      </c>
      <c r="AA263" s="384">
        <f t="shared" si="90"/>
        <v>49.285160948548835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8.4850234884924575E-2</v>
      </c>
      <c r="AD263" s="230">
        <f>(INDEX(Models!$BJ263:$BT263,,AH263)*(1-AF263)+INDEX(Models!$BJ263:$BT263,,AH263+1)*AF263-ERP_i)*AE263*Ramure*Pc/MaxiM</f>
        <v>2.8505032173817973E-3</v>
      </c>
      <c r="AE263" s="304">
        <f t="shared" si="92"/>
        <v>0.6</v>
      </c>
      <c r="AF263" s="177">
        <f t="shared" si="93"/>
        <v>0.48616753123727108</v>
      </c>
      <c r="AG263" s="799">
        <f t="shared" si="99"/>
        <v>3</v>
      </c>
      <c r="AH263" s="176">
        <f t="shared" si="94"/>
        <v>9</v>
      </c>
      <c r="AI263" s="224">
        <f t="shared" si="95"/>
        <v>3.4861675312372711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'2027'!Wh/'2027'!Env_an*'2028'!Env_an</f>
        <v>34.887634428664533</v>
      </c>
      <c r="C264" s="829"/>
      <c r="D264" s="391">
        <f t="shared" si="77"/>
        <v>37.32309337514473</v>
      </c>
      <c r="E264" s="383">
        <f t="shared" si="100"/>
        <v>39.327621700221322</v>
      </c>
      <c r="F264" s="383">
        <f t="shared" si="78"/>
        <v>39.336780901177121</v>
      </c>
      <c r="G264" s="110">
        <f t="shared" si="101"/>
        <v>0.74893616769886862</v>
      </c>
      <c r="H264" s="412" t="b">
        <f>Wh_hp&gt;='2027'!Maxi_hp</f>
        <v>0</v>
      </c>
      <c r="I264" s="388">
        <f>IF(H264,Wh_hp,'2027'!Maxi_hp)</f>
        <v>49.351657913110358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6.5253405498861605E-2</v>
      </c>
      <c r="M264" s="832"/>
      <c r="N264" s="832"/>
      <c r="O264" s="48">
        <f>IF(t&lt;Tnet,'2027'!Resal+('2027'!Salim-'2027'!Resal)*(1-EXP(('2027'!Tnet-t)/('2027'!Tau_j))),Resal+(Salim-Resal)*(1-EXP((Tnet-t)/(Tau_j))))*Salcycl</f>
        <v>5.0969985939050846E-2</v>
      </c>
      <c r="P264" s="169">
        <f>(INDEX(Models!$BJ264:$BT264,,T264)*(1-R264)+INDEX(Models!$BJ264:$BT264,,T264+1)*R264-ERP_i)*Q264*Ramure*Pc/MaxiM</f>
        <v>3.6297599759666139E-4</v>
      </c>
      <c r="Q264" s="304">
        <f t="shared" si="80"/>
        <v>0.6</v>
      </c>
      <c r="R264" s="177">
        <f t="shared" si="81"/>
        <v>0.9616945340963301</v>
      </c>
      <c r="S264" s="799">
        <f t="shared" si="82"/>
        <v>-1</v>
      </c>
      <c r="T264" s="176">
        <f t="shared" si="83"/>
        <v>5</v>
      </c>
      <c r="U264" s="250">
        <f t="shared" si="84"/>
        <v>-3.8305465903669844E-2</v>
      </c>
      <c r="V264" s="382">
        <f t="shared" si="85"/>
        <v>46.576857629188758</v>
      </c>
      <c r="W264" s="400">
        <f t="shared" si="86"/>
        <v>34.887634428664533</v>
      </c>
      <c r="X264" s="157">
        <f t="shared" si="87"/>
        <v>47002</v>
      </c>
      <c r="Y264" s="383">
        <f t="shared" si="88"/>
        <v>33.585821761007246</v>
      </c>
      <c r="Z264" s="383">
        <f t="shared" si="89"/>
        <v>35.930402911958772</v>
      </c>
      <c r="AA264" s="384">
        <f t="shared" si="90"/>
        <v>39.262614958576236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8.4869845020080534E-2</v>
      </c>
      <c r="AD264" s="230">
        <f>(INDEX(Models!$BJ264:$BT264,,AH264)*(1-AF264)+INDEX(Models!$BJ264:$BT264,,AH264+1)*AF264-ERP_i)*AE264*Ramure*Pc/MaxiM</f>
        <v>2.9391709094674741E-3</v>
      </c>
      <c r="AE264" s="304">
        <f t="shared" si="92"/>
        <v>0.6</v>
      </c>
      <c r="AF264" s="177">
        <f t="shared" si="93"/>
        <v>0.48668210047030858</v>
      </c>
      <c r="AG264" s="799">
        <f t="shared" si="99"/>
        <v>3</v>
      </c>
      <c r="AH264" s="176">
        <f t="shared" si="94"/>
        <v>9</v>
      </c>
      <c r="AI264" s="224">
        <f t="shared" si="95"/>
        <v>3.4866821004703086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'2027'!Wh/'2027'!Env_an*'2028'!Env_an</f>
        <v>33.907352533203024</v>
      </c>
      <c r="C265" s="829"/>
      <c r="D265" s="391">
        <f t="shared" si="77"/>
        <v>36.275074519452055</v>
      </c>
      <c r="E265" s="383">
        <f t="shared" si="100"/>
        <v>38.225680531469237</v>
      </c>
      <c r="F265" s="383">
        <f t="shared" si="78"/>
        <v>38.234466260878214</v>
      </c>
      <c r="G265" s="110">
        <f t="shared" si="101"/>
        <v>0.73151981331995031</v>
      </c>
      <c r="H265" s="412" t="b">
        <f>Wh_hp&gt;='2027'!Maxi_hp</f>
        <v>0</v>
      </c>
      <c r="I265" s="388">
        <f>IF(H265,Wh_hp,'2027'!Maxi_hp)</f>
        <v>48.219770599083176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6.5271319704095165E-2</v>
      </c>
      <c r="M265" s="832"/>
      <c r="N265" s="832"/>
      <c r="O265" s="48">
        <f>IF(t&lt;Tnet,'2027'!Resal+('2027'!Salim-'2027'!Resal)*(1-EXP(('2027'!Tnet-t)/('2027'!Tau_j))),Resal+(Salim-Resal)*(1-EXP((Tnet-t)/(Tau_j))))*Salcycl</f>
        <v>5.1028679801039811E-2</v>
      </c>
      <c r="P265" s="169">
        <f>(INDEX(Models!$BJ265:$BT265,,T265)*(1-R265)+INDEX(Models!$BJ265:$BT265,,T265+1)*R265-ERP_i)*Q265*Ramure*Pc/MaxiM</f>
        <v>3.7266179787885396E-4</v>
      </c>
      <c r="Q265" s="304">
        <f t="shared" si="80"/>
        <v>0.6</v>
      </c>
      <c r="R265" s="177">
        <f t="shared" si="81"/>
        <v>0.96218940734317604</v>
      </c>
      <c r="S265" s="799">
        <f t="shared" si="82"/>
        <v>-1</v>
      </c>
      <c r="T265" s="176">
        <f t="shared" si="83"/>
        <v>5</v>
      </c>
      <c r="U265" s="250">
        <f t="shared" si="84"/>
        <v>-3.7810592656824016E-2</v>
      </c>
      <c r="V265" s="382">
        <f t="shared" si="85"/>
        <v>46.345302271368084</v>
      </c>
      <c r="W265" s="400">
        <f t="shared" si="86"/>
        <v>33.907352533203024</v>
      </c>
      <c r="X265" s="157">
        <f t="shared" si="87"/>
        <v>47003</v>
      </c>
      <c r="Y265" s="383">
        <f t="shared" si="88"/>
        <v>32.643891008678843</v>
      </c>
      <c r="Z265" s="383">
        <f t="shared" si="89"/>
        <v>34.923386536449108</v>
      </c>
      <c r="AA265" s="384">
        <f t="shared" si="90"/>
        <v>38.163001635258539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8.4888896575063294E-2</v>
      </c>
      <c r="AD265" s="230">
        <f>(INDEX(Models!$BJ265:$BT265,,AH265)*(1-AF265)+INDEX(Models!$BJ265:$BT265,,AH265+1)*AF265-ERP_i)*AE265*Ramure*Pc/MaxiM</f>
        <v>3.0312947996051346E-3</v>
      </c>
      <c r="AE265" s="304">
        <f t="shared" si="92"/>
        <v>0.6</v>
      </c>
      <c r="AF265" s="177">
        <f t="shared" si="93"/>
        <v>0.48717697371715429</v>
      </c>
      <c r="AG265" s="799">
        <f t="shared" si="99"/>
        <v>3</v>
      </c>
      <c r="AH265" s="176">
        <f t="shared" si="94"/>
        <v>9</v>
      </c>
      <c r="AI265" s="224">
        <f t="shared" si="95"/>
        <v>3.4871769737171543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'2027'!Wh/'2027'!Env_an*'2028'!Env_an</f>
        <v>22.709990759166207</v>
      </c>
      <c r="C266" s="829"/>
      <c r="D266" s="391">
        <f t="shared" si="77"/>
        <v>24.296275997554734</v>
      </c>
      <c r="E266" s="383">
        <f t="shared" si="100"/>
        <v>25.604323107094821</v>
      </c>
      <c r="F266" s="383">
        <f t="shared" si="78"/>
        <v>25.607017887836768</v>
      </c>
      <c r="G266" s="110">
        <f t="shared" si="101"/>
        <v>0.49237447676455137</v>
      </c>
      <c r="H266" s="412" t="b">
        <f>Wh_hp&gt;='2027'!Maxi_hp</f>
        <v>0</v>
      </c>
      <c r="I266" s="388">
        <f>IF(H266,Wh_hp,'2027'!Maxi_hp)</f>
        <v>50.375328728188094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6.5289233566007243E-2</v>
      </c>
      <c r="M266" s="832"/>
      <c r="N266" s="832"/>
      <c r="O266" s="48">
        <f>IF(t&lt;Tnet,'2027'!Resal+('2027'!Salim-'2027'!Resal)*(1-EXP(('2027'!Tnet-t)/('2027'!Tau_j))),Resal+(Salim-Resal)*(1-EXP((Tnet-t)/(Tau_j))))*Salcycl</f>
        <v>5.1086963090917863E-2</v>
      </c>
      <c r="P266" s="169">
        <f>(INDEX(Models!$BJ266:$BT266,,T266)*(1-R266)+INDEX(Models!$BJ266:$BT266,,T266+1)*R266-ERP_i)*Q266*Ramure*Pc/MaxiM</f>
        <v>3.8265433993682073E-4</v>
      </c>
      <c r="Q266" s="304">
        <f t="shared" si="80"/>
        <v>0.6</v>
      </c>
      <c r="R266" s="177">
        <f t="shared" si="81"/>
        <v>0.96266529984253113</v>
      </c>
      <c r="S266" s="799">
        <f t="shared" si="82"/>
        <v>-1</v>
      </c>
      <c r="T266" s="176">
        <f t="shared" si="83"/>
        <v>5</v>
      </c>
      <c r="U266" s="250">
        <f t="shared" si="84"/>
        <v>-3.7334700157468814E-2</v>
      </c>
      <c r="V266" s="382">
        <f t="shared" si="85"/>
        <v>46.110614989393383</v>
      </c>
      <c r="W266" s="400">
        <f t="shared" si="86"/>
        <v>22.709990759166207</v>
      </c>
      <c r="X266" s="157">
        <f t="shared" si="87"/>
        <v>47004</v>
      </c>
      <c r="Y266" s="383">
        <f t="shared" si="88"/>
        <v>21.884048858280561</v>
      </c>
      <c r="Z266" s="383">
        <f t="shared" si="89"/>
        <v>23.412642331884346</v>
      </c>
      <c r="AA266" s="384">
        <f t="shared" si="90"/>
        <v>25.584997115731639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8.490736872163103E-2</v>
      </c>
      <c r="AD266" s="230">
        <f>(INDEX(Models!$BJ266:$BT266,,AH266)*(1-AF266)+INDEX(Models!$BJ266:$BT266,,AH266+1)*AF266-ERP_i)*AE266*Ramure*Pc/MaxiM</f>
        <v>3.1269126588410055E-3</v>
      </c>
      <c r="AE266" s="304">
        <f t="shared" si="92"/>
        <v>0.6</v>
      </c>
      <c r="AF266" s="177">
        <f t="shared" si="93"/>
        <v>0.48765286621650983</v>
      </c>
      <c r="AG266" s="799">
        <f t="shared" si="99"/>
        <v>3</v>
      </c>
      <c r="AH266" s="176">
        <f t="shared" si="94"/>
        <v>9</v>
      </c>
      <c r="AI266" s="224">
        <f t="shared" si="95"/>
        <v>3.4876528662165098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'2027'!Wh/'2027'!Env_an*'2028'!Env_an</f>
        <v>44.923259773378298</v>
      </c>
      <c r="C267" s="829"/>
      <c r="D267" s="391">
        <f t="shared" si="77"/>
        <v>48.062055501182421</v>
      </c>
      <c r="E267" s="383">
        <f t="shared" si="100"/>
        <v>50.652677681220929</v>
      </c>
      <c r="F267" s="383">
        <f t="shared" si="78"/>
        <v>50.672000786950655</v>
      </c>
      <c r="G267" s="110">
        <f t="shared" si="101"/>
        <v>0.97928926133958316</v>
      </c>
      <c r="H267" s="412" t="b">
        <f>Wh_hp&gt;='2027'!Maxi_hp</f>
        <v>0</v>
      </c>
      <c r="I267" s="388">
        <f>IF(H267,Wh_hp,'2027'!Maxi_hp)</f>
        <v>50.672461626408193</v>
      </c>
      <c r="J267" s="85">
        <f>IF(H267,An,'2027'!An_max)</f>
        <v>2026</v>
      </c>
      <c r="K267" s="197">
        <f t="shared" si="79"/>
        <v>47005</v>
      </c>
      <c r="L267" s="147">
        <f>IF(t&lt;Tvie,1-EXP((T0-t)*PertePVj)+'2027'!Pspv,1-EXP((T0-t)*PertePVj)+Pspv)</f>
        <v>6.5307147084604056E-2</v>
      </c>
      <c r="M267" s="832"/>
      <c r="N267" s="832"/>
      <c r="O267" s="48">
        <f>IF(t&lt;Tnet,'2027'!Resal+('2027'!Salim-'2027'!Resal)*(1-EXP(('2027'!Tnet-t)/('2027'!Tau_j))),Resal+(Salim-Resal)*(1-EXP((Tnet-t)/(Tau_j))))*Salcycl</f>
        <v>5.1144821925158804E-2</v>
      </c>
      <c r="P267" s="169">
        <f>(INDEX(Models!$BJ267:$BT267,,T267)*(1-R267)+INDEX(Models!$BJ267:$BT267,,T267+1)*R267-ERP_i)*Q267*Ramure*Pc/MaxiM</f>
        <v>3.9295687412024908E-4</v>
      </c>
      <c r="Q267" s="304">
        <f t="shared" si="80"/>
        <v>0.6</v>
      </c>
      <c r="R267" s="177">
        <f t="shared" si="81"/>
        <v>0.96312290385019605</v>
      </c>
      <c r="S267" s="799">
        <f t="shared" si="82"/>
        <v>-1</v>
      </c>
      <c r="T267" s="176">
        <f t="shared" si="83"/>
        <v>5</v>
      </c>
      <c r="U267" s="250">
        <f t="shared" si="84"/>
        <v>-3.6877096149803945E-2</v>
      </c>
      <c r="V267" s="382">
        <f t="shared" si="85"/>
        <v>45.872797080893406</v>
      </c>
      <c r="W267" s="400">
        <f t="shared" si="86"/>
        <v>44.923259773378298</v>
      </c>
      <c r="X267" s="157">
        <f t="shared" si="87"/>
        <v>47005</v>
      </c>
      <c r="Y267" s="383">
        <f t="shared" si="88"/>
        <v>43.204778974739973</v>
      </c>
      <c r="Z267" s="383">
        <f t="shared" si="89"/>
        <v>46.223504159660749</v>
      </c>
      <c r="AA267" s="384">
        <f t="shared" si="90"/>
        <v>50.513363682342302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8.4925239777313366E-2</v>
      </c>
      <c r="AD267" s="230">
        <f>(INDEX(Models!$BJ267:$BT267,,AH267)*(1-AF267)+INDEX(Models!$BJ267:$BT267,,AH267+1)*AF267-ERP_i)*AE267*Ramure*Pc/MaxiM</f>
        <v>3.2260621878442211E-3</v>
      </c>
      <c r="AE267" s="304">
        <f t="shared" si="92"/>
        <v>0.6</v>
      </c>
      <c r="AF267" s="177">
        <f t="shared" si="93"/>
        <v>0.48811047022417453</v>
      </c>
      <c r="AG267" s="799">
        <f t="shared" si="99"/>
        <v>3</v>
      </c>
      <c r="AH267" s="176">
        <f t="shared" si="94"/>
        <v>9</v>
      </c>
      <c r="AI267" s="224">
        <f t="shared" si="95"/>
        <v>3.4881104702241745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'2027'!Wh/'2027'!Env_an*'2028'!Env_an</f>
        <v>44.371696990276334</v>
      </c>
      <c r="C268" s="829"/>
      <c r="D268" s="391">
        <f t="shared" si="77"/>
        <v>47.472864740135407</v>
      </c>
      <c r="E268" s="383">
        <f t="shared" si="100"/>
        <v>50.034756440477842</v>
      </c>
      <c r="F268" s="383">
        <f t="shared" si="78"/>
        <v>50.054169747933805</v>
      </c>
      <c r="G268" s="110">
        <f t="shared" si="101"/>
        <v>0.97236905883801594</v>
      </c>
      <c r="H268" s="412" t="b">
        <f>Wh_hp&gt;='2027'!Maxi_hp</f>
        <v>0</v>
      </c>
      <c r="I268" s="388">
        <f>IF(H268,Wh_hp,'2027'!Maxi_hp)</f>
        <v>50.054793872228252</v>
      </c>
      <c r="J268" s="85">
        <f>IF(H268,An,'2027'!An_max)</f>
        <v>2026</v>
      </c>
      <c r="K268" s="197">
        <f t="shared" si="79"/>
        <v>47006</v>
      </c>
      <c r="L268" s="147">
        <f>IF(t&lt;Tvie,1-EXP((T0-t)*PertePVj)+'2027'!Pspv,1-EXP((T0-t)*PertePVj)+Pspv)</f>
        <v>6.5325060259892487E-2</v>
      </c>
      <c r="M268" s="832"/>
      <c r="N268" s="832"/>
      <c r="O268" s="48">
        <f>IF(t&lt;Tnet,'2027'!Resal+('2027'!Salim-'2027'!Resal)*(1-EXP(('2027'!Tnet-t)/('2027'!Tau_j))),Resal+(Salim-Resal)*(1-EXP((Tnet-t)/(Tau_j))))*Salcycl</f>
        <v>5.1202241853422516E-2</v>
      </c>
      <c r="P268" s="169">
        <f>(INDEX(Models!$BJ268:$BT268,,T268)*(1-R268)+INDEX(Models!$BJ268:$BT268,,T268+1)*R268-ERP_i)*Q268*Ramure*Pc/MaxiM</f>
        <v>4.0377514543007547E-4</v>
      </c>
      <c r="Q268" s="304">
        <f t="shared" si="80"/>
        <v>0.6</v>
      </c>
      <c r="R268" s="177">
        <f t="shared" si="81"/>
        <v>0.96356288914153276</v>
      </c>
      <c r="S268" s="799">
        <f t="shared" si="82"/>
        <v>-1</v>
      </c>
      <c r="T268" s="176">
        <f t="shared" si="83"/>
        <v>5</v>
      </c>
      <c r="U268" s="250">
        <f t="shared" si="84"/>
        <v>-3.6437110858467237E-2</v>
      </c>
      <c r="V268" s="382">
        <f t="shared" si="85"/>
        <v>45.631840614116065</v>
      </c>
      <c r="W268" s="400">
        <f t="shared" si="86"/>
        <v>44.371696990276334</v>
      </c>
      <c r="X268" s="157">
        <f t="shared" si="87"/>
        <v>47006</v>
      </c>
      <c r="Y268" s="383">
        <f t="shared" si="88"/>
        <v>42.673433846211474</v>
      </c>
      <c r="Z268" s="383">
        <f t="shared" si="89"/>
        <v>45.655908842572693</v>
      </c>
      <c r="AA268" s="384">
        <f t="shared" si="90"/>
        <v>49.894032018351702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8.4942487194062902E-2</v>
      </c>
      <c r="AD268" s="230">
        <f>(INDEX(Models!$BJ268:$BT268,,AH268)*(1-AF268)+INDEX(Models!$BJ268:$BT268,,AH268+1)*AF268-ERP_i)*AE268*Ramure*Pc/MaxiM</f>
        <v>3.3306861902601152E-3</v>
      </c>
      <c r="AE268" s="304">
        <f t="shared" si="92"/>
        <v>0.6</v>
      </c>
      <c r="AF268" s="177">
        <f t="shared" si="93"/>
        <v>0.48855045551551113</v>
      </c>
      <c r="AG268" s="799">
        <f t="shared" si="99"/>
        <v>3</v>
      </c>
      <c r="AH268" s="176">
        <f t="shared" si="94"/>
        <v>9</v>
      </c>
      <c r="AI268" s="224">
        <f t="shared" si="95"/>
        <v>3.4885504555155111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'2027'!Wh/'2027'!Env_an*'2028'!Env_an</f>
        <v>32.207992704288806</v>
      </c>
      <c r="C269" s="829"/>
      <c r="D269" s="391">
        <f t="shared" si="77"/>
        <v>34.459691391647695</v>
      </c>
      <c r="E269" s="383">
        <f t="shared" si="100"/>
        <v>36.321502856165949</v>
      </c>
      <c r="F269" s="383">
        <f t="shared" si="78"/>
        <v>36.330327521130883</v>
      </c>
      <c r="G269" s="110">
        <f t="shared" si="101"/>
        <v>0.70949643574126442</v>
      </c>
      <c r="H269" s="412" t="b">
        <f>Wh_hp&gt;='2027'!Maxi_hp</f>
        <v>0</v>
      </c>
      <c r="I269" s="388">
        <f>IF(H269,Wh_hp,'2027'!Maxi_hp)</f>
        <v>50.716513586551613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6.5342973091878975E-2</v>
      </c>
      <c r="M269" s="832"/>
      <c r="N269" s="832"/>
      <c r="O269" s="48">
        <f>IF(t&lt;Tnet,'2027'!Resal+('2027'!Salim-'2027'!Resal)*(1-EXP(('2027'!Tnet-t)/('2027'!Tau_j))),Resal+(Salim-Resal)*(1-EXP((Tnet-t)/(Tau_j))))*Salcycl</f>
        <v>5.1259207855222123E-2</v>
      </c>
      <c r="P269" s="169">
        <f>(INDEX(Models!$BJ269:$BT269,,T269)*(1-R269)+INDEX(Models!$BJ269:$BT269,,T269+1)*R269-ERP_i)*Q269*Ramure*Pc/MaxiM</f>
        <v>4.1509473334345857E-4</v>
      </c>
      <c r="Q269" s="304">
        <f t="shared" si="80"/>
        <v>0.6</v>
      </c>
      <c r="R269" s="177">
        <f t="shared" si="81"/>
        <v>0.96398590352311975</v>
      </c>
      <c r="S269" s="799">
        <f t="shared" si="82"/>
        <v>-1</v>
      </c>
      <c r="T269" s="176">
        <f t="shared" si="83"/>
        <v>5</v>
      </c>
      <c r="U269" s="250">
        <f t="shared" si="84"/>
        <v>-3.6014096476880253E-2</v>
      </c>
      <c r="V269" s="382">
        <f t="shared" si="85"/>
        <v>45.387747863250915</v>
      </c>
      <c r="W269" s="400">
        <f t="shared" si="86"/>
        <v>32.207992704288806</v>
      </c>
      <c r="X269" s="157">
        <f t="shared" si="87"/>
        <v>47007</v>
      </c>
      <c r="Y269" s="383">
        <f t="shared" si="88"/>
        <v>31.008948936038813</v>
      </c>
      <c r="Z269" s="383">
        <f t="shared" si="89"/>
        <v>33.176821061964866</v>
      </c>
      <c r="AA269" s="384">
        <f t="shared" si="90"/>
        <v>36.257199662652823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8.4959087556365734E-2</v>
      </c>
      <c r="AD269" s="230">
        <f>(INDEX(Models!$BJ269:$BT269,,AH269)*(1-AF269)+INDEX(Models!$BJ269:$BT269,,AH269+1)*AF269-ERP_i)*AE269*Ramure*Pc/MaxiM</f>
        <v>3.4397893898020109E-3</v>
      </c>
      <c r="AE269" s="304">
        <f t="shared" si="92"/>
        <v>0.6</v>
      </c>
      <c r="AF269" s="177">
        <f t="shared" si="93"/>
        <v>0.48897346989709822</v>
      </c>
      <c r="AG269" s="799">
        <f t="shared" si="99"/>
        <v>3</v>
      </c>
      <c r="AH269" s="176">
        <f t="shared" si="94"/>
        <v>9</v>
      </c>
      <c r="AI269" s="224">
        <f t="shared" si="95"/>
        <v>3.4889734698970982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'2027'!Wh/'2027'!Env_an*'2028'!Env_an</f>
        <v>13.672159830089692</v>
      </c>
      <c r="C270" s="829"/>
      <c r="D270" s="391">
        <f t="shared" si="77"/>
        <v>14.628276967182604</v>
      </c>
      <c r="E270" s="383">
        <f t="shared" si="100"/>
        <v>15.419541605304932</v>
      </c>
      <c r="F270" s="383">
        <f t="shared" si="78"/>
        <v>15.419568689193742</v>
      </c>
      <c r="G270" s="110">
        <f t="shared" si="101"/>
        <v>0.30275120533179573</v>
      </c>
      <c r="H270" s="412" t="b">
        <f>Wh_hp&gt;='2027'!Maxi_hp</f>
        <v>0</v>
      </c>
      <c r="I270" s="388">
        <f>IF(H270,Wh_hp,'2027'!Maxi_hp)</f>
        <v>48.946025733501244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6.5360885580570183E-2</v>
      </c>
      <c r="M270" s="832"/>
      <c r="N270" s="832"/>
      <c r="O270" s="48">
        <f>IF(t&lt;Tnet,'2027'!Resal+('2027'!Salim-'2027'!Resal)*(1-EXP(('2027'!Tnet-t)/('2027'!Tau_j))),Resal+(Salim-Resal)*(1-EXP((Tnet-t)/(Tau_j))))*Salcycl</f>
        <v>5.1315704342994338E-2</v>
      </c>
      <c r="P270" s="169">
        <f>(INDEX(Models!$BJ270:$BT270,,T270)*(1-R270)+INDEX(Models!$BJ270:$BT270,,T270+1)*R270-ERP_i)*Q270*Ramure*Pc/MaxiM</f>
        <v>4.2692094282976181E-4</v>
      </c>
      <c r="Q270" s="304">
        <f t="shared" si="80"/>
        <v>0.6</v>
      </c>
      <c r="R270" s="177">
        <f t="shared" si="81"/>
        <v>0.96439257335132988</v>
      </c>
      <c r="S270" s="799">
        <f t="shared" si="82"/>
        <v>-1</v>
      </c>
      <c r="T270" s="176">
        <f t="shared" si="83"/>
        <v>5</v>
      </c>
      <c r="U270" s="250">
        <f t="shared" si="84"/>
        <v>-3.5607426648670171E-2</v>
      </c>
      <c r="V270" s="382">
        <f t="shared" si="85"/>
        <v>45.140520210871408</v>
      </c>
      <c r="W270" s="400">
        <f t="shared" si="86"/>
        <v>13.672159830089692</v>
      </c>
      <c r="X270" s="157">
        <f t="shared" si="87"/>
        <v>47008</v>
      </c>
      <c r="Y270" s="383">
        <f t="shared" si="88"/>
        <v>13.186902065483242</v>
      </c>
      <c r="Z270" s="383">
        <f t="shared" si="89"/>
        <v>14.109084310765825</v>
      </c>
      <c r="AA270" s="384">
        <f t="shared" si="90"/>
        <v>15.419343260098795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8.4975016589946245E-2</v>
      </c>
      <c r="AD270" s="230">
        <f>(INDEX(Models!$BJ270:$BT270,,AH270)*(1-AF270)+INDEX(Models!$BJ270:$BT270,,AH270+1)*AF270-ERP_i)*AE270*Ramure*Pc/MaxiM</f>
        <v>3.5534188767998528E-3</v>
      </c>
      <c r="AE270" s="304">
        <f t="shared" si="92"/>
        <v>0.6</v>
      </c>
      <c r="AF270" s="177">
        <f t="shared" si="93"/>
        <v>0.48938013972530836</v>
      </c>
      <c r="AG270" s="799">
        <f t="shared" si="99"/>
        <v>3</v>
      </c>
      <c r="AH270" s="176">
        <f t="shared" si="94"/>
        <v>9</v>
      </c>
      <c r="AI270" s="224">
        <f t="shared" si="95"/>
        <v>3.4893801397253084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'2027'!Wh/'2027'!Env_an*'2028'!Env_an</f>
        <v>34.285633007733729</v>
      </c>
      <c r="C271" s="829"/>
      <c r="D271" s="391">
        <f t="shared" ref="D271:D334" si="102">Wh/(1-Ppv)</f>
        <v>36.68398804169361</v>
      </c>
      <c r="E271" s="383">
        <f t="shared" si="100"/>
        <v>38.670561091644281</v>
      </c>
      <c r="F271" s="383">
        <f t="shared" ref="F271:F334" si="103">Wh_sa/(1-Pvg*MEDIAN((-Sdif+Wh/Env_an)/Csdif,0,1))</f>
        <v>38.681818271776805</v>
      </c>
      <c r="G271" s="110">
        <f t="shared" si="101"/>
        <v>0.76365398958217134</v>
      </c>
      <c r="H271" s="412" t="b">
        <f>Wh_hp&gt;='2027'!Maxi_hp</f>
        <v>0</v>
      </c>
      <c r="I271" s="388">
        <f>IF(H271,Wh_hp,'2027'!Maxi_hp)</f>
        <v>48.424336454195235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6.5378797725972548E-2</v>
      </c>
      <c r="M271" s="832"/>
      <c r="N271" s="832"/>
      <c r="O271" s="48">
        <f>IF(t&lt;Tnet,'2027'!Resal+('2027'!Salim-'2027'!Resal)*(1-EXP(('2027'!Tnet-t)/('2027'!Tau_j))),Resal+(Salim-Resal)*(1-EXP((Tnet-t)/(Tau_j))))*Salcycl</f>
        <v>5.1371715172240387E-2</v>
      </c>
      <c r="P271" s="169">
        <f>(INDEX(Models!$BJ271:$BT271,,T271)*(1-R271)+INDEX(Models!$BJ271:$BT271,,T271+1)*R271-ERP_i)*Q271*Ramure*Pc/MaxiM</f>
        <v>4.3925903731097224E-4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0.96478350405576541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-3.5216495944234594E-2</v>
      </c>
      <c r="V271" s="382">
        <f t="shared" ref="V271:V334" si="110">MaxiM*(1-Ppv)*(1-Pvg)*(1-Psa)</f>
        <v>44.890159056728422</v>
      </c>
      <c r="W271" s="400">
        <f t="shared" ref="W271:W334" si="111">Wh*(A271&gt;Tmaj)</f>
        <v>34.285633007733729</v>
      </c>
      <c r="X271" s="157">
        <f t="shared" ref="X271:X334" si="112">t</f>
        <v>47009</v>
      </c>
      <c r="Y271" s="383">
        <f t="shared" ref="Y271:Y334" si="113">Wh_pvt_s*(1-Ppv)</f>
        <v>32.999739065146215</v>
      </c>
      <c r="Z271" s="383">
        <f t="shared" ref="Z271:Z334" si="114">Wh_sa_s*(1-Psa_s)</f>
        <v>35.308143004732322</v>
      </c>
      <c r="AA271" s="384">
        <f t="shared" ref="AA271:AA334" si="115">Wh_hp*(1-Pvg_s*MEDIAN((-Sdif+Wh/Env_an)/Csdif,0,1))</f>
        <v>38.587723216251561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8.4990249182102809E-2</v>
      </c>
      <c r="AD271" s="230">
        <f>(INDEX(Models!$BJ271:$BT271,,AH271)*(1-AF271)+INDEX(Models!$BJ271:$BT271,,AH271+1)*AF271-ERP_i)*AE271*Ramure*Pc/MaxiM</f>
        <v>3.6716214024436747E-3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0.48977107042974399</v>
      </c>
      <c r="AG271" s="799">
        <f t="shared" si="99"/>
        <v>3</v>
      </c>
      <c r="AH271" s="176">
        <f t="shared" ref="AH271:AH334" si="119">MIN(MATCH(Hp_vg_s,Echel_vg),10)</f>
        <v>9</v>
      </c>
      <c r="AI271" s="224">
        <f t="shared" ref="AI271:AI334" si="120">IF(OR(t&lt;Ttai,Notai),Hdd_s+PousH*Croivg,Hdtai_s+PousH*(Croivg-Croi_tai))</f>
        <v>3.489771070429744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'2027'!Wh/'2027'!Env_an*'2028'!Env_an</f>
        <v>39.268022886790298</v>
      </c>
      <c r="C272" s="829"/>
      <c r="D272" s="391">
        <f t="shared" si="102"/>
        <v>42.015712214069758</v>
      </c>
      <c r="E272" s="383">
        <f t="shared" si="100"/>
        <v>44.293609580653602</v>
      </c>
      <c r="F272" s="383">
        <f t="shared" si="103"/>
        <v>44.310200727864576</v>
      </c>
      <c r="G272" s="110">
        <f t="shared" si="101"/>
        <v>0.87965735320397032</v>
      </c>
      <c r="H272" s="412" t="b">
        <f>Wh_hp&gt;='2027'!Maxi_hp</f>
        <v>0</v>
      </c>
      <c r="I272" s="388">
        <f>IF(H272,Wh_hp,'2027'!Maxi_hp)</f>
        <v>49.537413864977964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6.5396709528092845E-2</v>
      </c>
      <c r="M272" s="832"/>
      <c r="N272" s="832"/>
      <c r="O272" s="48">
        <f>IF(t&lt;Tnet,'2027'!Resal+('2027'!Salim-'2027'!Resal)*(1-EXP(('2027'!Tnet-t)/('2027'!Tau_j))),Resal+(Salim-Resal)*(1-EXP((Tnet-t)/(Tau_j))))*Salcycl</f>
        <v>5.1427223659341929E-2</v>
      </c>
      <c r="P272" s="169">
        <f>(INDEX(Models!$BJ272:$BT272,,T272)*(1-R272)+INDEX(Models!$BJ272:$BT272,,T272+1)*R272-ERP_i)*Q272*Ramure*Pc/MaxiM</f>
        <v>4.5211422565575752E-4</v>
      </c>
      <c r="Q272" s="304">
        <f t="shared" si="105"/>
        <v>0.6</v>
      </c>
      <c r="R272" s="177">
        <f t="shared" si="106"/>
        <v>0.96515928066566348</v>
      </c>
      <c r="S272" s="799">
        <f t="shared" si="107"/>
        <v>-1</v>
      </c>
      <c r="T272" s="176">
        <f t="shared" si="108"/>
        <v>5</v>
      </c>
      <c r="U272" s="250">
        <f t="shared" si="109"/>
        <v>-3.4840719334336523E-2</v>
      </c>
      <c r="V272" s="382">
        <f t="shared" si="110"/>
        <v>44.636665816533764</v>
      </c>
      <c r="W272" s="400">
        <f t="shared" si="111"/>
        <v>39.268022886790298</v>
      </c>
      <c r="X272" s="157">
        <f t="shared" si="112"/>
        <v>47010</v>
      </c>
      <c r="Y272" s="383">
        <f t="shared" si="113"/>
        <v>37.773127744243531</v>
      </c>
      <c r="Z272" s="383">
        <f t="shared" si="114"/>
        <v>40.416215231995203</v>
      </c>
      <c r="AA272" s="384">
        <f t="shared" si="115"/>
        <v>44.170956786767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8.5004759414599479E-2</v>
      </c>
      <c r="AD272" s="230">
        <f>(INDEX(Models!$BJ272:$BT272,,AH272)*(1-AF272)+INDEX(Models!$BJ272:$BT272,,AH272+1)*AF272-ERP_i)*AE272*Ramure*Pc/MaxiM</f>
        <v>3.7944432537461367E-3</v>
      </c>
      <c r="AE272" s="304">
        <f t="shared" si="117"/>
        <v>0.6</v>
      </c>
      <c r="AF272" s="177">
        <f t="shared" si="118"/>
        <v>0.49014684703964218</v>
      </c>
      <c r="AG272" s="799">
        <f t="shared" ref="AG272:AG335" si="124">INDEX(Echel_vg,AH272)</f>
        <v>3</v>
      </c>
      <c r="AH272" s="176">
        <f t="shared" si="119"/>
        <v>9</v>
      </c>
      <c r="AI272" s="224">
        <f t="shared" si="120"/>
        <v>3.4901468470396422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'2027'!Wh/'2027'!Env_an*'2028'!Env_an</f>
        <v>31.375706834919662</v>
      </c>
      <c r="C273" s="829"/>
      <c r="D273" s="391">
        <f t="shared" si="102"/>
        <v>33.571792946357583</v>
      </c>
      <c r="E273" s="383">
        <f t="shared" si="100"/>
        <v>35.393951903263975</v>
      </c>
      <c r="F273" s="383">
        <f t="shared" si="103"/>
        <v>35.403533353319396</v>
      </c>
      <c r="G273" s="110">
        <f t="shared" si="101"/>
        <v>0.70684005853661547</v>
      </c>
      <c r="H273" s="412" t="b">
        <f>Wh_hp&gt;='2027'!Maxi_hp</f>
        <v>0</v>
      </c>
      <c r="I273" s="388">
        <f>IF(H273,Wh_hp,'2027'!Maxi_hp)</f>
        <v>43.865326468567289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6.54146209869374E-2</v>
      </c>
      <c r="M273" s="832"/>
      <c r="N273" s="832"/>
      <c r="O273" s="48">
        <f>IF(t&lt;Tnet,'2027'!Resal+('2027'!Salim-'2027'!Resal)*(1-EXP(('2027'!Tnet-t)/('2027'!Tau_j))),Resal+(Salim-Resal)*(1-EXP((Tnet-t)/(Tau_j))))*Salcycl</f>
        <v>5.1482212607582796E-2</v>
      </c>
      <c r="P273" s="169">
        <f>(INDEX(Models!$BJ273:$BT273,,T273)*(1-R273)+INDEX(Models!$BJ273:$BT273,,T273+1)*R273-ERP_i)*Q273*Ramure*Pc/MaxiM</f>
        <v>4.6549164895595305E-4</v>
      </c>
      <c r="Q273" s="304">
        <f t="shared" si="105"/>
        <v>0.6</v>
      </c>
      <c r="R273" s="177">
        <f t="shared" si="106"/>
        <v>0.96552046833755911</v>
      </c>
      <c r="S273" s="799">
        <f t="shared" si="107"/>
        <v>-1</v>
      </c>
      <c r="T273" s="176">
        <f t="shared" si="108"/>
        <v>5</v>
      </c>
      <c r="U273" s="250">
        <f t="shared" si="109"/>
        <v>-3.4479531662440888E-2</v>
      </c>
      <c r="V273" s="382">
        <f t="shared" si="110"/>
        <v>44.38004191902813</v>
      </c>
      <c r="W273" s="400">
        <f t="shared" si="111"/>
        <v>31.375706834919662</v>
      </c>
      <c r="X273" s="157">
        <f t="shared" si="112"/>
        <v>47011</v>
      </c>
      <c r="Y273" s="383">
        <f t="shared" si="113"/>
        <v>30.205531735803152</v>
      </c>
      <c r="Z273" s="383">
        <f t="shared" si="114"/>
        <v>32.319713547948595</v>
      </c>
      <c r="AA273" s="384">
        <f t="shared" si="115"/>
        <v>35.322806281819396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8.5018520609912218E-2</v>
      </c>
      <c r="AD273" s="230">
        <f>(INDEX(Models!$BJ273:$BT273,,AH273)*(1-AF273)+INDEX(Models!$BJ273:$BT273,,AH273+1)*AF273-ERP_i)*AE273*Ramure*Pc/MaxiM</f>
        <v>3.921930126500937E-3</v>
      </c>
      <c r="AE273" s="304">
        <f t="shared" si="117"/>
        <v>0.6</v>
      </c>
      <c r="AF273" s="177">
        <f t="shared" si="118"/>
        <v>0.49050803471153781</v>
      </c>
      <c r="AG273" s="799">
        <f t="shared" si="124"/>
        <v>3</v>
      </c>
      <c r="AH273" s="176">
        <f t="shared" si="119"/>
        <v>9</v>
      </c>
      <c r="AI273" s="224">
        <f t="shared" si="120"/>
        <v>3.4905080347115378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'2027'!Wh/'2027'!Env_an*'2028'!Env_an</f>
        <v>43.845617914023478</v>
      </c>
      <c r="C274" s="829"/>
      <c r="D274" s="391">
        <f t="shared" si="102"/>
        <v>46.915412123924817</v>
      </c>
      <c r="E274" s="383">
        <f t="shared" si="100"/>
        <v>49.464655469648221</v>
      </c>
      <c r="F274" s="383">
        <f t="shared" si="103"/>
        <v>49.488168922945817</v>
      </c>
      <c r="G274" s="110">
        <f t="shared" si="101"/>
        <v>0.99377026016793435</v>
      </c>
      <c r="H274" s="412" t="b">
        <f>Wh_hp&gt;='2027'!Maxi_hp</f>
        <v>0</v>
      </c>
      <c r="I274" s="388">
        <f>IF(H274,Wh_hp,'2027'!Maxi_hp)</f>
        <v>49.488334289395652</v>
      </c>
      <c r="J274" s="85">
        <f>IF(H274,An,'2027'!An_max)</f>
        <v>2026</v>
      </c>
      <c r="K274" s="197">
        <f t="shared" si="104"/>
        <v>47012</v>
      </c>
      <c r="L274" s="147">
        <f>IF(t&lt;Tvie,1-EXP((T0-t)*PertePVj)+'2027'!Pspv,1-EXP((T0-t)*PertePVj)+Pspv)</f>
        <v>6.5432532102512986E-2</v>
      </c>
      <c r="M274" s="832"/>
      <c r="N274" s="832"/>
      <c r="O274" s="48">
        <f>IF(t&lt;Tnet,'2027'!Resal+('2027'!Salim-'2027'!Resal)*(1-EXP(('2027'!Tnet-t)/('2027'!Tau_j))),Resal+(Salim-Resal)*(1-EXP((Tnet-t)/(Tau_j))))*Salcycl</f>
        <v>5.1536664341827583E-2</v>
      </c>
      <c r="P274" s="169">
        <f>(INDEX(Models!$BJ274:$BT274,,T274)*(1-R274)+INDEX(Models!$BJ274:$BT274,,T274+1)*R274-ERP_i)*Q274*Ramure*Pc/MaxiM</f>
        <v>4.7939636721239042E-4</v>
      </c>
      <c r="Q274" s="304">
        <f t="shared" si="105"/>
        <v>0.6</v>
      </c>
      <c r="R274" s="177">
        <f t="shared" si="106"/>
        <v>0.96586761288265743</v>
      </c>
      <c r="S274" s="799">
        <f t="shared" si="107"/>
        <v>-1</v>
      </c>
      <c r="T274" s="176">
        <f t="shared" si="108"/>
        <v>5</v>
      </c>
      <c r="U274" s="250">
        <f t="shared" si="109"/>
        <v>-3.4132387117342566E-2</v>
      </c>
      <c r="V274" s="382">
        <f t="shared" si="110"/>
        <v>44.120288807923863</v>
      </c>
      <c r="W274" s="400">
        <f t="shared" si="111"/>
        <v>43.845617914023478</v>
      </c>
      <c r="X274" s="157">
        <f t="shared" si="112"/>
        <v>47012</v>
      </c>
      <c r="Y274" s="383">
        <f t="shared" si="113"/>
        <v>42.147288793171697</v>
      </c>
      <c r="Z274" s="383">
        <f t="shared" si="114"/>
        <v>45.098176687009229</v>
      </c>
      <c r="AA274" s="384">
        <f t="shared" si="115"/>
        <v>49.289321930484043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8.5031505391489515E-2</v>
      </c>
      <c r="AD274" s="230">
        <f>(INDEX(Models!$BJ274:$BT274,,AH274)*(1-AF274)+INDEX(Models!$BJ274:$BT274,,AH274+1)*AF274-ERP_i)*AE274*Ramure*Pc/MaxiM</f>
        <v>4.0541269974601014E-3</v>
      </c>
      <c r="AE274" s="304">
        <f t="shared" si="117"/>
        <v>0.6</v>
      </c>
      <c r="AF274" s="177">
        <f t="shared" si="118"/>
        <v>0.49085517925663602</v>
      </c>
      <c r="AG274" s="799">
        <f t="shared" si="124"/>
        <v>3</v>
      </c>
      <c r="AH274" s="176">
        <f t="shared" si="119"/>
        <v>9</v>
      </c>
      <c r="AI274" s="224">
        <f t="shared" si="120"/>
        <v>3.490855179256636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'2027'!Wh/'2027'!Env_an*'2028'!Env_an</f>
        <v>43.840190917502348</v>
      </c>
      <c r="C275" s="829"/>
      <c r="D275" s="391">
        <f t="shared" si="102"/>
        <v>46.91050419237466</v>
      </c>
      <c r="E275" s="383">
        <f t="shared" si="100"/>
        <v>49.462291549503249</v>
      </c>
      <c r="F275" s="383">
        <f t="shared" si="103"/>
        <v>49.486716320072482</v>
      </c>
      <c r="G275" s="110">
        <f t="shared" si="101"/>
        <v>0.99961196288733523</v>
      </c>
      <c r="H275" s="412" t="b">
        <f>Wh_hp&gt;='2027'!Maxi_hp</f>
        <v>0</v>
      </c>
      <c r="I275" s="388">
        <f>IF(H275,Wh_hp,'2027'!Maxi_hp)</f>
        <v>49.48672693279498</v>
      </c>
      <c r="J275" s="85">
        <f>IF(H275,An,'2027'!An_max)</f>
        <v>2026</v>
      </c>
      <c r="K275" s="197">
        <f t="shared" si="104"/>
        <v>47013</v>
      </c>
      <c r="L275" s="147">
        <f>IF(t&lt;Tvie,1-EXP((T0-t)*PertePVj)+'2027'!Pspv,1-EXP((T0-t)*PertePVj)+Pspv)</f>
        <v>6.5450442874826154E-2</v>
      </c>
      <c r="M275" s="832"/>
      <c r="N275" s="832"/>
      <c r="O275" s="48">
        <f>IF(t&lt;Tnet,'2027'!Resal+('2027'!Salim-'2027'!Resal)*(1-EXP(('2027'!Tnet-t)/('2027'!Tau_j))),Resal+(Salim-Resal)*(1-EXP((Tnet-t)/(Tau_j))))*Salcycl</f>
        <v>5.1590560752218406E-2</v>
      </c>
      <c r="P275" s="169">
        <f>(INDEX(Models!$BJ275:$BT275,,T275)*(1-R275)+INDEX(Models!$BJ275:$BT275,,T275+1)*R275-ERP_i)*Q275*Ramure*Pc/MaxiM</f>
        <v>4.9383571866915118E-4</v>
      </c>
      <c r="Q275" s="304">
        <f t="shared" si="105"/>
        <v>0.6</v>
      </c>
      <c r="R275" s="177">
        <f t="shared" si="106"/>
        <v>0.96620124129251528</v>
      </c>
      <c r="S275" s="799">
        <f t="shared" si="107"/>
        <v>-1</v>
      </c>
      <c r="T275" s="176">
        <f t="shared" si="108"/>
        <v>5</v>
      </c>
      <c r="U275" s="250">
        <f t="shared" si="109"/>
        <v>-3.3798758707484722E-2</v>
      </c>
      <c r="V275" s="382">
        <f t="shared" si="110"/>
        <v>43.857197138837535</v>
      </c>
      <c r="W275" s="400">
        <f t="shared" si="111"/>
        <v>43.840190917502348</v>
      </c>
      <c r="X275" s="157">
        <f t="shared" si="112"/>
        <v>47013</v>
      </c>
      <c r="Y275" s="383">
        <f t="shared" si="113"/>
        <v>42.137459553970096</v>
      </c>
      <c r="Z275" s="383">
        <f t="shared" si="114"/>
        <v>45.088523377606386</v>
      </c>
      <c r="AA275" s="384">
        <f t="shared" si="115"/>
        <v>49.279427526533496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8.5043685758536963E-2</v>
      </c>
      <c r="AD275" s="230">
        <f>(INDEX(Models!$BJ275:$BT275,,AH275)*(1-AF275)+INDEX(Models!$BJ275:$BT275,,AH275+1)*AF275-ERP_i)*AE275*Ramure*Pc/MaxiM</f>
        <v>4.1910981329069058E-3</v>
      </c>
      <c r="AE275" s="304">
        <f t="shared" si="117"/>
        <v>0.6</v>
      </c>
      <c r="AF275" s="177">
        <f t="shared" si="118"/>
        <v>0.49118880766649387</v>
      </c>
      <c r="AG275" s="799">
        <f t="shared" si="124"/>
        <v>3</v>
      </c>
      <c r="AH275" s="176">
        <f t="shared" si="119"/>
        <v>9</v>
      </c>
      <c r="AI275" s="224">
        <f t="shared" si="120"/>
        <v>3.4911888076664939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'2027'!Wh/'2027'!Env_an*'2028'!Env_an</f>
        <v>43.246797122019686</v>
      </c>
      <c r="C276" s="829"/>
      <c r="D276" s="391">
        <f t="shared" si="102"/>
        <v>46.276439406746306</v>
      </c>
      <c r="E276" s="383">
        <f t="shared" si="100"/>
        <v>48.796479080111538</v>
      </c>
      <c r="F276" s="383">
        <f t="shared" si="103"/>
        <v>48.821044103921494</v>
      </c>
      <c r="G276" s="110">
        <f t="shared" si="101"/>
        <v>0.99210679041586558</v>
      </c>
      <c r="H276" s="412" t="b">
        <f>Wh_hp&gt;='2027'!Maxi_hp</f>
        <v>0</v>
      </c>
      <c r="I276" s="388">
        <f>IF(H276,Wh_hp,'2027'!Maxi_hp)</f>
        <v>48.821263638330237</v>
      </c>
      <c r="J276" s="85">
        <f>IF(H276,An,'2027'!An_max)</f>
        <v>2026</v>
      </c>
      <c r="K276" s="197">
        <f t="shared" si="104"/>
        <v>47014</v>
      </c>
      <c r="L276" s="147">
        <f>IF(t&lt;Tvie,1-EXP((T0-t)*PertePVj)+'2027'!Pspv,1-EXP((T0-t)*PertePVj)+Pspv)</f>
        <v>6.5468353303883453E-2</v>
      </c>
      <c r="M276" s="832"/>
      <c r="N276" s="832"/>
      <c r="O276" s="48">
        <f>IF(t&lt;Tnet,'2027'!Resal+('2027'!Salim-'2027'!Resal)*(1-EXP(('2027'!Tnet-t)/('2027'!Tau_j))),Resal+(Salim-Resal)*(1-EXP((Tnet-t)/(Tau_j))))*Salcycl</f>
        <v>5.1643883347156312E-2</v>
      </c>
      <c r="P276" s="169">
        <f>(INDEX(Models!$BJ276:$BT276,,T276)*(1-R276)+INDEX(Models!$BJ276:$BT276,,T276+1)*R276-ERP_i)*Q276*Ramure*Pc/MaxiM</f>
        <v>5.0889886756583377E-4</v>
      </c>
      <c r="Q276" s="304">
        <f t="shared" si="105"/>
        <v>0.6</v>
      </c>
      <c r="R276" s="177">
        <f t="shared" si="106"/>
        <v>0.96652186226177683</v>
      </c>
      <c r="S276" s="799">
        <f t="shared" si="107"/>
        <v>-1</v>
      </c>
      <c r="T276" s="176">
        <f t="shared" si="108"/>
        <v>5</v>
      </c>
      <c r="U276" s="250">
        <f t="shared" si="109"/>
        <v>-3.3478137738223113E-2</v>
      </c>
      <c r="V276" s="382">
        <f t="shared" si="110"/>
        <v>43.59061890174204</v>
      </c>
      <c r="W276" s="400">
        <f t="shared" si="111"/>
        <v>43.246797122019686</v>
      </c>
      <c r="X276" s="157">
        <f t="shared" si="112"/>
        <v>47014</v>
      </c>
      <c r="Y276" s="383">
        <f t="shared" si="113"/>
        <v>41.565241813641485</v>
      </c>
      <c r="Z276" s="383">
        <f t="shared" si="114"/>
        <v>44.477083211241251</v>
      </c>
      <c r="AA276" s="384">
        <f t="shared" si="115"/>
        <v>48.611757891424226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8.5055033175675115E-2</v>
      </c>
      <c r="AD276" s="230">
        <f>(INDEX(Models!$BJ276:$BT276,,AH276)*(1-AF276)+INDEX(Models!$BJ276:$BT276,,AH276+1)*AF276-ERP_i)*AE276*Ramure*Pc/MaxiM</f>
        <v>4.3356569633708287E-3</v>
      </c>
      <c r="AE276" s="304">
        <f t="shared" si="117"/>
        <v>0.6</v>
      </c>
      <c r="AF276" s="177">
        <f t="shared" si="118"/>
        <v>0.49150942863575553</v>
      </c>
      <c r="AG276" s="799">
        <f t="shared" si="124"/>
        <v>3</v>
      </c>
      <c r="AH276" s="176">
        <f t="shared" si="119"/>
        <v>9</v>
      </c>
      <c r="AI276" s="224">
        <f t="shared" si="120"/>
        <v>3.4915094286357555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'2027'!Wh/'2027'!Env_an*'2028'!Env_an</f>
        <v>44.894826868529776</v>
      </c>
      <c r="C277" s="829"/>
      <c r="D277" s="391">
        <f t="shared" si="102"/>
        <v>48.040842108296246</v>
      </c>
      <c r="E277" s="383">
        <f t="shared" si="100"/>
        <v>50.659781229159769</v>
      </c>
      <c r="F277" s="383">
        <f t="shared" si="103"/>
        <v>50.686359696372008</v>
      </c>
      <c r="G277" s="110">
        <f t="shared" si="101"/>
        <v>1.0363374963227205</v>
      </c>
      <c r="H277" s="412" t="b">
        <f>Wh_hp&gt;='2027'!Maxi_hp</f>
        <v>1</v>
      </c>
      <c r="I277" s="388">
        <f>IF(H277,Wh_hp,'2027'!Maxi_hp)</f>
        <v>50.686359696372008</v>
      </c>
      <c r="J277" s="85">
        <f>IF(H277,An,'2027'!An_max)</f>
        <v>2028</v>
      </c>
      <c r="K277" s="197">
        <f t="shared" si="104"/>
        <v>47015</v>
      </c>
      <c r="L277" s="147">
        <f>IF(t&lt;Tvie,1-EXP((T0-t)*PertePVj)+'2027'!Pspv,1-EXP((T0-t)*PertePVj)+Pspv)</f>
        <v>6.5486263389691435E-2</v>
      </c>
      <c r="M277" s="832"/>
      <c r="N277" s="832"/>
      <c r="O277" s="48">
        <f>IF(t&lt;Tnet,'2027'!Resal+('2027'!Salim-'2027'!Resal)*(1-EXP(('2027'!Tnet-t)/('2027'!Tau_j))),Resal+(Salim-Resal)*(1-EXP((Tnet-t)/(Tau_j))))*Salcycl</f>
        <v>5.1696613315733386E-2</v>
      </c>
      <c r="P277" s="169">
        <f>(INDEX(Models!$BJ277:$BT277,,T277)*(1-R277)+INDEX(Models!$BJ277:$BT277,,T277+1)*R277-ERP_i)*Q277*Ramure*Pc/MaxiM</f>
        <v>5.2437119910469945E-4</v>
      </c>
      <c r="Q277" s="304">
        <f t="shared" si="105"/>
        <v>0.6</v>
      </c>
      <c r="R277" s="177">
        <f t="shared" si="106"/>
        <v>0.96682996670683563</v>
      </c>
      <c r="S277" s="799">
        <f t="shared" si="107"/>
        <v>-1</v>
      </c>
      <c r="T277" s="176">
        <f t="shared" si="108"/>
        <v>5</v>
      </c>
      <c r="U277" s="250">
        <f t="shared" si="109"/>
        <v>-3.3170033293164369E-2</v>
      </c>
      <c r="V277" s="382">
        <f t="shared" si="110"/>
        <v>43.320662455842779</v>
      </c>
      <c r="W277" s="400">
        <f t="shared" si="111"/>
        <v>44.894826868529776</v>
      </c>
      <c r="X277" s="157">
        <f t="shared" si="112"/>
        <v>47015</v>
      </c>
      <c r="Y277" s="383">
        <f t="shared" si="113"/>
        <v>43.143376100326194</v>
      </c>
      <c r="Z277" s="383">
        <f t="shared" si="114"/>
        <v>46.166658027753471</v>
      </c>
      <c r="AA277" s="384">
        <f t="shared" si="115"/>
        <v>50.458977085473016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8.5065518677652593E-2</v>
      </c>
      <c r="AD277" s="230">
        <f>(INDEX(Models!$BJ277:$BT277,,AH277)*(1-AF277)+INDEX(Models!$BJ277:$BT277,,AH277+1)*AF277-ERP_i)*AE277*Ramure*Pc/MaxiM</f>
        <v>4.4860710506946701E-3</v>
      </c>
      <c r="AE277" s="304">
        <f t="shared" si="117"/>
        <v>0.6</v>
      </c>
      <c r="AF277" s="177">
        <f t="shared" si="118"/>
        <v>0.49181753308081433</v>
      </c>
      <c r="AG277" s="799">
        <f t="shared" si="124"/>
        <v>3</v>
      </c>
      <c r="AH277" s="176">
        <f t="shared" si="119"/>
        <v>9</v>
      </c>
      <c r="AI277" s="224">
        <f t="shared" si="120"/>
        <v>3.4918175330808143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'2027'!Wh/'2027'!Env_an*'2028'!Env_an</f>
        <v>43.740867353968092</v>
      </c>
      <c r="C278" s="829"/>
      <c r="D278" s="391">
        <f t="shared" si="102"/>
        <v>46.806915661228118</v>
      </c>
      <c r="E278" s="383">
        <f t="shared" si="100"/>
        <v>49.361300344148361</v>
      </c>
      <c r="F278" s="383">
        <f t="shared" si="103"/>
        <v>49.387982440515238</v>
      </c>
      <c r="G278" s="110">
        <f t="shared" si="101"/>
        <v>1.0161087633722283</v>
      </c>
      <c r="H278" s="412" t="b">
        <f>Wh_hp&gt;='2027'!Maxi_hp</f>
        <v>0</v>
      </c>
      <c r="I278" s="388">
        <f>IF(H278,Wh_hp,'2027'!Maxi_hp)</f>
        <v>49.387982440515252</v>
      </c>
      <c r="J278" s="85">
        <f>IF(H278,An,'2027'!An_max)</f>
        <v>2027</v>
      </c>
      <c r="K278" s="197">
        <f t="shared" si="104"/>
        <v>47016</v>
      </c>
      <c r="L278" s="147">
        <f>IF(t&lt;Tvie,1-EXP((T0-t)*PertePVj)+'2027'!Pspv,1-EXP((T0-t)*PertePVj)+Pspv)</f>
        <v>6.550417313225676E-2</v>
      </c>
      <c r="M278" s="832"/>
      <c r="N278" s="832"/>
      <c r="O278" s="48">
        <f>IF(t&lt;Tnet,'2027'!Resal+('2027'!Salim-'2027'!Resal)*(1-EXP(('2027'!Tnet-t)/('2027'!Tau_j))),Resal+(Salim-Resal)*(1-EXP((Tnet-t)/(Tau_j))))*Salcycl</f>
        <v>5.1748731599674261E-2</v>
      </c>
      <c r="P278" s="169">
        <f>(INDEX(Models!$BJ278:$BT278,,T278)*(1-R278)+INDEX(Models!$BJ278:$BT278,,T278+1)*R278-ERP_i)*Q278*Ramure*Pc/MaxiM</f>
        <v>5.4025483626542854E-4</v>
      </c>
      <c r="Q278" s="304">
        <f t="shared" si="105"/>
        <v>0.6</v>
      </c>
      <c r="R278" s="177">
        <f t="shared" si="106"/>
        <v>0.96712602827942329</v>
      </c>
      <c r="S278" s="799">
        <f t="shared" si="107"/>
        <v>-1</v>
      </c>
      <c r="T278" s="176">
        <f t="shared" si="108"/>
        <v>5</v>
      </c>
      <c r="U278" s="250">
        <f t="shared" si="109"/>
        <v>-3.2873971720576711E-2</v>
      </c>
      <c r="V278" s="382">
        <f t="shared" si="110"/>
        <v>43.047426545955901</v>
      </c>
      <c r="W278" s="400">
        <f t="shared" si="111"/>
        <v>43.740867353968092</v>
      </c>
      <c r="X278" s="157">
        <f t="shared" si="112"/>
        <v>47016</v>
      </c>
      <c r="Y278" s="383">
        <f t="shared" si="113"/>
        <v>42.030372148233027</v>
      </c>
      <c r="Z278" s="383">
        <f t="shared" si="114"/>
        <v>44.976522034465411</v>
      </c>
      <c r="AA278" s="384">
        <f t="shared" si="115"/>
        <v>49.158704362504238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8.5075112989120585E-2</v>
      </c>
      <c r="AD278" s="230">
        <f>(INDEX(Models!$BJ278:$BT278,,AH278)*(1-AF278)+INDEX(Models!$BJ278:$BT278,,AH278+1)*AF278-ERP_i)*AE278*Ramure*Pc/MaxiM</f>
        <v>4.6423859951588995E-3</v>
      </c>
      <c r="AE278" s="304">
        <f t="shared" si="117"/>
        <v>0.6</v>
      </c>
      <c r="AF278" s="177">
        <f t="shared" si="118"/>
        <v>0.49211359465340188</v>
      </c>
      <c r="AG278" s="799">
        <f t="shared" si="124"/>
        <v>3</v>
      </c>
      <c r="AH278" s="176">
        <f t="shared" si="119"/>
        <v>9</v>
      </c>
      <c r="AI278" s="224">
        <f t="shared" si="120"/>
        <v>3.4921135946534019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'2027'!Wh/'2027'!Env_an*'2028'!Env_an</f>
        <v>42.328379995892291</v>
      </c>
      <c r="C279" s="829"/>
      <c r="D279" s="391">
        <f t="shared" si="102"/>
        <v>45.29628705466228</v>
      </c>
      <c r="E279" s="383">
        <f t="shared" si="100"/>
        <v>47.770826318568304</v>
      </c>
      <c r="F279" s="383">
        <f t="shared" si="103"/>
        <v>47.797034557939035</v>
      </c>
      <c r="G279" s="110">
        <f t="shared" si="101"/>
        <v>0.98964302326205356</v>
      </c>
      <c r="H279" s="412" t="b">
        <f>Wh_hp&gt;='2027'!Maxi_hp</f>
        <v>0</v>
      </c>
      <c r="I279" s="388">
        <f>IF(H279,Wh_hp,'2027'!Maxi_hp)</f>
        <v>47.797343322751502</v>
      </c>
      <c r="J279" s="85">
        <f>IF(H279,An,'2027'!An_max)</f>
        <v>2026</v>
      </c>
      <c r="K279" s="197">
        <f t="shared" si="104"/>
        <v>47017</v>
      </c>
      <c r="L279" s="147">
        <f>IF(t&lt;Tvie,1-EXP((T0-t)*PertePVj)+'2027'!Pspv,1-EXP((T0-t)*PertePVj)+Pspv)</f>
        <v>6.5522082531585868E-2</v>
      </c>
      <c r="M279" s="832"/>
      <c r="N279" s="832"/>
      <c r="O279" s="48">
        <f>IF(t&lt;Tnet,'2027'!Resal+('2027'!Salim-'2027'!Resal)*(1-EXP(('2027'!Tnet-t)/('2027'!Tau_j))),Resal+(Salim-Resal)*(1-EXP((Tnet-t)/(Tau_j))))*Salcycl</f>
        <v>5.1800218974738223E-2</v>
      </c>
      <c r="P279" s="169">
        <f>(INDEX(Models!$BJ279:$BT279,,T279)*(1-R279)+INDEX(Models!$BJ279:$BT279,,T279+1)*R279-ERP_i)*Q279*Ramure*Pc/MaxiM</f>
        <v>5.5655162634529471E-4</v>
      </c>
      <c r="Q279" s="304">
        <f t="shared" si="105"/>
        <v>0.6</v>
      </c>
      <c r="R279" s="177">
        <f t="shared" si="106"/>
        <v>0.96741050387423344</v>
      </c>
      <c r="S279" s="799">
        <f t="shared" si="107"/>
        <v>-1</v>
      </c>
      <c r="T279" s="176">
        <f t="shared" si="108"/>
        <v>5</v>
      </c>
      <c r="U279" s="250">
        <f t="shared" si="109"/>
        <v>-3.2589496125766559E-2</v>
      </c>
      <c r="V279" s="382">
        <f t="shared" si="110"/>
        <v>42.771009877773515</v>
      </c>
      <c r="W279" s="400">
        <f t="shared" si="111"/>
        <v>42.328379995892291</v>
      </c>
      <c r="X279" s="157">
        <f t="shared" si="112"/>
        <v>47017</v>
      </c>
      <c r="Y279" s="383">
        <f t="shared" si="113"/>
        <v>40.67154371941416</v>
      </c>
      <c r="Z279" s="383">
        <f t="shared" si="114"/>
        <v>43.523279640033742</v>
      </c>
      <c r="AA279" s="384">
        <f t="shared" si="115"/>
        <v>47.570781898283222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8.5083786659297111E-2</v>
      </c>
      <c r="AD279" s="230">
        <f>(INDEX(Models!$BJ279:$BT279,,AH279)*(1-AF279)+INDEX(Models!$BJ279:$BT279,,AH279+1)*AF279-ERP_i)*AE279*Ramure*Pc/MaxiM</f>
        <v>4.8046449788233751E-3</v>
      </c>
      <c r="AE279" s="304">
        <f t="shared" si="117"/>
        <v>0.6</v>
      </c>
      <c r="AF279" s="177">
        <f t="shared" si="118"/>
        <v>0.49239807024821181</v>
      </c>
      <c r="AG279" s="799">
        <f t="shared" si="124"/>
        <v>3</v>
      </c>
      <c r="AH279" s="176">
        <f t="shared" si="119"/>
        <v>9</v>
      </c>
      <c r="AI279" s="224">
        <f t="shared" si="120"/>
        <v>3.4923980702482118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'2027'!Wh/'2027'!Env_an*'2028'!Env_an</f>
        <v>26.866865821873024</v>
      </c>
      <c r="C280" s="829"/>
      <c r="D280" s="391">
        <f t="shared" si="102"/>
        <v>28.751220576599014</v>
      </c>
      <c r="E280" s="383">
        <f t="shared" si="100"/>
        <v>30.323527503593731</v>
      </c>
      <c r="F280" s="383">
        <f t="shared" si="103"/>
        <v>30.331781621084367</v>
      </c>
      <c r="G280" s="110">
        <f t="shared" si="101"/>
        <v>0.63209738490968637</v>
      </c>
      <c r="H280" s="412" t="b">
        <f>Wh_hp&gt;='2027'!Maxi_hp</f>
        <v>0</v>
      </c>
      <c r="I280" s="388">
        <f>IF(H280,Wh_hp,'2027'!Maxi_hp)</f>
        <v>41.863369362780062</v>
      </c>
      <c r="J280" s="85">
        <f>IF(H280,An,'2027'!An_max)</f>
        <v>2018</v>
      </c>
      <c r="K280" s="197">
        <f t="shared" si="104"/>
        <v>47018</v>
      </c>
      <c r="L280" s="147">
        <f>IF(t&lt;Tvie,1-EXP((T0-t)*PertePVj)+'2027'!Pspv,1-EXP((T0-t)*PertePVj)+Pspv)</f>
        <v>6.5539991587685531E-2</v>
      </c>
      <c r="M280" s="832"/>
      <c r="N280" s="832"/>
      <c r="O280" s="48">
        <f>IF(t&lt;Tnet,'2027'!Resal+('2027'!Salim-'2027'!Resal)*(1-EXP(('2027'!Tnet-t)/('2027'!Tau_j))),Resal+(Salim-Resal)*(1-EXP((Tnet-t)/(Tau_j))))*Salcycl</f>
        <v>5.1851056141419487E-2</v>
      </c>
      <c r="P280" s="169">
        <f>(INDEX(Models!$BJ280:$BT280,,T280)*(1-R280)+INDEX(Models!$BJ280:$BT280,,T280+1)*R280-ERP_i)*Q280*Ramure*Pc/MaxiM</f>
        <v>5.7326616966624298E-4</v>
      </c>
      <c r="Q280" s="304">
        <f t="shared" si="105"/>
        <v>0.6</v>
      </c>
      <c r="R280" s="177">
        <f t="shared" si="106"/>
        <v>0.96768383412979864</v>
      </c>
      <c r="S280" s="799">
        <f t="shared" si="107"/>
        <v>-1</v>
      </c>
      <c r="T280" s="176">
        <f t="shared" si="108"/>
        <v>5</v>
      </c>
      <c r="U280" s="250">
        <f t="shared" si="109"/>
        <v>-3.2316165870201308E-2</v>
      </c>
      <c r="V280" s="382">
        <f t="shared" si="110"/>
        <v>42.491510981555052</v>
      </c>
      <c r="W280" s="400">
        <f t="shared" si="111"/>
        <v>26.866865821873024</v>
      </c>
      <c r="X280" s="157">
        <f t="shared" si="112"/>
        <v>47018</v>
      </c>
      <c r="Y280" s="383">
        <f t="shared" si="113"/>
        <v>25.870801191348356</v>
      </c>
      <c r="Z280" s="383">
        <f t="shared" si="114"/>
        <v>27.685295206269874</v>
      </c>
      <c r="AA280" s="384">
        <f t="shared" si="115"/>
        <v>30.260179586550564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8.5091510211166219E-2</v>
      </c>
      <c r="AD280" s="230">
        <f>(INDEX(Models!$BJ280:$BT280,,AH280)*(1-AF280)+INDEX(Models!$BJ280:$BT280,,AH280+1)*AF280-ERP_i)*AE280*Ramure*Pc/MaxiM</f>
        <v>4.9729149268897335E-3</v>
      </c>
      <c r="AE280" s="304">
        <f t="shared" si="117"/>
        <v>0.6</v>
      </c>
      <c r="AF280" s="177">
        <f t="shared" si="118"/>
        <v>0.49267140050377733</v>
      </c>
      <c r="AG280" s="799">
        <f t="shared" si="124"/>
        <v>3</v>
      </c>
      <c r="AH280" s="176">
        <f t="shared" si="119"/>
        <v>9</v>
      </c>
      <c r="AI280" s="224">
        <f t="shared" si="120"/>
        <v>3.4926714005037773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'2027'!Wh/'2027'!Env_an*'2028'!Env_an</f>
        <v>16.275469519659278</v>
      </c>
      <c r="C281" s="829"/>
      <c r="D281" s="391">
        <f t="shared" si="102"/>
        <v>17.417311917875129</v>
      </c>
      <c r="E281" s="383">
        <f t="shared" si="100"/>
        <v>18.370777766571226</v>
      </c>
      <c r="F281" s="383">
        <f t="shared" si="103"/>
        <v>18.372104067940818</v>
      </c>
      <c r="G281" s="110">
        <f t="shared" si="101"/>
        <v>0.3853923061095178</v>
      </c>
      <c r="H281" s="412" t="b">
        <f>Wh_hp&gt;='2027'!Maxi_hp</f>
        <v>0</v>
      </c>
      <c r="I281" s="388">
        <f>IF(H281,Wh_hp,'2027'!Maxi_hp)</f>
        <v>40.4343470381435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6.5557900300562189E-2</v>
      </c>
      <c r="M281" s="832"/>
      <c r="N281" s="832"/>
      <c r="O281" s="48">
        <f>IF(t&lt;Tnet,'2027'!Resal+('2027'!Salim-'2027'!Resal)*(1-EXP(('2027'!Tnet-t)/('2027'!Tau_j))),Resal+(Salim-Resal)*(1-EXP((Tnet-t)/(Tau_j))))*Salcycl</f>
        <v>5.1901223824670772E-2</v>
      </c>
      <c r="P281" s="169">
        <f>(INDEX(Models!$BJ281:$BT281,,T281)*(1-R281)+INDEX(Models!$BJ281:$BT281,,T281+1)*R281-ERP_i)*Q281*Ramure*Pc/MaxiM</f>
        <v>5.9040154377918981E-4</v>
      </c>
      <c r="Q281" s="304">
        <f t="shared" si="105"/>
        <v>0.6</v>
      </c>
      <c r="R281" s="177">
        <f t="shared" si="106"/>
        <v>0.96794644392193474</v>
      </c>
      <c r="S281" s="799">
        <f t="shared" si="107"/>
        <v>-1</v>
      </c>
      <c r="T281" s="176">
        <f t="shared" si="108"/>
        <v>5</v>
      </c>
      <c r="U281" s="250">
        <f t="shared" si="109"/>
        <v>-3.205355607806526E-2</v>
      </c>
      <c r="V281" s="382">
        <f t="shared" si="110"/>
        <v>42.209028394375217</v>
      </c>
      <c r="W281" s="400">
        <f t="shared" si="111"/>
        <v>16.275469519659278</v>
      </c>
      <c r="X281" s="157">
        <f t="shared" si="112"/>
        <v>47019</v>
      </c>
      <c r="Y281" s="383">
        <f t="shared" si="113"/>
        <v>15.696843507517778</v>
      </c>
      <c r="Z281" s="383">
        <f t="shared" si="114"/>
        <v>16.798091088326018</v>
      </c>
      <c r="AA281" s="384">
        <f t="shared" si="115"/>
        <v>18.360541082539399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8.5098254304675547E-2</v>
      </c>
      <c r="AD281" s="230">
        <f>(INDEX(Models!$BJ281:$BT281,,AH281)*(1-AF281)+INDEX(Models!$BJ281:$BT281,,AH281+1)*AF281-ERP_i)*AE281*Ramure*Pc/MaxiM</f>
        <v>5.1472497791369212E-3</v>
      </c>
      <c r="AE281" s="304">
        <f t="shared" si="117"/>
        <v>0.6</v>
      </c>
      <c r="AF281" s="177">
        <f t="shared" si="118"/>
        <v>0.49293401029591344</v>
      </c>
      <c r="AG281" s="799">
        <f t="shared" si="124"/>
        <v>3</v>
      </c>
      <c r="AH281" s="176">
        <f t="shared" si="119"/>
        <v>9</v>
      </c>
      <c r="AI281" s="224">
        <f t="shared" si="120"/>
        <v>3.4929340102959134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'2027'!Wh/'2027'!Env_an*'2028'!Env_an</f>
        <v>34.276203640192286</v>
      </c>
      <c r="C282" s="829"/>
      <c r="D282" s="391">
        <f t="shared" si="102"/>
        <v>36.681631274350757</v>
      </c>
      <c r="E282" s="383">
        <f t="shared" si="100"/>
        <v>38.691691862301177</v>
      </c>
      <c r="F282" s="383">
        <f t="shared" si="103"/>
        <v>38.709115188086791</v>
      </c>
      <c r="G282" s="110">
        <f t="shared" si="101"/>
        <v>0.81745701984060615</v>
      </c>
      <c r="H282" s="412" t="b">
        <f>Wh_hp&gt;='2027'!Maxi_hp</f>
        <v>0</v>
      </c>
      <c r="I282" s="388">
        <f>IF(H282,Wh_hp,'2027'!Maxi_hp)</f>
        <v>38.713944409579916</v>
      </c>
      <c r="J282" s="85">
        <f>IF(H282,An,'2027'!An_max)</f>
        <v>2026</v>
      </c>
      <c r="K282" s="197">
        <f t="shared" si="104"/>
        <v>47020</v>
      </c>
      <c r="L282" s="147">
        <f>IF(t&lt;Tvie,1-EXP((T0-t)*PertePVj)+'2027'!Pspv,1-EXP((T0-t)*PertePVj)+Pspv)</f>
        <v>6.5575808670222391E-2</v>
      </c>
      <c r="M282" s="832"/>
      <c r="N282" s="832"/>
      <c r="O282" s="48">
        <f>IF(t&lt;Tnet,'2027'!Resal+('2027'!Salim-'2027'!Resal)*(1-EXP(('2027'!Tnet-t)/('2027'!Tau_j))),Resal+(Salim-Resal)*(1-EXP((Tnet-t)/(Tau_j))))*Salcycl</f>
        <v>5.1950702882261474E-2</v>
      </c>
      <c r="P282" s="169">
        <f>(INDEX(Models!$BJ282:$BT282,,T282)*(1-R282)+INDEX(Models!$BJ282:$BT282,,T282+1)*R282-ERP_i)*Q282*Ramure*Pc/MaxiM</f>
        <v>6.0874118161641168E-4</v>
      </c>
      <c r="Q282" s="304">
        <f t="shared" si="105"/>
        <v>0.6</v>
      </c>
      <c r="R282" s="177">
        <f t="shared" si="106"/>
        <v>0.96819874284915297</v>
      </c>
      <c r="S282" s="799">
        <f t="shared" si="107"/>
        <v>-1</v>
      </c>
      <c r="T282" s="176">
        <f t="shared" si="108"/>
        <v>5</v>
      </c>
      <c r="U282" s="250">
        <f t="shared" si="109"/>
        <v>-3.1801257150846973E-2</v>
      </c>
      <c r="V282" s="382">
        <f t="shared" si="110"/>
        <v>41.923627854532533</v>
      </c>
      <c r="W282" s="400">
        <f t="shared" si="111"/>
        <v>34.276203640192286</v>
      </c>
      <c r="X282" s="157">
        <f t="shared" si="112"/>
        <v>47020</v>
      </c>
      <c r="Y282" s="383">
        <f t="shared" si="113"/>
        <v>32.961930570503895</v>
      </c>
      <c r="Z282" s="383">
        <f t="shared" si="114"/>
        <v>35.275125447678988</v>
      </c>
      <c r="AA282" s="384">
        <f t="shared" si="115"/>
        <v>38.556431614925074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8.5103989913213413E-2</v>
      </c>
      <c r="AD282" s="230">
        <f>(INDEX(Models!$BJ282:$BT282,,AH282)*(1-AF282)+INDEX(Models!$BJ282:$BT282,,AH282+1)*AF282-ERP_i)*AE282*Ramure*Pc/MaxiM</f>
        <v>5.3345027168480129E-3</v>
      </c>
      <c r="AE282" s="304">
        <f t="shared" si="117"/>
        <v>0.6</v>
      </c>
      <c r="AF282" s="177">
        <f t="shared" si="118"/>
        <v>0.49318630922313167</v>
      </c>
      <c r="AG282" s="799">
        <f t="shared" si="124"/>
        <v>3</v>
      </c>
      <c r="AH282" s="176">
        <f t="shared" si="119"/>
        <v>9</v>
      </c>
      <c r="AI282" s="224">
        <f t="shared" si="120"/>
        <v>3.4931863092231317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'2027'!Wh/'2027'!Env_an*'2028'!Env_an</f>
        <v>31.384749638579052</v>
      </c>
      <c r="C283" s="829"/>
      <c r="D283" s="391">
        <f t="shared" si="102"/>
        <v>33.587905175067114</v>
      </c>
      <c r="E283" s="383">
        <f t="shared" si="100"/>
        <v>35.4302600777173</v>
      </c>
      <c r="F283" s="383">
        <f t="shared" si="103"/>
        <v>35.444692247542896</v>
      </c>
      <c r="G283" s="110">
        <f t="shared" si="101"/>
        <v>0.75363274650184597</v>
      </c>
      <c r="H283" s="412" t="b">
        <f>Wh_hp&gt;='2027'!Maxi_hp</f>
        <v>0</v>
      </c>
      <c r="I283" s="388">
        <f>IF(H283,Wh_hp,'2027'!Maxi_hp)</f>
        <v>39.693686966189702</v>
      </c>
      <c r="J283" s="85">
        <f>IF(H283,An,'2027'!An_max)</f>
        <v>2021</v>
      </c>
      <c r="K283" s="197">
        <f t="shared" si="104"/>
        <v>47021</v>
      </c>
      <c r="L283" s="147">
        <f>IF(t&lt;Tvie,1-EXP((T0-t)*PertePVj)+'2027'!Pspv,1-EXP((T0-t)*PertePVj)+Pspv)</f>
        <v>6.5593716696672799E-2</v>
      </c>
      <c r="M283" s="832"/>
      <c r="N283" s="832"/>
      <c r="O283" s="48">
        <f>IF(t&lt;Tnet,'2027'!Resal+('2027'!Salim-'2027'!Resal)*(1-EXP(('2027'!Tnet-t)/('2027'!Tau_j))),Resal+(Salim-Resal)*(1-EXP((Tnet-t)/(Tau_j))))*Salcycl</f>
        <v>5.199947442126937E-2</v>
      </c>
      <c r="P283" s="169">
        <f>(INDEX(Models!$BJ283:$BT283,,T283)*(1-R283)+INDEX(Models!$BJ283:$BT283,,T283+1)*R283-ERP_i)*Q283*Ramure*Pc/MaxiM</f>
        <v>6.2807948471373435E-4</v>
      </c>
      <c r="Q283" s="304">
        <f t="shared" si="105"/>
        <v>0.6</v>
      </c>
      <c r="R283" s="177">
        <f t="shared" si="106"/>
        <v>0.96844112570953089</v>
      </c>
      <c r="S283" s="799">
        <f t="shared" si="107"/>
        <v>-1</v>
      </c>
      <c r="T283" s="176">
        <f t="shared" si="108"/>
        <v>5</v>
      </c>
      <c r="U283" s="250">
        <f t="shared" si="109"/>
        <v>-3.1558874290469052E-2</v>
      </c>
      <c r="V283" s="382">
        <f t="shared" si="110"/>
        <v>41.635417128611891</v>
      </c>
      <c r="W283" s="400">
        <f t="shared" si="111"/>
        <v>31.384749638579052</v>
      </c>
      <c r="X283" s="157">
        <f t="shared" si="112"/>
        <v>47021</v>
      </c>
      <c r="Y283" s="383">
        <f t="shared" si="113"/>
        <v>30.192281664451681</v>
      </c>
      <c r="Z283" s="383">
        <f t="shared" si="114"/>
        <v>32.311727996643462</v>
      </c>
      <c r="AA283" s="384">
        <f t="shared" si="115"/>
        <v>35.317559136185793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8.5108688512468625E-2</v>
      </c>
      <c r="AD283" s="230">
        <f>(INDEX(Models!$BJ283:$BT283,,AH283)*(1-AF283)+INDEX(Models!$BJ283:$BT283,,AH283+1)*AF283-ERP_i)*AE283*Ramure*Pc/MaxiM</f>
        <v>5.5327577236260741E-3</v>
      </c>
      <c r="AE283" s="304">
        <f t="shared" si="117"/>
        <v>0.6</v>
      </c>
      <c r="AF283" s="177">
        <f t="shared" si="118"/>
        <v>0.49342869208350937</v>
      </c>
      <c r="AG283" s="799">
        <f t="shared" si="124"/>
        <v>3</v>
      </c>
      <c r="AH283" s="176">
        <f t="shared" si="119"/>
        <v>9</v>
      </c>
      <c r="AI283" s="224">
        <f t="shared" si="120"/>
        <v>3.4934286920835094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'2027'!Wh/'2027'!Env_an*'2028'!Env_an</f>
        <v>16.642979561576823</v>
      </c>
      <c r="C284" s="829"/>
      <c r="D284" s="391">
        <f t="shared" si="102"/>
        <v>17.81162950634118</v>
      </c>
      <c r="E284" s="383">
        <f t="shared" si="100"/>
        <v>18.789580575681786</v>
      </c>
      <c r="F284" s="383">
        <f t="shared" si="103"/>
        <v>18.791365537973711</v>
      </c>
      <c r="G284" s="110">
        <f t="shared" si="101"/>
        <v>0.40232122619458366</v>
      </c>
      <c r="H284" s="412" t="b">
        <f>Wh_hp&gt;='2027'!Maxi_hp</f>
        <v>0</v>
      </c>
      <c r="I284" s="388">
        <f>IF(H284,Wh_hp,'2027'!Maxi_hp)</f>
        <v>37.960845399345402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6.5611624379919964E-2</v>
      </c>
      <c r="M284" s="832"/>
      <c r="N284" s="832"/>
      <c r="O284" s="48">
        <f>IF(t&lt;Tnet,'2027'!Resal+('2027'!Salim-'2027'!Resal)*(1-EXP(('2027'!Tnet-t)/('2027'!Tau_j))),Resal+(Salim-Resal)*(1-EXP((Tnet-t)/(Tau_j))))*Salcycl</f>
        <v>5.2047519922094838E-2</v>
      </c>
      <c r="P284" s="169">
        <f>(INDEX(Models!$BJ284:$BT284,,T284)*(1-R284)+INDEX(Models!$BJ284:$BT284,,T284+1)*R284-ERP_i)*Q284*Ramure*Pc/MaxiM</f>
        <v>6.4842293501493435E-4</v>
      </c>
      <c r="Q284" s="304">
        <f t="shared" si="105"/>
        <v>0.6</v>
      </c>
      <c r="R284" s="177">
        <f t="shared" si="106"/>
        <v>0.96867397296860025</v>
      </c>
      <c r="S284" s="799">
        <f t="shared" si="107"/>
        <v>-1</v>
      </c>
      <c r="T284" s="176">
        <f t="shared" si="108"/>
        <v>5</v>
      </c>
      <c r="U284" s="250">
        <f t="shared" si="109"/>
        <v>-3.1326027031399806E-2</v>
      </c>
      <c r="V284" s="382">
        <f t="shared" si="110"/>
        <v>41.344494907056564</v>
      </c>
      <c r="W284" s="400">
        <f t="shared" si="111"/>
        <v>16.642979561576823</v>
      </c>
      <c r="X284" s="157">
        <f t="shared" si="112"/>
        <v>47022</v>
      </c>
      <c r="Y284" s="383">
        <f t="shared" si="113"/>
        <v>16.050481959692803</v>
      </c>
      <c r="Z284" s="383">
        <f t="shared" si="114"/>
        <v>17.177527437711714</v>
      </c>
      <c r="AA284" s="384">
        <f t="shared" si="115"/>
        <v>18.77555885388173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8.5112322280603267E-2</v>
      </c>
      <c r="AD284" s="230">
        <f>(INDEX(Models!$BJ284:$BT284,,AH284)*(1-AF284)+INDEX(Models!$BJ284:$BT284,,AH284+1)*AF284-ERP_i)*AE284*Ramure*Pc/MaxiM</f>
        <v>5.7420913249154196E-3</v>
      </c>
      <c r="AE284" s="304">
        <f t="shared" si="117"/>
        <v>0.6</v>
      </c>
      <c r="AF284" s="177">
        <f t="shared" si="118"/>
        <v>0.4936615393425785</v>
      </c>
      <c r="AG284" s="799">
        <f t="shared" si="124"/>
        <v>3</v>
      </c>
      <c r="AH284" s="176">
        <f t="shared" si="119"/>
        <v>9</v>
      </c>
      <c r="AI284" s="224">
        <f t="shared" si="120"/>
        <v>3.4936615393425785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'2027'!Wh/'2027'!Env_an*'2028'!Env_an</f>
        <v>18.864499793688921</v>
      </c>
      <c r="C285" s="829"/>
      <c r="D285" s="391">
        <f t="shared" si="102"/>
        <v>20.18952913656862</v>
      </c>
      <c r="E285" s="383">
        <f t="shared" si="100"/>
        <v>21.299102053364702</v>
      </c>
      <c r="F285" s="383">
        <f t="shared" si="103"/>
        <v>21.302353868214087</v>
      </c>
      <c r="G285" s="110">
        <f t="shared" si="101"/>
        <v>0.45930090404281981</v>
      </c>
      <c r="H285" s="412" t="b">
        <f>Wh_hp&gt;='2027'!Maxi_hp</f>
        <v>0</v>
      </c>
      <c r="I285" s="388">
        <f>IF(H285,Wh_hp,'2027'!Maxi_hp)</f>
        <v>38.326040675068562</v>
      </c>
      <c r="J285" s="85">
        <f>IF(H285,An,'2027'!An_max)</f>
        <v>2018</v>
      </c>
      <c r="K285" s="197">
        <f t="shared" si="104"/>
        <v>47023</v>
      </c>
      <c r="L285" s="147">
        <f>IF(t&lt;Tvie,1-EXP((T0-t)*PertePVj)+'2027'!Pspv,1-EXP((T0-t)*PertePVj)+Pspv)</f>
        <v>6.5629531719970546E-2</v>
      </c>
      <c r="M285" s="832"/>
      <c r="N285" s="832"/>
      <c r="O285" s="48">
        <f>IF(t&lt;Tnet,'2027'!Resal+('2027'!Salim-'2027'!Resal)*(1-EXP(('2027'!Tnet-t)/('2027'!Tau_j))),Resal+(Salim-Resal)*(1-EXP((Tnet-t)/(Tau_j))))*Salcycl</f>
        <v>5.209482136927928E-2</v>
      </c>
      <c r="P285" s="169">
        <f>(INDEX(Models!$BJ285:$BT285,,T285)*(1-R285)+INDEX(Models!$BJ285:$BT285,,T285+1)*R285-ERP_i)*Q285*Ramure*Pc/MaxiM</f>
        <v>6.6977746689607419E-4</v>
      </c>
      <c r="Q285" s="304">
        <f t="shared" si="105"/>
        <v>0.6</v>
      </c>
      <c r="R285" s="177">
        <f t="shared" si="106"/>
        <v>0.96889765121788685</v>
      </c>
      <c r="S285" s="799">
        <f t="shared" si="107"/>
        <v>-1</v>
      </c>
      <c r="T285" s="176">
        <f t="shared" si="108"/>
        <v>5</v>
      </c>
      <c r="U285" s="250">
        <f t="shared" si="109"/>
        <v>-3.1102348782113154E-2</v>
      </c>
      <c r="V285" s="382">
        <f t="shared" si="110"/>
        <v>41.050959831944184</v>
      </c>
      <c r="W285" s="400">
        <f t="shared" si="111"/>
        <v>18.864499793688921</v>
      </c>
      <c r="X285" s="157">
        <f t="shared" si="112"/>
        <v>47023</v>
      </c>
      <c r="Y285" s="383">
        <f t="shared" si="113"/>
        <v>18.185392829148725</v>
      </c>
      <c r="Z285" s="383">
        <f t="shared" si="114"/>
        <v>19.46272217124331</v>
      </c>
      <c r="AA285" s="384">
        <f t="shared" si="115"/>
        <v>21.273405165264574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8.5114864308501223E-2</v>
      </c>
      <c r="AD285" s="230">
        <f>(INDEX(Models!$BJ285:$BT285,,AH285)*(1-AF285)+INDEX(Models!$BJ285:$BT285,,AH285+1)*AF285-ERP_i)*AE285*Ramure*Pc/MaxiM</f>
        <v>5.9625746942850626E-3</v>
      </c>
      <c r="AE285" s="304">
        <f t="shared" si="117"/>
        <v>0.6</v>
      </c>
      <c r="AF285" s="177">
        <f t="shared" si="118"/>
        <v>0.4938852175918651</v>
      </c>
      <c r="AG285" s="799">
        <f t="shared" si="124"/>
        <v>3</v>
      </c>
      <c r="AH285" s="176">
        <f t="shared" si="119"/>
        <v>9</v>
      </c>
      <c r="AI285" s="224">
        <f t="shared" si="120"/>
        <v>3.4938852175918651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'2027'!Wh/'2027'!Env_an*'2028'!Env_an</f>
        <v>22.667276403102615</v>
      </c>
      <c r="C286" s="829"/>
      <c r="D286" s="391">
        <f t="shared" si="102"/>
        <v>24.259875064689815</v>
      </c>
      <c r="E286" s="383">
        <f t="shared" si="100"/>
        <v>25.594402030478662</v>
      </c>
      <c r="F286" s="383">
        <f t="shared" si="103"/>
        <v>25.600887033349803</v>
      </c>
      <c r="G286" s="110">
        <f t="shared" si="101"/>
        <v>0.55594102334375717</v>
      </c>
      <c r="H286" s="412" t="b">
        <f>Wh_hp&gt;='2027'!Maxi_hp</f>
        <v>0</v>
      </c>
      <c r="I286" s="388">
        <f>IF(H286,Wh_hp,'2027'!Maxi_hp)</f>
        <v>44.025423023353014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6.5647438716830986E-2</v>
      </c>
      <c r="M286" s="832"/>
      <c r="N286" s="832"/>
      <c r="O286" s="48">
        <f>IF(t&lt;Tnet,'2027'!Resal+('2027'!Salim-'2027'!Resal)*(1-EXP(('2027'!Tnet-t)/('2027'!Tau_j))),Resal+(Salim-Resal)*(1-EXP((Tnet-t)/(Tau_j))))*Salcycl</f>
        <v>5.2141361388308577E-2</v>
      </c>
      <c r="P286" s="169">
        <f>(INDEX(Models!$BJ286:$BT286,,T286)*(1-R286)+INDEX(Models!$BJ286:$BT286,,T286+1)*R286-ERP_i)*Q286*Ramure*Pc/MaxiM</f>
        <v>6.9214841892890314E-4</v>
      </c>
      <c r="Q286" s="304">
        <f t="shared" si="105"/>
        <v>0.6</v>
      </c>
      <c r="R286" s="177">
        <f t="shared" si="106"/>
        <v>0.96911251362379702</v>
      </c>
      <c r="S286" s="799">
        <f t="shared" si="107"/>
        <v>-1</v>
      </c>
      <c r="T286" s="176">
        <f t="shared" si="108"/>
        <v>5</v>
      </c>
      <c r="U286" s="250">
        <f t="shared" si="109"/>
        <v>-3.0887486376202922E-2</v>
      </c>
      <c r="V286" s="382">
        <f t="shared" si="110"/>
        <v>40.754910497600683</v>
      </c>
      <c r="W286" s="400">
        <f t="shared" si="111"/>
        <v>22.667276403102615</v>
      </c>
      <c r="X286" s="157">
        <f t="shared" si="112"/>
        <v>47024</v>
      </c>
      <c r="Y286" s="383">
        <f t="shared" si="113"/>
        <v>21.834640092997375</v>
      </c>
      <c r="Z286" s="383">
        <f t="shared" si="114"/>
        <v>23.368737880925092</v>
      </c>
      <c r="AA286" s="384">
        <f t="shared" si="115"/>
        <v>25.542850523320958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8.5116288818699815E-2</v>
      </c>
      <c r="AD286" s="230">
        <f>(INDEX(Models!$BJ286:$BT286,,AH286)*(1-AF286)+INDEX(Models!$BJ286:$BT286,,AH286+1)*AF286-ERP_i)*AE286*Ramure*Pc/MaxiM</f>
        <v>6.1942730720100378E-3</v>
      </c>
      <c r="AE286" s="304">
        <f t="shared" si="117"/>
        <v>0.6</v>
      </c>
      <c r="AF286" s="177">
        <f t="shared" si="118"/>
        <v>0.4941000799977755</v>
      </c>
      <c r="AG286" s="799">
        <f t="shared" si="124"/>
        <v>3</v>
      </c>
      <c r="AH286" s="176">
        <f t="shared" si="119"/>
        <v>9</v>
      </c>
      <c r="AI286" s="224">
        <f t="shared" si="120"/>
        <v>3.4941000799977755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'2027'!Wh/'2027'!Env_an*'2028'!Env_an</f>
        <v>26.900131074404293</v>
      </c>
      <c r="C287" s="829"/>
      <c r="D287" s="391">
        <f t="shared" si="102"/>
        <v>28.790681091745938</v>
      </c>
      <c r="E287" s="383">
        <f t="shared" si="100"/>
        <v>30.375912590092565</v>
      </c>
      <c r="F287" s="383">
        <f t="shared" si="103"/>
        <v>30.387247556644752</v>
      </c>
      <c r="G287" s="110">
        <f t="shared" si="101"/>
        <v>0.66468799772521681</v>
      </c>
      <c r="H287" s="412" t="b">
        <f>Wh_hp&gt;='2027'!Maxi_hp</f>
        <v>0</v>
      </c>
      <c r="I287" s="388">
        <f>IF(H287,Wh_hp,'2027'!Maxi_hp)</f>
        <v>36.159220038545989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6.5665345370507833E-2</v>
      </c>
      <c r="M287" s="832"/>
      <c r="N287" s="832"/>
      <c r="O287" s="48">
        <f>IF(t&lt;Tnet,'2027'!Resal+('2027'!Salim-'2027'!Resal)*(1-EXP(('2027'!Tnet-t)/('2027'!Tau_j))),Resal+(Salim-Resal)*(1-EXP((Tnet-t)/(Tau_j))))*Salcycl</f>
        <v>5.2187123387485178E-2</v>
      </c>
      <c r="P287" s="169">
        <f>(INDEX(Models!$BJ287:$BT287,,T287)*(1-R287)+INDEX(Models!$BJ287:$BT287,,T287+1)*R287-ERP_i)*Q287*Ramure*Pc/MaxiM</f>
        <v>7.1554048890672215E-4</v>
      </c>
      <c r="Q287" s="304">
        <f t="shared" si="105"/>
        <v>0.6</v>
      </c>
      <c r="R287" s="177">
        <f t="shared" si="106"/>
        <v>0.96931890036660606</v>
      </c>
      <c r="S287" s="799">
        <f t="shared" si="107"/>
        <v>-1</v>
      </c>
      <c r="T287" s="176">
        <f t="shared" si="108"/>
        <v>5</v>
      </c>
      <c r="U287" s="250">
        <f t="shared" si="109"/>
        <v>-3.0681099633393938E-2</v>
      </c>
      <c r="V287" s="382">
        <f t="shared" si="110"/>
        <v>40.456445441052203</v>
      </c>
      <c r="W287" s="400">
        <f t="shared" si="111"/>
        <v>26.900131074404293</v>
      </c>
      <c r="X287" s="157">
        <f t="shared" si="112"/>
        <v>47025</v>
      </c>
      <c r="Y287" s="383">
        <f t="shared" si="113"/>
        <v>25.88807336225975</v>
      </c>
      <c r="Z287" s="383">
        <f t="shared" si="114"/>
        <v>27.707495632307026</v>
      </c>
      <c r="AA287" s="384">
        <f t="shared" si="115"/>
        <v>30.285274348501293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8.5116571391463419E-2</v>
      </c>
      <c r="AD287" s="230">
        <f>(INDEX(Models!$BJ287:$BT287,,AH287)*(1-AF287)+INDEX(Models!$BJ287:$BT287,,AH287+1)*AF287-ERP_i)*AE287*Ramure*Pc/MaxiM</f>
        <v>6.4372452158922011E-3</v>
      </c>
      <c r="AE287" s="304">
        <f t="shared" si="117"/>
        <v>0.6</v>
      </c>
      <c r="AF287" s="177">
        <f t="shared" si="118"/>
        <v>0.49430646674058476</v>
      </c>
      <c r="AG287" s="799">
        <f t="shared" si="124"/>
        <v>3</v>
      </c>
      <c r="AH287" s="176">
        <f t="shared" si="119"/>
        <v>9</v>
      </c>
      <c r="AI287" s="224">
        <f t="shared" si="120"/>
        <v>3.4943064667405848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'2027'!Wh/'2027'!Env_an*'2028'!Env_an</f>
        <v>35.15056292440525</v>
      </c>
      <c r="C288" s="829"/>
      <c r="D288" s="391">
        <f t="shared" si="102"/>
        <v>37.621677003700924</v>
      </c>
      <c r="E288" s="383">
        <f t="shared" si="100"/>
        <v>39.69503153080575</v>
      </c>
      <c r="F288" s="383">
        <f t="shared" si="103"/>
        <v>39.719188755331629</v>
      </c>
      <c r="G288" s="110">
        <f t="shared" si="101"/>
        <v>0.87524214547733181</v>
      </c>
      <c r="H288" s="412" t="b">
        <f>Wh_hp&gt;='2027'!Maxi_hp</f>
        <v>0</v>
      </c>
      <c r="I288" s="388">
        <f>IF(H288,Wh_hp,'2027'!Maxi_hp)</f>
        <v>44.503895100671492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6.5683251681007859E-2</v>
      </c>
      <c r="M288" s="832"/>
      <c r="N288" s="832"/>
      <c r="O288" s="48">
        <f>IF(t&lt;Tnet,'2027'!Resal+('2027'!Salim-'2027'!Resal)*(1-EXP(('2027'!Tnet-t)/('2027'!Tau_j))),Resal+(Salim-Resal)*(1-EXP((Tnet-t)/(Tau_j))))*Salcycl</f>
        <v>5.2232091703864204E-2</v>
      </c>
      <c r="P288" s="169">
        <f>(INDEX(Models!$BJ288:$BT288,,T288)*(1-R288)+INDEX(Models!$BJ288:$BT288,,T288+1)*R288-ERP_i)*Q288*Ramure*Pc/MaxiM</f>
        <v>7.3995769252489145E-4</v>
      </c>
      <c r="Q288" s="304">
        <f t="shared" si="105"/>
        <v>0.6</v>
      </c>
      <c r="R288" s="177">
        <f t="shared" si="106"/>
        <v>0.96951713906935433</v>
      </c>
      <c r="S288" s="799">
        <f t="shared" si="107"/>
        <v>-1</v>
      </c>
      <c r="T288" s="176">
        <f t="shared" si="108"/>
        <v>5</v>
      </c>
      <c r="U288" s="250">
        <f t="shared" si="109"/>
        <v>-3.0482860930645672E-2</v>
      </c>
      <c r="V288" s="382">
        <f t="shared" si="110"/>
        <v>40.155663141654706</v>
      </c>
      <c r="W288" s="400">
        <f t="shared" si="111"/>
        <v>35.15056292440525</v>
      </c>
      <c r="X288" s="157">
        <f t="shared" si="112"/>
        <v>47026</v>
      </c>
      <c r="Y288" s="383">
        <f t="shared" si="113"/>
        <v>33.76489881337389</v>
      </c>
      <c r="Z288" s="383">
        <f t="shared" si="114"/>
        <v>36.138599542524695</v>
      </c>
      <c r="AA288" s="384">
        <f t="shared" si="115"/>
        <v>39.500731530502428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8.5115689196325367E-2</v>
      </c>
      <c r="AD288" s="230">
        <f>(INDEX(Models!$BJ288:$BT288,,AH288)*(1-AF288)+INDEX(Models!$BJ288:$BT288,,AH288+1)*AF288-ERP_i)*AE288*Ramure*Pc/MaxiM</f>
        <v>6.691542889243951E-3</v>
      </c>
      <c r="AE288" s="304">
        <f t="shared" si="117"/>
        <v>0.6</v>
      </c>
      <c r="AF288" s="177">
        <f t="shared" si="118"/>
        <v>0.49450470544333269</v>
      </c>
      <c r="AG288" s="799">
        <f t="shared" si="124"/>
        <v>3</v>
      </c>
      <c r="AH288" s="176">
        <f t="shared" si="119"/>
        <v>9</v>
      </c>
      <c r="AI288" s="224">
        <f t="shared" si="120"/>
        <v>3.4945047054433327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'2027'!Wh/'2027'!Env_an*'2028'!Env_an</f>
        <v>37.483307770924661</v>
      </c>
      <c r="C289" s="829"/>
      <c r="D289" s="391">
        <f t="shared" si="102"/>
        <v>40.119184646079489</v>
      </c>
      <c r="E289" s="383">
        <f t="shared" si="100"/>
        <v>42.332150819532075</v>
      </c>
      <c r="F289" s="383">
        <f t="shared" si="103"/>
        <v>42.361823622253439</v>
      </c>
      <c r="G289" s="110">
        <f t="shared" si="101"/>
        <v>0.94052155441924246</v>
      </c>
      <c r="H289" s="412" t="b">
        <f>Wh_hp&gt;='2027'!Maxi_hp</f>
        <v>0</v>
      </c>
      <c r="I289" s="388">
        <f>IF(H289,Wh_hp,'2027'!Maxi_hp)</f>
        <v>42.364014921604813</v>
      </c>
      <c r="J289" s="85">
        <f>IF(H289,An,'2027'!An_max)</f>
        <v>2026</v>
      </c>
      <c r="K289" s="197">
        <f t="shared" si="104"/>
        <v>47027</v>
      </c>
      <c r="L289" s="147">
        <f>IF(t&lt;Tvie,1-EXP((T0-t)*PertePVj)+'2027'!Pspv,1-EXP((T0-t)*PertePVj)+Pspv)</f>
        <v>6.5701157648337505E-2</v>
      </c>
      <c r="M289" s="832"/>
      <c r="N289" s="832"/>
      <c r="O289" s="48">
        <f>IF(t&lt;Tnet,'2027'!Resal+('2027'!Salim-'2027'!Resal)*(1-EXP(('2027'!Tnet-t)/('2027'!Tau_j))),Resal+(Salim-Resal)*(1-EXP((Tnet-t)/(Tau_j))))*Salcycl</f>
        <v>5.2276251752167532E-2</v>
      </c>
      <c r="P289" s="169">
        <f>(INDEX(Models!$BJ289:$BT289,,T289)*(1-R289)+INDEX(Models!$BJ289:$BT289,,T289+1)*R289-ERP_i)*Q289*Ramure*Pc/MaxiM</f>
        <v>7.6543223936884465E-4</v>
      </c>
      <c r="Q289" s="304">
        <f t="shared" si="105"/>
        <v>0.6</v>
      </c>
      <c r="R289" s="177">
        <f t="shared" si="106"/>
        <v>0.9697075452165107</v>
      </c>
      <c r="S289" s="799">
        <f t="shared" si="107"/>
        <v>-1</v>
      </c>
      <c r="T289" s="176">
        <f t="shared" si="108"/>
        <v>5</v>
      </c>
      <c r="U289" s="250">
        <f t="shared" si="109"/>
        <v>-3.0292454783489298E-2</v>
      </c>
      <c r="V289" s="382">
        <f t="shared" si="110"/>
        <v>39.851155508857502</v>
      </c>
      <c r="W289" s="400">
        <f t="shared" si="111"/>
        <v>37.483307770924661</v>
      </c>
      <c r="X289" s="157">
        <f t="shared" si="112"/>
        <v>47027</v>
      </c>
      <c r="Y289" s="383">
        <f t="shared" si="113"/>
        <v>35.979379233191253</v>
      </c>
      <c r="Z289" s="383">
        <f t="shared" si="114"/>
        <v>38.509497820451017</v>
      </c>
      <c r="AA289" s="384">
        <f t="shared" si="115"/>
        <v>42.092109702311681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8.5113621227303607E-2</v>
      </c>
      <c r="AD289" s="230">
        <f>(INDEX(Models!$BJ289:$BT289,,AH289)*(1-AF289)+INDEX(Models!$BJ289:$BT289,,AH289+1)*AF289-ERP_i)*AE289*Ramure*Pc/MaxiM</f>
        <v>6.9574732009159979E-3</v>
      </c>
      <c r="AE289" s="304">
        <f t="shared" si="117"/>
        <v>0.6</v>
      </c>
      <c r="AF289" s="177">
        <f t="shared" si="118"/>
        <v>0.49469511159048896</v>
      </c>
      <c r="AG289" s="799">
        <f t="shared" si="124"/>
        <v>3</v>
      </c>
      <c r="AH289" s="176">
        <f t="shared" si="119"/>
        <v>9</v>
      </c>
      <c r="AI289" s="224">
        <f t="shared" si="120"/>
        <v>3.494695111590489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'2027'!Wh/'2027'!Env_an*'2028'!Env_an</f>
        <v>36.186720955931733</v>
      </c>
      <c r="C290" s="829"/>
      <c r="D290" s="391">
        <f t="shared" si="102"/>
        <v>38.732162386490366</v>
      </c>
      <c r="E290" s="383">
        <f t="shared" si="100"/>
        <v>40.870489655541014</v>
      </c>
      <c r="F290" s="383">
        <f t="shared" si="103"/>
        <v>40.899003357673031</v>
      </c>
      <c r="G290" s="110">
        <f t="shared" si="101"/>
        <v>0.91506334751316132</v>
      </c>
      <c r="H290" s="412" t="b">
        <f>Wh_hp&gt;='2027'!Maxi_hp</f>
        <v>0</v>
      </c>
      <c r="I290" s="388">
        <f>IF(H290,Wh_hp,'2027'!Maxi_hp)</f>
        <v>40.902141338670724</v>
      </c>
      <c r="J290" s="85">
        <f>IF(H290,An,'2027'!An_max)</f>
        <v>2026</v>
      </c>
      <c r="K290" s="197">
        <f t="shared" si="104"/>
        <v>47028</v>
      </c>
      <c r="L290" s="147">
        <f>IF(t&lt;Tvie,1-EXP((T0-t)*PertePVj)+'2027'!Pspv,1-EXP((T0-t)*PertePVj)+Pspv)</f>
        <v>6.571906327250332E-2</v>
      </c>
      <c r="M290" s="832"/>
      <c r="N290" s="832"/>
      <c r="O290" s="48">
        <f>IF(t&lt;Tnet,'2027'!Resal+('2027'!Salim-'2027'!Resal)*(1-EXP(('2027'!Tnet-t)/('2027'!Tau_j))),Resal+(Salim-Resal)*(1-EXP((Tnet-t)/(Tau_j))))*Salcycl</f>
        <v>5.2319590175517905E-2</v>
      </c>
      <c r="P290" s="169">
        <f>(INDEX(Models!$BJ290:$BT290,,T290)*(1-R290)+INDEX(Models!$BJ290:$BT290,,T290+1)*R290-ERP_i)*Q290*Ramure*Pc/MaxiM</f>
        <v>7.9333551815478258E-4</v>
      </c>
      <c r="Q290" s="304">
        <f t="shared" si="105"/>
        <v>0.6</v>
      </c>
      <c r="R290" s="177">
        <f t="shared" si="106"/>
        <v>0.96989042256229885</v>
      </c>
      <c r="S290" s="799">
        <f t="shared" si="107"/>
        <v>-1</v>
      </c>
      <c r="T290" s="176">
        <f t="shared" si="108"/>
        <v>5</v>
      </c>
      <c r="U290" s="250">
        <f t="shared" si="109"/>
        <v>-3.0109577437701207E-2</v>
      </c>
      <c r="V290" s="382">
        <f t="shared" si="110"/>
        <v>39.541785647038381</v>
      </c>
      <c r="W290" s="400">
        <f t="shared" si="111"/>
        <v>36.186720955931733</v>
      </c>
      <c r="X290" s="157">
        <f t="shared" si="112"/>
        <v>47028</v>
      </c>
      <c r="Y290" s="383">
        <f t="shared" si="113"/>
        <v>34.736584901060418</v>
      </c>
      <c r="Z290" s="383">
        <f t="shared" si="114"/>
        <v>37.180021057405028</v>
      </c>
      <c r="AA290" s="384">
        <f t="shared" si="115"/>
        <v>40.638803814282895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8.5110348539890954E-2</v>
      </c>
      <c r="AD290" s="230">
        <f>(INDEX(Models!$BJ290:$BT290,,AH290)*(1-AF290)+INDEX(Models!$BJ290:$BT290,,AH290+1)*AF290-ERP_i)*AE290*Ramure*Pc/MaxiM</f>
        <v>7.2395207968194413E-3</v>
      </c>
      <c r="AE290" s="304">
        <f t="shared" si="117"/>
        <v>0.6</v>
      </c>
      <c r="AF290" s="177">
        <f t="shared" si="118"/>
        <v>0.4948779889362771</v>
      </c>
      <c r="AG290" s="799">
        <f t="shared" si="124"/>
        <v>3</v>
      </c>
      <c r="AH290" s="176">
        <f t="shared" si="119"/>
        <v>9</v>
      </c>
      <c r="AI290" s="224">
        <f t="shared" si="120"/>
        <v>3.4948779889362771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'2027'!Wh/'2027'!Env_an*'2028'!Env_an</f>
        <v>39.86412588095537</v>
      </c>
      <c r="C291" s="829"/>
      <c r="D291" s="391">
        <f t="shared" si="102"/>
        <v>42.669060574124487</v>
      </c>
      <c r="E291" s="383">
        <f t="shared" si="100"/>
        <v>45.026755840860083</v>
      </c>
      <c r="F291" s="383">
        <f t="shared" si="103"/>
        <v>45.063870180118194</v>
      </c>
      <c r="G291" s="110">
        <f t="shared" si="101"/>
        <v>1.0162124309112455</v>
      </c>
      <c r="H291" s="412" t="b">
        <f>Wh_hp&gt;='2027'!Maxi_hp</f>
        <v>1</v>
      </c>
      <c r="I291" s="388">
        <f>IF(H291,Wh_hp,'2027'!Maxi_hp)</f>
        <v>45.063870180118194</v>
      </c>
      <c r="J291" s="85">
        <f>IF(H291,An,'2027'!An_max)</f>
        <v>2028</v>
      </c>
      <c r="K291" s="197">
        <f t="shared" si="104"/>
        <v>47029</v>
      </c>
      <c r="L291" s="147">
        <f>IF(t&lt;Tvie,1-EXP((T0-t)*PertePVj)+'2027'!Pspv,1-EXP((T0-t)*PertePVj)+Pspv)</f>
        <v>6.5736968553511965E-2</v>
      </c>
      <c r="M291" s="832"/>
      <c r="N291" s="832"/>
      <c r="O291" s="48">
        <f>IF(t&lt;Tnet,'2027'!Resal+('2027'!Salim-'2027'!Resal)*(1-EXP(('2027'!Tnet-t)/('2027'!Tau_j))),Resal+(Salim-Resal)*(1-EXP((Tnet-t)/(Tau_j))))*Salcycl</f>
        <v>5.2362094996772524E-2</v>
      </c>
      <c r="P291" s="169">
        <f>(INDEX(Models!$BJ291:$BT291,,T291)*(1-R291)+INDEX(Models!$BJ291:$BT291,,T291+1)*R291-ERP_i)*Q291*Ramure*Pc/MaxiM</f>
        <v>8.2359413671672602E-4</v>
      </c>
      <c r="Q291" s="304">
        <f t="shared" si="105"/>
        <v>0.6</v>
      </c>
      <c r="R291" s="177">
        <f t="shared" si="106"/>
        <v>0.97006606352862923</v>
      </c>
      <c r="S291" s="799">
        <f t="shared" si="107"/>
        <v>-1</v>
      </c>
      <c r="T291" s="176">
        <f t="shared" si="108"/>
        <v>5</v>
      </c>
      <c r="U291" s="250">
        <f t="shared" si="109"/>
        <v>-2.993393647137077E-2</v>
      </c>
      <c r="V291" s="382">
        <f t="shared" si="110"/>
        <v>39.22814233359545</v>
      </c>
      <c r="W291" s="400">
        <f t="shared" si="111"/>
        <v>39.86412588095537</v>
      </c>
      <c r="X291" s="157">
        <f t="shared" si="112"/>
        <v>47029</v>
      </c>
      <c r="Y291" s="383">
        <f t="shared" si="113"/>
        <v>38.22819367285615</v>
      </c>
      <c r="Z291" s="383">
        <f t="shared" si="114"/>
        <v>40.918020285645603</v>
      </c>
      <c r="AA291" s="384">
        <f t="shared" si="115"/>
        <v>44.724321918946487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8.5105854487833629E-2</v>
      </c>
      <c r="AD291" s="230">
        <f>(INDEX(Models!$BJ291:$BT291,,AH291)*(1-AF291)+INDEX(Models!$BJ291:$BT291,,AH291+1)*AF291-ERP_i)*AE291*Ramure*Pc/MaxiM</f>
        <v>7.5348224600894458E-3</v>
      </c>
      <c r="AE291" s="304">
        <f t="shared" si="117"/>
        <v>0.6</v>
      </c>
      <c r="AF291" s="177">
        <f t="shared" si="118"/>
        <v>0.49505362990260782</v>
      </c>
      <c r="AG291" s="799">
        <f t="shared" si="124"/>
        <v>3</v>
      </c>
      <c r="AH291" s="176">
        <f t="shared" si="119"/>
        <v>9</v>
      </c>
      <c r="AI291" s="224">
        <f t="shared" si="120"/>
        <v>3.4950536299026078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'2027'!Wh/'2027'!Env_an*'2028'!Env_an</f>
        <v>40.64504455126044</v>
      </c>
      <c r="C292" s="829"/>
      <c r="D292" s="391">
        <f t="shared" si="102"/>
        <v>43.505760317054204</v>
      </c>
      <c r="E292" s="383">
        <f t="shared" si="100"/>
        <v>45.911706153256048</v>
      </c>
      <c r="F292" s="383">
        <f t="shared" si="103"/>
        <v>45.951050325579978</v>
      </c>
      <c r="G292" s="110">
        <f t="shared" si="101"/>
        <v>1.0445694605831346</v>
      </c>
      <c r="H292" s="412" t="b">
        <f>Wh_hp&gt;='2027'!Maxi_hp</f>
        <v>1</v>
      </c>
      <c r="I292" s="388">
        <f>IF(H292,Wh_hp,'2027'!Maxi_hp)</f>
        <v>45.951050325579978</v>
      </c>
      <c r="J292" s="85">
        <f>IF(H292,An,'2027'!An_max)</f>
        <v>2028</v>
      </c>
      <c r="K292" s="197">
        <f t="shared" si="104"/>
        <v>47030</v>
      </c>
      <c r="L292" s="147">
        <f>IF(t&lt;Tvie,1-EXP((T0-t)*PertePVj)+'2027'!Pspv,1-EXP((T0-t)*PertePVj)+Pspv)</f>
        <v>6.5754873491369992E-2</v>
      </c>
      <c r="M292" s="832"/>
      <c r="N292" s="832"/>
      <c r="O292" s="48">
        <f>IF(t&lt;Tnet,'2027'!Resal+('2027'!Salim-'2027'!Resal)*(1-EXP(('2027'!Tnet-t)/('2027'!Tau_j))),Resal+(Salim-Resal)*(1-EXP((Tnet-t)/(Tau_j))))*Salcycl</f>
        <v>5.240375576918558E-2</v>
      </c>
      <c r="P292" s="169">
        <f>(INDEX(Models!$BJ292:$BT292,,T292)*(1-R292)+INDEX(Models!$BJ292:$BT292,,T292+1)*R292-ERP_i)*Q292*Ramure*Pc/MaxiM</f>
        <v>8.5621921686579146E-4</v>
      </c>
      <c r="Q292" s="304">
        <f t="shared" si="105"/>
        <v>0.6</v>
      </c>
      <c r="R292" s="177">
        <f t="shared" si="106"/>
        <v>0.97023474959261091</v>
      </c>
      <c r="S292" s="799">
        <f t="shared" si="107"/>
        <v>-1</v>
      </c>
      <c r="T292" s="176">
        <f t="shared" si="108"/>
        <v>5</v>
      </c>
      <c r="U292" s="250">
        <f t="shared" si="109"/>
        <v>-2.9765250407389088E-2</v>
      </c>
      <c r="V292" s="382">
        <f t="shared" si="110"/>
        <v>38.910810707188588</v>
      </c>
      <c r="W292" s="400">
        <f t="shared" si="111"/>
        <v>40.64504455126044</v>
      </c>
      <c r="X292" s="157">
        <f t="shared" si="112"/>
        <v>47030</v>
      </c>
      <c r="Y292" s="383">
        <f t="shared" si="113"/>
        <v>38.968176710904032</v>
      </c>
      <c r="Z292" s="383">
        <f t="shared" si="114"/>
        <v>41.710869669218518</v>
      </c>
      <c r="AA292" s="384">
        <f t="shared" si="115"/>
        <v>45.590638721299833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8.5100124957641785E-2</v>
      </c>
      <c r="AD292" s="230">
        <f>(INDEX(Models!$BJ292:$BT292,,AH292)*(1-AF292)+INDEX(Models!$BJ292:$BT292,,AH292+1)*AF292-ERP_i)*AE292*Ramure*Pc/MaxiM</f>
        <v>7.8433812007885698E-3</v>
      </c>
      <c r="AE292" s="304">
        <f t="shared" si="117"/>
        <v>0.6</v>
      </c>
      <c r="AF292" s="177">
        <f t="shared" si="118"/>
        <v>0.49522231596658939</v>
      </c>
      <c r="AG292" s="799">
        <f t="shared" si="124"/>
        <v>3</v>
      </c>
      <c r="AH292" s="176">
        <f t="shared" si="119"/>
        <v>9</v>
      </c>
      <c r="AI292" s="224">
        <f t="shared" si="120"/>
        <v>3.4952223159665894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'2027'!Wh/'2027'!Env_an*'2028'!Env_an</f>
        <v>11.228512488177111</v>
      </c>
      <c r="C293" s="829"/>
      <c r="D293" s="391">
        <f t="shared" si="102"/>
        <v>12.019038007877443</v>
      </c>
      <c r="E293" s="383">
        <f t="shared" si="100"/>
        <v>12.684258406165039</v>
      </c>
      <c r="F293" s="383">
        <f t="shared" si="103"/>
        <v>12.684258406165039</v>
      </c>
      <c r="G293" s="110">
        <f t="shared" si="101"/>
        <v>0.29070733840842089</v>
      </c>
      <c r="H293" s="412" t="b">
        <f>Wh_hp&gt;='2027'!Maxi_hp</f>
        <v>0</v>
      </c>
      <c r="I293" s="388">
        <f>IF(H293,Wh_hp,'2027'!Maxi_hp)</f>
        <v>29.938480404074163</v>
      </c>
      <c r="J293" s="85">
        <f>IF(H293,An,'2027'!An_max)</f>
        <v>2020</v>
      </c>
      <c r="K293" s="197">
        <f t="shared" si="104"/>
        <v>47031</v>
      </c>
      <c r="L293" s="147">
        <f>IF(t&lt;Tvie,1-EXP((T0-t)*PertePVj)+'2027'!Pspv,1-EXP((T0-t)*PertePVj)+Pspv)</f>
        <v>6.5772778086083949E-2</v>
      </c>
      <c r="M293" s="832"/>
      <c r="N293" s="832"/>
      <c r="O293" s="48">
        <f>IF(t&lt;Tnet,'2027'!Resal+('2027'!Salim-'2027'!Resal)*(1-EXP(('2027'!Tnet-t)/('2027'!Tau_j))),Resal+(Salim-Resal)*(1-EXP((Tnet-t)/(Tau_j))))*Salcycl</f>
        <v>5.2444563725087198E-2</v>
      </c>
      <c r="P293" s="169">
        <f>(INDEX(Models!$BJ293:$BT293,,T293)*(1-R293)+INDEX(Models!$BJ293:$BT293,,T293+1)*R293-ERP_i)*Q293*Ramure*Pc/MaxiM</f>
        <v>8.9121954772132604E-4</v>
      </c>
      <c r="Q293" s="304">
        <f t="shared" si="105"/>
        <v>0.6</v>
      </c>
      <c r="R293" s="177">
        <f t="shared" si="106"/>
        <v>0.97039675166365003</v>
      </c>
      <c r="S293" s="799">
        <f t="shared" si="107"/>
        <v>-1</v>
      </c>
      <c r="T293" s="176">
        <f t="shared" si="108"/>
        <v>5</v>
      </c>
      <c r="U293" s="250">
        <f t="shared" si="109"/>
        <v>-2.9603248336349919E-2</v>
      </c>
      <c r="V293" s="382">
        <f t="shared" si="110"/>
        <v>38.590375735870495</v>
      </c>
      <c r="W293" s="400">
        <f t="shared" si="111"/>
        <v>11.228512488177111</v>
      </c>
      <c r="X293" s="157">
        <f t="shared" si="112"/>
        <v>47031</v>
      </c>
      <c r="Y293" s="383">
        <f t="shared" si="113"/>
        <v>10.841627426954592</v>
      </c>
      <c r="Z293" s="383">
        <f t="shared" si="114"/>
        <v>11.604914920744612</v>
      </c>
      <c r="AA293" s="384">
        <f t="shared" si="115"/>
        <v>12.684258406165039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8.5093148598724813E-2</v>
      </c>
      <c r="AD293" s="230">
        <f>(INDEX(Models!$BJ293:$BT293,,AH293)*(1-AF293)+INDEX(Models!$BJ293:$BT293,,AH293+1)*AF293-ERP_i)*AE293*Ramure*Pc/MaxiM</f>
        <v>8.1651783455456064E-3</v>
      </c>
      <c r="AE293" s="304">
        <f t="shared" si="117"/>
        <v>0.6</v>
      </c>
      <c r="AF293" s="177">
        <f t="shared" si="118"/>
        <v>0.49538431803762872</v>
      </c>
      <c r="AG293" s="799">
        <f t="shared" si="124"/>
        <v>3</v>
      </c>
      <c r="AH293" s="176">
        <f t="shared" si="119"/>
        <v>9</v>
      </c>
      <c r="AI293" s="224">
        <f t="shared" si="120"/>
        <v>3.4953843180376287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'2027'!Wh/'2027'!Env_an*'2028'!Env_an</f>
        <v>28.206490556376409</v>
      </c>
      <c r="C294" s="829"/>
      <c r="D294" s="391">
        <f t="shared" si="102"/>
        <v>30.192902193436865</v>
      </c>
      <c r="E294" s="383">
        <f t="shared" si="100"/>
        <v>31.865338955733431</v>
      </c>
      <c r="F294" s="383">
        <f t="shared" si="103"/>
        <v>31.88382616486609</v>
      </c>
      <c r="G294" s="110">
        <f t="shared" si="101"/>
        <v>0.73683163406298857</v>
      </c>
      <c r="H294" s="412" t="b">
        <f>Wh_hp&gt;='2027'!Maxi_hp</f>
        <v>0</v>
      </c>
      <c r="I294" s="388">
        <f>IF(H294,Wh_hp,'2027'!Maxi_hp)</f>
        <v>43.826307821277801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6.57906823376605E-2</v>
      </c>
      <c r="M294" s="832"/>
      <c r="N294" s="832"/>
      <c r="O294" s="48">
        <f>IF(t&lt;Tnet,'2027'!Resal+('2027'!Salim-'2027'!Resal)*(1-EXP(('2027'!Tnet-t)/('2027'!Tau_j))),Resal+(Salim-Resal)*(1-EXP((Tnet-t)/(Tau_j))))*Salcycl</f>
        <v>5.2484511921240748E-2</v>
      </c>
      <c r="P294" s="169">
        <f>(INDEX(Models!$BJ294:$BT294,,T294)*(1-R294)+INDEX(Models!$BJ294:$BT294,,T294+1)*R294-ERP_i)*Q294*Ramure*Pc/MaxiM</f>
        <v>9.2860116743080548E-4</v>
      </c>
      <c r="Q294" s="304">
        <f t="shared" si="105"/>
        <v>0.6</v>
      </c>
      <c r="R294" s="177">
        <f t="shared" si="106"/>
        <v>0.97055233045017286</v>
      </c>
      <c r="S294" s="799">
        <f t="shared" si="107"/>
        <v>-1</v>
      </c>
      <c r="T294" s="176">
        <f t="shared" si="108"/>
        <v>5</v>
      </c>
      <c r="U294" s="250">
        <f t="shared" si="109"/>
        <v>-2.9447669549827082E-2</v>
      </c>
      <c r="V294" s="382">
        <f t="shared" si="110"/>
        <v>38.267422222139125</v>
      </c>
      <c r="W294" s="400">
        <f t="shared" si="111"/>
        <v>28.206490556376409</v>
      </c>
      <c r="X294" s="157">
        <f t="shared" si="112"/>
        <v>47032</v>
      </c>
      <c r="Y294" s="383">
        <f t="shared" si="113"/>
        <v>27.107171775912686</v>
      </c>
      <c r="Z294" s="383">
        <f t="shared" si="114"/>
        <v>29.016165075020478</v>
      </c>
      <c r="AA294" s="384">
        <f t="shared" si="115"/>
        <v>31.71459910942524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8.5084917047014361E-2</v>
      </c>
      <c r="AD294" s="230">
        <f>(INDEX(Models!$BJ294:$BT294,,AH294)*(1-AF294)+INDEX(Models!$BJ294:$BT294,,AH294+1)*AF294-ERP_i)*AE294*Ramure*Pc/MaxiM</f>
        <v>8.5001711245657838E-3</v>
      </c>
      <c r="AE294" s="304">
        <f t="shared" si="117"/>
        <v>0.6</v>
      </c>
      <c r="AF294" s="177">
        <f t="shared" si="118"/>
        <v>0.49553989682415134</v>
      </c>
      <c r="AG294" s="799">
        <f t="shared" si="124"/>
        <v>3</v>
      </c>
      <c r="AH294" s="176">
        <f t="shared" si="119"/>
        <v>9</v>
      </c>
      <c r="AI294" s="224">
        <f t="shared" si="120"/>
        <v>3.4955398968241513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'2027'!Wh/'2027'!Env_an*'2028'!Env_an</f>
        <v>16.279571955457623</v>
      </c>
      <c r="C295" s="829"/>
      <c r="D295" s="391">
        <f t="shared" si="102"/>
        <v>17.426377202548728</v>
      </c>
      <c r="E295" s="383">
        <f t="shared" si="100"/>
        <v>18.392412853309075</v>
      </c>
      <c r="F295" s="383">
        <f t="shared" si="103"/>
        <v>18.39569717139128</v>
      </c>
      <c r="G295" s="110">
        <f t="shared" si="101"/>
        <v>0.42871968508507585</v>
      </c>
      <c r="H295" s="412" t="b">
        <f>Wh_hp&gt;='2027'!Maxi_hp</f>
        <v>0</v>
      </c>
      <c r="I295" s="388">
        <f>IF(H295,Wh_hp,'2027'!Maxi_hp)</f>
        <v>40.63677888339361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6.5808586246106082E-2</v>
      </c>
      <c r="M295" s="832"/>
      <c r="N295" s="832"/>
      <c r="O295" s="48">
        <f>IF(t&lt;Tnet,'2027'!Resal+('2027'!Salim-'2027'!Resal)*(1-EXP(('2027'!Tnet-t)/('2027'!Tau_j))),Resal+(Salim-Resal)*(1-EXP((Tnet-t)/(Tau_j))))*Salcycl</f>
        <v>5.2523595379523141E-2</v>
      </c>
      <c r="P295" s="169">
        <f>(INDEX(Models!$BJ295:$BT295,,T295)*(1-R295)+INDEX(Models!$BJ295:$BT295,,T295+1)*R295-ERP_i)*Q295*Ramure*Pc/MaxiM</f>
        <v>9.6836693748889729E-4</v>
      </c>
      <c r="Q295" s="304">
        <f t="shared" si="105"/>
        <v>0.6</v>
      </c>
      <c r="R295" s="177">
        <f t="shared" si="106"/>
        <v>0.97070173681603411</v>
      </c>
      <c r="S295" s="799">
        <f t="shared" si="107"/>
        <v>-1</v>
      </c>
      <c r="T295" s="176">
        <f t="shared" si="108"/>
        <v>5</v>
      </c>
      <c r="U295" s="250">
        <f t="shared" si="109"/>
        <v>-2.9298263183965889E-2</v>
      </c>
      <c r="V295" s="382">
        <f t="shared" si="110"/>
        <v>37.94253480041499</v>
      </c>
      <c r="W295" s="400">
        <f t="shared" si="111"/>
        <v>16.279571955457623</v>
      </c>
      <c r="X295" s="157">
        <f t="shared" si="112"/>
        <v>47033</v>
      </c>
      <c r="Y295" s="383">
        <f t="shared" si="113"/>
        <v>15.697422552976027</v>
      </c>
      <c r="Z295" s="383">
        <f t="shared" si="114"/>
        <v>16.80321861437211</v>
      </c>
      <c r="AA295" s="384">
        <f t="shared" si="115"/>
        <v>18.365687266561785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8.5075425139926233E-2</v>
      </c>
      <c r="AD295" s="230">
        <f>(INDEX(Models!$BJ295:$BT295,,AH295)*(1-AF295)+INDEX(Models!$BJ295:$BT295,,AH295+1)*AF295-ERP_i)*AE295*Ramure*Pc/MaxiM</f>
        <v>8.8482902406842989E-3</v>
      </c>
      <c r="AE295" s="304">
        <f t="shared" si="117"/>
        <v>0.6</v>
      </c>
      <c r="AF295" s="177">
        <f t="shared" si="118"/>
        <v>0.4956893031900127</v>
      </c>
      <c r="AG295" s="799">
        <f t="shared" si="124"/>
        <v>3</v>
      </c>
      <c r="AH295" s="176">
        <f t="shared" si="119"/>
        <v>9</v>
      </c>
      <c r="AI295" s="224">
        <f t="shared" si="120"/>
        <v>3.4956893031900127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'2027'!Wh/'2027'!Env_an*'2028'!Env_an</f>
        <v>37.172948763068177</v>
      </c>
      <c r="C296" s="829"/>
      <c r="D296" s="391">
        <f t="shared" si="102"/>
        <v>39.792338743971051</v>
      </c>
      <c r="E296" s="383">
        <f t="shared" si="100"/>
        <v>41.999931198970337</v>
      </c>
      <c r="F296" s="383">
        <f t="shared" si="103"/>
        <v>42.041732446810819</v>
      </c>
      <c r="G296" s="110">
        <f t="shared" si="101"/>
        <v>0.98819784636086916</v>
      </c>
      <c r="H296" s="412" t="b">
        <f>Wh_hp&gt;='2027'!Maxi_hp</f>
        <v>0</v>
      </c>
      <c r="I296" s="388">
        <f>IF(H296,Wh_hp,'2027'!Maxi_hp)</f>
        <v>42.042309042252768</v>
      </c>
      <c r="J296" s="85">
        <f>IF(H296,An,'2027'!An_max)</f>
        <v>2026</v>
      </c>
      <c r="K296" s="197">
        <f t="shared" si="104"/>
        <v>47034</v>
      </c>
      <c r="L296" s="147">
        <f>IF(t&lt;Tvie,1-EXP((T0-t)*PertePVj)+'2027'!Pspv,1-EXP((T0-t)*PertePVj)+Pspv)</f>
        <v>6.5826489811427358E-2</v>
      </c>
      <c r="M296" s="832"/>
      <c r="N296" s="832"/>
      <c r="O296" s="48">
        <f>IF(t&lt;Tnet,'2027'!Resal+('2027'!Salim-'2027'!Resal)*(1-EXP(('2027'!Tnet-t)/('2027'!Tau_j))),Resal+(Salim-Resal)*(1-EXP((Tnet-t)/(Tau_j))))*Salcycl</f>
        <v>5.2561811221571914E-2</v>
      </c>
      <c r="P296" s="169">
        <f>(INDEX(Models!$BJ296:$BT296,,T296)*(1-R296)+INDEX(Models!$BJ296:$BT296,,T296+1)*R296-ERP_i)*Q296*Ramure*Pc/MaxiM</f>
        <v>1.0113063742821309E-3</v>
      </c>
      <c r="Q296" s="304">
        <f t="shared" si="105"/>
        <v>0.6</v>
      </c>
      <c r="R296" s="177">
        <f t="shared" si="106"/>
        <v>0.97084521212669661</v>
      </c>
      <c r="S296" s="799">
        <f t="shared" si="107"/>
        <v>-1</v>
      </c>
      <c r="T296" s="176">
        <f t="shared" si="108"/>
        <v>5</v>
      </c>
      <c r="U296" s="250">
        <f t="shared" si="109"/>
        <v>-2.9154787873303334E-2</v>
      </c>
      <c r="V296" s="382">
        <f t="shared" si="110"/>
        <v>37.616268183820054</v>
      </c>
      <c r="W296" s="400">
        <f t="shared" si="111"/>
        <v>37.172948763068177</v>
      </c>
      <c r="X296" s="157">
        <f t="shared" si="112"/>
        <v>47034</v>
      </c>
      <c r="Y296" s="383">
        <f t="shared" si="113"/>
        <v>35.608224266437439</v>
      </c>
      <c r="Z296" s="383">
        <f t="shared" si="114"/>
        <v>38.117356013712644</v>
      </c>
      <c r="AA296" s="384">
        <f t="shared" si="115"/>
        <v>41.661257151797933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8.5064671120524363E-2</v>
      </c>
      <c r="AD296" s="230">
        <f>(INDEX(Models!$BJ296:$BT296,,AH296)*(1-AF296)+INDEX(Models!$BJ296:$BT296,,AH296+1)*AF296-ERP_i)*AE296*Ramure*Pc/MaxiM</f>
        <v>9.2049187759112184E-3</v>
      </c>
      <c r="AE296" s="304">
        <f t="shared" si="117"/>
        <v>0.6</v>
      </c>
      <c r="AF296" s="177">
        <f t="shared" si="118"/>
        <v>0.49583277850067509</v>
      </c>
      <c r="AG296" s="799">
        <f t="shared" si="124"/>
        <v>3</v>
      </c>
      <c r="AH296" s="176">
        <f t="shared" si="119"/>
        <v>9</v>
      </c>
      <c r="AI296" s="224">
        <f t="shared" si="120"/>
        <v>3.4958327785006751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'2027'!Wh/'2027'!Env_an*'2028'!Env_an</f>
        <v>29.845065917383419</v>
      </c>
      <c r="C297" s="829"/>
      <c r="D297" s="391">
        <f t="shared" si="102"/>
        <v>31.948709288706205</v>
      </c>
      <c r="E297" s="383">
        <f t="shared" ref="E297:E360" si="125">Wh_pvt/(1-Psa)</f>
        <v>33.72248355628026</v>
      </c>
      <c r="F297" s="383">
        <f t="shared" si="103"/>
        <v>33.747972160072621</v>
      </c>
      <c r="G297" s="110">
        <f t="shared" ref="G297:G360" si="126">+Wh_hp/MaxiM</f>
        <v>0.800125382520956</v>
      </c>
      <c r="H297" s="412" t="b">
        <f>Wh_hp&gt;='2027'!Maxi_hp</f>
        <v>0</v>
      </c>
      <c r="I297" s="388">
        <f>IF(H297,Wh_hp,'2027'!Maxi_hp)</f>
        <v>33.75617076368578</v>
      </c>
      <c r="J297" s="85">
        <f>IF(H297,An,'2027'!An_max)</f>
        <v>2026</v>
      </c>
      <c r="K297" s="197">
        <f t="shared" si="104"/>
        <v>47035</v>
      </c>
      <c r="L297" s="147">
        <f>IF(t&lt;Tvie,1-EXP((T0-t)*PertePVj)+'2027'!Pspv,1-EXP((T0-t)*PertePVj)+Pspv)</f>
        <v>6.5844393033630877E-2</v>
      </c>
      <c r="M297" s="832"/>
      <c r="N297" s="832"/>
      <c r="O297" s="48">
        <f>IF(t&lt;Tnet,'2027'!Resal+('2027'!Salim-'2027'!Resal)*(1-EXP(('2027'!Tnet-t)/('2027'!Tau_j))),Resal+(Salim-Resal)*(1-EXP((Tnet-t)/(Tau_j))))*Salcycl</f>
        <v>5.2599158796052592E-2</v>
      </c>
      <c r="P297" s="169">
        <f>(INDEX(Models!$BJ297:$BT297,,T297)*(1-R297)+INDEX(Models!$BJ297:$BT297,,T297+1)*R297-ERP_i)*Q297*Ramure*Pc/MaxiM</f>
        <v>1.0565935879256773E-3</v>
      </c>
      <c r="Q297" s="304">
        <f t="shared" si="105"/>
        <v>0.6</v>
      </c>
      <c r="R297" s="177">
        <f t="shared" si="106"/>
        <v>0.97098298858528775</v>
      </c>
      <c r="S297" s="799">
        <f t="shared" si="107"/>
        <v>-1</v>
      </c>
      <c r="T297" s="176">
        <f t="shared" si="108"/>
        <v>5</v>
      </c>
      <c r="U297" s="250">
        <f t="shared" si="109"/>
        <v>-2.9017011414712246E-2</v>
      </c>
      <c r="V297" s="382">
        <f t="shared" si="110"/>
        <v>37.28923809763085</v>
      </c>
      <c r="W297" s="400">
        <f t="shared" si="111"/>
        <v>29.845065917383419</v>
      </c>
      <c r="X297" s="157">
        <f t="shared" si="112"/>
        <v>47035</v>
      </c>
      <c r="Y297" s="383">
        <f t="shared" si="113"/>
        <v>28.647333129980456</v>
      </c>
      <c r="Z297" s="383">
        <f t="shared" si="114"/>
        <v>30.666553747947262</v>
      </c>
      <c r="AA297" s="384">
        <f t="shared" si="115"/>
        <v>33.517288155246817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8.5052656828780521E-2</v>
      </c>
      <c r="AD297" s="230">
        <f>(INDEX(Models!$BJ297:$BT297,,AH297)*(1-AF297)+INDEX(Models!$BJ297:$BT297,,AH297+1)*AF297-ERP_i)*AE297*Ramure*Pc/MaxiM</f>
        <v>9.5626752379840991E-3</v>
      </c>
      <c r="AE297" s="304">
        <f t="shared" si="117"/>
        <v>0.6</v>
      </c>
      <c r="AF297" s="177">
        <f t="shared" si="118"/>
        <v>0.49597055495926634</v>
      </c>
      <c r="AG297" s="799">
        <f t="shared" si="124"/>
        <v>3</v>
      </c>
      <c r="AH297" s="176">
        <f t="shared" si="119"/>
        <v>9</v>
      </c>
      <c r="AI297" s="224">
        <f t="shared" si="120"/>
        <v>3.4959705549592663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'2027'!Wh/'2027'!Env_an*'2028'!Env_an</f>
        <v>21.709373812702122</v>
      </c>
      <c r="C298" s="829"/>
      <c r="D298" s="391">
        <f t="shared" si="102"/>
        <v>23.240014526459806</v>
      </c>
      <c r="E298" s="383">
        <f t="shared" si="125"/>
        <v>24.531231596558566</v>
      </c>
      <c r="F298" s="383">
        <f t="shared" si="103"/>
        <v>24.542355911708853</v>
      </c>
      <c r="G298" s="110">
        <f t="shared" si="126"/>
        <v>0.58696009109451397</v>
      </c>
      <c r="H298" s="412" t="b">
        <f>Wh_hp&gt;='2027'!Maxi_hp</f>
        <v>0</v>
      </c>
      <c r="I298" s="388">
        <f>IF(H298,Wh_hp,'2027'!Maxi_hp)</f>
        <v>42.372842429013986</v>
      </c>
      <c r="J298" s="85">
        <f>IF(H298,An,'2027'!An_max)</f>
        <v>2021</v>
      </c>
      <c r="K298" s="197">
        <f t="shared" si="104"/>
        <v>47036</v>
      </c>
      <c r="L298" s="147">
        <f>IF(t&lt;Tvie,1-EXP((T0-t)*PertePVj)+'2027'!Pspv,1-EXP((T0-t)*PertePVj)+Pspv)</f>
        <v>6.5862295912723301E-2</v>
      </c>
      <c r="M298" s="832"/>
      <c r="N298" s="832"/>
      <c r="O298" s="48">
        <f>IF(t&lt;Tnet,'2027'!Resal+('2027'!Salim-'2027'!Resal)*(1-EXP(('2027'!Tnet-t)/('2027'!Tau_j))),Resal+(Salim-Resal)*(1-EXP((Tnet-t)/(Tau_j))))*Salcycl</f>
        <v>5.2635639797224978E-2</v>
      </c>
      <c r="P298" s="169">
        <f>(INDEX(Models!$BJ298:$BT298,,T298)*(1-R298)+INDEX(Models!$BJ298:$BT298,,T298+1)*R298-ERP_i)*Q298*Ramure*Pc/MaxiM</f>
        <v>1.1042186181175425E-3</v>
      </c>
      <c r="Q298" s="304">
        <f t="shared" si="105"/>
        <v>0.6</v>
      </c>
      <c r="R298" s="177">
        <f t="shared" si="106"/>
        <v>0.97111528955865412</v>
      </c>
      <c r="S298" s="799">
        <f t="shared" si="107"/>
        <v>-1</v>
      </c>
      <c r="T298" s="176">
        <f t="shared" si="108"/>
        <v>5</v>
      </c>
      <c r="U298" s="250">
        <f t="shared" si="109"/>
        <v>-2.888471044134594E-2</v>
      </c>
      <c r="V298" s="382">
        <f t="shared" si="110"/>
        <v>36.962028676094526</v>
      </c>
      <c r="W298" s="400">
        <f t="shared" si="111"/>
        <v>21.709373812702122</v>
      </c>
      <c r="X298" s="157">
        <f t="shared" si="112"/>
        <v>47036</v>
      </c>
      <c r="Y298" s="383">
        <f t="shared" si="113"/>
        <v>20.890904261376587</v>
      </c>
      <c r="Z298" s="383">
        <f t="shared" si="114"/>
        <v>22.363837975888771</v>
      </c>
      <c r="AA298" s="384">
        <f t="shared" si="115"/>
        <v>24.442405147931971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8.5039387877876946E-2</v>
      </c>
      <c r="AD298" s="230">
        <f>(INDEX(Models!$BJ298:$BT298,,AH298)*(1-AF298)+INDEX(Models!$BJ298:$BT298,,AH298+1)*AF298-ERP_i)*AE298*Ramure*Pc/MaxiM</f>
        <v>9.9212843906778606E-3</v>
      </c>
      <c r="AE298" s="304">
        <f t="shared" si="117"/>
        <v>0.6</v>
      </c>
      <c r="AF298" s="177">
        <f t="shared" si="118"/>
        <v>0.49610285593263237</v>
      </c>
      <c r="AG298" s="799">
        <f t="shared" si="124"/>
        <v>3</v>
      </c>
      <c r="AH298" s="176">
        <f t="shared" si="119"/>
        <v>9</v>
      </c>
      <c r="AI298" s="224">
        <f t="shared" si="120"/>
        <v>3.4961028559326324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'2027'!Wh/'2027'!Env_an*'2028'!Env_an</f>
        <v>26.94701291497077</v>
      </c>
      <c r="C299" s="829"/>
      <c r="D299" s="391">
        <f t="shared" si="102"/>
        <v>28.847491371256638</v>
      </c>
      <c r="E299" s="383">
        <f t="shared" si="125"/>
        <v>30.451405202515161</v>
      </c>
      <c r="F299" s="383">
        <f t="shared" si="103"/>
        <v>30.473289221813417</v>
      </c>
      <c r="G299" s="110">
        <f t="shared" si="126"/>
        <v>0.73522833875241855</v>
      </c>
      <c r="H299" s="412" t="b">
        <f>Wh_hp&gt;='2027'!Maxi_hp</f>
        <v>0</v>
      </c>
      <c r="I299" s="388">
        <f>IF(H299,Wh_hp,'2027'!Maxi_hp)</f>
        <v>40.061070375868503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6.5880198448711069E-2</v>
      </c>
      <c r="M299" s="832"/>
      <c r="N299" s="832"/>
      <c r="O299" s="48">
        <f>IF(t&lt;Tnet,'2027'!Resal+('2027'!Salim-'2027'!Resal)*(1-EXP(('2027'!Tnet-t)/('2027'!Tau_j))),Resal+(Salim-Resal)*(1-EXP((Tnet-t)/(Tau_j))))*Salcycl</f>
        <v>5.26712583735231E-2</v>
      </c>
      <c r="P299" s="169">
        <f>(INDEX(Models!$BJ299:$BT299,,T299)*(1-R299)+INDEX(Models!$BJ299:$BT299,,T299+1)*R299-ERP_i)*Q299*Ramure*Pc/MaxiM</f>
        <v>1.1541665554022252E-3</v>
      </c>
      <c r="Q299" s="304">
        <f t="shared" si="105"/>
        <v>0.6</v>
      </c>
      <c r="R299" s="177">
        <f t="shared" si="106"/>
        <v>0.97124232989355552</v>
      </c>
      <c r="S299" s="799">
        <f t="shared" si="107"/>
        <v>-1</v>
      </c>
      <c r="T299" s="176">
        <f t="shared" si="108"/>
        <v>5</v>
      </c>
      <c r="U299" s="250">
        <f t="shared" si="109"/>
        <v>-2.8757670106444477E-2</v>
      </c>
      <c r="V299" s="382">
        <f t="shared" si="110"/>
        <v>36.635223885447118</v>
      </c>
      <c r="W299" s="400">
        <f t="shared" si="111"/>
        <v>26.94701291497077</v>
      </c>
      <c r="X299" s="157">
        <f t="shared" si="112"/>
        <v>47037</v>
      </c>
      <c r="Y299" s="383">
        <f t="shared" si="113"/>
        <v>25.878807263724962</v>
      </c>
      <c r="Z299" s="383">
        <f t="shared" si="114"/>
        <v>27.703948916132742</v>
      </c>
      <c r="AA299" s="384">
        <f t="shared" si="115"/>
        <v>30.278362901078481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8.5024873813572058E-2</v>
      </c>
      <c r="AD299" s="230">
        <f>(INDEX(Models!$BJ299:$BT299,,AH299)*(1-AF299)+INDEX(Models!$BJ299:$BT299,,AH299+1)*AF299-ERP_i)*AE299*Ramure*Pc/MaxiM</f>
        <v>1.0280444240781573E-2</v>
      </c>
      <c r="AE299" s="304">
        <f t="shared" si="117"/>
        <v>0.6</v>
      </c>
      <c r="AF299" s="177">
        <f t="shared" si="118"/>
        <v>0.496229896267534</v>
      </c>
      <c r="AG299" s="799">
        <f t="shared" si="124"/>
        <v>3</v>
      </c>
      <c r="AH299" s="176">
        <f t="shared" si="119"/>
        <v>9</v>
      </c>
      <c r="AI299" s="224">
        <f t="shared" si="120"/>
        <v>3.496229896267534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'2027'!Wh/'2027'!Env_an*'2028'!Env_an</f>
        <v>22.563913794744074</v>
      </c>
      <c r="C300" s="829"/>
      <c r="D300" s="391">
        <f t="shared" si="102"/>
        <v>24.155730558135478</v>
      </c>
      <c r="E300" s="383">
        <f t="shared" si="125"/>
        <v>25.499719305057198</v>
      </c>
      <c r="F300" s="383">
        <f t="shared" si="103"/>
        <v>25.513853393893569</v>
      </c>
      <c r="G300" s="110">
        <f t="shared" si="126"/>
        <v>0.62102869668469429</v>
      </c>
      <c r="H300" s="412" t="b">
        <f>Wh_hp&gt;='2027'!Maxi_hp</f>
        <v>0</v>
      </c>
      <c r="I300" s="388">
        <f>IF(H300,Wh_hp,'2027'!Maxi_hp)</f>
        <v>39.39832701671196</v>
      </c>
      <c r="J300" s="85">
        <f>IF(H300,An,'2027'!An_max)</f>
        <v>2018</v>
      </c>
      <c r="K300" s="197">
        <f t="shared" si="104"/>
        <v>47038</v>
      </c>
      <c r="L300" s="147">
        <f>IF(t&lt;Tvie,1-EXP((T0-t)*PertePVj)+'2027'!Pspv,1-EXP((T0-t)*PertePVj)+Pspv)</f>
        <v>6.5898100641600732E-2</v>
      </c>
      <c r="M300" s="832"/>
      <c r="N300" s="832"/>
      <c r="O300" s="48">
        <f>IF(t&lt;Tnet,'2027'!Resal+('2027'!Salim-'2027'!Resal)*(1-EXP(('2027'!Tnet-t)/('2027'!Tau_j))),Resal+(Salim-Resal)*(1-EXP((Tnet-t)/(Tau_j))))*Salcycl</f>
        <v>5.2706021224915037E-2</v>
      </c>
      <c r="P300" s="169">
        <f>(INDEX(Models!$BJ300:$BT300,,T300)*(1-R300)+INDEX(Models!$BJ300:$BT300,,T300+1)*R300-ERP_i)*Q300*Ramure*Pc/MaxiM</f>
        <v>1.2064171105051252E-3</v>
      </c>
      <c r="Q300" s="304">
        <f t="shared" si="105"/>
        <v>0.6</v>
      </c>
      <c r="R300" s="177">
        <f t="shared" si="106"/>
        <v>0.97136431622314967</v>
      </c>
      <c r="S300" s="799">
        <f t="shared" si="107"/>
        <v>-1</v>
      </c>
      <c r="T300" s="176">
        <f t="shared" si="108"/>
        <v>5</v>
      </c>
      <c r="U300" s="250">
        <f t="shared" si="109"/>
        <v>-2.8635683776850329E-2</v>
      </c>
      <c r="V300" s="382">
        <f t="shared" si="110"/>
        <v>36.309407525828014</v>
      </c>
      <c r="W300" s="400">
        <f t="shared" si="111"/>
        <v>22.563913794744074</v>
      </c>
      <c r="X300" s="157">
        <f t="shared" si="112"/>
        <v>47038</v>
      </c>
      <c r="Y300" s="383">
        <f t="shared" si="113"/>
        <v>21.700014778774868</v>
      </c>
      <c r="Z300" s="383">
        <f t="shared" si="114"/>
        <v>23.230886045387361</v>
      </c>
      <c r="AA300" s="384">
        <f t="shared" si="115"/>
        <v>25.38919978630684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8.5009128254743993E-2</v>
      </c>
      <c r="AD300" s="230">
        <f>(INDEX(Models!$BJ300:$BT300,,AH300)*(1-AF300)+INDEX(Models!$BJ300:$BT300,,AH300+1)*AF300-ERP_i)*AE300*Ramure*Pc/MaxiM</f>
        <v>1.0639825942782193E-2</v>
      </c>
      <c r="AE300" s="304">
        <f t="shared" si="117"/>
        <v>0.6</v>
      </c>
      <c r="AF300" s="177">
        <f t="shared" si="118"/>
        <v>0.49635188259712804</v>
      </c>
      <c r="AG300" s="799">
        <f t="shared" si="124"/>
        <v>3</v>
      </c>
      <c r="AH300" s="176">
        <f t="shared" si="119"/>
        <v>9</v>
      </c>
      <c r="AI300" s="224">
        <f t="shared" si="120"/>
        <v>3.496351882597128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'2027'!Wh/'2027'!Env_an*'2028'!Env_an</f>
        <v>17.540754154793383</v>
      </c>
      <c r="C301" s="829"/>
      <c r="D301" s="391">
        <f t="shared" si="102"/>
        <v>18.778561886916247</v>
      </c>
      <c r="E301" s="383">
        <f t="shared" si="125"/>
        <v>19.824082777310831</v>
      </c>
      <c r="F301" s="383">
        <f t="shared" si="103"/>
        <v>19.830778682269944</v>
      </c>
      <c r="G301" s="110">
        <f t="shared" si="126"/>
        <v>0.48699385727133582</v>
      </c>
      <c r="H301" s="412" t="b">
        <f>Wh_hp&gt;='2027'!Maxi_hp</f>
        <v>0</v>
      </c>
      <c r="I301" s="388">
        <f>IF(H301,Wh_hp,'2027'!Maxi_hp)</f>
        <v>42.332847154201126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6.5916002491399062E-2</v>
      </c>
      <c r="M301" s="832"/>
      <c r="N301" s="832"/>
      <c r="O301" s="48">
        <f>IF(t&lt;Tnet,'2027'!Resal+('2027'!Salim-'2027'!Resal)*(1-EXP(('2027'!Tnet-t)/('2027'!Tau_j))),Resal+(Salim-Resal)*(1-EXP((Tnet-t)/(Tau_j))))*Salcycl</f>
        <v>5.2739937687871725E-2</v>
      </c>
      <c r="P301" s="169">
        <f>(INDEX(Models!$BJ301:$BT301,,T301)*(1-R301)+INDEX(Models!$BJ301:$BT301,,T301+1)*R301-ERP_i)*Q301*Ramure*Pc/MaxiM</f>
        <v>1.2609441896257324E-3</v>
      </c>
      <c r="Q301" s="304">
        <f t="shared" si="105"/>
        <v>0.6</v>
      </c>
      <c r="R301" s="177">
        <f t="shared" si="106"/>
        <v>0.97148144726393049</v>
      </c>
      <c r="S301" s="799">
        <f t="shared" si="107"/>
        <v>-1</v>
      </c>
      <c r="T301" s="176">
        <f t="shared" si="108"/>
        <v>5</v>
      </c>
      <c r="U301" s="250">
        <f t="shared" si="109"/>
        <v>-2.8518552736069513E-2</v>
      </c>
      <c r="V301" s="382">
        <f t="shared" si="110"/>
        <v>35.985163229805075</v>
      </c>
      <c r="W301" s="400">
        <f t="shared" si="111"/>
        <v>17.540754154793383</v>
      </c>
      <c r="X301" s="157">
        <f t="shared" si="112"/>
        <v>47039</v>
      </c>
      <c r="Y301" s="383">
        <f t="shared" si="113"/>
        <v>16.899330321216667</v>
      </c>
      <c r="Z301" s="383">
        <f t="shared" si="114"/>
        <v>18.091874356364894</v>
      </c>
      <c r="AA301" s="384">
        <f t="shared" si="115"/>
        <v>19.772371059225023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8.4992169013340169E-2</v>
      </c>
      <c r="AD301" s="230">
        <f>(INDEX(Models!$BJ301:$BT301,,AH301)*(1-AF301)+INDEX(Models!$BJ301:$BT301,,AH301+1)*AF301-ERP_i)*AE301*Ramure*Pc/MaxiM</f>
        <v>1.0999073815723147E-2</v>
      </c>
      <c r="AE301" s="304">
        <f t="shared" si="117"/>
        <v>0.6</v>
      </c>
      <c r="AF301" s="177">
        <f t="shared" si="118"/>
        <v>0.49646901363790885</v>
      </c>
      <c r="AG301" s="799">
        <f t="shared" si="124"/>
        <v>3</v>
      </c>
      <c r="AH301" s="176">
        <f t="shared" si="119"/>
        <v>9</v>
      </c>
      <c r="AI301" s="224">
        <f t="shared" si="120"/>
        <v>3.4964690136379089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'2027'!Wh/'2027'!Env_an*'2028'!Env_an</f>
        <v>36.045508035359155</v>
      </c>
      <c r="C302" s="829"/>
      <c r="D302" s="391">
        <f t="shared" si="102"/>
        <v>38.589890147652163</v>
      </c>
      <c r="E302" s="383">
        <f t="shared" si="125"/>
        <v>40.739855340462555</v>
      </c>
      <c r="F302" s="383">
        <f t="shared" si="103"/>
        <v>40.793609711418071</v>
      </c>
      <c r="G302" s="110">
        <f t="shared" si="126"/>
        <v>1.0107235166651864</v>
      </c>
      <c r="H302" s="412" t="b">
        <f>Wh_hp&gt;='2027'!Maxi_hp</f>
        <v>1</v>
      </c>
      <c r="I302" s="388">
        <f>IF(H302,Wh_hp,'2027'!Maxi_hp)</f>
        <v>40.793609711418071</v>
      </c>
      <c r="J302" s="85">
        <f>IF(H302,An,'2027'!An_max)</f>
        <v>2028</v>
      </c>
      <c r="K302" s="197">
        <f t="shared" si="104"/>
        <v>47040</v>
      </c>
      <c r="L302" s="147">
        <f>IF(t&lt;Tvie,1-EXP((T0-t)*PertePVj)+'2027'!Pspv,1-EXP((T0-t)*PertePVj)+Pspv)</f>
        <v>6.5933903998112497E-2</v>
      </c>
      <c r="M302" s="832"/>
      <c r="N302" s="832"/>
      <c r="O302" s="48">
        <f>IF(t&lt;Tnet,'2027'!Resal+('2027'!Salim-'2027'!Resal)*(1-EXP(('2027'!Tnet-t)/('2027'!Tau_j))),Resal+(Salim-Resal)*(1-EXP((Tnet-t)/(Tau_j))))*Salcycl</f>
        <v>5.2773019806849043E-2</v>
      </c>
      <c r="P302" s="169">
        <f>(INDEX(Models!$BJ302:$BT302,,T302)*(1-R302)+INDEX(Models!$BJ302:$BT302,,T302+1)*R302-ERP_i)*Q302*Ramure*Pc/MaxiM</f>
        <v>1.317715478865202E-3</v>
      </c>
      <c r="Q302" s="304">
        <f t="shared" si="105"/>
        <v>0.6</v>
      </c>
      <c r="R302" s="177">
        <f t="shared" si="106"/>
        <v>0.97159391410329654</v>
      </c>
      <c r="S302" s="799">
        <f t="shared" si="107"/>
        <v>-1</v>
      </c>
      <c r="T302" s="176">
        <f t="shared" si="108"/>
        <v>5</v>
      </c>
      <c r="U302" s="250">
        <f t="shared" si="109"/>
        <v>-2.8406085896703515E-2</v>
      </c>
      <c r="V302" s="382">
        <f t="shared" si="110"/>
        <v>35.663074462033748</v>
      </c>
      <c r="W302" s="400">
        <f t="shared" si="111"/>
        <v>36.045508035359155</v>
      </c>
      <c r="X302" s="157">
        <f t="shared" si="112"/>
        <v>47040</v>
      </c>
      <c r="Y302" s="383">
        <f t="shared" si="113"/>
        <v>34.470081714822946</v>
      </c>
      <c r="Z302" s="383">
        <f t="shared" si="114"/>
        <v>36.903257555719364</v>
      </c>
      <c r="AA302" s="384">
        <f t="shared" si="115"/>
        <v>40.330283827357576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8.497401819209438E-2</v>
      </c>
      <c r="AD302" s="230">
        <f>(INDEX(Models!$BJ302:$BT302,,AH302)*(1-AF302)+INDEX(Models!$BJ302:$BT302,,AH302+1)*AF302-ERP_i)*AE302*Ramure*Pc/MaxiM</f>
        <v>1.1357805483215576E-2</v>
      </c>
      <c r="AE302" s="304">
        <f t="shared" si="117"/>
        <v>0.6</v>
      </c>
      <c r="AF302" s="177">
        <f t="shared" si="118"/>
        <v>0.49658148047727479</v>
      </c>
      <c r="AG302" s="799">
        <f t="shared" si="124"/>
        <v>3</v>
      </c>
      <c r="AH302" s="176">
        <f t="shared" si="119"/>
        <v>9</v>
      </c>
      <c r="AI302" s="224">
        <f t="shared" si="120"/>
        <v>3.4965814804772748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'2027'!Wh/'2027'!Env_an*'2028'!Env_an</f>
        <v>31.816725839627182</v>
      </c>
      <c r="C303" s="829"/>
      <c r="D303" s="391">
        <f t="shared" si="102"/>
        <v>34.063259278753634</v>
      </c>
      <c r="E303" s="383">
        <f t="shared" si="125"/>
        <v>35.962256382456715</v>
      </c>
      <c r="F303" s="383">
        <f t="shared" si="103"/>
        <v>36.004765099840945</v>
      </c>
      <c r="G303" s="110">
        <f t="shared" si="126"/>
        <v>0.9000957378002552</v>
      </c>
      <c r="H303" s="412" t="b">
        <f>Wh_hp&gt;='2027'!Maxi_hp</f>
        <v>0</v>
      </c>
      <c r="I303" s="388">
        <f>IF(H303,Wh_hp,'2027'!Maxi_hp)</f>
        <v>38.803370286376357</v>
      </c>
      <c r="J303" s="85">
        <f>IF(H303,An,'2027'!An_max)</f>
        <v>2021</v>
      </c>
      <c r="K303" s="197">
        <f t="shared" si="104"/>
        <v>47041</v>
      </c>
      <c r="L303" s="147">
        <f>IF(t&lt;Tvie,1-EXP((T0-t)*PertePVj)+'2027'!Pspv,1-EXP((T0-t)*PertePVj)+Pspv)</f>
        <v>6.5951805161747701E-2</v>
      </c>
      <c r="M303" s="832"/>
      <c r="N303" s="832"/>
      <c r="O303" s="48">
        <f>IF(t&lt;Tnet,'2027'!Resal+('2027'!Salim-'2027'!Resal)*(1-EXP(('2027'!Tnet-t)/('2027'!Tau_j))),Resal+(Salim-Resal)*(1-EXP((Tnet-t)/(Tau_j))))*Salcycl</f>
        <v>5.2805282391275632E-2</v>
      </c>
      <c r="P303" s="169">
        <f>(INDEX(Models!$BJ303:$BT303,,T303)*(1-R303)+INDEX(Models!$BJ303:$BT303,,T303+1)*R303-ERP_i)*Q303*Ramure*Pc/MaxiM</f>
        <v>1.3767896341003146E-3</v>
      </c>
      <c r="Q303" s="304">
        <f t="shared" si="105"/>
        <v>0.6</v>
      </c>
      <c r="R303" s="177">
        <f t="shared" si="106"/>
        <v>0.97170190047792948</v>
      </c>
      <c r="S303" s="799">
        <f t="shared" si="107"/>
        <v>-1</v>
      </c>
      <c r="T303" s="176">
        <f t="shared" si="108"/>
        <v>5</v>
      </c>
      <c r="U303" s="250">
        <f t="shared" si="109"/>
        <v>-2.8298099522070519E-2</v>
      </c>
      <c r="V303" s="382">
        <f t="shared" si="110"/>
        <v>35.34121575435141</v>
      </c>
      <c r="W303" s="400">
        <f t="shared" si="111"/>
        <v>31.816725839627182</v>
      </c>
      <c r="X303" s="157">
        <f t="shared" si="112"/>
        <v>47041</v>
      </c>
      <c r="Y303" s="383">
        <f t="shared" si="113"/>
        <v>30.46395867210159</v>
      </c>
      <c r="Z303" s="383">
        <f t="shared" si="114"/>
        <v>32.61497515915331</v>
      </c>
      <c r="AA303" s="384">
        <f t="shared" si="115"/>
        <v>35.643017061181446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8.4954702258523307E-2</v>
      </c>
      <c r="AD303" s="230">
        <f>(INDEX(Models!$BJ303:$BT303,,AH303)*(1-AF303)+INDEX(Models!$BJ303:$BT303,,AH303+1)*AF303-ERP_i)*AE303*Ramure*Pc/MaxiM</f>
        <v>1.1716442660000425E-2</v>
      </c>
      <c r="AE303" s="304">
        <f t="shared" si="117"/>
        <v>0.6</v>
      </c>
      <c r="AF303" s="177">
        <f t="shared" si="118"/>
        <v>0.49668946685190818</v>
      </c>
      <c r="AG303" s="799">
        <f t="shared" si="124"/>
        <v>3</v>
      </c>
      <c r="AH303" s="176">
        <f t="shared" si="119"/>
        <v>9</v>
      </c>
      <c r="AI303" s="224">
        <f t="shared" si="120"/>
        <v>3.4966894668519082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'2027'!Wh/'2027'!Env_an*'2028'!Env_an</f>
        <v>18.889683474999</v>
      </c>
      <c r="C304" s="829"/>
      <c r="D304" s="391">
        <f t="shared" si="102"/>
        <v>20.223844554062463</v>
      </c>
      <c r="E304" s="383">
        <f t="shared" si="125"/>
        <v>21.352015511389769</v>
      </c>
      <c r="F304" s="383">
        <f t="shared" si="103"/>
        <v>21.362518032592615</v>
      </c>
      <c r="G304" s="110">
        <f t="shared" si="126"/>
        <v>0.53892314196799807</v>
      </c>
      <c r="H304" s="412" t="b">
        <f>Wh_hp&gt;='2027'!Maxi_hp</f>
        <v>0</v>
      </c>
      <c r="I304" s="388">
        <f>IF(H304,Wh_hp,'2027'!Maxi_hp)</f>
        <v>35.6425652403491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6.5969705982311111E-2</v>
      </c>
      <c r="M304" s="832"/>
      <c r="N304" s="832"/>
      <c r="O304" s="48">
        <f>IF(t&lt;Tnet,'2027'!Resal+('2027'!Salim-'2027'!Resal)*(1-EXP(('2027'!Tnet-t)/('2027'!Tau_j))),Resal+(Salim-Resal)*(1-EXP((Tnet-t)/(Tau_j))))*Salcycl</f>
        <v>5.2836743057137051E-2</v>
      </c>
      <c r="P304" s="169">
        <f>(INDEX(Models!$BJ304:$BT304,,T304)*(1-R304)+INDEX(Models!$BJ304:$BT304,,T304+1)*R304-ERP_i)*Q304*Ramure*Pc/MaxiM</f>
        <v>1.437322411240359E-3</v>
      </c>
      <c r="Q304" s="304">
        <f t="shared" si="105"/>
        <v>0.6</v>
      </c>
      <c r="R304" s="177">
        <f t="shared" si="106"/>
        <v>0.97180558304317433</v>
      </c>
      <c r="S304" s="799">
        <f t="shared" si="107"/>
        <v>-1</v>
      </c>
      <c r="T304" s="176">
        <f t="shared" si="108"/>
        <v>5</v>
      </c>
      <c r="U304" s="250">
        <f t="shared" si="109"/>
        <v>-2.8194416956825674E-2</v>
      </c>
      <c r="V304" s="382">
        <f t="shared" si="110"/>
        <v>35.017629504272108</v>
      </c>
      <c r="W304" s="400">
        <f t="shared" si="111"/>
        <v>18.889683474999</v>
      </c>
      <c r="X304" s="157">
        <f t="shared" si="112"/>
        <v>47042</v>
      </c>
      <c r="Y304" s="383">
        <f t="shared" si="113"/>
        <v>18.183141872260588</v>
      </c>
      <c r="Z304" s="383">
        <f t="shared" si="114"/>
        <v>19.467400563686891</v>
      </c>
      <c r="AA304" s="384">
        <f t="shared" si="115"/>
        <v>21.27431893088864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8.4934252093882265E-2</v>
      </c>
      <c r="AD304" s="230">
        <f>(INDEX(Models!$BJ304:$BT304,,AH304)*(1-AF304)+INDEX(Models!$BJ304:$BT304,,AH304+1)*AF304-ERP_i)*AE304*Ramure*Pc/MaxiM</f>
        <v>1.2070486988977334E-2</v>
      </c>
      <c r="AE304" s="304">
        <f t="shared" si="117"/>
        <v>0.6</v>
      </c>
      <c r="AF304" s="177">
        <f t="shared" si="118"/>
        <v>0.49679314941715269</v>
      </c>
      <c r="AG304" s="799">
        <f t="shared" si="124"/>
        <v>3</v>
      </c>
      <c r="AH304" s="176">
        <f t="shared" si="119"/>
        <v>9</v>
      </c>
      <c r="AI304" s="224">
        <f t="shared" si="120"/>
        <v>3.4967931494171527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'2027'!Wh/'2027'!Env_an*'2028'!Env_an</f>
        <v>33.32293685782372</v>
      </c>
      <c r="C305" s="829"/>
      <c r="D305" s="391">
        <f t="shared" si="102"/>
        <v>35.677189176815595</v>
      </c>
      <c r="E305" s="383">
        <f t="shared" si="125"/>
        <v>37.668632686734064</v>
      </c>
      <c r="F305" s="383">
        <f t="shared" si="103"/>
        <v>37.721948522195731</v>
      </c>
      <c r="G305" s="110">
        <f t="shared" si="126"/>
        <v>0.9604318095329123</v>
      </c>
      <c r="H305" s="412" t="b">
        <f>Wh_hp&gt;='2027'!Maxi_hp</f>
        <v>0</v>
      </c>
      <c r="I305" s="388">
        <f>IF(H305,Wh_hp,'2027'!Maxi_hp)</f>
        <v>38.775386152374139</v>
      </c>
      <c r="J305" s="85">
        <f>IF(H305,An,'2027'!An_max)</f>
        <v>2020</v>
      </c>
      <c r="K305" s="197">
        <f t="shared" si="104"/>
        <v>47043</v>
      </c>
      <c r="L305" s="147">
        <f>IF(t&lt;Tvie,1-EXP((T0-t)*PertePVj)+'2027'!Pspv,1-EXP((T0-t)*PertePVj)+Pspv)</f>
        <v>6.5987606459809389E-2</v>
      </c>
      <c r="M305" s="832"/>
      <c r="N305" s="832"/>
      <c r="O305" s="48">
        <f>IF(t&lt;Tnet,'2027'!Resal+('2027'!Salim-'2027'!Resal)*(1-EXP(('2027'!Tnet-t)/('2027'!Tau_j))),Resal+(Salim-Resal)*(1-EXP((Tnet-t)/(Tau_j))))*Salcycl</f>
        <v>5.2867422252355953E-2</v>
      </c>
      <c r="P305" s="169">
        <f>(INDEX(Models!$BJ305:$BT305,,T305)*(1-R305)+INDEX(Models!$BJ305:$BT305,,T305+1)*R305-ERP_i)*Q305*Ramure*Pc/MaxiM</f>
        <v>1.4978858438411441E-3</v>
      </c>
      <c r="Q305" s="304">
        <f t="shared" si="105"/>
        <v>0.6</v>
      </c>
      <c r="R305" s="177">
        <f t="shared" si="106"/>
        <v>0.9719051316336148</v>
      </c>
      <c r="S305" s="799">
        <f t="shared" si="107"/>
        <v>-1</v>
      </c>
      <c r="T305" s="176">
        <f t="shared" si="108"/>
        <v>5</v>
      </c>
      <c r="U305" s="250">
        <f t="shared" si="109"/>
        <v>-2.8094868366385195E-2</v>
      </c>
      <c r="V305" s="382">
        <f t="shared" si="110"/>
        <v>34.692850550761186</v>
      </c>
      <c r="W305" s="400">
        <f t="shared" si="111"/>
        <v>33.32293685782372</v>
      </c>
      <c r="X305" s="157">
        <f t="shared" si="112"/>
        <v>47043</v>
      </c>
      <c r="Y305" s="383">
        <f t="shared" si="113"/>
        <v>31.863355720037021</v>
      </c>
      <c r="Z305" s="383">
        <f t="shared" si="114"/>
        <v>34.114489208505283</v>
      </c>
      <c r="AA305" s="384">
        <f t="shared" si="115"/>
        <v>37.28003800395846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8.4912703015942545E-2</v>
      </c>
      <c r="AD305" s="230">
        <f>(INDEX(Models!$BJ305:$BT305,,AH305)*(1-AF305)+INDEX(Models!$BJ305:$BT305,,AH305+1)*AF305-ERP_i)*AE305*Ramure*Pc/MaxiM</f>
        <v>1.2415289074632175E-2</v>
      </c>
      <c r="AE305" s="304">
        <f t="shared" si="117"/>
        <v>0.6</v>
      </c>
      <c r="AF305" s="177">
        <f t="shared" si="118"/>
        <v>0.49689269800759339</v>
      </c>
      <c r="AG305" s="799">
        <f t="shared" si="124"/>
        <v>3</v>
      </c>
      <c r="AH305" s="176">
        <f t="shared" si="119"/>
        <v>9</v>
      </c>
      <c r="AI305" s="224">
        <f t="shared" si="120"/>
        <v>3.4968926980075934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'2027'!Wh/'2027'!Env_an*'2028'!Env_an</f>
        <v>15.4898084145134</v>
      </c>
      <c r="C306" s="829"/>
      <c r="D306" s="391">
        <f t="shared" si="102"/>
        <v>16.584475094741524</v>
      </c>
      <c r="E306" s="383">
        <f t="shared" si="125"/>
        <v>17.510747094638223</v>
      </c>
      <c r="F306" s="383">
        <f t="shared" si="103"/>
        <v>17.516624615440104</v>
      </c>
      <c r="G306" s="110">
        <f t="shared" si="126"/>
        <v>0.45016136955877939</v>
      </c>
      <c r="H306" s="412" t="b">
        <f>Wh_hp&gt;='2027'!Maxi_hp</f>
        <v>0</v>
      </c>
      <c r="I306" s="388">
        <f>IF(H306,Wh_hp,'2027'!Maxi_hp)</f>
        <v>38.555741543850147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6.6005506594249197E-2</v>
      </c>
      <c r="M306" s="832"/>
      <c r="N306" s="832"/>
      <c r="O306" s="48">
        <f>IF(t&lt;Tnet,'2027'!Resal+('2027'!Salim-'2027'!Resal)*(1-EXP(('2027'!Tnet-t)/('2027'!Tau_j))),Resal+(Salim-Resal)*(1-EXP((Tnet-t)/(Tau_j))))*Salcycl</f>
        <v>5.2897343265286639E-2</v>
      </c>
      <c r="P306" s="169">
        <f>(INDEX(Models!$BJ306:$BT306,,T306)*(1-R306)+INDEX(Models!$BJ306:$BT306,,T306+1)*R306-ERP_i)*Q306*Ramure*Pc/MaxiM</f>
        <v>1.558446302951729E-3</v>
      </c>
      <c r="Q306" s="304">
        <f t="shared" si="105"/>
        <v>0.6</v>
      </c>
      <c r="R306" s="177">
        <f t="shared" si="106"/>
        <v>0.97200070951504491</v>
      </c>
      <c r="S306" s="799">
        <f t="shared" si="107"/>
        <v>-1</v>
      </c>
      <c r="T306" s="176">
        <f t="shared" si="108"/>
        <v>5</v>
      </c>
      <c r="U306" s="250">
        <f t="shared" si="109"/>
        <v>-2.7999290484955086E-2</v>
      </c>
      <c r="V306" s="382">
        <f t="shared" si="110"/>
        <v>34.367363598191901</v>
      </c>
      <c r="W306" s="400">
        <f t="shared" si="111"/>
        <v>15.4898084145134</v>
      </c>
      <c r="X306" s="157">
        <f t="shared" si="112"/>
        <v>47044</v>
      </c>
      <c r="Y306" s="383">
        <f t="shared" si="113"/>
        <v>14.930491721111112</v>
      </c>
      <c r="Z306" s="383">
        <f t="shared" si="114"/>
        <v>15.985631421303177</v>
      </c>
      <c r="AA306" s="384">
        <f t="shared" si="115"/>
        <v>17.468537199765798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8.4890094774650107E-2</v>
      </c>
      <c r="AD306" s="230">
        <f>(INDEX(Models!$BJ306:$BT306,,AH306)*(1-AF306)+INDEX(Models!$BJ306:$BT306,,AH306+1)*AF306-ERP_i)*AE306*Ramure*Pc/MaxiM</f>
        <v>1.2750555498184577E-2</v>
      </c>
      <c r="AE306" s="304">
        <f t="shared" si="117"/>
        <v>0.6</v>
      </c>
      <c r="AF306" s="177">
        <f t="shared" si="118"/>
        <v>0.49698827588902361</v>
      </c>
      <c r="AG306" s="799">
        <f t="shared" si="124"/>
        <v>3</v>
      </c>
      <c r="AH306" s="176">
        <f t="shared" si="119"/>
        <v>9</v>
      </c>
      <c r="AI306" s="224">
        <f t="shared" si="120"/>
        <v>3.4969882758890236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'2027'!Wh/'2027'!Env_an*'2028'!Env_an</f>
        <v>6.5232010396922835</v>
      </c>
      <c r="C307" s="829"/>
      <c r="D307" s="391">
        <f t="shared" si="102"/>
        <v>6.984330318652181</v>
      </c>
      <c r="E307" s="383">
        <f t="shared" si="125"/>
        <v>7.3746446883288677</v>
      </c>
      <c r="F307" s="383">
        <f t="shared" si="103"/>
        <v>7.3746446883288677</v>
      </c>
      <c r="G307" s="110">
        <f t="shared" si="126"/>
        <v>0.19131386388903976</v>
      </c>
      <c r="H307" s="412" t="b">
        <f>Wh_hp&gt;='2027'!Maxi_hp</f>
        <v>0</v>
      </c>
      <c r="I307" s="388">
        <f>IF(H307,Wh_hp,'2027'!Maxi_hp)</f>
        <v>31.702695928532638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6.6023406385636862E-2</v>
      </c>
      <c r="M307" s="832"/>
      <c r="N307" s="832"/>
      <c r="O307" s="48">
        <f>IF(t&lt;Tnet,'2027'!Resal+('2027'!Salim-'2027'!Resal)*(1-EXP(('2027'!Tnet-t)/('2027'!Tau_j))),Resal+(Salim-Resal)*(1-EXP((Tnet-t)/(Tau_j))))*Salcycl</f>
        <v>5.292653221576895E-2</v>
      </c>
      <c r="P307" s="169">
        <f>(INDEX(Models!$BJ307:$BT307,,T307)*(1-R307)+INDEX(Models!$BJ307:$BT307,,T307+1)*R307-ERP_i)*Q307*Ramure*Pc/MaxiM</f>
        <v>1.618967840965331E-3</v>
      </c>
      <c r="Q307" s="304">
        <f t="shared" si="105"/>
        <v>0.6</v>
      </c>
      <c r="R307" s="177">
        <f t="shared" si="106"/>
        <v>0.9720924736280383</v>
      </c>
      <c r="S307" s="799">
        <f t="shared" si="107"/>
        <v>-1</v>
      </c>
      <c r="T307" s="176">
        <f t="shared" si="108"/>
        <v>5</v>
      </c>
      <c r="U307" s="250">
        <f t="shared" si="109"/>
        <v>-2.7907526371961699E-2</v>
      </c>
      <c r="V307" s="382">
        <f t="shared" si="110"/>
        <v>34.041653096119262</v>
      </c>
      <c r="W307" s="400">
        <f t="shared" si="111"/>
        <v>6.5232010396922835</v>
      </c>
      <c r="X307" s="157">
        <f t="shared" si="112"/>
        <v>47045</v>
      </c>
      <c r="Y307" s="383">
        <f t="shared" si="113"/>
        <v>6.3032068656773719</v>
      </c>
      <c r="Z307" s="383">
        <f t="shared" si="114"/>
        <v>6.7487846149171826</v>
      </c>
      <c r="AA307" s="384">
        <f t="shared" si="115"/>
        <v>7.3746446883288677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8.4866471519932762E-2</v>
      </c>
      <c r="AD307" s="230">
        <f>(INDEX(Models!$BJ307:$BT307,,AH307)*(1-AF307)+INDEX(Models!$BJ307:$BT307,,AH307+1)*AF307-ERP_i)*AE307*Ramure*Pc/MaxiM</f>
        <v>1.3075986051472813E-2</v>
      </c>
      <c r="AE307" s="304">
        <f t="shared" si="117"/>
        <v>0.6</v>
      </c>
      <c r="AF307" s="177">
        <f t="shared" si="118"/>
        <v>0.49708004000201678</v>
      </c>
      <c r="AG307" s="799">
        <f t="shared" si="124"/>
        <v>3</v>
      </c>
      <c r="AH307" s="176">
        <f t="shared" si="119"/>
        <v>9</v>
      </c>
      <c r="AI307" s="224">
        <f t="shared" si="120"/>
        <v>3.4970800400020168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'2027'!Wh/'2027'!Env_an*'2028'!Env_an</f>
        <v>15.87651842758066</v>
      </c>
      <c r="C308" s="829"/>
      <c r="D308" s="391">
        <f t="shared" si="102"/>
        <v>16.999165516369661</v>
      </c>
      <c r="E308" s="383">
        <f t="shared" si="125"/>
        <v>17.949691767521571</v>
      </c>
      <c r="F308" s="383">
        <f t="shared" si="103"/>
        <v>17.957053891678861</v>
      </c>
      <c r="G308" s="110">
        <f t="shared" si="126"/>
        <v>0.47028889828650428</v>
      </c>
      <c r="H308" s="412" t="b">
        <f>Wh_hp&gt;='2027'!Maxi_hp</f>
        <v>0</v>
      </c>
      <c r="I308" s="388">
        <f>IF(H308,Wh_hp,'2027'!Maxi_hp)</f>
        <v>24.418087613545492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6.6041305833979158E-2</v>
      </c>
      <c r="M308" s="832"/>
      <c r="N308" s="832"/>
      <c r="O308" s="48">
        <f>IF(t&lt;Tnet,'2027'!Resal+('2027'!Salim-'2027'!Resal)*(1-EXP(('2027'!Tnet-t)/('2027'!Tau_j))),Resal+(Salim-Resal)*(1-EXP((Tnet-t)/(Tau_j))))*Salcycl</f>
        <v>5.2955018028321039E-2</v>
      </c>
      <c r="P308" s="169">
        <f>(INDEX(Models!$BJ308:$BT308,,T308)*(1-R308)+INDEX(Models!$BJ308:$BT308,,T308+1)*R308-ERP_i)*Q308*Ramure*Pc/MaxiM</f>
        <v>1.6794122610202635E-3</v>
      </c>
      <c r="Q308" s="304">
        <f t="shared" si="105"/>
        <v>0.6</v>
      </c>
      <c r="R308" s="177">
        <f t="shared" si="106"/>
        <v>0.97218057482332365</v>
      </c>
      <c r="S308" s="799">
        <f t="shared" si="107"/>
        <v>-1</v>
      </c>
      <c r="T308" s="176">
        <f t="shared" si="108"/>
        <v>5</v>
      </c>
      <c r="U308" s="250">
        <f t="shared" si="109"/>
        <v>-2.7819425176676404E-2</v>
      </c>
      <c r="V308" s="382">
        <f t="shared" si="110"/>
        <v>33.716203242393469</v>
      </c>
      <c r="W308" s="400">
        <f t="shared" si="111"/>
        <v>15.87651842758066</v>
      </c>
      <c r="X308" s="157">
        <f t="shared" si="112"/>
        <v>47046</v>
      </c>
      <c r="Y308" s="383">
        <f t="shared" si="113"/>
        <v>15.29807548431018</v>
      </c>
      <c r="Z308" s="383">
        <f t="shared" si="114"/>
        <v>16.379820199618795</v>
      </c>
      <c r="AA308" s="384">
        <f t="shared" si="115"/>
        <v>17.898349883823784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8.4841881741143557E-2</v>
      </c>
      <c r="AD308" s="230">
        <f>(INDEX(Models!$BJ308:$BT308,,AH308)*(1-AF308)+INDEX(Models!$BJ308:$BT308,,AH308+1)*AF308-ERP_i)*AE308*Ramure*Pc/MaxiM</f>
        <v>1.3391275188593637E-2</v>
      </c>
      <c r="AE308" s="304">
        <f t="shared" si="117"/>
        <v>0.6</v>
      </c>
      <c r="AF308" s="177">
        <f t="shared" si="118"/>
        <v>0.49716814119730213</v>
      </c>
      <c r="AG308" s="799">
        <f t="shared" si="124"/>
        <v>3</v>
      </c>
      <c r="AH308" s="176">
        <f t="shared" si="119"/>
        <v>9</v>
      </c>
      <c r="AI308" s="224">
        <f t="shared" si="120"/>
        <v>3.4971681411973021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'2027'!Wh/'2027'!Env_an*'2028'!Env_an</f>
        <v>32.078335590205661</v>
      </c>
      <c r="C309" s="829"/>
      <c r="D309" s="391">
        <f t="shared" si="102"/>
        <v>34.347290277774178</v>
      </c>
      <c r="E309" s="383">
        <f t="shared" si="125"/>
        <v>36.268920408650054</v>
      </c>
      <c r="F309" s="383">
        <f t="shared" si="103"/>
        <v>36.328571924477892</v>
      </c>
      <c r="G309" s="110">
        <f t="shared" si="126"/>
        <v>0.96057970010542371</v>
      </c>
      <c r="H309" s="412" t="b">
        <f>Wh_hp&gt;='2027'!Maxi_hp</f>
        <v>0</v>
      </c>
      <c r="I309" s="388">
        <f>IF(H309,Wh_hp,'2027'!Maxi_hp)</f>
        <v>36.331434170598492</v>
      </c>
      <c r="J309" s="85">
        <f>IF(H309,An,'2027'!An_max)</f>
        <v>2026</v>
      </c>
      <c r="K309" s="197">
        <f t="shared" si="104"/>
        <v>47047</v>
      </c>
      <c r="L309" s="147">
        <f>IF(t&lt;Tvie,1-EXP((T0-t)*PertePVj)+'2027'!Pspv,1-EXP((T0-t)*PertePVj)+Pspv)</f>
        <v>6.6059204939282634E-2</v>
      </c>
      <c r="M309" s="832"/>
      <c r="N309" s="832"/>
      <c r="O309" s="48">
        <f>IF(t&lt;Tnet,'2027'!Resal+('2027'!Salim-'2027'!Resal)*(1-EXP(('2027'!Tnet-t)/('2027'!Tau_j))),Resal+(Salim-Resal)*(1-EXP((Tnet-t)/(Tau_j))))*Salcycl</f>
        <v>5.2982832387191044E-2</v>
      </c>
      <c r="P309" s="169">
        <f>(INDEX(Models!$BJ309:$BT309,,T309)*(1-R309)+INDEX(Models!$BJ309:$BT309,,T309+1)*R309-ERP_i)*Q309*Ramure*Pc/MaxiM</f>
        <v>1.7397391890369665E-3</v>
      </c>
      <c r="Q309" s="304">
        <f t="shared" si="105"/>
        <v>0.6</v>
      </c>
      <c r="R309" s="177">
        <f t="shared" si="106"/>
        <v>0.97226515808916947</v>
      </c>
      <c r="S309" s="799">
        <f t="shared" si="107"/>
        <v>-1</v>
      </c>
      <c r="T309" s="176">
        <f t="shared" si="108"/>
        <v>5</v>
      </c>
      <c r="U309" s="250">
        <f t="shared" si="109"/>
        <v>-2.7734841910830477E-2</v>
      </c>
      <c r="V309" s="382">
        <f t="shared" si="110"/>
        <v>33.391497988324943</v>
      </c>
      <c r="W309" s="400">
        <f t="shared" si="111"/>
        <v>32.078335590205661</v>
      </c>
      <c r="X309" s="157">
        <f t="shared" si="112"/>
        <v>47047</v>
      </c>
      <c r="Y309" s="383">
        <f t="shared" si="113"/>
        <v>30.649636854027548</v>
      </c>
      <c r="Z309" s="383">
        <f t="shared" si="114"/>
        <v>32.817537274442493</v>
      </c>
      <c r="AA309" s="384">
        <f t="shared" si="115"/>
        <v>35.858964793428264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8.4816378177854132E-2</v>
      </c>
      <c r="AD309" s="230">
        <f>(INDEX(Models!$BJ309:$BT309,,AH309)*(1-AF309)+INDEX(Models!$BJ309:$BT309,,AH309+1)*AF309-ERP_i)*AE309*Ramure*Pc/MaxiM</f>
        <v>1.3696113468369676E-2</v>
      </c>
      <c r="AE309" s="304">
        <f t="shared" si="117"/>
        <v>0.6</v>
      </c>
      <c r="AF309" s="177">
        <f t="shared" si="118"/>
        <v>0.49725272446314817</v>
      </c>
      <c r="AG309" s="799">
        <f t="shared" si="124"/>
        <v>3</v>
      </c>
      <c r="AH309" s="176">
        <f t="shared" si="119"/>
        <v>9</v>
      </c>
      <c r="AI309" s="224">
        <f t="shared" si="120"/>
        <v>3.4972527244631482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'2027'!Wh/'2027'!Env_an*'2028'!Env_an</f>
        <v>16.487769817118668</v>
      </c>
      <c r="C310" s="829"/>
      <c r="D310" s="391">
        <f t="shared" si="102"/>
        <v>17.654315878181237</v>
      </c>
      <c r="E310" s="383">
        <f t="shared" si="125"/>
        <v>18.642558061345078</v>
      </c>
      <c r="F310" s="383">
        <f t="shared" si="103"/>
        <v>18.652073179406738</v>
      </c>
      <c r="G310" s="110">
        <f t="shared" si="126"/>
        <v>0.49795823975549824</v>
      </c>
      <c r="H310" s="412" t="b">
        <f>Wh_hp&gt;='2027'!Maxi_hp</f>
        <v>0</v>
      </c>
      <c r="I310" s="388">
        <f>IF(H310,Wh_hp,'2027'!Maxi_hp)</f>
        <v>37.404529448025627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6.6077103701553841E-2</v>
      </c>
      <c r="M310" s="832"/>
      <c r="N310" s="832"/>
      <c r="O310" s="48">
        <f>IF(t&lt;Tnet,'2027'!Resal+('2027'!Salim-'2027'!Resal)*(1-EXP(('2027'!Tnet-t)/('2027'!Tau_j))),Resal+(Salim-Resal)*(1-EXP((Tnet-t)/(Tau_j))))*Salcycl</f>
        <v>5.3010009673132755E-2</v>
      </c>
      <c r="P310" s="169">
        <f>(INDEX(Models!$BJ310:$BT310,,T310)*(1-R310)+INDEX(Models!$BJ310:$BT310,,T310+1)*R310-ERP_i)*Q310*Ramure*Pc/MaxiM</f>
        <v>1.7980604020987733E-3</v>
      </c>
      <c r="Q310" s="304">
        <f t="shared" si="105"/>
        <v>0.6</v>
      </c>
      <c r="R310" s="177">
        <f t="shared" si="106"/>
        <v>0.97234636277099129</v>
      </c>
      <c r="S310" s="799">
        <f t="shared" si="107"/>
        <v>-1</v>
      </c>
      <c r="T310" s="176">
        <f t="shared" si="108"/>
        <v>5</v>
      </c>
      <c r="U310" s="250">
        <f t="shared" si="109"/>
        <v>-2.765363722900871E-2</v>
      </c>
      <c r="V310" s="382">
        <f t="shared" si="110"/>
        <v>33.06808218918669</v>
      </c>
      <c r="W310" s="400">
        <f t="shared" si="111"/>
        <v>16.487769817118668</v>
      </c>
      <c r="X310" s="157">
        <f t="shared" si="112"/>
        <v>47048</v>
      </c>
      <c r="Y310" s="383">
        <f t="shared" si="113"/>
        <v>15.879311881050159</v>
      </c>
      <c r="Z310" s="383">
        <f t="shared" si="114"/>
        <v>17.002808201819409</v>
      </c>
      <c r="AA310" s="384">
        <f t="shared" si="115"/>
        <v>18.578040592527255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8.4790017701945372E-2</v>
      </c>
      <c r="AD310" s="230">
        <f>(INDEX(Models!$BJ310:$BT310,,AH310)*(1-AF310)+INDEX(Models!$BJ310:$BT310,,AH310+1)*AF310-ERP_i)*AE310*Ramure*Pc/MaxiM</f>
        <v>1.3989848793291357E-2</v>
      </c>
      <c r="AE310" s="304">
        <f t="shared" si="117"/>
        <v>0.6</v>
      </c>
      <c r="AF310" s="177">
        <f t="shared" si="118"/>
        <v>0.49733392914496966</v>
      </c>
      <c r="AG310" s="799">
        <f t="shared" si="124"/>
        <v>3</v>
      </c>
      <c r="AH310" s="176">
        <f t="shared" si="119"/>
        <v>9</v>
      </c>
      <c r="AI310" s="224">
        <f t="shared" si="120"/>
        <v>3.4973339291449697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'2027'!Wh/'2027'!Env_an*'2028'!Env_an</f>
        <v>24.396089090008001</v>
      </c>
      <c r="C311" s="829"/>
      <c r="D311" s="391">
        <f t="shared" si="102"/>
        <v>26.122666808089622</v>
      </c>
      <c r="E311" s="383">
        <f t="shared" si="125"/>
        <v>27.585719201204558</v>
      </c>
      <c r="F311" s="383">
        <f t="shared" si="103"/>
        <v>27.618262087008958</v>
      </c>
      <c r="G311" s="110">
        <f t="shared" si="126"/>
        <v>0.74449556028482333</v>
      </c>
      <c r="H311" s="412" t="b">
        <f>Wh_hp&gt;='2027'!Maxi_hp</f>
        <v>0</v>
      </c>
      <c r="I311" s="388">
        <f>IF(H311,Wh_hp,'2027'!Maxi_hp)</f>
        <v>38.420312161688102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6.609500212079944E-2</v>
      </c>
      <c r="M311" s="832"/>
      <c r="N311" s="832"/>
      <c r="O311" s="48">
        <f>IF(t&lt;Tnet,'2027'!Resal+('2027'!Salim-'2027'!Resal)*(1-EXP(('2027'!Tnet-t)/('2027'!Tau_j))),Resal+(Salim-Resal)*(1-EXP((Tnet-t)/(Tau_j))))*Salcycl</f>
        <v>5.3036586881919999E-2</v>
      </c>
      <c r="P311" s="169">
        <f>(INDEX(Models!$BJ311:$BT311,,T311)*(1-R311)+INDEX(Models!$BJ311:$BT311,,T311+1)*R311-ERP_i)*Q311*Ramure*Pc/MaxiM</f>
        <v>1.8535253787266412E-3</v>
      </c>
      <c r="Q311" s="304">
        <f t="shared" si="105"/>
        <v>0.6</v>
      </c>
      <c r="R311" s="177">
        <f t="shared" si="106"/>
        <v>0.97242432278338398</v>
      </c>
      <c r="S311" s="799">
        <f t="shared" si="107"/>
        <v>-1</v>
      </c>
      <c r="T311" s="176">
        <f t="shared" si="108"/>
        <v>5</v>
      </c>
      <c r="U311" s="250">
        <f t="shared" si="109"/>
        <v>-2.7575677216616024E-2</v>
      </c>
      <c r="V311" s="382">
        <f t="shared" si="110"/>
        <v>32.746463986274975</v>
      </c>
      <c r="W311" s="400">
        <f t="shared" si="111"/>
        <v>24.396089090008001</v>
      </c>
      <c r="X311" s="157">
        <f t="shared" si="112"/>
        <v>47049</v>
      </c>
      <c r="Y311" s="383">
        <f t="shared" si="113"/>
        <v>23.392303401607585</v>
      </c>
      <c r="Z311" s="383">
        <f t="shared" si="114"/>
        <v>25.047840470635698</v>
      </c>
      <c r="AA311" s="384">
        <f t="shared" si="115"/>
        <v>27.367596230511467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8.4762861171180648E-2</v>
      </c>
      <c r="AD311" s="230">
        <f>(INDEX(Models!$BJ311:$BT311,,AH311)*(1-AF311)+INDEX(Models!$BJ311:$BT311,,AH311+1)*AF311-ERP_i)*AE311*Ramure*Pc/MaxiM</f>
        <v>1.4277022922642612E-2</v>
      </c>
      <c r="AE311" s="304">
        <f t="shared" si="117"/>
        <v>0.6</v>
      </c>
      <c r="AF311" s="177">
        <f t="shared" si="118"/>
        <v>0.49741188915736245</v>
      </c>
      <c r="AG311" s="799">
        <f t="shared" si="124"/>
        <v>3</v>
      </c>
      <c r="AH311" s="176">
        <f t="shared" si="119"/>
        <v>9</v>
      </c>
      <c r="AI311" s="224">
        <f t="shared" si="120"/>
        <v>3.4974118891573625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'2027'!Wh/'2027'!Env_an*'2028'!Env_an</f>
        <v>21.571422520488927</v>
      </c>
      <c r="C312" s="829"/>
      <c r="D312" s="391">
        <f t="shared" si="102"/>
        <v>23.098533564753097</v>
      </c>
      <c r="E312" s="383">
        <f t="shared" si="125"/>
        <v>24.392883469099743</v>
      </c>
      <c r="F312" s="383">
        <f t="shared" si="103"/>
        <v>24.417166654618033</v>
      </c>
      <c r="G312" s="110">
        <f t="shared" si="126"/>
        <v>0.66462073264260901</v>
      </c>
      <c r="H312" s="412" t="b">
        <f>Wh_hp&gt;='2027'!Maxi_hp</f>
        <v>0</v>
      </c>
      <c r="I312" s="388">
        <f>IF(H312,Wh_hp,'2027'!Maxi_hp)</f>
        <v>35.228620832517834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6.6112900197025759E-2</v>
      </c>
      <c r="M312" s="832"/>
      <c r="N312" s="832"/>
      <c r="O312" s="48">
        <f>IF(t&lt;Tnet,'2027'!Resal+('2027'!Salim-'2027'!Resal)*(1-EXP(('2027'!Tnet-t)/('2027'!Tau_j))),Resal+(Salim-Resal)*(1-EXP((Tnet-t)/(Tau_j))))*Salcycl</f>
        <v>5.3062603524765446E-2</v>
      </c>
      <c r="P312" s="169">
        <f>(INDEX(Models!$BJ312:$BT312,,T312)*(1-R312)+INDEX(Models!$BJ312:$BT312,,T312+1)*R312-ERP_i)*Q312*Ramure*Pc/MaxiM</f>
        <v>1.9060955472625352E-3</v>
      </c>
      <c r="Q312" s="304">
        <f t="shared" si="105"/>
        <v>0.6</v>
      </c>
      <c r="R312" s="177">
        <f t="shared" si="106"/>
        <v>0.9724991668147922</v>
      </c>
      <c r="S312" s="799">
        <f t="shared" si="107"/>
        <v>-1</v>
      </c>
      <c r="T312" s="176">
        <f t="shared" si="108"/>
        <v>5</v>
      </c>
      <c r="U312" s="250">
        <f t="shared" si="109"/>
        <v>-2.7500833185207796E-2</v>
      </c>
      <c r="V312" s="382">
        <f t="shared" si="110"/>
        <v>32.427123847225729</v>
      </c>
      <c r="W312" s="400">
        <f t="shared" si="111"/>
        <v>21.571422520488927</v>
      </c>
      <c r="X312" s="157">
        <f t="shared" si="112"/>
        <v>47050</v>
      </c>
      <c r="Y312" s="383">
        <f t="shared" si="113"/>
        <v>20.712154265891879</v>
      </c>
      <c r="Z312" s="383">
        <f t="shared" si="114"/>
        <v>22.178434920304181</v>
      </c>
      <c r="AA312" s="384">
        <f t="shared" si="115"/>
        <v>24.231708054191444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8.4734973254685597E-2</v>
      </c>
      <c r="AD312" s="230">
        <f>(INDEX(Models!$BJ312:$BT312,,AH312)*(1-AF312)+INDEX(Models!$BJ312:$BT312,,AH312+1)*AF312-ERP_i)*AE312*Ramure*Pc/MaxiM</f>
        <v>1.4557472791550312E-2</v>
      </c>
      <c r="AE312" s="304">
        <f t="shared" si="117"/>
        <v>0.6</v>
      </c>
      <c r="AF312" s="177">
        <f t="shared" si="118"/>
        <v>0.49748673318877046</v>
      </c>
      <c r="AG312" s="799">
        <f t="shared" si="124"/>
        <v>3</v>
      </c>
      <c r="AH312" s="176">
        <f t="shared" si="119"/>
        <v>9</v>
      </c>
      <c r="AI312" s="224">
        <f t="shared" si="120"/>
        <v>3.4974867331887705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'2027'!Wh/'2027'!Env_an*'2028'!Env_an</f>
        <v>12.025890276928669</v>
      </c>
      <c r="C313" s="829"/>
      <c r="D313" s="391">
        <f t="shared" si="102"/>
        <v>12.8774888927436</v>
      </c>
      <c r="E313" s="383">
        <f t="shared" si="125"/>
        <v>13.599458316335292</v>
      </c>
      <c r="F313" s="383">
        <f t="shared" si="103"/>
        <v>13.602290138411774</v>
      </c>
      <c r="G313" s="110">
        <f t="shared" si="126"/>
        <v>0.373860712461831</v>
      </c>
      <c r="H313" s="412" t="b">
        <f>Wh_hp&gt;='2027'!Maxi_hp</f>
        <v>0</v>
      </c>
      <c r="I313" s="388">
        <f>IF(H313,Wh_hp,'2027'!Maxi_hp)</f>
        <v>35.899581400046522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6.6130797930239571E-2</v>
      </c>
      <c r="M313" s="832"/>
      <c r="N313" s="832"/>
      <c r="O313" s="48">
        <f>IF(t&lt;Tnet,'2027'!Resal+('2027'!Salim-'2027'!Resal)*(1-EXP(('2027'!Tnet-t)/('2027'!Tau_j))),Resal+(Salim-Resal)*(1-EXP((Tnet-t)/(Tau_j))))*Salcycl</f>
        <v>5.3088101510961272E-2</v>
      </c>
      <c r="P313" s="169">
        <f>(INDEX(Models!$BJ313:$BT313,,T313)*(1-R313)+INDEX(Models!$BJ313:$BT313,,T313+1)*R313-ERP_i)*Q313*Ramure*Pc/MaxiM</f>
        <v>1.9557185853008546E-3</v>
      </c>
      <c r="Q313" s="304">
        <f t="shared" si="105"/>
        <v>0.6</v>
      </c>
      <c r="R313" s="177">
        <f t="shared" si="106"/>
        <v>0.9725710185250217</v>
      </c>
      <c r="S313" s="799">
        <f t="shared" si="107"/>
        <v>-1</v>
      </c>
      <c r="T313" s="176">
        <f t="shared" si="108"/>
        <v>5</v>
      </c>
      <c r="U313" s="250">
        <f t="shared" si="109"/>
        <v>-2.7428981474978298E-2</v>
      </c>
      <c r="V313" s="382">
        <f t="shared" si="110"/>
        <v>32.110542454542333</v>
      </c>
      <c r="W313" s="400">
        <f t="shared" si="111"/>
        <v>12.025890276928669</v>
      </c>
      <c r="X313" s="157">
        <f t="shared" si="112"/>
        <v>47051</v>
      </c>
      <c r="Y313" s="383">
        <f t="shared" si="113"/>
        <v>11.608398665719218</v>
      </c>
      <c r="Z313" s="383">
        <f t="shared" si="114"/>
        <v>12.430433127028067</v>
      </c>
      <c r="AA313" s="384">
        <f t="shared" si="115"/>
        <v>13.580815411517291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8.4706422230997724E-2</v>
      </c>
      <c r="AD313" s="230">
        <f>(INDEX(Models!$BJ313:$BT313,,AH313)*(1-AF313)+INDEX(Models!$BJ313:$BT313,,AH313+1)*AF313-ERP_i)*AE313*Ramure*Pc/MaxiM</f>
        <v>1.4830918527893554E-2</v>
      </c>
      <c r="AE313" s="304">
        <f t="shared" si="117"/>
        <v>0.6</v>
      </c>
      <c r="AF313" s="177">
        <f t="shared" si="118"/>
        <v>0.49755858489900007</v>
      </c>
      <c r="AG313" s="799">
        <f t="shared" si="124"/>
        <v>3</v>
      </c>
      <c r="AH313" s="176">
        <f t="shared" si="119"/>
        <v>9</v>
      </c>
      <c r="AI313" s="224">
        <f t="shared" si="120"/>
        <v>3.4975585848990001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'2027'!Wh/'2027'!Env_an*'2028'!Env_an</f>
        <v>13.913253357489777</v>
      </c>
      <c r="C314" s="829"/>
      <c r="D314" s="391">
        <f t="shared" si="102"/>
        <v>14.89878879835592</v>
      </c>
      <c r="E314" s="383">
        <f t="shared" si="125"/>
        <v>15.734497110400651</v>
      </c>
      <c r="F314" s="383">
        <f t="shared" si="103"/>
        <v>15.740690999385508</v>
      </c>
      <c r="G314" s="110">
        <f t="shared" si="126"/>
        <v>0.43685796658652687</v>
      </c>
      <c r="H314" s="412" t="b">
        <f>Wh_hp&gt;='2027'!Maxi_hp</f>
        <v>0</v>
      </c>
      <c r="I314" s="388">
        <f>IF(H314,Wh_hp,'2027'!Maxi_hp)</f>
        <v>30.879725572368368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6.6148695320447537E-2</v>
      </c>
      <c r="M314" s="832"/>
      <c r="N314" s="832"/>
      <c r="O314" s="48">
        <f>IF(t&lt;Tnet,'2027'!Resal+('2027'!Salim-'2027'!Resal)*(1-EXP(('2027'!Tnet-t)/('2027'!Tau_j))),Resal+(Salim-Resal)*(1-EXP((Tnet-t)/(Tau_j))))*Salcycl</f>
        <v>5.3113125013211922E-2</v>
      </c>
      <c r="P314" s="169">
        <f>(INDEX(Models!$BJ314:$BT314,,T314)*(1-R314)+INDEX(Models!$BJ314:$BT314,,T314+1)*R314-ERP_i)*Q314*Ramure*Pc/MaxiM</f>
        <v>2.0023431408413544E-3</v>
      </c>
      <c r="Q314" s="304">
        <f t="shared" si="105"/>
        <v>0.6</v>
      </c>
      <c r="R314" s="177">
        <f t="shared" si="106"/>
        <v>0.97263999673579904</v>
      </c>
      <c r="S314" s="799">
        <f t="shared" si="107"/>
        <v>-1</v>
      </c>
      <c r="T314" s="176">
        <f t="shared" si="108"/>
        <v>5</v>
      </c>
      <c r="U314" s="250">
        <f t="shared" si="109"/>
        <v>-2.7360003264201016E-2</v>
      </c>
      <c r="V314" s="382">
        <f t="shared" si="110"/>
        <v>31.797200238219592</v>
      </c>
      <c r="W314" s="400">
        <f t="shared" si="111"/>
        <v>13.913253357489777</v>
      </c>
      <c r="X314" s="157">
        <f t="shared" si="112"/>
        <v>47052</v>
      </c>
      <c r="Y314" s="383">
        <f t="shared" si="113"/>
        <v>13.414836039099885</v>
      </c>
      <c r="Z314" s="383">
        <f t="shared" si="114"/>
        <v>14.365066442460169</v>
      </c>
      <c r="AA314" s="384">
        <f t="shared" si="115"/>
        <v>15.693990900484913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8.4677279759585125E-2</v>
      </c>
      <c r="AD314" s="230">
        <f>(INDEX(Models!$BJ314:$BT314,,AH314)*(1-AF314)+INDEX(Models!$BJ314:$BT314,,AH314+1)*AF314-ERP_i)*AE314*Ramure*Pc/MaxiM</f>
        <v>1.5097077609696427E-2</v>
      </c>
      <c r="AE314" s="304">
        <f t="shared" si="117"/>
        <v>0.6</v>
      </c>
      <c r="AF314" s="177">
        <f t="shared" si="118"/>
        <v>0.49762756310977752</v>
      </c>
      <c r="AG314" s="799">
        <f t="shared" si="124"/>
        <v>3</v>
      </c>
      <c r="AH314" s="176">
        <f t="shared" si="119"/>
        <v>9</v>
      </c>
      <c r="AI314" s="224">
        <f t="shared" si="120"/>
        <v>3.4976275631097775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'2027'!Wh/'2027'!Env_an*'2028'!Env_an</f>
        <v>16.738148593604613</v>
      </c>
      <c r="C315" s="829"/>
      <c r="D315" s="391">
        <f t="shared" si="102"/>
        <v>17.924126998243487</v>
      </c>
      <c r="E315" s="383">
        <f t="shared" si="125"/>
        <v>18.93002539316555</v>
      </c>
      <c r="F315" s="383">
        <f t="shared" si="103"/>
        <v>18.942846799480879</v>
      </c>
      <c r="G315" s="110">
        <f t="shared" si="126"/>
        <v>0.530851171145443</v>
      </c>
      <c r="H315" s="412" t="b">
        <f>Wh_hp&gt;='2027'!Maxi_hp</f>
        <v>0</v>
      </c>
      <c r="I315" s="388">
        <f>IF(H315,Wh_hp,'2027'!Maxi_hp)</f>
        <v>35.461193234664123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6.6166592367655985E-2</v>
      </c>
      <c r="M315" s="832"/>
      <c r="N315" s="832"/>
      <c r="O315" s="48">
        <f>IF(t&lt;Tnet,'2027'!Resal+('2027'!Salim-'2027'!Resal)*(1-EXP(('2027'!Tnet-t)/('2027'!Tau_j))),Resal+(Salim-Resal)*(1-EXP((Tnet-t)/(Tau_j))))*Salcycl</f>
        <v>5.3137720316277559E-2</v>
      </c>
      <c r="P315" s="169">
        <f>(INDEX(Models!$BJ315:$BT315,,T315)*(1-R315)+INDEX(Models!$BJ315:$BT315,,T315+1)*R315-ERP_i)*Q315*Ramure*Pc/MaxiM</f>
        <v>2.0459191477667348E-3</v>
      </c>
      <c r="Q315" s="304">
        <f t="shared" si="105"/>
        <v>0.6</v>
      </c>
      <c r="R315" s="177">
        <f t="shared" si="106"/>
        <v>0.97270621561458115</v>
      </c>
      <c r="S315" s="799">
        <f t="shared" si="107"/>
        <v>-1</v>
      </c>
      <c r="T315" s="176">
        <f t="shared" si="108"/>
        <v>5</v>
      </c>
      <c r="U315" s="250">
        <f t="shared" si="109"/>
        <v>-2.7293784385418907E-2</v>
      </c>
      <c r="V315" s="382">
        <f t="shared" si="110"/>
        <v>31.487577396028382</v>
      </c>
      <c r="W315" s="400">
        <f t="shared" si="111"/>
        <v>16.738148593604613</v>
      </c>
      <c r="X315" s="157">
        <f t="shared" si="112"/>
        <v>47053</v>
      </c>
      <c r="Y315" s="383">
        <f t="shared" si="113"/>
        <v>16.109835076516269</v>
      </c>
      <c r="Z315" s="383">
        <f t="shared" si="114"/>
        <v>17.251294443793139</v>
      </c>
      <c r="AA315" s="384">
        <f t="shared" si="115"/>
        <v>18.846615612240306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8.4647620626965736E-2</v>
      </c>
      <c r="AD315" s="230">
        <f>(INDEX(Models!$BJ315:$BT315,,AH315)*(1-AF315)+INDEX(Models!$BJ315:$BT315,,AH315+1)*AF315-ERP_i)*AE315*Ramure*Pc/MaxiM</f>
        <v>1.5355665653649934E-2</v>
      </c>
      <c r="AE315" s="304">
        <f t="shared" si="117"/>
        <v>0.6</v>
      </c>
      <c r="AF315" s="177">
        <f t="shared" si="118"/>
        <v>0.49769378198855962</v>
      </c>
      <c r="AG315" s="799">
        <f t="shared" si="124"/>
        <v>3</v>
      </c>
      <c r="AH315" s="176">
        <f t="shared" si="119"/>
        <v>9</v>
      </c>
      <c r="AI315" s="224">
        <f t="shared" si="120"/>
        <v>3.4976937819885596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'2027'!Wh/'2027'!Env_an*'2028'!Env_an</f>
        <v>25.997245416645068</v>
      </c>
      <c r="C316" s="829"/>
      <c r="D316" s="391">
        <f t="shared" si="102"/>
        <v>27.839808947707617</v>
      </c>
      <c r="E316" s="383">
        <f t="shared" si="125"/>
        <v>29.402925374372771</v>
      </c>
      <c r="F316" s="383">
        <f t="shared" si="103"/>
        <v>29.449773924525605</v>
      </c>
      <c r="G316" s="110">
        <f t="shared" si="126"/>
        <v>0.83330807238490656</v>
      </c>
      <c r="H316" s="412" t="b">
        <f>Wh_hp&gt;='2027'!Maxi_hp</f>
        <v>0</v>
      </c>
      <c r="I316" s="388">
        <f>IF(H316,Wh_hp,'2027'!Maxi_hp)</f>
        <v>29.777598995663187</v>
      </c>
      <c r="J316" s="85">
        <f>IF(H316,An,'2027'!An_max)</f>
        <v>2018</v>
      </c>
      <c r="K316" s="197">
        <f t="shared" si="104"/>
        <v>47054</v>
      </c>
      <c r="L316" s="147">
        <f>IF(t&lt;Tvie,1-EXP((T0-t)*PertePVj)+'2027'!Pspv,1-EXP((T0-t)*PertePVj)+Pspv)</f>
        <v>6.6184489071871577E-2</v>
      </c>
      <c r="M316" s="832"/>
      <c r="N316" s="832"/>
      <c r="O316" s="48">
        <f>IF(t&lt;Tnet,'2027'!Resal+('2027'!Salim-'2027'!Resal)*(1-EXP(('2027'!Tnet-t)/('2027'!Tau_j))),Resal+(Salim-Resal)*(1-EXP((Tnet-t)/(Tau_j))))*Salcycl</f>
        <v>5.3161935649693695E-2</v>
      </c>
      <c r="P316" s="169">
        <f>(INDEX(Models!$BJ316:$BT316,,T316)*(1-R316)+INDEX(Models!$BJ316:$BT316,,T316+1)*R316-ERP_i)*Q316*Ramure*Pc/MaxiM</f>
        <v>2.0863981324536103E-3</v>
      </c>
      <c r="Q316" s="304">
        <f t="shared" si="105"/>
        <v>0.6</v>
      </c>
      <c r="R316" s="177">
        <f t="shared" si="106"/>
        <v>0.97276978485181731</v>
      </c>
      <c r="S316" s="799">
        <f t="shared" si="107"/>
        <v>-1</v>
      </c>
      <c r="T316" s="176">
        <f t="shared" si="108"/>
        <v>5</v>
      </c>
      <c r="U316" s="250">
        <f t="shared" si="109"/>
        <v>-2.7230215148182746E-2</v>
      </c>
      <c r="V316" s="382">
        <f t="shared" si="110"/>
        <v>31.182153911503637</v>
      </c>
      <c r="W316" s="400">
        <f t="shared" si="111"/>
        <v>25.997245416645068</v>
      </c>
      <c r="X316" s="157">
        <f t="shared" si="112"/>
        <v>47054</v>
      </c>
      <c r="Y316" s="383">
        <f t="shared" si="113"/>
        <v>24.874071106971673</v>
      </c>
      <c r="Z316" s="383">
        <f t="shared" si="114"/>
        <v>26.637029280279453</v>
      </c>
      <c r="AA316" s="384">
        <f t="shared" si="115"/>
        <v>29.099343644985844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8.4617522468781722E-2</v>
      </c>
      <c r="AD316" s="230">
        <f>(INDEX(Models!$BJ316:$BT316,,AH316)*(1-AF316)+INDEX(Models!$BJ316:$BT316,,AH316+1)*AF316-ERP_i)*AE316*Ramure*Pc/MaxiM</f>
        <v>1.5606397175617171E-2</v>
      </c>
      <c r="AE316" s="304">
        <f t="shared" si="117"/>
        <v>0.6</v>
      </c>
      <c r="AF316" s="177">
        <f t="shared" si="118"/>
        <v>0.49775735122579556</v>
      </c>
      <c r="AG316" s="799">
        <f t="shared" si="124"/>
        <v>3</v>
      </c>
      <c r="AH316" s="176">
        <f t="shared" si="119"/>
        <v>9</v>
      </c>
      <c r="AI316" s="224">
        <f t="shared" si="120"/>
        <v>3.4977573512257956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'2027'!Wh/'2027'!Env_an*'2028'!Env_an</f>
        <v>22.352633601789496</v>
      </c>
      <c r="C317" s="829"/>
      <c r="D317" s="391">
        <f t="shared" si="102"/>
        <v>23.937342795801403</v>
      </c>
      <c r="E317" s="383">
        <f t="shared" si="125"/>
        <v>25.281985976616639</v>
      </c>
      <c r="F317" s="383">
        <f t="shared" si="103"/>
        <v>25.314541551971029</v>
      </c>
      <c r="G317" s="110">
        <f t="shared" si="126"/>
        <v>0.72325764906958023</v>
      </c>
      <c r="H317" s="412" t="b">
        <f>Wh_hp&gt;='2027'!Maxi_hp</f>
        <v>0</v>
      </c>
      <c r="I317" s="388">
        <f>IF(H317,Wh_hp,'2027'!Maxi_hp)</f>
        <v>28.491037803008169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6.6202385433100974E-2</v>
      </c>
      <c r="M317" s="832"/>
      <c r="N317" s="832"/>
      <c r="O317" s="48">
        <f>IF(t&lt;Tnet,'2027'!Resal+('2027'!Salim-'2027'!Resal)*(1-EXP(('2027'!Tnet-t)/('2027'!Tau_j))),Resal+(Salim-Resal)*(1-EXP((Tnet-t)/(Tau_j))))*Salcycl</f>
        <v>5.3185821005473942E-2</v>
      </c>
      <c r="P317" s="169">
        <f>(INDEX(Models!$BJ317:$BT317,,T317)*(1-R317)+INDEX(Models!$BJ317:$BT317,,T317+1)*R317-ERP_i)*Q317*Ramure*Pc/MaxiM</f>
        <v>2.1238600568758191E-3</v>
      </c>
      <c r="Q317" s="304">
        <f t="shared" si="105"/>
        <v>0.6</v>
      </c>
      <c r="R317" s="177">
        <f t="shared" si="106"/>
        <v>0.97283080983185988</v>
      </c>
      <c r="S317" s="799">
        <f t="shared" si="107"/>
        <v>-1</v>
      </c>
      <c r="T317" s="176">
        <f t="shared" si="108"/>
        <v>5</v>
      </c>
      <c r="U317" s="250">
        <f t="shared" si="109"/>
        <v>-2.7169190168140067E-2</v>
      </c>
      <c r="V317" s="382">
        <f t="shared" si="110"/>
        <v>30.879565650670951</v>
      </c>
      <c r="W317" s="400">
        <f t="shared" si="111"/>
        <v>22.352633601789496</v>
      </c>
      <c r="X317" s="157">
        <f t="shared" si="112"/>
        <v>47055</v>
      </c>
      <c r="Y317" s="383">
        <f t="shared" si="113"/>
        <v>21.431452815080434</v>
      </c>
      <c r="Z317" s="383">
        <f t="shared" si="114"/>
        <v>22.950854104527213</v>
      </c>
      <c r="AA317" s="384">
        <f t="shared" si="115"/>
        <v>25.071585990092903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8.4587065469400369E-2</v>
      </c>
      <c r="AD317" s="230">
        <f>(INDEX(Models!$BJ317:$BT317,,AH317)*(1-AF317)+INDEX(Models!$BJ317:$BT317,,AH317+1)*AF317-ERP_i)*AE317*Ramure*Pc/MaxiM</f>
        <v>1.5849930706238448E-2</v>
      </c>
      <c r="AE317" s="304">
        <f t="shared" si="117"/>
        <v>0.6</v>
      </c>
      <c r="AF317" s="177">
        <f t="shared" si="118"/>
        <v>0.49781837620583858</v>
      </c>
      <c r="AG317" s="799">
        <f t="shared" si="124"/>
        <v>3</v>
      </c>
      <c r="AH317" s="176">
        <f t="shared" si="119"/>
        <v>9</v>
      </c>
      <c r="AI317" s="224">
        <f t="shared" si="120"/>
        <v>3.4978183762058386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'2027'!Wh/'2027'!Env_an*'2028'!Env_an</f>
        <v>21.261874492230383</v>
      </c>
      <c r="C318" s="829"/>
      <c r="D318" s="391">
        <f t="shared" si="102"/>
        <v>22.769689756463322</v>
      </c>
      <c r="E318" s="383">
        <f t="shared" si="125"/>
        <v>24.049341457811391</v>
      </c>
      <c r="F318" s="383">
        <f t="shared" si="103"/>
        <v>24.078711528242675</v>
      </c>
      <c r="G318" s="110">
        <f t="shared" si="126"/>
        <v>0.69467168390800493</v>
      </c>
      <c r="H318" s="412" t="b">
        <f>Wh_hp&gt;='2027'!Maxi_hp</f>
        <v>0</v>
      </c>
      <c r="I318" s="388">
        <f>IF(H318,Wh_hp,'2027'!Maxi_hp)</f>
        <v>34.120858369867321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6.6220281451350727E-2</v>
      </c>
      <c r="M318" s="832"/>
      <c r="N318" s="832"/>
      <c r="O318" s="48">
        <f>IF(t&lt;Tnet,'2027'!Resal+('2027'!Salim-'2027'!Resal)*(1-EXP(('2027'!Tnet-t)/('2027'!Tau_j))),Resal+(Salim-Resal)*(1-EXP((Tnet-t)/(Tau_j))))*Salcycl</f>
        <v>5.3209427941837917E-2</v>
      </c>
      <c r="P318" s="169">
        <f>(INDEX(Models!$BJ318:$BT318,,T318)*(1-R318)+INDEX(Models!$BJ318:$BT318,,T318+1)*R318-ERP_i)*Q318*Ramure*Pc/MaxiM</f>
        <v>2.1598036441129974E-3</v>
      </c>
      <c r="Q318" s="304">
        <f t="shared" si="105"/>
        <v>0.6</v>
      </c>
      <c r="R318" s="177">
        <f t="shared" si="106"/>
        <v>0.97288939179772083</v>
      </c>
      <c r="S318" s="799">
        <f t="shared" si="107"/>
        <v>-1</v>
      </c>
      <c r="T318" s="176">
        <f t="shared" si="108"/>
        <v>5</v>
      </c>
      <c r="U318" s="250">
        <f t="shared" si="109"/>
        <v>-2.7110608202279174E-2</v>
      </c>
      <c r="V318" s="382">
        <f t="shared" si="110"/>
        <v>30.578276511357686</v>
      </c>
      <c r="W318" s="400">
        <f t="shared" si="111"/>
        <v>21.261874492230383</v>
      </c>
      <c r="X318" s="157">
        <f t="shared" si="112"/>
        <v>47056</v>
      </c>
      <c r="Y318" s="383">
        <f t="shared" si="113"/>
        <v>20.396025912176768</v>
      </c>
      <c r="Z318" s="383">
        <f t="shared" si="114"/>
        <v>21.842438325687567</v>
      </c>
      <c r="AA318" s="384">
        <f t="shared" si="115"/>
        <v>23.859948012291483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8.4556332040815599E-2</v>
      </c>
      <c r="AD318" s="230">
        <f>(INDEX(Models!$BJ318:$BT318,,AH318)*(1-AF318)+INDEX(Models!$BJ318:$BT318,,AH318+1)*AF318-ERP_i)*AE318*Ramure*Pc/MaxiM</f>
        <v>1.6087337619969229E-2</v>
      </c>
      <c r="AE318" s="304">
        <f t="shared" si="117"/>
        <v>0.6</v>
      </c>
      <c r="AF318" s="177">
        <f t="shared" si="118"/>
        <v>0.49787695817169908</v>
      </c>
      <c r="AG318" s="799">
        <f t="shared" si="124"/>
        <v>3</v>
      </c>
      <c r="AH318" s="176">
        <f t="shared" si="119"/>
        <v>9</v>
      </c>
      <c r="AI318" s="224">
        <f t="shared" si="120"/>
        <v>3.4978769581716991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'2027'!Wh/'2027'!Env_an*'2028'!Env_an</f>
        <v>18.849500749411376</v>
      </c>
      <c r="C319" s="829"/>
      <c r="D319" s="391">
        <f t="shared" si="102"/>
        <v>20.186626062101869</v>
      </c>
      <c r="E319" s="383">
        <f t="shared" si="125"/>
        <v>21.32163668320338</v>
      </c>
      <c r="F319" s="383">
        <f t="shared" si="103"/>
        <v>21.343224425691965</v>
      </c>
      <c r="G319" s="110">
        <f t="shared" si="126"/>
        <v>0.62179889676257349</v>
      </c>
      <c r="H319" s="412" t="b">
        <f>Wh_hp&gt;='2027'!Maxi_hp</f>
        <v>0</v>
      </c>
      <c r="I319" s="388">
        <f>IF(H319,Wh_hp,'2027'!Maxi_hp)</f>
        <v>32.848992554762482</v>
      </c>
      <c r="J319" s="85">
        <f>IF(H319,An,'2027'!An_max)</f>
        <v>2020</v>
      </c>
      <c r="K319" s="197">
        <f t="shared" si="104"/>
        <v>47057</v>
      </c>
      <c r="L319" s="147">
        <f>IF(t&lt;Tvie,1-EXP((T0-t)*PertePVj)+'2027'!Pspv,1-EXP((T0-t)*PertePVj)+Pspv)</f>
        <v>6.6238177126627273E-2</v>
      </c>
      <c r="M319" s="832"/>
      <c r="N319" s="832"/>
      <c r="O319" s="48">
        <f>IF(t&lt;Tnet,'2027'!Resal+('2027'!Salim-'2027'!Resal)*(1-EXP(('2027'!Tnet-t)/('2027'!Tau_j))),Resal+(Salim-Resal)*(1-EXP((Tnet-t)/(Tau_j))))*Salcycl</f>
        <v>5.323280937413416E-2</v>
      </c>
      <c r="P319" s="169">
        <f>(INDEX(Models!$BJ319:$BT319,,T319)*(1-R319)+INDEX(Models!$BJ319:$BT319,,T319+1)*R319-ERP_i)*Q319*Ramure*Pc/MaxiM</f>
        <v>2.1951606673425482E-3</v>
      </c>
      <c r="Q319" s="304">
        <f t="shared" si="105"/>
        <v>0.6</v>
      </c>
      <c r="R319" s="177">
        <f t="shared" si="106"/>
        <v>0.97294562800986251</v>
      </c>
      <c r="S319" s="799">
        <f t="shared" si="107"/>
        <v>-1</v>
      </c>
      <c r="T319" s="176">
        <f t="shared" si="108"/>
        <v>5</v>
      </c>
      <c r="U319" s="250">
        <f t="shared" si="109"/>
        <v>-2.7054371990137493E-2</v>
      </c>
      <c r="V319" s="382">
        <f t="shared" si="110"/>
        <v>30.278545078843596</v>
      </c>
      <c r="W319" s="400">
        <f t="shared" si="111"/>
        <v>18.849500749411376</v>
      </c>
      <c r="X319" s="157">
        <f t="shared" si="112"/>
        <v>47057</v>
      </c>
      <c r="Y319" s="383">
        <f t="shared" si="113"/>
        <v>18.107712041356159</v>
      </c>
      <c r="Z319" s="383">
        <f t="shared" si="114"/>
        <v>19.392217156228437</v>
      </c>
      <c r="AA319" s="384">
        <f t="shared" si="115"/>
        <v>21.182692882524464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8.4525406482815646E-2</v>
      </c>
      <c r="AD319" s="230">
        <f>(INDEX(Models!$BJ319:$BT319,,AH319)*(1-AF319)+INDEX(Models!$BJ319:$BT319,,AH319+1)*AF319-ERP_i)*AE319*Ramure*Pc/MaxiM</f>
        <v>1.632373230389474E-2</v>
      </c>
      <c r="AE319" s="304">
        <f t="shared" si="117"/>
        <v>0.6</v>
      </c>
      <c r="AF319" s="177">
        <f t="shared" si="118"/>
        <v>0.4979331943838412</v>
      </c>
      <c r="AG319" s="799">
        <f t="shared" si="124"/>
        <v>3</v>
      </c>
      <c r="AH319" s="176">
        <f t="shared" si="119"/>
        <v>9</v>
      </c>
      <c r="AI319" s="224">
        <f t="shared" si="120"/>
        <v>3.4979331943838412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'2027'!Wh/'2027'!Env_an*'2028'!Env_an</f>
        <v>27.965730674369315</v>
      </c>
      <c r="C320" s="829"/>
      <c r="D320" s="391">
        <f t="shared" si="102"/>
        <v>29.950107143416453</v>
      </c>
      <c r="E320" s="383">
        <f t="shared" si="125"/>
        <v>31.634853514450821</v>
      </c>
      <c r="F320" s="383">
        <f t="shared" si="103"/>
        <v>31.698752800589581</v>
      </c>
      <c r="G320" s="110">
        <f t="shared" si="126"/>
        <v>0.93259227800988564</v>
      </c>
      <c r="H320" s="412" t="b">
        <f>Wh_hp&gt;='2027'!Maxi_hp</f>
        <v>0</v>
      </c>
      <c r="I320" s="388">
        <f>IF(H320,Wh_hp,'2027'!Maxi_hp)</f>
        <v>31.704152209335916</v>
      </c>
      <c r="J320" s="85">
        <f>IF(H320,An,'2027'!An_max)</f>
        <v>2026</v>
      </c>
      <c r="K320" s="197">
        <f t="shared" si="104"/>
        <v>47058</v>
      </c>
      <c r="L320" s="147">
        <f>IF(t&lt;Tvie,1-EXP((T0-t)*PertePVj)+'2027'!Pspv,1-EXP((T0-t)*PertePVj)+Pspv)</f>
        <v>6.6256072458937387E-2</v>
      </c>
      <c r="M320" s="832"/>
      <c r="N320" s="832"/>
      <c r="O320" s="48">
        <f>IF(t&lt;Tnet,'2027'!Resal+('2027'!Salim-'2027'!Resal)*(1-EXP(('2027'!Tnet-t)/('2027'!Tau_j))),Resal+(Salim-Resal)*(1-EXP((Tnet-t)/(Tau_j))))*Salcycl</f>
        <v>5.3256019354247133E-2</v>
      </c>
      <c r="P320" s="169">
        <f>(INDEX(Models!$BJ320:$BT320,,T320)*(1-R320)+INDEX(Models!$BJ320:$BT320,,T320+1)*R320-ERP_i)*Q320*Ramure*Pc/MaxiM</f>
        <v>2.2299268865102317E-3</v>
      </c>
      <c r="Q320" s="304">
        <f t="shared" si="105"/>
        <v>0.6</v>
      </c>
      <c r="R320" s="177">
        <f t="shared" si="106"/>
        <v>0.97299961189921658</v>
      </c>
      <c r="S320" s="799">
        <f t="shared" si="107"/>
        <v>-1</v>
      </c>
      <c r="T320" s="176">
        <f t="shared" si="108"/>
        <v>5</v>
      </c>
      <c r="U320" s="250">
        <f t="shared" si="109"/>
        <v>-2.7000388100783368E-2</v>
      </c>
      <c r="V320" s="382">
        <f t="shared" si="110"/>
        <v>29.980659130893471</v>
      </c>
      <c r="W320" s="400">
        <f t="shared" si="111"/>
        <v>27.965730674369315</v>
      </c>
      <c r="X320" s="157">
        <f t="shared" si="112"/>
        <v>47058</v>
      </c>
      <c r="Y320" s="383">
        <f t="shared" si="113"/>
        <v>26.691979060839916</v>
      </c>
      <c r="Z320" s="383">
        <f t="shared" si="114"/>
        <v>28.585973384727691</v>
      </c>
      <c r="AA320" s="384">
        <f t="shared" si="115"/>
        <v>31.224246572015581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8.449437462655747E-2</v>
      </c>
      <c r="AD320" s="230">
        <f>(INDEX(Models!$BJ320:$BT320,,AH320)*(1-AF320)+INDEX(Models!$BJ320:$BT320,,AH320+1)*AF320-ERP_i)*AE320*Ramure*Pc/MaxiM</f>
        <v>1.6559092610455805E-2</v>
      </c>
      <c r="AE320" s="304">
        <f t="shared" si="117"/>
        <v>0.6</v>
      </c>
      <c r="AF320" s="177">
        <f t="shared" si="118"/>
        <v>0.49798717827319505</v>
      </c>
      <c r="AG320" s="799">
        <f t="shared" si="124"/>
        <v>3</v>
      </c>
      <c r="AH320" s="176">
        <f t="shared" si="119"/>
        <v>9</v>
      </c>
      <c r="AI320" s="224">
        <f t="shared" si="120"/>
        <v>3.4979871782731951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'2027'!Wh/'2027'!Env_an*'2028'!Env_an</f>
        <v>9.8174514597381215</v>
      </c>
      <c r="C321" s="829"/>
      <c r="D321" s="391">
        <f t="shared" si="102"/>
        <v>10.514274120545526</v>
      </c>
      <c r="E321" s="383">
        <f t="shared" si="125"/>
        <v>11.105991494584304</v>
      </c>
      <c r="F321" s="383">
        <f t="shared" si="103"/>
        <v>11.107095185125626</v>
      </c>
      <c r="G321" s="110">
        <f t="shared" si="126"/>
        <v>0.33000599988074175</v>
      </c>
      <c r="H321" s="412" t="b">
        <f>Wh_hp&gt;='2027'!Maxi_hp</f>
        <v>0</v>
      </c>
      <c r="I321" s="388">
        <f>IF(H321,Wh_hp,'2027'!Maxi_hp)</f>
        <v>29.614967506581426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6.6273967448287396E-2</v>
      </c>
      <c r="M321" s="832"/>
      <c r="N321" s="832"/>
      <c r="O321" s="48">
        <f>IF(t&lt;Tnet,'2027'!Resal+('2027'!Salim-'2027'!Resal)*(1-EXP(('2027'!Tnet-t)/('2027'!Tau_j))),Resal+(Salim-Resal)*(1-EXP((Tnet-t)/(Tau_j))))*Salcycl</f>
        <v>5.3279112839886608E-2</v>
      </c>
      <c r="P321" s="169">
        <f>(INDEX(Models!$BJ321:$BT321,,T321)*(1-R321)+INDEX(Models!$BJ321:$BT321,,T321+1)*R321-ERP_i)*Q321*Ramure*Pc/MaxiM</f>
        <v>2.2640991916126159E-3</v>
      </c>
      <c r="Q321" s="304">
        <f t="shared" si="105"/>
        <v>0.6</v>
      </c>
      <c r="R321" s="177">
        <f t="shared" si="106"/>
        <v>0.97305143321460985</v>
      </c>
      <c r="S321" s="799">
        <f t="shared" si="107"/>
        <v>-1</v>
      </c>
      <c r="T321" s="176">
        <f t="shared" si="108"/>
        <v>5</v>
      </c>
      <c r="U321" s="250">
        <f t="shared" si="109"/>
        <v>-2.6948566785390149E-2</v>
      </c>
      <c r="V321" s="382">
        <f t="shared" si="110"/>
        <v>29.684906360829782</v>
      </c>
      <c r="W321" s="400">
        <f t="shared" si="111"/>
        <v>9.8174514597381215</v>
      </c>
      <c r="X321" s="157">
        <f t="shared" si="112"/>
        <v>47059</v>
      </c>
      <c r="Y321" s="383">
        <f t="shared" si="113"/>
        <v>9.4880179597027094</v>
      </c>
      <c r="Z321" s="383">
        <f t="shared" si="114"/>
        <v>10.161458103265675</v>
      </c>
      <c r="AA321" s="384">
        <f t="shared" si="115"/>
        <v>11.098908829857704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8.4463323463847911E-2</v>
      </c>
      <c r="AD321" s="230">
        <f>(INDEX(Models!$BJ321:$BT321,,AH321)*(1-AF321)+INDEX(Models!$BJ321:$BT321,,AH321+1)*AF321-ERP_i)*AE321*Ramure*Pc/MaxiM</f>
        <v>1.6793403268785832E-2</v>
      </c>
      <c r="AE321" s="304">
        <f t="shared" si="117"/>
        <v>0.6</v>
      </c>
      <c r="AF321" s="177">
        <f t="shared" si="118"/>
        <v>0.4980389995885881</v>
      </c>
      <c r="AG321" s="799">
        <f t="shared" si="124"/>
        <v>3</v>
      </c>
      <c r="AH321" s="176">
        <f t="shared" si="119"/>
        <v>9</v>
      </c>
      <c r="AI321" s="224">
        <f t="shared" si="120"/>
        <v>3.4980389995885881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'2027'!Wh/'2027'!Env_an*'2028'!Env_an</f>
        <v>16.956345079889278</v>
      </c>
      <c r="C322" s="829"/>
      <c r="D322" s="391">
        <f t="shared" si="102"/>
        <v>18.160219871200013</v>
      </c>
      <c r="E322" s="383">
        <f t="shared" si="125"/>
        <v>19.182698876964338</v>
      </c>
      <c r="F322" s="383">
        <f t="shared" si="103"/>
        <v>19.200150535406213</v>
      </c>
      <c r="G322" s="110">
        <f t="shared" si="126"/>
        <v>0.57610985514990265</v>
      </c>
      <c r="H322" s="412" t="b">
        <f>Wh_hp&gt;='2027'!Maxi_hp</f>
        <v>0</v>
      </c>
      <c r="I322" s="388">
        <f>IF(H322,Wh_hp,'2027'!Maxi_hp)</f>
        <v>19.221283145155795</v>
      </c>
      <c r="J322" s="85">
        <f>IF(H322,An,'2027'!An_max)</f>
        <v>2026</v>
      </c>
      <c r="K322" s="197">
        <f t="shared" si="104"/>
        <v>47060</v>
      </c>
      <c r="L322" s="147">
        <f>IF(t&lt;Tvie,1-EXP((T0-t)*PertePVj)+'2027'!Pspv,1-EXP((T0-t)*PertePVj)+Pspv)</f>
        <v>6.6291862094684184E-2</v>
      </c>
      <c r="M322" s="832"/>
      <c r="N322" s="832"/>
      <c r="O322" s="48">
        <f>IF(t&lt;Tnet,'2027'!Resal+('2027'!Salim-'2027'!Resal)*(1-EXP(('2027'!Tnet-t)/('2027'!Tau_j))),Resal+(Salim-Resal)*(1-EXP((Tnet-t)/(Tau_j))))*Salcycl</f>
        <v>5.3302145455255794E-2</v>
      </c>
      <c r="P322" s="169">
        <f>(INDEX(Models!$BJ322:$BT322,,T322)*(1-R322)+INDEX(Models!$BJ322:$BT322,,T322+1)*R322-ERP_i)*Q322*Ramure*Pc/MaxiM</f>
        <v>2.2976755451278486E-3</v>
      </c>
      <c r="Q322" s="304">
        <f t="shared" si="105"/>
        <v>0.6</v>
      </c>
      <c r="R322" s="177">
        <f t="shared" si="106"/>
        <v>0.97310117816478225</v>
      </c>
      <c r="S322" s="799">
        <f t="shared" si="107"/>
        <v>-1</v>
      </c>
      <c r="T322" s="176">
        <f t="shared" si="108"/>
        <v>5</v>
      </c>
      <c r="U322" s="250">
        <f t="shared" si="109"/>
        <v>-2.6898821835217801E-2</v>
      </c>
      <c r="V322" s="382">
        <f t="shared" si="110"/>
        <v>29.391574392893983</v>
      </c>
      <c r="W322" s="400">
        <f t="shared" si="111"/>
        <v>16.956345079889278</v>
      </c>
      <c r="X322" s="157">
        <f t="shared" si="112"/>
        <v>47060</v>
      </c>
      <c r="Y322" s="383">
        <f t="shared" si="113"/>
        <v>16.303134653880722</v>
      </c>
      <c r="Z322" s="383">
        <f t="shared" si="114"/>
        <v>17.460632495348314</v>
      </c>
      <c r="AA322" s="384">
        <f t="shared" si="115"/>
        <v>19.070827064740719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8.4432340764571581E-2</v>
      </c>
      <c r="AD322" s="230">
        <f>(INDEX(Models!$BJ322:$BT322,,AH322)*(1-AF322)+INDEX(Models!$BJ322:$BT322,,AH322+1)*AF322-ERP_i)*AE322*Ramure*Pc/MaxiM</f>
        <v>1.7026655486575143E-2</v>
      </c>
      <c r="AE322" s="304">
        <f t="shared" si="117"/>
        <v>0.6</v>
      </c>
      <c r="AF322" s="177">
        <f t="shared" si="118"/>
        <v>0.49808874453876051</v>
      </c>
      <c r="AG322" s="799">
        <f t="shared" si="124"/>
        <v>3</v>
      </c>
      <c r="AH322" s="176">
        <f t="shared" si="119"/>
        <v>9</v>
      </c>
      <c r="AI322" s="224">
        <f t="shared" si="120"/>
        <v>3.4980887445387605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'2027'!Wh/'2027'!Env_an*'2028'!Env_an</f>
        <v>28.885811033611311</v>
      </c>
      <c r="C323" s="829"/>
      <c r="D323" s="391">
        <f t="shared" si="102"/>
        <v>30.937252725464361</v>
      </c>
      <c r="E323" s="383">
        <f t="shared" si="125"/>
        <v>32.67991484626274</v>
      </c>
      <c r="F323" s="383">
        <f t="shared" si="103"/>
        <v>32.755450233364193</v>
      </c>
      <c r="G323" s="110">
        <f t="shared" si="126"/>
        <v>0.9925826333884572</v>
      </c>
      <c r="H323" s="412" t="b">
        <f>Wh_hp&gt;='2027'!Maxi_hp</f>
        <v>0</v>
      </c>
      <c r="I323" s="388">
        <f>IF(H323,Wh_hp,'2027'!Maxi_hp)</f>
        <v>32.756088234525109</v>
      </c>
      <c r="J323" s="85">
        <f>IF(H323,An,'2027'!An_max)</f>
        <v>2026</v>
      </c>
      <c r="K323" s="197">
        <f t="shared" si="104"/>
        <v>47061</v>
      </c>
      <c r="L323" s="147">
        <f>IF(t&lt;Tvie,1-EXP((T0-t)*PertePVj)+'2027'!Pspv,1-EXP((T0-t)*PertePVj)+Pspv)</f>
        <v>6.6309756398134079E-2</v>
      </c>
      <c r="M323" s="832"/>
      <c r="N323" s="832"/>
      <c r="O323" s="48">
        <f>IF(t&lt;Tnet,'2027'!Resal+('2027'!Salim-'2027'!Resal)*(1-EXP(('2027'!Tnet-t)/('2027'!Tau_j))),Resal+(Salim-Resal)*(1-EXP((Tnet-t)/(Tau_j))))*Salcycl</f>
        <v>5.3325173244680814E-2</v>
      </c>
      <c r="P323" s="169">
        <f>(INDEX(Models!$BJ323:$BT323,,T323)*(1-R323)+INDEX(Models!$BJ323:$BT323,,T323+1)*R323-ERP_i)*Q323*Ramure*Pc/MaxiM</f>
        <v>2.3306549012489098E-3</v>
      </c>
      <c r="Q323" s="304">
        <f t="shared" si="105"/>
        <v>0.6</v>
      </c>
      <c r="R323" s="177">
        <f t="shared" si="106"/>
        <v>0.97314892955517163</v>
      </c>
      <c r="S323" s="799">
        <f t="shared" si="107"/>
        <v>-1</v>
      </c>
      <c r="T323" s="176">
        <f t="shared" si="108"/>
        <v>5</v>
      </c>
      <c r="U323" s="250">
        <f t="shared" si="109"/>
        <v>-2.6851070444828373E-2</v>
      </c>
      <c r="V323" s="382">
        <f t="shared" si="110"/>
        <v>29.100950797240653</v>
      </c>
      <c r="W323" s="400">
        <f t="shared" si="111"/>
        <v>28.885811033611311</v>
      </c>
      <c r="X323" s="157">
        <f t="shared" si="112"/>
        <v>47061</v>
      </c>
      <c r="Y323" s="383">
        <f t="shared" si="113"/>
        <v>27.523974481265117</v>
      </c>
      <c r="Z323" s="383">
        <f t="shared" si="114"/>
        <v>29.478699889897953</v>
      </c>
      <c r="AA323" s="384">
        <f t="shared" si="115"/>
        <v>32.196099450460046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8.4401514684825138E-2</v>
      </c>
      <c r="AD323" s="230">
        <f>(INDEX(Models!$BJ323:$BT323,,AH323)*(1-AF323)+INDEX(Models!$BJ323:$BT323,,AH323+1)*AF323-ERP_i)*AE323*Ramure*Pc/MaxiM</f>
        <v>1.7258846399264213E-2</v>
      </c>
      <c r="AE323" s="304">
        <f t="shared" si="117"/>
        <v>0.6</v>
      </c>
      <c r="AF323" s="177">
        <f t="shared" si="118"/>
        <v>0.49813649592914988</v>
      </c>
      <c r="AG323" s="799">
        <f t="shared" si="124"/>
        <v>3</v>
      </c>
      <c r="AH323" s="176">
        <f t="shared" si="119"/>
        <v>9</v>
      </c>
      <c r="AI323" s="224">
        <f t="shared" si="120"/>
        <v>3.4981364959291499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'2027'!Wh/'2027'!Env_an*'2028'!Env_an</f>
        <v>28.846734374859704</v>
      </c>
      <c r="C324" s="829"/>
      <c r="D324" s="391">
        <f t="shared" si="102"/>
        <v>30.895992995765976</v>
      </c>
      <c r="E324" s="383">
        <f t="shared" si="125"/>
        <v>32.637126667516142</v>
      </c>
      <c r="F324" s="383">
        <f t="shared" si="103"/>
        <v>32.714436469052202</v>
      </c>
      <c r="G324" s="110">
        <f t="shared" si="126"/>
        <v>1.0011597115070363</v>
      </c>
      <c r="H324" s="412" t="b">
        <f>Wh_hp&gt;='2027'!Maxi_hp</f>
        <v>1</v>
      </c>
      <c r="I324" s="388">
        <f>IF(H324,Wh_hp,'2027'!Maxi_hp)</f>
        <v>32.714436469052202</v>
      </c>
      <c r="J324" s="85">
        <f>IF(H324,An,'2027'!An_max)</f>
        <v>2028</v>
      </c>
      <c r="K324" s="197">
        <f t="shared" si="104"/>
        <v>47062</v>
      </c>
      <c r="L324" s="147">
        <f>IF(t&lt;Tvie,1-EXP((T0-t)*PertePVj)+'2027'!Pspv,1-EXP((T0-t)*PertePVj)+Pspv)</f>
        <v>6.6327650358643742E-2</v>
      </c>
      <c r="M324" s="832"/>
      <c r="N324" s="832"/>
      <c r="O324" s="48">
        <f>IF(t&lt;Tnet,'2027'!Resal+('2027'!Salim-'2027'!Resal)*(1-EXP(('2027'!Tnet-t)/('2027'!Tau_j))),Resal+(Salim-Resal)*(1-EXP((Tnet-t)/(Tau_j))))*Salcycl</f>
        <v>5.3348252420857958E-2</v>
      </c>
      <c r="P324" s="169">
        <f>(INDEX(Models!$BJ324:$BT324,,T324)*(1-R324)+INDEX(Models!$BJ324:$BT324,,T324+1)*R324-ERP_i)*Q324*Ramure*Pc/MaxiM</f>
        <v>2.3631708163213676E-3</v>
      </c>
      <c r="Q324" s="304">
        <f t="shared" si="105"/>
        <v>0.6</v>
      </c>
      <c r="R324" s="177">
        <f t="shared" si="106"/>
        <v>0.9731947669196408</v>
      </c>
      <c r="S324" s="799">
        <f t="shared" si="107"/>
        <v>-1</v>
      </c>
      <c r="T324" s="176">
        <f t="shared" si="108"/>
        <v>5</v>
      </c>
      <c r="U324" s="250">
        <f t="shared" si="109"/>
        <v>-2.6805233080359203E-2</v>
      </c>
      <c r="V324" s="382">
        <f t="shared" si="110"/>
        <v>28.813319236984661</v>
      </c>
      <c r="W324" s="400">
        <f t="shared" si="111"/>
        <v>28.846734374859704</v>
      </c>
      <c r="X324" s="157">
        <f t="shared" si="112"/>
        <v>47062</v>
      </c>
      <c r="Y324" s="383">
        <f t="shared" si="113"/>
        <v>27.478545575930966</v>
      </c>
      <c r="Z324" s="383">
        <f t="shared" si="114"/>
        <v>29.4306086996001</v>
      </c>
      <c r="AA324" s="384">
        <f t="shared" si="115"/>
        <v>32.142501556737948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8.4370933368419124E-2</v>
      </c>
      <c r="AD324" s="230">
        <f>(INDEX(Models!$BJ324:$BT324,,AH324)*(1-AF324)+INDEX(Models!$BJ324:$BT324,,AH324+1)*AF324-ERP_i)*AE324*Ramure*Pc/MaxiM</f>
        <v>1.7482646013337429E-2</v>
      </c>
      <c r="AE324" s="304">
        <f t="shared" si="117"/>
        <v>0.6</v>
      </c>
      <c r="AF324" s="177">
        <f t="shared" si="118"/>
        <v>0.49818233329361927</v>
      </c>
      <c r="AG324" s="799">
        <f t="shared" si="124"/>
        <v>3</v>
      </c>
      <c r="AH324" s="176">
        <f t="shared" si="119"/>
        <v>9</v>
      </c>
      <c r="AI324" s="224">
        <f t="shared" si="120"/>
        <v>3.4981823332936193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'2027'!Wh/'2027'!Env_an*'2028'!Env_an</f>
        <v>27.060485434881812</v>
      </c>
      <c r="C325" s="829"/>
      <c r="D325" s="391">
        <f t="shared" si="102"/>
        <v>28.983405220520449</v>
      </c>
      <c r="E325" s="383">
        <f t="shared" si="125"/>
        <v>30.617505553871673</v>
      </c>
      <c r="F325" s="383">
        <f t="shared" si="103"/>
        <v>30.685653120849022</v>
      </c>
      <c r="G325" s="110">
        <f t="shared" si="126"/>
        <v>0.94836085004727577</v>
      </c>
      <c r="H325" s="412" t="b">
        <f>Wh_hp&gt;='2027'!Maxi_hp</f>
        <v>0</v>
      </c>
      <c r="I325" s="388">
        <f>IF(H325,Wh_hp,'2027'!Maxi_hp)</f>
        <v>30.689915157230189</v>
      </c>
      <c r="J325" s="85">
        <f>IF(H325,An,'2027'!An_max)</f>
        <v>2026</v>
      </c>
      <c r="K325" s="197">
        <f t="shared" si="104"/>
        <v>47063</v>
      </c>
      <c r="L325" s="147">
        <f>IF(t&lt;Tvie,1-EXP((T0-t)*PertePVj)+'2027'!Pspv,1-EXP((T0-t)*PertePVj)+Pspv)</f>
        <v>6.6345543976219723E-2</v>
      </c>
      <c r="M325" s="832"/>
      <c r="N325" s="832"/>
      <c r="O325" s="48">
        <f>IF(t&lt;Tnet,'2027'!Resal+('2027'!Salim-'2027'!Resal)*(1-EXP(('2027'!Tnet-t)/('2027'!Tau_j))),Resal+(Salim-Resal)*(1-EXP((Tnet-t)/(Tau_j))))*Salcycl</f>
        <v>5.337143910943417E-2</v>
      </c>
      <c r="P325" s="169">
        <f>(INDEX(Models!$BJ325:$BT325,,T325)*(1-R325)+INDEX(Models!$BJ325:$BT325,,T325+1)*R325-ERP_i)*Q325*Ramure*Pc/MaxiM</f>
        <v>2.3970882223877999E-3</v>
      </c>
      <c r="Q325" s="304">
        <f t="shared" si="105"/>
        <v>0.6</v>
      </c>
      <c r="R325" s="177">
        <f t="shared" si="106"/>
        <v>0.9732387666473119</v>
      </c>
      <c r="S325" s="799">
        <f t="shared" si="107"/>
        <v>-1</v>
      </c>
      <c r="T325" s="176">
        <f t="shared" si="108"/>
        <v>5</v>
      </c>
      <c r="U325" s="250">
        <f t="shared" si="109"/>
        <v>-2.6761233352688096E-2</v>
      </c>
      <c r="V325" s="382">
        <f t="shared" si="110"/>
        <v>28.528914008168773</v>
      </c>
      <c r="W325" s="400">
        <f t="shared" si="111"/>
        <v>27.060485434881812</v>
      </c>
      <c r="X325" s="157">
        <f t="shared" si="112"/>
        <v>47063</v>
      </c>
      <c r="Y325" s="383">
        <f t="shared" si="113"/>
        <v>25.803302633204119</v>
      </c>
      <c r="Z325" s="383">
        <f t="shared" si="114"/>
        <v>27.636886930411549</v>
      </c>
      <c r="AA325" s="384">
        <f t="shared" si="115"/>
        <v>30.182499608670408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8.4340684544483138E-2</v>
      </c>
      <c r="AD325" s="230">
        <f>(INDEX(Models!$BJ325:$BT325,,AH325)*(1-AF325)+INDEX(Models!$BJ325:$BT325,,AH325+1)*AF325-ERP_i)*AE325*Ramure*Pc/MaxiM</f>
        <v>1.7698406731047285E-2</v>
      </c>
      <c r="AE325" s="304">
        <f t="shared" si="117"/>
        <v>0.6</v>
      </c>
      <c r="AF325" s="177">
        <f t="shared" si="118"/>
        <v>0.49822633302129038</v>
      </c>
      <c r="AG325" s="799">
        <f t="shared" si="124"/>
        <v>3</v>
      </c>
      <c r="AH325" s="176">
        <f t="shared" si="119"/>
        <v>9</v>
      </c>
      <c r="AI325" s="224">
        <f t="shared" si="120"/>
        <v>3.4982263330212904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'2027'!Wh/'2027'!Env_an*'2028'!Env_an</f>
        <v>19.515619725071002</v>
      </c>
      <c r="C326" s="829"/>
      <c r="D326" s="391">
        <f t="shared" si="102"/>
        <v>20.9028014794177</v>
      </c>
      <c r="E326" s="383">
        <f t="shared" si="125"/>
        <v>22.081857609214254</v>
      </c>
      <c r="F326" s="383">
        <f t="shared" si="103"/>
        <v>22.111890214670741</v>
      </c>
      <c r="G326" s="110">
        <f t="shared" si="126"/>
        <v>0.69012357797049961</v>
      </c>
      <c r="H326" s="412" t="b">
        <f>Wh_hp&gt;='2027'!Maxi_hp</f>
        <v>0</v>
      </c>
      <c r="I326" s="388">
        <f>IF(H326,Wh_hp,'2027'!Maxi_hp)</f>
        <v>24.301685975957074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6.6363437250868573E-2</v>
      </c>
      <c r="M326" s="832"/>
      <c r="N326" s="832"/>
      <c r="O326" s="48">
        <f>IF(t&lt;Tnet,'2027'!Resal+('2027'!Salim-'2027'!Resal)*(1-EXP(('2027'!Tnet-t)/('2027'!Tau_j))),Resal+(Salim-Resal)*(1-EXP((Tnet-t)/(Tau_j))))*Salcycl</f>
        <v>5.3394789091682285E-2</v>
      </c>
      <c r="P326" s="169">
        <f>(INDEX(Models!$BJ326:$BT326,,T326)*(1-R326)+INDEX(Models!$BJ326:$BT326,,T326+1)*R326-ERP_i)*Q326*Ramure*Pc/MaxiM</f>
        <v>2.4324083901267023E-3</v>
      </c>
      <c r="Q326" s="304">
        <f t="shared" si="105"/>
        <v>0.6</v>
      </c>
      <c r="R326" s="177">
        <f t="shared" si="106"/>
        <v>0.97328100210467794</v>
      </c>
      <c r="S326" s="799">
        <f t="shared" si="107"/>
        <v>-1</v>
      </c>
      <c r="T326" s="176">
        <f t="shared" si="108"/>
        <v>5</v>
      </c>
      <c r="U326" s="250">
        <f t="shared" si="109"/>
        <v>-2.6718997895322061E-2</v>
      </c>
      <c r="V326" s="382">
        <f t="shared" si="110"/>
        <v>28.248024269267752</v>
      </c>
      <c r="W326" s="400">
        <f t="shared" si="111"/>
        <v>19.515619725071002</v>
      </c>
      <c r="X326" s="157">
        <f t="shared" si="112"/>
        <v>47064</v>
      </c>
      <c r="Y326" s="383">
        <f t="shared" si="113"/>
        <v>18.714906484463526</v>
      </c>
      <c r="Z326" s="383">
        <f t="shared" si="114"/>
        <v>20.045173069654332</v>
      </c>
      <c r="AA326" s="384">
        <f t="shared" si="115"/>
        <v>21.890805609984664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8.4310855123966688E-2</v>
      </c>
      <c r="AD326" s="230">
        <f>(INDEX(Models!$BJ326:$BT326,,AH326)*(1-AF326)+INDEX(Models!$BJ326:$BT326,,AH326+1)*AF326-ERP_i)*AE326*Ramure*Pc/MaxiM</f>
        <v>1.7906140316244584E-2</v>
      </c>
      <c r="AE326" s="304">
        <f t="shared" si="117"/>
        <v>0.6</v>
      </c>
      <c r="AF326" s="177">
        <f t="shared" si="118"/>
        <v>0.49826856847865653</v>
      </c>
      <c r="AG326" s="799">
        <f t="shared" si="124"/>
        <v>3</v>
      </c>
      <c r="AH326" s="176">
        <f t="shared" si="119"/>
        <v>9</v>
      </c>
      <c r="AI326" s="224">
        <f t="shared" si="120"/>
        <v>3.4982685684786565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'2027'!Wh/'2027'!Env_an*'2028'!Env_an</f>
        <v>9.6134646532479611</v>
      </c>
      <c r="C327" s="829"/>
      <c r="D327" s="391">
        <f t="shared" si="102"/>
        <v>10.296992727371402</v>
      </c>
      <c r="E327" s="383">
        <f t="shared" si="125"/>
        <v>10.878082001134263</v>
      </c>
      <c r="F327" s="383">
        <f t="shared" si="103"/>
        <v>10.879758853262745</v>
      </c>
      <c r="G327" s="110">
        <f t="shared" si="126"/>
        <v>0.34289896164666345</v>
      </c>
      <c r="H327" s="412" t="b">
        <f>Wh_hp&gt;='2027'!Maxi_hp</f>
        <v>0</v>
      </c>
      <c r="I327" s="388">
        <f>IF(H327,Wh_hp,'2027'!Maxi_hp)</f>
        <v>24.305673600704964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6.6381330182596954E-2</v>
      </c>
      <c r="M327" s="832"/>
      <c r="N327" s="832"/>
      <c r="O327" s="48">
        <f>IF(t&lt;Tnet,'2027'!Resal+('2027'!Salim-'2027'!Resal)*(1-EXP(('2027'!Tnet-t)/('2027'!Tau_j))),Resal+(Salim-Resal)*(1-EXP((Tnet-t)/(Tau_j))))*Salcycl</f>
        <v>5.3418357547063068E-2</v>
      </c>
      <c r="P327" s="169">
        <f>(INDEX(Models!$BJ327:$BT327,,T327)*(1-R327)+INDEX(Models!$BJ327:$BT327,,T327+1)*R327-ERP_i)*Q327*Ramure*Pc/MaxiM</f>
        <v>2.4691324029399368E-3</v>
      </c>
      <c r="Q327" s="304">
        <f t="shared" si="105"/>
        <v>0.6</v>
      </c>
      <c r="R327" s="177">
        <f t="shared" si="106"/>
        <v>0.9733215437531475</v>
      </c>
      <c r="S327" s="799">
        <f t="shared" si="107"/>
        <v>-1</v>
      </c>
      <c r="T327" s="176">
        <f t="shared" si="108"/>
        <v>5</v>
      </c>
      <c r="U327" s="250">
        <f t="shared" si="109"/>
        <v>-2.6678456246852555E-2</v>
      </c>
      <c r="V327" s="382">
        <f t="shared" si="110"/>
        <v>27.97093914465875</v>
      </c>
      <c r="W327" s="400">
        <f t="shared" si="111"/>
        <v>9.6134646532479611</v>
      </c>
      <c r="X327" s="157">
        <f t="shared" si="112"/>
        <v>47065</v>
      </c>
      <c r="Y327" s="383">
        <f t="shared" si="113"/>
        <v>9.290940082033309</v>
      </c>
      <c r="Z327" s="383">
        <f t="shared" si="114"/>
        <v>9.9515362989157339</v>
      </c>
      <c r="AA327" s="384">
        <f t="shared" si="115"/>
        <v>10.867462690346761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8.4281530797857454E-2</v>
      </c>
      <c r="AD327" s="230">
        <f>(INDEX(Models!$BJ327:$BT327,,AH327)*(1-AF327)+INDEX(Models!$BJ327:$BT327,,AH327+1)*AF327-ERP_i)*AE327*Ramure*Pc/MaxiM</f>
        <v>1.8105862629147686E-2</v>
      </c>
      <c r="AE327" s="304">
        <f t="shared" si="117"/>
        <v>0.6</v>
      </c>
      <c r="AF327" s="177">
        <f t="shared" si="118"/>
        <v>0.49830911012712598</v>
      </c>
      <c r="AG327" s="799">
        <f t="shared" si="124"/>
        <v>3</v>
      </c>
      <c r="AH327" s="176">
        <f t="shared" si="119"/>
        <v>9</v>
      </c>
      <c r="AI327" s="224">
        <f t="shared" si="120"/>
        <v>3.498309110127126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'2027'!Wh/'2027'!Env_an*'2028'!Env_an</f>
        <v>19.411906082142334</v>
      </c>
      <c r="C328" s="829"/>
      <c r="D328" s="391">
        <f t="shared" si="102"/>
        <v>20.792512769501904</v>
      </c>
      <c r="E328" s="383">
        <f t="shared" si="125"/>
        <v>21.966448053237578</v>
      </c>
      <c r="F328" s="383">
        <f t="shared" si="103"/>
        <v>21.99803148869492</v>
      </c>
      <c r="G328" s="110">
        <f t="shared" si="126"/>
        <v>0.7000907100920597</v>
      </c>
      <c r="H328" s="412" t="b">
        <f>Wh_hp&gt;='2027'!Maxi_hp</f>
        <v>0</v>
      </c>
      <c r="I328" s="388">
        <f>IF(H328,Wh_hp,'2027'!Maxi_hp)</f>
        <v>22.016487183842422</v>
      </c>
      <c r="J328" s="85">
        <f>IF(H328,An,'2027'!An_max)</f>
        <v>2026</v>
      </c>
      <c r="K328" s="197">
        <f t="shared" si="104"/>
        <v>47066</v>
      </c>
      <c r="L328" s="147">
        <f>IF(t&lt;Tvie,1-EXP((T0-t)*PertePVj)+'2027'!Pspv,1-EXP((T0-t)*PertePVj)+Pspv)</f>
        <v>6.6399222771411304E-2</v>
      </c>
      <c r="M328" s="832"/>
      <c r="N328" s="832"/>
      <c r="O328" s="48">
        <f>IF(t&lt;Tnet,'2027'!Resal+('2027'!Salim-'2027'!Resal)*(1-EXP(('2027'!Tnet-t)/('2027'!Tau_j))),Resal+(Salim-Resal)*(1-EXP((Tnet-t)/(Tau_j))))*Salcycl</f>
        <v>5.344219879748157E-2</v>
      </c>
      <c r="P328" s="169">
        <f>(INDEX(Models!$BJ328:$BT328,,T328)*(1-R328)+INDEX(Models!$BJ328:$BT328,,T328+1)*R328-ERP_i)*Q328*Ramure*Pc/MaxiM</f>
        <v>2.5072610097151764E-3</v>
      </c>
      <c r="Q328" s="304">
        <f t="shared" si="105"/>
        <v>0.6</v>
      </c>
      <c r="R328" s="177">
        <f t="shared" si="106"/>
        <v>0.97336045926218262</v>
      </c>
      <c r="S328" s="799">
        <f t="shared" si="107"/>
        <v>-1</v>
      </c>
      <c r="T328" s="176">
        <f t="shared" si="108"/>
        <v>5</v>
      </c>
      <c r="U328" s="250">
        <f t="shared" si="109"/>
        <v>-2.663954073781738E-2</v>
      </c>
      <c r="V328" s="382">
        <f t="shared" si="110"/>
        <v>27.697947729581827</v>
      </c>
      <c r="W328" s="400">
        <f t="shared" si="111"/>
        <v>19.411906082142334</v>
      </c>
      <c r="X328" s="157">
        <f t="shared" si="112"/>
        <v>47066</v>
      </c>
      <c r="Y328" s="383">
        <f t="shared" si="113"/>
        <v>18.609991263837568</v>
      </c>
      <c r="Z328" s="383">
        <f t="shared" si="114"/>
        <v>19.933564450408529</v>
      </c>
      <c r="AA328" s="384">
        <f t="shared" si="115"/>
        <v>21.767540600179693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8.4252795639945963E-2</v>
      </c>
      <c r="AD328" s="230">
        <f>(INDEX(Models!$BJ328:$BT328,,AH328)*(1-AF328)+INDEX(Models!$BJ328:$BT328,,AH328+1)*AF328-ERP_i)*AE328*Ramure*Pc/MaxiM</f>
        <v>1.8297592060540151E-2</v>
      </c>
      <c r="AE328" s="304">
        <f t="shared" si="117"/>
        <v>0.6</v>
      </c>
      <c r="AF328" s="177">
        <f t="shared" si="118"/>
        <v>0.49834802563616121</v>
      </c>
      <c r="AG328" s="799">
        <f t="shared" si="124"/>
        <v>3</v>
      </c>
      <c r="AH328" s="176">
        <f t="shared" si="119"/>
        <v>9</v>
      </c>
      <c r="AI328" s="224">
        <f t="shared" si="120"/>
        <v>3.4983480256361612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'2027'!Wh/'2027'!Env_an*'2028'!Env_an</f>
        <v>26.5556938319117</v>
      </c>
      <c r="C329" s="829"/>
      <c r="D329" s="391">
        <f t="shared" si="102"/>
        <v>28.44492359390706</v>
      </c>
      <c r="E329" s="383">
        <f t="shared" si="125"/>
        <v>30.051677588417604</v>
      </c>
      <c r="F329" s="383">
        <f t="shared" si="103"/>
        <v>30.124908606591255</v>
      </c>
      <c r="G329" s="110">
        <f t="shared" si="126"/>
        <v>0.96803677698590274</v>
      </c>
      <c r="H329" s="412" t="b">
        <f>Wh_hp&gt;='2027'!Maxi_hp</f>
        <v>0</v>
      </c>
      <c r="I329" s="388">
        <f>IF(H329,Wh_hp,'2027'!Maxi_hp)</f>
        <v>30.127636873346383</v>
      </c>
      <c r="J329" s="85">
        <f>IF(H329,An,'2027'!An_max)</f>
        <v>2026</v>
      </c>
      <c r="K329" s="197">
        <f t="shared" si="104"/>
        <v>47067</v>
      </c>
      <c r="L329" s="147">
        <f>IF(t&lt;Tvie,1-EXP((T0-t)*PertePVj)+'2027'!Pspv,1-EXP((T0-t)*PertePVj)+Pspv)</f>
        <v>6.6417115017318396E-2</v>
      </c>
      <c r="M329" s="832"/>
      <c r="N329" s="832"/>
      <c r="O329" s="48">
        <f>IF(t&lt;Tnet,'2027'!Resal+('2027'!Salim-'2027'!Resal)*(1-EXP(('2027'!Tnet-t)/('2027'!Tau_j))),Resal+(Salim-Resal)*(1-EXP((Tnet-t)/(Tau_j))))*Salcycl</f>
        <v>5.3466366055045511E-2</v>
      </c>
      <c r="P329" s="169">
        <f>(INDEX(Models!$BJ329:$BT329,,T329)*(1-R329)+INDEX(Models!$BJ329:$BT329,,T329+1)*R329-ERP_i)*Q329*Ramure*Pc/MaxiM</f>
        <v>2.5467944501393436E-3</v>
      </c>
      <c r="Q329" s="304">
        <f t="shared" si="105"/>
        <v>0.6</v>
      </c>
      <c r="R329" s="177">
        <f t="shared" si="106"/>
        <v>0.97339781361817979</v>
      </c>
      <c r="S329" s="799">
        <f t="shared" si="107"/>
        <v>-1</v>
      </c>
      <c r="T329" s="176">
        <f t="shared" si="108"/>
        <v>5</v>
      </c>
      <c r="U329" s="250">
        <f t="shared" si="109"/>
        <v>-2.660218638182027E-2</v>
      </c>
      <c r="V329" s="382">
        <f t="shared" si="110"/>
        <v>27.429339091011375</v>
      </c>
      <c r="W329" s="400">
        <f t="shared" si="111"/>
        <v>26.5556938319117</v>
      </c>
      <c r="X329" s="157">
        <f t="shared" si="112"/>
        <v>47067</v>
      </c>
      <c r="Y329" s="383">
        <f t="shared" si="113"/>
        <v>25.301018951293081</v>
      </c>
      <c r="Z329" s="383">
        <f t="shared" si="114"/>
        <v>27.100988416001677</v>
      </c>
      <c r="AA329" s="384">
        <f t="shared" si="115"/>
        <v>29.593492371564235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8.4224731716948428E-2</v>
      </c>
      <c r="AD329" s="230">
        <f>(INDEX(Models!$BJ329:$BT329,,AH329)*(1-AF329)+INDEX(Models!$BJ329:$BT329,,AH329+1)*AF329-ERP_i)*AE329*Ramure*Pc/MaxiM</f>
        <v>1.8481347820010586E-2</v>
      </c>
      <c r="AE329" s="304">
        <f t="shared" si="117"/>
        <v>0.6</v>
      </c>
      <c r="AF329" s="177">
        <f t="shared" si="118"/>
        <v>0.49838537999215804</v>
      </c>
      <c r="AG329" s="799">
        <f t="shared" si="124"/>
        <v>3</v>
      </c>
      <c r="AH329" s="176">
        <f t="shared" si="119"/>
        <v>9</v>
      </c>
      <c r="AI329" s="224">
        <f t="shared" si="120"/>
        <v>3.498385379992158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'2027'!Wh/'2027'!Env_an*'2028'!Env_an</f>
        <v>26.152675745255834</v>
      </c>
      <c r="C330" s="829"/>
      <c r="D330" s="391">
        <f t="shared" si="102"/>
        <v>28.013770802376076</v>
      </c>
      <c r="E330" s="383">
        <f t="shared" si="125"/>
        <v>29.596937983084743</v>
      </c>
      <c r="F330" s="383">
        <f t="shared" si="103"/>
        <v>29.669626103829724</v>
      </c>
      <c r="G330" s="110">
        <f t="shared" si="126"/>
        <v>0.96258698445746116</v>
      </c>
      <c r="H330" s="412" t="b">
        <f>Wh_hp&gt;='2027'!Maxi_hp</f>
        <v>0</v>
      </c>
      <c r="I330" s="388">
        <f>IF(H330,Wh_hp,'2027'!Maxi_hp)</f>
        <v>29.672815202474592</v>
      </c>
      <c r="J330" s="85">
        <f>IF(H330,An,'2027'!An_max)</f>
        <v>2026</v>
      </c>
      <c r="K330" s="197">
        <f t="shared" si="104"/>
        <v>47068</v>
      </c>
      <c r="L330" s="147">
        <f>IF(t&lt;Tvie,1-EXP((T0-t)*PertePVj)+'2027'!Pspv,1-EXP((T0-t)*PertePVj)+Pspv)</f>
        <v>6.6435006920324557E-2</v>
      </c>
      <c r="M330" s="832"/>
      <c r="N330" s="832"/>
      <c r="O330" s="48">
        <f>IF(t&lt;Tnet,'2027'!Resal+('2027'!Salim-'2027'!Resal)*(1-EXP(('2027'!Tnet-t)/('2027'!Tau_j))),Resal+(Salim-Resal)*(1-EXP((Tnet-t)/(Tau_j))))*Salcycl</f>
        <v>5.3490911175118214E-2</v>
      </c>
      <c r="P330" s="169">
        <f>(INDEX(Models!$BJ330:$BT330,,T330)*(1-R330)+INDEX(Models!$BJ330:$BT330,,T330+1)*R330-ERP_i)*Q330*Ramure*Pc/MaxiM</f>
        <v>2.587732249883094E-3</v>
      </c>
      <c r="Q330" s="304">
        <f t="shared" si="105"/>
        <v>0.6</v>
      </c>
      <c r="R330" s="177">
        <f t="shared" si="106"/>
        <v>0.9734336692292429</v>
      </c>
      <c r="S330" s="799">
        <f t="shared" si="107"/>
        <v>-1</v>
      </c>
      <c r="T330" s="176">
        <f t="shared" si="108"/>
        <v>5</v>
      </c>
      <c r="U330" s="250">
        <f t="shared" si="109"/>
        <v>-2.6566330770757041E-2</v>
      </c>
      <c r="V330" s="382">
        <f t="shared" si="110"/>
        <v>27.165402272840058</v>
      </c>
      <c r="W330" s="400">
        <f t="shared" si="111"/>
        <v>26.152675745255834</v>
      </c>
      <c r="X330" s="157">
        <f t="shared" si="112"/>
        <v>47068</v>
      </c>
      <c r="Y330" s="383">
        <f t="shared" si="113"/>
        <v>24.918320445394023</v>
      </c>
      <c r="Z330" s="383">
        <f t="shared" si="114"/>
        <v>26.691575444782515</v>
      </c>
      <c r="AA330" s="384">
        <f t="shared" si="115"/>
        <v>29.145556029279298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8.4197418708757576E-2</v>
      </c>
      <c r="AD330" s="230">
        <f>(INDEX(Models!$BJ330:$BT330,,AH330)*(1-AF330)+INDEX(Models!$BJ330:$BT330,,AH330+1)*AF330-ERP_i)*AE330*Ramure*Pc/MaxiM</f>
        <v>1.8657148089860767E-2</v>
      </c>
      <c r="AE330" s="304">
        <f t="shared" si="117"/>
        <v>0.6</v>
      </c>
      <c r="AF330" s="177">
        <f t="shared" si="118"/>
        <v>0.49842123560322138</v>
      </c>
      <c r="AG330" s="799">
        <f t="shared" si="124"/>
        <v>3</v>
      </c>
      <c r="AH330" s="176">
        <f t="shared" si="119"/>
        <v>9</v>
      </c>
      <c r="AI330" s="224">
        <f t="shared" si="120"/>
        <v>3.4984212356032214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'2027'!Wh/'2027'!Env_an*'2028'!Env_an</f>
        <v>25.153611399528057</v>
      </c>
      <c r="C331" s="829"/>
      <c r="D331" s="391">
        <f t="shared" si="102"/>
        <v>26.944126716889535</v>
      </c>
      <c r="E331" s="383">
        <f t="shared" si="125"/>
        <v>28.467595254122816</v>
      </c>
      <c r="F331" s="383">
        <f t="shared" si="103"/>
        <v>28.535672725714878</v>
      </c>
      <c r="G331" s="110">
        <f t="shared" si="126"/>
        <v>0.93468776202540704</v>
      </c>
      <c r="H331" s="412" t="b">
        <f>Wh_hp&gt;='2027'!Maxi_hp</f>
        <v>0</v>
      </c>
      <c r="I331" s="388">
        <f>IF(H331,Wh_hp,'2027'!Maxi_hp)</f>
        <v>29.071978311267806</v>
      </c>
      <c r="J331" s="85">
        <f>IF(H331,An,'2027'!An_max)</f>
        <v>2020</v>
      </c>
      <c r="K331" s="197">
        <f t="shared" si="104"/>
        <v>47069</v>
      </c>
      <c r="L331" s="147">
        <f>IF(t&lt;Tvie,1-EXP((T0-t)*PertePVj)+'2027'!Pspv,1-EXP((T0-t)*PertePVj)+Pspv)</f>
        <v>6.6452898480436562E-2</v>
      </c>
      <c r="M331" s="832"/>
      <c r="N331" s="832"/>
      <c r="O331" s="48">
        <f>IF(t&lt;Tnet,'2027'!Resal+('2027'!Salim-'2027'!Resal)*(1-EXP(('2027'!Tnet-t)/('2027'!Tau_j))),Resal+(Salim-Resal)*(1-EXP((Tnet-t)/(Tau_j))))*Salcycl</f>
        <v>5.351588441642767E-2</v>
      </c>
      <c r="P331" s="169">
        <f>(INDEX(Models!$BJ331:$BT331,,T331)*(1-R331)+INDEX(Models!$BJ331:$BT331,,T331+1)*R331-ERP_i)*Q331*Ramure*Pc/MaxiM</f>
        <v>2.630246348166972E-3</v>
      </c>
      <c r="Q331" s="304">
        <f t="shared" si="105"/>
        <v>0.6</v>
      </c>
      <c r="R331" s="177">
        <f t="shared" si="106"/>
        <v>0.97346808602599366</v>
      </c>
      <c r="S331" s="799">
        <f t="shared" si="107"/>
        <v>-1</v>
      </c>
      <c r="T331" s="176">
        <f t="shared" si="108"/>
        <v>5</v>
      </c>
      <c r="U331" s="250">
        <f t="shared" si="109"/>
        <v>-2.6531913974006338E-2</v>
      </c>
      <c r="V331" s="382">
        <f t="shared" si="110"/>
        <v>26.904648176826925</v>
      </c>
      <c r="W331" s="400">
        <f t="shared" si="111"/>
        <v>25.153611399528057</v>
      </c>
      <c r="X331" s="157">
        <f t="shared" si="112"/>
        <v>47069</v>
      </c>
      <c r="Y331" s="383">
        <f t="shared" si="113"/>
        <v>23.980529761920192</v>
      </c>
      <c r="Z331" s="383">
        <f t="shared" si="114"/>
        <v>25.687541338713753</v>
      </c>
      <c r="AA331" s="384">
        <f t="shared" si="115"/>
        <v>28.048401475231515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8.4170933541526327E-2</v>
      </c>
      <c r="AD331" s="230">
        <f>(INDEX(Models!$BJ331:$BT331,,AH331)*(1-AF331)+INDEX(Models!$BJ331:$BT331,,AH331+1)*AF331-ERP_i)*AE331*Ramure*Pc/MaxiM</f>
        <v>1.8826248936367349E-2</v>
      </c>
      <c r="AE331" s="304">
        <f t="shared" si="117"/>
        <v>0.6</v>
      </c>
      <c r="AF331" s="177">
        <f t="shared" si="118"/>
        <v>0.49845565239997214</v>
      </c>
      <c r="AG331" s="799">
        <f t="shared" si="124"/>
        <v>3</v>
      </c>
      <c r="AH331" s="176">
        <f t="shared" si="119"/>
        <v>9</v>
      </c>
      <c r="AI331" s="224">
        <f t="shared" si="120"/>
        <v>3.4984556523999721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'2027'!Wh/'2027'!Env_an*'2028'!Env_an</f>
        <v>9.3143966015146908</v>
      </c>
      <c r="C332" s="829"/>
      <c r="D332" s="391">
        <f t="shared" si="102"/>
        <v>9.9776166602200558</v>
      </c>
      <c r="E332" s="383">
        <f t="shared" si="125"/>
        <v>10.542052200337011</v>
      </c>
      <c r="F332" s="383">
        <f t="shared" si="103"/>
        <v>10.544045935289546</v>
      </c>
      <c r="G332" s="110">
        <f t="shared" si="126"/>
        <v>0.34869550940259475</v>
      </c>
      <c r="H332" s="412" t="b">
        <f>Wh_hp&gt;='2027'!Maxi_hp</f>
        <v>0</v>
      </c>
      <c r="I332" s="388">
        <f>IF(H332,Wh_hp,'2027'!Maxi_hp)</f>
        <v>19.875209801097167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6.6470789697660848E-2</v>
      </c>
      <c r="M332" s="832"/>
      <c r="N332" s="832"/>
      <c r="O332" s="48">
        <f>IF(t&lt;Tnet,'2027'!Resal+('2027'!Salim-'2027'!Resal)*(1-EXP(('2027'!Tnet-t)/('2027'!Tau_j))),Resal+(Salim-Resal)*(1-EXP((Tnet-t)/(Tau_j))))*Salcycl</f>
        <v>5.3541334209947493E-2</v>
      </c>
      <c r="P332" s="169">
        <f>(INDEX(Models!$BJ332:$BT332,,T332)*(1-R332)+INDEX(Models!$BJ332:$BT332,,T332+1)*R332-ERP_i)*Q332*Ramure*Pc/MaxiM</f>
        <v>2.6705438665976153E-3</v>
      </c>
      <c r="Q332" s="304">
        <f t="shared" si="105"/>
        <v>0.6</v>
      </c>
      <c r="R332" s="177">
        <f t="shared" si="106"/>
        <v>0.97350112155855539</v>
      </c>
      <c r="S332" s="799">
        <f t="shared" si="107"/>
        <v>-1</v>
      </c>
      <c r="T332" s="176">
        <f t="shared" si="108"/>
        <v>5</v>
      </c>
      <c r="U332" s="250">
        <f t="shared" si="109"/>
        <v>-2.6498878441444662E-2</v>
      </c>
      <c r="V332" s="382">
        <f t="shared" si="110"/>
        <v>26.645823361931118</v>
      </c>
      <c r="W332" s="400">
        <f t="shared" si="111"/>
        <v>9.3143966015146908</v>
      </c>
      <c r="X332" s="157">
        <f t="shared" si="112"/>
        <v>47070</v>
      </c>
      <c r="Y332" s="383">
        <f t="shared" si="113"/>
        <v>9.0028028829758515</v>
      </c>
      <c r="Z332" s="383">
        <f t="shared" si="114"/>
        <v>9.6438362973774989</v>
      </c>
      <c r="AA332" s="384">
        <f t="shared" si="115"/>
        <v>10.529876435915554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8.4145350036200606E-2</v>
      </c>
      <c r="AD332" s="230">
        <f>(INDEX(Models!$BJ332:$BT332,,AH332)*(1-AF332)+INDEX(Models!$BJ332:$BT332,,AH332+1)*AF332-ERP_i)*AE332*Ramure*Pc/MaxiM</f>
        <v>1.8979588835438242E-2</v>
      </c>
      <c r="AE332" s="304">
        <f t="shared" si="117"/>
        <v>0.6</v>
      </c>
      <c r="AF332" s="177">
        <f t="shared" si="118"/>
        <v>0.49848868793253365</v>
      </c>
      <c r="AG332" s="799">
        <f t="shared" si="124"/>
        <v>3</v>
      </c>
      <c r="AH332" s="176">
        <f t="shared" si="119"/>
        <v>9</v>
      </c>
      <c r="AI332" s="224">
        <f t="shared" si="120"/>
        <v>3.4984886879325336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'2027'!Wh/'2027'!Env_an*'2028'!Env_an</f>
        <v>11.952927591029583</v>
      </c>
      <c r="C333" s="829"/>
      <c r="D333" s="391">
        <f t="shared" si="102"/>
        <v>12.804266367496943</v>
      </c>
      <c r="E333" s="383">
        <f t="shared" si="125"/>
        <v>13.528977244091159</v>
      </c>
      <c r="F333" s="383">
        <f t="shared" si="103"/>
        <v>13.536984439888133</v>
      </c>
      <c r="G333" s="110">
        <f t="shared" si="126"/>
        <v>0.45198462564002423</v>
      </c>
      <c r="H333" s="412" t="b">
        <f>Wh_hp&gt;='2027'!Maxi_hp</f>
        <v>0</v>
      </c>
      <c r="I333" s="388">
        <f>IF(H333,Wh_hp,'2027'!Maxi_hp)</f>
        <v>26.911873928380832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6.6488680572004077E-2</v>
      </c>
      <c r="M333" s="832"/>
      <c r="N333" s="832"/>
      <c r="O333" s="48">
        <f>IF(t&lt;Tnet,'2027'!Resal+('2027'!Salim-'2027'!Resal)*(1-EXP(('2027'!Tnet-t)/('2027'!Tau_j))),Resal+(Salim-Resal)*(1-EXP((Tnet-t)/(Tau_j))))*Salcycl</f>
        <v>5.3567306938204606E-2</v>
      </c>
      <c r="P333" s="169">
        <f>(INDEX(Models!$BJ333:$BT333,,T333)*(1-R333)+INDEX(Models!$BJ333:$BT333,,T333+1)*R333-ERP_i)*Q333*Ramure*Pc/MaxiM</f>
        <v>2.7072324096364137E-3</v>
      </c>
      <c r="Q333" s="304">
        <f t="shared" si="105"/>
        <v>0.6</v>
      </c>
      <c r="R333" s="177">
        <f t="shared" si="106"/>
        <v>0.97353283108985045</v>
      </c>
      <c r="S333" s="799">
        <f t="shared" si="107"/>
        <v>-1</v>
      </c>
      <c r="T333" s="176">
        <f t="shared" si="108"/>
        <v>5</v>
      </c>
      <c r="U333" s="250">
        <f t="shared" si="109"/>
        <v>-2.6467168910149552E-2</v>
      </c>
      <c r="V333" s="382">
        <f t="shared" si="110"/>
        <v>26.389445153597489</v>
      </c>
      <c r="W333" s="400">
        <f t="shared" si="111"/>
        <v>11.952927591029583</v>
      </c>
      <c r="X333" s="157">
        <f t="shared" si="112"/>
        <v>47071</v>
      </c>
      <c r="Y333" s="383">
        <f t="shared" si="113"/>
        <v>11.525557823201739</v>
      </c>
      <c r="Z333" s="383">
        <f t="shared" si="114"/>
        <v>12.346457491553464</v>
      </c>
      <c r="AA333" s="384">
        <f t="shared" si="115"/>
        <v>13.480442249935772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8.4120738575005669E-2</v>
      </c>
      <c r="AD333" s="230">
        <f>(INDEX(Models!$BJ333:$BT333,,AH333)*(1-AF333)+INDEX(Models!$BJ333:$BT333,,AH333+1)*AF333-ERP_i)*AE333*Ramure*Pc/MaxiM</f>
        <v>1.9116910967595907E-2</v>
      </c>
      <c r="AE333" s="304">
        <f t="shared" si="117"/>
        <v>0.6</v>
      </c>
      <c r="AF333" s="177">
        <f t="shared" si="118"/>
        <v>0.49852039746382903</v>
      </c>
      <c r="AG333" s="799">
        <f t="shared" si="124"/>
        <v>3</v>
      </c>
      <c r="AH333" s="176">
        <f t="shared" si="119"/>
        <v>9</v>
      </c>
      <c r="AI333" s="224">
        <f t="shared" si="120"/>
        <v>3.498520397463829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'2027'!Wh/'2027'!Env_an*'2028'!Env_an</f>
        <v>25.736570014258373</v>
      </c>
      <c r="C334" s="829"/>
      <c r="D334" s="391">
        <f t="shared" si="102"/>
        <v>27.570167306567225</v>
      </c>
      <c r="E334" s="383">
        <f t="shared" si="125"/>
        <v>29.131432853863224</v>
      </c>
      <c r="F334" s="383">
        <f t="shared" si="103"/>
        <v>29.209729074860984</v>
      </c>
      <c r="G334" s="110">
        <f t="shared" si="126"/>
        <v>0.98465844280624271</v>
      </c>
      <c r="H334" s="412" t="b">
        <f>Wh_hp&gt;='2027'!Maxi_hp</f>
        <v>0</v>
      </c>
      <c r="I334" s="388">
        <f>IF(H334,Wh_hp,'2027'!Maxi_hp)</f>
        <v>29.211081047049195</v>
      </c>
      <c r="J334" s="85">
        <f>IF(H334,An,'2027'!An_max)</f>
        <v>2026</v>
      </c>
      <c r="K334" s="197">
        <f t="shared" si="104"/>
        <v>47072</v>
      </c>
      <c r="L334" s="147">
        <f>IF(t&lt;Tvie,1-EXP((T0-t)*PertePVj)+'2027'!Pspv,1-EXP((T0-t)*PertePVj)+Pspv)</f>
        <v>6.6506571103472689E-2</v>
      </c>
      <c r="M334" s="832"/>
      <c r="N334" s="832"/>
      <c r="O334" s="48">
        <f>IF(t&lt;Tnet,'2027'!Resal+('2027'!Salim-'2027'!Resal)*(1-EXP(('2027'!Tnet-t)/('2027'!Tau_j))),Resal+(Salim-Resal)*(1-EXP((Tnet-t)/(Tau_j))))*Salcycl</f>
        <v>5.3593846726593626E-2</v>
      </c>
      <c r="P334" s="169">
        <f>(INDEX(Models!$BJ334:$BT334,,T334)*(1-R334)+INDEX(Models!$BJ334:$BT334,,T334+1)*R334-ERP_i)*Q334*Ramure*Pc/MaxiM</f>
        <v>2.7403111383687184E-3</v>
      </c>
      <c r="Q334" s="304">
        <f t="shared" si="105"/>
        <v>0.6</v>
      </c>
      <c r="R334" s="177">
        <f t="shared" si="106"/>
        <v>0.97356326768534007</v>
      </c>
      <c r="S334" s="799">
        <f t="shared" si="107"/>
        <v>-1</v>
      </c>
      <c r="T334" s="176">
        <f t="shared" si="108"/>
        <v>5</v>
      </c>
      <c r="U334" s="250">
        <f t="shared" si="109"/>
        <v>-2.6436732314659983E-2</v>
      </c>
      <c r="V334" s="382">
        <f t="shared" si="110"/>
        <v>26.135992969984827</v>
      </c>
      <c r="W334" s="400">
        <f t="shared" si="111"/>
        <v>25.736570014258373</v>
      </c>
      <c r="X334" s="157">
        <f t="shared" si="112"/>
        <v>47072</v>
      </c>
      <c r="Y334" s="383">
        <f t="shared" si="113"/>
        <v>24.50404007874214</v>
      </c>
      <c r="Z334" s="383">
        <f t="shared" si="114"/>
        <v>26.249825997927061</v>
      </c>
      <c r="AA334" s="384">
        <f t="shared" si="115"/>
        <v>28.660055431009337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8.4097165788258654E-2</v>
      </c>
      <c r="AD334" s="230">
        <f>(INDEX(Models!$BJ334:$BT334,,AH334)*(1-AF334)+INDEX(Models!$BJ334:$BT334,,AH334+1)*AF334-ERP_i)*AE334*Ramure*Pc/MaxiM</f>
        <v>1.9238180202304635E-2</v>
      </c>
      <c r="AE334" s="304">
        <f t="shared" si="117"/>
        <v>0.6</v>
      </c>
      <c r="AF334" s="177">
        <f t="shared" si="118"/>
        <v>0.49855083405931833</v>
      </c>
      <c r="AG334" s="799">
        <f t="shared" si="124"/>
        <v>3</v>
      </c>
      <c r="AH334" s="176">
        <f t="shared" si="119"/>
        <v>9</v>
      </c>
      <c r="AI334" s="224">
        <f t="shared" si="120"/>
        <v>3.4985508340593183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'2027'!Wh/'2027'!Env_an*'2028'!Env_an</f>
        <v>13.176385056346524</v>
      </c>
      <c r="C335" s="829"/>
      <c r="D335" s="391">
        <f t="shared" ref="D335:D380" si="127">Wh/(1-Ppv)</f>
        <v>14.115404753492163</v>
      </c>
      <c r="E335" s="383">
        <f t="shared" si="125"/>
        <v>14.91517107059442</v>
      </c>
      <c r="F335" s="383">
        <f t="shared" ref="F335:F380" si="128">Wh_sa/(1-Pvg*MEDIAN((-Sdif+Wh/Env_an)/Csdif,0,1))</f>
        <v>14.927516760325556</v>
      </c>
      <c r="G335" s="110">
        <f t="shared" si="126"/>
        <v>0.50802723231978009</v>
      </c>
      <c r="H335" s="412" t="b">
        <f>Wh_hp&gt;='2027'!Maxi_hp</f>
        <v>0</v>
      </c>
      <c r="I335" s="388">
        <f>IF(H335,Wh_hp,'2027'!Maxi_hp)</f>
        <v>23.200751935750731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6.6524461292073456E-2</v>
      </c>
      <c r="M335" s="832"/>
      <c r="N335" s="832"/>
      <c r="O335" s="48">
        <f>IF(t&lt;Tnet,'2027'!Resal+('2027'!Salim-'2027'!Resal)*(1-EXP(('2027'!Tnet-t)/('2027'!Tau_j))),Resal+(Salim-Resal)*(1-EXP((Tnet-t)/(Tau_j))))*Salcycl</f>
        <v>5.3620995248188225E-2</v>
      </c>
      <c r="P335" s="169">
        <f>(INDEX(Models!$BJ335:$BT335,,T335)*(1-R335)+INDEX(Models!$BJ335:$BT335,,T335+1)*R335-ERP_i)*Q335*Ramure*Pc/MaxiM</f>
        <v>2.769774147972609E-3</v>
      </c>
      <c r="Q335" s="304">
        <f t="shared" ref="Q335:Q380" si="130">IF(OR(t&lt;Ttai,Notai),Dd+PousD*Croivg,Dens+PousD*(Croivg-Croi_tai))</f>
        <v>0.6</v>
      </c>
      <c r="R335" s="177">
        <f t="shared" ref="R335:R379" si="131">(Hp_vg-S335)/(INDEX(Echel_vg,T335+1)-S335)</f>
        <v>0.97359248229933426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-2.6407517700665739E-2</v>
      </c>
      <c r="V335" s="382">
        <f t="shared" ref="V335:V380" si="135">MaxiM*(1-Ppv)*(1-Pvg)*(1-Psa)</f>
        <v>25.885946363171023</v>
      </c>
      <c r="W335" s="400">
        <f t="shared" ref="W335:W379" si="136">Wh*(A335&gt;Tmaj)</f>
        <v>13.176385056346524</v>
      </c>
      <c r="X335" s="157">
        <f t="shared" ref="X335:X380" si="137">t</f>
        <v>47073</v>
      </c>
      <c r="Y335" s="383">
        <f t="shared" ref="Y335:Y380" si="138">Wh_pvt_s*(1-Ppv)</f>
        <v>12.689218698536529</v>
      </c>
      <c r="Z335" s="383">
        <f t="shared" ref="Z335:Z380" si="139">Wh_sa_s*(1-Psa_s)</f>
        <v>13.59352031452303</v>
      </c>
      <c r="AA335" s="384">
        <f t="shared" ref="AA335:AA380" si="140">Wh_hp*(1-Pvg_s*MEDIAN((-Sdif+Wh/Env_an)/Csdif,0,1))</f>
        <v>14.841297897753522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8.4074694263725047E-2</v>
      </c>
      <c r="AD335" s="230">
        <f>(INDEX(Models!$BJ335:$BT335,,AH335)*(1-AF335)+INDEX(Models!$BJ335:$BT335,,AH335+1)*AF335-ERP_i)*AE335*Ramure*Pc/MaxiM</f>
        <v>1.9343332111883986E-2</v>
      </c>
      <c r="AE335" s="304">
        <f t="shared" ref="AE335:AE380" si="142">IF(OR(t&lt;Ttai,Notai),Dd_s+PousD*Croivg,Dens_s+PousD*(Croivg-Croi_tai))</f>
        <v>0.6</v>
      </c>
      <c r="AF335" s="177">
        <f t="shared" ref="AF335:AF379" si="143">(Hp_vg_s-AG335)/(INDEX(Echel_vg,AH335+1)-AG335)</f>
        <v>0.49858004867331296</v>
      </c>
      <c r="AG335" s="799">
        <f t="shared" si="124"/>
        <v>3</v>
      </c>
      <c r="AH335" s="176">
        <f t="shared" ref="AH335:AH380" si="144">MIN(MATCH(Hp_vg_s,Echel_vg),10)</f>
        <v>9</v>
      </c>
      <c r="AI335" s="224">
        <f t="shared" ref="AI335:AI380" si="145">IF(OR(t&lt;Ttai,Notai),Hdd_s+PousH*Croivg,Hdtai_s+PousH*(Croivg-Croi_tai))</f>
        <v>3.498580048673313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'2027'!Wh/'2027'!Env_an*'2028'!Env_an</f>
        <v>15.08403187676994</v>
      </c>
      <c r="C336" s="829"/>
      <c r="D336" s="391">
        <f t="shared" si="127"/>
        <v>16.159310382379115</v>
      </c>
      <c r="E336" s="383">
        <f t="shared" si="125"/>
        <v>17.075384104738369</v>
      </c>
      <c r="F336" s="383">
        <f t="shared" si="128"/>
        <v>17.095067618800375</v>
      </c>
      <c r="G336" s="110">
        <f t="shared" si="126"/>
        <v>0.58733730283164509</v>
      </c>
      <c r="H336" s="412" t="b">
        <f>Wh_hp&gt;='2027'!Maxi_hp</f>
        <v>0</v>
      </c>
      <c r="I336" s="388">
        <f>IF(H336,Wh_hp,'2027'!Maxi_hp)</f>
        <v>27.250192771666942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6.6542351137812816E-2</v>
      </c>
      <c r="M336" s="832"/>
      <c r="N336" s="832"/>
      <c r="O336" s="48">
        <f>IF(t&lt;Tnet,'2027'!Resal+('2027'!Salim-'2027'!Resal)*(1-EXP(('2027'!Tnet-t)/('2027'!Tau_j))),Resal+(Salim-Resal)*(1-EXP((Tnet-t)/(Tau_j))))*Salcycl</f>
        <v>5.3648791543438733E-2</v>
      </c>
      <c r="P336" s="169">
        <f>(INDEX(Models!$BJ336:$BT336,,T336)*(1-R336)+INDEX(Models!$BJ336:$BT336,,T336+1)*R336-ERP_i)*Q336*Ramure*Pc/MaxiM</f>
        <v>2.7956101717778021E-3</v>
      </c>
      <c r="Q336" s="304">
        <f t="shared" si="130"/>
        <v>0.6</v>
      </c>
      <c r="R336" s="177">
        <f t="shared" si="131"/>
        <v>0.97362052385799758</v>
      </c>
      <c r="S336" s="799">
        <f t="shared" si="132"/>
        <v>-1</v>
      </c>
      <c r="T336" s="176">
        <f t="shared" si="133"/>
        <v>5</v>
      </c>
      <c r="U336" s="250">
        <f t="shared" si="134"/>
        <v>-2.6379476142002367E-2</v>
      </c>
      <c r="V336" s="382">
        <f t="shared" si="135"/>
        <v>25.639785042898662</v>
      </c>
      <c r="W336" s="400">
        <f t="shared" si="136"/>
        <v>15.08403187676994</v>
      </c>
      <c r="X336" s="157">
        <f t="shared" si="137"/>
        <v>47074</v>
      </c>
      <c r="Y336" s="383">
        <f t="shared" si="138"/>
        <v>14.499257221156361</v>
      </c>
      <c r="Z336" s="383">
        <f t="shared" si="139"/>
        <v>15.532849550089216</v>
      </c>
      <c r="AA336" s="384">
        <f t="shared" si="140"/>
        <v>16.958247620110889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8.4053382280565719E-2</v>
      </c>
      <c r="AD336" s="230">
        <f>(INDEX(Models!$BJ336:$BT336,,AH336)*(1-AF336)+INDEX(Models!$BJ336:$BT336,,AH336+1)*AF336-ERP_i)*AE336*Ramure*Pc/MaxiM</f>
        <v>1.9432271028130884E-2</v>
      </c>
      <c r="AE336" s="304">
        <f t="shared" si="142"/>
        <v>0.6</v>
      </c>
      <c r="AF336" s="177">
        <f t="shared" si="143"/>
        <v>0.49860809023197605</v>
      </c>
      <c r="AG336" s="799">
        <f t="shared" ref="AG336:AG379" si="149">INDEX(Echel_vg,AH336)</f>
        <v>3</v>
      </c>
      <c r="AH336" s="176">
        <f t="shared" si="144"/>
        <v>9</v>
      </c>
      <c r="AI336" s="224">
        <f t="shared" si="145"/>
        <v>3.4986080902319761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'2027'!Wh/'2027'!Env_an*'2028'!Env_an</f>
        <v>6.8939491779342417</v>
      </c>
      <c r="C337" s="829"/>
      <c r="D337" s="391">
        <f t="shared" si="127"/>
        <v>7.385531962626203</v>
      </c>
      <c r="E337" s="383">
        <f t="shared" si="125"/>
        <v>7.8044537481536631</v>
      </c>
      <c r="F337" s="383">
        <f t="shared" si="128"/>
        <v>7.8044537481536631</v>
      </c>
      <c r="G337" s="110">
        <f t="shared" si="126"/>
        <v>0.27067195846039349</v>
      </c>
      <c r="H337" s="412" t="b">
        <f>Wh_hp&gt;='2027'!Maxi_hp</f>
        <v>0</v>
      </c>
      <c r="I337" s="388">
        <f>IF(H337,Wh_hp,'2027'!Maxi_hp)</f>
        <v>28.562272949049884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6.6560240640697321E-2</v>
      </c>
      <c r="M337" s="832"/>
      <c r="N337" s="832"/>
      <c r="O337" s="48">
        <f>IF(t&lt;Tnet,'2027'!Resal+('2027'!Salim-'2027'!Resal)*(1-EXP(('2027'!Tnet-t)/('2027'!Tau_j))),Resal+(Salim-Resal)*(1-EXP((Tnet-t)/(Tau_j))))*Salcycl</f>
        <v>5.367727185603044E-2</v>
      </c>
      <c r="P337" s="169">
        <f>(INDEX(Models!$BJ337:$BT337,,T337)*(1-R337)+INDEX(Models!$BJ337:$BT337,,T337+1)*R337-ERP_i)*Q337*Ramure*Pc/MaxiM</f>
        <v>2.8178023354505353E-3</v>
      </c>
      <c r="Q337" s="304">
        <f t="shared" si="130"/>
        <v>0.6</v>
      </c>
      <c r="R337" s="177">
        <f t="shared" si="131"/>
        <v>0.97364743933916809</v>
      </c>
      <c r="S337" s="799">
        <f t="shared" si="132"/>
        <v>-1</v>
      </c>
      <c r="T337" s="176">
        <f t="shared" si="133"/>
        <v>5</v>
      </c>
      <c r="U337" s="250">
        <f t="shared" si="134"/>
        <v>-2.6352560660831859E-2</v>
      </c>
      <c r="V337" s="382">
        <f t="shared" si="135"/>
        <v>25.397988882716518</v>
      </c>
      <c r="W337" s="400">
        <f t="shared" si="136"/>
        <v>6.8939491779342417</v>
      </c>
      <c r="X337" s="157">
        <f t="shared" si="137"/>
        <v>47075</v>
      </c>
      <c r="Y337" s="383">
        <f t="shared" si="138"/>
        <v>6.6728060142172856</v>
      </c>
      <c r="Z337" s="383">
        <f t="shared" si="139"/>
        <v>7.1486198732282276</v>
      </c>
      <c r="AA337" s="384">
        <f t="shared" si="140"/>
        <v>7.8044537481536631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8.4033283569729611E-2</v>
      </c>
      <c r="AD337" s="230">
        <f>(INDEX(Models!$BJ337:$BT337,,AH337)*(1-AF337)+INDEX(Models!$BJ337:$BT337,,AH337+1)*AF337-ERP_i)*AE337*Ramure*Pc/MaxiM</f>
        <v>1.950486837110977E-2</v>
      </c>
      <c r="AE337" s="304">
        <f t="shared" si="142"/>
        <v>0.6</v>
      </c>
      <c r="AF337" s="177">
        <f t="shared" si="143"/>
        <v>0.49863500571314656</v>
      </c>
      <c r="AG337" s="799">
        <f t="shared" si="149"/>
        <v>3</v>
      </c>
      <c r="AH337" s="176">
        <f t="shared" si="144"/>
        <v>9</v>
      </c>
      <c r="AI337" s="224">
        <f t="shared" si="145"/>
        <v>3.4986350057131466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'2027'!Wh/'2027'!Env_an*'2028'!Env_an</f>
        <v>15.171328441376254</v>
      </c>
      <c r="C338" s="829"/>
      <c r="D338" s="391">
        <f t="shared" si="127"/>
        <v>16.253452940991718</v>
      </c>
      <c r="E338" s="383">
        <f t="shared" si="125"/>
        <v>17.175910451553229</v>
      </c>
      <c r="F338" s="383">
        <f t="shared" si="128"/>
        <v>17.197042779541455</v>
      </c>
      <c r="G338" s="110">
        <f t="shared" si="126"/>
        <v>0.60199864048380813</v>
      </c>
      <c r="H338" s="412" t="b">
        <f>Wh_hp&gt;='2027'!Maxi_hp</f>
        <v>0</v>
      </c>
      <c r="I338" s="388">
        <f>IF(H338,Wh_hp,'2027'!Maxi_hp)</f>
        <v>28.66422438766487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6.6578129800733632E-2</v>
      </c>
      <c r="M338" s="832"/>
      <c r="N338" s="832"/>
      <c r="O338" s="48">
        <f>IF(t&lt;Tnet,'2027'!Resal+('2027'!Salim-'2027'!Resal)*(1-EXP(('2027'!Tnet-t)/('2027'!Tau_j))),Resal+(Salim-Resal)*(1-EXP((Tnet-t)/(Tau_j))))*Salcycl</f>
        <v>5.3706469486052275E-2</v>
      </c>
      <c r="P338" s="169">
        <f>(INDEX(Models!$BJ338:$BT338,,T338)*(1-R338)+INDEX(Models!$BJ338:$BT338,,T338+1)*R338-ERP_i)*Q338*Ramure*Pc/MaxiM</f>
        <v>2.8391661713871785E-3</v>
      </c>
      <c r="Q338" s="304">
        <f t="shared" si="130"/>
        <v>0.6</v>
      </c>
      <c r="R338" s="177">
        <f t="shared" si="131"/>
        <v>0.97367327384910718</v>
      </c>
      <c r="S338" s="799">
        <f t="shared" si="132"/>
        <v>-1</v>
      </c>
      <c r="T338" s="176">
        <f t="shared" si="133"/>
        <v>5</v>
      </c>
      <c r="U338" s="250">
        <f t="shared" si="134"/>
        <v>-2.6326726150892821E-2</v>
      </c>
      <c r="V338" s="382">
        <f t="shared" si="135"/>
        <v>25.160966323112188</v>
      </c>
      <c r="W338" s="400">
        <f t="shared" si="136"/>
        <v>15.171328441376254</v>
      </c>
      <c r="X338" s="157">
        <f t="shared" si="137"/>
        <v>47076</v>
      </c>
      <c r="Y338" s="383">
        <f t="shared" si="138"/>
        <v>14.579039479940059</v>
      </c>
      <c r="Z338" s="383">
        <f t="shared" si="139"/>
        <v>15.618917817757724</v>
      </c>
      <c r="AA338" s="384">
        <f t="shared" si="140"/>
        <v>17.051489260229094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8.4014447102441658E-2</v>
      </c>
      <c r="AD338" s="230">
        <f>(INDEX(Models!$BJ338:$BT338,,AH338)*(1-AF338)+INDEX(Models!$BJ338:$BT338,,AH338+1)*AF338-ERP_i)*AE338*Ramure*Pc/MaxiM</f>
        <v>1.9555376406622815E-2</v>
      </c>
      <c r="AE338" s="304">
        <f t="shared" si="142"/>
        <v>0.6</v>
      </c>
      <c r="AF338" s="177">
        <f t="shared" si="143"/>
        <v>0.49866084022308588</v>
      </c>
      <c r="AG338" s="799">
        <f t="shared" si="149"/>
        <v>3</v>
      </c>
      <c r="AH338" s="176">
        <f t="shared" si="144"/>
        <v>9</v>
      </c>
      <c r="AI338" s="224">
        <f t="shared" si="145"/>
        <v>3.4986608402230859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'2027'!Wh/'2027'!Env_an*'2028'!Env_an</f>
        <v>3.0474724867708618</v>
      </c>
      <c r="C339" s="829"/>
      <c r="D339" s="391">
        <f t="shared" si="127"/>
        <v>3.2649019583766217</v>
      </c>
      <c r="E339" s="383">
        <f t="shared" si="125"/>
        <v>3.4503092044999888</v>
      </c>
      <c r="F339" s="383">
        <f t="shared" si="128"/>
        <v>3.4503092044999888</v>
      </c>
      <c r="G339" s="110">
        <f t="shared" si="126"/>
        <v>0.12189551862310605</v>
      </c>
      <c r="H339" s="412" t="b">
        <f>Wh_hp&gt;='2027'!Maxi_hp</f>
        <v>0</v>
      </c>
      <c r="I339" s="388">
        <f>IF(H339,Wh_hp,'2027'!Maxi_hp)</f>
        <v>27.981917732937102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6.6596018617928299E-2</v>
      </c>
      <c r="M339" s="832"/>
      <c r="N339" s="832"/>
      <c r="O339" s="48">
        <f>IF(t&lt;Tnet,'2027'!Resal+('2027'!Salim-'2027'!Resal)*(1-EXP(('2027'!Tnet-t)/('2027'!Tau_j))),Resal+(Salim-Resal)*(1-EXP((Tnet-t)/(Tau_j))))*Salcycl</f>
        <v>5.3736414661490046E-2</v>
      </c>
      <c r="P339" s="169">
        <f>(INDEX(Models!$BJ339:$BT339,,T339)*(1-R339)+INDEX(Models!$BJ339:$BT339,,T339+1)*R339-ERP_i)*Q339*Ramure*Pc/MaxiM</f>
        <v>2.859543096075676E-3</v>
      </c>
      <c r="Q339" s="304">
        <f t="shared" si="130"/>
        <v>0.6</v>
      </c>
      <c r="R339" s="177">
        <f t="shared" si="131"/>
        <v>0.97369807069629233</v>
      </c>
      <c r="S339" s="799">
        <f t="shared" si="132"/>
        <v>-1</v>
      </c>
      <c r="T339" s="176">
        <f t="shared" si="133"/>
        <v>5</v>
      </c>
      <c r="U339" s="250">
        <f t="shared" si="134"/>
        <v>-2.6301929303707727E-2</v>
      </c>
      <c r="V339" s="382">
        <f t="shared" si="135"/>
        <v>24.929202830306675</v>
      </c>
      <c r="W339" s="400">
        <f t="shared" si="136"/>
        <v>3.0474724867708618</v>
      </c>
      <c r="X339" s="157">
        <f t="shared" si="137"/>
        <v>47077</v>
      </c>
      <c r="Y339" s="383">
        <f t="shared" si="138"/>
        <v>2.9500175604040479</v>
      </c>
      <c r="Z339" s="383">
        <f t="shared" si="139"/>
        <v>3.1604938689419546</v>
      </c>
      <c r="AA339" s="384">
        <f t="shared" si="140"/>
        <v>3.4503092044999888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8.3996916908214717E-2</v>
      </c>
      <c r="AD339" s="230">
        <f>(INDEX(Models!$BJ339:$BT339,,AH339)*(1-AF339)+INDEX(Models!$BJ339:$BT339,,AH339+1)*AF339-ERP_i)*AE339*Ramure*Pc/MaxiM</f>
        <v>1.9590927843203945E-2</v>
      </c>
      <c r="AE339" s="304">
        <f t="shared" si="142"/>
        <v>0.6</v>
      </c>
      <c r="AF339" s="177">
        <f t="shared" si="143"/>
        <v>0.4986856370702708</v>
      </c>
      <c r="AG339" s="799">
        <f t="shared" si="149"/>
        <v>3</v>
      </c>
      <c r="AH339" s="176">
        <f t="shared" si="144"/>
        <v>9</v>
      </c>
      <c r="AI339" s="224">
        <f t="shared" si="145"/>
        <v>3.4986856370702708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'2027'!Wh/'2027'!Env_an*'2028'!Env_an</f>
        <v>7.5397229772029348</v>
      </c>
      <c r="C340" s="829"/>
      <c r="D340" s="391">
        <f t="shared" si="127"/>
        <v>8.0778179946038886</v>
      </c>
      <c r="E340" s="383">
        <f t="shared" si="125"/>
        <v>8.5368182489926934</v>
      </c>
      <c r="F340" s="383">
        <f t="shared" si="128"/>
        <v>8.5370012662771799</v>
      </c>
      <c r="G340" s="110">
        <f t="shared" si="126"/>
        <v>0.30434048825403709</v>
      </c>
      <c r="H340" s="412" t="b">
        <f>Wh_hp&gt;='2027'!Maxi_hp</f>
        <v>0</v>
      </c>
      <c r="I340" s="388">
        <f>IF(H340,Wh_hp,'2027'!Maxi_hp)</f>
        <v>29.203443370360098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6.6613907092287761E-2</v>
      </c>
      <c r="M340" s="832"/>
      <c r="N340" s="832"/>
      <c r="O340" s="48">
        <f>IF(t&lt;Tnet,'2027'!Resal+('2027'!Salim-'2027'!Resal)*(1-EXP(('2027'!Tnet-t)/('2027'!Tau_j))),Resal+(Salim-Resal)*(1-EXP((Tnet-t)/(Tau_j))))*Salcycl</f>
        <v>5.3767134428914905E-2</v>
      </c>
      <c r="P340" s="169">
        <f>(INDEX(Models!$BJ340:$BT340,,T340)*(1-R340)+INDEX(Models!$BJ340:$BT340,,T340+1)*R340-ERP_i)*Q340*Ramure*Pc/MaxiM</f>
        <v>2.8789025690356554E-3</v>
      </c>
      <c r="Q340" s="304">
        <f t="shared" si="130"/>
        <v>0.6</v>
      </c>
      <c r="R340" s="177">
        <f t="shared" si="131"/>
        <v>0.97372187146236089</v>
      </c>
      <c r="S340" s="799">
        <f t="shared" si="132"/>
        <v>-1</v>
      </c>
      <c r="T340" s="176">
        <f t="shared" si="133"/>
        <v>5</v>
      </c>
      <c r="U340" s="250">
        <f t="shared" si="134"/>
        <v>-2.6278128537639112E-2</v>
      </c>
      <c r="V340" s="382">
        <f t="shared" si="135"/>
        <v>24.703180533458614</v>
      </c>
      <c r="W340" s="400">
        <f t="shared" si="136"/>
        <v>7.5397229772029348</v>
      </c>
      <c r="X340" s="157">
        <f t="shared" si="137"/>
        <v>47078</v>
      </c>
      <c r="Y340" s="383">
        <f t="shared" si="138"/>
        <v>7.2980671066942433</v>
      </c>
      <c r="Z340" s="383">
        <f t="shared" si="139"/>
        <v>7.8189156257504191</v>
      </c>
      <c r="AA340" s="384">
        <f t="shared" si="140"/>
        <v>8.5357545394974519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8.3980731923581922E-2</v>
      </c>
      <c r="AD340" s="230">
        <f>(INDEX(Models!$BJ340:$BT340,,AH340)*(1-AF340)+INDEX(Models!$BJ340:$BT340,,AH340+1)*AF340-ERP_i)*AE340*Ramure*Pc/MaxiM</f>
        <v>1.9611289387815364E-2</v>
      </c>
      <c r="AE340" s="304">
        <f t="shared" si="142"/>
        <v>0.6</v>
      </c>
      <c r="AF340" s="177">
        <f t="shared" si="143"/>
        <v>0.49870943783633948</v>
      </c>
      <c r="AG340" s="799">
        <f t="shared" si="149"/>
        <v>3</v>
      </c>
      <c r="AH340" s="176">
        <f t="shared" si="144"/>
        <v>9</v>
      </c>
      <c r="AI340" s="224">
        <f t="shared" si="145"/>
        <v>3.4987094378363395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'2027'!Wh/'2027'!Env_an*'2028'!Env_an</f>
        <v>12.645489389908441</v>
      </c>
      <c r="C341" s="829"/>
      <c r="D341" s="391">
        <f t="shared" si="127"/>
        <v>13.548232439459184</v>
      </c>
      <c r="E341" s="383">
        <f t="shared" si="125"/>
        <v>14.318551200728228</v>
      </c>
      <c r="F341" s="383">
        <f t="shared" si="128"/>
        <v>14.331392552833107</v>
      </c>
      <c r="G341" s="110">
        <f t="shared" si="126"/>
        <v>0.51545823980188177</v>
      </c>
      <c r="H341" s="412" t="b">
        <f>Wh_hp&gt;='2027'!Maxi_hp</f>
        <v>0</v>
      </c>
      <c r="I341" s="388">
        <f>IF(H341,Wh_hp,'2027'!Maxi_hp)</f>
        <v>29.107219927904186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6.663179522381879E-2</v>
      </c>
      <c r="M341" s="832"/>
      <c r="N341" s="832"/>
      <c r="O341" s="48">
        <f>IF(t&lt;Tnet,'2027'!Resal+('2027'!Salim-'2027'!Resal)*(1-EXP(('2027'!Tnet-t)/('2027'!Tau_j))),Resal+(Salim-Resal)*(1-EXP((Tnet-t)/(Tau_j))))*Salcycl</f>
        <v>5.3798652564085267E-2</v>
      </c>
      <c r="P341" s="169">
        <f>(INDEX(Models!$BJ341:$BT341,,T341)*(1-R341)+INDEX(Models!$BJ341:$BT341,,T341+1)*R341-ERP_i)*Q341*Ramure*Pc/MaxiM</f>
        <v>2.8971904277250017E-3</v>
      </c>
      <c r="Q341" s="304">
        <f t="shared" si="130"/>
        <v>0.6</v>
      </c>
      <c r="R341" s="177">
        <f t="shared" si="131"/>
        <v>0.97374471607031055</v>
      </c>
      <c r="S341" s="799">
        <f t="shared" si="132"/>
        <v>-1</v>
      </c>
      <c r="T341" s="176">
        <f t="shared" si="133"/>
        <v>5</v>
      </c>
      <c r="U341" s="250">
        <f t="shared" si="134"/>
        <v>-2.6255283929689399E-2</v>
      </c>
      <c r="V341" s="382">
        <f t="shared" si="135"/>
        <v>24.483382091125222</v>
      </c>
      <c r="W341" s="400">
        <f t="shared" si="136"/>
        <v>12.645489389908441</v>
      </c>
      <c r="X341" s="157">
        <f t="shared" si="137"/>
        <v>47079</v>
      </c>
      <c r="Y341" s="383">
        <f t="shared" si="138"/>
        <v>12.178960861730626</v>
      </c>
      <c r="Z341" s="383">
        <f t="shared" si="139"/>
        <v>13.048399119885493</v>
      </c>
      <c r="AA341" s="384">
        <f t="shared" si="140"/>
        <v>14.244447328352727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8.3965925872502609E-2</v>
      </c>
      <c r="AD341" s="230">
        <f>(INDEX(Models!$BJ341:$BT341,,AH341)*(1-AF341)+INDEX(Models!$BJ341:$BT341,,AH341+1)*AF341-ERP_i)*AE341*Ramure*Pc/MaxiM</f>
        <v>1.9616070803421794E-2</v>
      </c>
      <c r="AE341" s="304">
        <f t="shared" si="142"/>
        <v>0.6</v>
      </c>
      <c r="AF341" s="177">
        <f t="shared" si="143"/>
        <v>0.49873228244428924</v>
      </c>
      <c r="AG341" s="799">
        <f t="shared" si="149"/>
        <v>3</v>
      </c>
      <c r="AH341" s="176">
        <f t="shared" si="144"/>
        <v>9</v>
      </c>
      <c r="AI341" s="224">
        <f t="shared" si="145"/>
        <v>3.4987322824442892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'2027'!Wh/'2027'!Env_an*'2028'!Env_an</f>
        <v>13.271332646518006</v>
      </c>
      <c r="C342" s="829"/>
      <c r="D342" s="391">
        <f t="shared" si="127"/>
        <v>14.219026238029487</v>
      </c>
      <c r="E342" s="383">
        <f t="shared" si="125"/>
        <v>15.027998254308637</v>
      </c>
      <c r="F342" s="383">
        <f t="shared" si="128"/>
        <v>15.043456571703617</v>
      </c>
      <c r="G342" s="110">
        <f t="shared" si="126"/>
        <v>0.54578115130716975</v>
      </c>
      <c r="H342" s="412" t="b">
        <f>Wh_hp&gt;='2027'!Maxi_hp</f>
        <v>0</v>
      </c>
      <c r="I342" s="388">
        <f>IF(H342,Wh_hp,'2027'!Maxi_hp)</f>
        <v>27.112988230859333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6.6649683012527827E-2</v>
      </c>
      <c r="M342" s="832"/>
      <c r="N342" s="832"/>
      <c r="O342" s="48">
        <f>IF(t&lt;Tnet,'2027'!Resal+('2027'!Salim-'2027'!Resal)*(1-EXP(('2027'!Tnet-t)/('2027'!Tau_j))),Resal+(Salim-Resal)*(1-EXP((Tnet-t)/(Tau_j))))*Salcycl</f>
        <v>5.383098950302391E-2</v>
      </c>
      <c r="P342" s="169">
        <f>(INDEX(Models!$BJ342:$BT342,,T342)*(1-R342)+INDEX(Models!$BJ342:$BT342,,T342+1)*R342-ERP_i)*Q342*Ramure*Pc/MaxiM</f>
        <v>2.9143583730260238E-3</v>
      </c>
      <c r="Q342" s="304">
        <f t="shared" si="130"/>
        <v>0.6</v>
      </c>
      <c r="R342" s="177">
        <f t="shared" si="131"/>
        <v>0.97376664285005865</v>
      </c>
      <c r="S342" s="799">
        <f t="shared" si="132"/>
        <v>-1</v>
      </c>
      <c r="T342" s="176">
        <f t="shared" si="133"/>
        <v>5</v>
      </c>
      <c r="U342" s="250">
        <f t="shared" si="134"/>
        <v>-2.6233357149941405E-2</v>
      </c>
      <c r="V342" s="382">
        <f t="shared" si="135"/>
        <v>24.27028995230026</v>
      </c>
      <c r="W342" s="400">
        <f t="shared" si="136"/>
        <v>13.271332646518006</v>
      </c>
      <c r="X342" s="157">
        <f t="shared" si="137"/>
        <v>47080</v>
      </c>
      <c r="Y342" s="383">
        <f t="shared" si="138"/>
        <v>12.773143758136642</v>
      </c>
      <c r="Z342" s="383">
        <f t="shared" si="139"/>
        <v>13.685262141833171</v>
      </c>
      <c r="AA342" s="384">
        <f t="shared" si="140"/>
        <v>14.939468256695365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8.3952527179145128E-2</v>
      </c>
      <c r="AD342" s="230">
        <f>(INDEX(Models!$BJ342:$BT342,,AH342)*(1-AF342)+INDEX(Models!$BJ342:$BT342,,AH342+1)*AF342-ERP_i)*AE342*Ramure*Pc/MaxiM</f>
        <v>1.9604929100469723E-2</v>
      </c>
      <c r="AE342" s="304">
        <f t="shared" si="142"/>
        <v>0.6</v>
      </c>
      <c r="AF342" s="177">
        <f t="shared" si="143"/>
        <v>0.49875420922403713</v>
      </c>
      <c r="AG342" s="799">
        <f t="shared" si="149"/>
        <v>3</v>
      </c>
      <c r="AH342" s="176">
        <f t="shared" si="144"/>
        <v>9</v>
      </c>
      <c r="AI342" s="224">
        <f t="shared" si="145"/>
        <v>3.4987542092240371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'2027'!Wh/'2027'!Env_an*'2028'!Env_an</f>
        <v>4.5991229574073005</v>
      </c>
      <c r="C343" s="829"/>
      <c r="D343" s="391">
        <f t="shared" si="127"/>
        <v>4.9276365117477328</v>
      </c>
      <c r="E343" s="383">
        <f t="shared" si="125"/>
        <v>5.2081702387419435</v>
      </c>
      <c r="F343" s="383">
        <f t="shared" si="128"/>
        <v>5.2081702387419435</v>
      </c>
      <c r="G343" s="110">
        <f t="shared" si="126"/>
        <v>0.19055735660596182</v>
      </c>
      <c r="H343" s="412" t="b">
        <f>Wh_hp&gt;='2027'!Maxi_hp</f>
        <v>0</v>
      </c>
      <c r="I343" s="388">
        <f>IF(H343,Wh_hp,'2027'!Maxi_hp)</f>
        <v>25.709723482797013</v>
      </c>
      <c r="J343" s="85">
        <f>IF(H343,An,'2027'!An_max)</f>
        <v>2020</v>
      </c>
      <c r="K343" s="197">
        <f t="shared" si="129"/>
        <v>47081</v>
      </c>
      <c r="L343" s="147">
        <f>IF(t&lt;Tvie,1-EXP((T0-t)*PertePVj)+'2027'!Pspv,1-EXP((T0-t)*PertePVj)+Pspv)</f>
        <v>6.6667570458421421E-2</v>
      </c>
      <c r="M343" s="832"/>
      <c r="N343" s="832"/>
      <c r="O343" s="48">
        <f>IF(t&lt;Tnet,'2027'!Resal+('2027'!Salim-'2027'!Resal)*(1-EXP(('2027'!Tnet-t)/('2027'!Tau_j))),Resal+(Salim-Resal)*(1-EXP((Tnet-t)/(Tau_j))))*Salcycl</f>
        <v>5.3864162293968232E-2</v>
      </c>
      <c r="P343" s="169">
        <f>(INDEX(Models!$BJ343:$BT343,,T343)*(1-R343)+INDEX(Models!$BJ343:$BT343,,T343+1)*R343-ERP_i)*Q343*Ramure*Pc/MaxiM</f>
        <v>2.9303671086538486E-3</v>
      </c>
      <c r="Q343" s="304">
        <f t="shared" si="130"/>
        <v>0.6</v>
      </c>
      <c r="R343" s="177">
        <f t="shared" si="131"/>
        <v>0.97378768860145593</v>
      </c>
      <c r="S343" s="799">
        <f t="shared" si="132"/>
        <v>-1</v>
      </c>
      <c r="T343" s="176">
        <f t="shared" si="133"/>
        <v>5</v>
      </c>
      <c r="U343" s="250">
        <f t="shared" si="134"/>
        <v>-2.6212311398544075E-2</v>
      </c>
      <c r="V343" s="382">
        <f t="shared" si="135"/>
        <v>24.064386284737076</v>
      </c>
      <c r="W343" s="400">
        <f t="shared" si="136"/>
        <v>4.5991229574073005</v>
      </c>
      <c r="X343" s="157">
        <f t="shared" si="137"/>
        <v>47081</v>
      </c>
      <c r="Y343" s="383">
        <f t="shared" si="138"/>
        <v>4.4529229714683671</v>
      </c>
      <c r="Z343" s="383">
        <f t="shared" si="139"/>
        <v>4.7709935179853256</v>
      </c>
      <c r="AA343" s="384">
        <f t="shared" si="140"/>
        <v>5.2081702387419435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8.3940558913492822E-2</v>
      </c>
      <c r="AD343" s="230">
        <f>(INDEX(Models!$BJ343:$BT343,,AH343)*(1-AF343)+INDEX(Models!$BJ343:$BT343,,AH343+1)*AF343-ERP_i)*AE343*Ramure*Pc/MaxiM</f>
        <v>1.9577589396991023E-2</v>
      </c>
      <c r="AE343" s="304">
        <f t="shared" si="142"/>
        <v>0.6</v>
      </c>
      <c r="AF343" s="177">
        <f t="shared" si="143"/>
        <v>0.49877525497543429</v>
      </c>
      <c r="AG343" s="799">
        <f t="shared" si="149"/>
        <v>3</v>
      </c>
      <c r="AH343" s="176">
        <f t="shared" si="144"/>
        <v>9</v>
      </c>
      <c r="AI343" s="224">
        <f t="shared" si="145"/>
        <v>3.4987752549754343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'2027'!Wh/'2027'!Env_an*'2028'!Env_an</f>
        <v>10.568756955426515</v>
      </c>
      <c r="C344" s="829"/>
      <c r="D344" s="391">
        <f t="shared" si="127"/>
        <v>11.323896151680295</v>
      </c>
      <c r="E344" s="383">
        <f t="shared" si="125"/>
        <v>11.969003723493259</v>
      </c>
      <c r="F344" s="383">
        <f t="shared" si="128"/>
        <v>11.976200944949127</v>
      </c>
      <c r="G344" s="110">
        <f t="shared" si="126"/>
        <v>0.4417958146930413</v>
      </c>
      <c r="H344" s="412" t="b">
        <f>Wh_hp&gt;='2027'!Maxi_hp</f>
        <v>0</v>
      </c>
      <c r="I344" s="388">
        <f>IF(H344,Wh_hp,'2027'!Maxi_hp)</f>
        <v>26.915508219914461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6.6685457561506234E-2</v>
      </c>
      <c r="M344" s="832"/>
      <c r="N344" s="832"/>
      <c r="O344" s="48">
        <f>IF(t&lt;Tnet,'2027'!Resal+('2027'!Salim-'2027'!Resal)*(1-EXP(('2027'!Tnet-t)/('2027'!Tau_j))),Resal+(Salim-Resal)*(1-EXP((Tnet-t)/(Tau_j))))*Salcycl</f>
        <v>5.3898184570426694E-2</v>
      </c>
      <c r="P344" s="169">
        <f>(INDEX(Models!$BJ344:$BT344,,T344)*(1-R344)+INDEX(Models!$BJ344:$BT344,,T344+1)*R344-ERP_i)*Q344*Ramure*Pc/MaxiM</f>
        <v>2.9451715829687452E-3</v>
      </c>
      <c r="Q344" s="304">
        <f t="shared" si="130"/>
        <v>0.6</v>
      </c>
      <c r="R344" s="177">
        <f t="shared" si="131"/>
        <v>0.97380788865485424</v>
      </c>
      <c r="S344" s="799">
        <f t="shared" si="132"/>
        <v>-1</v>
      </c>
      <c r="T344" s="176">
        <f t="shared" si="133"/>
        <v>5</v>
      </c>
      <c r="U344" s="250">
        <f t="shared" si="134"/>
        <v>-2.6192111345145708E-2</v>
      </c>
      <c r="V344" s="382">
        <f t="shared" si="135"/>
        <v>23.866153339619501</v>
      </c>
      <c r="W344" s="400">
        <f t="shared" si="136"/>
        <v>10.568756955426515</v>
      </c>
      <c r="X344" s="157">
        <f t="shared" si="137"/>
        <v>47082</v>
      </c>
      <c r="Y344" s="383">
        <f t="shared" si="138"/>
        <v>10.198616442766486</v>
      </c>
      <c r="Z344" s="383">
        <f t="shared" si="139"/>
        <v>10.927309046444632</v>
      </c>
      <c r="AA344" s="384">
        <f t="shared" si="140"/>
        <v>11.928465629166734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8.3930038769960164E-2</v>
      </c>
      <c r="AD344" s="230">
        <f>(INDEX(Models!$BJ344:$BT344,,AH344)*(1-AF344)+INDEX(Models!$BJ344:$BT344,,AH344+1)*AF344-ERP_i)*AE344*Ramure*Pc/MaxiM</f>
        <v>1.9533745961327578E-2</v>
      </c>
      <c r="AE344" s="304">
        <f t="shared" si="142"/>
        <v>0.6</v>
      </c>
      <c r="AF344" s="177">
        <f t="shared" si="143"/>
        <v>0.49879545502883271</v>
      </c>
      <c r="AG344" s="799">
        <f t="shared" si="149"/>
        <v>3</v>
      </c>
      <c r="AH344" s="176">
        <f t="shared" si="144"/>
        <v>9</v>
      </c>
      <c r="AI344" s="224">
        <f t="shared" si="145"/>
        <v>3.4987954550288327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'2027'!Wh/'2027'!Env_an*'2028'!Env_an</f>
        <v>13.913420495488094</v>
      </c>
      <c r="C345" s="829"/>
      <c r="D345" s="391">
        <f t="shared" si="127"/>
        <v>14.907822085119808</v>
      </c>
      <c r="E345" s="383">
        <f t="shared" si="125"/>
        <v>15.757682208259224</v>
      </c>
      <c r="F345" s="383">
        <f t="shared" si="128"/>
        <v>15.776870674021968</v>
      </c>
      <c r="G345" s="110">
        <f t="shared" si="126"/>
        <v>0.58669326388710763</v>
      </c>
      <c r="H345" s="412" t="b">
        <f>Wh_hp&gt;='2027'!Maxi_hp</f>
        <v>0</v>
      </c>
      <c r="I345" s="388">
        <f>IF(H345,Wh_hp,'2027'!Maxi_hp)</f>
        <v>23.300191289146664</v>
      </c>
      <c r="J345" s="85">
        <f>IF(H345,An,'2027'!An_max)</f>
        <v>2020</v>
      </c>
      <c r="K345" s="197">
        <f t="shared" si="129"/>
        <v>47083</v>
      </c>
      <c r="L345" s="147">
        <f>IF(t&lt;Tvie,1-EXP((T0-t)*PertePVj)+'2027'!Pspv,1-EXP((T0-t)*PertePVj)+Pspv)</f>
        <v>6.6703344321788816E-2</v>
      </c>
      <c r="M345" s="832"/>
      <c r="N345" s="832"/>
      <c r="O345" s="48">
        <f>IF(t&lt;Tnet,'2027'!Resal+('2027'!Salim-'2027'!Resal)*(1-EXP(('2027'!Tnet-t)/('2027'!Tau_j))),Resal+(Salim-Resal)*(1-EXP((Tnet-t)/(Tau_j))))*Salcycl</f>
        <v>5.3933066545406784E-2</v>
      </c>
      <c r="P345" s="169">
        <f>(INDEX(Models!$BJ345:$BT345,,T345)*(1-R345)+INDEX(Models!$BJ345:$BT345,,T345+1)*R345-ERP_i)*Q345*Ramure*Pc/MaxiM</f>
        <v>2.9590289539323153E-3</v>
      </c>
      <c r="Q345" s="304">
        <f t="shared" si="130"/>
        <v>0.6</v>
      </c>
      <c r="R345" s="177">
        <f t="shared" si="131"/>
        <v>0.97382727692931481</v>
      </c>
      <c r="S345" s="799">
        <f t="shared" si="132"/>
        <v>-1</v>
      </c>
      <c r="T345" s="176">
        <f t="shared" si="133"/>
        <v>5</v>
      </c>
      <c r="U345" s="250">
        <f t="shared" si="134"/>
        <v>-2.6172723070685133E-2</v>
      </c>
      <c r="V345" s="382">
        <f t="shared" si="135"/>
        <v>23.67360198489045</v>
      </c>
      <c r="W345" s="400">
        <f t="shared" si="136"/>
        <v>13.913420495488094</v>
      </c>
      <c r="X345" s="157">
        <f t="shared" si="137"/>
        <v>47083</v>
      </c>
      <c r="Y345" s="383">
        <f t="shared" si="138"/>
        <v>13.38083113278066</v>
      </c>
      <c r="Z345" s="383">
        <f t="shared" si="139"/>
        <v>14.33716819981213</v>
      </c>
      <c r="AA345" s="384">
        <f t="shared" si="140"/>
        <v>15.650580214572628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8.3920979078944954E-2</v>
      </c>
      <c r="AD345" s="230">
        <f>(INDEX(Models!$BJ345:$BT345,,AH345)*(1-AF345)+INDEX(Models!$BJ345:$BT345,,AH345+1)*AF345-ERP_i)*AE345*Ramure*Pc/MaxiM</f>
        <v>1.9475091481340343E-2</v>
      </c>
      <c r="AE345" s="304">
        <f t="shared" si="142"/>
        <v>0.6</v>
      </c>
      <c r="AF345" s="177">
        <f t="shared" si="143"/>
        <v>0.49881484330329329</v>
      </c>
      <c r="AG345" s="799">
        <f t="shared" si="149"/>
        <v>3</v>
      </c>
      <c r="AH345" s="176">
        <f t="shared" si="144"/>
        <v>9</v>
      </c>
      <c r="AI345" s="224">
        <f t="shared" si="145"/>
        <v>3.4988148433032933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'2027'!Wh/'2027'!Env_an*'2028'!Env_an</f>
        <v>10.09460838460916</v>
      </c>
      <c r="C346" s="829"/>
      <c r="D346" s="391">
        <f t="shared" si="127"/>
        <v>10.816284176918945</v>
      </c>
      <c r="E346" s="383">
        <f t="shared" si="125"/>
        <v>11.433327303290055</v>
      </c>
      <c r="F346" s="383">
        <f t="shared" si="128"/>
        <v>11.439644480859396</v>
      </c>
      <c r="G346" s="110">
        <f t="shared" si="126"/>
        <v>0.42879490421043132</v>
      </c>
      <c r="H346" s="412" t="b">
        <f>Wh_hp&gt;='2027'!Maxi_hp</f>
        <v>0</v>
      </c>
      <c r="I346" s="388">
        <f>IF(H346,Wh_hp,'2027'!Maxi_hp)</f>
        <v>16.384266753107251</v>
      </c>
      <c r="J346" s="85">
        <f>IF(H346,An,'2027'!An_max)</f>
        <v>2020</v>
      </c>
      <c r="K346" s="197">
        <f t="shared" si="129"/>
        <v>47084</v>
      </c>
      <c r="L346" s="147">
        <f>IF(t&lt;Tvie,1-EXP((T0-t)*PertePVj)+'2027'!Pspv,1-EXP((T0-t)*PertePVj)+Pspv)</f>
        <v>6.6721230739275716E-2</v>
      </c>
      <c r="M346" s="832"/>
      <c r="N346" s="832"/>
      <c r="O346" s="48">
        <f>IF(t&lt;Tnet,'2027'!Resal+('2027'!Salim-'2027'!Resal)*(1-EXP(('2027'!Tnet-t)/('2027'!Tau_j))),Resal+(Salim-Resal)*(1-EXP((Tnet-t)/(Tau_j))))*Salcycl</f>
        <v>5.39688150267114E-2</v>
      </c>
      <c r="P346" s="169">
        <f>(INDEX(Models!$BJ346:$BT346,,T346)*(1-R346)+INDEX(Models!$BJ346:$BT346,,T346+1)*R346-ERP_i)*Q346*Ramure*Pc/MaxiM</f>
        <v>2.977195526903459E-3</v>
      </c>
      <c r="Q346" s="304">
        <f t="shared" si="130"/>
        <v>0.6</v>
      </c>
      <c r="R346" s="177">
        <f t="shared" si="131"/>
        <v>0.9738458859885496</v>
      </c>
      <c r="S346" s="799">
        <f t="shared" si="132"/>
        <v>-1</v>
      </c>
      <c r="T346" s="176">
        <f t="shared" si="133"/>
        <v>5</v>
      </c>
      <c r="U346" s="250">
        <f t="shared" si="134"/>
        <v>-2.6154114011450402E-2</v>
      </c>
      <c r="V346" s="382">
        <f t="shared" si="135"/>
        <v>23.484690610607878</v>
      </c>
      <c r="W346" s="400">
        <f t="shared" si="136"/>
        <v>10.09460838460916</v>
      </c>
      <c r="X346" s="157">
        <f t="shared" si="137"/>
        <v>47084</v>
      </c>
      <c r="Y346" s="383">
        <f t="shared" si="138"/>
        <v>9.7452881436729246</v>
      </c>
      <c r="Z346" s="383">
        <f t="shared" si="139"/>
        <v>10.441990608435713</v>
      </c>
      <c r="AA346" s="384">
        <f t="shared" si="140"/>
        <v>11.398475273578912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8.3913386850983596E-2</v>
      </c>
      <c r="AD346" s="230">
        <f>(INDEX(Models!$BJ346:$BT346,,AH346)*(1-AF346)+INDEX(Models!$BJ346:$BT346,,AH346+1)*AF346-ERP_i)*AE346*Ramure*Pc/MaxiM</f>
        <v>1.9402459154616209E-2</v>
      </c>
      <c r="AE346" s="304">
        <f t="shared" si="142"/>
        <v>0.6</v>
      </c>
      <c r="AF346" s="177">
        <f t="shared" si="143"/>
        <v>0.49883345236252818</v>
      </c>
      <c r="AG346" s="799">
        <f t="shared" si="149"/>
        <v>3</v>
      </c>
      <c r="AH346" s="176">
        <f t="shared" si="144"/>
        <v>9</v>
      </c>
      <c r="AI346" s="224">
        <f t="shared" si="145"/>
        <v>3.4988334523625282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'2027'!Wh/'2027'!Env_an*'2028'!Env_an</f>
        <v>14.702482532500076</v>
      </c>
      <c r="C347" s="829"/>
      <c r="D347" s="391">
        <f t="shared" si="127"/>
        <v>15.753882753885266</v>
      </c>
      <c r="E347" s="383">
        <f t="shared" si="125"/>
        <v>16.653248666521957</v>
      </c>
      <c r="F347" s="383">
        <f t="shared" si="128"/>
        <v>16.676935386211998</v>
      </c>
      <c r="G347" s="110">
        <f t="shared" si="126"/>
        <v>0.63000981280428414</v>
      </c>
      <c r="H347" s="412" t="b">
        <f>Wh_hp&gt;='2027'!Maxi_hp</f>
        <v>0</v>
      </c>
      <c r="I347" s="388">
        <f>IF(H347,Wh_hp,'2027'!Maxi_hp)</f>
        <v>16.697410094505869</v>
      </c>
      <c r="J347" s="85">
        <f>IF(H347,An,'2027'!An_max)</f>
        <v>2026</v>
      </c>
      <c r="K347" s="197">
        <f t="shared" si="129"/>
        <v>47085</v>
      </c>
      <c r="L347" s="147">
        <f>IF(t&lt;Tvie,1-EXP((T0-t)*PertePVj)+'2027'!Pspv,1-EXP((T0-t)*PertePVj)+Pspv)</f>
        <v>6.6739116813973487E-2</v>
      </c>
      <c r="M347" s="832"/>
      <c r="N347" s="832"/>
      <c r="O347" s="48">
        <f>IF(t&lt;Tnet,'2027'!Resal+('2027'!Salim-'2027'!Resal)*(1-EXP(('2027'!Tnet-t)/('2027'!Tau_j))),Resal+(Salim-Resal)*(1-EXP((Tnet-t)/(Tau_j))))*Salcycl</f>
        <v>5.4005433453034643E-2</v>
      </c>
      <c r="P347" s="169">
        <f>(INDEX(Models!$BJ347:$BT347,,T347)*(1-R347)+INDEX(Models!$BJ347:$BT347,,T347+1)*R347-ERP_i)*Q347*Ramure*Pc/MaxiM</f>
        <v>3.0036214408574475E-3</v>
      </c>
      <c r="Q347" s="304">
        <f t="shared" si="130"/>
        <v>0.6</v>
      </c>
      <c r="R347" s="177">
        <f t="shared" si="131"/>
        <v>0.97386374709467871</v>
      </c>
      <c r="S347" s="799">
        <f t="shared" si="132"/>
        <v>-1</v>
      </c>
      <c r="T347" s="176">
        <f t="shared" si="133"/>
        <v>5</v>
      </c>
      <c r="U347" s="250">
        <f t="shared" si="134"/>
        <v>-2.6136252905321233E-2</v>
      </c>
      <c r="V347" s="382">
        <f t="shared" si="135"/>
        <v>23.299908638456913</v>
      </c>
      <c r="W347" s="400">
        <f t="shared" si="136"/>
        <v>14.702482532500076</v>
      </c>
      <c r="X347" s="157">
        <f t="shared" si="137"/>
        <v>47085</v>
      </c>
      <c r="Y347" s="383">
        <f t="shared" si="138"/>
        <v>14.127706062444243</v>
      </c>
      <c r="Z347" s="383">
        <f t="shared" si="139"/>
        <v>15.138003013920571</v>
      </c>
      <c r="AA347" s="384">
        <f t="shared" si="140"/>
        <v>16.524531214588894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8.390726385292005E-2</v>
      </c>
      <c r="AD347" s="230">
        <f>(INDEX(Models!$BJ347:$BT347,,AH347)*(1-AF347)+INDEX(Models!$BJ347:$BT347,,AH347+1)*AF347-ERP_i)*AE347*Ramure*Pc/MaxiM</f>
        <v>1.9325784386926583E-2</v>
      </c>
      <c r="AE347" s="304">
        <f t="shared" si="142"/>
        <v>0.6</v>
      </c>
      <c r="AF347" s="177">
        <f t="shared" si="143"/>
        <v>0.49885131346865741</v>
      </c>
      <c r="AG347" s="799">
        <f t="shared" si="149"/>
        <v>3</v>
      </c>
      <c r="AH347" s="176">
        <f t="shared" si="144"/>
        <v>9</v>
      </c>
      <c r="AI347" s="224">
        <f t="shared" si="145"/>
        <v>3.4988513134686574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'2027'!Wh/'2027'!Env_an*'2028'!Env_an</f>
        <v>3.8421806342975859</v>
      </c>
      <c r="C348" s="829"/>
      <c r="D348" s="391">
        <f t="shared" si="127"/>
        <v>4.1170205881844941</v>
      </c>
      <c r="E348" s="383">
        <f t="shared" si="125"/>
        <v>4.3522276895196779</v>
      </c>
      <c r="F348" s="383">
        <f t="shared" si="128"/>
        <v>4.3522276895196779</v>
      </c>
      <c r="G348" s="110">
        <f t="shared" si="126"/>
        <v>0.16568051335164713</v>
      </c>
      <c r="H348" s="412" t="b">
        <f>Wh_hp&gt;='2027'!Maxi_hp</f>
        <v>0</v>
      </c>
      <c r="I348" s="388">
        <f>IF(H348,Wh_hp,'2027'!Maxi_hp)</f>
        <v>25.310170680267795</v>
      </c>
      <c r="J348" s="85">
        <f>IF(H348,An,'2027'!An_max)</f>
        <v>2020</v>
      </c>
      <c r="K348" s="197">
        <f t="shared" si="129"/>
        <v>47086</v>
      </c>
      <c r="L348" s="147">
        <f>IF(t&lt;Tvie,1-EXP((T0-t)*PertePVj)+'2027'!Pspv,1-EXP((T0-t)*PertePVj)+Pspv)</f>
        <v>6.6757002545888677E-2</v>
      </c>
      <c r="M348" s="832"/>
      <c r="N348" s="832"/>
      <c r="O348" s="48">
        <f>IF(t&lt;Tnet,'2027'!Resal+('2027'!Salim-'2027'!Resal)*(1-EXP(('2027'!Tnet-t)/('2027'!Tau_j))),Resal+(Salim-Resal)*(1-EXP((Tnet-t)/(Tau_j))))*Salcycl</f>
        <v>5.404292195042338E-2</v>
      </c>
      <c r="P348" s="169">
        <f>(INDEX(Models!$BJ348:$BT348,,T348)*(1-R348)+INDEX(Models!$BJ348:$BT348,,T348+1)*R348-ERP_i)*Q348*Ramure*Pc/MaxiM</f>
        <v>3.0382706394919321E-3</v>
      </c>
      <c r="Q348" s="304">
        <f t="shared" si="130"/>
        <v>0.6</v>
      </c>
      <c r="R348" s="177">
        <f t="shared" si="131"/>
        <v>0.97388089025988789</v>
      </c>
      <c r="S348" s="799">
        <f t="shared" si="132"/>
        <v>-1</v>
      </c>
      <c r="T348" s="176">
        <f t="shared" si="133"/>
        <v>5</v>
      </c>
      <c r="U348" s="250">
        <f t="shared" si="134"/>
        <v>-2.6119109740112167E-2</v>
      </c>
      <c r="V348" s="382">
        <f t="shared" si="135"/>
        <v>23.119840542470737</v>
      </c>
      <c r="W348" s="400">
        <f t="shared" si="136"/>
        <v>3.8421806342975859</v>
      </c>
      <c r="X348" s="157">
        <f t="shared" si="137"/>
        <v>47086</v>
      </c>
      <c r="Y348" s="383">
        <f t="shared" si="138"/>
        <v>3.7208999702888175</v>
      </c>
      <c r="Z348" s="383">
        <f t="shared" si="139"/>
        <v>3.9870644413506877</v>
      </c>
      <c r="AA348" s="384">
        <f t="shared" si="140"/>
        <v>4.3522276895196779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8.390260671524985E-2</v>
      </c>
      <c r="AD348" s="230">
        <f>(INDEX(Models!$BJ348:$BT348,,AH348)*(1-AF348)+INDEX(Models!$BJ348:$BT348,,AH348+1)*AF348-ERP_i)*AE348*Ramure*Pc/MaxiM</f>
        <v>1.9244615386742058E-2</v>
      </c>
      <c r="AE348" s="304">
        <f t="shared" si="142"/>
        <v>0.6</v>
      </c>
      <c r="AF348" s="177">
        <f t="shared" si="143"/>
        <v>0.49886845663386614</v>
      </c>
      <c r="AG348" s="799">
        <f t="shared" si="149"/>
        <v>3</v>
      </c>
      <c r="AH348" s="176">
        <f t="shared" si="144"/>
        <v>9</v>
      </c>
      <c r="AI348" s="224">
        <f t="shared" si="145"/>
        <v>3.4988684566338661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'2027'!Wh/'2027'!Env_an*'2028'!Env_an</f>
        <v>3.6369849235802989</v>
      </c>
      <c r="C349" s="829"/>
      <c r="D349" s="391">
        <f t="shared" si="127"/>
        <v>3.8972214491020774</v>
      </c>
      <c r="E349" s="383">
        <f t="shared" si="125"/>
        <v>4.1200383881027811</v>
      </c>
      <c r="F349" s="383">
        <f t="shared" si="128"/>
        <v>4.1200383881027811</v>
      </c>
      <c r="G349" s="110">
        <f t="shared" si="126"/>
        <v>0.15801995482778666</v>
      </c>
      <c r="H349" s="412" t="b">
        <f>Wh_hp&gt;='2027'!Maxi_hp</f>
        <v>0</v>
      </c>
      <c r="I349" s="388">
        <f>IF(H349,Wh_hp,'2027'!Maxi_hp)</f>
        <v>26.146261330818092</v>
      </c>
      <c r="J349" s="85">
        <f>IF(H349,An,'2027'!An_max)</f>
        <v>2020</v>
      </c>
      <c r="K349" s="197">
        <f t="shared" si="129"/>
        <v>47087</v>
      </c>
      <c r="L349" s="147">
        <f>IF(t&lt;Tvie,1-EXP((T0-t)*PertePVj)+'2027'!Pspv,1-EXP((T0-t)*PertePVj)+Pspv)</f>
        <v>6.6774887935027949E-2</v>
      </c>
      <c r="M349" s="832"/>
      <c r="N349" s="832"/>
      <c r="O349" s="48">
        <f>IF(t&lt;Tnet,'2027'!Resal+('2027'!Salim-'2027'!Resal)*(1-EXP(('2027'!Tnet-t)/('2027'!Tau_j))),Resal+(Salim-Resal)*(1-EXP((Tnet-t)/(Tau_j))))*Salcycl</f>
        <v>5.4081277408511701E-2</v>
      </c>
      <c r="P349" s="169">
        <f>(INDEX(Models!$BJ349:$BT349,,T349)*(1-R349)+INDEX(Models!$BJ349:$BT349,,T349+1)*R349-ERP_i)*Q349*Ramure*Pc/MaxiM</f>
        <v>3.0811034724858052E-3</v>
      </c>
      <c r="Q349" s="304">
        <f t="shared" si="130"/>
        <v>0.6</v>
      </c>
      <c r="R349" s="177">
        <f t="shared" si="131"/>
        <v>0.97389734429606334</v>
      </c>
      <c r="S349" s="799">
        <f t="shared" si="132"/>
        <v>-1</v>
      </c>
      <c r="T349" s="176">
        <f t="shared" si="133"/>
        <v>5</v>
      </c>
      <c r="U349" s="250">
        <f t="shared" si="134"/>
        <v>-2.6102655703936661E-2</v>
      </c>
      <c r="V349" s="382">
        <f t="shared" si="135"/>
        <v>22.945070454262083</v>
      </c>
      <c r="W349" s="400">
        <f t="shared" si="136"/>
        <v>3.6369849235802989</v>
      </c>
      <c r="X349" s="157">
        <f t="shared" si="137"/>
        <v>47087</v>
      </c>
      <c r="Y349" s="383">
        <f t="shared" si="138"/>
        <v>3.5223365024881801</v>
      </c>
      <c r="Z349" s="383">
        <f t="shared" si="139"/>
        <v>3.7743696102371405</v>
      </c>
      <c r="AA349" s="384">
        <f t="shared" si="140"/>
        <v>4.1200383881027811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8.3899407069558035E-2</v>
      </c>
      <c r="AD349" s="230">
        <f>(INDEX(Models!$BJ349:$BT349,,AH349)*(1-AF349)+INDEX(Models!$BJ349:$BT349,,AH349+1)*AF349-ERP_i)*AE349*Ramure*Pc/MaxiM</f>
        <v>1.915846486522407E-2</v>
      </c>
      <c r="AE349" s="304">
        <f t="shared" si="142"/>
        <v>0.6</v>
      </c>
      <c r="AF349" s="177">
        <f t="shared" si="143"/>
        <v>0.49888491067004193</v>
      </c>
      <c r="AG349" s="799">
        <f t="shared" si="149"/>
        <v>3</v>
      </c>
      <c r="AH349" s="176">
        <f t="shared" si="144"/>
        <v>9</v>
      </c>
      <c r="AI349" s="224">
        <f t="shared" si="145"/>
        <v>3.4988849106700419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'2027'!Wh/'2027'!Env_an*'2028'!Env_an</f>
        <v>5.4641355937452918</v>
      </c>
      <c r="C350" s="829"/>
      <c r="D350" s="391">
        <f t="shared" si="127"/>
        <v>5.8552221152444766</v>
      </c>
      <c r="E350" s="383">
        <f t="shared" si="125"/>
        <v>6.1902410142909439</v>
      </c>
      <c r="F350" s="383">
        <f t="shared" si="128"/>
        <v>6.1902410142909439</v>
      </c>
      <c r="G350" s="110">
        <f t="shared" si="126"/>
        <v>0.23915428302870789</v>
      </c>
      <c r="H350" s="412" t="b">
        <f>Wh_hp&gt;='2027'!Maxi_hp</f>
        <v>0</v>
      </c>
      <c r="I350" s="388">
        <f>IF(H350,Wh_hp,'2027'!Maxi_hp)</f>
        <v>9.9498204075695913</v>
      </c>
      <c r="J350" s="85">
        <f>IF(H350,An,'2027'!An_max)</f>
        <v>2021</v>
      </c>
      <c r="K350" s="197">
        <f t="shared" si="129"/>
        <v>47088</v>
      </c>
      <c r="L350" s="147">
        <f>IF(t&lt;Tvie,1-EXP((T0-t)*PertePVj)+'2027'!Pspv,1-EXP((T0-t)*PertePVj)+Pspv)</f>
        <v>6.6792772981397852E-2</v>
      </c>
      <c r="M350" s="832"/>
      <c r="N350" s="832"/>
      <c r="O350" s="48">
        <f>IF(t&lt;Tnet,'2027'!Resal+('2027'!Salim-'2027'!Resal)*(1-EXP(('2027'!Tnet-t)/('2027'!Tau_j))),Resal+(Salim-Resal)*(1-EXP((Tnet-t)/(Tau_j))))*Salcycl</f>
        <v>5.4120493575780707E-2</v>
      </c>
      <c r="P350" s="169">
        <f>(INDEX(Models!$BJ350:$BT350,,T350)*(1-R350)+INDEX(Models!$BJ350:$BT350,,T350+1)*R350-ERP_i)*Q350*Ramure*Pc/MaxiM</f>
        <v>3.1320745414299615E-3</v>
      </c>
      <c r="Q350" s="304">
        <f t="shared" si="130"/>
        <v>0.6</v>
      </c>
      <c r="R350" s="177">
        <f t="shared" si="131"/>
        <v>0.97391313686248526</v>
      </c>
      <c r="S350" s="799">
        <f t="shared" si="132"/>
        <v>-1</v>
      </c>
      <c r="T350" s="176">
        <f t="shared" si="133"/>
        <v>5</v>
      </c>
      <c r="U350" s="250">
        <f t="shared" si="134"/>
        <v>-2.6086863137514738E-2</v>
      </c>
      <c r="V350" s="382">
        <f t="shared" si="135"/>
        <v>22.77618215646736</v>
      </c>
      <c r="W350" s="400">
        <f t="shared" si="136"/>
        <v>5.4641355937452918</v>
      </c>
      <c r="X350" s="157">
        <f t="shared" si="137"/>
        <v>47088</v>
      </c>
      <c r="Y350" s="383">
        <f t="shared" si="138"/>
        <v>5.2921195720822825</v>
      </c>
      <c r="Z350" s="383">
        <f t="shared" si="139"/>
        <v>5.6708943296436685</v>
      </c>
      <c r="AA350" s="384">
        <f t="shared" si="140"/>
        <v>6.1902410142909439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8.3897651714739133E-2</v>
      </c>
      <c r="AD350" s="230">
        <f>(INDEX(Models!$BJ350:$BT350,,AH350)*(1-AF350)+INDEX(Models!$BJ350:$BT350,,AH350+1)*AF350-ERP_i)*AE350*Ramure*Pc/MaxiM</f>
        <v>1.906681237632556E-2</v>
      </c>
      <c r="AE350" s="304">
        <f t="shared" si="142"/>
        <v>0.6</v>
      </c>
      <c r="AF350" s="177">
        <f t="shared" si="143"/>
        <v>0.49890070323646363</v>
      </c>
      <c r="AG350" s="799">
        <f t="shared" si="149"/>
        <v>3</v>
      </c>
      <c r="AH350" s="176">
        <f t="shared" si="144"/>
        <v>9</v>
      </c>
      <c r="AI350" s="224">
        <f t="shared" si="145"/>
        <v>3.4989007032364636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'2027'!Wh/'2027'!Env_an*'2028'!Env_an</f>
        <v>9.1577398565064758</v>
      </c>
      <c r="C351" s="829"/>
      <c r="D351" s="391">
        <f t="shared" si="127"/>
        <v>9.813378101584993</v>
      </c>
      <c r="E351" s="383">
        <f t="shared" si="125"/>
        <v>10.375310754386291</v>
      </c>
      <c r="F351" s="383">
        <f t="shared" si="128"/>
        <v>10.380277735115474</v>
      </c>
      <c r="G351" s="110">
        <f t="shared" si="126"/>
        <v>0.40386414244022717</v>
      </c>
      <c r="H351" s="412" t="b">
        <f>Wh_hp&gt;='2027'!Maxi_hp</f>
        <v>0</v>
      </c>
      <c r="I351" s="388">
        <f>IF(H351,Wh_hp,'2027'!Maxi_hp)</f>
        <v>16.647333469246274</v>
      </c>
      <c r="J351" s="85">
        <f>IF(H351,An,'2027'!An_max)</f>
        <v>2021</v>
      </c>
      <c r="K351" s="197">
        <f t="shared" si="129"/>
        <v>47089</v>
      </c>
      <c r="L351" s="147">
        <f>IF(t&lt;Tvie,1-EXP((T0-t)*PertePVj)+'2027'!Pspv,1-EXP((T0-t)*PertePVj)+Pspv)</f>
        <v>6.6810657685004826E-2</v>
      </c>
      <c r="M351" s="832"/>
      <c r="N351" s="832"/>
      <c r="O351" s="48">
        <f>IF(t&lt;Tnet,'2027'!Resal+('2027'!Salim-'2027'!Resal)*(1-EXP(('2027'!Tnet-t)/('2027'!Tau_j))),Resal+(Salim-Resal)*(1-EXP((Tnet-t)/(Tau_j))))*Salcycl</f>
        <v>5.4160561172949477E-2</v>
      </c>
      <c r="P351" s="169">
        <f>(INDEX(Models!$BJ351:$BT351,,T351)*(1-R351)+INDEX(Models!$BJ351:$BT351,,T351+1)*R351-ERP_i)*Q351*Ramure*Pc/MaxiM</f>
        <v>3.1911303827860172E-3</v>
      </c>
      <c r="Q351" s="304">
        <f t="shared" si="130"/>
        <v>0.6</v>
      </c>
      <c r="R351" s="177">
        <f t="shared" si="131"/>
        <v>0.97392829451164786</v>
      </c>
      <c r="S351" s="799">
        <f t="shared" si="132"/>
        <v>-1</v>
      </c>
      <c r="T351" s="176">
        <f t="shared" si="133"/>
        <v>5</v>
      </c>
      <c r="U351" s="250">
        <f t="shared" si="134"/>
        <v>-2.6071705488352137E-2</v>
      </c>
      <c r="V351" s="382">
        <f t="shared" si="135"/>
        <v>22.61375907568879</v>
      </c>
      <c r="W351" s="400">
        <f t="shared" si="136"/>
        <v>9.1577398565064758</v>
      </c>
      <c r="X351" s="157">
        <f t="shared" si="137"/>
        <v>47089</v>
      </c>
      <c r="Y351" s="383">
        <f t="shared" si="138"/>
        <v>8.8488298129674856</v>
      </c>
      <c r="Z351" s="383">
        <f t="shared" si="139"/>
        <v>9.4823519855208449</v>
      </c>
      <c r="AA351" s="384">
        <f t="shared" si="140"/>
        <v>10.350752401042319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8.3897322810467995E-2</v>
      </c>
      <c r="AD351" s="230">
        <f>(INDEX(Models!$BJ351:$BT351,,AH351)*(1-AF351)+INDEX(Models!$BJ351:$BT351,,AH351+1)*AF351-ERP_i)*AE351*Ramure*Pc/MaxiM</f>
        <v>1.8969107343055194E-2</v>
      </c>
      <c r="AE351" s="304">
        <f t="shared" si="142"/>
        <v>0.6</v>
      </c>
      <c r="AF351" s="177">
        <f t="shared" si="143"/>
        <v>0.49891586088562612</v>
      </c>
      <c r="AG351" s="799">
        <f t="shared" si="149"/>
        <v>3</v>
      </c>
      <c r="AH351" s="176">
        <f t="shared" si="144"/>
        <v>9</v>
      </c>
      <c r="AI351" s="224">
        <f t="shared" si="145"/>
        <v>3.4989158608856261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'2027'!Wh/'2027'!Env_an*'2028'!Env_an</f>
        <v>16.794482487703409</v>
      </c>
      <c r="C352" s="829"/>
      <c r="D352" s="391">
        <f t="shared" si="127"/>
        <v>17.997209778064903</v>
      </c>
      <c r="E352" s="383">
        <f t="shared" si="125"/>
        <v>19.028587135205434</v>
      </c>
      <c r="F352" s="383">
        <f t="shared" si="128"/>
        <v>19.068292530868966</v>
      </c>
      <c r="G352" s="110">
        <f t="shared" si="126"/>
        <v>0.74692337079661586</v>
      </c>
      <c r="H352" s="412" t="b">
        <f>Wh_hp&gt;='2027'!Maxi_hp</f>
        <v>0</v>
      </c>
      <c r="I352" s="388">
        <f>IF(H352,Wh_hp,'2027'!Maxi_hp)</f>
        <v>19.085994637673178</v>
      </c>
      <c r="J352" s="85">
        <f>IF(H352,An,'2027'!An_max)</f>
        <v>2026</v>
      </c>
      <c r="K352" s="197">
        <f t="shared" si="129"/>
        <v>47090</v>
      </c>
      <c r="L352" s="147">
        <f>IF(t&lt;Tvie,1-EXP((T0-t)*PertePVj)+'2027'!Pspv,1-EXP((T0-t)*PertePVj)+Pspv)</f>
        <v>6.6828542045855643E-2</v>
      </c>
      <c r="M352" s="832"/>
      <c r="N352" s="832"/>
      <c r="O352" s="48">
        <f>IF(t&lt;Tnet,'2027'!Resal+('2027'!Salim-'2027'!Resal)*(1-EXP(('2027'!Tnet-t)/('2027'!Tau_j))),Resal+(Salim-Resal)*(1-EXP((Tnet-t)/(Tau_j))))*Salcycl</f>
        <v>5.4201468023463713E-2</v>
      </c>
      <c r="P352" s="169">
        <f>(INDEX(Models!$BJ352:$BT352,,T352)*(1-R352)+INDEX(Models!$BJ352:$BT352,,T352+1)*R352-ERP_i)*Q352*Ramure*Pc/MaxiM</f>
        <v>3.254989393922179E-3</v>
      </c>
      <c r="Q352" s="304">
        <f t="shared" si="130"/>
        <v>0.6</v>
      </c>
      <c r="R352" s="177">
        <f t="shared" si="131"/>
        <v>0.9739428427332828</v>
      </c>
      <c r="S352" s="799">
        <f t="shared" si="132"/>
        <v>-1</v>
      </c>
      <c r="T352" s="176">
        <f t="shared" si="133"/>
        <v>5</v>
      </c>
      <c r="U352" s="250">
        <f t="shared" si="134"/>
        <v>-2.6057157266717146E-2</v>
      </c>
      <c r="V352" s="382">
        <f t="shared" si="135"/>
        <v>22.458456766414592</v>
      </c>
      <c r="W352" s="400">
        <f t="shared" si="136"/>
        <v>16.794482487703409</v>
      </c>
      <c r="X352" s="157">
        <f t="shared" si="137"/>
        <v>47090</v>
      </c>
      <c r="Y352" s="383">
        <f t="shared" si="138"/>
        <v>16.104346647602853</v>
      </c>
      <c r="Z352" s="383">
        <f t="shared" si="139"/>
        <v>17.257650253158744</v>
      </c>
      <c r="AA352" s="384">
        <f t="shared" si="140"/>
        <v>18.838140024309983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8.3898398096185212E-2</v>
      </c>
      <c r="AD352" s="230">
        <f>(INDEX(Models!$BJ352:$BT352,,AH352)*(1-AF352)+INDEX(Models!$BJ352:$BT352,,AH352+1)*AF352-ERP_i)*AE352*Ramure*Pc/MaxiM</f>
        <v>1.8867560826806736E-2</v>
      </c>
      <c r="AE352" s="304">
        <f t="shared" si="142"/>
        <v>0.6</v>
      </c>
      <c r="AF352" s="177">
        <f t="shared" si="143"/>
        <v>0.4989304091072615</v>
      </c>
      <c r="AG352" s="799">
        <f t="shared" si="149"/>
        <v>3</v>
      </c>
      <c r="AH352" s="176">
        <f t="shared" si="144"/>
        <v>9</v>
      </c>
      <c r="AI352" s="224">
        <f t="shared" si="145"/>
        <v>3.4989304091072615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'2027'!Wh/'2027'!Env_an*'2028'!Env_an</f>
        <v>22.264773598227173</v>
      </c>
      <c r="C353" s="829"/>
      <c r="D353" s="391">
        <f t="shared" si="127"/>
        <v>23.859709934254791</v>
      </c>
      <c r="E353" s="383">
        <f t="shared" si="125"/>
        <v>25.228166389150186</v>
      </c>
      <c r="F353" s="383">
        <f t="shared" si="128"/>
        <v>25.311971383778843</v>
      </c>
      <c r="G353" s="110">
        <f t="shared" si="126"/>
        <v>0.99792180046017442</v>
      </c>
      <c r="H353" s="412" t="b">
        <f>Wh_hp&gt;='2027'!Maxi_hp</f>
        <v>0</v>
      </c>
      <c r="I353" s="388">
        <f>IF(H353,Wh_hp,'2027'!Maxi_hp)</f>
        <v>25.312168669926258</v>
      </c>
      <c r="J353" s="85">
        <f>IF(H353,An,'2027'!An_max)</f>
        <v>2026</v>
      </c>
      <c r="K353" s="197">
        <f t="shared" si="129"/>
        <v>47091</v>
      </c>
      <c r="L353" s="147">
        <f>IF(t&lt;Tvie,1-EXP((T0-t)*PertePVj)+'2027'!Pspv,1-EXP((T0-t)*PertePVj)+Pspv)</f>
        <v>6.6846426063956743E-2</v>
      </c>
      <c r="M353" s="832"/>
      <c r="N353" s="832"/>
      <c r="O353" s="48">
        <f>IF(t&lt;Tnet,'2027'!Resal+('2027'!Salim-'2027'!Resal)*(1-EXP(('2027'!Tnet-t)/('2027'!Tau_j))),Resal+(Salim-Resal)*(1-EXP((Tnet-t)/(Tau_j))))*Salcycl</f>
        <v>5.4243199199919719E-2</v>
      </c>
      <c r="P353" s="169">
        <f>(INDEX(Models!$BJ353:$BT353,,T353)*(1-R353)+INDEX(Models!$BJ353:$BT353,,T353+1)*R353-ERP_i)*Q353*Ramure*Pc/MaxiM</f>
        <v>3.3206958100904242E-3</v>
      </c>
      <c r="Q353" s="304">
        <f t="shared" si="130"/>
        <v>0.6</v>
      </c>
      <c r="R353" s="177">
        <f t="shared" si="131"/>
        <v>0.9739568059966518</v>
      </c>
      <c r="S353" s="799">
        <f t="shared" si="132"/>
        <v>-1</v>
      </c>
      <c r="T353" s="176">
        <f t="shared" si="133"/>
        <v>5</v>
      </c>
      <c r="U353" s="250">
        <f t="shared" si="134"/>
        <v>-2.6043194003348202E-2</v>
      </c>
      <c r="V353" s="382">
        <f t="shared" si="135"/>
        <v>22.310920954788873</v>
      </c>
      <c r="W353" s="400">
        <f t="shared" si="136"/>
        <v>22.264773598227173</v>
      </c>
      <c r="X353" s="157">
        <f t="shared" si="137"/>
        <v>47091</v>
      </c>
      <c r="Y353" s="383">
        <f t="shared" si="138"/>
        <v>21.233332608432494</v>
      </c>
      <c r="Z353" s="383">
        <f t="shared" si="139"/>
        <v>22.754381702542556</v>
      </c>
      <c r="AA353" s="384">
        <f t="shared" si="140"/>
        <v>24.838339529843569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8.3900851133672238E-2</v>
      </c>
      <c r="AD353" s="230">
        <f>(INDEX(Models!$BJ353:$BT353,,AH353)*(1-AF353)+INDEX(Models!$BJ353:$BT353,,AH353+1)*AF353-ERP_i)*AE353*Ramure*Pc/MaxiM</f>
        <v>1.876722646254287E-2</v>
      </c>
      <c r="AE353" s="304">
        <f t="shared" si="142"/>
        <v>0.6</v>
      </c>
      <c r="AF353" s="177">
        <f t="shared" si="143"/>
        <v>0.49894437237063016</v>
      </c>
      <c r="AG353" s="799">
        <f t="shared" si="149"/>
        <v>3</v>
      </c>
      <c r="AH353" s="176">
        <f t="shared" si="144"/>
        <v>9</v>
      </c>
      <c r="AI353" s="224">
        <f t="shared" si="145"/>
        <v>3.4989443723706302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'2027'!Wh/'2027'!Env_an*'2028'!Env_an</f>
        <v>10.945163303854827</v>
      </c>
      <c r="C354" s="829"/>
      <c r="D354" s="391">
        <f t="shared" si="127"/>
        <v>11.729444514974166</v>
      </c>
      <c r="E354" s="383">
        <f t="shared" si="125"/>
        <v>12.402736192285213</v>
      </c>
      <c r="F354" s="383">
        <f t="shared" si="128"/>
        <v>12.414372479282449</v>
      </c>
      <c r="G354" s="110">
        <f t="shared" si="126"/>
        <v>0.49244297240179447</v>
      </c>
      <c r="H354" s="412" t="b">
        <f>Wh_hp&gt;='2027'!Maxi_hp</f>
        <v>0</v>
      </c>
      <c r="I354" s="388">
        <f>IF(H354,Wh_hp,'2027'!Maxi_hp)</f>
        <v>18.881092862283797</v>
      </c>
      <c r="J354" s="85">
        <f>IF(H354,An,'2027'!An_max)</f>
        <v>2020</v>
      </c>
      <c r="K354" s="197">
        <f t="shared" si="129"/>
        <v>47092</v>
      </c>
      <c r="L354" s="147">
        <f>IF(t&lt;Tvie,1-EXP((T0-t)*PertePVj)+'2027'!Pspv,1-EXP((T0-t)*PertePVj)+Pspv)</f>
        <v>6.6864309739314676E-2</v>
      </c>
      <c r="M354" s="832"/>
      <c r="N354" s="832"/>
      <c r="O354" s="48">
        <f>IF(t&lt;Tnet,'2027'!Resal+('2027'!Salim-'2027'!Resal)*(1-EXP(('2027'!Tnet-t)/('2027'!Tau_j))),Resal+(Salim-Resal)*(1-EXP((Tnet-t)/(Tau_j))))*Salcycl</f>
        <v>5.4285737185142263E-2</v>
      </c>
      <c r="P354" s="169">
        <f>(INDEX(Models!$BJ354:$BT354,,T354)*(1-R354)+INDEX(Models!$BJ354:$BT354,,T354+1)*R354-ERP_i)*Q354*Ramure*Pc/MaxiM</f>
        <v>3.3881396671081553E-3</v>
      </c>
      <c r="Q354" s="304">
        <f t="shared" si="130"/>
        <v>0.6</v>
      </c>
      <c r="R354" s="177">
        <f t="shared" si="131"/>
        <v>0.97397020779117471</v>
      </c>
      <c r="S354" s="799">
        <f t="shared" si="132"/>
        <v>-1</v>
      </c>
      <c r="T354" s="176">
        <f t="shared" si="133"/>
        <v>5</v>
      </c>
      <c r="U354" s="250">
        <f t="shared" si="134"/>
        <v>-2.6029792208825231E-2</v>
      </c>
      <c r="V354" s="382">
        <f t="shared" si="135"/>
        <v>22.171731894128108</v>
      </c>
      <c r="W354" s="400">
        <f t="shared" si="136"/>
        <v>10.945163303854827</v>
      </c>
      <c r="X354" s="157">
        <f t="shared" si="137"/>
        <v>47092</v>
      </c>
      <c r="Y354" s="383">
        <f t="shared" si="138"/>
        <v>10.557512263892368</v>
      </c>
      <c r="Z354" s="383">
        <f t="shared" si="139"/>
        <v>11.314016143721789</v>
      </c>
      <c r="AA354" s="384">
        <f t="shared" si="140"/>
        <v>12.350260443004691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8.3904651571120537E-2</v>
      </c>
      <c r="AD354" s="230">
        <f>(INDEX(Models!$BJ354:$BT354,,AH354)*(1-AF354)+INDEX(Models!$BJ354:$BT354,,AH354+1)*AF354-ERP_i)*AE354*Ramure*Pc/MaxiM</f>
        <v>1.8667512523826722E-2</v>
      </c>
      <c r="AE354" s="304">
        <f t="shared" si="142"/>
        <v>0.6</v>
      </c>
      <c r="AF354" s="177">
        <f t="shared" si="143"/>
        <v>0.49895777416515319</v>
      </c>
      <c r="AG354" s="799">
        <f t="shared" si="149"/>
        <v>3</v>
      </c>
      <c r="AH354" s="176">
        <f t="shared" si="144"/>
        <v>9</v>
      </c>
      <c r="AI354" s="224">
        <f t="shared" si="145"/>
        <v>3.4989577741651532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'2027'!Wh/'2027'!Env_an*'2028'!Env_an</f>
        <v>19.722960684497505</v>
      </c>
      <c r="C355" s="829"/>
      <c r="D355" s="391">
        <f t="shared" si="127"/>
        <v>21.136624484134391</v>
      </c>
      <c r="E355" s="383">
        <f t="shared" si="125"/>
        <v>22.3509295208714</v>
      </c>
      <c r="F355" s="383">
        <f t="shared" si="128"/>
        <v>22.416782990138195</v>
      </c>
      <c r="G355" s="110">
        <f t="shared" si="126"/>
        <v>0.89434527096307204</v>
      </c>
      <c r="H355" s="412" t="b">
        <f>Wh_hp&gt;='2027'!Maxi_hp</f>
        <v>0</v>
      </c>
      <c r="I355" s="388">
        <f>IF(H355,Wh_hp,'2027'!Maxi_hp)</f>
        <v>22.426068897825939</v>
      </c>
      <c r="J355" s="85">
        <f>IF(H355,An,'2027'!An_max)</f>
        <v>2026</v>
      </c>
      <c r="K355" s="197">
        <f t="shared" si="129"/>
        <v>47093</v>
      </c>
      <c r="L355" s="147">
        <f>IF(t&lt;Tvie,1-EXP((T0-t)*PertePVj)+'2027'!Pspv,1-EXP((T0-t)*PertePVj)+Pspv)</f>
        <v>6.6882193071935991E-2</v>
      </c>
      <c r="M355" s="832"/>
      <c r="N355" s="832"/>
      <c r="O355" s="48">
        <f>IF(t&lt;Tnet,'2027'!Resal+('2027'!Salim-'2027'!Resal)*(1-EXP(('2027'!Tnet-t)/('2027'!Tau_j))),Resal+(Salim-Resal)*(1-EXP((Tnet-t)/(Tau_j))))*Salcycl</f>
        <v>5.4329062046528501E-2</v>
      </c>
      <c r="P355" s="169">
        <f>(INDEX(Models!$BJ355:$BT355,,T355)*(1-R355)+INDEX(Models!$BJ355:$BT355,,T355+1)*R355-ERP_i)*Q355*Ramure*Pc/MaxiM</f>
        <v>3.4571963982305458E-3</v>
      </c>
      <c r="Q355" s="304">
        <f t="shared" si="130"/>
        <v>0.6</v>
      </c>
      <c r="R355" s="177">
        <f t="shared" si="131"/>
        <v>0.97398307066545975</v>
      </c>
      <c r="S355" s="799">
        <f t="shared" si="132"/>
        <v>-1</v>
      </c>
      <c r="T355" s="176">
        <f t="shared" si="133"/>
        <v>5</v>
      </c>
      <c r="U355" s="250">
        <f t="shared" si="134"/>
        <v>-2.6016929334540195E-2</v>
      </c>
      <c r="V355" s="382">
        <f t="shared" si="135"/>
        <v>22.041469723217329</v>
      </c>
      <c r="W355" s="400">
        <f t="shared" si="136"/>
        <v>19.722960684497505</v>
      </c>
      <c r="X355" s="157">
        <f t="shared" si="137"/>
        <v>47093</v>
      </c>
      <c r="Y355" s="383">
        <f t="shared" si="138"/>
        <v>18.859980783226352</v>
      </c>
      <c r="Z355" s="383">
        <f t="shared" si="139"/>
        <v>20.211789597409652</v>
      </c>
      <c r="AA355" s="384">
        <f t="shared" si="140"/>
        <v>22.063099064491588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8.3909765426446195E-2</v>
      </c>
      <c r="AD355" s="230">
        <f>(INDEX(Models!$BJ355:$BT355,,AH355)*(1-AF355)+INDEX(Models!$BJ355:$BT355,,AH355+1)*AF355-ERP_i)*AE355*Ramure*Pc/MaxiM</f>
        <v>1.8567811346486149E-2</v>
      </c>
      <c r="AE355" s="304">
        <f t="shared" si="142"/>
        <v>0.6</v>
      </c>
      <c r="AF355" s="177">
        <f t="shared" si="143"/>
        <v>0.49897063703943845</v>
      </c>
      <c r="AG355" s="799">
        <f t="shared" si="149"/>
        <v>3</v>
      </c>
      <c r="AH355" s="176">
        <f t="shared" si="144"/>
        <v>9</v>
      </c>
      <c r="AI355" s="224">
        <f t="shared" si="145"/>
        <v>3.4989706370394384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'2027'!Wh/'2027'!Env_an*'2028'!Env_an</f>
        <v>3.9611656254850822</v>
      </c>
      <c r="C356" s="829"/>
      <c r="D356" s="391">
        <f t="shared" si="127"/>
        <v>4.2451676651808947</v>
      </c>
      <c r="E356" s="383">
        <f t="shared" si="125"/>
        <v>4.4892630454214233</v>
      </c>
      <c r="F356" s="383">
        <f t="shared" si="128"/>
        <v>4.4892630454214233</v>
      </c>
      <c r="G356" s="110">
        <f t="shared" si="126"/>
        <v>0.18006674586374299</v>
      </c>
      <c r="H356" s="412" t="b">
        <f>Wh_hp&gt;='2027'!Maxi_hp</f>
        <v>0</v>
      </c>
      <c r="I356" s="388">
        <f>IF(H356,Wh_hp,'2027'!Maxi_hp)</f>
        <v>17.076709643331426</v>
      </c>
      <c r="J356" s="85">
        <f>IF(H356,An,'2027'!An_max)</f>
        <v>2018</v>
      </c>
      <c r="K356" s="197">
        <f t="shared" si="129"/>
        <v>47094</v>
      </c>
      <c r="L356" s="147">
        <f>IF(t&lt;Tvie,1-EXP((T0-t)*PertePVj)+'2027'!Pspv,1-EXP((T0-t)*PertePVj)+Pspv)</f>
        <v>6.6900076061827463E-2</v>
      </c>
      <c r="M356" s="832"/>
      <c r="N356" s="832"/>
      <c r="O356" s="48">
        <f>IF(t&lt;Tnet,'2027'!Resal+('2027'!Salim-'2027'!Resal)*(1-EXP(('2027'!Tnet-t)/('2027'!Tau_j))),Resal+(Salim-Resal)*(1-EXP((Tnet-t)/(Tau_j))))*Salcycl</f>
        <v>5.4373151622175493E-2</v>
      </c>
      <c r="P356" s="169">
        <f>(INDEX(Models!$BJ356:$BT356,,T356)*(1-R356)+INDEX(Models!$BJ356:$BT356,,T356+1)*R356-ERP_i)*Q356*Ramure*Pc/MaxiM</f>
        <v>3.5277263173017297E-3</v>
      </c>
      <c r="Q356" s="304">
        <f t="shared" si="130"/>
        <v>0.6</v>
      </c>
      <c r="R356" s="177">
        <f t="shared" si="131"/>
        <v>0.97399541626479391</v>
      </c>
      <c r="S356" s="799">
        <f t="shared" si="132"/>
        <v>-1</v>
      </c>
      <c r="T356" s="176">
        <f t="shared" si="133"/>
        <v>5</v>
      </c>
      <c r="U356" s="250">
        <f t="shared" si="134"/>
        <v>-2.6004583735206144E-2</v>
      </c>
      <c r="V356" s="382">
        <f t="shared" si="135"/>
        <v>21.920714445785116</v>
      </c>
      <c r="W356" s="400">
        <f t="shared" si="136"/>
        <v>3.9611656254850822</v>
      </c>
      <c r="X356" s="157">
        <f t="shared" si="137"/>
        <v>47094</v>
      </c>
      <c r="Y356" s="383">
        <f t="shared" si="138"/>
        <v>3.8374120209957265</v>
      </c>
      <c r="Z356" s="383">
        <f t="shared" si="139"/>
        <v>4.112541350126607</v>
      </c>
      <c r="AA356" s="384">
        <f t="shared" si="140"/>
        <v>4.4892630454214233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8.3916155387471214E-2</v>
      </c>
      <c r="AD356" s="230">
        <f>(INDEX(Models!$BJ356:$BT356,,AH356)*(1-AF356)+INDEX(Models!$BJ356:$BT356,,AH356+1)*AF356-ERP_i)*AE356*Ramure*Pc/MaxiM</f>
        <v>1.8467502948099263E-2</v>
      </c>
      <c r="AE356" s="304">
        <f t="shared" si="142"/>
        <v>0.6</v>
      </c>
      <c r="AF356" s="177">
        <f t="shared" si="143"/>
        <v>0.49898298263877239</v>
      </c>
      <c r="AG356" s="799">
        <f t="shared" si="149"/>
        <v>3</v>
      </c>
      <c r="AH356" s="176">
        <f t="shared" si="144"/>
        <v>9</v>
      </c>
      <c r="AI356" s="224">
        <f t="shared" si="145"/>
        <v>3.4989829826387724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'2027'!Wh/'2027'!Env_an*'2028'!Env_an</f>
        <v>4.8344209203652992</v>
      </c>
      <c r="C357" s="829"/>
      <c r="D357" s="391">
        <f t="shared" si="127"/>
        <v>5.1811316759204091</v>
      </c>
      <c r="E357" s="383">
        <f t="shared" si="125"/>
        <v>5.4793043604293832</v>
      </c>
      <c r="F357" s="383">
        <f t="shared" si="128"/>
        <v>5.4793043604293832</v>
      </c>
      <c r="G357" s="110">
        <f t="shared" si="126"/>
        <v>0.22086239894382789</v>
      </c>
      <c r="H357" s="412" t="b">
        <f>Wh_hp&gt;='2027'!Maxi_hp</f>
        <v>0</v>
      </c>
      <c r="I357" s="388">
        <f>IF(H357,Wh_hp,'2027'!Maxi_hp)</f>
        <v>11.827516861952027</v>
      </c>
      <c r="J357" s="85">
        <f>IF(H357,An,'2027'!An_max)</f>
        <v>2018</v>
      </c>
      <c r="K357" s="197">
        <f t="shared" si="129"/>
        <v>47095</v>
      </c>
      <c r="L357" s="147">
        <f>IF(t&lt;Tvie,1-EXP((T0-t)*PertePVj)+'2027'!Pspv,1-EXP((T0-t)*PertePVj)+Pspv)</f>
        <v>6.6917958708995418E-2</v>
      </c>
      <c r="M357" s="832"/>
      <c r="N357" s="832"/>
      <c r="O357" s="48">
        <f>IF(t&lt;Tnet,'2027'!Resal+('2027'!Salim-'2027'!Resal)*(1-EXP(('2027'!Tnet-t)/('2027'!Tau_j))),Resal+(Salim-Resal)*(1-EXP((Tnet-t)/(Tau_j))))*Salcycl</f>
        <v>5.4417981717228073E-2</v>
      </c>
      <c r="P357" s="169">
        <f>(INDEX(Models!$BJ357:$BT357,,T357)*(1-R357)+INDEX(Models!$BJ357:$BT357,,T357+1)*R357-ERP_i)*Q357*Ramure*Pc/MaxiM</f>
        <v>3.5995742630937069E-3</v>
      </c>
      <c r="Q357" s="304">
        <f t="shared" si="130"/>
        <v>0.6</v>
      </c>
      <c r="R357" s="177">
        <f t="shared" si="131"/>
        <v>0.97400726536715387</v>
      </c>
      <c r="S357" s="799">
        <f t="shared" si="132"/>
        <v>-1</v>
      </c>
      <c r="T357" s="176">
        <f t="shared" si="133"/>
        <v>5</v>
      </c>
      <c r="U357" s="250">
        <f t="shared" si="134"/>
        <v>-2.5992734632846071E-2</v>
      </c>
      <c r="V357" s="382">
        <f t="shared" si="135"/>
        <v>21.810045921254829</v>
      </c>
      <c r="W357" s="400">
        <f t="shared" si="136"/>
        <v>4.8344209203652992</v>
      </c>
      <c r="X357" s="157">
        <f t="shared" si="137"/>
        <v>47095</v>
      </c>
      <c r="Y357" s="383">
        <f t="shared" si="138"/>
        <v>4.6835683753949073</v>
      </c>
      <c r="Z357" s="383">
        <f t="shared" si="139"/>
        <v>5.0194604205593336</v>
      </c>
      <c r="AA357" s="384">
        <f t="shared" si="140"/>
        <v>5.4793043604293832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8.3923781126481245E-2</v>
      </c>
      <c r="AD357" s="230">
        <f>(INDEX(Models!$BJ357:$BT357,,AH357)*(1-AF357)+INDEX(Models!$BJ357:$BT357,,AH357+1)*AF357-ERP_i)*AE357*Ramure*Pc/MaxiM</f>
        <v>1.8365959144212015E-2</v>
      </c>
      <c r="AE357" s="304">
        <f t="shared" si="142"/>
        <v>0.6</v>
      </c>
      <c r="AF357" s="177">
        <f t="shared" si="143"/>
        <v>0.49899483174113257</v>
      </c>
      <c r="AG357" s="799">
        <f t="shared" si="149"/>
        <v>3</v>
      </c>
      <c r="AH357" s="176">
        <f t="shared" si="144"/>
        <v>9</v>
      </c>
      <c r="AI357" s="224">
        <f t="shared" si="145"/>
        <v>3.4989948317411326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'2027'!Wh/'2027'!Env_an*'2028'!Env_an</f>
        <v>11.703056394359317</v>
      </c>
      <c r="C358" s="829"/>
      <c r="D358" s="391">
        <f t="shared" si="127"/>
        <v>12.542606295231163</v>
      </c>
      <c r="E358" s="383">
        <f t="shared" si="125"/>
        <v>13.265068714131537</v>
      </c>
      <c r="F358" s="383">
        <f t="shared" si="128"/>
        <v>13.281727249172739</v>
      </c>
      <c r="G358" s="110">
        <f t="shared" si="126"/>
        <v>0.53775658538660198</v>
      </c>
      <c r="H358" s="412" t="b">
        <f>Wh_hp&gt;='2027'!Maxi_hp</f>
        <v>0</v>
      </c>
      <c r="I358" s="388">
        <f>IF(H358,Wh_hp,'2027'!Maxi_hp)</f>
        <v>21.581579026303849</v>
      </c>
      <c r="J358" s="85">
        <f>IF(H358,An,'2027'!An_max)</f>
        <v>2018</v>
      </c>
      <c r="K358" s="197">
        <f t="shared" si="129"/>
        <v>47096</v>
      </c>
      <c r="L358" s="147">
        <f>IF(t&lt;Tvie,1-EXP((T0-t)*PertePVj)+'2027'!Pspv,1-EXP((T0-t)*PertePVj)+Pspv)</f>
        <v>6.6935841013446518E-2</v>
      </c>
      <c r="M358" s="832"/>
      <c r="N358" s="832"/>
      <c r="O358" s="48">
        <f>IF(t&lt;Tnet,'2027'!Resal+('2027'!Salim-'2027'!Resal)*(1-EXP(('2027'!Tnet-t)/('2027'!Tau_j))),Resal+(Salim-Resal)*(1-EXP((Tnet-t)/(Tau_j))))*Salcycl</f>
        <v>5.4463526308817484E-2</v>
      </c>
      <c r="P358" s="169">
        <f>(INDEX(Models!$BJ358:$BT358,,T358)*(1-R358)+INDEX(Models!$BJ358:$BT358,,T358+1)*R358-ERP_i)*Q358*Ramure*Pc/MaxiM</f>
        <v>3.6725694297148454E-3</v>
      </c>
      <c r="Q358" s="304">
        <f t="shared" si="130"/>
        <v>0.6</v>
      </c>
      <c r="R358" s="177">
        <f t="shared" si="131"/>
        <v>0.97401863791779841</v>
      </c>
      <c r="S358" s="799">
        <f t="shared" si="132"/>
        <v>-1</v>
      </c>
      <c r="T358" s="176">
        <f t="shared" si="133"/>
        <v>5</v>
      </c>
      <c r="U358" s="250">
        <f t="shared" si="134"/>
        <v>-2.5981362082201531E-2</v>
      </c>
      <c r="V358" s="382">
        <f t="shared" si="135"/>
        <v>21.710043871379632</v>
      </c>
      <c r="W358" s="400">
        <f t="shared" si="136"/>
        <v>11.703056394359317</v>
      </c>
      <c r="X358" s="157">
        <f t="shared" si="137"/>
        <v>47096</v>
      </c>
      <c r="Y358" s="383">
        <f t="shared" si="138"/>
        <v>11.281746313035992</v>
      </c>
      <c r="Z358" s="383">
        <f t="shared" si="139"/>
        <v>12.091072413808764</v>
      </c>
      <c r="AA358" s="384">
        <f t="shared" si="140"/>
        <v>13.198889523718531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8.3932599626582963E-2</v>
      </c>
      <c r="AD358" s="230">
        <f>(INDEX(Models!$BJ358:$BT358,,AH358)*(1-AF358)+INDEX(Models!$BJ358:$BT358,,AH358+1)*AF358-ERP_i)*AE358*Ramure*Pc/MaxiM</f>
        <v>1.8262548139904453E-2</v>
      </c>
      <c r="AE358" s="304">
        <f t="shared" si="142"/>
        <v>0.6</v>
      </c>
      <c r="AF358" s="177">
        <f t="shared" si="143"/>
        <v>0.49900620429177689</v>
      </c>
      <c r="AG358" s="799">
        <f t="shared" si="149"/>
        <v>3</v>
      </c>
      <c r="AH358" s="176">
        <f t="shared" si="144"/>
        <v>9</v>
      </c>
      <c r="AI358" s="224">
        <f t="shared" si="145"/>
        <v>3.4990062042917769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'2027'!Wh/'2027'!Env_an*'2028'!Env_an</f>
        <v>16.745370953441107</v>
      </c>
      <c r="C359" s="829"/>
      <c r="D359" s="391">
        <f t="shared" si="127"/>
        <v>17.946988660451826</v>
      </c>
      <c r="E359" s="383">
        <f t="shared" si="125"/>
        <v>18.981675176142666</v>
      </c>
      <c r="F359" s="383">
        <f t="shared" si="128"/>
        <v>19.03001688138658</v>
      </c>
      <c r="G359" s="110">
        <f t="shared" si="126"/>
        <v>0.7736360855460811</v>
      </c>
      <c r="H359" s="412" t="b">
        <f>Wh_hp&gt;='2027'!Maxi_hp</f>
        <v>0</v>
      </c>
      <c r="I359" s="388">
        <f>IF(H359,Wh_hp,'2027'!Maxi_hp)</f>
        <v>19.048308551616081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6.6953722975187313E-2</v>
      </c>
      <c r="M359" s="832"/>
      <c r="N359" s="832"/>
      <c r="O359" s="48">
        <f>IF(t&lt;Tnet,'2027'!Resal+('2027'!Salim-'2027'!Resal)*(1-EXP(('2027'!Tnet-t)/('2027'!Tau_j))),Resal+(Salim-Resal)*(1-EXP((Tnet-t)/(Tau_j))))*Salcycl</f>
        <v>5.4509757757908471E-2</v>
      </c>
      <c r="P359" s="169">
        <f>(INDEX(Models!$BJ359:$BT359,,T359)*(1-R359)+INDEX(Models!$BJ359:$BT359,,T359+1)*R359-ERP_i)*Q359*Ramure*Pc/MaxiM</f>
        <v>3.7469483162112997E-3</v>
      </c>
      <c r="Q359" s="304">
        <f t="shared" si="130"/>
        <v>0.6</v>
      </c>
      <c r="R359" s="177">
        <f t="shared" si="131"/>
        <v>0.97402955306248984</v>
      </c>
      <c r="S359" s="799">
        <f t="shared" si="132"/>
        <v>-1</v>
      </c>
      <c r="T359" s="176">
        <f t="shared" si="133"/>
        <v>5</v>
      </c>
      <c r="U359" s="250">
        <f t="shared" si="134"/>
        <v>-2.5970446937510216E-2</v>
      </c>
      <c r="V359" s="382">
        <f t="shared" si="135"/>
        <v>21.61883838601171</v>
      </c>
      <c r="W359" s="400">
        <f t="shared" si="136"/>
        <v>16.745370953441107</v>
      </c>
      <c r="X359" s="157">
        <f t="shared" si="137"/>
        <v>47097</v>
      </c>
      <c r="Y359" s="383">
        <f t="shared" si="138"/>
        <v>16.065169989642747</v>
      </c>
      <c r="Z359" s="383">
        <f t="shared" si="139"/>
        <v>17.217977698672627</v>
      </c>
      <c r="AA359" s="384">
        <f t="shared" si="140"/>
        <v>18.795740365770992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8.3942565517218806E-2</v>
      </c>
      <c r="AD359" s="230">
        <f>(INDEX(Models!$BJ359:$BT359,,AH359)*(1-AF359)+INDEX(Models!$BJ359:$BT359,,AH359+1)*AF359-ERP_i)*AE359*Ramure*Pc/MaxiM</f>
        <v>1.815868909225524E-2</v>
      </c>
      <c r="AE359" s="304">
        <f t="shared" si="142"/>
        <v>0.6</v>
      </c>
      <c r="AF359" s="177">
        <f t="shared" si="143"/>
        <v>0.49901711943646809</v>
      </c>
      <c r="AG359" s="799">
        <f t="shared" si="149"/>
        <v>3</v>
      </c>
      <c r="AH359" s="176">
        <f t="shared" si="144"/>
        <v>9</v>
      </c>
      <c r="AI359" s="224">
        <f t="shared" si="145"/>
        <v>3.4990171194364681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'2027'!Wh/'2027'!Env_an*'2028'!Env_an</f>
        <v>5.1177726538913673</v>
      </c>
      <c r="C360" s="829"/>
      <c r="D360" s="391">
        <f t="shared" si="127"/>
        <v>5.4851199374973358</v>
      </c>
      <c r="E360" s="383">
        <f t="shared" si="125"/>
        <v>5.8016378456151987</v>
      </c>
      <c r="F360" s="383">
        <f t="shared" si="128"/>
        <v>5.8016378456151987</v>
      </c>
      <c r="G360" s="110">
        <f t="shared" si="126"/>
        <v>0.23674625986237821</v>
      </c>
      <c r="H360" s="412" t="b">
        <f>Wh_hp&gt;='2027'!Maxi_hp</f>
        <v>0</v>
      </c>
      <c r="I360" s="388">
        <f>IF(H360,Wh_hp,'2027'!Maxi_hp)</f>
        <v>23.902821263615333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6.6971604594224465E-2</v>
      </c>
      <c r="M360" s="832"/>
      <c r="N360" s="832"/>
      <c r="O360" s="48">
        <f>IF(t&lt;Tnet,'2027'!Resal+('2027'!Salim-'2027'!Resal)*(1-EXP(('2027'!Tnet-t)/('2027'!Tau_j))),Resal+(Salim-Resal)*(1-EXP((Tnet-t)/(Tau_j))))*Salcycl</f>
        <v>5.4556647026336322E-2</v>
      </c>
      <c r="P360" s="169">
        <f>(INDEX(Models!$BJ360:$BT360,,T360)*(1-R360)+INDEX(Models!$BJ360:$BT360,,T360+1)*R360-ERP_i)*Q360*Ramure*Pc/MaxiM</f>
        <v>3.8229865937398863E-3</v>
      </c>
      <c r="Q360" s="304">
        <f t="shared" si="130"/>
        <v>0.6</v>
      </c>
      <c r="R360" s="177">
        <f t="shared" si="131"/>
        <v>0.97404002917940447</v>
      </c>
      <c r="S360" s="799">
        <f t="shared" si="132"/>
        <v>-1</v>
      </c>
      <c r="T360" s="176">
        <f t="shared" si="133"/>
        <v>5</v>
      </c>
      <c r="U360" s="250">
        <f t="shared" si="134"/>
        <v>-2.5959970820595479E-2</v>
      </c>
      <c r="V360" s="382">
        <f t="shared" si="135"/>
        <v>21.534479491288881</v>
      </c>
      <c r="W360" s="400">
        <f t="shared" si="136"/>
        <v>5.1177726538913673</v>
      </c>
      <c r="X360" s="157">
        <f t="shared" si="137"/>
        <v>47098</v>
      </c>
      <c r="Y360" s="383">
        <f t="shared" si="138"/>
        <v>4.9586440478845697</v>
      </c>
      <c r="Z360" s="383">
        <f t="shared" si="139"/>
        <v>5.314569280314398</v>
      </c>
      <c r="AA360" s="384">
        <f t="shared" si="140"/>
        <v>5.8016378456151987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8.3953631416156083E-2</v>
      </c>
      <c r="AD360" s="230">
        <f>(INDEX(Models!$BJ360:$BT360,,AH360)*(1-AF360)+INDEX(Models!$BJ360:$BT360,,AH360+1)*AF360-ERP_i)*AE360*Ramure*Pc/MaxiM</f>
        <v>1.8055856873065178E-2</v>
      </c>
      <c r="AE360" s="304">
        <f t="shared" si="142"/>
        <v>0.6</v>
      </c>
      <c r="AF360" s="177">
        <f t="shared" si="143"/>
        <v>0.49902759555338294</v>
      </c>
      <c r="AG360" s="799">
        <f t="shared" si="149"/>
        <v>3</v>
      </c>
      <c r="AH360" s="176">
        <f t="shared" si="144"/>
        <v>9</v>
      </c>
      <c r="AI360" s="224">
        <f t="shared" si="145"/>
        <v>3.4990275955533829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'2027'!Wh/'2027'!Env_an*'2028'!Env_an</f>
        <v>5.1813902045756892</v>
      </c>
      <c r="C361" s="829"/>
      <c r="D361" s="391">
        <f t="shared" si="127"/>
        <v>5.5534103057887734</v>
      </c>
      <c r="E361" s="383">
        <f t="shared" ref="E361:E380" si="150">Wh_pvt/(1-Psa)</f>
        <v>5.8741641265124578</v>
      </c>
      <c r="F361" s="383">
        <f t="shared" si="128"/>
        <v>5.8741641265124578</v>
      </c>
      <c r="G361" s="110">
        <f t="shared" ref="G361:G380" si="151">+Wh_hp/MaxiM</f>
        <v>0.24053116992617568</v>
      </c>
      <c r="H361" s="412" t="b">
        <f>Wh_hp&gt;='2027'!Maxi_hp</f>
        <v>0</v>
      </c>
      <c r="I361" s="388">
        <f>IF(H361,Wh_hp,'2027'!Maxi_hp)</f>
        <v>25.0294040728553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6.6989485870564414E-2</v>
      </c>
      <c r="M361" s="832"/>
      <c r="N361" s="832"/>
      <c r="O361" s="48">
        <f>IF(t&lt;Tnet,'2027'!Resal+('2027'!Salim-'2027'!Resal)*(1-EXP(('2027'!Tnet-t)/('2027'!Tau_j))),Resal+(Salim-Resal)*(1-EXP((Tnet-t)/(Tau_j))))*Salcycl</f>
        <v>5.4604163897292828E-2</v>
      </c>
      <c r="P361" s="169">
        <f>(INDEX(Models!$BJ361:$BT361,,T361)*(1-R361)+INDEX(Models!$BJ361:$BT361,,T361+1)*R361-ERP_i)*Q361*Ramure*Pc/MaxiM</f>
        <v>3.8917687394399792E-3</v>
      </c>
      <c r="Q361" s="304">
        <f t="shared" si="130"/>
        <v>0.6</v>
      </c>
      <c r="R361" s="177">
        <f t="shared" si="131"/>
        <v>0.97405008390978043</v>
      </c>
      <c r="S361" s="799">
        <f t="shared" si="132"/>
        <v>-1</v>
      </c>
      <c r="T361" s="176">
        <f t="shared" si="133"/>
        <v>5</v>
      </c>
      <c r="U361" s="250">
        <f t="shared" si="134"/>
        <v>-2.5949916090219571E-2</v>
      </c>
      <c r="V361" s="382">
        <f t="shared" si="135"/>
        <v>21.457615799793331</v>
      </c>
      <c r="W361" s="400">
        <f t="shared" si="136"/>
        <v>5.1813902045756892</v>
      </c>
      <c r="X361" s="157">
        <f t="shared" si="137"/>
        <v>47099</v>
      </c>
      <c r="Y361" s="383">
        <f t="shared" si="138"/>
        <v>5.0204694348017052</v>
      </c>
      <c r="Z361" s="383">
        <f t="shared" si="139"/>
        <v>5.3809355401382115</v>
      </c>
      <c r="AA361" s="384">
        <f t="shared" si="140"/>
        <v>5.8741641265124578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8.3965748275249594E-2</v>
      </c>
      <c r="AD361" s="230">
        <f>(INDEX(Models!$BJ361:$BT361,,AH361)*(1-AF361)+INDEX(Models!$BJ361:$BT361,,AH361+1)*AF361-ERP_i)*AE361*Ramure*Pc/MaxiM</f>
        <v>1.7960273201517333E-2</v>
      </c>
      <c r="AE361" s="304">
        <f t="shared" si="142"/>
        <v>0.6</v>
      </c>
      <c r="AF361" s="177">
        <f t="shared" si="143"/>
        <v>0.49903765028375879</v>
      </c>
      <c r="AG361" s="799">
        <f t="shared" si="149"/>
        <v>3</v>
      </c>
      <c r="AH361" s="176">
        <f t="shared" si="144"/>
        <v>9</v>
      </c>
      <c r="AI361" s="224">
        <f t="shared" si="145"/>
        <v>3.4990376502837588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'2027'!Wh/'2027'!Env_an*'2028'!Env_an</f>
        <v>16.544728491188206</v>
      </c>
      <c r="C362" s="829"/>
      <c r="D362" s="391">
        <f t="shared" si="127"/>
        <v>17.73296798123414</v>
      </c>
      <c r="E362" s="383">
        <f t="shared" si="150"/>
        <v>18.758143224447313</v>
      </c>
      <c r="F362" s="383">
        <f t="shared" si="128"/>
        <v>18.808440230013272</v>
      </c>
      <c r="G362" s="110">
        <f t="shared" si="151"/>
        <v>0.77253445544510946</v>
      </c>
      <c r="H362" s="412" t="b">
        <f>Wh_hp&gt;='2027'!Maxi_hp</f>
        <v>0</v>
      </c>
      <c r="I362" s="388">
        <f>IF(H362,Wh_hp,'2027'!Maxi_hp)</f>
        <v>24.68921870882129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6.7007366804213819E-2</v>
      </c>
      <c r="M362" s="832"/>
      <c r="N362" s="832"/>
      <c r="O362" s="48">
        <f>IF(t&lt;Tnet,'2027'!Resal+('2027'!Salim-'2027'!Resal)*(1-EXP(('2027'!Tnet-t)/('2027'!Tau_j))),Resal+(Salim-Resal)*(1-EXP((Tnet-t)/(Tau_j))))*Salcycl</f>
        <v>5.4652277197514476E-2</v>
      </c>
      <c r="P362" s="169">
        <f>(INDEX(Models!$BJ362:$BT362,,T362)*(1-R362)+INDEX(Models!$BJ362:$BT362,,T362+1)*R362-ERP_i)*Q362*Ramure*Pc/MaxiM</f>
        <v>3.9531488199266327E-3</v>
      </c>
      <c r="Q362" s="304">
        <f t="shared" si="130"/>
        <v>0.6</v>
      </c>
      <c r="R362" s="177">
        <f t="shared" si="131"/>
        <v>0.97405973418734981</v>
      </c>
      <c r="S362" s="799">
        <f t="shared" si="132"/>
        <v>-1</v>
      </c>
      <c r="T362" s="176">
        <f t="shared" si="133"/>
        <v>5</v>
      </c>
      <c r="U362" s="250">
        <f t="shared" si="134"/>
        <v>-2.5940265812650243E-2</v>
      </c>
      <c r="V362" s="382">
        <f t="shared" si="135"/>
        <v>21.388704819050936</v>
      </c>
      <c r="W362" s="400">
        <f t="shared" si="136"/>
        <v>16.544728491188206</v>
      </c>
      <c r="X362" s="157">
        <f t="shared" si="137"/>
        <v>47100</v>
      </c>
      <c r="Y362" s="383">
        <f t="shared" si="138"/>
        <v>15.8801330847519</v>
      </c>
      <c r="Z362" s="383">
        <f t="shared" si="139"/>
        <v>17.020641449608846</v>
      </c>
      <c r="AA362" s="384">
        <f t="shared" si="140"/>
        <v>18.581057590033161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8.3978865727283372E-2</v>
      </c>
      <c r="AD362" s="230">
        <f>(INDEX(Models!$BJ362:$BT362,,AH362)*(1-AF362)+INDEX(Models!$BJ362:$BT362,,AH362+1)*AF362-ERP_i)*AE362*Ramure*Pc/MaxiM</f>
        <v>1.7871390250666554E-2</v>
      </c>
      <c r="AE362" s="304">
        <f t="shared" si="142"/>
        <v>0.6</v>
      </c>
      <c r="AF362" s="177">
        <f t="shared" si="143"/>
        <v>0.49904730056132829</v>
      </c>
      <c r="AG362" s="799">
        <f t="shared" si="149"/>
        <v>3</v>
      </c>
      <c r="AH362" s="176">
        <f t="shared" si="144"/>
        <v>9</v>
      </c>
      <c r="AI362" s="224">
        <f t="shared" si="145"/>
        <v>3.4990473005613283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'2027'!Wh/'2027'!Env_an*'2028'!Env_an</f>
        <v>5.6541684822135299</v>
      </c>
      <c r="C363" s="829"/>
      <c r="D363" s="391">
        <f t="shared" si="127"/>
        <v>6.0603660135789985</v>
      </c>
      <c r="E363" s="383">
        <f t="shared" si="150"/>
        <v>6.4110569515106173</v>
      </c>
      <c r="F363" s="383">
        <f t="shared" si="128"/>
        <v>6.4110569515106173</v>
      </c>
      <c r="G363" s="110">
        <f t="shared" si="151"/>
        <v>0.2640406248741653</v>
      </c>
      <c r="H363" s="412" t="b">
        <f>Wh_hp&gt;='2027'!Maxi_hp</f>
        <v>0</v>
      </c>
      <c r="I363" s="388">
        <f>IF(H363,Wh_hp,'2027'!Maxi_hp)</f>
        <v>24.850474320764231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6.7025247395179233E-2</v>
      </c>
      <c r="M363" s="832"/>
      <c r="N363" s="832"/>
      <c r="O363" s="48">
        <f>IF(t&lt;Tnet,'2027'!Resal+('2027'!Salim-'2027'!Resal)*(1-EXP(('2027'!Tnet-t)/('2027'!Tau_j))),Resal+(Salim-Resal)*(1-EXP((Tnet-t)/(Tau_j))))*Salcycl</f>
        <v>5.4700955019435019E-2</v>
      </c>
      <c r="P363" s="169">
        <f>(INDEX(Models!$BJ363:$BT363,,T363)*(1-R363)+INDEX(Models!$BJ363:$BT363,,T363+1)*R363-ERP_i)*Q363*Ramure*Pc/MaxiM</f>
        <v>4.0069757403960928E-3</v>
      </c>
      <c r="Q363" s="304">
        <f t="shared" si="130"/>
        <v>0.6</v>
      </c>
      <c r="R363" s="177">
        <f t="shared" si="131"/>
        <v>0.97406899626660626</v>
      </c>
      <c r="S363" s="799">
        <f t="shared" si="132"/>
        <v>-1</v>
      </c>
      <c r="T363" s="176">
        <f t="shared" si="133"/>
        <v>5</v>
      </c>
      <c r="U363" s="250">
        <f t="shared" si="134"/>
        <v>-2.5931003733393743E-2</v>
      </c>
      <c r="V363" s="382">
        <f t="shared" si="135"/>
        <v>21.328204207049637</v>
      </c>
      <c r="W363" s="400">
        <f t="shared" si="136"/>
        <v>5.6541684822135299</v>
      </c>
      <c r="X363" s="157">
        <f t="shared" si="137"/>
        <v>47101</v>
      </c>
      <c r="Y363" s="383">
        <f t="shared" si="138"/>
        <v>5.4789627879489533</v>
      </c>
      <c r="Z363" s="383">
        <f t="shared" si="139"/>
        <v>5.8725734781696417</v>
      </c>
      <c r="AA363" s="384">
        <f t="shared" si="140"/>
        <v>6.4110569515106173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8.3992932431226408E-2</v>
      </c>
      <c r="AD363" s="230">
        <f>(INDEX(Models!$BJ363:$BT363,,AH363)*(1-AF363)+INDEX(Models!$BJ363:$BT363,,AH363+1)*AF363-ERP_i)*AE363*Ramure*Pc/MaxiM</f>
        <v>1.7788659124500682E-2</v>
      </c>
      <c r="AE363" s="304">
        <f t="shared" si="142"/>
        <v>0.6</v>
      </c>
      <c r="AF363" s="177">
        <f t="shared" si="143"/>
        <v>0.49905656264058473</v>
      </c>
      <c r="AG363" s="799">
        <f t="shared" si="149"/>
        <v>3</v>
      </c>
      <c r="AH363" s="176">
        <f t="shared" si="144"/>
        <v>9</v>
      </c>
      <c r="AI363" s="224">
        <f t="shared" si="145"/>
        <v>3.4990565626405847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'2027'!Wh/'2027'!Env_an*'2028'!Env_an</f>
        <v>4.9939424227790123</v>
      </c>
      <c r="C364" s="829"/>
      <c r="D364" s="391">
        <f t="shared" si="127"/>
        <v>5.3528116580190206</v>
      </c>
      <c r="E364" s="383">
        <f t="shared" si="150"/>
        <v>5.6628538397874939</v>
      </c>
      <c r="F364" s="383">
        <f t="shared" si="128"/>
        <v>5.6628538397874939</v>
      </c>
      <c r="G364" s="110">
        <f t="shared" si="151"/>
        <v>0.23376423382137107</v>
      </c>
      <c r="H364" s="412" t="b">
        <f>Wh_hp&gt;='2027'!Maxi_hp</f>
        <v>0</v>
      </c>
      <c r="I364" s="388">
        <f>IF(H364,Wh_hp,'2027'!Maxi_hp)</f>
        <v>24.489416018785828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6.7043127643467093E-2</v>
      </c>
      <c r="M364" s="832"/>
      <c r="N364" s="832"/>
      <c r="O364" s="48">
        <f>IF(t&lt;Tnet,'2027'!Resal+('2027'!Salim-'2027'!Resal)*(1-EXP(('2027'!Tnet-t)/('2027'!Tau_j))),Resal+(Salim-Resal)*(1-EXP((Tnet-t)/(Tau_j))))*Salcycl</f>
        <v>5.4750164941588624E-2</v>
      </c>
      <c r="P364" s="169">
        <f>(INDEX(Models!$BJ364:$BT364,,T364)*(1-R364)+INDEX(Models!$BJ364:$BT364,,T364+1)*R364-ERP_i)*Q364*Ramure*Pc/MaxiM</f>
        <v>4.0530963051370501E-3</v>
      </c>
      <c r="Q364" s="304">
        <f t="shared" si="130"/>
        <v>0.6</v>
      </c>
      <c r="R364" s="177">
        <f t="shared" si="131"/>
        <v>0.97407788574995147</v>
      </c>
      <c r="S364" s="799">
        <f t="shared" si="132"/>
        <v>-1</v>
      </c>
      <c r="T364" s="176">
        <f t="shared" si="133"/>
        <v>5</v>
      </c>
      <c r="U364" s="250">
        <f t="shared" si="134"/>
        <v>-2.5922114250048534E-2</v>
      </c>
      <c r="V364" s="382">
        <f t="shared" si="135"/>
        <v>21.276571748772273</v>
      </c>
      <c r="W364" s="400">
        <f t="shared" si="136"/>
        <v>4.9939424227790123</v>
      </c>
      <c r="X364" s="157">
        <f t="shared" si="137"/>
        <v>47102</v>
      </c>
      <c r="Y364" s="383">
        <f t="shared" si="138"/>
        <v>4.8393680224758615</v>
      </c>
      <c r="Z364" s="383">
        <f t="shared" si="139"/>
        <v>5.1871294010110249</v>
      </c>
      <c r="AA364" s="384">
        <f t="shared" si="140"/>
        <v>5.6628538397874939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8.4007896413289887E-2</v>
      </c>
      <c r="AD364" s="230">
        <f>(INDEX(Models!$BJ364:$BT364,,AH364)*(1-AF364)+INDEX(Models!$BJ364:$BT364,,AH364+1)*AF364-ERP_i)*AE364*Ramure*Pc/MaxiM</f>
        <v>1.7711531194581607E-2</v>
      </c>
      <c r="AE364" s="304">
        <f t="shared" si="142"/>
        <v>0.6</v>
      </c>
      <c r="AF364" s="177">
        <f t="shared" si="143"/>
        <v>0.49906545212393016</v>
      </c>
      <c r="AG364" s="799">
        <f t="shared" si="149"/>
        <v>3</v>
      </c>
      <c r="AH364" s="176">
        <f t="shared" si="144"/>
        <v>9</v>
      </c>
      <c r="AI364" s="224">
        <f t="shared" si="145"/>
        <v>3.4990654521239302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'2027'!Wh/'2027'!Env_an*'2028'!Env_an</f>
        <v>3.3856926454516749</v>
      </c>
      <c r="C365" s="829"/>
      <c r="D365" s="391">
        <f t="shared" si="127"/>
        <v>3.6290611420979966</v>
      </c>
      <c r="E365" s="383">
        <f t="shared" si="150"/>
        <v>3.839463245100041</v>
      </c>
      <c r="F365" s="383">
        <f t="shared" si="128"/>
        <v>3.839463245100041</v>
      </c>
      <c r="G365" s="110">
        <f t="shared" si="151"/>
        <v>0.15879242882483921</v>
      </c>
      <c r="H365" s="412" t="b">
        <f>Wh_hp&gt;='2027'!Maxi_hp</f>
        <v>0</v>
      </c>
      <c r="I365" s="388">
        <f>IF(H365,Wh_hp,'2027'!Maxi_hp)</f>
        <v>24.995973707121568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6.7061007549084173E-2</v>
      </c>
      <c r="M365" s="832"/>
      <c r="N365" s="832"/>
      <c r="O365" s="48">
        <f>IF(t&lt;Tnet,'2027'!Resal+('2027'!Salim-'2027'!Resal)*(1-EXP(('2027'!Tnet-t)/('2027'!Tau_j))),Resal+(Salim-Resal)*(1-EXP((Tnet-t)/(Tau_j))))*Salcycl</f>
        <v>5.4799874245589277E-2</v>
      </c>
      <c r="P365" s="169">
        <f>(INDEX(Models!$BJ365:$BT365,,T365)*(1-R365)+INDEX(Models!$BJ365:$BT365,,T365+1)*R365-ERP_i)*Q365*Ramure*Pc/MaxiM</f>
        <v>4.0913584471694723E-3</v>
      </c>
      <c r="Q365" s="304">
        <f t="shared" si="130"/>
        <v>0.6</v>
      </c>
      <c r="R365" s="177">
        <f t="shared" si="131"/>
        <v>0.97408641761376391</v>
      </c>
      <c r="S365" s="799">
        <f t="shared" si="132"/>
        <v>-1</v>
      </c>
      <c r="T365" s="176">
        <f t="shared" si="133"/>
        <v>5</v>
      </c>
      <c r="U365" s="250">
        <f t="shared" si="134"/>
        <v>-2.5913582386236089E-2</v>
      </c>
      <c r="V365" s="382">
        <f t="shared" si="135"/>
        <v>21.234265312275038</v>
      </c>
      <c r="W365" s="400">
        <f t="shared" si="136"/>
        <v>3.3856926454516749</v>
      </c>
      <c r="X365" s="157">
        <f t="shared" si="137"/>
        <v>47103</v>
      </c>
      <c r="Y365" s="383">
        <f t="shared" si="138"/>
        <v>3.2810133214443211</v>
      </c>
      <c r="Z365" s="383">
        <f t="shared" si="139"/>
        <v>3.5168573164948329</v>
      </c>
      <c r="AA365" s="384">
        <f t="shared" si="140"/>
        <v>3.839463245100041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8.4023705401248705E-2</v>
      </c>
      <c r="AD365" s="230">
        <f>(INDEX(Models!$BJ365:$BT365,,AH365)*(1-AF365)+INDEX(Models!$BJ365:$BT365,,AH365+1)*AF365-ERP_i)*AE365*Ramure*Pc/MaxiM</f>
        <v>1.7639459613581633E-2</v>
      </c>
      <c r="AE365" s="304">
        <f t="shared" si="142"/>
        <v>0.6</v>
      </c>
      <c r="AF365" s="177">
        <f t="shared" si="143"/>
        <v>0.4990739839877425</v>
      </c>
      <c r="AG365" s="799">
        <f t="shared" si="149"/>
        <v>3</v>
      </c>
      <c r="AH365" s="176">
        <f t="shared" si="144"/>
        <v>9</v>
      </c>
      <c r="AI365" s="224">
        <f t="shared" si="145"/>
        <v>3.4990739839877425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'2027'!Wh/'2027'!Env_an*'2028'!Env_an</f>
        <v>20.195794744004985</v>
      </c>
      <c r="C366" s="829"/>
      <c r="D366" s="391">
        <f t="shared" si="127"/>
        <v>21.64791263163357</v>
      </c>
      <c r="E366" s="383">
        <f t="shared" si="150"/>
        <v>22.904209680767384</v>
      </c>
      <c r="F366" s="383">
        <f t="shared" si="128"/>
        <v>22.992472191326968</v>
      </c>
      <c r="G366" s="110">
        <f t="shared" si="151"/>
        <v>0.95228304324075264</v>
      </c>
      <c r="H366" s="412" t="b">
        <f>Wh_hp&gt;='2027'!Maxi_hp</f>
        <v>0</v>
      </c>
      <c r="I366" s="388">
        <f>IF(H366,Wh_hp,'2027'!Maxi_hp)</f>
        <v>25.161787004742354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6.7078887112036911E-2</v>
      </c>
      <c r="M366" s="832"/>
      <c r="N366" s="832"/>
      <c r="O366" s="48">
        <f>IF(t&lt;Tnet,'2027'!Resal+('2027'!Salim-'2027'!Resal)*(1-EXP(('2027'!Tnet-t)/('2027'!Tau_j))),Resal+(Salim-Resal)*(1-EXP((Tnet-t)/(Tau_j))))*Salcycl</f>
        <v>5.4850050128065431E-2</v>
      </c>
      <c r="P366" s="169">
        <f>(INDEX(Models!$BJ366:$BT366,,T366)*(1-R366)+INDEX(Models!$BJ366:$BT366,,T366+1)*R366-ERP_i)*Q366*Ramure*Pc/MaxiM</f>
        <v>4.1178913245400323E-3</v>
      </c>
      <c r="Q366" s="304">
        <f t="shared" si="130"/>
        <v>0.6</v>
      </c>
      <c r="R366" s="177">
        <f t="shared" si="131"/>
        <v>0.97409460623343325</v>
      </c>
      <c r="S366" s="799">
        <f t="shared" si="132"/>
        <v>-1</v>
      </c>
      <c r="T366" s="176">
        <f t="shared" si="133"/>
        <v>5</v>
      </c>
      <c r="U366" s="250">
        <f t="shared" si="134"/>
        <v>-2.5905393766566809E-2</v>
      </c>
      <c r="V366" s="382">
        <f t="shared" si="135"/>
        <v>21.201822106741112</v>
      </c>
      <c r="W366" s="400">
        <f t="shared" si="136"/>
        <v>20.195794744004985</v>
      </c>
      <c r="X366" s="157">
        <f t="shared" si="137"/>
        <v>47104</v>
      </c>
      <c r="Y366" s="383">
        <f t="shared" si="138"/>
        <v>19.325534663950265</v>
      </c>
      <c r="Z366" s="383">
        <f t="shared" si="139"/>
        <v>20.715079117596428</v>
      </c>
      <c r="AA366" s="384">
        <f t="shared" si="140"/>
        <v>22.615710362900671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8.4040307149585727E-2</v>
      </c>
      <c r="AD366" s="230">
        <f>(INDEX(Models!$BJ366:$BT366,,AH366)*(1-AF366)+INDEX(Models!$BJ366:$BT366,,AH366+1)*AF366-ERP_i)*AE366*Ramure*Pc/MaxiM</f>
        <v>1.7577839728988055E-2</v>
      </c>
      <c r="AE366" s="304">
        <f t="shared" si="142"/>
        <v>0.6</v>
      </c>
      <c r="AF366" s="177">
        <f t="shared" si="143"/>
        <v>0.4990821726074115</v>
      </c>
      <c r="AG366" s="799">
        <f t="shared" si="149"/>
        <v>3</v>
      </c>
      <c r="AH366" s="176">
        <f t="shared" si="144"/>
        <v>9</v>
      </c>
      <c r="AI366" s="224">
        <f t="shared" si="145"/>
        <v>3.4990821726074115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'2027'!Wh/'2027'!Env_an*'2028'!Env_an</f>
        <v>17.185740517561339</v>
      </c>
      <c r="C367" s="829"/>
      <c r="D367" s="391">
        <f t="shared" si="127"/>
        <v>18.421782557228742</v>
      </c>
      <c r="E367" s="383">
        <f t="shared" si="150"/>
        <v>19.491900772458933</v>
      </c>
      <c r="F367" s="383">
        <f t="shared" si="128"/>
        <v>19.550977088101479</v>
      </c>
      <c r="G367" s="110">
        <f t="shared" si="151"/>
        <v>0.81052097617359387</v>
      </c>
      <c r="H367" s="412" t="b">
        <f>Wh_hp&gt;='2027'!Maxi_hp</f>
        <v>0</v>
      </c>
      <c r="I367" s="388">
        <f>IF(H367,Wh_hp,'2027'!Maxi_hp)</f>
        <v>24.884744497458982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6.7096766332331859E-2</v>
      </c>
      <c r="M367" s="832"/>
      <c r="N367" s="832"/>
      <c r="O367" s="48">
        <f>IF(t&lt;Tnet,'2027'!Resal+('2027'!Salim-'2027'!Resal)*(1-EXP(('2027'!Tnet-t)/('2027'!Tau_j))),Resal+(Salim-Resal)*(1-EXP((Tnet-t)/(Tau_j))))*Salcycl</f>
        <v>5.4900659905996289E-2</v>
      </c>
      <c r="P367" s="169">
        <f>(INDEX(Models!$BJ367:$BT367,,T367)*(1-R367)+INDEX(Models!$BJ367:$BT367,,T367+1)*R367-ERP_i)*Q367*Ramure*Pc/MaxiM</f>
        <v>4.1357919169441107E-3</v>
      </c>
      <c r="Q367" s="304">
        <f t="shared" si="130"/>
        <v>0.6</v>
      </c>
      <c r="R367" s="177">
        <f t="shared" si="131"/>
        <v>0.97410246540739942</v>
      </c>
      <c r="S367" s="799">
        <f t="shared" si="132"/>
        <v>-1</v>
      </c>
      <c r="T367" s="176">
        <f t="shared" si="133"/>
        <v>5</v>
      </c>
      <c r="U367" s="250">
        <f t="shared" si="134"/>
        <v>-2.589753459260058E-2</v>
      </c>
      <c r="V367" s="382">
        <f t="shared" si="135"/>
        <v>21.179631039132659</v>
      </c>
      <c r="W367" s="400">
        <f t="shared" si="136"/>
        <v>17.185740517561339</v>
      </c>
      <c r="X367" s="157">
        <f t="shared" si="137"/>
        <v>47105</v>
      </c>
      <c r="Y367" s="383">
        <f t="shared" si="138"/>
        <v>16.492145211313794</v>
      </c>
      <c r="Z367" s="383">
        <f t="shared" si="139"/>
        <v>17.678302117654418</v>
      </c>
      <c r="AA367" s="384">
        <f t="shared" si="140"/>
        <v>19.300671175308963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8.4057649753134761E-2</v>
      </c>
      <c r="AD367" s="230">
        <f>(INDEX(Models!$BJ367:$BT367,,AH367)*(1-AF367)+INDEX(Models!$BJ367:$BT367,,AH367+1)*AF367-ERP_i)*AE367*Ramure*Pc/MaxiM</f>
        <v>1.7523319787820672E-2</v>
      </c>
      <c r="AE367" s="304">
        <f t="shared" si="142"/>
        <v>0.6</v>
      </c>
      <c r="AF367" s="177">
        <f t="shared" si="143"/>
        <v>0.49909003178137779</v>
      </c>
      <c r="AG367" s="799">
        <f t="shared" si="149"/>
        <v>3</v>
      </c>
      <c r="AH367" s="176">
        <f t="shared" si="144"/>
        <v>9</v>
      </c>
      <c r="AI367" s="224">
        <f t="shared" si="145"/>
        <v>3.4990900317813778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'2027'!Wh/'2027'!Env_an*'2028'!Env_an</f>
        <v>4.3805498006260057</v>
      </c>
      <c r="C368" s="829"/>
      <c r="D368" s="391">
        <f t="shared" si="127"/>
        <v>4.6957000430261751</v>
      </c>
      <c r="E368" s="383">
        <f t="shared" si="150"/>
        <v>4.968740645315048</v>
      </c>
      <c r="F368" s="383">
        <f t="shared" si="128"/>
        <v>4.968740645315048</v>
      </c>
      <c r="G368" s="110">
        <f t="shared" si="151"/>
        <v>0.20608284975465554</v>
      </c>
      <c r="H368" s="412" t="b">
        <f>Wh_hp&gt;='2027'!Maxi_hp</f>
        <v>0</v>
      </c>
      <c r="I368" s="388">
        <f>IF(H368,Wh_hp,'2027'!Maxi_hp)</f>
        <v>24.174700505084488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6.7114645209975676E-2</v>
      </c>
      <c r="M368" s="832"/>
      <c r="N368" s="832"/>
      <c r="O368" s="48">
        <f>IF(t&lt;Tnet,'2027'!Resal+('2027'!Salim-'2027'!Resal)*(1-EXP(('2027'!Tnet-t)/('2027'!Tau_j))),Resal+(Salim-Resal)*(1-EXP((Tnet-t)/(Tau_j))))*Salcycl</f>
        <v>5.4951671213976226E-2</v>
      </c>
      <c r="P368" s="169">
        <f>(INDEX(Models!$BJ368:$BT368,,T368)*(1-R368)+INDEX(Models!$BJ368:$BT368,,T368+1)*R368-ERP_i)*Q368*Ramure*Pc/MaxiM</f>
        <v>4.1449374744606986E-3</v>
      </c>
      <c r="Q368" s="304">
        <f t="shared" si="130"/>
        <v>0.6</v>
      </c>
      <c r="R368" s="177">
        <f t="shared" si="131"/>
        <v>0.97411000838023776</v>
      </c>
      <c r="S368" s="799">
        <f t="shared" si="132"/>
        <v>-1</v>
      </c>
      <c r="T368" s="176">
        <f t="shared" si="133"/>
        <v>5</v>
      </c>
      <c r="U368" s="250">
        <f t="shared" si="134"/>
        <v>-2.5889991619762243E-2</v>
      </c>
      <c r="V368" s="382">
        <f t="shared" si="135"/>
        <v>21.16815009493579</v>
      </c>
      <c r="W368" s="400">
        <f t="shared" si="136"/>
        <v>4.3805498006260057</v>
      </c>
      <c r="X368" s="157">
        <f t="shared" si="137"/>
        <v>47106</v>
      </c>
      <c r="Y368" s="383">
        <f t="shared" si="138"/>
        <v>4.245552281955181</v>
      </c>
      <c r="Z368" s="383">
        <f t="shared" si="139"/>
        <v>4.5509903871422424</v>
      </c>
      <c r="AA368" s="384">
        <f t="shared" si="140"/>
        <v>4.968740645315048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8.4075681947033437E-2</v>
      </c>
      <c r="AD368" s="230">
        <f>(INDEX(Models!$BJ368:$BT368,,AH368)*(1-AF368)+INDEX(Models!$BJ368:$BT368,,AH368+1)*AF368-ERP_i)*AE368*Ramure*Pc/MaxiM</f>
        <v>1.7475350104110297E-2</v>
      </c>
      <c r="AE368" s="304">
        <f t="shared" si="142"/>
        <v>0.6</v>
      </c>
      <c r="AF368" s="177">
        <f t="shared" si="143"/>
        <v>0.49909757475421612</v>
      </c>
      <c r="AG368" s="799">
        <f t="shared" si="149"/>
        <v>3</v>
      </c>
      <c r="AH368" s="176">
        <f t="shared" si="144"/>
        <v>9</v>
      </c>
      <c r="AI368" s="224">
        <f t="shared" si="145"/>
        <v>3.4990975747542161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'2027'!Wh/'2027'!Env_an*'2028'!Env_an</f>
        <v>20.056435844052938</v>
      </c>
      <c r="C369" s="829"/>
      <c r="D369" s="391">
        <f t="shared" si="127"/>
        <v>21.499769639916096</v>
      </c>
      <c r="E369" s="383">
        <f t="shared" si="150"/>
        <v>22.75115246645742</v>
      </c>
      <c r="F369" s="383">
        <f t="shared" si="128"/>
        <v>22.83872309060585</v>
      </c>
      <c r="G369" s="110">
        <f t="shared" si="151"/>
        <v>0.947200023878224</v>
      </c>
      <c r="H369" s="412" t="b">
        <f>Wh_hp&gt;='2027'!Maxi_hp</f>
        <v>0</v>
      </c>
      <c r="I369" s="388">
        <f>IF(H369,Wh_hp,'2027'!Maxi_hp)</f>
        <v>22.84427914222125</v>
      </c>
      <c r="J369" s="85">
        <f>IF(H369,An,'2027'!An_max)</f>
        <v>2026</v>
      </c>
      <c r="K369" s="197">
        <f t="shared" si="129"/>
        <v>47107</v>
      </c>
      <c r="L369" s="147">
        <f>IF(t&lt;Tvie,1-EXP((T0-t)*PertePVj)+'2027'!Pspv,1-EXP((T0-t)*PertePVj)+Pspv)</f>
        <v>6.7132523744974915E-2</v>
      </c>
      <c r="M369" s="832"/>
      <c r="N369" s="832"/>
      <c r="O369" s="48">
        <f>IF(t&lt;Tnet,'2027'!Resal+('2027'!Salim-'2027'!Resal)*(1-EXP(('2027'!Tnet-t)/('2027'!Tau_j))),Resal+(Salim-Resal)*(1-EXP((Tnet-t)/(Tau_j))))*Salcycl</f>
        <v>5.5003052192027092E-2</v>
      </c>
      <c r="P369" s="169">
        <f>(INDEX(Models!$BJ369:$BT369,,T369)*(1-R369)+INDEX(Models!$BJ369:$BT369,,T369+1)*R369-ERP_i)*Q369*Ramure*Pc/MaxiM</f>
        <v>4.1452215182915756E-3</v>
      </c>
      <c r="Q369" s="304">
        <f t="shared" si="130"/>
        <v>0.6</v>
      </c>
      <c r="R369" s="177">
        <f t="shared" si="131"/>
        <v>0.97411724786482468</v>
      </c>
      <c r="S369" s="799">
        <f t="shared" si="132"/>
        <v>-1</v>
      </c>
      <c r="T369" s="176">
        <f t="shared" si="133"/>
        <v>5</v>
      </c>
      <c r="U369" s="250">
        <f t="shared" si="134"/>
        <v>-2.5882752135175324E-2</v>
      </c>
      <c r="V369" s="382">
        <f t="shared" si="135"/>
        <v>21.16783726122592</v>
      </c>
      <c r="W369" s="400">
        <f t="shared" si="136"/>
        <v>20.056435844052938</v>
      </c>
      <c r="X369" s="157">
        <f t="shared" si="137"/>
        <v>47107</v>
      </c>
      <c r="Y369" s="383">
        <f t="shared" si="138"/>
        <v>19.199153960995197</v>
      </c>
      <c r="Z369" s="383">
        <f t="shared" si="139"/>
        <v>20.580794646276829</v>
      </c>
      <c r="AA369" s="384">
        <f t="shared" si="140"/>
        <v>22.470431012706353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8.4094353390951532E-2</v>
      </c>
      <c r="AD369" s="230">
        <f>(INDEX(Models!$BJ369:$BT369,,AH369)*(1-AF369)+INDEX(Models!$BJ369:$BT369,,AH369+1)*AF369-ERP_i)*AE369*Ramure*Pc/MaxiM</f>
        <v>1.7433383182671701E-2</v>
      </c>
      <c r="AE369" s="304">
        <f t="shared" si="142"/>
        <v>0.6</v>
      </c>
      <c r="AF369" s="177">
        <f t="shared" si="143"/>
        <v>0.49910481423880304</v>
      </c>
      <c r="AG369" s="799">
        <f t="shared" si="149"/>
        <v>3</v>
      </c>
      <c r="AH369" s="176">
        <f t="shared" si="144"/>
        <v>9</v>
      </c>
      <c r="AI369" s="224">
        <f t="shared" si="145"/>
        <v>3.499104814238803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'2027'!Wh/'2027'!Env_an*'2028'!Env_an</f>
        <v>16.957523407823654</v>
      </c>
      <c r="C370" s="829"/>
      <c r="D370" s="391">
        <f t="shared" si="127"/>
        <v>18.178196617162005</v>
      </c>
      <c r="E370" s="383">
        <f t="shared" si="150"/>
        <v>19.237301879546504</v>
      </c>
      <c r="F370" s="383">
        <f t="shared" si="128"/>
        <v>19.294387154378903</v>
      </c>
      <c r="G370" s="110">
        <f t="shared" si="151"/>
        <v>0.79972469532882007</v>
      </c>
      <c r="H370" s="412" t="b">
        <f>Wh_hp&gt;='2027'!Maxi_hp</f>
        <v>0</v>
      </c>
      <c r="I370" s="388">
        <f>IF(H370,Wh_hp,'2027'!Maxi_hp)</f>
        <v>24.5370383220707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6.7150401937336013E-2</v>
      </c>
      <c r="M370" s="832"/>
      <c r="N370" s="832"/>
      <c r="O370" s="48">
        <f>IF(t&lt;Tnet,'2027'!Resal+('2027'!Salim-'2027'!Resal)*(1-EXP(('2027'!Tnet-t)/('2027'!Tau_j))),Resal+(Salim-Resal)*(1-EXP((Tnet-t)/(Tau_j))))*Salcycl</f>
        <v>5.5054771662681169E-2</v>
      </c>
      <c r="P370" s="169">
        <f>(INDEX(Models!$BJ370:$BT370,,T370)*(1-R370)+INDEX(Models!$BJ370:$BT370,,T370+1)*R370-ERP_i)*Q370*Ramure*Pc/MaxiM</f>
        <v>4.1365573231941198E-3</v>
      </c>
      <c r="Q370" s="304">
        <f t="shared" si="130"/>
        <v>0.6</v>
      </c>
      <c r="R370" s="177">
        <f t="shared" si="131"/>
        <v>0.97412419606362199</v>
      </c>
      <c r="S370" s="799">
        <f t="shared" si="132"/>
        <v>-1</v>
      </c>
      <c r="T370" s="176">
        <f t="shared" si="133"/>
        <v>5</v>
      </c>
      <c r="U370" s="250">
        <f t="shared" si="134"/>
        <v>-2.5875803936378061E-2</v>
      </c>
      <c r="V370" s="382">
        <f t="shared" si="135"/>
        <v>21.179150508977866</v>
      </c>
      <c r="W370" s="400">
        <f t="shared" si="136"/>
        <v>16.957523407823654</v>
      </c>
      <c r="X370" s="157">
        <f t="shared" si="137"/>
        <v>47108</v>
      </c>
      <c r="Y370" s="383">
        <f t="shared" si="138"/>
        <v>16.279699707842592</v>
      </c>
      <c r="Z370" s="383">
        <f t="shared" si="139"/>
        <v>17.451580342267572</v>
      </c>
      <c r="AA370" s="384">
        <f t="shared" si="140"/>
        <v>19.05430698267552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8.4113614935729275E-2</v>
      </c>
      <c r="AD370" s="230">
        <f>(INDEX(Models!$BJ370:$BT370,,AH370)*(1-AF370)+INDEX(Models!$BJ370:$BT370,,AH370+1)*AF370-ERP_i)*AE370*Ramure*Pc/MaxiM</f>
        <v>1.7396875031767536E-2</v>
      </c>
      <c r="AE370" s="304">
        <f t="shared" si="142"/>
        <v>0.6</v>
      </c>
      <c r="AF370" s="177">
        <f t="shared" si="143"/>
        <v>0.49911176243760025</v>
      </c>
      <c r="AG370" s="799">
        <f t="shared" si="149"/>
        <v>3</v>
      </c>
      <c r="AH370" s="176">
        <f t="shared" si="144"/>
        <v>9</v>
      </c>
      <c r="AI370" s="224">
        <f t="shared" si="145"/>
        <v>3.4991117624376002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'2027'!Wh/'2027'!Env_an*'2028'!Env_an</f>
        <v>17.185627271892738</v>
      </c>
      <c r="C371" s="829"/>
      <c r="D371" s="391">
        <f t="shared" si="127"/>
        <v>18.423073422042119</v>
      </c>
      <c r="E371" s="383">
        <f t="shared" si="150"/>
        <v>19.497519305165099</v>
      </c>
      <c r="F371" s="383">
        <f t="shared" si="128"/>
        <v>19.55626818334197</v>
      </c>
      <c r="G371" s="110">
        <f t="shared" si="151"/>
        <v>0.80963907862246376</v>
      </c>
      <c r="H371" s="412" t="b">
        <f>Wh_hp&gt;='2027'!Maxi_hp</f>
        <v>0</v>
      </c>
      <c r="I371" s="388">
        <f>IF(H371,Wh_hp,'2027'!Maxi_hp)</f>
        <v>20.621523847427799</v>
      </c>
      <c r="J371" s="85">
        <f>IF(H371,An,'2027'!An_max)</f>
        <v>2020</v>
      </c>
      <c r="K371" s="197">
        <f t="shared" si="129"/>
        <v>47109</v>
      </c>
      <c r="L371" s="147">
        <f>IF(t&lt;Tvie,1-EXP((T0-t)*PertePVj)+'2027'!Pspv,1-EXP((T0-t)*PertePVj)+Pspv)</f>
        <v>6.7168279787065743E-2</v>
      </c>
      <c r="M371" s="832"/>
      <c r="N371" s="832"/>
      <c r="O371" s="48">
        <f>IF(t&lt;Tnet,'2027'!Resal+('2027'!Salim-'2027'!Resal)*(1-EXP(('2027'!Tnet-t)/('2027'!Tau_j))),Resal+(Salim-Resal)*(1-EXP((Tnet-t)/(Tau_j))))*Salcycl</f>
        <v>5.5106799296172321E-2</v>
      </c>
      <c r="P371" s="169">
        <f>(INDEX(Models!$BJ371:$BT371,,T371)*(1-R371)+INDEX(Models!$BJ371:$BT371,,T371+1)*R371-ERP_i)*Q371*Ramure*Pc/MaxiM</f>
        <v>4.1188624675068189E-3</v>
      </c>
      <c r="Q371" s="304">
        <f t="shared" si="130"/>
        <v>0.6</v>
      </c>
      <c r="R371" s="177">
        <f t="shared" si="131"/>
        <v>0.97412419606362199</v>
      </c>
      <c r="S371" s="799">
        <f t="shared" si="132"/>
        <v>-1</v>
      </c>
      <c r="T371" s="176">
        <f t="shared" si="133"/>
        <v>5</v>
      </c>
      <c r="U371" s="250">
        <f t="shared" si="134"/>
        <v>-2.5875803936378061E-2</v>
      </c>
      <c r="V371" s="382">
        <f t="shared" si="135"/>
        <v>21.202548163717388</v>
      </c>
      <c r="W371" s="400">
        <f t="shared" si="136"/>
        <v>17.185627271892738</v>
      </c>
      <c r="X371" s="157">
        <f t="shared" si="137"/>
        <v>47109</v>
      </c>
      <c r="Y371" s="383">
        <f t="shared" si="138"/>
        <v>16.496274366961789</v>
      </c>
      <c r="Z371" s="383">
        <f t="shared" si="139"/>
        <v>17.684083859408471</v>
      </c>
      <c r="AA371" s="384">
        <f t="shared" si="140"/>
        <v>19.308580773418065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8.4133418870744867E-2</v>
      </c>
      <c r="AD371" s="230">
        <f>(INDEX(Models!$BJ371:$BT371,,AH371)*(1-AF371)+INDEX(Models!$BJ371:$BT371,,AH371+1)*AF371-ERP_i)*AE371*Ramure*Pc/MaxiM</f>
        <v>1.7365274164693315E-2</v>
      </c>
      <c r="AE371" s="304">
        <f t="shared" si="142"/>
        <v>0.6</v>
      </c>
      <c r="AF371" s="177">
        <f t="shared" si="143"/>
        <v>0.49911176243760025</v>
      </c>
      <c r="AG371" s="799">
        <f t="shared" si="149"/>
        <v>3</v>
      </c>
      <c r="AH371" s="176">
        <f t="shared" si="144"/>
        <v>9</v>
      </c>
      <c r="AI371" s="224">
        <f t="shared" si="145"/>
        <v>3.4991117624376002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'2027'!Wh/'2027'!Env_an*'2028'!Env_an</f>
        <v>20.425147992726544</v>
      </c>
      <c r="C372" s="829"/>
      <c r="D372" s="391">
        <f t="shared" si="127"/>
        <v>21.896274537992447</v>
      </c>
      <c r="E372" s="383">
        <f t="shared" si="150"/>
        <v>23.174562692555327</v>
      </c>
      <c r="F372" s="383">
        <f t="shared" si="128"/>
        <v>23.26455562255412</v>
      </c>
      <c r="G372" s="110">
        <f t="shared" si="151"/>
        <v>0.96148830503041138</v>
      </c>
      <c r="H372" s="412" t="b">
        <f>Wh_hp&gt;='2027'!Maxi_hp</f>
        <v>0</v>
      </c>
      <c r="I372" s="388">
        <f>IF(H372,Wh_hp,'2027'!Maxi_hp)</f>
        <v>23.268637462789169</v>
      </c>
      <c r="J372" s="85">
        <f>IF(H372,An,'2027'!An_max)</f>
        <v>2026</v>
      </c>
      <c r="K372" s="197">
        <f t="shared" si="129"/>
        <v>47110</v>
      </c>
      <c r="L372" s="147">
        <f>IF(t&lt;Tvie,1-EXP((T0-t)*PertePVj)+'2027'!Pspv,1-EXP((T0-t)*PertePVj)+Pspv)</f>
        <v>6.7186157294170545E-2</v>
      </c>
      <c r="M372" s="832"/>
      <c r="N372" s="832"/>
      <c r="O372" s="48">
        <f>IF(t&lt;Tnet,'2027'!Resal+('2027'!Salim-'2027'!Resal)*(1-EXP(('2027'!Tnet-t)/('2027'!Tau_j))),Resal+(Salim-Resal)*(1-EXP((Tnet-t)/(Tau_j))))*Salcycl</f>
        <v>5.5159105762695719E-2</v>
      </c>
      <c r="P372" s="169">
        <f>(INDEX(Models!$BJ372:$BT372,,T372)*(1-R372)+INDEX(Models!$BJ372:$BT372,,T372+1)*R372-ERP_i)*Q372*Ramure*Pc/MaxiM</f>
        <v>4.092113042487429E-3</v>
      </c>
      <c r="Q372" s="304">
        <f t="shared" si="130"/>
        <v>0.6</v>
      </c>
      <c r="R372" s="177">
        <f t="shared" si="131"/>
        <v>0.97412419606362199</v>
      </c>
      <c r="S372" s="799">
        <f t="shared" si="132"/>
        <v>-1</v>
      </c>
      <c r="T372" s="176">
        <f t="shared" si="133"/>
        <v>5</v>
      </c>
      <c r="U372" s="250">
        <f t="shared" si="134"/>
        <v>-2.5875803936378061E-2</v>
      </c>
      <c r="V372" s="382">
        <f t="shared" si="135"/>
        <v>21.238487799669148</v>
      </c>
      <c r="W372" s="400">
        <f t="shared" si="136"/>
        <v>20.425147992726544</v>
      </c>
      <c r="X372" s="157">
        <f t="shared" si="137"/>
        <v>47110</v>
      </c>
      <c r="Y372" s="383">
        <f t="shared" si="138"/>
        <v>19.549492287340914</v>
      </c>
      <c r="Z372" s="383">
        <f t="shared" si="139"/>
        <v>20.957549504875871</v>
      </c>
      <c r="AA372" s="384">
        <f t="shared" si="140"/>
        <v>22.883261026552582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8.4153719150527204E-2</v>
      </c>
      <c r="AD372" s="230">
        <f>(INDEX(Models!$BJ372:$BT372,,AH372)*(1-AF372)+INDEX(Models!$BJ372:$BT372,,AH372+1)*AF372-ERP_i)*AE372*Ramure*Pc/MaxiM</f>
        <v>1.733803521397528E-2</v>
      </c>
      <c r="AE372" s="304">
        <f t="shared" si="142"/>
        <v>0.6</v>
      </c>
      <c r="AF372" s="177">
        <f t="shared" si="143"/>
        <v>0.49911176243760025</v>
      </c>
      <c r="AG372" s="799">
        <f t="shared" si="149"/>
        <v>3</v>
      </c>
      <c r="AH372" s="176">
        <f t="shared" si="144"/>
        <v>9</v>
      </c>
      <c r="AI372" s="224">
        <f t="shared" si="145"/>
        <v>3.4991117624376002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'2027'!Wh/'2027'!Env_an*'2028'!Env_an</f>
        <v>11.539533812375508</v>
      </c>
      <c r="C373" s="829"/>
      <c r="D373" s="391">
        <f t="shared" si="127"/>
        <v>12.370908793198524</v>
      </c>
      <c r="E373" s="383">
        <f t="shared" si="150"/>
        <v>13.093841559040285</v>
      </c>
      <c r="F373" s="383">
        <f t="shared" si="128"/>
        <v>13.112235533852019</v>
      </c>
      <c r="G373" s="110">
        <f t="shared" si="151"/>
        <v>0.54064400956260639</v>
      </c>
      <c r="H373" s="412" t="b">
        <f>Wh_hp&gt;='2027'!Maxi_hp</f>
        <v>0</v>
      </c>
      <c r="I373" s="388">
        <f>IF(H373,Wh_hp,'2027'!Maxi_hp)</f>
        <v>13.139534608632744</v>
      </c>
      <c r="J373" s="85">
        <f>IF(H373,An,'2027'!An_max)</f>
        <v>2026</v>
      </c>
      <c r="K373" s="197">
        <f t="shared" si="129"/>
        <v>47111</v>
      </c>
      <c r="L373" s="147">
        <f>IF(t&lt;Tvie,1-EXP((T0-t)*PertePVj)+'2027'!Pspv,1-EXP((T0-t)*PertePVj)+Pspv)</f>
        <v>6.7204034458656969E-2</v>
      </c>
      <c r="M373" s="832"/>
      <c r="N373" s="832"/>
      <c r="O373" s="48">
        <f>IF(t&lt;Tnet,'2027'!Resal+('2027'!Salim-'2027'!Resal)*(1-EXP(('2027'!Tnet-t)/('2027'!Tau_j))),Resal+(Salim-Resal)*(1-EXP((Tnet-t)/(Tau_j))))*Salcycl</f>
        <v>5.5211662870827419E-2</v>
      </c>
      <c r="P373" s="169">
        <f>(INDEX(Models!$BJ373:$BT373,,T373)*(1-R373)+INDEX(Models!$BJ373:$BT373,,T373+1)*R373-ERP_i)*Q373*Ramure*Pc/MaxiM</f>
        <v>4.0562993662672546E-3</v>
      </c>
      <c r="Q373" s="304">
        <f t="shared" si="130"/>
        <v>0.6</v>
      </c>
      <c r="R373" s="177">
        <f t="shared" si="131"/>
        <v>0.97412419606362199</v>
      </c>
      <c r="S373" s="799">
        <f t="shared" si="132"/>
        <v>-1</v>
      </c>
      <c r="T373" s="176">
        <f t="shared" si="133"/>
        <v>5</v>
      </c>
      <c r="U373" s="250">
        <f t="shared" si="134"/>
        <v>-2.5875803936378061E-2</v>
      </c>
      <c r="V373" s="382">
        <f t="shared" si="135"/>
        <v>21.287336146975598</v>
      </c>
      <c r="W373" s="400">
        <f t="shared" si="136"/>
        <v>11.539533812375508</v>
      </c>
      <c r="X373" s="157">
        <f t="shared" si="137"/>
        <v>47111</v>
      </c>
      <c r="Y373" s="383">
        <f t="shared" si="138"/>
        <v>11.134424430833457</v>
      </c>
      <c r="Z373" s="383">
        <f t="shared" si="139"/>
        <v>11.936612980923062</v>
      </c>
      <c r="AA373" s="384">
        <f t="shared" si="140"/>
        <v>13.033719426633988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8.4174471599336803E-2</v>
      </c>
      <c r="AD373" s="230">
        <f>(INDEX(Models!$BJ373:$BT373,,AH373)*(1-AF373)+INDEX(Models!$BJ373:$BT373,,AH373+1)*AF373-ERP_i)*AE373*Ramure*Pc/MaxiM</f>
        <v>1.7314628252459469E-2</v>
      </c>
      <c r="AE373" s="304">
        <f t="shared" si="142"/>
        <v>0.6</v>
      </c>
      <c r="AF373" s="177">
        <f t="shared" si="143"/>
        <v>0.49911176243760025</v>
      </c>
      <c r="AG373" s="799">
        <f t="shared" si="149"/>
        <v>3</v>
      </c>
      <c r="AH373" s="176">
        <f t="shared" si="144"/>
        <v>9</v>
      </c>
      <c r="AI373" s="224">
        <f t="shared" si="145"/>
        <v>3.4991117624376002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'2027'!Wh/'2027'!Env_an*'2028'!Env_an</f>
        <v>19.950130490092327</v>
      </c>
      <c r="C374" s="829"/>
      <c r="D374" s="391">
        <f t="shared" si="127"/>
        <v>21.387863556572349</v>
      </c>
      <c r="E374" s="383">
        <f t="shared" si="150"/>
        <v>22.638995022205378</v>
      </c>
      <c r="F374" s="383">
        <f t="shared" si="128"/>
        <v>22.72161286060944</v>
      </c>
      <c r="G374" s="110">
        <f t="shared" si="151"/>
        <v>0.93413047450768949</v>
      </c>
      <c r="H374" s="412" t="b">
        <f>Wh_hp&gt;='2027'!Maxi_hp</f>
        <v>0</v>
      </c>
      <c r="I374" s="388">
        <f>IF(H374,Wh_hp,'2027'!Maxi_hp)</f>
        <v>22.72832491648224</v>
      </c>
      <c r="J374" s="85">
        <f>IF(H374,An,'2027'!An_max)</f>
        <v>2026</v>
      </c>
      <c r="K374" s="197">
        <f t="shared" si="129"/>
        <v>47112</v>
      </c>
      <c r="L374" s="147">
        <f>IF(t&lt;Tvie,1-EXP((T0-t)*PertePVj)+'2027'!Pspv,1-EXP((T0-t)*PertePVj)+Pspv)</f>
        <v>6.7221911280531566E-2</v>
      </c>
      <c r="M374" s="832"/>
      <c r="N374" s="832"/>
      <c r="O374" s="48">
        <f>IF(t&lt;Tnet,'2027'!Resal+('2027'!Salim-'2027'!Resal)*(1-EXP(('2027'!Tnet-t)/('2027'!Tau_j))),Resal+(Salim-Resal)*(1-EXP((Tnet-t)/(Tau_j))))*Salcycl</f>
        <v>5.5264443691332606E-2</v>
      </c>
      <c r="P374" s="169">
        <f>(INDEX(Models!$BJ374:$BT374,,T374)*(1-R374)+INDEX(Models!$BJ374:$BT374,,T374+1)*R374-ERP_i)*Q374*Ramure*Pc/MaxiM</f>
        <v>4.0115571202941971E-3</v>
      </c>
      <c r="Q374" s="304">
        <f t="shared" si="130"/>
        <v>0.6</v>
      </c>
      <c r="R374" s="177">
        <f t="shared" si="131"/>
        <v>0.97412419606362199</v>
      </c>
      <c r="S374" s="799">
        <f t="shared" si="132"/>
        <v>-1</v>
      </c>
      <c r="T374" s="176">
        <f t="shared" si="133"/>
        <v>5</v>
      </c>
      <c r="U374" s="250">
        <f t="shared" si="134"/>
        <v>-2.5875803936378061E-2</v>
      </c>
      <c r="V374" s="382">
        <f t="shared" si="135"/>
        <v>21.348851245448099</v>
      </c>
      <c r="W374" s="400">
        <f t="shared" si="136"/>
        <v>19.950130490092327</v>
      </c>
      <c r="X374" s="157">
        <f t="shared" si="137"/>
        <v>47112</v>
      </c>
      <c r="Y374" s="383">
        <f t="shared" si="138"/>
        <v>19.105488852860226</v>
      </c>
      <c r="Z374" s="383">
        <f t="shared" si="139"/>
        <v>20.482351680332162</v>
      </c>
      <c r="AA374" s="384">
        <f t="shared" si="140"/>
        <v>22.365422619534012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8.4195634092654015E-2</v>
      </c>
      <c r="AD374" s="230">
        <f>(INDEX(Models!$BJ374:$BT374,,AH374)*(1-AF374)+INDEX(Models!$BJ374:$BT374,,AH374+1)*AF374-ERP_i)*AE374*Ramure*Pc/MaxiM</f>
        <v>1.7295023996841956E-2</v>
      </c>
      <c r="AE374" s="304">
        <f t="shared" si="142"/>
        <v>0.6</v>
      </c>
      <c r="AF374" s="177">
        <f t="shared" si="143"/>
        <v>0.49911176243760025</v>
      </c>
      <c r="AG374" s="799">
        <f t="shared" si="149"/>
        <v>3</v>
      </c>
      <c r="AH374" s="176">
        <f t="shared" si="144"/>
        <v>9</v>
      </c>
      <c r="AI374" s="224">
        <f t="shared" si="145"/>
        <v>3.4991117624376002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'2027'!Wh/'2027'!Env_an*'2028'!Env_an</f>
        <v>6.7600114073286823</v>
      </c>
      <c r="C375" s="829"/>
      <c r="D375" s="391">
        <f t="shared" si="127"/>
        <v>7.2473196418758512</v>
      </c>
      <c r="E375" s="383">
        <f t="shared" si="150"/>
        <v>7.671698214575482</v>
      </c>
      <c r="F375" s="383">
        <f t="shared" si="128"/>
        <v>7.6723724716132553</v>
      </c>
      <c r="G375" s="110">
        <f t="shared" si="151"/>
        <v>0.31433408046950034</v>
      </c>
      <c r="H375" s="412" t="b">
        <f>Wh_hp&gt;='2027'!Maxi_hp</f>
        <v>0</v>
      </c>
      <c r="I375" s="388">
        <f>IF(H375,Wh_hp,'2027'!Maxi_hp)</f>
        <v>21.290446008401918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6.7239787759800995E-2</v>
      </c>
      <c r="M375" s="832"/>
      <c r="N375" s="832"/>
      <c r="O375" s="48">
        <f>IF(t&lt;Tnet,'2027'!Resal+('2027'!Salim-'2027'!Resal)*(1-EXP(('2027'!Tnet-t)/('2027'!Tau_j))),Resal+(Salim-Resal)*(1-EXP((Tnet-t)/(Tau_j))))*Salcycl</f>
        <v>5.5317422665734299E-2</v>
      </c>
      <c r="P375" s="169">
        <f>(INDEX(Models!$BJ375:$BT375,,T375)*(1-R375)+INDEX(Models!$BJ375:$BT375,,T375+1)*R375-ERP_i)*Q375*Ramure*Pc/MaxiM</f>
        <v>3.9549327662137508E-3</v>
      </c>
      <c r="Q375" s="304">
        <f t="shared" si="130"/>
        <v>0.6</v>
      </c>
      <c r="R375" s="177">
        <f t="shared" si="131"/>
        <v>0.97412419606362199</v>
      </c>
      <c r="S375" s="799">
        <f t="shared" si="132"/>
        <v>-1</v>
      </c>
      <c r="T375" s="176">
        <f t="shared" si="133"/>
        <v>5</v>
      </c>
      <c r="U375" s="250">
        <f t="shared" si="134"/>
        <v>-2.5875803936378061E-2</v>
      </c>
      <c r="V375" s="382">
        <f t="shared" si="135"/>
        <v>21.422646207527688</v>
      </c>
      <c r="W375" s="400">
        <f t="shared" si="136"/>
        <v>6.7600114073286823</v>
      </c>
      <c r="X375" s="157">
        <f t="shared" si="137"/>
        <v>47113</v>
      </c>
      <c r="Y375" s="383">
        <f t="shared" si="138"/>
        <v>6.5512682069651298</v>
      </c>
      <c r="Z375" s="383">
        <f t="shared" si="139"/>
        <v>7.0235287922830967</v>
      </c>
      <c r="AA375" s="384">
        <f t="shared" si="140"/>
        <v>7.6694261313973433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8.4217166714736405E-2</v>
      </c>
      <c r="AD375" s="230">
        <f>(INDEX(Models!$BJ375:$BT375,,AH375)*(1-AF375)+INDEX(Models!$BJ375:$BT375,,AH375+1)*AF375-ERP_i)*AE375*Ramure*Pc/MaxiM</f>
        <v>1.7282099863282625E-2</v>
      </c>
      <c r="AE375" s="304">
        <f t="shared" si="142"/>
        <v>0.6</v>
      </c>
      <c r="AF375" s="177">
        <f t="shared" si="143"/>
        <v>0.49911176243760025</v>
      </c>
      <c r="AG375" s="799">
        <f t="shared" si="149"/>
        <v>3</v>
      </c>
      <c r="AH375" s="176">
        <f t="shared" si="144"/>
        <v>9</v>
      </c>
      <c r="AI375" s="224">
        <f t="shared" si="145"/>
        <v>3.4991117624376002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'2027'!Wh/'2027'!Env_an*'2028'!Env_an</f>
        <v>20.986339950289103</v>
      </c>
      <c r="C376" s="829"/>
      <c r="D376" s="391">
        <f t="shared" si="127"/>
        <v>22.499611240933056</v>
      </c>
      <c r="E376" s="383">
        <f t="shared" si="150"/>
        <v>23.818452677975785</v>
      </c>
      <c r="F376" s="383">
        <f t="shared" si="128"/>
        <v>23.908239377798804</v>
      </c>
      <c r="G376" s="110">
        <f t="shared" si="151"/>
        <v>0.97560516695295374</v>
      </c>
      <c r="H376" s="412" t="b">
        <f>Wh_hp&gt;='2027'!Maxi_hp</f>
        <v>0</v>
      </c>
      <c r="I376" s="388">
        <f>IF(H376,Wh_hp,'2027'!Maxi_hp)</f>
        <v>23.910787635116183</v>
      </c>
      <c r="J376" s="85">
        <f>IF(H376,An,'2027'!An_max)</f>
        <v>2026</v>
      </c>
      <c r="K376" s="197">
        <f t="shared" si="129"/>
        <v>47114</v>
      </c>
      <c r="L376" s="147">
        <f>IF(t&lt;Tvie,1-EXP((T0-t)*PertePVj)+'2027'!Pspv,1-EXP((T0-t)*PertePVj)+Pspv)</f>
        <v>6.7257663896471809E-2</v>
      </c>
      <c r="M376" s="832"/>
      <c r="N376" s="832"/>
      <c r="O376" s="48">
        <f>IF(t&lt;Tnet,'2027'!Resal+('2027'!Salim-'2027'!Resal)*(1-EXP(('2027'!Tnet-t)/('2027'!Tau_j))),Resal+(Salim-Resal)*(1-EXP((Tnet-t)/(Tau_j))))*Salcycl</f>
        <v>5.5370575699160339E-2</v>
      </c>
      <c r="P376" s="169">
        <f>(INDEX(Models!$BJ376:$BT376,,T376)*(1-R376)+INDEX(Models!$BJ376:$BT376,,T376+1)*R376-ERP_i)*Q376*Ramure*Pc/MaxiM</f>
        <v>3.8903135327497547E-3</v>
      </c>
      <c r="Q376" s="304">
        <f t="shared" si="130"/>
        <v>0.6</v>
      </c>
      <c r="R376" s="177">
        <f t="shared" si="131"/>
        <v>0.97412419606362199</v>
      </c>
      <c r="S376" s="799">
        <f t="shared" si="132"/>
        <v>-1</v>
      </c>
      <c r="T376" s="176">
        <f t="shared" si="133"/>
        <v>5</v>
      </c>
      <c r="U376" s="250">
        <f t="shared" si="134"/>
        <v>-2.5875803936378061E-2</v>
      </c>
      <c r="V376" s="382">
        <f t="shared" si="135"/>
        <v>21.508188089312</v>
      </c>
      <c r="W376" s="400">
        <f t="shared" si="136"/>
        <v>20.986339950289103</v>
      </c>
      <c r="X376" s="157">
        <f t="shared" si="137"/>
        <v>47114</v>
      </c>
      <c r="Y376" s="383">
        <f t="shared" si="138"/>
        <v>20.081215848949626</v>
      </c>
      <c r="Z376" s="383">
        <f t="shared" si="139"/>
        <v>21.529220955958351</v>
      </c>
      <c r="AA376" s="384">
        <f t="shared" si="140"/>
        <v>23.509651214366549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8.4239031891633342E-2</v>
      </c>
      <c r="AD376" s="230">
        <f>(INDEX(Models!$BJ376:$BT376,,AH376)*(1-AF376)+INDEX(Models!$BJ376:$BT376,,AH376+1)*AF376-ERP_i)*AE376*Ramure*Pc/MaxiM</f>
        <v>1.7270185108160398E-2</v>
      </c>
      <c r="AE376" s="304">
        <f t="shared" si="142"/>
        <v>0.6</v>
      </c>
      <c r="AF376" s="177">
        <f t="shared" si="143"/>
        <v>0.49911176243760025</v>
      </c>
      <c r="AG376" s="799">
        <f t="shared" si="149"/>
        <v>3</v>
      </c>
      <c r="AH376" s="176">
        <f t="shared" si="144"/>
        <v>9</v>
      </c>
      <c r="AI376" s="224">
        <f t="shared" si="145"/>
        <v>3.4991117624376002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'2027'!Wh/'2027'!Env_an*'2028'!Env_an</f>
        <v>9.9677835248032949</v>
      </c>
      <c r="C377" s="829"/>
      <c r="D377" s="391">
        <f t="shared" si="127"/>
        <v>10.686739706060981</v>
      </c>
      <c r="E377" s="383">
        <f t="shared" si="150"/>
        <v>11.313794073836931</v>
      </c>
      <c r="F377" s="383">
        <f t="shared" si="128"/>
        <v>11.323760247864048</v>
      </c>
      <c r="G377" s="110">
        <f t="shared" si="151"/>
        <v>0.46000758185979446</v>
      </c>
      <c r="H377" s="412" t="b">
        <f>Wh_hp&gt;='2027'!Maxi_hp</f>
        <v>0</v>
      </c>
      <c r="I377" s="388">
        <f>IF(H377,Wh_hp,'2027'!Maxi_hp)</f>
        <v>25.022994124609578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6.7275539690550445E-2</v>
      </c>
      <c r="M377" s="832"/>
      <c r="N377" s="832"/>
      <c r="O377" s="48">
        <f>IF(t&lt;Tnet,'2027'!Resal+('2027'!Salim-'2027'!Resal)*(1-EXP(('2027'!Tnet-t)/('2027'!Tau_j))),Resal+(Salim-Resal)*(1-EXP((Tnet-t)/(Tau_j))))*Salcycl</f>
        <v>5.5423880237135272E-2</v>
      </c>
      <c r="P377" s="169">
        <f>(INDEX(Models!$BJ377:$BT377,,T377)*(1-R377)+INDEX(Models!$BJ377:$BT377,,T377+1)*R377-ERP_i)*Q377*Ramure*Pc/MaxiM</f>
        <v>3.8179364698001546E-3</v>
      </c>
      <c r="Q377" s="304">
        <f t="shared" si="130"/>
        <v>0.6</v>
      </c>
      <c r="R377" s="177">
        <f t="shared" si="131"/>
        <v>0.97412419606362199</v>
      </c>
      <c r="S377" s="799">
        <f t="shared" si="132"/>
        <v>-1</v>
      </c>
      <c r="T377" s="176">
        <f t="shared" si="133"/>
        <v>5</v>
      </c>
      <c r="U377" s="250">
        <f t="shared" si="134"/>
        <v>-2.5875803936378061E-2</v>
      </c>
      <c r="V377" s="382">
        <f t="shared" si="135"/>
        <v>21.605022438689943</v>
      </c>
      <c r="W377" s="400">
        <f t="shared" si="136"/>
        <v>9.9677835248032949</v>
      </c>
      <c r="X377" s="157">
        <f t="shared" si="137"/>
        <v>47115</v>
      </c>
      <c r="Y377" s="383">
        <f t="shared" si="138"/>
        <v>9.6335042902808858</v>
      </c>
      <c r="Z377" s="383">
        <f t="shared" si="139"/>
        <v>10.328349582560302</v>
      </c>
      <c r="AA377" s="384">
        <f t="shared" si="140"/>
        <v>11.278706898210752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8.4261194499274952E-2</v>
      </c>
      <c r="AD377" s="230">
        <f>(INDEX(Models!$BJ377:$BT377,,AH377)*(1-AF377)+INDEX(Models!$BJ377:$BT377,,AH377+1)*AF377-ERP_i)*AE377*Ramure*Pc/MaxiM</f>
        <v>1.7259464490581036E-2</v>
      </c>
      <c r="AE377" s="304">
        <f t="shared" si="142"/>
        <v>0.6</v>
      </c>
      <c r="AF377" s="177">
        <f t="shared" si="143"/>
        <v>0.49911176243760025</v>
      </c>
      <c r="AG377" s="799">
        <f t="shared" si="149"/>
        <v>3</v>
      </c>
      <c r="AH377" s="176">
        <f t="shared" si="144"/>
        <v>9</v>
      </c>
      <c r="AI377" s="224">
        <f t="shared" si="145"/>
        <v>3.4991117624376002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'2027'!Wh/'2027'!Env_an*'2028'!Env_an</f>
        <v>13.5052519183856</v>
      </c>
      <c r="C378" s="829"/>
      <c r="D378" s="391">
        <f t="shared" si="127"/>
        <v>14.479636080238825</v>
      </c>
      <c r="E378" s="383">
        <f t="shared" si="150"/>
        <v>15.330109393019503</v>
      </c>
      <c r="F378" s="383">
        <f t="shared" si="128"/>
        <v>15.356514823159868</v>
      </c>
      <c r="G378" s="110">
        <f t="shared" si="151"/>
        <v>0.62074025720199677</v>
      </c>
      <c r="H378" s="412" t="b">
        <f>Wh_hp&gt;='2027'!Maxi_hp</f>
        <v>0</v>
      </c>
      <c r="I378" s="388">
        <f>IF(H378,Wh_hp,'2027'!Maxi_hp)</f>
        <v>25.027651179472095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6.7293415142043678E-2</v>
      </c>
      <c r="M378" s="832"/>
      <c r="N378" s="832"/>
      <c r="O378" s="48">
        <f>IF(t&lt;Tnet,'2027'!Resal+('2027'!Salim-'2027'!Resal)*(1-EXP(('2027'!Tnet-t)/('2027'!Tau_j))),Resal+(Salim-Resal)*(1-EXP((Tnet-t)/(Tau_j))))*Salcycl</f>
        <v>5.547731532613439E-2</v>
      </c>
      <c r="P378" s="169">
        <f>(INDEX(Models!$BJ378:$BT378,,T378)*(1-R378)+INDEX(Models!$BJ378:$BT378,,T378+1)*R378-ERP_i)*Q378*Ramure*Pc/MaxiM</f>
        <v>3.7380534165540056E-3</v>
      </c>
      <c r="Q378" s="304">
        <f t="shared" si="130"/>
        <v>0.6</v>
      </c>
      <c r="R378" s="177">
        <f t="shared" si="131"/>
        <v>0.97412419606362199</v>
      </c>
      <c r="S378" s="799">
        <f t="shared" si="132"/>
        <v>-1</v>
      </c>
      <c r="T378" s="176">
        <f t="shared" si="133"/>
        <v>5</v>
      </c>
      <c r="U378" s="250">
        <f t="shared" si="134"/>
        <v>-2.5875803936378061E-2</v>
      </c>
      <c r="V378" s="382">
        <f t="shared" si="135"/>
        <v>21.712694880165532</v>
      </c>
      <c r="W378" s="400">
        <f t="shared" si="136"/>
        <v>13.5052519183856</v>
      </c>
      <c r="X378" s="157">
        <f t="shared" si="137"/>
        <v>47116</v>
      </c>
      <c r="Y378" s="383">
        <f t="shared" si="138"/>
        <v>13.011842938162209</v>
      </c>
      <c r="Z378" s="383">
        <f t="shared" si="139"/>
        <v>13.950628364164286</v>
      </c>
      <c r="AA378" s="384">
        <f t="shared" si="140"/>
        <v>15.234660751419867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8.4283621946482132E-2</v>
      </c>
      <c r="AD378" s="230">
        <f>(INDEX(Models!$BJ378:$BT378,,AH378)*(1-AF378)+INDEX(Models!$BJ378:$BT378,,AH378+1)*AF378-ERP_i)*AE378*Ramure*Pc/MaxiM</f>
        <v>1.7250127218811525E-2</v>
      </c>
      <c r="AE378" s="304">
        <f t="shared" si="142"/>
        <v>0.6</v>
      </c>
      <c r="AF378" s="177">
        <f t="shared" si="143"/>
        <v>0.49911176243760025</v>
      </c>
      <c r="AG378" s="799">
        <f t="shared" si="149"/>
        <v>3</v>
      </c>
      <c r="AH378" s="176">
        <f t="shared" si="144"/>
        <v>9</v>
      </c>
      <c r="AI378" s="224">
        <f t="shared" si="145"/>
        <v>3.4991117624376002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'2027'!Wh/'2027'!Env_an*'2028'!Env_an</f>
        <v>11.173736534120433</v>
      </c>
      <c r="C379" s="829"/>
      <c r="D379" s="391">
        <f t="shared" si="127"/>
        <v>11.980134869571803</v>
      </c>
      <c r="E379" s="383">
        <f t="shared" si="150"/>
        <v>12.684517029959311</v>
      </c>
      <c r="F379" s="383">
        <f t="shared" si="128"/>
        <v>12.698546990927982</v>
      </c>
      <c r="G379" s="110">
        <f t="shared" si="151"/>
        <v>0.51053011284715255</v>
      </c>
      <c r="H379" s="412" t="b">
        <f>Wh_hp&gt;='2027'!Maxi_hp</f>
        <v>0</v>
      </c>
      <c r="I379" s="388">
        <f>IF(H379,Wh_hp,'2027'!Maxi_hp)</f>
        <v>25.278911318099443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6.7311290250957945E-2</v>
      </c>
      <c r="M379" s="832"/>
      <c r="N379" s="832"/>
      <c r="O379" s="48">
        <f>IF(t&lt;Tnet,'2027'!Resal+('2027'!Salim-'2027'!Resal)*(1-EXP(('2027'!Tnet-t)/('2027'!Tau_j))),Resal+(Salim-Resal)*(1-EXP((Tnet-t)/(Tau_j))))*Salcycl</f>
        <v>5.553086165786543E-2</v>
      </c>
      <c r="P379" s="169">
        <f>(INDEX(Models!$BJ379:$BT379,,T379)*(1-R379)+INDEX(Models!$BJ379:$BT379,,T379+1)*R379-ERP_i)*Q379*Ramure*Pc/MaxiM</f>
        <v>3.6509283970503803E-3</v>
      </c>
      <c r="Q379" s="305">
        <f t="shared" si="130"/>
        <v>0.6</v>
      </c>
      <c r="R379" s="177">
        <f t="shared" si="131"/>
        <v>0.97412419606362199</v>
      </c>
      <c r="S379" s="799">
        <f t="shared" si="132"/>
        <v>-1</v>
      </c>
      <c r="T379" s="176">
        <f t="shared" si="133"/>
        <v>5</v>
      </c>
      <c r="U379" s="306">
        <f t="shared" si="134"/>
        <v>-2.5875803936378061E-2</v>
      </c>
      <c r="V379" s="382">
        <f t="shared" si="135"/>
        <v>21.830751120029895</v>
      </c>
      <c r="W379" s="400">
        <f t="shared" si="136"/>
        <v>11.173736534120433</v>
      </c>
      <c r="X379" s="157">
        <f t="shared" si="137"/>
        <v>47117</v>
      </c>
      <c r="Y379" s="383">
        <f t="shared" si="138"/>
        <v>10.788695720892695</v>
      </c>
      <c r="Z379" s="383">
        <f t="shared" si="139"/>
        <v>11.567306013381037</v>
      </c>
      <c r="AA379" s="384">
        <f t="shared" si="140"/>
        <v>12.632287209366389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8.4306284232969805E-2</v>
      </c>
      <c r="AD379" s="230">
        <f>(INDEX(Models!$BJ379:$BT379,,AH379)*(1-AF379)+INDEX(Models!$BJ379:$BT379,,AH379+1)*AF379-ERP_i)*AE379*Ramure*Pc/MaxiM</f>
        <v>1.7242365721883708E-2</v>
      </c>
      <c r="AE379" s="305">
        <f t="shared" si="142"/>
        <v>0.6</v>
      </c>
      <c r="AF379" s="177">
        <f t="shared" si="143"/>
        <v>0.49911176243760025</v>
      </c>
      <c r="AG379" s="799">
        <f t="shared" si="149"/>
        <v>3</v>
      </c>
      <c r="AH379" s="176">
        <f t="shared" si="144"/>
        <v>9</v>
      </c>
      <c r="AI379" s="221">
        <f t="shared" si="145"/>
        <v>3.4991117624376002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15.019257658291654</v>
      </c>
      <c r="C380" s="837"/>
      <c r="D380" s="603">
        <f t="shared" si="127"/>
        <v>16.103492352229758</v>
      </c>
      <c r="E380" s="599">
        <f t="shared" si="150"/>
        <v>17.051279208639979</v>
      </c>
      <c r="F380" s="599">
        <f t="shared" si="128"/>
        <v>17.084612280084272</v>
      </c>
      <c r="G380" s="110">
        <f t="shared" si="151"/>
        <v>0.68287593162441518</v>
      </c>
      <c r="H380" s="600" t="b">
        <f>Wh_hp&gt;='2027'!Maxi_hp</f>
        <v>1</v>
      </c>
      <c r="I380" s="601">
        <f>IF(H380,Wh_hp,'2027'!Maxi_hp)</f>
        <v>17.084612280084272</v>
      </c>
      <c r="J380" s="151">
        <f>IF(H380,An,'2027'!An_max)</f>
        <v>2028</v>
      </c>
      <c r="K380" s="233">
        <f t="shared" si="129"/>
        <v>47118</v>
      </c>
      <c r="L380" s="147">
        <f>IF(t&lt;Tvie,1-EXP((T0-t)*PertePVj)+'2027'!Pspv,1-EXP((T0-t)*PertePVj)+Pspv)</f>
        <v>6.7329165017299797E-2</v>
      </c>
      <c r="M380" s="832"/>
      <c r="N380" s="832"/>
      <c r="O380" s="48">
        <f>IF(t&lt;Tnet,'2027'!Resal+('2027'!Salim-'2027'!Resal)*(1-EXP(('2027'!Tnet-t)/('2027'!Tau_j))),Resal+(Salim-Resal)*(1-EXP((Tnet-t)/(Tau_j))))*Salcycl</f>
        <v>5.5584501597391658E-2</v>
      </c>
      <c r="P380" s="230">
        <f>(INDEX(Models!$BJ380:$BT380,,T380)*(1-R380)+INDEX(Models!$BJ380:$BT380,,T380+1)*R380-ERP_i)*Q380*Ramure*Pc/MaxiM</f>
        <v>3.5568350264609232E-3</v>
      </c>
      <c r="Q380" s="327">
        <f t="shared" si="130"/>
        <v>0.6</v>
      </c>
      <c r="R380" s="313">
        <f t="shared" ref="R380" si="152">(Hp_vg-S380)/(INDEX(Echel_vg,T380+1)-S380)</f>
        <v>0.97412419606362199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-2.5875803936378061E-2</v>
      </c>
      <c r="V380" s="382">
        <f t="shared" si="135"/>
        <v>21.958736924111204</v>
      </c>
      <c r="W380" s="400">
        <f t="shared" ref="W380" si="154">Wh*(A380&gt;Tmaj)</f>
        <v>15.019257658291654</v>
      </c>
      <c r="X380" s="325">
        <f t="shared" si="137"/>
        <v>47118</v>
      </c>
      <c r="Y380" s="599">
        <f t="shared" si="138"/>
        <v>14.452640762176568</v>
      </c>
      <c r="Z380" s="599">
        <f t="shared" si="139"/>
        <v>15.495971590496495</v>
      </c>
      <c r="AA380" s="602">
        <f t="shared" si="140"/>
        <v>16.923080665825527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8.4329153982639626E-2</v>
      </c>
      <c r="AD380" s="230">
        <f>(INDEX(Models!$BJ380:$BT380,,AH380)*(1-AF380)+INDEX(Models!$BJ380:$BT380,,AH380+1)*AF380-ERP_i)*AE380*Ramure*Pc/MaxiM</f>
        <v>1.7236374524816061E-2</v>
      </c>
      <c r="AE380" s="327">
        <f t="shared" si="142"/>
        <v>0.6</v>
      </c>
      <c r="AF380" s="313">
        <f t="shared" ref="AF380" si="155">(Hp_vg_s-AG380)/(INDEX(Echel_vg,AH380+1)-AG380)</f>
        <v>0.49911176243760025</v>
      </c>
      <c r="AG380" s="800">
        <f t="shared" ref="AG380" si="156">INDEX(Echel_vg,AH380)</f>
        <v>3</v>
      </c>
      <c r="AH380" s="232">
        <f t="shared" si="144"/>
        <v>9</v>
      </c>
      <c r="AI380" s="224">
        <f t="shared" si="145"/>
        <v>3.4991117624376002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1.7728620109444055</v>
      </c>
      <c r="C381" s="374"/>
      <c r="D381" s="372">
        <f>MIN(D15:D380)</f>
        <v>1.8879194735359119</v>
      </c>
      <c r="E381" s="372">
        <f>MIN(E15:E380)</f>
        <v>1.9493584503470074</v>
      </c>
      <c r="F381" s="373">
        <f>MIN(F15:F380)</f>
        <v>1.9493584503470074</v>
      </c>
      <c r="G381" s="125">
        <f>+MIN(G15:G380)</f>
        <v>7.2857356630853534E-2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7">MIN(L15:L380)</f>
        <v>6.0782065354107573E-2</v>
      </c>
      <c r="M381" s="833"/>
      <c r="N381" s="833"/>
      <c r="O381" s="47">
        <f t="shared" si="157"/>
        <v>3.079727455669783E-2</v>
      </c>
      <c r="P381" s="168">
        <f t="shared" si="157"/>
        <v>5.3190502715767971E-5</v>
      </c>
      <c r="Q381" s="309">
        <f t="shared" si="157"/>
        <v>0.6</v>
      </c>
      <c r="R381" s="310">
        <f t="shared" si="157"/>
        <v>0.47412546909979303</v>
      </c>
      <c r="S381" s="799">
        <f t="shared" si="157"/>
        <v>-1</v>
      </c>
      <c r="T381" s="176">
        <f t="shared" si="157"/>
        <v>5</v>
      </c>
      <c r="U381" s="251">
        <f>MIN(U15:U380)</f>
        <v>-0.52587453090020697</v>
      </c>
      <c r="V381" s="57">
        <f>MIN(V15:V380)</f>
        <v>21.16783726122592</v>
      </c>
      <c r="W381" s="793" t="s">
        <v>40</v>
      </c>
      <c r="X381" s="112" t="s">
        <v>7</v>
      </c>
      <c r="Y381" s="372">
        <f>MIN(Y15:Y380)</f>
        <v>1.6970292516819132</v>
      </c>
      <c r="Z381" s="372">
        <f>MIN(Z15:Z380)</f>
        <v>1.8071652230303381</v>
      </c>
      <c r="AA381" s="372">
        <f>MIN(AA15:AA380)</f>
        <v>1.9493584503470074</v>
      </c>
      <c r="AB381" s="200" t="s">
        <v>7</v>
      </c>
      <c r="AC381" s="47">
        <f t="shared" ref="AC381:AH381" si="158">MIN(AC15:AC380)</f>
        <v>7.2620496993418229E-2</v>
      </c>
      <c r="AD381" s="168">
        <f t="shared" si="158"/>
        <v>5.3149840812528448E-4</v>
      </c>
      <c r="AE381" s="309">
        <f t="shared" si="158"/>
        <v>0.6</v>
      </c>
      <c r="AF381" s="310">
        <f t="shared" si="158"/>
        <v>6.5521037306837115E-5</v>
      </c>
      <c r="AG381" s="799">
        <f t="shared" si="158"/>
        <v>2</v>
      </c>
      <c r="AH381" s="176">
        <f t="shared" si="158"/>
        <v>8</v>
      </c>
      <c r="AI381" s="225">
        <f>MIN(AI15:AI380)</f>
        <v>2.9991130354737714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29.968691153024427</v>
      </c>
      <c r="C382" s="374"/>
      <c r="D382" s="374">
        <f>AVERAGE(D15:D380)</f>
        <v>32.016782754564687</v>
      </c>
      <c r="E382" s="374">
        <f>AVERAGE(E15:E380)</f>
        <v>33.527100808159055</v>
      </c>
      <c r="F382" s="375">
        <f>AVERAGE(F15:F380)</f>
        <v>33.539711195969694</v>
      </c>
      <c r="G382" s="126">
        <f>AVERAGE(G15:G380)</f>
        <v>0.68805742344548515</v>
      </c>
      <c r="H382" s="94"/>
      <c r="I382" s="375">
        <f>AVERAGE(I15:I380)</f>
        <v>43.525586213928158</v>
      </c>
      <c r="J382" s="59">
        <f>AVERAGE(J15:J380)</f>
        <v>2021.7786885245901</v>
      </c>
      <c r="K382" s="200" t="s">
        <v>8</v>
      </c>
      <c r="L382" s="147">
        <f t="shared" ref="L382:V382" si="159">AVERAGE(L15:L380)</f>
        <v>6.4059421253770427E-2</v>
      </c>
      <c r="M382" s="832"/>
      <c r="N382" s="832"/>
      <c r="O382" s="48">
        <f t="shared" si="159"/>
        <v>4.4958924256926699E-2</v>
      </c>
      <c r="P382" s="169">
        <f t="shared" si="159"/>
        <v>9.6063886400127275E-4</v>
      </c>
      <c r="Q382" s="311">
        <f t="shared" si="159"/>
        <v>0.5999999999999962</v>
      </c>
      <c r="R382" s="177">
        <f t="shared" si="159"/>
        <v>0.75461047355785538</v>
      </c>
      <c r="S382" s="799">
        <f t="shared" si="159"/>
        <v>-1</v>
      </c>
      <c r="T382" s="176">
        <f t="shared" si="159"/>
        <v>5</v>
      </c>
      <c r="U382" s="250">
        <f>AVERAGE(U15:U380)</f>
        <v>-0.24538952644214349</v>
      </c>
      <c r="V382" s="59">
        <f t="shared" si="159"/>
        <v>42.223466862029866</v>
      </c>
      <c r="X382" s="112" t="s">
        <v>8</v>
      </c>
      <c r="Y382" s="374">
        <f>AVERAGE(Y15:Y380)</f>
        <v>28.770019284310418</v>
      </c>
      <c r="Z382" s="374">
        <f>AVERAGE(Z15:Z380)</f>
        <v>30.736291210362889</v>
      </c>
      <c r="AA382" s="374">
        <f>AVERAGE(AA15:AA380)</f>
        <v>33.443028913258132</v>
      </c>
      <c r="AB382" s="200" t="s">
        <v>8</v>
      </c>
      <c r="AC382" s="48">
        <f t="shared" ref="AC382:AH382" si="160">AVERAGE(AC15:AC380)</f>
        <v>8.0547766940710488E-2</v>
      </c>
      <c r="AD382" s="169">
        <f t="shared" si="160"/>
        <v>6.8083255647555943E-3</v>
      </c>
      <c r="AE382" s="311">
        <f t="shared" si="160"/>
        <v>0.5999999999999962</v>
      </c>
      <c r="AF382" s="177">
        <f t="shared" si="160"/>
        <v>0.33697508911216295</v>
      </c>
      <c r="AG382" s="799">
        <f t="shared" si="160"/>
        <v>2.942622950819672</v>
      </c>
      <c r="AH382" s="176">
        <f t="shared" si="160"/>
        <v>8.942622950819672</v>
      </c>
      <c r="AI382" s="224">
        <f>AVERAGE(AI15:AI380)</f>
        <v>3.2795980399318383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58.109821826257011</v>
      </c>
      <c r="C383" s="376"/>
      <c r="D383" s="376">
        <f>MAX(D15:D380)</f>
        <v>62.046173874813356</v>
      </c>
      <c r="E383" s="376">
        <f>MAX(E15:E380)</f>
        <v>64.84862243851191</v>
      </c>
      <c r="F383" s="377">
        <f>MAX(F15:F380)</f>
        <v>64.852505396426295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2028</v>
      </c>
      <c r="K383" s="200" t="s">
        <v>9</v>
      </c>
      <c r="L383" s="148">
        <f t="shared" ref="L383:T383" si="161">MAX(L15:L380)</f>
        <v>6.7329165017299797E-2</v>
      </c>
      <c r="M383" s="834"/>
      <c r="N383" s="834"/>
      <c r="O383" s="49">
        <f t="shared" si="161"/>
        <v>5.5584501597391658E-2</v>
      </c>
      <c r="P383" s="170">
        <f t="shared" si="161"/>
        <v>4.1452215182915756E-3</v>
      </c>
      <c r="Q383" s="312">
        <f t="shared" si="161"/>
        <v>0.6</v>
      </c>
      <c r="R383" s="313">
        <f t="shared" si="161"/>
        <v>0.97412419606362199</v>
      </c>
      <c r="S383" s="800">
        <f t="shared" si="161"/>
        <v>-1</v>
      </c>
      <c r="T383" s="232">
        <f t="shared" si="161"/>
        <v>5</v>
      </c>
      <c r="U383" s="252">
        <f>MAX(U15:U380)</f>
        <v>-2.5875803936378061E-2</v>
      </c>
      <c r="V383" s="60">
        <f>MAX(V15:V380)</f>
        <v>57.423729506643618</v>
      </c>
      <c r="X383" s="112" t="s">
        <v>9</v>
      </c>
      <c r="Y383" s="376">
        <f>MAX(Y15:Y380)</f>
        <v>55.835918604923307</v>
      </c>
      <c r="Z383" s="376">
        <f>MAX(Z15:Z380)</f>
        <v>59.618236734217639</v>
      </c>
      <c r="AA383" s="376">
        <f>MAX(AA15:AA380)</f>
        <v>64.816336699598082</v>
      </c>
      <c r="AB383" s="200" t="s">
        <v>9</v>
      </c>
      <c r="AC383" s="49">
        <f t="shared" ref="AC383:AH383" si="162">MAX(AC15:AC380)</f>
        <v>8.5116571391463419E-2</v>
      </c>
      <c r="AD383" s="170">
        <f t="shared" si="162"/>
        <v>1.9616070803421794E-2</v>
      </c>
      <c r="AE383" s="312">
        <f t="shared" si="162"/>
        <v>0.6</v>
      </c>
      <c r="AF383" s="313">
        <f t="shared" si="162"/>
        <v>0.99999930215852473</v>
      </c>
      <c r="AG383" s="800">
        <f t="shared" si="162"/>
        <v>3</v>
      </c>
      <c r="AH383" s="232">
        <f t="shared" si="162"/>
        <v>9</v>
      </c>
      <c r="AI383" s="226">
        <f>MAX(AI15:AI380)</f>
        <v>3.4991117624376002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2" sqref="A82:Z9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MdS Escalquens</v>
      </c>
      <c r="B1" s="6"/>
      <c r="C1" s="657"/>
      <c r="D1" s="658"/>
      <c r="E1" s="1017"/>
      <c r="F1" s="1017"/>
      <c r="H1" s="22" t="s">
        <v>279</v>
      </c>
      <c r="I1" s="1230">
        <v>44582</v>
      </c>
      <c r="J1" s="1231"/>
      <c r="K1" s="875"/>
      <c r="M1" s="780" t="s">
        <v>169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017"/>
      <c r="F2" s="1017"/>
      <c r="G2" s="26"/>
      <c r="H2" s="25"/>
      <c r="L2" s="8"/>
      <c r="P2" s="1149" t="s">
        <v>351</v>
      </c>
      <c r="S2" s="26"/>
      <c r="T2" s="563"/>
      <c r="U2" s="563"/>
      <c r="V2" s="1139"/>
      <c r="W2" s="1100"/>
      <c r="X2" s="563"/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302</v>
      </c>
      <c r="B3" s="660"/>
      <c r="C3" s="660"/>
      <c r="E3" s="1018"/>
      <c r="F3" s="1019" t="s">
        <v>189</v>
      </c>
      <c r="G3" s="20"/>
      <c r="H3" s="22" t="s">
        <v>15</v>
      </c>
      <c r="I3" s="1138">
        <v>0.25</v>
      </c>
      <c r="J3" s="876">
        <f>DEGREES(ATAN(I3))</f>
        <v>14.036243467926479</v>
      </c>
      <c r="K3" s="876"/>
      <c r="L3" s="8"/>
      <c r="M3" s="6"/>
      <c r="P3" s="22" t="s">
        <v>352</v>
      </c>
      <c r="Q3" s="877" t="s">
        <v>353</v>
      </c>
      <c r="R3" s="1150">
        <f>H_pv</f>
        <v>7.693372050943351</v>
      </c>
      <c r="T3" s="1109"/>
      <c r="U3" s="1109"/>
      <c r="V3" s="1110"/>
      <c r="W3" s="1110"/>
      <c r="X3" s="1110"/>
      <c r="Y3" s="1109"/>
      <c r="Z3" s="1109"/>
      <c r="AA3" s="1109"/>
      <c r="AB3" s="1109"/>
      <c r="AC3" s="1109"/>
      <c r="AD3" s="1109"/>
      <c r="AE3" s="1109"/>
      <c r="AF3" s="1109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167</v>
      </c>
      <c r="F4" s="662" t="s">
        <v>188</v>
      </c>
      <c r="I4" s="6"/>
      <c r="J4" s="880"/>
      <c r="K4" s="880"/>
      <c r="L4" s="6"/>
      <c r="O4" s="880"/>
      <c r="Q4" s="1151"/>
      <c r="R4" s="6"/>
      <c r="S4" s="880" t="s">
        <v>280</v>
      </c>
      <c r="T4" s="1110"/>
      <c r="U4" s="1110"/>
      <c r="V4" s="1110"/>
      <c r="W4" s="1110"/>
      <c r="X4" s="1110"/>
      <c r="Y4" s="1110"/>
      <c r="Z4" s="1110"/>
      <c r="AA4" s="1110"/>
      <c r="AB4" s="1110"/>
      <c r="AC4" s="1110"/>
      <c r="AD4" s="1110"/>
      <c r="AE4" s="1110"/>
      <c r="AF4" s="1110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281</v>
      </c>
      <c r="I5" s="877">
        <f>125-90</f>
        <v>35</v>
      </c>
      <c r="J5" s="876"/>
      <c r="K5" s="876"/>
      <c r="L5" s="22" t="s">
        <v>282</v>
      </c>
      <c r="M5" s="877">
        <f>Azi_pvG</f>
        <v>35</v>
      </c>
      <c r="N5" s="884"/>
      <c r="O5" s="885"/>
      <c r="P5" s="22" t="s">
        <v>354</v>
      </c>
      <c r="Q5" s="877" t="s">
        <v>283</v>
      </c>
      <c r="R5" s="884">
        <f>+IF($Q$5="G",Azi_pvG,Azi_pvD)</f>
        <v>35</v>
      </c>
      <c r="S5" s="885">
        <f>90-$J$3-1.2</f>
        <v>74.763756532073515</v>
      </c>
      <c r="T5" s="1147"/>
      <c r="U5" s="1109"/>
      <c r="V5" s="1111"/>
      <c r="W5" s="1134"/>
      <c r="X5" s="1134"/>
      <c r="Y5" s="1109"/>
      <c r="Z5" s="1109"/>
      <c r="AA5" s="1109"/>
      <c r="AB5" s="1109"/>
      <c r="AC5" s="1109"/>
      <c r="AD5" s="1112"/>
      <c r="AE5" s="1112"/>
      <c r="AF5" s="1109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4"/>
      <c r="S6" s="1105"/>
      <c r="T6" s="1104"/>
      <c r="U6" s="563"/>
      <c r="V6" s="1111"/>
      <c r="W6" s="1135"/>
      <c r="X6" s="1136"/>
      <c r="Y6" s="563"/>
      <c r="Z6" s="563"/>
      <c r="AA6" s="563"/>
      <c r="AB6" s="563"/>
      <c r="AC6" s="563"/>
      <c r="AD6" s="1112"/>
      <c r="AE6" s="1112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162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1"/>
      <c r="W7" s="1137"/>
      <c r="X7" s="1136"/>
      <c r="Y7" s="1113"/>
      <c r="Z7" s="1105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299</v>
      </c>
      <c r="D8" s="105"/>
      <c r="E8" s="886">
        <v>3.1</v>
      </c>
      <c r="F8" s="668" t="s">
        <v>235</v>
      </c>
      <c r="H8" s="29"/>
      <c r="I8" s="31"/>
      <c r="L8" s="667" t="s">
        <v>170</v>
      </c>
      <c r="M8" s="29"/>
      <c r="O8" s="29"/>
      <c r="P8" s="34"/>
      <c r="R8" s="667" t="s">
        <v>171</v>
      </c>
      <c r="S8" s="29"/>
      <c r="U8" s="29"/>
      <c r="V8" s="29"/>
      <c r="Y8" s="667" t="s">
        <v>172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173</v>
      </c>
      <c r="B9" s="887" t="s">
        <v>174</v>
      </c>
      <c r="C9" s="887" t="s">
        <v>175</v>
      </c>
      <c r="D9" s="887" t="s">
        <v>178</v>
      </c>
      <c r="E9" s="888" t="s">
        <v>179</v>
      </c>
      <c r="F9" s="669" t="s">
        <v>176</v>
      </c>
      <c r="G9" s="669" t="s">
        <v>177</v>
      </c>
      <c r="H9" s="670" t="s">
        <v>147</v>
      </c>
      <c r="I9" s="671" t="s">
        <v>180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345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338</v>
      </c>
      <c r="B10" s="889">
        <v>3.25</v>
      </c>
      <c r="C10" s="890">
        <v>-4.45</v>
      </c>
      <c r="D10" s="889">
        <f>Hrm*B10/(B10-C10)</f>
        <v>1.3084415584415585</v>
      </c>
      <c r="E10" s="890">
        <f t="shared" ref="E10:E12" si="0">+D10*C10/B10</f>
        <v>-1.7915584415584418</v>
      </c>
      <c r="F10" s="891">
        <f>DEGREES(ATAN2(H10,D10))</f>
        <v>1.7047471927910134</v>
      </c>
      <c r="G10" s="891">
        <f>DEGREES(ATAN2(H10,E10))</f>
        <v>-2.3335901434024504</v>
      </c>
      <c r="H10" s="554">
        <f>SQRT(POWER(N10-T$10,2)+POWER(M10-S$10,2))</f>
        <v>43.963149341238065</v>
      </c>
      <c r="I10" s="674">
        <f>(F10-G10)/(B10-C10)</f>
        <v>0.52445939431083943</v>
      </c>
      <c r="J10" s="43"/>
      <c r="K10" s="43"/>
      <c r="L10" s="782" t="str">
        <f>A10</f>
        <v>Lampadaire parc sud</v>
      </c>
      <c r="M10" s="892">
        <v>488.69</v>
      </c>
      <c r="N10" s="893">
        <v>406.19</v>
      </c>
      <c r="O10" s="894">
        <v>167.56</v>
      </c>
      <c r="P10" s="811"/>
      <c r="Q10" s="811"/>
      <c r="R10" s="783" t="s">
        <v>340</v>
      </c>
      <c r="S10" s="892">
        <v>508.73</v>
      </c>
      <c r="T10" s="893">
        <v>445.32</v>
      </c>
      <c r="U10" s="1146">
        <v>167.56</v>
      </c>
      <c r="V10" s="675" t="s">
        <v>181</v>
      </c>
      <c r="W10" s="895">
        <v>1.55</v>
      </c>
      <c r="X10" s="811" t="s">
        <v>85</v>
      </c>
      <c r="Y10" s="613" t="s">
        <v>343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346</v>
      </c>
      <c r="B11" s="896">
        <v>8.7799999999999994</v>
      </c>
      <c r="C11" s="897">
        <v>1.83</v>
      </c>
      <c r="D11" s="896">
        <f>1.89*B11/(B11-C11)</f>
        <v>2.3876546762589927</v>
      </c>
      <c r="E11" s="897">
        <f>+D11*C11/B11</f>
        <v>0.4976546762589929</v>
      </c>
      <c r="F11" s="891">
        <f>DEGREES(ATAN2(H11,D11))</f>
        <v>1.5931048177823508</v>
      </c>
      <c r="G11" s="891">
        <f>DEGREES(ATAN2(H11,E11))</f>
        <v>0.33212991949264148</v>
      </c>
      <c r="H11" s="554">
        <f>SQRT(POWER(N11-T$11,2)+POWER(M11-S$11,2))</f>
        <v>85.849517179772164</v>
      </c>
      <c r="I11" s="674">
        <f>(F11-G11)/(B11-C11)</f>
        <v>0.18143523716398696</v>
      </c>
      <c r="J11" s="117"/>
      <c r="K11" s="43"/>
      <c r="L11" s="782" t="str">
        <f>A11</f>
        <v>Hauteur fenêtre arrière batiment</v>
      </c>
      <c r="M11" s="898">
        <v>504.5</v>
      </c>
      <c r="N11" s="617">
        <v>474.61</v>
      </c>
      <c r="O11" s="899">
        <v>167.91</v>
      </c>
      <c r="P11" s="812"/>
      <c r="Q11" s="812"/>
      <c r="R11" s="784" t="s">
        <v>341</v>
      </c>
      <c r="S11" s="898">
        <v>548.36</v>
      </c>
      <c r="T11" s="617">
        <v>548.41</v>
      </c>
      <c r="U11" s="899">
        <v>169.89</v>
      </c>
      <c r="V11" s="676" t="s">
        <v>182</v>
      </c>
      <c r="W11" s="900">
        <f>+Hobs1+U11-U10</f>
        <v>3.8799999999999955</v>
      </c>
      <c r="X11" s="812" t="s">
        <v>85</v>
      </c>
      <c r="Y11" s="614" t="s">
        <v>344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 t="s">
        <v>339</v>
      </c>
      <c r="B12" s="901">
        <v>-0.77</v>
      </c>
      <c r="C12" s="902">
        <v>-4.05</v>
      </c>
      <c r="D12" s="901">
        <f>2.41*B12/(B12-C12)</f>
        <v>-0.56576219512195125</v>
      </c>
      <c r="E12" s="902">
        <f t="shared" si="0"/>
        <v>-2.9757621951219511</v>
      </c>
      <c r="F12" s="891">
        <f>DEGREES(ATAN2(H12,D12))</f>
        <v>-0.48420313060747844</v>
      </c>
      <c r="G12" s="891">
        <f>DEGREES(ATAN2(H12,E12))</f>
        <v>-2.5451679028715875</v>
      </c>
      <c r="H12" s="554">
        <f>SQRT(POWER(N12-T$12,2)+POWER(M12-S$12,2))</f>
        <v>66.945073754534008</v>
      </c>
      <c r="I12" s="674">
        <f>(F12-G12)/(B12-C12)</f>
        <v>0.628342918373204</v>
      </c>
      <c r="J12" s="117"/>
      <c r="K12" s="43"/>
      <c r="L12" s="782" t="str">
        <f>A12</f>
        <v>Porte entrée MdS</v>
      </c>
      <c r="M12" s="903">
        <v>510.71</v>
      </c>
      <c r="N12" s="904">
        <v>447.92</v>
      </c>
      <c r="O12" s="905">
        <v>167.76</v>
      </c>
      <c r="P12" s="812"/>
      <c r="Q12" s="812"/>
      <c r="R12" s="784" t="s">
        <v>342</v>
      </c>
      <c r="S12" s="903">
        <v>472.98</v>
      </c>
      <c r="T12" s="904">
        <v>392.62</v>
      </c>
      <c r="U12" s="905">
        <v>169.28</v>
      </c>
      <c r="V12" s="676" t="s">
        <v>236</v>
      </c>
      <c r="W12" s="906">
        <f>+Hobs1+U12-U10</f>
        <v>3.2700000000000102</v>
      </c>
      <c r="X12" s="812" t="s">
        <v>85</v>
      </c>
      <c r="Y12" s="614" t="s">
        <v>350</v>
      </c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5" t="s">
        <v>319</v>
      </c>
      <c r="D13" s="10" t="e">
        <f>Hrm*B13/(B13-C13)</f>
        <v>#VALUE!</v>
      </c>
      <c r="E13" s="1096" t="e">
        <f>+D13*C13/B13</f>
        <v>#VALUE!</v>
      </c>
      <c r="F13" s="563"/>
      <c r="G13" s="1100"/>
      <c r="H13" s="1101"/>
      <c r="I13" s="1102"/>
      <c r="J13" s="563"/>
      <c r="K13" s="563"/>
      <c r="L13" s="563"/>
      <c r="O13" s="18"/>
      <c r="P13" s="1103"/>
      <c r="Q13" s="563"/>
      <c r="R13" s="563"/>
      <c r="U13" s="786"/>
      <c r="V13" s="26"/>
      <c r="Y13" s="1104"/>
      <c r="Z13" s="1105"/>
      <c r="AA13" s="1106"/>
      <c r="AB13" s="1107"/>
      <c r="AC13" s="1108"/>
      <c r="AD13" s="1107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160</v>
      </c>
      <c r="B14" s="679"/>
      <c r="C14" s="28"/>
      <c r="D14" s="666" t="s">
        <v>300</v>
      </c>
      <c r="E14" s="71"/>
      <c r="F14" s="82"/>
      <c r="G14" s="879" t="s">
        <v>184</v>
      </c>
      <c r="K14" s="1007" t="s">
        <v>301</v>
      </c>
      <c r="L14" s="1006">
        <f>+CHOOSE(N14,L16,L17,L18,L19)</f>
        <v>7.693372050943351</v>
      </c>
      <c r="M14" s="136" t="s">
        <v>284</v>
      </c>
      <c r="N14" s="907">
        <f>IF(Q5&amp;Q3="DE",4,IF(Q5&amp;Q3="DC",3,IF(Q5&amp;Q3="GC",2,1)))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183</v>
      </c>
      <c r="C15" s="680" t="s">
        <v>145</v>
      </c>
      <c r="D15" s="680" t="s">
        <v>150</v>
      </c>
      <c r="E15" s="680" t="s">
        <v>151</v>
      </c>
      <c r="F15" s="1016" t="s">
        <v>285</v>
      </c>
      <c r="G15" s="1015" t="s">
        <v>185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334</v>
      </c>
      <c r="B16" s="908">
        <v>3</v>
      </c>
      <c r="C16" s="968"/>
      <c r="D16" s="909">
        <v>518.35812499999997</v>
      </c>
      <c r="E16" s="909">
        <v>442.98</v>
      </c>
      <c r="F16" s="981"/>
      <c r="G16" s="985"/>
      <c r="H16" s="985"/>
      <c r="I16" s="985"/>
      <c r="J16" s="992">
        <f>IF(B16="",0,C16*CHOOSE(B16,Rata1,Rata2,Rata3))</f>
        <v>0</v>
      </c>
      <c r="K16" s="987">
        <f>IF(B16="",0,SQRT(+POWER(D16-CHOOSE(B16,$S$10,$S$11,$S$12),2)+POWER(E16-CHOOSE(B16,$T$10,$T$11,$T$12),2)))</f>
        <v>67.788670355123671</v>
      </c>
      <c r="L16" s="1133">
        <f>L17</f>
        <v>7.693372050943351</v>
      </c>
      <c r="M16" s="993"/>
      <c r="N16" s="1002" t="str">
        <f t="shared" ref="N16:N43" si="1">A16</f>
        <v>Centre du champ PV G.E.: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 t="s">
        <v>335</v>
      </c>
      <c r="B17" s="910">
        <v>3</v>
      </c>
      <c r="C17" s="969">
        <v>5.97</v>
      </c>
      <c r="D17" s="911">
        <v>512.30437499999994</v>
      </c>
      <c r="E17" s="911">
        <v>447.44</v>
      </c>
      <c r="F17" s="982"/>
      <c r="G17" s="972"/>
      <c r="H17" s="972"/>
      <c r="I17" s="972"/>
      <c r="J17" s="994">
        <f>IF(B17="",0,C17*CHOOSE(B17,Rata1,Rata2,Rata3))</f>
        <v>3.7512072226880275</v>
      </c>
      <c r="K17" s="989">
        <f>IF(B17="",0,SQRT(+POWER(D17-CHOOSE(B17,$S$10,$S$11,$S$12),2)+POWER(E17-CHOOSE(B17,$T$10,$T$11,$T$12),2)))</f>
        <v>67.465834828753273</v>
      </c>
      <c r="L17" s="988">
        <f>IF(B17="",0,K17*TAN(RADIANS(J17))+CHOOSE(B17,Hobs1,Hobs2,Hobs3))</f>
        <v>7.693372050943351</v>
      </c>
      <c r="M17" s="995"/>
      <c r="N17" s="1003" t="str">
        <f t="shared" si="1"/>
        <v>Centre du champ PV G.C.: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336</v>
      </c>
      <c r="B18" s="910">
        <v>3</v>
      </c>
      <c r="C18" s="969"/>
      <c r="D18" s="911">
        <v>506.25062499999996</v>
      </c>
      <c r="E18" s="911">
        <v>451.90000000000003</v>
      </c>
      <c r="F18" s="983"/>
      <c r="G18" s="973"/>
      <c r="H18" s="973"/>
      <c r="I18" s="973"/>
      <c r="J18" s="994">
        <f>IF(B18="",0,C18*CHOOSE(B18,Rata1,Rata2,Rata3))</f>
        <v>0</v>
      </c>
      <c r="K18" s="989">
        <f>IF(B18="",0,SQRT(+POWER(D18-CHOOSE(B18,$S$10,$S$11,$S$12),2)+POWER(E18-CHOOSE(B18,$T$10,$T$11,$T$12),2)))</f>
        <v>67.978326604077452</v>
      </c>
      <c r="L18" s="1132">
        <f>L17</f>
        <v>7.693372050943351</v>
      </c>
      <c r="M18" s="995"/>
      <c r="N18" s="1003" t="str">
        <f t="shared" si="1"/>
        <v>Centre du champ PV D.C.: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 t="s">
        <v>337</v>
      </c>
      <c r="B19" s="958">
        <v>3</v>
      </c>
      <c r="C19" s="997"/>
      <c r="D19" s="962">
        <v>500.19687499999998</v>
      </c>
      <c r="E19" s="963">
        <v>456.36</v>
      </c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69.307617797509266</v>
      </c>
      <c r="L19" s="1148">
        <f>L17</f>
        <v>7.693372050943351</v>
      </c>
      <c r="M19" s="998"/>
      <c r="N19" s="1004" t="str">
        <f t="shared" si="1"/>
        <v>Centre du champ PV D.E.: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161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98.494396668640917</v>
      </c>
      <c r="H20" s="975">
        <f>+Azi_pv_sel-180</f>
        <v>-145</v>
      </c>
      <c r="I20" s="976">
        <f>J3</f>
        <v>14.036243467926479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326</v>
      </c>
      <c r="B21" s="910">
        <v>2</v>
      </c>
      <c r="C21" s="969">
        <v>23.28</v>
      </c>
      <c r="D21" s="911">
        <v>531.28</v>
      </c>
      <c r="E21" s="911">
        <v>430.72</v>
      </c>
      <c r="F21" s="971"/>
      <c r="G21" s="999">
        <f t="shared" si="2"/>
        <v>20.938610623547444</v>
      </c>
      <c r="H21" s="977">
        <f t="shared" ref="H21:H31" si="7">DEGREES(ATAN2(CHOOSE($N$14,E$16,E$17,E$18,E$19)-$E21,CHOOSE($N$14,D$16,D$17,D$18,D$19)-$D21))</f>
        <v>-46.505603331359083</v>
      </c>
      <c r="I21" s="978">
        <f t="shared" ref="I21:I31" si="8">DEGREES(ATAN2(M21,$L21-L$14))</f>
        <v>15.588530155134666</v>
      </c>
      <c r="J21" s="994">
        <f t="shared" si="3"/>
        <v>4.2238123211776166</v>
      </c>
      <c r="K21" s="989">
        <f t="shared" si="4"/>
        <v>118.92292672146942</v>
      </c>
      <c r="L21" s="988">
        <f t="shared" si="5"/>
        <v>12.662846662669157</v>
      </c>
      <c r="M21" s="989">
        <f t="shared" si="6"/>
        <v>17.81242413361036</v>
      </c>
      <c r="N21" s="1000" t="str">
        <f t="shared" si="1"/>
        <v>Arbre 1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156</v>
      </c>
      <c r="B22" s="910">
        <v>2</v>
      </c>
      <c r="C22" s="969">
        <v>23.32</v>
      </c>
      <c r="D22" s="911">
        <v>527.07000000000005</v>
      </c>
      <c r="E22" s="911">
        <v>424.77</v>
      </c>
      <c r="F22" s="971"/>
      <c r="G22" s="999">
        <f t="shared" si="2"/>
        <v>10.908758197002676</v>
      </c>
      <c r="H22" s="977">
        <f t="shared" si="7"/>
        <v>-25.566992707811639</v>
      </c>
      <c r="I22" s="978">
        <f t="shared" si="8"/>
        <v>15.15668690214536</v>
      </c>
      <c r="J22" s="994">
        <f t="shared" si="3"/>
        <v>4.231069730664176</v>
      </c>
      <c r="K22" s="989">
        <f t="shared" si="4"/>
        <v>125.45960983519754</v>
      </c>
      <c r="L22" s="988">
        <f t="shared" si="5"/>
        <v>13.161580320520432</v>
      </c>
      <c r="M22" s="989">
        <f t="shared" si="6"/>
        <v>20.186650688403653</v>
      </c>
      <c r="N22" s="1000" t="str">
        <f t="shared" si="1"/>
        <v>Arbre 2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324</v>
      </c>
      <c r="B23" s="910">
        <v>1</v>
      </c>
      <c r="C23" s="969">
        <v>26.25</v>
      </c>
      <c r="D23" s="911">
        <v>524.45000000000005</v>
      </c>
      <c r="E23" s="911">
        <v>419.69</v>
      </c>
      <c r="F23" s="971"/>
      <c r="G23" s="999">
        <f t="shared" si="2"/>
        <v>16.694460526713293</v>
      </c>
      <c r="H23" s="977">
        <f t="shared" si="7"/>
        <v>-14.658234510808963</v>
      </c>
      <c r="I23" s="978">
        <f t="shared" si="8"/>
        <v>2.9092933441902238</v>
      </c>
      <c r="J23" s="994">
        <f t="shared" si="3"/>
        <v>13.767059100659536</v>
      </c>
      <c r="K23" s="989">
        <f t="shared" si="4"/>
        <v>30.066847190884523</v>
      </c>
      <c r="L23" s="988">
        <f t="shared" si="5"/>
        <v>8.9167994426037094</v>
      </c>
      <c r="M23" s="989">
        <f t="shared" si="6"/>
        <v>24.073534036689061</v>
      </c>
      <c r="N23" s="1000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158</v>
      </c>
      <c r="B24" s="910">
        <v>1</v>
      </c>
      <c r="C24" s="969">
        <v>31.12</v>
      </c>
      <c r="D24" s="911">
        <v>515.35</v>
      </c>
      <c r="E24" s="911">
        <v>406.62</v>
      </c>
      <c r="F24" s="971" t="s">
        <v>283</v>
      </c>
      <c r="G24" s="999">
        <f t="shared" si="2"/>
        <v>7.5010000000000003</v>
      </c>
      <c r="H24" s="977">
        <f t="shared" si="7"/>
        <v>4.7294072780479741</v>
      </c>
      <c r="I24" s="978">
        <f t="shared" si="8"/>
        <v>8.3475982790696062</v>
      </c>
      <c r="J24" s="994">
        <f t="shared" si="3"/>
        <v>16.321176350953323</v>
      </c>
      <c r="K24" s="989">
        <f t="shared" si="4"/>
        <v>39.262124242073291</v>
      </c>
      <c r="L24" s="988">
        <f t="shared" si="5"/>
        <v>13.046802306582162</v>
      </c>
      <c r="M24" s="989">
        <f t="shared" si="6"/>
        <v>36.484221466486382</v>
      </c>
      <c r="N24" s="1000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159</v>
      </c>
      <c r="B25" s="910">
        <v>1</v>
      </c>
      <c r="C25" s="969">
        <v>29.32</v>
      </c>
      <c r="D25" s="911">
        <v>511.3</v>
      </c>
      <c r="E25" s="911">
        <v>400.97</v>
      </c>
      <c r="F25" s="971"/>
      <c r="G25" s="999">
        <f t="shared" si="2"/>
        <v>8.191299726060862</v>
      </c>
      <c r="H25" s="977">
        <f t="shared" si="7"/>
        <v>9.5372260159043307</v>
      </c>
      <c r="I25" s="978">
        <f t="shared" si="8"/>
        <v>8.115003282847157</v>
      </c>
      <c r="J25" s="994">
        <f t="shared" si="3"/>
        <v>15.377149441193811</v>
      </c>
      <c r="K25" s="989">
        <f t="shared" si="4"/>
        <v>44.42440095262959</v>
      </c>
      <c r="L25" s="988">
        <f t="shared" si="5"/>
        <v>13.767459346916965</v>
      </c>
      <c r="M25" s="989">
        <f t="shared" si="6"/>
        <v>42.598793744842396</v>
      </c>
      <c r="N25" s="1000" t="str">
        <f t="shared" si="1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321</v>
      </c>
      <c r="B26" s="910">
        <v>1</v>
      </c>
      <c r="C26" s="969">
        <v>22.08</v>
      </c>
      <c r="D26" s="911">
        <v>504.49</v>
      </c>
      <c r="E26" s="911">
        <v>399.6</v>
      </c>
      <c r="F26" s="971"/>
      <c r="G26" s="999">
        <f t="shared" si="2"/>
        <v>13.040105186758986</v>
      </c>
      <c r="H26" s="977">
        <f t="shared" si="7"/>
        <v>17.728525741965193</v>
      </c>
      <c r="I26" s="978">
        <f t="shared" si="8"/>
        <v>4.1008354462587926</v>
      </c>
      <c r="J26" s="994">
        <f t="shared" si="3"/>
        <v>11.580063426383333</v>
      </c>
      <c r="K26" s="989">
        <f t="shared" si="4"/>
        <v>45.916184510475141</v>
      </c>
      <c r="L26" s="988">
        <f t="shared" si="5"/>
        <v>10.958590125511869</v>
      </c>
      <c r="M26" s="989">
        <f t="shared" si="6"/>
        <v>45.542829194238948</v>
      </c>
      <c r="N26" s="1000" t="str">
        <f t="shared" si="1"/>
        <v>Arbre 7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325</v>
      </c>
      <c r="B27" s="910">
        <v>2</v>
      </c>
      <c r="C27" s="969">
        <v>26.53</v>
      </c>
      <c r="D27" s="911">
        <v>492.87</v>
      </c>
      <c r="E27" s="911">
        <v>400.17</v>
      </c>
      <c r="F27" s="971"/>
      <c r="G27" s="999">
        <f t="shared" si="2"/>
        <v>10.402720394426652</v>
      </c>
      <c r="H27" s="977">
        <f>DEGREES(ATAN2(CHOOSE($N$14,E$16,E$17,E$18,E$19)-$E27,CHOOSE($N$14,D$16,D$17,D$18,D$19)-$D27))</f>
        <v>30.768630928724178</v>
      </c>
      <c r="I27" s="978">
        <f t="shared" si="8"/>
        <v>10.812701582405586</v>
      </c>
      <c r="J27" s="994">
        <f t="shared" si="3"/>
        <v>4.8134768419605747</v>
      </c>
      <c r="K27" s="989">
        <f t="shared" si="4"/>
        <v>158.28530475063056</v>
      </c>
      <c r="L27" s="988">
        <f t="shared" si="5"/>
        <v>17.209082795066976</v>
      </c>
      <c r="M27" s="989">
        <f t="shared" si="6"/>
        <v>49.823093199997366</v>
      </c>
      <c r="N27" s="1000" t="str">
        <f t="shared" si="1"/>
        <v>Arbre 9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327</v>
      </c>
      <c r="B28" s="910">
        <v>1</v>
      </c>
      <c r="C28" s="969">
        <v>28.82</v>
      </c>
      <c r="D28" s="911">
        <v>485.16</v>
      </c>
      <c r="E28" s="911">
        <v>398.74</v>
      </c>
      <c r="F28" s="971" t="s">
        <v>283</v>
      </c>
      <c r="G28" s="999">
        <f t="shared" si="2"/>
        <v>7.5009999999999977</v>
      </c>
      <c r="H28" s="977">
        <f t="shared" si="7"/>
        <v>36.884917997337375</v>
      </c>
      <c r="I28" s="978">
        <f t="shared" si="8"/>
        <v>8.1862705280202093</v>
      </c>
      <c r="J28" s="994">
        <f t="shared" si="3"/>
        <v>15.114919744038392</v>
      </c>
      <c r="K28" s="989">
        <f t="shared" si="4"/>
        <v>52.203843728216007</v>
      </c>
      <c r="L28" s="988">
        <f>IF(B28="",0,K28*TAN(RADIANS(J28))+CHOOSE(B28,Hobs1,Hobs2,Hobs3))</f>
        <v>15.650262574533674</v>
      </c>
      <c r="M28" s="989">
        <f t="shared" si="6"/>
        <v>55.310876900620755</v>
      </c>
      <c r="N28" s="1000" t="str">
        <f t="shared" si="1"/>
        <v>Arbre 10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328</v>
      </c>
      <c r="B29" s="910">
        <v>1</v>
      </c>
      <c r="C29" s="969">
        <v>20.39</v>
      </c>
      <c r="D29" s="911">
        <v>478</v>
      </c>
      <c r="E29" s="911">
        <v>407.49</v>
      </c>
      <c r="F29" s="971"/>
      <c r="G29" s="999">
        <f t="shared" si="2"/>
        <v>14.577599891811396</v>
      </c>
      <c r="H29" s="977">
        <f t="shared" si="7"/>
        <v>48.672351323150828</v>
      </c>
      <c r="I29" s="978">
        <f t="shared" si="8"/>
        <v>3.2591223611509572</v>
      </c>
      <c r="J29" s="994">
        <f t="shared" si="3"/>
        <v>10.693727049998015</v>
      </c>
      <c r="K29" s="989">
        <f t="shared" si="4"/>
        <v>48.738504285626163</v>
      </c>
      <c r="L29" s="988">
        <f t="shared" si="5"/>
        <v>10.753709522546185</v>
      </c>
      <c r="M29" s="989">
        <f t="shared" si="6"/>
        <v>53.743077261314532</v>
      </c>
      <c r="N29" s="1000" t="str">
        <f t="shared" si="1"/>
        <v>Arbre 11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330</v>
      </c>
      <c r="B30" s="910">
        <v>2</v>
      </c>
      <c r="C30" s="969">
        <v>33.270000000000003</v>
      </c>
      <c r="D30" s="911">
        <v>473.6</v>
      </c>
      <c r="E30" s="911">
        <v>420.42</v>
      </c>
      <c r="F30" s="971"/>
      <c r="G30" s="999">
        <f t="shared" si="2"/>
        <v>8.3528072547029097</v>
      </c>
      <c r="H30" s="977">
        <f t="shared" si="7"/>
        <v>63.249951214962223</v>
      </c>
      <c r="I30" s="978">
        <f t="shared" si="8"/>
        <v>13.313344592336636</v>
      </c>
      <c r="J30" s="994">
        <f t="shared" si="3"/>
        <v>6.0363503404458472</v>
      </c>
      <c r="K30" s="989">
        <f t="shared" si="4"/>
        <v>148.2244841448267</v>
      </c>
      <c r="L30" s="988">
        <f t="shared" si="5"/>
        <v>19.55410476364262</v>
      </c>
      <c r="M30" s="989">
        <f t="shared" si="6"/>
        <v>50.122284001386255</v>
      </c>
      <c r="N30" s="1000" t="str">
        <f t="shared" si="1"/>
        <v>Arbre 13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331</v>
      </c>
      <c r="B31" s="910">
        <v>1</v>
      </c>
      <c r="C31" s="969">
        <v>21.94</v>
      </c>
      <c r="D31" s="911">
        <v>459.94</v>
      </c>
      <c r="E31" s="911">
        <v>423.55</v>
      </c>
      <c r="F31" s="971" t="s">
        <v>135</v>
      </c>
      <c r="G31" s="999">
        <f t="shared" si="2"/>
        <v>7.5010000000000048</v>
      </c>
      <c r="H31" s="977">
        <f t="shared" si="7"/>
        <v>71.602758469665133</v>
      </c>
      <c r="I31" s="978">
        <f t="shared" si="8"/>
        <v>4.3960141049156878</v>
      </c>
      <c r="J31" s="994">
        <f t="shared" si="3"/>
        <v>11.506639111179817</v>
      </c>
      <c r="K31" s="989">
        <f t="shared" si="4"/>
        <v>53.426557066687359</v>
      </c>
      <c r="L31" s="988">
        <f t="shared" si="5"/>
        <v>12.426203058514156</v>
      </c>
      <c r="M31" s="989">
        <f t="shared" si="6"/>
        <v>61.564618316981566</v>
      </c>
      <c r="N31" s="1000" t="str">
        <f t="shared" si="1"/>
        <v>Arbre 14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332</v>
      </c>
      <c r="B32" s="910">
        <v>1</v>
      </c>
      <c r="C32" s="970">
        <v>20.85</v>
      </c>
      <c r="D32" s="911">
        <v>453.14</v>
      </c>
      <c r="E32" s="911">
        <v>427.02</v>
      </c>
      <c r="F32" s="971"/>
      <c r="G32" s="999">
        <f t="shared" si="2"/>
        <v>9.4252325062500404</v>
      </c>
      <c r="H32" s="977">
        <f t="shared" ref="H32" si="9">DEGREES(ATAN2(CHOOSE($N$14,E$16,E$17,E$18,E$19)-$E32,CHOOSE($N$14,D$16,D$17,D$18,D$19)-$D32))</f>
        <v>76.248983497378035</v>
      </c>
      <c r="I32" s="978">
        <f t="shared" ref="I32" si="10">DEGREES(ATAN2(M32,$L32-L$14))</f>
        <v>4.3978139498266886</v>
      </c>
      <c r="J32" s="994">
        <f t="shared" si="3"/>
        <v>10.934978371381003</v>
      </c>
      <c r="K32" s="989">
        <f t="shared" si="4"/>
        <v>58.524679409630288</v>
      </c>
      <c r="L32" s="988">
        <f t="shared" si="5"/>
        <v>12.857134760638409</v>
      </c>
      <c r="M32" s="989">
        <f t="shared" si="6"/>
        <v>67.142575378932435</v>
      </c>
      <c r="N32" s="1000" t="str">
        <f t="shared" si="1"/>
        <v>Arbre 15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333</v>
      </c>
      <c r="B33" s="910">
        <v>1</v>
      </c>
      <c r="C33" s="970">
        <v>16.05</v>
      </c>
      <c r="D33" s="911">
        <v>443.98</v>
      </c>
      <c r="E33" s="911">
        <v>441.07</v>
      </c>
      <c r="F33" s="971"/>
      <c r="G33" s="999">
        <f t="shared" si="2"/>
        <v>36.471009024084822</v>
      </c>
      <c r="H33" s="977">
        <f t="shared" ref="H33" si="11">DEGREES(ATAN2(CHOOSE($N$14,E$16,E$17,E$18,E$19)-$E33,CHOOSE($N$14,D$16,D$17,D$18,D$19)-$D33))</f>
        <v>88.528990975915178</v>
      </c>
      <c r="I33" s="978">
        <f t="shared" ref="I33" si="12">DEGREES(ATAN2(M33,$L33-L$14))</f>
        <v>2.6617708783365406</v>
      </c>
      <c r="J33" s="994">
        <f t="shared" si="3"/>
        <v>8.4175732786889732</v>
      </c>
      <c r="K33" s="989">
        <f t="shared" si="4"/>
        <v>64.889328860761069</v>
      </c>
      <c r="L33" s="988">
        <f t="shared" si="5"/>
        <v>11.1523596389296</v>
      </c>
      <c r="M33" s="989">
        <f t="shared" si="6"/>
        <v>74.402644969890815</v>
      </c>
      <c r="N33" s="1000" t="str">
        <f t="shared" si="1"/>
        <v>Arbre 16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 t="s">
        <v>349</v>
      </c>
      <c r="B34" s="910"/>
      <c r="C34" s="970"/>
      <c r="D34" s="911"/>
      <c r="E34" s="911"/>
      <c r="F34" s="971"/>
      <c r="G34" s="999">
        <f t="shared" si="2"/>
        <v>90</v>
      </c>
      <c r="H34" s="977">
        <f>+Azi_pv_sel+90</f>
        <v>125</v>
      </c>
      <c r="I34" s="978">
        <v>1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 t="str">
        <f t="shared" si="1"/>
        <v>Toiture D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 t="s">
        <v>161</v>
      </c>
      <c r="B35" s="910"/>
      <c r="C35" s="964"/>
      <c r="D35" s="911"/>
      <c r="E35" s="911"/>
      <c r="F35" s="971"/>
      <c r="G35" s="999" t="str">
        <f t="shared" si="2"/>
        <v/>
      </c>
      <c r="H35" s="977">
        <f>+Azi_pv_sel+180</f>
        <v>215</v>
      </c>
      <c r="I35" s="978">
        <v>14.036243467926479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 t="str">
        <f t="shared" si="1"/>
        <v>Arrière PV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v>215</v>
      </c>
      <c r="I36" s="978">
        <v>14.036243467926479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ref="H37:I39" si="13">+H36</f>
        <v>215</v>
      </c>
      <c r="I37" s="978">
        <f t="shared" si="13"/>
        <v>14.036243467926479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si="13"/>
        <v>215</v>
      </c>
      <c r="I38" s="978">
        <f t="shared" si="13"/>
        <v>14.036243467926479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9"/>
      <c r="D39" s="911"/>
      <c r="E39" s="911"/>
      <c r="F39" s="971"/>
      <c r="G39" s="999" t="str">
        <f t="shared" si="2"/>
        <v/>
      </c>
      <c r="H39" s="977">
        <f t="shared" si="13"/>
        <v>215</v>
      </c>
      <c r="I39" s="978">
        <f t="shared" si="13"/>
        <v>14.036243467926479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9"/>
      <c r="D40" s="911"/>
      <c r="E40" s="911"/>
      <c r="F40" s="971"/>
      <c r="G40" s="999" t="str">
        <f t="shared" si="2"/>
        <v/>
      </c>
      <c r="H40" s="977">
        <f t="shared" ref="H40:H43" si="14">+H39</f>
        <v>215</v>
      </c>
      <c r="I40" s="978">
        <f t="shared" ref="I40:I43" si="15">+I39</f>
        <v>14.036243467926479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9"/>
      <c r="D41" s="911"/>
      <c r="E41" s="911"/>
      <c r="F41" s="971"/>
      <c r="G41" s="999" t="str">
        <f t="shared" si="2"/>
        <v/>
      </c>
      <c r="H41" s="977">
        <f t="shared" si="14"/>
        <v>215</v>
      </c>
      <c r="I41" s="978">
        <f t="shared" si="15"/>
        <v>14.036243467926479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70"/>
      <c r="D42" s="911"/>
      <c r="E42" s="911"/>
      <c r="F42" s="971"/>
      <c r="G42" s="999" t="str">
        <f t="shared" si="2"/>
        <v/>
      </c>
      <c r="H42" s="977">
        <f t="shared" si="14"/>
        <v>215</v>
      </c>
      <c r="I42" s="978">
        <f t="shared" si="15"/>
        <v>14.036243467926479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7"/>
      <c r="H43" s="979">
        <f t="shared" si="14"/>
        <v>215</v>
      </c>
      <c r="I43" s="980">
        <f t="shared" si="15"/>
        <v>14.036243467926479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186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347</v>
      </c>
      <c r="B45" s="910">
        <v>3</v>
      </c>
      <c r="C45" s="969">
        <v>4.42</v>
      </c>
      <c r="D45" s="911">
        <v>510.71</v>
      </c>
      <c r="E45" s="911">
        <v>447.92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348</v>
      </c>
      <c r="B46" s="910">
        <v>3</v>
      </c>
      <c r="C46" s="969">
        <v>1.85</v>
      </c>
      <c r="D46" s="911">
        <v>510.71</v>
      </c>
      <c r="E46" s="911">
        <v>447.92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157</v>
      </c>
      <c r="B47" s="910">
        <v>1</v>
      </c>
      <c r="C47" s="969">
        <v>18.59</v>
      </c>
      <c r="D47" s="911">
        <v>528.21</v>
      </c>
      <c r="E47" s="911">
        <v>348.51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 t="s">
        <v>321</v>
      </c>
      <c r="B48" s="910">
        <v>1</v>
      </c>
      <c r="C48" s="969">
        <v>22.08</v>
      </c>
      <c r="D48" s="911">
        <v>504.49</v>
      </c>
      <c r="E48" s="911">
        <v>399.6</v>
      </c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 t="s">
        <v>322</v>
      </c>
      <c r="B49" s="910">
        <v>1</v>
      </c>
      <c r="C49" s="969">
        <v>24.77</v>
      </c>
      <c r="D49" s="911">
        <v>498.82</v>
      </c>
      <c r="E49" s="911">
        <v>399.47</v>
      </c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 t="s">
        <v>329</v>
      </c>
      <c r="B50" s="910">
        <v>1</v>
      </c>
      <c r="C50" s="969">
        <v>22.23</v>
      </c>
      <c r="D50" s="911">
        <v>481.26</v>
      </c>
      <c r="E50" s="911">
        <v>414.94</v>
      </c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9"/>
      <c r="D51" s="911"/>
      <c r="E51" s="911"/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168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197</v>
      </c>
      <c r="C53" s="1094">
        <v>1</v>
      </c>
      <c r="E53" s="684"/>
      <c r="G53" s="686" t="s">
        <v>320</v>
      </c>
      <c r="H53" s="1114">
        <f>I1</f>
        <v>44582</v>
      </c>
      <c r="L53" s="1020"/>
      <c r="P53" s="683" t="s">
        <v>286</v>
      </c>
      <c r="R53" s="684"/>
      <c r="V53" s="684"/>
      <c r="X53" s="684"/>
      <c r="Y53" s="690"/>
      <c r="Z53" s="684"/>
      <c r="AA53" s="683" t="s">
        <v>287</v>
      </c>
      <c r="AM53" s="82"/>
      <c r="AN53" s="1232" t="s">
        <v>314</v>
      </c>
      <c r="AO53" s="1233"/>
      <c r="AP53" s="1240" t="s">
        <v>315</v>
      </c>
      <c r="AQ53" s="1241"/>
      <c r="AR53" s="1240" t="s">
        <v>316</v>
      </c>
      <c r="AS53" s="1241"/>
      <c r="AT53" s="1240" t="s">
        <v>317</v>
      </c>
      <c r="AU53" s="1241"/>
      <c r="AV53" s="1240" t="s">
        <v>318</v>
      </c>
      <c r="AW53" s="1241"/>
    </row>
    <row r="54" spans="1:51" s="4" customFormat="1" x14ac:dyDescent="0.25">
      <c r="A54" s="707" t="str">
        <f>Station</f>
        <v>MdS Escalquens</v>
      </c>
      <c r="B54" s="1229" t="s">
        <v>304</v>
      </c>
      <c r="C54" s="1226" t="str">
        <f>"Hauteur fonction de la croissance vue du champ PV "&amp;ZonePV</f>
        <v>Hauteur fonction de la croissance vue du champ PV 1</v>
      </c>
      <c r="D54" s="1227"/>
      <c r="E54" s="1227"/>
      <c r="F54" s="1227"/>
      <c r="G54" s="1227"/>
      <c r="H54" s="1227"/>
      <c r="I54" s="1227"/>
      <c r="J54" s="1227"/>
      <c r="K54" s="1227"/>
      <c r="L54" s="1227"/>
      <c r="M54" s="1228"/>
      <c r="O54" s="918" t="str">
        <f>Station</f>
        <v>MdS Escalquens</v>
      </c>
      <c r="P54" s="919">
        <f>Azi_pv_sel</f>
        <v>35</v>
      </c>
      <c r="Q54" s="1226" t="str">
        <f>"Elevation vue du champ PV zone: "&amp;ZonePV</f>
        <v>Elevation vue du champ PV zone: 1</v>
      </c>
      <c r="R54" s="1227"/>
      <c r="S54" s="1227"/>
      <c r="T54" s="1227"/>
      <c r="U54" s="1227"/>
      <c r="V54" s="1227"/>
      <c r="W54" s="1227"/>
      <c r="X54" s="1227"/>
      <c r="Y54" s="1227"/>
      <c r="Z54" s="1228"/>
      <c r="AA54" s="920">
        <f>Ram_pv</f>
        <v>0.25</v>
      </c>
      <c r="AB54" s="2"/>
      <c r="AC54" s="2"/>
      <c r="AD54" s="28"/>
      <c r="AG54" s="921"/>
      <c r="AH54" s="922" t="s">
        <v>288</v>
      </c>
      <c r="AJ54" s="1238" t="s">
        <v>311</v>
      </c>
      <c r="AK54" s="1061"/>
      <c r="AL54" s="1061"/>
      <c r="AM54" s="1061"/>
      <c r="AN54" s="1236" t="s">
        <v>305</v>
      </c>
      <c r="AO54" s="1237"/>
      <c r="AP54" s="1234" t="s">
        <v>305</v>
      </c>
      <c r="AQ54" s="1235"/>
      <c r="AR54" s="1234" t="s">
        <v>305</v>
      </c>
      <c r="AS54" s="1235"/>
      <c r="AT54" s="1234" t="s">
        <v>305</v>
      </c>
      <c r="AU54" s="1235"/>
      <c r="AV54" s="1234" t="s">
        <v>305</v>
      </c>
      <c r="AW54" s="1235"/>
    </row>
    <row r="55" spans="1:51" s="19" customFormat="1" ht="13.5" thickBot="1" x14ac:dyDescent="0.25">
      <c r="A55" s="708" t="s">
        <v>303</v>
      </c>
      <c r="B55" s="1229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295</v>
      </c>
      <c r="AC55" s="924" t="s">
        <v>290</v>
      </c>
      <c r="AD55" s="923" t="s">
        <v>289</v>
      </c>
      <c r="AE55" s="924" t="s">
        <v>291</v>
      </c>
      <c r="AF55" s="925" t="s">
        <v>292</v>
      </c>
      <c r="AG55" s="926" t="s">
        <v>293</v>
      </c>
      <c r="AH55" s="927" t="s">
        <v>294</v>
      </c>
      <c r="AJ55" s="1239"/>
      <c r="AK55" s="82" t="s">
        <v>307</v>
      </c>
      <c r="AL55" s="82" t="s">
        <v>309</v>
      </c>
      <c r="AM55" s="82" t="s">
        <v>310</v>
      </c>
      <c r="AN55" s="1070" t="s">
        <v>308</v>
      </c>
      <c r="AO55" s="1071" t="s">
        <v>306</v>
      </c>
      <c r="AP55" s="1072" t="s">
        <v>308</v>
      </c>
      <c r="AQ55" s="1073" t="s">
        <v>306</v>
      </c>
      <c r="AR55" s="1072" t="s">
        <v>308</v>
      </c>
      <c r="AS55" s="1073" t="s">
        <v>306</v>
      </c>
      <c r="AT55" s="1072" t="s">
        <v>308</v>
      </c>
      <c r="AU55" s="1073" t="s">
        <v>306</v>
      </c>
      <c r="AV55" s="1072" t="s">
        <v>308</v>
      </c>
      <c r="AW55" s="1073" t="s">
        <v>306</v>
      </c>
    </row>
    <row r="56" spans="1:51" s="28" customFormat="1" ht="12.75" x14ac:dyDescent="0.2">
      <c r="A56" s="1021" t="str">
        <f t="shared" ref="A56:A79" si="17">A20</f>
        <v>Arrière PV</v>
      </c>
      <c r="B56" s="1024">
        <v>1</v>
      </c>
      <c r="C56" s="1080">
        <f t="shared" ref="C56:M56" si="18">$L20+C$55*Rapous</f>
        <v>-5</v>
      </c>
      <c r="D56" s="1080">
        <f t="shared" si="18"/>
        <v>-4</v>
      </c>
      <c r="E56" s="1080">
        <f t="shared" si="18"/>
        <v>-3</v>
      </c>
      <c r="F56" s="1080">
        <f t="shared" si="18"/>
        <v>-2</v>
      </c>
      <c r="G56" s="1081">
        <f t="shared" si="18"/>
        <v>-1</v>
      </c>
      <c r="H56" s="1082">
        <f t="shared" si="18"/>
        <v>0</v>
      </c>
      <c r="I56" s="1083">
        <f t="shared" si="18"/>
        <v>1</v>
      </c>
      <c r="J56" s="1080">
        <f t="shared" si="18"/>
        <v>2</v>
      </c>
      <c r="K56" s="1080">
        <f t="shared" si="18"/>
        <v>3</v>
      </c>
      <c r="L56" s="1080">
        <f t="shared" si="18"/>
        <v>4</v>
      </c>
      <c r="M56" s="1081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-145</v>
      </c>
      <c r="Q56" s="1084">
        <f t="shared" ref="Q56:Q79" si="22">MAX(IF($N56=0,$I20,DEGREES(ATAN2($N56,C56-H_pv))),Elev_F+0)</f>
        <v>14.036243467926479</v>
      </c>
      <c r="R56" s="688">
        <f t="shared" ref="R56:R79" si="23">MAX(IF($N56=0,$I20,DEGREES(ATAN2($N56,D56-H_pv))),Elev_F+0)</f>
        <v>14.036243467926479</v>
      </c>
      <c r="S56" s="688">
        <f t="shared" ref="S56:S79" si="24">MAX(IF($N56=0,$I20,DEGREES(ATAN2($N56,E56-H_pv))),Elev_F+0)</f>
        <v>14.036243467926479</v>
      </c>
      <c r="T56" s="688">
        <f t="shared" ref="T56:T79" si="25">MAX(IF($N56=0,$I20,DEGREES(ATAN2($N56,F56-H_pv))),Elev_F+0)</f>
        <v>14.036243467926479</v>
      </c>
      <c r="U56" s="944">
        <f t="shared" ref="U56:U79" si="26">MAX(IF($N56=0,$I20,DEGREES(ATAN2($N56,G56-H_pv))),Elev_F+0)</f>
        <v>14.036243467926479</v>
      </c>
      <c r="V56" s="1085">
        <f t="shared" ref="V56:V79" si="27">MAX(IF($N56=0,$I20,DEGREES(ATAN2($N56,H56-H_pv))),Elev_F+0)</f>
        <v>14.036243467926479</v>
      </c>
      <c r="W56" s="685">
        <f t="shared" ref="W56:W79" si="28">MAX(IF($N56=0,$I20,DEGREES(ATAN2($N56,I56-H_pv))),Elev_F+0)</f>
        <v>14.036243467926479</v>
      </c>
      <c r="X56" s="688">
        <f t="shared" ref="X56:X79" si="29">MAX(IF($N56=0,$I20,DEGREES(ATAN2($N56,J56-H_pv))),Elev_F+0)</f>
        <v>14.036243467926479</v>
      </c>
      <c r="Y56" s="688">
        <f t="shared" ref="Y56:Y79" si="30">MAX(IF($N56=0,$I20,DEGREES(ATAN2($N56,K56-H_pv))),Elev_F+0)</f>
        <v>14.036243467926479</v>
      </c>
      <c r="Z56" s="688">
        <f t="shared" ref="Z56:Z79" si="31">MAX(IF($N56=0,$I20,DEGREES(ATAN2($N56,L56-H_pv))),Elev_F+0)</f>
        <v>14.036243467926479</v>
      </c>
      <c r="AA56" s="944">
        <f t="shared" ref="AA56:AA79" si="32">MAX(IF($N56=0,$I20,DEGREES(ATAN2($N56,M56-H_pv))),Elev_F+0)</f>
        <v>14.036243467926479</v>
      </c>
      <c r="AB56" s="1048">
        <f t="shared" ref="AB56:AB78" si="33">(AA56+AA57)/2</f>
        <v>21.635821015271809</v>
      </c>
      <c r="AC56" s="1049">
        <f>INDEX($AH$56:$AH$82,MATCH(AB56,$AG$56:$AG$82)+1)</f>
        <v>7.5010000000000003</v>
      </c>
      <c r="AD56" s="1050" t="b">
        <f t="shared" ref="AD56:AD79" si="34">G20&lt;AC56</f>
        <v>0</v>
      </c>
      <c r="AE56" s="1049">
        <f t="shared" ref="AE56:AE79" si="35">H21-H20</f>
        <v>98.494396668640917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-145</v>
      </c>
      <c r="AM56" s="1063">
        <f>INDEX($AO$56:$AO$79,$AK56)</f>
        <v>1</v>
      </c>
      <c r="AN56" s="1074">
        <f t="shared" ref="AN56:AN67" si="36">IF(AND(AX56=0,AX57=0),MAX(AN55,$H$43+1),AX56)</f>
        <v>-145</v>
      </c>
      <c r="AO56" s="1075">
        <f>IF(AND(AY56=0,AY57=0),$I$43,AY56)</f>
        <v>1</v>
      </c>
      <c r="AP56" s="1067">
        <f>$H$20</f>
        <v>-145</v>
      </c>
      <c r="AQ56" s="1068">
        <v>1</v>
      </c>
      <c r="AR56" s="1067">
        <f>$H$20</f>
        <v>-145</v>
      </c>
      <c r="AS56" s="1068">
        <f>AS57</f>
        <v>1</v>
      </c>
      <c r="AT56" s="1067">
        <f>$H$20</f>
        <v>-145</v>
      </c>
      <c r="AU56" s="1068">
        <f>AU57</f>
        <v>1</v>
      </c>
      <c r="AV56" s="1067">
        <f>$H$20</f>
        <v>-145</v>
      </c>
      <c r="AW56" s="1068">
        <f>AW57</f>
        <v>1</v>
      </c>
      <c r="AX56" s="28">
        <f t="shared" ref="AX56:AX79" si="37">CHOOSE(ZonePV,AP56,AR56,AT56,AV56)</f>
        <v>-145</v>
      </c>
      <c r="AY56" s="28">
        <f t="shared" ref="AY56:AY79" si="38">CHOOSE(ZonePV,AQ56,AS56,AU56,AW56)</f>
        <v>1</v>
      </c>
    </row>
    <row r="57" spans="1:51" s="28" customFormat="1" ht="12.75" x14ac:dyDescent="0.2">
      <c r="A57" s="1021" t="str">
        <f t="shared" si="17"/>
        <v>Arbre 1</v>
      </c>
      <c r="B57" s="1025">
        <v>1</v>
      </c>
      <c r="C57" s="1080">
        <f t="shared" ref="C57:M57" si="39">$L21+C$55*Rapous</f>
        <v>7.6628466626691569</v>
      </c>
      <c r="D57" s="1080">
        <f t="shared" si="39"/>
        <v>8.6628466626691569</v>
      </c>
      <c r="E57" s="1080">
        <f t="shared" si="39"/>
        <v>9.6628466626691569</v>
      </c>
      <c r="F57" s="1080">
        <f t="shared" si="39"/>
        <v>10.662846662669157</v>
      </c>
      <c r="G57" s="1081">
        <f t="shared" si="39"/>
        <v>11.662846662669157</v>
      </c>
      <c r="H57" s="1082">
        <f t="shared" si="39"/>
        <v>12.662846662669157</v>
      </c>
      <c r="I57" s="1083">
        <f t="shared" si="39"/>
        <v>13.662846662669157</v>
      </c>
      <c r="J57" s="1080">
        <f t="shared" si="39"/>
        <v>14.662846662669157</v>
      </c>
      <c r="K57" s="1080">
        <f t="shared" si="39"/>
        <v>15.662846662669157</v>
      </c>
      <c r="L57" s="1080">
        <f t="shared" si="39"/>
        <v>16.662846662669157</v>
      </c>
      <c r="M57" s="1081">
        <f t="shared" si="39"/>
        <v>17.662846662669157</v>
      </c>
      <c r="N57" s="688">
        <f t="shared" si="19"/>
        <v>17.81242413361036</v>
      </c>
      <c r="O57" s="928" t="str">
        <f t="shared" si="20"/>
        <v>Arbre 1</v>
      </c>
      <c r="P57" s="678">
        <f t="shared" si="21"/>
        <v>-46.505603331359083</v>
      </c>
      <c r="Q57" s="685">
        <f t="shared" si="22"/>
        <v>1</v>
      </c>
      <c r="R57" s="688">
        <f t="shared" si="23"/>
        <v>3.1153565609650027</v>
      </c>
      <c r="S57" s="688">
        <f t="shared" si="24"/>
        <v>6.3094212410263646</v>
      </c>
      <c r="T57" s="688">
        <f t="shared" si="25"/>
        <v>9.4646295706585235</v>
      </c>
      <c r="U57" s="944">
        <f t="shared" si="26"/>
        <v>12.563005633828151</v>
      </c>
      <c r="V57" s="1085">
        <f t="shared" si="27"/>
        <v>15.588530155134666</v>
      </c>
      <c r="W57" s="685">
        <f t="shared" si="28"/>
        <v>18.52753717732752</v>
      </c>
      <c r="X57" s="688">
        <f t="shared" si="29"/>
        <v>21.368936287867662</v>
      </c>
      <c r="Y57" s="688">
        <f t="shared" si="30"/>
        <v>24.104267544664051</v>
      </c>
      <c r="Z57" s="688">
        <f t="shared" si="31"/>
        <v>26.727612995043803</v>
      </c>
      <c r="AA57" s="944">
        <f t="shared" si="32"/>
        <v>29.235398562617139</v>
      </c>
      <c r="AB57" s="1052">
        <f t="shared" si="33"/>
        <v>28.322668119587476</v>
      </c>
      <c r="AC57" s="1053">
        <f t="shared" ref="AC57:AC79" si="40">INDEX($AH$56:$AH$82,MATCH(AB57,$AG$56:$AG$82)+1)</f>
        <v>8.1200000000000045</v>
      </c>
      <c r="AD57" s="39" t="b">
        <f t="shared" si="34"/>
        <v>0</v>
      </c>
      <c r="AE57" s="1053">
        <f t="shared" si="35"/>
        <v>20.938610623547444</v>
      </c>
      <c r="AF57" s="1054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3">
        <f t="shared" ref="AL57:AL79" si="44">INDEX($AN$56:$AN$79,$AK57)</f>
        <v>-145</v>
      </c>
      <c r="AM57" s="1063">
        <f t="shared" ref="AM57:AM79" si="45">INDEX($AO$56:$AO$79,$AK57)</f>
        <v>1</v>
      </c>
      <c r="AN57" s="1074">
        <f t="shared" si="36"/>
        <v>215</v>
      </c>
      <c r="AO57" s="1075">
        <f t="shared" ref="AO57:AO79" si="46">IF(AND(AY57=0,AY58=0),$I$43,AY57)</f>
        <v>1</v>
      </c>
      <c r="AP57" s="1067">
        <f>$H$43</f>
        <v>215</v>
      </c>
      <c r="AQ57" s="1068">
        <v>1</v>
      </c>
      <c r="AR57" s="1067">
        <f>$H$43</f>
        <v>215</v>
      </c>
      <c r="AS57" s="1068">
        <v>1</v>
      </c>
      <c r="AT57" s="1067">
        <f>$H$43</f>
        <v>215</v>
      </c>
      <c r="AU57" s="1068">
        <v>1</v>
      </c>
      <c r="AV57" s="1067">
        <f>$H$43</f>
        <v>215</v>
      </c>
      <c r="AW57" s="1068">
        <v>1</v>
      </c>
      <c r="AX57" s="28">
        <f t="shared" si="37"/>
        <v>215</v>
      </c>
      <c r="AY57" s="28">
        <f t="shared" si="38"/>
        <v>1</v>
      </c>
    </row>
    <row r="58" spans="1:51" s="19" customFormat="1" ht="12.75" x14ac:dyDescent="0.2">
      <c r="A58" s="1021" t="str">
        <f t="shared" si="17"/>
        <v>Arbre 2</v>
      </c>
      <c r="B58" s="1025">
        <v>1</v>
      </c>
      <c r="C58" s="1080">
        <f t="shared" ref="C58:M58" si="47">$L22+C$55*Rapous</f>
        <v>8.1615803205204323</v>
      </c>
      <c r="D58" s="1080">
        <f t="shared" si="47"/>
        <v>9.1615803205204323</v>
      </c>
      <c r="E58" s="1080">
        <f t="shared" si="47"/>
        <v>10.161580320520432</v>
      </c>
      <c r="F58" s="1080">
        <f t="shared" si="47"/>
        <v>11.161580320520432</v>
      </c>
      <c r="G58" s="1081">
        <f t="shared" si="47"/>
        <v>12.161580320520432</v>
      </c>
      <c r="H58" s="1082">
        <f t="shared" si="47"/>
        <v>13.161580320520432</v>
      </c>
      <c r="I58" s="1083">
        <f t="shared" si="47"/>
        <v>14.161580320520432</v>
      </c>
      <c r="J58" s="1080">
        <f t="shared" si="47"/>
        <v>15.161580320520432</v>
      </c>
      <c r="K58" s="1080">
        <f t="shared" si="47"/>
        <v>16.161580320520432</v>
      </c>
      <c r="L58" s="1080">
        <f t="shared" si="47"/>
        <v>17.161580320520432</v>
      </c>
      <c r="M58" s="1081">
        <f t="shared" si="47"/>
        <v>18.161580320520432</v>
      </c>
      <c r="N58" s="688">
        <f t="shared" si="19"/>
        <v>20.186650688403653</v>
      </c>
      <c r="O58" s="928" t="str">
        <f t="shared" si="20"/>
        <v>Arbre 2</v>
      </c>
      <c r="P58" s="678">
        <f t="shared" si="21"/>
        <v>-25.566992707811639</v>
      </c>
      <c r="Q58" s="685">
        <f t="shared" si="22"/>
        <v>1.3286775130524502</v>
      </c>
      <c r="R58" s="688">
        <f t="shared" si="23"/>
        <v>4.159891369684682</v>
      </c>
      <c r="S58" s="688">
        <f t="shared" si="24"/>
        <v>6.970916118876672</v>
      </c>
      <c r="T58" s="688">
        <f t="shared" si="25"/>
        <v>9.7486416115272423</v>
      </c>
      <c r="U58" s="944">
        <f t="shared" si="26"/>
        <v>12.48088688292923</v>
      </c>
      <c r="V58" s="1085">
        <f t="shared" si="27"/>
        <v>15.15668690214536</v>
      </c>
      <c r="W58" s="685">
        <f t="shared" si="28"/>
        <v>17.766502169192133</v>
      </c>
      <c r="X58" s="688">
        <f t="shared" si="29"/>
        <v>20.302345429391476</v>
      </c>
      <c r="Y58" s="688">
        <f t="shared" si="30"/>
        <v>22.757827906674404</v>
      </c>
      <c r="Z58" s="688">
        <f t="shared" si="31"/>
        <v>25.12813399552757</v>
      </c>
      <c r="AA58" s="944">
        <f t="shared" si="32"/>
        <v>27.409937676557814</v>
      </c>
      <c r="AB58" s="1052">
        <f t="shared" si="33"/>
        <v>20.952278587194954</v>
      </c>
      <c r="AC58" s="1053">
        <f t="shared" si="40"/>
        <v>7.5010000000000003</v>
      </c>
      <c r="AD58" s="39" t="b">
        <f t="shared" si="34"/>
        <v>0</v>
      </c>
      <c r="AE58" s="1053">
        <f t="shared" si="35"/>
        <v>10.908758197002676</v>
      </c>
      <c r="AF58" s="1054">
        <f t="shared" si="41"/>
        <v>0</v>
      </c>
      <c r="AG58" s="929">
        <v>23.38</v>
      </c>
      <c r="AH58" s="930">
        <v>7.5199999999999818</v>
      </c>
      <c r="AJ58" s="1062">
        <f t="shared" si="42"/>
        <v>1</v>
      </c>
      <c r="AK58" s="82">
        <f t="shared" si="43"/>
        <v>1</v>
      </c>
      <c r="AL58" s="1063">
        <f t="shared" si="44"/>
        <v>-145</v>
      </c>
      <c r="AM58" s="1063">
        <f t="shared" si="45"/>
        <v>1</v>
      </c>
      <c r="AN58" s="1074">
        <f t="shared" si="36"/>
        <v>216</v>
      </c>
      <c r="AO58" s="1075">
        <f t="shared" si="46"/>
        <v>14.036243467926479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1" t="str">
        <f t="shared" si="17"/>
        <v>Arbre 3</v>
      </c>
      <c r="B59" s="1025">
        <v>1</v>
      </c>
      <c r="C59" s="1080">
        <f t="shared" ref="C59:M59" si="48">$L23+C$55*Rapous</f>
        <v>3.9167994426037094</v>
      </c>
      <c r="D59" s="1080">
        <f t="shared" si="48"/>
        <v>4.9167994426037094</v>
      </c>
      <c r="E59" s="1080">
        <f t="shared" si="48"/>
        <v>5.9167994426037094</v>
      </c>
      <c r="F59" s="1080">
        <f t="shared" si="48"/>
        <v>6.9167994426037094</v>
      </c>
      <c r="G59" s="1081">
        <f t="shared" si="48"/>
        <v>7.9167994426037094</v>
      </c>
      <c r="H59" s="1082">
        <f t="shared" si="48"/>
        <v>8.9167994426037094</v>
      </c>
      <c r="I59" s="1083">
        <f t="shared" si="48"/>
        <v>9.9167994426037094</v>
      </c>
      <c r="J59" s="1080">
        <f t="shared" si="48"/>
        <v>10.916799442603709</v>
      </c>
      <c r="K59" s="1080">
        <f t="shared" si="48"/>
        <v>11.916799442603709</v>
      </c>
      <c r="L59" s="1080">
        <f t="shared" si="48"/>
        <v>12.916799442603709</v>
      </c>
      <c r="M59" s="1081">
        <f t="shared" si="48"/>
        <v>13.916799442603709</v>
      </c>
      <c r="N59" s="688">
        <f t="shared" si="19"/>
        <v>24.073534036689061</v>
      </c>
      <c r="O59" s="928" t="str">
        <f t="shared" si="20"/>
        <v>Arbre 3</v>
      </c>
      <c r="P59" s="678">
        <f t="shared" si="21"/>
        <v>-14.658234510808963</v>
      </c>
      <c r="Q59" s="685">
        <f t="shared" si="22"/>
        <v>1</v>
      </c>
      <c r="R59" s="688">
        <f t="shared" si="23"/>
        <v>1</v>
      </c>
      <c r="S59" s="688">
        <f t="shared" si="24"/>
        <v>1</v>
      </c>
      <c r="T59" s="688">
        <f t="shared" si="25"/>
        <v>1</v>
      </c>
      <c r="U59" s="944">
        <f t="shared" si="26"/>
        <v>1</v>
      </c>
      <c r="V59" s="1085">
        <f t="shared" si="27"/>
        <v>2.9092933441902238</v>
      </c>
      <c r="W59" s="685">
        <f t="shared" si="28"/>
        <v>5.2768576923973152</v>
      </c>
      <c r="X59" s="688">
        <f t="shared" si="29"/>
        <v>7.6264974923427529</v>
      </c>
      <c r="Y59" s="688">
        <f t="shared" si="30"/>
        <v>9.9506275369114316</v>
      </c>
      <c r="Z59" s="688">
        <f t="shared" si="31"/>
        <v>12.242160093635551</v>
      </c>
      <c r="AA59" s="944">
        <f t="shared" si="32"/>
        <v>14.494619497832094</v>
      </c>
      <c r="AB59" s="1052">
        <f t="shared" si="33"/>
        <v>15.168705352816872</v>
      </c>
      <c r="AC59" s="1053">
        <f t="shared" si="40"/>
        <v>7.5010000000000003</v>
      </c>
      <c r="AD59" s="39" t="b">
        <f t="shared" si="34"/>
        <v>0</v>
      </c>
      <c r="AE59" s="1053">
        <f t="shared" si="35"/>
        <v>19.387641788856939</v>
      </c>
      <c r="AF59" s="1054">
        <f t="shared" si="41"/>
        <v>0</v>
      </c>
      <c r="AG59" s="929">
        <v>24.23</v>
      </c>
      <c r="AH59" s="930">
        <v>7.6000000000000227</v>
      </c>
      <c r="AJ59" s="1062">
        <f t="shared" si="42"/>
        <v>1</v>
      </c>
      <c r="AK59" s="82">
        <f t="shared" si="43"/>
        <v>1</v>
      </c>
      <c r="AL59" s="1063">
        <f t="shared" si="44"/>
        <v>-145</v>
      </c>
      <c r="AM59" s="1063">
        <f t="shared" si="45"/>
        <v>1</v>
      </c>
      <c r="AN59" s="1074">
        <f t="shared" si="36"/>
        <v>216</v>
      </c>
      <c r="AO59" s="1075">
        <f t="shared" si="46"/>
        <v>14.036243467926479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1" t="str">
        <f t="shared" si="17"/>
        <v>Arbre 5</v>
      </c>
      <c r="B60" s="1025">
        <v>1</v>
      </c>
      <c r="C60" s="1080">
        <f t="shared" ref="C60:M60" si="49">$L24+C$55*Rapous</f>
        <v>8.0468023065821619</v>
      </c>
      <c r="D60" s="1080">
        <f t="shared" si="49"/>
        <v>9.0468023065821619</v>
      </c>
      <c r="E60" s="1080">
        <f t="shared" si="49"/>
        <v>10.046802306582162</v>
      </c>
      <c r="F60" s="1080">
        <f t="shared" si="49"/>
        <v>11.046802306582162</v>
      </c>
      <c r="G60" s="1081">
        <f t="shared" si="49"/>
        <v>12.046802306582162</v>
      </c>
      <c r="H60" s="1082">
        <f t="shared" si="49"/>
        <v>13.046802306582162</v>
      </c>
      <c r="I60" s="1083">
        <f t="shared" si="49"/>
        <v>14.046802306582162</v>
      </c>
      <c r="J60" s="1080">
        <f t="shared" si="49"/>
        <v>15.046802306582162</v>
      </c>
      <c r="K60" s="1080">
        <f t="shared" si="49"/>
        <v>16.046802306582162</v>
      </c>
      <c r="L60" s="1080">
        <f t="shared" si="49"/>
        <v>17.046802306582162</v>
      </c>
      <c r="M60" s="1081">
        <f t="shared" si="49"/>
        <v>18.046802306582162</v>
      </c>
      <c r="N60" s="688">
        <f t="shared" si="19"/>
        <v>36.484221466486382</v>
      </c>
      <c r="O60" s="928" t="str">
        <f t="shared" si="20"/>
        <v>Arbre 5</v>
      </c>
      <c r="P60" s="678">
        <f t="shared" si="21"/>
        <v>2.0362260159043304</v>
      </c>
      <c r="Q60" s="685">
        <f t="shared" si="22"/>
        <v>1</v>
      </c>
      <c r="R60" s="688">
        <f t="shared" si="23"/>
        <v>2.1244882448346103</v>
      </c>
      <c r="S60" s="688">
        <f t="shared" si="24"/>
        <v>3.6907753013635962</v>
      </c>
      <c r="T60" s="688">
        <f t="shared" si="25"/>
        <v>5.2515592256561723</v>
      </c>
      <c r="U60" s="944">
        <f t="shared" si="26"/>
        <v>6.8045681320773364</v>
      </c>
      <c r="V60" s="1085">
        <f t="shared" si="27"/>
        <v>8.3475982790696062</v>
      </c>
      <c r="W60" s="685">
        <f t="shared" si="28"/>
        <v>9.87853189000867</v>
      </c>
      <c r="X60" s="688">
        <f t="shared" si="29"/>
        <v>11.395353164829478</v>
      </c>
      <c r="Y60" s="688">
        <f t="shared" si="30"/>
        <v>12.896162213358712</v>
      </c>
      <c r="Z60" s="688">
        <f t="shared" si="31"/>
        <v>14.379186717455978</v>
      </c>
      <c r="AA60" s="944">
        <f t="shared" si="32"/>
        <v>15.842791207801648</v>
      </c>
      <c r="AB60" s="1052">
        <f t="shared" si="33"/>
        <v>15.207496399512593</v>
      </c>
      <c r="AC60" s="1053">
        <f t="shared" si="40"/>
        <v>7.5010000000000003</v>
      </c>
      <c r="AD60" s="39" t="b">
        <f t="shared" si="34"/>
        <v>0</v>
      </c>
      <c r="AE60" s="1053">
        <f t="shared" si="35"/>
        <v>4.8078187378563566</v>
      </c>
      <c r="AF60" s="1054">
        <f t="shared" si="41"/>
        <v>-2.6931812621436437</v>
      </c>
      <c r="AG60" s="929">
        <v>25.31</v>
      </c>
      <c r="AH60" s="930">
        <v>7.7300000000000182</v>
      </c>
      <c r="AJ60" s="1062">
        <f t="shared" si="42"/>
        <v>1</v>
      </c>
      <c r="AK60" s="82">
        <f t="shared" si="43"/>
        <v>1</v>
      </c>
      <c r="AL60" s="1063">
        <f t="shared" si="44"/>
        <v>-145</v>
      </c>
      <c r="AM60" s="1063">
        <f t="shared" si="45"/>
        <v>1</v>
      </c>
      <c r="AN60" s="1074">
        <f t="shared" si="36"/>
        <v>216</v>
      </c>
      <c r="AO60" s="1075">
        <f t="shared" si="46"/>
        <v>14.036243467926479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1" t="str">
        <f t="shared" si="17"/>
        <v>Arbre 6</v>
      </c>
      <c r="B61" s="1025">
        <v>1</v>
      </c>
      <c r="C61" s="1080">
        <f t="shared" ref="C61:M61" si="50">$L25+C$55*Rapous</f>
        <v>8.767459346916965</v>
      </c>
      <c r="D61" s="1080">
        <f t="shared" si="50"/>
        <v>9.767459346916965</v>
      </c>
      <c r="E61" s="1080">
        <f t="shared" si="50"/>
        <v>10.767459346916965</v>
      </c>
      <c r="F61" s="1080">
        <f t="shared" si="50"/>
        <v>11.767459346916965</v>
      </c>
      <c r="G61" s="1081">
        <f t="shared" si="50"/>
        <v>12.767459346916965</v>
      </c>
      <c r="H61" s="1082">
        <f t="shared" si="50"/>
        <v>13.767459346916965</v>
      </c>
      <c r="I61" s="1083">
        <f t="shared" si="50"/>
        <v>14.767459346916965</v>
      </c>
      <c r="J61" s="1080">
        <f t="shared" si="50"/>
        <v>15.767459346916965</v>
      </c>
      <c r="K61" s="1080">
        <f t="shared" si="50"/>
        <v>16.767459346916965</v>
      </c>
      <c r="L61" s="1080">
        <f t="shared" si="50"/>
        <v>17.767459346916965</v>
      </c>
      <c r="M61" s="1081">
        <f t="shared" si="50"/>
        <v>18.767459346916965</v>
      </c>
      <c r="N61" s="688">
        <f t="shared" si="19"/>
        <v>42.598793744842396</v>
      </c>
      <c r="O61" s="928" t="str">
        <f t="shared" si="20"/>
        <v>Arbre 6</v>
      </c>
      <c r="P61" s="678">
        <f t="shared" si="21"/>
        <v>9.5372260159043307</v>
      </c>
      <c r="Q61" s="685">
        <f t="shared" si="22"/>
        <v>1.4443515182571298</v>
      </c>
      <c r="R61" s="688">
        <f t="shared" si="23"/>
        <v>2.7874657117450767</v>
      </c>
      <c r="S61" s="688">
        <f t="shared" si="24"/>
        <v>4.1275215104574192</v>
      </c>
      <c r="T61" s="688">
        <f t="shared" si="25"/>
        <v>5.4630698704110552</v>
      </c>
      <c r="U61" s="944">
        <f t="shared" si="26"/>
        <v>6.7926910298553551</v>
      </c>
      <c r="V61" s="1085">
        <f t="shared" si="27"/>
        <v>8.115003282847157</v>
      </c>
      <c r="W61" s="685">
        <f t="shared" si="28"/>
        <v>9.4286711511033925</v>
      </c>
      <c r="X61" s="688">
        <f t="shared" si="29"/>
        <v>10.732412840874471</v>
      </c>
      <c r="Y61" s="688">
        <f t="shared" si="30"/>
        <v>12.025006891732028</v>
      </c>
      <c r="Z61" s="688">
        <f t="shared" si="31"/>
        <v>13.305297946106647</v>
      </c>
      <c r="AA61" s="944">
        <f t="shared" si="32"/>
        <v>14.572201591223537</v>
      </c>
      <c r="AB61" s="1052">
        <f t="shared" si="33"/>
        <v>12.429209504611723</v>
      </c>
      <c r="AC61" s="1053">
        <f t="shared" si="40"/>
        <v>7.5010000000000003</v>
      </c>
      <c r="AD61" s="39" t="b">
        <f t="shared" si="34"/>
        <v>0</v>
      </c>
      <c r="AE61" s="1053">
        <f t="shared" si="35"/>
        <v>8.191299726060862</v>
      </c>
      <c r="AF61" s="1054">
        <f t="shared" si="41"/>
        <v>0</v>
      </c>
      <c r="AG61" s="929">
        <v>26.83</v>
      </c>
      <c r="AH61" s="930">
        <v>7.9000000000000057</v>
      </c>
      <c r="AJ61" s="1062">
        <f t="shared" si="42"/>
        <v>1</v>
      </c>
      <c r="AK61" s="82">
        <f t="shared" si="43"/>
        <v>1</v>
      </c>
      <c r="AL61" s="1063">
        <f t="shared" si="44"/>
        <v>-145</v>
      </c>
      <c r="AM61" s="1063">
        <f t="shared" si="45"/>
        <v>1</v>
      </c>
      <c r="AN61" s="1074">
        <f t="shared" si="36"/>
        <v>216</v>
      </c>
      <c r="AO61" s="1075">
        <f t="shared" si="46"/>
        <v>14.036243467926479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1" t="str">
        <f t="shared" si="17"/>
        <v>Arbre 7</v>
      </c>
      <c r="B62" s="1025">
        <v>1</v>
      </c>
      <c r="C62" s="1080">
        <f t="shared" ref="C62:M62" si="51">$L26+C$55*Rapous</f>
        <v>5.9585901255118685</v>
      </c>
      <c r="D62" s="1080">
        <f t="shared" si="51"/>
        <v>6.9585901255118685</v>
      </c>
      <c r="E62" s="1080">
        <f t="shared" si="51"/>
        <v>7.9585901255118685</v>
      </c>
      <c r="F62" s="1080">
        <f t="shared" si="51"/>
        <v>8.9585901255118685</v>
      </c>
      <c r="G62" s="1081">
        <f t="shared" si="51"/>
        <v>9.9585901255118685</v>
      </c>
      <c r="H62" s="1082">
        <f t="shared" si="51"/>
        <v>10.958590125511869</v>
      </c>
      <c r="I62" s="1083">
        <f t="shared" si="51"/>
        <v>11.958590125511869</v>
      </c>
      <c r="J62" s="1080">
        <f t="shared" si="51"/>
        <v>12.958590125511869</v>
      </c>
      <c r="K62" s="1080">
        <f t="shared" si="51"/>
        <v>13.958590125511869</v>
      </c>
      <c r="L62" s="1080">
        <f t="shared" si="51"/>
        <v>14.958590125511869</v>
      </c>
      <c r="M62" s="1081">
        <f t="shared" si="51"/>
        <v>15.958590125511869</v>
      </c>
      <c r="N62" s="688">
        <f t="shared" si="19"/>
        <v>45.542829194238948</v>
      </c>
      <c r="O62" s="928" t="str">
        <f t="shared" si="20"/>
        <v>Arbre 7</v>
      </c>
      <c r="P62" s="678">
        <f t="shared" si="21"/>
        <v>17.728525741965193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1.5913156179506658</v>
      </c>
      <c r="U62" s="944">
        <f t="shared" si="26"/>
        <v>2.8474420606450921</v>
      </c>
      <c r="V62" s="1085">
        <f t="shared" si="27"/>
        <v>4.1008354462587926</v>
      </c>
      <c r="W62" s="685">
        <f t="shared" si="28"/>
        <v>5.3503101019173247</v>
      </c>
      <c r="X62" s="688">
        <f t="shared" si="29"/>
        <v>6.5947026379824685</v>
      </c>
      <c r="Y62" s="688">
        <f t="shared" si="30"/>
        <v>7.8328782520511204</v>
      </c>
      <c r="Z62" s="688">
        <f t="shared" si="31"/>
        <v>9.063736636615161</v>
      </c>
      <c r="AA62" s="944">
        <f t="shared" si="32"/>
        <v>10.286217417999911</v>
      </c>
      <c r="AB62" s="1052">
        <f t="shared" si="33"/>
        <v>13.264718596979339</v>
      </c>
      <c r="AC62" s="1053">
        <f t="shared" si="40"/>
        <v>7.5010000000000003</v>
      </c>
      <c r="AD62" s="39" t="b">
        <f t="shared" si="34"/>
        <v>0</v>
      </c>
      <c r="AE62" s="1053">
        <f t="shared" si="35"/>
        <v>13.040105186758986</v>
      </c>
      <c r="AF62" s="1054">
        <f t="shared" si="41"/>
        <v>0</v>
      </c>
      <c r="AG62" s="929">
        <v>28.54</v>
      </c>
      <c r="AH62" s="930">
        <v>8.1200000000000045</v>
      </c>
      <c r="AJ62" s="1062">
        <f t="shared" si="42"/>
        <v>1</v>
      </c>
      <c r="AK62" s="82">
        <f t="shared" si="43"/>
        <v>1</v>
      </c>
      <c r="AL62" s="1063">
        <f t="shared" si="44"/>
        <v>-145</v>
      </c>
      <c r="AM62" s="1063">
        <f t="shared" si="45"/>
        <v>1</v>
      </c>
      <c r="AN62" s="1074">
        <f t="shared" si="36"/>
        <v>216</v>
      </c>
      <c r="AO62" s="1075">
        <f t="shared" si="46"/>
        <v>14.036243467926479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1" t="str">
        <f t="shared" si="17"/>
        <v>Arbre 9</v>
      </c>
      <c r="B63" s="1025">
        <v>1</v>
      </c>
      <c r="C63" s="1080">
        <f t="shared" ref="C63:M63" si="52">$L27+C$55*Rapous</f>
        <v>12.209082795066976</v>
      </c>
      <c r="D63" s="1080">
        <f t="shared" si="52"/>
        <v>13.209082795066976</v>
      </c>
      <c r="E63" s="1080">
        <f t="shared" si="52"/>
        <v>14.209082795066976</v>
      </c>
      <c r="F63" s="1080">
        <f t="shared" si="52"/>
        <v>15.209082795066976</v>
      </c>
      <c r="G63" s="1081">
        <f t="shared" si="52"/>
        <v>16.209082795066976</v>
      </c>
      <c r="H63" s="1082">
        <f t="shared" si="52"/>
        <v>17.209082795066976</v>
      </c>
      <c r="I63" s="1083">
        <f t="shared" si="52"/>
        <v>18.209082795066976</v>
      </c>
      <c r="J63" s="1080">
        <f t="shared" si="52"/>
        <v>19.209082795066976</v>
      </c>
      <c r="K63" s="1080">
        <f t="shared" si="52"/>
        <v>20.209082795066976</v>
      </c>
      <c r="L63" s="1080">
        <f t="shared" si="52"/>
        <v>21.209082795066976</v>
      </c>
      <c r="M63" s="1081">
        <f t="shared" si="52"/>
        <v>22.209082795066976</v>
      </c>
      <c r="N63" s="688">
        <f t="shared" si="19"/>
        <v>49.823093199997366</v>
      </c>
      <c r="O63" s="928" t="str">
        <f t="shared" si="20"/>
        <v>Arbre 9</v>
      </c>
      <c r="P63" s="678">
        <f t="shared" si="21"/>
        <v>30.768630928724178</v>
      </c>
      <c r="Q63" s="685">
        <f t="shared" si="22"/>
        <v>5.1788469398262409</v>
      </c>
      <c r="R63" s="688">
        <f t="shared" si="23"/>
        <v>6.3172573944711345</v>
      </c>
      <c r="S63" s="688">
        <f t="shared" si="24"/>
        <v>7.4506823012939725</v>
      </c>
      <c r="T63" s="688">
        <f t="shared" si="25"/>
        <v>8.5782737425869211</v>
      </c>
      <c r="U63" s="944">
        <f t="shared" si="26"/>
        <v>9.6992105541247948</v>
      </c>
      <c r="V63" s="1085">
        <f t="shared" si="27"/>
        <v>10.812701582405586</v>
      </c>
      <c r="W63" s="685">
        <f t="shared" si="28"/>
        <v>11.917988614828911</v>
      </c>
      <c r="X63" s="688">
        <f t="shared" si="29"/>
        <v>13.014348961138849</v>
      </c>
      <c r="Y63" s="688">
        <f t="shared" si="30"/>
        <v>14.101097671014408</v>
      </c>
      <c r="Z63" s="688">
        <f t="shared" si="31"/>
        <v>15.177589379210136</v>
      </c>
      <c r="AA63" s="944">
        <f t="shared" si="32"/>
        <v>16.243219775958767</v>
      </c>
      <c r="AB63" s="1052">
        <f t="shared" si="33"/>
        <v>14.713676576409139</v>
      </c>
      <c r="AC63" s="1053">
        <f t="shared" si="40"/>
        <v>7.5010000000000003</v>
      </c>
      <c r="AD63" s="39" t="b">
        <f t="shared" si="34"/>
        <v>0</v>
      </c>
      <c r="AE63" s="1053">
        <f t="shared" si="35"/>
        <v>6.1162870686131967</v>
      </c>
      <c r="AF63" s="1054">
        <f t="shared" si="41"/>
        <v>0</v>
      </c>
      <c r="AG63" s="929">
        <v>30.6</v>
      </c>
      <c r="AH63" s="930">
        <v>8.3700000000000045</v>
      </c>
      <c r="AJ63" s="1062">
        <f t="shared" si="42"/>
        <v>1</v>
      </c>
      <c r="AK63" s="82">
        <f t="shared" si="43"/>
        <v>1</v>
      </c>
      <c r="AL63" s="1063">
        <f t="shared" si="44"/>
        <v>-145</v>
      </c>
      <c r="AM63" s="1063">
        <f t="shared" si="45"/>
        <v>1</v>
      </c>
      <c r="AN63" s="1074">
        <f t="shared" si="36"/>
        <v>216</v>
      </c>
      <c r="AO63" s="1075">
        <f t="shared" si="46"/>
        <v>14.036243467926479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1" t="str">
        <f t="shared" si="17"/>
        <v>Arbre 10</v>
      </c>
      <c r="B64" s="1025">
        <v>1</v>
      </c>
      <c r="C64" s="1080">
        <f t="shared" ref="C64:M64" si="53">$L28+C$55*Rapous</f>
        <v>10.650262574533674</v>
      </c>
      <c r="D64" s="1080">
        <f t="shared" si="53"/>
        <v>11.650262574533674</v>
      </c>
      <c r="E64" s="1080">
        <f t="shared" si="53"/>
        <v>12.650262574533674</v>
      </c>
      <c r="F64" s="1080">
        <f t="shared" si="53"/>
        <v>13.650262574533674</v>
      </c>
      <c r="G64" s="1081">
        <f t="shared" si="53"/>
        <v>14.650262574533674</v>
      </c>
      <c r="H64" s="1082">
        <f t="shared" si="53"/>
        <v>15.650262574533674</v>
      </c>
      <c r="I64" s="1083">
        <f t="shared" si="53"/>
        <v>16.650262574533674</v>
      </c>
      <c r="J64" s="1080">
        <f t="shared" si="53"/>
        <v>17.650262574533674</v>
      </c>
      <c r="K64" s="1080">
        <f t="shared" si="53"/>
        <v>18.650262574533674</v>
      </c>
      <c r="L64" s="1080">
        <f t="shared" si="53"/>
        <v>19.650262574533674</v>
      </c>
      <c r="M64" s="1081">
        <f t="shared" si="53"/>
        <v>20.650262574533674</v>
      </c>
      <c r="N64" s="688">
        <f t="shared" si="19"/>
        <v>55.310876900620755</v>
      </c>
      <c r="O64" s="928" t="str">
        <f t="shared" si="20"/>
        <v>Arbre 10</v>
      </c>
      <c r="P64" s="678">
        <f t="shared" si="21"/>
        <v>41.17135132315083</v>
      </c>
      <c r="Q64" s="685">
        <f t="shared" si="22"/>
        <v>3.0600894373597263</v>
      </c>
      <c r="R64" s="688">
        <f t="shared" si="23"/>
        <v>4.0919175799302465</v>
      </c>
      <c r="S64" s="688">
        <f t="shared" si="24"/>
        <v>5.1210941635331837</v>
      </c>
      <c r="T64" s="688">
        <f t="shared" si="25"/>
        <v>6.1469682417091773</v>
      </c>
      <c r="U64" s="944">
        <f t="shared" si="26"/>
        <v>7.1689014981018468</v>
      </c>
      <c r="V64" s="1085">
        <f t="shared" si="27"/>
        <v>8.1862705280202093</v>
      </c>
      <c r="W64" s="685">
        <f t="shared" si="28"/>
        <v>9.1984689813794116</v>
      </c>
      <c r="X64" s="688">
        <f t="shared" si="29"/>
        <v>10.20490955001871</v>
      </c>
      <c r="Y64" s="688">
        <f t="shared" si="30"/>
        <v>11.205025784979858</v>
      </c>
      <c r="Z64" s="688">
        <f t="shared" si="31"/>
        <v>12.198273732069719</v>
      </c>
      <c r="AA64" s="944">
        <f t="shared" si="32"/>
        <v>13.18413337685951</v>
      </c>
      <c r="AB64" s="1052">
        <f t="shared" si="33"/>
        <v>10.856863463378181</v>
      </c>
      <c r="AC64" s="1053">
        <f t="shared" si="40"/>
        <v>7.5010000000000003</v>
      </c>
      <c r="AD64" s="39" t="b">
        <f t="shared" si="34"/>
        <v>0</v>
      </c>
      <c r="AE64" s="1053">
        <f t="shared" si="35"/>
        <v>11.787433325813453</v>
      </c>
      <c r="AF64" s="1054">
        <f t="shared" si="41"/>
        <v>4.2864333258134524</v>
      </c>
      <c r="AG64" s="929">
        <v>32.76</v>
      </c>
      <c r="AH64" s="930">
        <v>8.660000000000025</v>
      </c>
      <c r="AJ64" s="1062">
        <f t="shared" si="42"/>
        <v>1</v>
      </c>
      <c r="AK64" s="82">
        <f t="shared" si="43"/>
        <v>1</v>
      </c>
      <c r="AL64" s="1063">
        <f t="shared" si="44"/>
        <v>-145</v>
      </c>
      <c r="AM64" s="1063">
        <f t="shared" si="45"/>
        <v>1</v>
      </c>
      <c r="AN64" s="1074">
        <f t="shared" si="36"/>
        <v>216</v>
      </c>
      <c r="AO64" s="1075">
        <f t="shared" si="46"/>
        <v>14.036243467926479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1" t="str">
        <f t="shared" si="17"/>
        <v>Arbre 11</v>
      </c>
      <c r="B65" s="1025">
        <v>1</v>
      </c>
      <c r="C65" s="1080">
        <f t="shared" ref="C65:M65" si="54">$L29+C$55*Rapous</f>
        <v>5.7537095225461847</v>
      </c>
      <c r="D65" s="1080">
        <f t="shared" si="54"/>
        <v>6.7537095225461847</v>
      </c>
      <c r="E65" s="1080">
        <f t="shared" si="54"/>
        <v>7.7537095225461847</v>
      </c>
      <c r="F65" s="1080">
        <f t="shared" si="54"/>
        <v>8.7537095225461847</v>
      </c>
      <c r="G65" s="1081">
        <f t="shared" si="54"/>
        <v>9.7537095225461847</v>
      </c>
      <c r="H65" s="1082">
        <f t="shared" si="54"/>
        <v>10.753709522546185</v>
      </c>
      <c r="I65" s="1083">
        <f t="shared" si="54"/>
        <v>11.753709522546185</v>
      </c>
      <c r="J65" s="1080">
        <f t="shared" si="54"/>
        <v>12.753709522546185</v>
      </c>
      <c r="K65" s="1080">
        <f t="shared" si="54"/>
        <v>13.753709522546185</v>
      </c>
      <c r="L65" s="1080">
        <f t="shared" si="54"/>
        <v>14.753709522546185</v>
      </c>
      <c r="M65" s="1081">
        <f t="shared" si="54"/>
        <v>15.753709522546185</v>
      </c>
      <c r="N65" s="688">
        <f t="shared" si="19"/>
        <v>53.743077261314532</v>
      </c>
      <c r="O65" s="928" t="str">
        <f t="shared" si="20"/>
        <v>Arbre 11</v>
      </c>
      <c r="P65" s="678">
        <f t="shared" si="21"/>
        <v>48.672351323150828</v>
      </c>
      <c r="Q65" s="685">
        <f t="shared" si="22"/>
        <v>1</v>
      </c>
      <c r="R65" s="688">
        <f t="shared" si="23"/>
        <v>1</v>
      </c>
      <c r="S65" s="688">
        <f t="shared" si="24"/>
        <v>1</v>
      </c>
      <c r="T65" s="688">
        <f t="shared" si="25"/>
        <v>1.1302847542569425</v>
      </c>
      <c r="U65" s="944">
        <f t="shared" si="26"/>
        <v>2.1954615557595156</v>
      </c>
      <c r="V65" s="1085">
        <f t="shared" si="27"/>
        <v>3.2591223611509572</v>
      </c>
      <c r="W65" s="685">
        <f t="shared" si="28"/>
        <v>4.3205393179722922</v>
      </c>
      <c r="X65" s="688">
        <f t="shared" si="29"/>
        <v>5.378993793432425</v>
      </c>
      <c r="Y65" s="688">
        <f t="shared" si="30"/>
        <v>6.4337792377982321</v>
      </c>
      <c r="Z65" s="688">
        <f t="shared" si="31"/>
        <v>7.4842039257269892</v>
      </c>
      <c r="AA65" s="944">
        <f t="shared" si="32"/>
        <v>8.5295935498968518</v>
      </c>
      <c r="AB65" s="1052">
        <f t="shared" si="33"/>
        <v>13.561059242156944</v>
      </c>
      <c r="AC65" s="1053">
        <f t="shared" si="40"/>
        <v>7.5010000000000003</v>
      </c>
      <c r="AD65" s="39" t="b">
        <f t="shared" si="34"/>
        <v>0</v>
      </c>
      <c r="AE65" s="1053">
        <f t="shared" si="35"/>
        <v>14.577599891811396</v>
      </c>
      <c r="AF65" s="1054">
        <f t="shared" si="41"/>
        <v>0</v>
      </c>
      <c r="AG65" s="929">
        <v>35.270000000000003</v>
      </c>
      <c r="AH65" s="930">
        <v>9</v>
      </c>
      <c r="AJ65" s="1062">
        <f t="shared" si="42"/>
        <v>1</v>
      </c>
      <c r="AK65" s="82">
        <f t="shared" si="43"/>
        <v>1</v>
      </c>
      <c r="AL65" s="1063">
        <f t="shared" si="44"/>
        <v>-145</v>
      </c>
      <c r="AM65" s="1063">
        <f t="shared" si="45"/>
        <v>1</v>
      </c>
      <c r="AN65" s="1074">
        <f t="shared" si="36"/>
        <v>216</v>
      </c>
      <c r="AO65" s="1075">
        <f t="shared" si="46"/>
        <v>14.036243467926479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1" t="str">
        <f t="shared" si="17"/>
        <v>Arbre 13</v>
      </c>
      <c r="B66" s="1025">
        <v>1</v>
      </c>
      <c r="C66" s="1080">
        <f t="shared" ref="C66:M66" si="55">$L30+C$55*Rapous</f>
        <v>14.55410476364262</v>
      </c>
      <c r="D66" s="1080">
        <f t="shared" si="55"/>
        <v>15.55410476364262</v>
      </c>
      <c r="E66" s="1080">
        <f t="shared" si="55"/>
        <v>16.55410476364262</v>
      </c>
      <c r="F66" s="1080">
        <f t="shared" si="55"/>
        <v>17.55410476364262</v>
      </c>
      <c r="G66" s="1081">
        <f t="shared" si="55"/>
        <v>18.55410476364262</v>
      </c>
      <c r="H66" s="1082">
        <f t="shared" si="55"/>
        <v>19.55410476364262</v>
      </c>
      <c r="I66" s="1083">
        <f t="shared" si="55"/>
        <v>20.55410476364262</v>
      </c>
      <c r="J66" s="1080">
        <f t="shared" si="55"/>
        <v>21.55410476364262</v>
      </c>
      <c r="K66" s="1080">
        <f t="shared" si="55"/>
        <v>22.55410476364262</v>
      </c>
      <c r="L66" s="1080">
        <f t="shared" si="55"/>
        <v>23.55410476364262</v>
      </c>
      <c r="M66" s="1081">
        <f t="shared" si="55"/>
        <v>24.55410476364262</v>
      </c>
      <c r="N66" s="688">
        <f t="shared" si="19"/>
        <v>50.122284001386255</v>
      </c>
      <c r="O66" s="928" t="str">
        <f t="shared" si="20"/>
        <v>Arbre 13</v>
      </c>
      <c r="P66" s="678">
        <f t="shared" si="21"/>
        <v>63.249951214962223</v>
      </c>
      <c r="Q66" s="685">
        <f t="shared" si="22"/>
        <v>7.7942031701176582</v>
      </c>
      <c r="R66" s="688">
        <f t="shared" si="23"/>
        <v>8.9131571129603504</v>
      </c>
      <c r="S66" s="688">
        <f t="shared" si="24"/>
        <v>10.025299329344318</v>
      </c>
      <c r="T66" s="688">
        <f t="shared" si="25"/>
        <v>11.12986200891574</v>
      </c>
      <c r="U66" s="944">
        <f t="shared" si="26"/>
        <v>12.226110275653891</v>
      </c>
      <c r="V66" s="1085">
        <f t="shared" si="27"/>
        <v>13.313344592336636</v>
      </c>
      <c r="W66" s="685">
        <f t="shared" si="28"/>
        <v>14.390902810963546</v>
      </c>
      <c r="X66" s="688">
        <f t="shared" si="29"/>
        <v>15.458161862633416</v>
      </c>
      <c r="Y66" s="688">
        <f t="shared" si="30"/>
        <v>16.514539086304591</v>
      </c>
      <c r="Z66" s="688">
        <f t="shared" si="31"/>
        <v>17.559493201417762</v>
      </c>
      <c r="AA66" s="944">
        <f t="shared" si="32"/>
        <v>18.592524934417035</v>
      </c>
      <c r="AB66" s="1052">
        <f t="shared" si="33"/>
        <v>13.788069965294305</v>
      </c>
      <c r="AC66" s="1053">
        <f t="shared" si="40"/>
        <v>7.5010000000000003</v>
      </c>
      <c r="AD66" s="39" t="b">
        <f t="shared" si="34"/>
        <v>0</v>
      </c>
      <c r="AE66" s="1053">
        <f t="shared" si="35"/>
        <v>8.3528072547029097</v>
      </c>
      <c r="AF66" s="1054">
        <f t="shared" si="41"/>
        <v>0</v>
      </c>
      <c r="AG66" s="929">
        <v>37.65</v>
      </c>
      <c r="AH66" s="930">
        <v>9.3500000000000227</v>
      </c>
      <c r="AJ66" s="1062">
        <f t="shared" si="42"/>
        <v>1</v>
      </c>
      <c r="AK66" s="82">
        <f t="shared" si="43"/>
        <v>1</v>
      </c>
      <c r="AL66" s="1063">
        <f t="shared" si="44"/>
        <v>-145</v>
      </c>
      <c r="AM66" s="1063">
        <f t="shared" si="45"/>
        <v>1</v>
      </c>
      <c r="AN66" s="1074">
        <f t="shared" si="36"/>
        <v>216</v>
      </c>
      <c r="AO66" s="1075">
        <f t="shared" si="46"/>
        <v>14.036243467926479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1" t="str">
        <f t="shared" si="17"/>
        <v>Arbre 14</v>
      </c>
      <c r="B67" s="1025">
        <v>1</v>
      </c>
      <c r="C67" s="1080">
        <f t="shared" ref="C67:M67" si="56">$L31+C$55*Rapous</f>
        <v>7.4262030585141563</v>
      </c>
      <c r="D67" s="1080">
        <f t="shared" si="56"/>
        <v>8.4262030585141563</v>
      </c>
      <c r="E67" s="1080">
        <f t="shared" si="56"/>
        <v>9.4262030585141563</v>
      </c>
      <c r="F67" s="1080">
        <f t="shared" si="56"/>
        <v>10.426203058514156</v>
      </c>
      <c r="G67" s="1081">
        <f t="shared" si="56"/>
        <v>11.426203058514156</v>
      </c>
      <c r="H67" s="1082">
        <f t="shared" si="56"/>
        <v>12.426203058514156</v>
      </c>
      <c r="I67" s="1083">
        <f t="shared" si="56"/>
        <v>13.426203058514156</v>
      </c>
      <c r="J67" s="1080">
        <f t="shared" si="56"/>
        <v>14.426203058514156</v>
      </c>
      <c r="K67" s="1080">
        <f t="shared" si="56"/>
        <v>15.426203058514156</v>
      </c>
      <c r="L67" s="1080">
        <f t="shared" si="56"/>
        <v>16.426203058514155</v>
      </c>
      <c r="M67" s="1081">
        <f t="shared" si="56"/>
        <v>17.426203058514155</v>
      </c>
      <c r="N67" s="688">
        <f t="shared" si="19"/>
        <v>61.564618316981566</v>
      </c>
      <c r="O67" s="928" t="str">
        <f t="shared" si="20"/>
        <v>Arbre 14</v>
      </c>
      <c r="P67" s="678">
        <f t="shared" si="21"/>
        <v>71.602758469665133</v>
      </c>
      <c r="Q67" s="685">
        <f t="shared" si="22"/>
        <v>1</v>
      </c>
      <c r="R67" s="688">
        <f t="shared" si="23"/>
        <v>1</v>
      </c>
      <c r="S67" s="688">
        <f t="shared" si="24"/>
        <v>1.6122522972635236</v>
      </c>
      <c r="T67" s="688">
        <f t="shared" si="25"/>
        <v>2.5416702797559783</v>
      </c>
      <c r="U67" s="944">
        <f t="shared" si="26"/>
        <v>3.4697518263924239</v>
      </c>
      <c r="V67" s="1085">
        <f t="shared" si="27"/>
        <v>4.3960141049156878</v>
      </c>
      <c r="W67" s="685">
        <f t="shared" si="28"/>
        <v>5.3199799739348199</v>
      </c>
      <c r="X67" s="688">
        <f t="shared" si="29"/>
        <v>6.2411794276542878</v>
      </c>
      <c r="Y67" s="688">
        <f t="shared" si="30"/>
        <v>7.1591509856834037</v>
      </c>
      <c r="Z67" s="688">
        <f t="shared" si="31"/>
        <v>8.0734430180152206</v>
      </c>
      <c r="AA67" s="944">
        <f t="shared" si="32"/>
        <v>8.9836149961715765</v>
      </c>
      <c r="AB67" s="1052">
        <f t="shared" si="33"/>
        <v>8.7957296599767076</v>
      </c>
      <c r="AC67" s="1053">
        <f t="shared" si="40"/>
        <v>7.5010000000000003</v>
      </c>
      <c r="AD67" s="39" t="b">
        <f t="shared" si="34"/>
        <v>0</v>
      </c>
      <c r="AE67" s="1053">
        <f t="shared" si="35"/>
        <v>4.6462250277129016</v>
      </c>
      <c r="AF67" s="1054">
        <f t="shared" si="41"/>
        <v>0</v>
      </c>
      <c r="AG67" s="929">
        <v>40.520000000000003</v>
      </c>
      <c r="AH67" s="930">
        <v>9.789999999999992</v>
      </c>
      <c r="AJ67" s="1062">
        <f t="shared" si="42"/>
        <v>1</v>
      </c>
      <c r="AK67" s="82">
        <f t="shared" si="43"/>
        <v>1</v>
      </c>
      <c r="AL67" s="1063">
        <f t="shared" si="44"/>
        <v>-145</v>
      </c>
      <c r="AM67" s="1063">
        <f t="shared" si="45"/>
        <v>1</v>
      </c>
      <c r="AN67" s="1074">
        <f t="shared" si="36"/>
        <v>216</v>
      </c>
      <c r="AO67" s="1075">
        <f t="shared" si="46"/>
        <v>14.036243467926479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1" t="str">
        <f t="shared" si="17"/>
        <v>Arbre 15</v>
      </c>
      <c r="B68" s="1025">
        <v>1</v>
      </c>
      <c r="C68" s="1080">
        <f t="shared" ref="C68:M68" si="57">$L32+C$55*Rapous</f>
        <v>7.8571347606384094</v>
      </c>
      <c r="D68" s="1080">
        <f t="shared" si="57"/>
        <v>8.8571347606384094</v>
      </c>
      <c r="E68" s="1080">
        <f t="shared" si="57"/>
        <v>9.8571347606384094</v>
      </c>
      <c r="F68" s="1080">
        <f t="shared" si="57"/>
        <v>10.857134760638409</v>
      </c>
      <c r="G68" s="1081">
        <f t="shared" si="57"/>
        <v>11.857134760638409</v>
      </c>
      <c r="H68" s="1082">
        <f t="shared" si="57"/>
        <v>12.857134760638409</v>
      </c>
      <c r="I68" s="1083">
        <f t="shared" si="57"/>
        <v>13.857134760638409</v>
      </c>
      <c r="J68" s="1080">
        <f t="shared" si="57"/>
        <v>14.857134760638409</v>
      </c>
      <c r="K68" s="1080">
        <f t="shared" si="57"/>
        <v>15.857134760638409</v>
      </c>
      <c r="L68" s="1080">
        <f t="shared" si="57"/>
        <v>16.857134760638409</v>
      </c>
      <c r="M68" s="1081">
        <f t="shared" si="57"/>
        <v>17.857134760638409</v>
      </c>
      <c r="N68" s="688">
        <f t="shared" si="19"/>
        <v>67.142575378932435</v>
      </c>
      <c r="O68" s="928" t="str">
        <f t="shared" si="20"/>
        <v>Arbre 15</v>
      </c>
      <c r="P68" s="678">
        <f t="shared" si="21"/>
        <v>79.103758469665138</v>
      </c>
      <c r="Q68" s="685">
        <f t="shared" si="22"/>
        <v>1</v>
      </c>
      <c r="R68" s="688">
        <f t="shared" si="23"/>
        <v>1</v>
      </c>
      <c r="S68" s="688">
        <f t="shared" si="24"/>
        <v>1.8457972407247192</v>
      </c>
      <c r="T68" s="688">
        <f t="shared" si="25"/>
        <v>2.6977855690427721</v>
      </c>
      <c r="U68" s="944">
        <f t="shared" si="26"/>
        <v>3.5485817211058195</v>
      </c>
      <c r="V68" s="1085">
        <f t="shared" si="27"/>
        <v>4.3978139498266886</v>
      </c>
      <c r="W68" s="685">
        <f t="shared" si="28"/>
        <v>5.2451146197583292</v>
      </c>
      <c r="X68" s="688">
        <f t="shared" si="29"/>
        <v>6.0901211422970185</v>
      </c>
      <c r="Y68" s="688">
        <f t="shared" si="30"/>
        <v>6.9324768782167627</v>
      </c>
      <c r="Z68" s="688">
        <f t="shared" si="31"/>
        <v>7.7718320021128653</v>
      </c>
      <c r="AA68" s="944">
        <f t="shared" si="32"/>
        <v>8.6078443237818387</v>
      </c>
      <c r="AB68" s="1052">
        <f t="shared" si="33"/>
        <v>7.547033332558394</v>
      </c>
      <c r="AC68" s="1053">
        <f t="shared" si="40"/>
        <v>7.5010000000000003</v>
      </c>
      <c r="AD68" s="39" t="b">
        <f t="shared" si="34"/>
        <v>0</v>
      </c>
      <c r="AE68" s="1053">
        <f t="shared" si="35"/>
        <v>12.280007478537144</v>
      </c>
      <c r="AF68" s="1054">
        <f t="shared" si="41"/>
        <v>2.8547749722870988</v>
      </c>
      <c r="AG68" s="929">
        <v>42.91</v>
      </c>
      <c r="AH68" s="930">
        <v>10.22999999999999</v>
      </c>
      <c r="AJ68" s="1062">
        <f t="shared" si="42"/>
        <v>1</v>
      </c>
      <c r="AK68" s="82">
        <f t="shared" si="43"/>
        <v>1</v>
      </c>
      <c r="AL68" s="1063">
        <f t="shared" si="44"/>
        <v>-145</v>
      </c>
      <c r="AM68" s="1063">
        <f t="shared" si="45"/>
        <v>1</v>
      </c>
      <c r="AN68" s="1074">
        <f>IF(AND(AX68=0,AX69=0),MAX(AN67,$H$43+1),AX68)</f>
        <v>216</v>
      </c>
      <c r="AO68" s="1075">
        <f t="shared" si="46"/>
        <v>14.036243467926479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1" t="str">
        <f t="shared" si="17"/>
        <v>Arbre 16</v>
      </c>
      <c r="B69" s="1025">
        <v>1</v>
      </c>
      <c r="C69" s="1080">
        <f t="shared" ref="C69:M69" si="58">$L33+C$55*Rapous</f>
        <v>6.1523596389295996</v>
      </c>
      <c r="D69" s="1080">
        <f t="shared" si="58"/>
        <v>7.1523596389295996</v>
      </c>
      <c r="E69" s="1080">
        <f t="shared" si="58"/>
        <v>8.1523596389295996</v>
      </c>
      <c r="F69" s="1080">
        <f t="shared" si="58"/>
        <v>9.1523596389295996</v>
      </c>
      <c r="G69" s="1081">
        <f t="shared" si="58"/>
        <v>10.1523596389296</v>
      </c>
      <c r="H69" s="1082">
        <f t="shared" si="58"/>
        <v>11.1523596389296</v>
      </c>
      <c r="I69" s="1083">
        <f t="shared" si="58"/>
        <v>12.1523596389296</v>
      </c>
      <c r="J69" s="1080">
        <f t="shared" si="58"/>
        <v>13.1523596389296</v>
      </c>
      <c r="K69" s="1080">
        <f t="shared" si="58"/>
        <v>14.1523596389296</v>
      </c>
      <c r="L69" s="1080">
        <f t="shared" si="58"/>
        <v>15.1523596389296</v>
      </c>
      <c r="M69" s="1081">
        <f t="shared" si="58"/>
        <v>16.1523596389296</v>
      </c>
      <c r="N69" s="688">
        <f t="shared" si="19"/>
        <v>74.402644969890815</v>
      </c>
      <c r="O69" s="928" t="str">
        <f t="shared" si="20"/>
        <v>Arbre 16</v>
      </c>
      <c r="P69" s="678">
        <f t="shared" si="21"/>
        <v>88.528990975915178</v>
      </c>
      <c r="Q69" s="685">
        <f t="shared" si="22"/>
        <v>1</v>
      </c>
      <c r="R69" s="688">
        <f t="shared" si="23"/>
        <v>1</v>
      </c>
      <c r="S69" s="688">
        <f t="shared" si="24"/>
        <v>1</v>
      </c>
      <c r="T69" s="688">
        <f t="shared" si="25"/>
        <v>1.1233890807709623</v>
      </c>
      <c r="U69" s="944">
        <f t="shared" si="26"/>
        <v>1.8929212411571676</v>
      </c>
      <c r="V69" s="1085">
        <f t="shared" si="27"/>
        <v>2.6617708783365406</v>
      </c>
      <c r="W69" s="685">
        <f t="shared" si="28"/>
        <v>3.4296624763006438</v>
      </c>
      <c r="X69" s="688">
        <f t="shared" si="29"/>
        <v>4.1963225809158153</v>
      </c>
      <c r="Y69" s="688">
        <f t="shared" si="30"/>
        <v>4.9614803771211218</v>
      </c>
      <c r="Z69" s="688">
        <f t="shared" si="31"/>
        <v>5.7248682520681049</v>
      </c>
      <c r="AA69" s="944">
        <f t="shared" si="32"/>
        <v>6.4862223413349502</v>
      </c>
      <c r="AB69" s="1052">
        <f t="shared" si="33"/>
        <v>3.7431111706674751</v>
      </c>
      <c r="AC69" s="1053">
        <f t="shared" si="40"/>
        <v>7.5010000000000003</v>
      </c>
      <c r="AD69" s="39" t="b">
        <f t="shared" si="34"/>
        <v>0</v>
      </c>
      <c r="AE69" s="1053">
        <f t="shared" si="35"/>
        <v>36.471009024084822</v>
      </c>
      <c r="AF69" s="1054">
        <f t="shared" si="41"/>
        <v>0</v>
      </c>
      <c r="AG69" s="929">
        <v>46.04</v>
      </c>
      <c r="AH69" s="930">
        <v>10.759999999999991</v>
      </c>
      <c r="AJ69" s="1062">
        <f t="shared" si="42"/>
        <v>1</v>
      </c>
      <c r="AK69" s="82">
        <f t="shared" si="43"/>
        <v>1</v>
      </c>
      <c r="AL69" s="1063">
        <f t="shared" si="44"/>
        <v>-145</v>
      </c>
      <c r="AM69" s="1063">
        <f t="shared" si="45"/>
        <v>1</v>
      </c>
      <c r="AN69" s="1074">
        <f>IF(AND(AX69=0,AX70=0),MAX(AN68,$H$43+1),AX69)</f>
        <v>216</v>
      </c>
      <c r="AO69" s="1075">
        <f t="shared" si="46"/>
        <v>14.036243467926479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2" t="str">
        <f t="shared" si="17"/>
        <v>Toiture D</v>
      </c>
      <c r="B70" s="1025">
        <v>1</v>
      </c>
      <c r="C70" s="1080">
        <f t="shared" ref="C70:M70" si="59">$L34+C$55*Rapous</f>
        <v>-5</v>
      </c>
      <c r="D70" s="1080">
        <f t="shared" si="59"/>
        <v>-4</v>
      </c>
      <c r="E70" s="1080">
        <f t="shared" si="59"/>
        <v>-3</v>
      </c>
      <c r="F70" s="1080">
        <f t="shared" si="59"/>
        <v>-2</v>
      </c>
      <c r="G70" s="1081">
        <f t="shared" si="59"/>
        <v>-1</v>
      </c>
      <c r="H70" s="1082">
        <f t="shared" si="59"/>
        <v>0</v>
      </c>
      <c r="I70" s="1083">
        <f t="shared" si="59"/>
        <v>1</v>
      </c>
      <c r="J70" s="1080">
        <f t="shared" si="59"/>
        <v>2</v>
      </c>
      <c r="K70" s="1080">
        <f t="shared" si="59"/>
        <v>3</v>
      </c>
      <c r="L70" s="1080">
        <f t="shared" si="59"/>
        <v>4</v>
      </c>
      <c r="M70" s="1081">
        <f t="shared" si="59"/>
        <v>5</v>
      </c>
      <c r="N70" s="688">
        <f t="shared" si="19"/>
        <v>0</v>
      </c>
      <c r="O70" s="928" t="str">
        <f t="shared" si="20"/>
        <v>Toiture D</v>
      </c>
      <c r="P70" s="678">
        <f t="shared" si="21"/>
        <v>125</v>
      </c>
      <c r="Q70" s="685">
        <f t="shared" si="22"/>
        <v>1</v>
      </c>
      <c r="R70" s="688">
        <f t="shared" si="23"/>
        <v>1</v>
      </c>
      <c r="S70" s="688">
        <f t="shared" si="24"/>
        <v>1</v>
      </c>
      <c r="T70" s="688">
        <f t="shared" si="25"/>
        <v>1</v>
      </c>
      <c r="U70" s="944">
        <f t="shared" si="26"/>
        <v>1</v>
      </c>
      <c r="V70" s="1085">
        <f t="shared" si="27"/>
        <v>1</v>
      </c>
      <c r="W70" s="685">
        <f t="shared" si="28"/>
        <v>1</v>
      </c>
      <c r="X70" s="688">
        <f t="shared" si="29"/>
        <v>1</v>
      </c>
      <c r="Y70" s="688">
        <f t="shared" si="30"/>
        <v>1</v>
      </c>
      <c r="Z70" s="688">
        <f t="shared" si="31"/>
        <v>1</v>
      </c>
      <c r="AA70" s="944">
        <f t="shared" si="32"/>
        <v>1</v>
      </c>
      <c r="AB70" s="1052">
        <f t="shared" si="33"/>
        <v>7.5181217339632394</v>
      </c>
      <c r="AC70" s="1053">
        <f t="shared" si="40"/>
        <v>7.5010000000000003</v>
      </c>
      <c r="AD70" s="39" t="b">
        <f t="shared" si="34"/>
        <v>0</v>
      </c>
      <c r="AE70" s="1053">
        <f t="shared" si="35"/>
        <v>90</v>
      </c>
      <c r="AF70" s="1054">
        <f t="shared" si="41"/>
        <v>0</v>
      </c>
      <c r="AG70" s="929">
        <v>48.37</v>
      </c>
      <c r="AH70" s="930">
        <v>11.280000000000001</v>
      </c>
      <c r="AJ70" s="1062">
        <f t="shared" si="42"/>
        <v>1</v>
      </c>
      <c r="AK70" s="82">
        <f t="shared" si="43"/>
        <v>1</v>
      </c>
      <c r="AL70" s="1063">
        <f t="shared" si="44"/>
        <v>-145</v>
      </c>
      <c r="AM70" s="1063">
        <f t="shared" si="45"/>
        <v>1</v>
      </c>
      <c r="AN70" s="1074">
        <f t="shared" ref="AN70:AN79" si="60">IF(AND(AX70=0,AX71=0),MAX(AN69,$H$43+1),AX70)</f>
        <v>216</v>
      </c>
      <c r="AO70" s="1075">
        <f t="shared" si="46"/>
        <v>14.036243467926479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2" t="str">
        <f t="shared" si="17"/>
        <v>Arrière PV</v>
      </c>
      <c r="B71" s="1025">
        <v>1</v>
      </c>
      <c r="C71" s="1080">
        <f t="shared" ref="C71:M71" si="61">$L35+C$55*Rapous</f>
        <v>-5</v>
      </c>
      <c r="D71" s="1080">
        <f t="shared" si="61"/>
        <v>-4</v>
      </c>
      <c r="E71" s="1080">
        <f t="shared" si="61"/>
        <v>-3</v>
      </c>
      <c r="F71" s="1080">
        <f t="shared" si="61"/>
        <v>-2</v>
      </c>
      <c r="G71" s="1081">
        <f t="shared" si="61"/>
        <v>-1</v>
      </c>
      <c r="H71" s="1082">
        <f t="shared" si="61"/>
        <v>0</v>
      </c>
      <c r="I71" s="1083">
        <f t="shared" si="61"/>
        <v>1</v>
      </c>
      <c r="J71" s="1080">
        <f t="shared" si="61"/>
        <v>2</v>
      </c>
      <c r="K71" s="1080">
        <f t="shared" si="61"/>
        <v>3</v>
      </c>
      <c r="L71" s="1080">
        <f t="shared" si="61"/>
        <v>4</v>
      </c>
      <c r="M71" s="1081">
        <f t="shared" si="61"/>
        <v>5</v>
      </c>
      <c r="N71" s="688">
        <f t="shared" si="19"/>
        <v>0</v>
      </c>
      <c r="O71" s="928" t="str">
        <f t="shared" si="20"/>
        <v>Arrière PV</v>
      </c>
      <c r="P71" s="678">
        <f t="shared" si="21"/>
        <v>215</v>
      </c>
      <c r="Q71" s="685">
        <f t="shared" si="22"/>
        <v>14.036243467926479</v>
      </c>
      <c r="R71" s="688">
        <f t="shared" si="23"/>
        <v>14.036243467926479</v>
      </c>
      <c r="S71" s="688">
        <f t="shared" si="24"/>
        <v>14.036243467926479</v>
      </c>
      <c r="T71" s="688">
        <f t="shared" si="25"/>
        <v>14.036243467926479</v>
      </c>
      <c r="U71" s="944">
        <f t="shared" si="26"/>
        <v>14.036243467926479</v>
      </c>
      <c r="V71" s="1085">
        <f t="shared" si="27"/>
        <v>14.036243467926479</v>
      </c>
      <c r="W71" s="685">
        <f t="shared" si="28"/>
        <v>14.036243467926479</v>
      </c>
      <c r="X71" s="688">
        <f t="shared" si="29"/>
        <v>14.036243467926479</v>
      </c>
      <c r="Y71" s="688">
        <f t="shared" si="30"/>
        <v>14.036243467926479</v>
      </c>
      <c r="Z71" s="688">
        <f t="shared" si="31"/>
        <v>14.036243467926479</v>
      </c>
      <c r="AA71" s="944">
        <f t="shared" si="32"/>
        <v>14.036243467926479</v>
      </c>
      <c r="AB71" s="1052">
        <f t="shared" si="33"/>
        <v>14.036243467926479</v>
      </c>
      <c r="AC71" s="1053">
        <f t="shared" si="40"/>
        <v>7.5010000000000003</v>
      </c>
      <c r="AD71" s="39" t="b">
        <f t="shared" si="34"/>
        <v>0</v>
      </c>
      <c r="AE71" s="1053">
        <f t="shared" si="35"/>
        <v>0</v>
      </c>
      <c r="AF71" s="1054">
        <f t="shared" si="41"/>
        <v>0</v>
      </c>
      <c r="AG71" s="929">
        <v>51.52</v>
      </c>
      <c r="AH71" s="930">
        <v>11.930000000000007</v>
      </c>
      <c r="AJ71" s="1062">
        <f t="shared" si="42"/>
        <v>1</v>
      </c>
      <c r="AK71" s="82">
        <f t="shared" si="43"/>
        <v>2</v>
      </c>
      <c r="AL71" s="1063">
        <f t="shared" si="44"/>
        <v>215</v>
      </c>
      <c r="AM71" s="1063">
        <f t="shared" si="45"/>
        <v>1</v>
      </c>
      <c r="AN71" s="1074">
        <f t="shared" si="60"/>
        <v>216</v>
      </c>
      <c r="AO71" s="1075">
        <f t="shared" si="46"/>
        <v>14.036243467926479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2">
        <f t="shared" si="17"/>
        <v>0</v>
      </c>
      <c r="B72" s="1025">
        <v>1</v>
      </c>
      <c r="C72" s="1080">
        <f t="shared" ref="C72:M72" si="62">$L36+C$55*Rapous</f>
        <v>-5</v>
      </c>
      <c r="D72" s="1080">
        <f t="shared" si="62"/>
        <v>-4</v>
      </c>
      <c r="E72" s="1080">
        <f t="shared" si="62"/>
        <v>-3</v>
      </c>
      <c r="F72" s="1080">
        <f t="shared" si="62"/>
        <v>-2</v>
      </c>
      <c r="G72" s="1081">
        <f t="shared" si="62"/>
        <v>-1</v>
      </c>
      <c r="H72" s="1082">
        <f t="shared" si="62"/>
        <v>0</v>
      </c>
      <c r="I72" s="1083">
        <f t="shared" si="62"/>
        <v>1</v>
      </c>
      <c r="J72" s="1080">
        <f t="shared" si="62"/>
        <v>2</v>
      </c>
      <c r="K72" s="1080">
        <f t="shared" si="62"/>
        <v>3</v>
      </c>
      <c r="L72" s="1080">
        <f t="shared" si="62"/>
        <v>4</v>
      </c>
      <c r="M72" s="1081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215</v>
      </c>
      <c r="Q72" s="685">
        <f t="shared" si="22"/>
        <v>14.036243467926479</v>
      </c>
      <c r="R72" s="688">
        <f t="shared" si="23"/>
        <v>14.036243467926479</v>
      </c>
      <c r="S72" s="688">
        <f t="shared" si="24"/>
        <v>14.036243467926479</v>
      </c>
      <c r="T72" s="688">
        <f t="shared" si="25"/>
        <v>14.036243467926479</v>
      </c>
      <c r="U72" s="944">
        <f t="shared" si="26"/>
        <v>14.036243467926479</v>
      </c>
      <c r="V72" s="1085">
        <f t="shared" si="27"/>
        <v>14.036243467926479</v>
      </c>
      <c r="W72" s="685">
        <f t="shared" si="28"/>
        <v>14.036243467926479</v>
      </c>
      <c r="X72" s="688">
        <f t="shared" si="29"/>
        <v>14.036243467926479</v>
      </c>
      <c r="Y72" s="688">
        <f t="shared" si="30"/>
        <v>14.036243467926479</v>
      </c>
      <c r="Z72" s="688">
        <f t="shared" si="31"/>
        <v>14.036243467926479</v>
      </c>
      <c r="AA72" s="944">
        <f t="shared" si="32"/>
        <v>14.036243467926479</v>
      </c>
      <c r="AB72" s="1052">
        <f t="shared" si="33"/>
        <v>14.036243467926479</v>
      </c>
      <c r="AC72" s="1053">
        <f t="shared" si="40"/>
        <v>7.5010000000000003</v>
      </c>
      <c r="AD72" s="39" t="b">
        <f t="shared" si="34"/>
        <v>0</v>
      </c>
      <c r="AE72" s="1053">
        <f t="shared" si="35"/>
        <v>0</v>
      </c>
      <c r="AF72" s="1054">
        <f t="shared" si="41"/>
        <v>0</v>
      </c>
      <c r="AG72" s="929">
        <v>53.73</v>
      </c>
      <c r="AH72" s="932">
        <v>12.530000000000001</v>
      </c>
      <c r="AJ72" s="1062">
        <f t="shared" si="42"/>
        <v>1</v>
      </c>
      <c r="AK72" s="82">
        <f t="shared" si="43"/>
        <v>2</v>
      </c>
      <c r="AL72" s="1063">
        <f t="shared" si="44"/>
        <v>215</v>
      </c>
      <c r="AM72" s="1063">
        <f t="shared" si="45"/>
        <v>1</v>
      </c>
      <c r="AN72" s="1074">
        <f t="shared" si="60"/>
        <v>216</v>
      </c>
      <c r="AO72" s="1075">
        <f t="shared" si="46"/>
        <v>14.036243467926479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2">
        <f t="shared" si="17"/>
        <v>0</v>
      </c>
      <c r="B73" s="1025">
        <v>1</v>
      </c>
      <c r="C73" s="1080">
        <f t="shared" ref="C73:M73" si="63">$L37+C$55*Rapous</f>
        <v>-5</v>
      </c>
      <c r="D73" s="1080">
        <f t="shared" si="63"/>
        <v>-4</v>
      </c>
      <c r="E73" s="1080">
        <f t="shared" si="63"/>
        <v>-3</v>
      </c>
      <c r="F73" s="1080">
        <f t="shared" si="63"/>
        <v>-2</v>
      </c>
      <c r="G73" s="1081">
        <f t="shared" si="63"/>
        <v>-1</v>
      </c>
      <c r="H73" s="1082">
        <f t="shared" si="63"/>
        <v>0</v>
      </c>
      <c r="I73" s="1083">
        <f t="shared" si="63"/>
        <v>1</v>
      </c>
      <c r="J73" s="1080">
        <f t="shared" si="63"/>
        <v>2</v>
      </c>
      <c r="K73" s="1080">
        <f t="shared" si="63"/>
        <v>3</v>
      </c>
      <c r="L73" s="1080">
        <f t="shared" si="63"/>
        <v>4</v>
      </c>
      <c r="M73" s="1081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215</v>
      </c>
      <c r="Q73" s="685">
        <f t="shared" si="22"/>
        <v>14.036243467926479</v>
      </c>
      <c r="R73" s="688">
        <f t="shared" si="23"/>
        <v>14.036243467926479</v>
      </c>
      <c r="S73" s="688">
        <f t="shared" si="24"/>
        <v>14.036243467926479</v>
      </c>
      <c r="T73" s="688">
        <f t="shared" si="25"/>
        <v>14.036243467926479</v>
      </c>
      <c r="U73" s="944">
        <f t="shared" si="26"/>
        <v>14.036243467926479</v>
      </c>
      <c r="V73" s="1085">
        <f t="shared" si="27"/>
        <v>14.036243467926479</v>
      </c>
      <c r="W73" s="685">
        <f t="shared" si="28"/>
        <v>14.036243467926479</v>
      </c>
      <c r="X73" s="688">
        <f t="shared" si="29"/>
        <v>14.036243467926479</v>
      </c>
      <c r="Y73" s="688">
        <f t="shared" si="30"/>
        <v>14.036243467926479</v>
      </c>
      <c r="Z73" s="688">
        <f t="shared" si="31"/>
        <v>14.036243467926479</v>
      </c>
      <c r="AA73" s="944">
        <f t="shared" si="32"/>
        <v>14.036243467926479</v>
      </c>
      <c r="AB73" s="1052">
        <f t="shared" si="33"/>
        <v>14.036243467926479</v>
      </c>
      <c r="AC73" s="1053">
        <f t="shared" si="40"/>
        <v>7.5010000000000003</v>
      </c>
      <c r="AD73" s="39" t="b">
        <f t="shared" si="34"/>
        <v>0</v>
      </c>
      <c r="AE73" s="1053">
        <f t="shared" si="35"/>
        <v>0</v>
      </c>
      <c r="AF73" s="1054">
        <f t="shared" si="41"/>
        <v>0</v>
      </c>
      <c r="AG73" s="929">
        <v>56.67</v>
      </c>
      <c r="AH73" s="932">
        <v>13.370000000000005</v>
      </c>
      <c r="AJ73" s="1062">
        <f t="shared" si="42"/>
        <v>1</v>
      </c>
      <c r="AK73" s="82">
        <f t="shared" si="43"/>
        <v>2</v>
      </c>
      <c r="AL73" s="1063">
        <f t="shared" si="44"/>
        <v>215</v>
      </c>
      <c r="AM73" s="1063">
        <f t="shared" si="45"/>
        <v>1</v>
      </c>
      <c r="AN73" s="1074">
        <f t="shared" si="60"/>
        <v>216</v>
      </c>
      <c r="AO73" s="1075">
        <f t="shared" si="46"/>
        <v>14.036243467926479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2">
        <f t="shared" si="17"/>
        <v>0</v>
      </c>
      <c r="B74" s="1025">
        <v>1</v>
      </c>
      <c r="C74" s="1080">
        <f t="shared" ref="C74:M74" si="64">$L38+C$55*Rapous</f>
        <v>-5</v>
      </c>
      <c r="D74" s="1080">
        <f t="shared" si="64"/>
        <v>-4</v>
      </c>
      <c r="E74" s="1080">
        <f t="shared" si="64"/>
        <v>-3</v>
      </c>
      <c r="F74" s="1080">
        <f t="shared" si="64"/>
        <v>-2</v>
      </c>
      <c r="G74" s="1081">
        <f t="shared" si="64"/>
        <v>-1</v>
      </c>
      <c r="H74" s="1082">
        <f t="shared" si="64"/>
        <v>0</v>
      </c>
      <c r="I74" s="1083">
        <f t="shared" si="64"/>
        <v>1</v>
      </c>
      <c r="J74" s="1080">
        <f t="shared" si="64"/>
        <v>2</v>
      </c>
      <c r="K74" s="1080">
        <f t="shared" si="64"/>
        <v>3</v>
      </c>
      <c r="L74" s="1080">
        <f t="shared" si="64"/>
        <v>4</v>
      </c>
      <c r="M74" s="1081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215</v>
      </c>
      <c r="Q74" s="685">
        <f t="shared" si="22"/>
        <v>14.036243467926479</v>
      </c>
      <c r="R74" s="688">
        <f t="shared" si="23"/>
        <v>14.036243467926479</v>
      </c>
      <c r="S74" s="688">
        <f t="shared" si="24"/>
        <v>14.036243467926479</v>
      </c>
      <c r="T74" s="688">
        <f t="shared" si="25"/>
        <v>14.036243467926479</v>
      </c>
      <c r="U74" s="944">
        <f t="shared" si="26"/>
        <v>14.036243467926479</v>
      </c>
      <c r="V74" s="1085">
        <f t="shared" si="27"/>
        <v>14.036243467926479</v>
      </c>
      <c r="W74" s="685">
        <f t="shared" si="28"/>
        <v>14.036243467926479</v>
      </c>
      <c r="X74" s="688">
        <f t="shared" si="29"/>
        <v>14.036243467926479</v>
      </c>
      <c r="Y74" s="688">
        <f t="shared" si="30"/>
        <v>14.036243467926479</v>
      </c>
      <c r="Z74" s="688">
        <f t="shared" si="31"/>
        <v>14.036243467926479</v>
      </c>
      <c r="AA74" s="944">
        <f t="shared" si="32"/>
        <v>14.036243467926479</v>
      </c>
      <c r="AB74" s="1052">
        <f t="shared" si="33"/>
        <v>14.036243467926479</v>
      </c>
      <c r="AC74" s="1053">
        <f t="shared" si="40"/>
        <v>7.5010000000000003</v>
      </c>
      <c r="AD74" s="39" t="b">
        <f t="shared" si="34"/>
        <v>0</v>
      </c>
      <c r="AE74" s="1053">
        <f t="shared" si="35"/>
        <v>0</v>
      </c>
      <c r="AF74" s="1054">
        <f t="shared" si="41"/>
        <v>0</v>
      </c>
      <c r="AG74" s="929">
        <v>58.66</v>
      </c>
      <c r="AH74" s="932">
        <v>13.969999999999999</v>
      </c>
      <c r="AJ74" s="1062">
        <f t="shared" si="42"/>
        <v>1</v>
      </c>
      <c r="AK74" s="82">
        <f t="shared" si="43"/>
        <v>2</v>
      </c>
      <c r="AL74" s="1063">
        <f t="shared" si="44"/>
        <v>215</v>
      </c>
      <c r="AM74" s="1063">
        <f t="shared" si="45"/>
        <v>1</v>
      </c>
      <c r="AN74" s="1074">
        <f t="shared" si="60"/>
        <v>216</v>
      </c>
      <c r="AO74" s="1075">
        <f t="shared" si="46"/>
        <v>14.036243467926479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2">
        <f t="shared" si="17"/>
        <v>0</v>
      </c>
      <c r="B75" s="1025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2">
        <f t="shared" si="65"/>
        <v>0</v>
      </c>
      <c r="I75" s="1083">
        <f t="shared" si="65"/>
        <v>1</v>
      </c>
      <c r="J75" s="1086">
        <f t="shared" si="65"/>
        <v>2</v>
      </c>
      <c r="K75" s="1080">
        <f t="shared" si="65"/>
        <v>3</v>
      </c>
      <c r="L75" s="1086">
        <f t="shared" si="65"/>
        <v>4</v>
      </c>
      <c r="M75" s="1081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215</v>
      </c>
      <c r="Q75" s="685">
        <f t="shared" si="22"/>
        <v>14.036243467926479</v>
      </c>
      <c r="R75" s="688">
        <f t="shared" si="23"/>
        <v>14.036243467926479</v>
      </c>
      <c r="S75" s="688">
        <f t="shared" si="24"/>
        <v>14.036243467926479</v>
      </c>
      <c r="T75" s="688">
        <f t="shared" si="25"/>
        <v>14.036243467926479</v>
      </c>
      <c r="U75" s="944">
        <f t="shared" si="26"/>
        <v>14.036243467926479</v>
      </c>
      <c r="V75" s="1085">
        <f t="shared" si="27"/>
        <v>14.036243467926479</v>
      </c>
      <c r="W75" s="685">
        <f t="shared" si="28"/>
        <v>14.036243467926479</v>
      </c>
      <c r="X75" s="688">
        <f t="shared" si="29"/>
        <v>14.036243467926479</v>
      </c>
      <c r="Y75" s="688">
        <f t="shared" si="30"/>
        <v>14.036243467926479</v>
      </c>
      <c r="Z75" s="688">
        <f t="shared" si="31"/>
        <v>14.036243467926479</v>
      </c>
      <c r="AA75" s="944">
        <f t="shared" si="32"/>
        <v>14.036243467926479</v>
      </c>
      <c r="AB75" s="1052">
        <f t="shared" si="33"/>
        <v>14.036243467926479</v>
      </c>
      <c r="AC75" s="1053">
        <f t="shared" si="40"/>
        <v>7.5010000000000003</v>
      </c>
      <c r="AD75" s="39" t="b">
        <f t="shared" si="34"/>
        <v>0</v>
      </c>
      <c r="AE75" s="1053">
        <f t="shared" si="35"/>
        <v>0</v>
      </c>
      <c r="AF75" s="1054">
        <f t="shared" si="41"/>
        <v>0</v>
      </c>
      <c r="AG75" s="929">
        <v>61.27</v>
      </c>
      <c r="AH75" s="932">
        <v>15.02000000000001</v>
      </c>
      <c r="AJ75" s="1062">
        <f t="shared" si="42"/>
        <v>1</v>
      </c>
      <c r="AK75" s="82">
        <f t="shared" si="43"/>
        <v>2</v>
      </c>
      <c r="AL75" s="1063">
        <f t="shared" si="44"/>
        <v>215</v>
      </c>
      <c r="AM75" s="1063">
        <f t="shared" si="45"/>
        <v>1</v>
      </c>
      <c r="AN75" s="1074">
        <f t="shared" si="60"/>
        <v>216</v>
      </c>
      <c r="AO75" s="1075">
        <f t="shared" si="46"/>
        <v>14.036243467926479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2">
        <f t="shared" si="17"/>
        <v>0</v>
      </c>
      <c r="B76" s="1025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2">
        <f t="shared" si="66"/>
        <v>0</v>
      </c>
      <c r="I76" s="1083">
        <f t="shared" si="66"/>
        <v>1</v>
      </c>
      <c r="J76" s="1086">
        <f t="shared" si="66"/>
        <v>2</v>
      </c>
      <c r="K76" s="1080">
        <f t="shared" si="66"/>
        <v>3</v>
      </c>
      <c r="L76" s="1086">
        <f t="shared" si="66"/>
        <v>4</v>
      </c>
      <c r="M76" s="1081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215</v>
      </c>
      <c r="Q76" s="685">
        <f t="shared" si="22"/>
        <v>14.036243467926479</v>
      </c>
      <c r="R76" s="688">
        <f t="shared" si="23"/>
        <v>14.036243467926479</v>
      </c>
      <c r="S76" s="688">
        <f t="shared" si="24"/>
        <v>14.036243467926479</v>
      </c>
      <c r="T76" s="688">
        <f t="shared" si="25"/>
        <v>14.036243467926479</v>
      </c>
      <c r="U76" s="944">
        <f t="shared" si="26"/>
        <v>14.036243467926479</v>
      </c>
      <c r="V76" s="1085">
        <f t="shared" si="27"/>
        <v>14.036243467926479</v>
      </c>
      <c r="W76" s="685">
        <f t="shared" si="28"/>
        <v>14.036243467926479</v>
      </c>
      <c r="X76" s="688">
        <f t="shared" si="29"/>
        <v>14.036243467926479</v>
      </c>
      <c r="Y76" s="688">
        <f t="shared" si="30"/>
        <v>14.036243467926479</v>
      </c>
      <c r="Z76" s="688">
        <f t="shared" si="31"/>
        <v>14.036243467926479</v>
      </c>
      <c r="AA76" s="944">
        <f t="shared" si="32"/>
        <v>14.036243467926479</v>
      </c>
      <c r="AB76" s="1052">
        <f t="shared" si="33"/>
        <v>14.036243467926479</v>
      </c>
      <c r="AC76" s="1053">
        <f t="shared" si="40"/>
        <v>7.5010000000000003</v>
      </c>
      <c r="AD76" s="39" t="b">
        <f t="shared" si="34"/>
        <v>0</v>
      </c>
      <c r="AE76" s="1053">
        <f t="shared" si="35"/>
        <v>0</v>
      </c>
      <c r="AF76" s="1054">
        <f t="shared" si="41"/>
        <v>0</v>
      </c>
      <c r="AG76" s="929">
        <v>62.95</v>
      </c>
      <c r="AH76" s="932">
        <v>15.569999999999993</v>
      </c>
      <c r="AJ76" s="1062">
        <f t="shared" si="42"/>
        <v>1</v>
      </c>
      <c r="AK76" s="82">
        <f t="shared" si="43"/>
        <v>2</v>
      </c>
      <c r="AL76" s="1063">
        <f t="shared" si="44"/>
        <v>215</v>
      </c>
      <c r="AM76" s="1063">
        <f t="shared" si="45"/>
        <v>1</v>
      </c>
      <c r="AN76" s="1074">
        <f t="shared" si="60"/>
        <v>216</v>
      </c>
      <c r="AO76" s="1075">
        <f t="shared" si="46"/>
        <v>14.036243467926479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2">
        <f t="shared" si="17"/>
        <v>0</v>
      </c>
      <c r="B77" s="1025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2">
        <f t="shared" si="67"/>
        <v>0</v>
      </c>
      <c r="I77" s="1083">
        <f t="shared" si="67"/>
        <v>1</v>
      </c>
      <c r="J77" s="1086">
        <f t="shared" si="67"/>
        <v>2</v>
      </c>
      <c r="K77" s="1080">
        <f t="shared" si="67"/>
        <v>3</v>
      </c>
      <c r="L77" s="1086">
        <f t="shared" si="67"/>
        <v>4</v>
      </c>
      <c r="M77" s="1081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215</v>
      </c>
      <c r="Q77" s="685">
        <f t="shared" si="22"/>
        <v>14.036243467926479</v>
      </c>
      <c r="R77" s="688">
        <f t="shared" si="23"/>
        <v>14.036243467926479</v>
      </c>
      <c r="S77" s="688">
        <f t="shared" si="24"/>
        <v>14.036243467926479</v>
      </c>
      <c r="T77" s="688">
        <f t="shared" si="25"/>
        <v>14.036243467926479</v>
      </c>
      <c r="U77" s="944">
        <f t="shared" si="26"/>
        <v>14.036243467926479</v>
      </c>
      <c r="V77" s="1085">
        <f t="shared" si="27"/>
        <v>14.036243467926479</v>
      </c>
      <c r="W77" s="685">
        <f t="shared" si="28"/>
        <v>14.036243467926479</v>
      </c>
      <c r="X77" s="688">
        <f t="shared" si="29"/>
        <v>14.036243467926479</v>
      </c>
      <c r="Y77" s="688">
        <f t="shared" si="30"/>
        <v>14.036243467926479</v>
      </c>
      <c r="Z77" s="688">
        <f t="shared" si="31"/>
        <v>14.036243467926479</v>
      </c>
      <c r="AA77" s="944">
        <f t="shared" si="32"/>
        <v>14.036243467926479</v>
      </c>
      <c r="AB77" s="1052">
        <f t="shared" si="33"/>
        <v>14.036243467926479</v>
      </c>
      <c r="AC77" s="1053">
        <f t="shared" si="40"/>
        <v>7.5010000000000003</v>
      </c>
      <c r="AD77" s="39" t="b">
        <f t="shared" si="34"/>
        <v>0</v>
      </c>
      <c r="AE77" s="1053">
        <f t="shared" si="35"/>
        <v>0</v>
      </c>
      <c r="AF77" s="1054">
        <f t="shared" si="41"/>
        <v>0</v>
      </c>
      <c r="AG77" s="929">
        <v>65.069999999999993</v>
      </c>
      <c r="AH77" s="932">
        <v>16.789999999999992</v>
      </c>
      <c r="AJ77" s="1062">
        <f t="shared" si="42"/>
        <v>1</v>
      </c>
      <c r="AK77" s="82">
        <f t="shared" si="43"/>
        <v>2</v>
      </c>
      <c r="AL77" s="1063">
        <f t="shared" si="44"/>
        <v>215</v>
      </c>
      <c r="AM77" s="1063">
        <f t="shared" si="45"/>
        <v>1</v>
      </c>
      <c r="AN77" s="1074">
        <f t="shared" si="60"/>
        <v>216</v>
      </c>
      <c r="AO77" s="1075">
        <f t="shared" si="46"/>
        <v>14.036243467926479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2">
        <f t="shared" si="17"/>
        <v>0</v>
      </c>
      <c r="B78" s="1025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2">
        <f t="shared" si="68"/>
        <v>0</v>
      </c>
      <c r="I78" s="1083">
        <f t="shared" si="68"/>
        <v>1</v>
      </c>
      <c r="J78" s="1086">
        <f t="shared" si="68"/>
        <v>2</v>
      </c>
      <c r="K78" s="1080">
        <f t="shared" si="68"/>
        <v>3</v>
      </c>
      <c r="L78" s="1086">
        <f t="shared" si="68"/>
        <v>4</v>
      </c>
      <c r="M78" s="1081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215</v>
      </c>
      <c r="Q78" s="685">
        <f t="shared" si="22"/>
        <v>14.036243467926479</v>
      </c>
      <c r="R78" s="688">
        <f t="shared" si="23"/>
        <v>14.036243467926479</v>
      </c>
      <c r="S78" s="688">
        <f t="shared" si="24"/>
        <v>14.036243467926479</v>
      </c>
      <c r="T78" s="688">
        <f t="shared" si="25"/>
        <v>14.036243467926479</v>
      </c>
      <c r="U78" s="944">
        <f t="shared" si="26"/>
        <v>14.036243467926479</v>
      </c>
      <c r="V78" s="1085">
        <f t="shared" si="27"/>
        <v>14.036243467926479</v>
      </c>
      <c r="W78" s="685">
        <f t="shared" si="28"/>
        <v>14.036243467926479</v>
      </c>
      <c r="X78" s="688">
        <f t="shared" si="29"/>
        <v>14.036243467926479</v>
      </c>
      <c r="Y78" s="688">
        <f t="shared" si="30"/>
        <v>14.036243467926479</v>
      </c>
      <c r="Z78" s="688">
        <f t="shared" si="31"/>
        <v>14.036243467926479</v>
      </c>
      <c r="AA78" s="944">
        <f t="shared" si="32"/>
        <v>14.036243467926479</v>
      </c>
      <c r="AB78" s="1052">
        <f t="shared" si="33"/>
        <v>14.036243467926479</v>
      </c>
      <c r="AC78" s="1053">
        <f t="shared" si="40"/>
        <v>7.5010000000000003</v>
      </c>
      <c r="AD78" s="39" t="b">
        <f t="shared" si="34"/>
        <v>0</v>
      </c>
      <c r="AE78" s="1053">
        <f t="shared" si="35"/>
        <v>0</v>
      </c>
      <c r="AF78" s="1054">
        <f t="shared" si="41"/>
        <v>0</v>
      </c>
      <c r="AG78" s="929">
        <v>66.36</v>
      </c>
      <c r="AH78" s="932">
        <v>17.259999999999991</v>
      </c>
      <c r="AJ78" s="1062">
        <f t="shared" si="42"/>
        <v>1</v>
      </c>
      <c r="AK78" s="82">
        <f t="shared" si="43"/>
        <v>2</v>
      </c>
      <c r="AL78" s="1063">
        <f t="shared" si="44"/>
        <v>215</v>
      </c>
      <c r="AM78" s="1063">
        <f t="shared" si="45"/>
        <v>1</v>
      </c>
      <c r="AN78" s="1074">
        <f t="shared" si="60"/>
        <v>216</v>
      </c>
      <c r="AO78" s="1075">
        <f t="shared" si="46"/>
        <v>14.036243467926479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3">
        <f t="shared" si="17"/>
        <v>0</v>
      </c>
      <c r="B79" s="1026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7">
        <f t="shared" si="69"/>
        <v>0</v>
      </c>
      <c r="I79" s="1088">
        <f t="shared" si="69"/>
        <v>1</v>
      </c>
      <c r="J79" s="1089">
        <f t="shared" si="69"/>
        <v>2</v>
      </c>
      <c r="K79" s="1090">
        <f t="shared" si="69"/>
        <v>3</v>
      </c>
      <c r="L79" s="1089">
        <f t="shared" si="69"/>
        <v>4</v>
      </c>
      <c r="M79" s="1091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215</v>
      </c>
      <c r="Q79" s="949">
        <f t="shared" si="22"/>
        <v>14.036243467926479</v>
      </c>
      <c r="R79" s="697">
        <f t="shared" si="23"/>
        <v>14.036243467926479</v>
      </c>
      <c r="S79" s="697">
        <f t="shared" si="24"/>
        <v>14.036243467926479</v>
      </c>
      <c r="T79" s="697">
        <f t="shared" si="25"/>
        <v>14.036243467926479</v>
      </c>
      <c r="U79" s="950">
        <f t="shared" si="26"/>
        <v>14.036243467926479</v>
      </c>
      <c r="V79" s="1092">
        <f t="shared" si="27"/>
        <v>14.036243467926479</v>
      </c>
      <c r="W79" s="949">
        <f t="shared" si="28"/>
        <v>14.036243467926479</v>
      </c>
      <c r="X79" s="697">
        <f t="shared" si="29"/>
        <v>14.036243467926479</v>
      </c>
      <c r="Y79" s="697">
        <f t="shared" si="30"/>
        <v>14.036243467926479</v>
      </c>
      <c r="Z79" s="697">
        <f t="shared" si="31"/>
        <v>14.036243467926479</v>
      </c>
      <c r="AA79" s="950">
        <f t="shared" si="32"/>
        <v>14.036243467926479</v>
      </c>
      <c r="AB79" s="1055">
        <f>(AA79+Z80)/2</f>
        <v>7.0181217339632394</v>
      </c>
      <c r="AC79" s="1056">
        <f t="shared" si="40"/>
        <v>7.5010000000000003</v>
      </c>
      <c r="AD79" s="1057" t="b">
        <f t="shared" si="34"/>
        <v>1</v>
      </c>
      <c r="AE79" s="1056">
        <f t="shared" si="35"/>
        <v>-215</v>
      </c>
      <c r="AF79" s="1058">
        <f t="shared" si="41"/>
        <v>0</v>
      </c>
      <c r="AG79" s="929">
        <v>67.87</v>
      </c>
      <c r="AH79" s="932">
        <v>18.400000000000006</v>
      </c>
      <c r="AJ79" s="1064">
        <f t="shared" si="42"/>
        <v>1</v>
      </c>
      <c r="AK79" s="1065">
        <f t="shared" si="43"/>
        <v>2</v>
      </c>
      <c r="AL79" s="1066">
        <f t="shared" si="44"/>
        <v>215</v>
      </c>
      <c r="AM79" s="1066">
        <f t="shared" si="45"/>
        <v>1</v>
      </c>
      <c r="AN79" s="1076">
        <f t="shared" si="60"/>
        <v>216</v>
      </c>
      <c r="AO79" s="1077">
        <f t="shared" si="46"/>
        <v>14.036243467926479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195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MdS Escalquens</v>
      </c>
      <c r="B82" s="934" t="str">
        <v>zone 1</v>
      </c>
      <c r="C82" s="935" t="str">
        <v>Arrière PV</v>
      </c>
      <c r="D82" s="935" t="str">
        <v>Arbre 1</v>
      </c>
      <c r="E82" s="935" t="str">
        <v>Arbre 2</v>
      </c>
      <c r="F82" s="935" t="str">
        <v>Arbre 3</v>
      </c>
      <c r="G82" s="935" t="str">
        <v>Arbre 5</v>
      </c>
      <c r="H82" s="935" t="str">
        <v>Arbre 6</v>
      </c>
      <c r="I82" s="935" t="str">
        <v>Arbre 7</v>
      </c>
      <c r="J82" s="935" t="str">
        <v>Arbre 9</v>
      </c>
      <c r="K82" s="935" t="str">
        <v>Arbre 10</v>
      </c>
      <c r="L82" s="935" t="str">
        <v>Arbre 11</v>
      </c>
      <c r="M82" s="935" t="str">
        <v>Arbre 13</v>
      </c>
      <c r="N82" s="935" t="str">
        <v>Arbre 14</v>
      </c>
      <c r="O82" s="935" t="str">
        <v>Arbre 15</v>
      </c>
      <c r="P82" s="935" t="str">
        <v>Arbre 16</v>
      </c>
      <c r="Q82" s="935" t="str">
        <v>Toiture D</v>
      </c>
      <c r="R82" s="935" t="str">
        <v>Arrière PV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35</v>
      </c>
      <c r="B83" s="937" t="str">
        <v>Azi.S / PV</v>
      </c>
      <c r="C83" s="938">
        <v>-145</v>
      </c>
      <c r="D83" s="695">
        <v>-46.505603331359083</v>
      </c>
      <c r="E83" s="695">
        <v>-25.566992707811639</v>
      </c>
      <c r="F83" s="695">
        <v>-14.658234510808963</v>
      </c>
      <c r="G83" s="695">
        <v>2.0362260159043304</v>
      </c>
      <c r="H83" s="695">
        <v>9.5372260159043307</v>
      </c>
      <c r="I83" s="695">
        <v>17.728525741965193</v>
      </c>
      <c r="J83" s="695">
        <v>30.768630928724178</v>
      </c>
      <c r="K83" s="695">
        <v>41.17135132315083</v>
      </c>
      <c r="L83" s="695">
        <v>48.672351323150828</v>
      </c>
      <c r="M83" s="695">
        <v>63.249951214962223</v>
      </c>
      <c r="N83" s="695">
        <v>71.602758469665133</v>
      </c>
      <c r="O83" s="695">
        <v>79.103758469665138</v>
      </c>
      <c r="P83" s="695">
        <v>88.528990975915178</v>
      </c>
      <c r="Q83" s="695">
        <v>125</v>
      </c>
      <c r="R83" s="695">
        <v>215</v>
      </c>
      <c r="S83" s="695">
        <v>215</v>
      </c>
      <c r="T83" s="695">
        <v>215</v>
      </c>
      <c r="U83" s="695">
        <v>215</v>
      </c>
      <c r="V83" s="695">
        <v>215</v>
      </c>
      <c r="W83" s="695">
        <v>215</v>
      </c>
      <c r="X83" s="695">
        <v>215</v>
      </c>
      <c r="Y83" s="695">
        <v>215</v>
      </c>
      <c r="Z83" s="939">
        <v>215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14.036243467926479</v>
      </c>
      <c r="D84" s="696">
        <v>1</v>
      </c>
      <c r="E84" s="696">
        <v>1.3286775130524502</v>
      </c>
      <c r="F84" s="696">
        <v>1</v>
      </c>
      <c r="G84" s="696">
        <v>1</v>
      </c>
      <c r="H84" s="696">
        <v>1.4443515182571298</v>
      </c>
      <c r="I84" s="696">
        <v>1</v>
      </c>
      <c r="J84" s="696">
        <v>5.1788469398262409</v>
      </c>
      <c r="K84" s="696">
        <v>3.0600894373597263</v>
      </c>
      <c r="L84" s="696">
        <v>1</v>
      </c>
      <c r="M84" s="696">
        <v>7.7942031701176582</v>
      </c>
      <c r="N84" s="696">
        <v>1</v>
      </c>
      <c r="O84" s="696">
        <v>1</v>
      </c>
      <c r="P84" s="696">
        <v>1</v>
      </c>
      <c r="Q84" s="696">
        <v>1</v>
      </c>
      <c r="R84" s="696">
        <v>14.036243467926479</v>
      </c>
      <c r="S84" s="696">
        <v>14.036243467926479</v>
      </c>
      <c r="T84" s="696">
        <v>14.036243467926479</v>
      </c>
      <c r="U84" s="696">
        <v>14.036243467926479</v>
      </c>
      <c r="V84" s="696">
        <v>14.036243467926479</v>
      </c>
      <c r="W84" s="696">
        <v>14.036243467926479</v>
      </c>
      <c r="X84" s="696">
        <v>14.036243467926479</v>
      </c>
      <c r="Y84" s="696">
        <v>14.036243467926479</v>
      </c>
      <c r="Z84" s="942">
        <v>14.036243467926479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14.036243467926479</v>
      </c>
      <c r="D85" s="688">
        <v>3.1153565609650027</v>
      </c>
      <c r="E85" s="688">
        <v>4.159891369684682</v>
      </c>
      <c r="F85" s="688">
        <v>1</v>
      </c>
      <c r="G85" s="688">
        <v>2.1244882448346103</v>
      </c>
      <c r="H85" s="688">
        <v>2.7874657117450767</v>
      </c>
      <c r="I85" s="688">
        <v>1</v>
      </c>
      <c r="J85" s="688">
        <v>6.3172573944711345</v>
      </c>
      <c r="K85" s="688">
        <v>4.0919175799302465</v>
      </c>
      <c r="L85" s="688">
        <v>1</v>
      </c>
      <c r="M85" s="688">
        <v>8.9131571129603504</v>
      </c>
      <c r="N85" s="688">
        <v>1</v>
      </c>
      <c r="O85" s="688">
        <v>1</v>
      </c>
      <c r="P85" s="688">
        <v>1</v>
      </c>
      <c r="Q85" s="688">
        <v>1</v>
      </c>
      <c r="R85" s="688">
        <v>14.036243467926479</v>
      </c>
      <c r="S85" s="688">
        <v>14.036243467926479</v>
      </c>
      <c r="T85" s="688">
        <v>14.036243467926479</v>
      </c>
      <c r="U85" s="688">
        <v>14.036243467926479</v>
      </c>
      <c r="V85" s="688">
        <v>14.036243467926479</v>
      </c>
      <c r="W85" s="688">
        <v>14.036243467926479</v>
      </c>
      <c r="X85" s="688">
        <v>14.036243467926479</v>
      </c>
      <c r="Y85" s="688">
        <v>14.036243467926479</v>
      </c>
      <c r="Z85" s="944">
        <v>14.036243467926479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14.036243467926479</v>
      </c>
      <c r="D86" s="688">
        <v>6.3094212410263646</v>
      </c>
      <c r="E86" s="688">
        <v>6.970916118876672</v>
      </c>
      <c r="F86" s="688">
        <v>1</v>
      </c>
      <c r="G86" s="688">
        <v>3.6907753013635962</v>
      </c>
      <c r="H86" s="688">
        <v>4.1275215104574192</v>
      </c>
      <c r="I86" s="688">
        <v>1</v>
      </c>
      <c r="J86" s="688">
        <v>7.4506823012939725</v>
      </c>
      <c r="K86" s="688">
        <v>5.1210941635331837</v>
      </c>
      <c r="L86" s="688">
        <v>1</v>
      </c>
      <c r="M86" s="688">
        <v>10.025299329344318</v>
      </c>
      <c r="N86" s="688">
        <v>1.6122522972635236</v>
      </c>
      <c r="O86" s="688">
        <v>1.8457972407247192</v>
      </c>
      <c r="P86" s="688">
        <v>1</v>
      </c>
      <c r="Q86" s="688">
        <v>1</v>
      </c>
      <c r="R86" s="688">
        <v>14.036243467926479</v>
      </c>
      <c r="S86" s="688">
        <v>14.036243467926479</v>
      </c>
      <c r="T86" s="688">
        <v>14.036243467926479</v>
      </c>
      <c r="U86" s="688">
        <v>14.036243467926479</v>
      </c>
      <c r="V86" s="688">
        <v>14.036243467926479</v>
      </c>
      <c r="W86" s="688">
        <v>14.036243467926479</v>
      </c>
      <c r="X86" s="688">
        <v>14.036243467926479</v>
      </c>
      <c r="Y86" s="688">
        <v>14.036243467926479</v>
      </c>
      <c r="Z86" s="944">
        <v>14.036243467926479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14.036243467926479</v>
      </c>
      <c r="D87" s="688">
        <v>9.4646295706585235</v>
      </c>
      <c r="E87" s="688">
        <v>9.7486416115272423</v>
      </c>
      <c r="F87" s="688">
        <v>1</v>
      </c>
      <c r="G87" s="688">
        <v>5.2515592256561723</v>
      </c>
      <c r="H87" s="688">
        <v>5.4630698704110552</v>
      </c>
      <c r="I87" s="688">
        <v>1.5913156179506658</v>
      </c>
      <c r="J87" s="688">
        <v>8.5782737425869211</v>
      </c>
      <c r="K87" s="688">
        <v>6.1469682417091773</v>
      </c>
      <c r="L87" s="688">
        <v>1.1302847542569425</v>
      </c>
      <c r="M87" s="688">
        <v>11.12986200891574</v>
      </c>
      <c r="N87" s="688">
        <v>2.5416702797559783</v>
      </c>
      <c r="O87" s="688">
        <v>2.6977855690427721</v>
      </c>
      <c r="P87" s="688">
        <v>1.1233890807709623</v>
      </c>
      <c r="Q87" s="688">
        <v>1</v>
      </c>
      <c r="R87" s="688">
        <v>14.036243467926479</v>
      </c>
      <c r="S87" s="688">
        <v>14.036243467926479</v>
      </c>
      <c r="T87" s="688">
        <v>14.036243467926479</v>
      </c>
      <c r="U87" s="688">
        <v>14.036243467926479</v>
      </c>
      <c r="V87" s="688">
        <v>14.036243467926479</v>
      </c>
      <c r="W87" s="688">
        <v>14.036243467926479</v>
      </c>
      <c r="X87" s="688">
        <v>14.036243467926479</v>
      </c>
      <c r="Y87" s="688">
        <v>14.036243467926479</v>
      </c>
      <c r="Z87" s="944">
        <v>14.036243467926479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14.036243467926479</v>
      </c>
      <c r="D88" s="688">
        <v>12.563005633828151</v>
      </c>
      <c r="E88" s="688">
        <v>12.48088688292923</v>
      </c>
      <c r="F88" s="688">
        <v>1</v>
      </c>
      <c r="G88" s="688">
        <v>6.8045681320773364</v>
      </c>
      <c r="H88" s="688">
        <v>6.7926910298553551</v>
      </c>
      <c r="I88" s="688">
        <v>2.8474420606450921</v>
      </c>
      <c r="J88" s="688">
        <v>9.6992105541247948</v>
      </c>
      <c r="K88" s="688">
        <v>7.1689014981018468</v>
      </c>
      <c r="L88" s="688">
        <v>2.1954615557595156</v>
      </c>
      <c r="M88" s="688">
        <v>12.226110275653891</v>
      </c>
      <c r="N88" s="688">
        <v>3.4697518263924239</v>
      </c>
      <c r="O88" s="688">
        <v>3.5485817211058195</v>
      </c>
      <c r="P88" s="688">
        <v>1.8929212411571676</v>
      </c>
      <c r="Q88" s="688">
        <v>1</v>
      </c>
      <c r="R88" s="688">
        <v>14.036243467926479</v>
      </c>
      <c r="S88" s="688">
        <v>14.036243467926479</v>
      </c>
      <c r="T88" s="688">
        <v>14.036243467926479</v>
      </c>
      <c r="U88" s="688">
        <v>14.036243467926479</v>
      </c>
      <c r="V88" s="688">
        <v>14.036243467926479</v>
      </c>
      <c r="W88" s="688">
        <v>14.036243467926479</v>
      </c>
      <c r="X88" s="688">
        <v>14.036243467926479</v>
      </c>
      <c r="Y88" s="688">
        <v>14.036243467926479</v>
      </c>
      <c r="Z88" s="944">
        <v>14.036243467926479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14.036243467926479</v>
      </c>
      <c r="D89" s="677">
        <v>15.588530155134666</v>
      </c>
      <c r="E89" s="677">
        <v>15.15668690214536</v>
      </c>
      <c r="F89" s="677">
        <v>2.9092933441902238</v>
      </c>
      <c r="G89" s="677">
        <v>8.3475982790696062</v>
      </c>
      <c r="H89" s="677">
        <v>8.115003282847157</v>
      </c>
      <c r="I89" s="677">
        <v>4.1008354462587926</v>
      </c>
      <c r="J89" s="677">
        <v>10.812701582405586</v>
      </c>
      <c r="K89" s="677">
        <v>8.1862705280202093</v>
      </c>
      <c r="L89" s="677">
        <v>3.2591223611509572</v>
      </c>
      <c r="M89" s="677">
        <v>13.313344592336636</v>
      </c>
      <c r="N89" s="677">
        <v>4.3960141049156878</v>
      </c>
      <c r="O89" s="677">
        <v>4.3978139498266886</v>
      </c>
      <c r="P89" s="677">
        <v>2.6617708783365406</v>
      </c>
      <c r="Q89" s="677">
        <v>1</v>
      </c>
      <c r="R89" s="677">
        <v>14.036243467926479</v>
      </c>
      <c r="S89" s="677">
        <v>14.036243467926479</v>
      </c>
      <c r="T89" s="677">
        <v>14.036243467926479</v>
      </c>
      <c r="U89" s="677">
        <v>14.036243467926479</v>
      </c>
      <c r="V89" s="677">
        <v>14.036243467926479</v>
      </c>
      <c r="W89" s="677">
        <v>14.036243467926479</v>
      </c>
      <c r="X89" s="677">
        <v>14.036243467926479</v>
      </c>
      <c r="Y89" s="677">
        <v>14.036243467926479</v>
      </c>
      <c r="Z89" s="687">
        <v>14.036243467926479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14.036243467926479</v>
      </c>
      <c r="D90" s="688">
        <v>18.52753717732752</v>
      </c>
      <c r="E90" s="688">
        <v>17.766502169192133</v>
      </c>
      <c r="F90" s="688">
        <v>5.2768576923973152</v>
      </c>
      <c r="G90" s="688">
        <v>9.87853189000867</v>
      </c>
      <c r="H90" s="688">
        <v>9.4286711511033925</v>
      </c>
      <c r="I90" s="688">
        <v>5.3503101019173247</v>
      </c>
      <c r="J90" s="688">
        <v>11.917988614828911</v>
      </c>
      <c r="K90" s="688">
        <v>9.1984689813794116</v>
      </c>
      <c r="L90" s="688">
        <v>4.3205393179722922</v>
      </c>
      <c r="M90" s="688">
        <v>14.390902810963546</v>
      </c>
      <c r="N90" s="688">
        <v>5.3199799739348199</v>
      </c>
      <c r="O90" s="688">
        <v>5.2451146197583292</v>
      </c>
      <c r="P90" s="688">
        <v>3.4296624763006438</v>
      </c>
      <c r="Q90" s="688">
        <v>1</v>
      </c>
      <c r="R90" s="688">
        <v>14.036243467926479</v>
      </c>
      <c r="S90" s="688">
        <v>14.036243467926479</v>
      </c>
      <c r="T90" s="688">
        <v>14.036243467926479</v>
      </c>
      <c r="U90" s="688">
        <v>14.036243467926479</v>
      </c>
      <c r="V90" s="688">
        <v>14.036243467926479</v>
      </c>
      <c r="W90" s="688">
        <v>14.036243467926479</v>
      </c>
      <c r="X90" s="688">
        <v>14.036243467926479</v>
      </c>
      <c r="Y90" s="688">
        <v>14.036243467926479</v>
      </c>
      <c r="Z90" s="944">
        <v>14.036243467926479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14.036243467926479</v>
      </c>
      <c r="D91" s="688">
        <v>21.368936287867662</v>
      </c>
      <c r="E91" s="688">
        <v>20.302345429391476</v>
      </c>
      <c r="F91" s="688">
        <v>7.6264974923427529</v>
      </c>
      <c r="G91" s="688">
        <v>11.395353164829478</v>
      </c>
      <c r="H91" s="688">
        <v>10.732412840874471</v>
      </c>
      <c r="I91" s="688">
        <v>6.5947026379824685</v>
      </c>
      <c r="J91" s="688">
        <v>13.014348961138849</v>
      </c>
      <c r="K91" s="688">
        <v>10.20490955001871</v>
      </c>
      <c r="L91" s="688">
        <v>5.378993793432425</v>
      </c>
      <c r="M91" s="688">
        <v>15.458161862633416</v>
      </c>
      <c r="N91" s="688">
        <v>6.2411794276542878</v>
      </c>
      <c r="O91" s="688">
        <v>6.0901211422970185</v>
      </c>
      <c r="P91" s="688">
        <v>4.1963225809158153</v>
      </c>
      <c r="Q91" s="688">
        <v>1</v>
      </c>
      <c r="R91" s="688">
        <v>14.036243467926479</v>
      </c>
      <c r="S91" s="688">
        <v>14.036243467926479</v>
      </c>
      <c r="T91" s="688">
        <v>14.036243467926479</v>
      </c>
      <c r="U91" s="688">
        <v>14.036243467926479</v>
      </c>
      <c r="V91" s="688">
        <v>14.036243467926479</v>
      </c>
      <c r="W91" s="688">
        <v>14.036243467926479</v>
      </c>
      <c r="X91" s="688">
        <v>14.036243467926479</v>
      </c>
      <c r="Y91" s="688">
        <v>14.036243467926479</v>
      </c>
      <c r="Z91" s="944">
        <v>14.036243467926479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14.036243467926479</v>
      </c>
      <c r="D92" s="688">
        <v>24.104267544664051</v>
      </c>
      <c r="E92" s="688">
        <v>22.757827906674404</v>
      </c>
      <c r="F92" s="688">
        <v>9.9506275369114316</v>
      </c>
      <c r="G92" s="688">
        <v>12.896162213358712</v>
      </c>
      <c r="H92" s="688">
        <v>12.025006891732028</v>
      </c>
      <c r="I92" s="688">
        <v>7.8328782520511204</v>
      </c>
      <c r="J92" s="688">
        <v>14.101097671014408</v>
      </c>
      <c r="K92" s="688">
        <v>11.205025784979858</v>
      </c>
      <c r="L92" s="688">
        <v>6.4337792377982321</v>
      </c>
      <c r="M92" s="688">
        <v>16.514539086304591</v>
      </c>
      <c r="N92" s="688">
        <v>7.1591509856834037</v>
      </c>
      <c r="O92" s="688">
        <v>6.9324768782167627</v>
      </c>
      <c r="P92" s="688">
        <v>4.9614803771211218</v>
      </c>
      <c r="Q92" s="688">
        <v>1</v>
      </c>
      <c r="R92" s="688">
        <v>14.036243467926479</v>
      </c>
      <c r="S92" s="688">
        <v>14.036243467926479</v>
      </c>
      <c r="T92" s="688">
        <v>14.036243467926479</v>
      </c>
      <c r="U92" s="688">
        <v>14.036243467926479</v>
      </c>
      <c r="V92" s="688">
        <v>14.036243467926479</v>
      </c>
      <c r="W92" s="688">
        <v>14.036243467926479</v>
      </c>
      <c r="X92" s="688">
        <v>14.036243467926479</v>
      </c>
      <c r="Y92" s="688">
        <v>14.036243467926479</v>
      </c>
      <c r="Z92" s="944">
        <v>14.036243467926479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14.036243467926479</v>
      </c>
      <c r="D93" s="688">
        <v>26.727612995043803</v>
      </c>
      <c r="E93" s="688">
        <v>25.12813399552757</v>
      </c>
      <c r="F93" s="688">
        <v>12.242160093635551</v>
      </c>
      <c r="G93" s="688">
        <v>14.379186717455978</v>
      </c>
      <c r="H93" s="688">
        <v>13.305297946106647</v>
      </c>
      <c r="I93" s="688">
        <v>9.063736636615161</v>
      </c>
      <c r="J93" s="688">
        <v>15.177589379210136</v>
      </c>
      <c r="K93" s="688">
        <v>12.198273732069719</v>
      </c>
      <c r="L93" s="688">
        <v>7.4842039257269892</v>
      </c>
      <c r="M93" s="688">
        <v>17.559493201417762</v>
      </c>
      <c r="N93" s="688">
        <v>8.0734430180152206</v>
      </c>
      <c r="O93" s="688">
        <v>7.7718320021128653</v>
      </c>
      <c r="P93" s="688">
        <v>5.7248682520681049</v>
      </c>
      <c r="Q93" s="688">
        <v>1</v>
      </c>
      <c r="R93" s="688">
        <v>14.036243467926479</v>
      </c>
      <c r="S93" s="688">
        <v>14.036243467926479</v>
      </c>
      <c r="T93" s="688">
        <v>14.036243467926479</v>
      </c>
      <c r="U93" s="688">
        <v>14.036243467926479</v>
      </c>
      <c r="V93" s="688">
        <v>14.036243467926479</v>
      </c>
      <c r="W93" s="688">
        <v>14.036243467926479</v>
      </c>
      <c r="X93" s="688">
        <v>14.036243467926479</v>
      </c>
      <c r="Y93" s="688">
        <v>14.036243467926479</v>
      </c>
      <c r="Z93" s="944">
        <v>14.036243467926479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0.25</v>
      </c>
      <c r="B94" s="941">
        <v>5</v>
      </c>
      <c r="C94" s="949">
        <v>14.036243467926479</v>
      </c>
      <c r="D94" s="697">
        <v>29.235398562617139</v>
      </c>
      <c r="E94" s="697">
        <v>27.409937676557814</v>
      </c>
      <c r="F94" s="697">
        <v>14.494619497832094</v>
      </c>
      <c r="G94" s="697">
        <v>15.842791207801648</v>
      </c>
      <c r="H94" s="697">
        <v>14.572201591223537</v>
      </c>
      <c r="I94" s="697">
        <v>10.286217417999911</v>
      </c>
      <c r="J94" s="697">
        <v>16.243219775958767</v>
      </c>
      <c r="K94" s="697">
        <v>13.18413337685951</v>
      </c>
      <c r="L94" s="697">
        <v>8.5295935498968518</v>
      </c>
      <c r="M94" s="697">
        <v>18.592524934417035</v>
      </c>
      <c r="N94" s="697">
        <v>8.9836149961715765</v>
      </c>
      <c r="O94" s="697">
        <v>8.6078443237818387</v>
      </c>
      <c r="P94" s="697">
        <v>6.4862223413349502</v>
      </c>
      <c r="Q94" s="697">
        <v>1</v>
      </c>
      <c r="R94" s="697">
        <v>14.036243467926479</v>
      </c>
      <c r="S94" s="697">
        <v>14.036243467926479</v>
      </c>
      <c r="T94" s="697">
        <v>14.036243467926479</v>
      </c>
      <c r="U94" s="697">
        <v>14.036243467926479</v>
      </c>
      <c r="V94" s="697">
        <v>14.036243467926479</v>
      </c>
      <c r="W94" s="697">
        <v>14.036243467926479</v>
      </c>
      <c r="X94" s="697">
        <v>14.036243467926479</v>
      </c>
      <c r="Y94" s="697">
        <v>14.036243467926479</v>
      </c>
      <c r="Z94" s="950">
        <v>14.036243467926479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/>
      <c r="B96" s="1093"/>
      <c r="C96" s="1093"/>
      <c r="D96" s="1093"/>
      <c r="E96" s="1093"/>
      <c r="F96" s="1140"/>
      <c r="G96" s="1141"/>
      <c r="H96" s="1142"/>
      <c r="I96" s="1093"/>
      <c r="J96" s="1093"/>
      <c r="K96" s="1093"/>
      <c r="L96" s="1093"/>
      <c r="M96" s="1093"/>
      <c r="N96" s="1140"/>
      <c r="O96" s="1093"/>
      <c r="P96" s="1093"/>
      <c r="Q96" s="1093"/>
      <c r="R96" s="1093"/>
      <c r="S96" s="1093"/>
      <c r="T96" s="1093"/>
      <c r="U96" s="1093"/>
      <c r="V96" s="1140"/>
      <c r="W96" s="1141"/>
      <c r="X96" s="1142"/>
      <c r="Y96" s="1093"/>
      <c r="Z96" s="1093"/>
      <c r="AA96" s="1093"/>
      <c r="AB96" s="1093"/>
      <c r="AC96" s="1093"/>
      <c r="AD96" s="1140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8" t="s">
        <v>161</v>
      </c>
      <c r="B97" s="1009"/>
      <c r="C97" s="1010"/>
      <c r="D97" s="1011"/>
      <c r="E97" s="1011"/>
      <c r="F97" s="1012"/>
      <c r="G97" s="1143"/>
      <c r="H97" s="1144"/>
      <c r="I97" s="1008" t="s">
        <v>161</v>
      </c>
      <c r="J97" s="1009"/>
      <c r="K97" s="1010"/>
      <c r="L97" s="1011"/>
      <c r="M97" s="1011"/>
      <c r="N97" s="1012"/>
      <c r="O97" s="558"/>
      <c r="P97" s="558"/>
      <c r="Q97" s="1008" t="s">
        <v>161</v>
      </c>
      <c r="R97" s="1009"/>
      <c r="S97" s="1010"/>
      <c r="T97" s="1011"/>
      <c r="U97" s="1011"/>
      <c r="V97" s="1012"/>
      <c r="W97" s="1143"/>
      <c r="X97" s="1145"/>
      <c r="Y97" s="1008" t="s">
        <v>161</v>
      </c>
      <c r="Z97" s="1009"/>
      <c r="AA97" s="1010"/>
      <c r="AB97" s="1011"/>
      <c r="AC97" s="1011"/>
      <c r="AD97" s="1012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326</v>
      </c>
      <c r="B98" s="910">
        <v>2</v>
      </c>
      <c r="C98" s="969">
        <v>23.28</v>
      </c>
      <c r="D98" s="911">
        <v>531.28</v>
      </c>
      <c r="E98" s="911">
        <v>430.72</v>
      </c>
      <c r="F98" s="971"/>
      <c r="G98" s="1143"/>
      <c r="H98" s="1144"/>
      <c r="I98" s="912" t="s">
        <v>326</v>
      </c>
      <c r="J98" s="910">
        <v>2</v>
      </c>
      <c r="K98" s="969">
        <v>23.28</v>
      </c>
      <c r="L98" s="911">
        <v>531.28</v>
      </c>
      <c r="M98" s="911">
        <v>430.72</v>
      </c>
      <c r="N98" s="971"/>
      <c r="O98" s="558"/>
      <c r="P98" s="558"/>
      <c r="Q98" s="912" t="s">
        <v>326</v>
      </c>
      <c r="R98" s="910">
        <v>2</v>
      </c>
      <c r="S98" s="969">
        <v>23.28</v>
      </c>
      <c r="T98" s="911">
        <v>531.28</v>
      </c>
      <c r="U98" s="911">
        <v>430.72</v>
      </c>
      <c r="V98" s="971"/>
      <c r="W98" s="1143"/>
      <c r="X98" s="1145"/>
      <c r="Y98" s="912" t="s">
        <v>326</v>
      </c>
      <c r="Z98" s="910">
        <v>2</v>
      </c>
      <c r="AA98" s="969">
        <v>23.28</v>
      </c>
      <c r="AB98" s="911">
        <v>531.28</v>
      </c>
      <c r="AC98" s="911">
        <v>430.72</v>
      </c>
      <c r="AD98" s="971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156</v>
      </c>
      <c r="B99" s="910">
        <v>2</v>
      </c>
      <c r="C99" s="969">
        <v>23.32</v>
      </c>
      <c r="D99" s="911">
        <v>527.07000000000005</v>
      </c>
      <c r="E99" s="911">
        <v>424.77</v>
      </c>
      <c r="F99" s="971"/>
      <c r="G99" s="1143"/>
      <c r="H99" s="1144"/>
      <c r="I99" s="912" t="s">
        <v>156</v>
      </c>
      <c r="J99" s="910">
        <v>2</v>
      </c>
      <c r="K99" s="969">
        <v>23.32</v>
      </c>
      <c r="L99" s="911">
        <v>527.07000000000005</v>
      </c>
      <c r="M99" s="911">
        <v>424.77</v>
      </c>
      <c r="N99" s="971"/>
      <c r="O99" s="558"/>
      <c r="P99" s="558"/>
      <c r="Q99" s="912" t="s">
        <v>156</v>
      </c>
      <c r="R99" s="910">
        <v>2</v>
      </c>
      <c r="S99" s="969">
        <v>23.32</v>
      </c>
      <c r="T99" s="911">
        <v>527.07000000000005</v>
      </c>
      <c r="U99" s="911">
        <v>424.77</v>
      </c>
      <c r="V99" s="971"/>
      <c r="W99" s="1143"/>
      <c r="X99" s="1145"/>
      <c r="Y99" s="912" t="s">
        <v>156</v>
      </c>
      <c r="Z99" s="910">
        <v>2</v>
      </c>
      <c r="AA99" s="969">
        <v>23.32</v>
      </c>
      <c r="AB99" s="911">
        <v>527.07000000000005</v>
      </c>
      <c r="AC99" s="911">
        <v>424.77</v>
      </c>
      <c r="AD99" s="971" t="s">
        <v>283</v>
      </c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324</v>
      </c>
      <c r="B100" s="910">
        <v>1</v>
      </c>
      <c r="C100" s="969">
        <v>26.25</v>
      </c>
      <c r="D100" s="911">
        <v>524.45000000000005</v>
      </c>
      <c r="E100" s="911">
        <v>419.69</v>
      </c>
      <c r="F100" s="971"/>
      <c r="G100" s="1143"/>
      <c r="H100" s="1144"/>
      <c r="I100" s="912" t="s">
        <v>324</v>
      </c>
      <c r="J100" s="910">
        <v>1</v>
      </c>
      <c r="K100" s="969">
        <v>26.25</v>
      </c>
      <c r="L100" s="911">
        <v>524.45000000000005</v>
      </c>
      <c r="M100" s="911">
        <v>419.69</v>
      </c>
      <c r="N100" s="971"/>
      <c r="O100" s="558"/>
      <c r="P100" s="558"/>
      <c r="Q100" s="912" t="s">
        <v>324</v>
      </c>
      <c r="R100" s="910">
        <v>1</v>
      </c>
      <c r="S100" s="969">
        <v>26.25</v>
      </c>
      <c r="T100" s="911">
        <v>524.45000000000005</v>
      </c>
      <c r="U100" s="911">
        <v>419.69</v>
      </c>
      <c r="V100" s="971"/>
      <c r="W100" s="1143"/>
      <c r="X100" s="1145"/>
      <c r="Y100" s="912" t="s">
        <v>324</v>
      </c>
      <c r="Z100" s="910">
        <v>1</v>
      </c>
      <c r="AA100" s="969">
        <v>26.25</v>
      </c>
      <c r="AB100" s="911">
        <v>524.45000000000005</v>
      </c>
      <c r="AC100" s="911">
        <v>419.69</v>
      </c>
      <c r="AD100" s="971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158</v>
      </c>
      <c r="B101" s="910">
        <v>1</v>
      </c>
      <c r="C101" s="969">
        <v>31.12</v>
      </c>
      <c r="D101" s="911">
        <v>515.35</v>
      </c>
      <c r="E101" s="911">
        <v>406.62</v>
      </c>
      <c r="F101" s="971" t="s">
        <v>283</v>
      </c>
      <c r="G101" s="1143"/>
      <c r="H101" s="1144"/>
      <c r="I101" s="912" t="s">
        <v>158</v>
      </c>
      <c r="J101" s="910">
        <v>1</v>
      </c>
      <c r="K101" s="969">
        <v>31.12</v>
      </c>
      <c r="L101" s="911">
        <v>515.35</v>
      </c>
      <c r="M101" s="911">
        <v>406.62</v>
      </c>
      <c r="N101" s="971" t="s">
        <v>283</v>
      </c>
      <c r="O101" s="558"/>
      <c r="P101" s="558"/>
      <c r="Q101" s="912" t="s">
        <v>158</v>
      </c>
      <c r="R101" s="910">
        <v>1</v>
      </c>
      <c r="S101" s="969">
        <v>31.12</v>
      </c>
      <c r="T101" s="911">
        <v>515.35</v>
      </c>
      <c r="U101" s="911">
        <v>406.62</v>
      </c>
      <c r="V101" s="971" t="s">
        <v>283</v>
      </c>
      <c r="W101" s="1143"/>
      <c r="X101" s="1145"/>
      <c r="Y101" s="912" t="s">
        <v>158</v>
      </c>
      <c r="Z101" s="910">
        <v>1</v>
      </c>
      <c r="AA101" s="969">
        <v>31.12</v>
      </c>
      <c r="AB101" s="911">
        <v>515.35</v>
      </c>
      <c r="AC101" s="911">
        <v>406.62</v>
      </c>
      <c r="AD101" s="971" t="s">
        <v>283</v>
      </c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159</v>
      </c>
      <c r="B102" s="910">
        <v>1</v>
      </c>
      <c r="C102" s="969">
        <v>29.32</v>
      </c>
      <c r="D102" s="911">
        <v>511.3</v>
      </c>
      <c r="E102" s="911">
        <v>400.97</v>
      </c>
      <c r="F102" s="971"/>
      <c r="G102" s="1143"/>
      <c r="H102" s="1144"/>
      <c r="I102" s="912" t="s">
        <v>159</v>
      </c>
      <c r="J102" s="910">
        <v>1</v>
      </c>
      <c r="K102" s="969">
        <v>29.32</v>
      </c>
      <c r="L102" s="911">
        <v>511.3</v>
      </c>
      <c r="M102" s="911">
        <v>400.97</v>
      </c>
      <c r="N102" s="971"/>
      <c r="O102" s="558"/>
      <c r="P102" s="558"/>
      <c r="Q102" s="912" t="s">
        <v>159</v>
      </c>
      <c r="R102" s="910">
        <v>1</v>
      </c>
      <c r="S102" s="969">
        <v>29.32</v>
      </c>
      <c r="T102" s="911">
        <v>511.3</v>
      </c>
      <c r="U102" s="911">
        <v>400.97</v>
      </c>
      <c r="V102" s="971"/>
      <c r="W102" s="1143"/>
      <c r="X102" s="1145"/>
      <c r="Y102" s="912" t="s">
        <v>159</v>
      </c>
      <c r="Z102" s="910">
        <v>1</v>
      </c>
      <c r="AA102" s="969">
        <v>29.32</v>
      </c>
      <c r="AB102" s="911">
        <v>511.3</v>
      </c>
      <c r="AC102" s="911">
        <v>400.97</v>
      </c>
      <c r="AD102" s="971" t="s">
        <v>135</v>
      </c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321</v>
      </c>
      <c r="B103" s="910">
        <v>1</v>
      </c>
      <c r="C103" s="969">
        <v>22.08</v>
      </c>
      <c r="D103" s="911">
        <v>504.49</v>
      </c>
      <c r="E103" s="911">
        <v>399.6</v>
      </c>
      <c r="F103" s="971"/>
      <c r="G103" s="1143"/>
      <c r="H103" s="1144"/>
      <c r="I103" s="912" t="s">
        <v>321</v>
      </c>
      <c r="J103" s="910">
        <v>1</v>
      </c>
      <c r="K103" s="969">
        <v>22.08</v>
      </c>
      <c r="L103" s="911">
        <v>504.49</v>
      </c>
      <c r="M103" s="911">
        <v>399.6</v>
      </c>
      <c r="N103" s="971"/>
      <c r="O103" s="558"/>
      <c r="P103" s="558"/>
      <c r="Q103" s="912" t="s">
        <v>321</v>
      </c>
      <c r="R103" s="910">
        <v>1</v>
      </c>
      <c r="S103" s="969">
        <v>22.08</v>
      </c>
      <c r="T103" s="911">
        <v>504.49</v>
      </c>
      <c r="U103" s="911">
        <v>399.6</v>
      </c>
      <c r="V103" s="971"/>
      <c r="W103" s="1143"/>
      <c r="X103" s="1145"/>
      <c r="Y103" s="912" t="s">
        <v>321</v>
      </c>
      <c r="Z103" s="910">
        <v>1</v>
      </c>
      <c r="AA103" s="969">
        <v>22.08</v>
      </c>
      <c r="AB103" s="911">
        <v>504.49</v>
      </c>
      <c r="AC103" s="911">
        <v>399.6</v>
      </c>
      <c r="AD103" s="971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325</v>
      </c>
      <c r="B104" s="910">
        <v>2</v>
      </c>
      <c r="C104" s="969">
        <v>26.53</v>
      </c>
      <c r="D104" s="911">
        <v>492.87</v>
      </c>
      <c r="E104" s="911">
        <v>400.17</v>
      </c>
      <c r="F104" s="971"/>
      <c r="G104" s="1143"/>
      <c r="H104" s="1144"/>
      <c r="I104" s="912" t="s">
        <v>325</v>
      </c>
      <c r="J104" s="910">
        <v>2</v>
      </c>
      <c r="K104" s="969">
        <v>26.53</v>
      </c>
      <c r="L104" s="911">
        <v>492.87</v>
      </c>
      <c r="M104" s="911">
        <v>400.17</v>
      </c>
      <c r="N104" s="971" t="s">
        <v>283</v>
      </c>
      <c r="O104" s="558"/>
      <c r="P104" s="558"/>
      <c r="Q104" s="912" t="s">
        <v>325</v>
      </c>
      <c r="R104" s="910">
        <v>2</v>
      </c>
      <c r="S104" s="969">
        <v>26.53</v>
      </c>
      <c r="T104" s="911">
        <v>492.87</v>
      </c>
      <c r="U104" s="911">
        <v>400.17</v>
      </c>
      <c r="V104" s="971" t="s">
        <v>283</v>
      </c>
      <c r="W104" s="1143"/>
      <c r="X104" s="1145"/>
      <c r="Y104" s="912" t="s">
        <v>325</v>
      </c>
      <c r="Z104" s="910">
        <v>2</v>
      </c>
      <c r="AA104" s="969">
        <v>26.53</v>
      </c>
      <c r="AB104" s="911">
        <v>492.87</v>
      </c>
      <c r="AC104" s="911">
        <v>400.17</v>
      </c>
      <c r="AD104" s="971" t="s">
        <v>283</v>
      </c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327</v>
      </c>
      <c r="B105" s="910">
        <v>1</v>
      </c>
      <c r="C105" s="969">
        <v>28.82</v>
      </c>
      <c r="D105" s="911">
        <v>485.16</v>
      </c>
      <c r="E105" s="911">
        <v>398.74</v>
      </c>
      <c r="F105" s="971" t="s">
        <v>283</v>
      </c>
      <c r="G105" s="1143"/>
      <c r="H105" s="1144"/>
      <c r="I105" s="912" t="s">
        <v>327</v>
      </c>
      <c r="J105" s="910">
        <v>1</v>
      </c>
      <c r="K105" s="969">
        <v>28.82</v>
      </c>
      <c r="L105" s="911">
        <v>485.16</v>
      </c>
      <c r="M105" s="911">
        <v>398.74</v>
      </c>
      <c r="N105" s="971"/>
      <c r="O105" s="558"/>
      <c r="P105" s="558"/>
      <c r="Q105" s="912" t="s">
        <v>327</v>
      </c>
      <c r="R105" s="910">
        <v>1</v>
      </c>
      <c r="S105" s="969">
        <v>28.82</v>
      </c>
      <c r="T105" s="911">
        <v>485.16</v>
      </c>
      <c r="U105" s="911">
        <v>398.74</v>
      </c>
      <c r="V105" s="971"/>
      <c r="W105" s="1143"/>
      <c r="X105" s="1145"/>
      <c r="Y105" s="912" t="s">
        <v>327</v>
      </c>
      <c r="Z105" s="910">
        <v>1</v>
      </c>
      <c r="AA105" s="969">
        <v>28.82</v>
      </c>
      <c r="AB105" s="911">
        <v>485.16</v>
      </c>
      <c r="AC105" s="911">
        <v>398.74</v>
      </c>
      <c r="AD105" s="971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328</v>
      </c>
      <c r="B106" s="910">
        <v>1</v>
      </c>
      <c r="C106" s="969">
        <v>20.39</v>
      </c>
      <c r="D106" s="911">
        <v>478</v>
      </c>
      <c r="E106" s="911">
        <v>407.49</v>
      </c>
      <c r="F106" s="971"/>
      <c r="G106" s="1143"/>
      <c r="H106" s="1144"/>
      <c r="I106" s="912" t="s">
        <v>328</v>
      </c>
      <c r="J106" s="910">
        <v>1</v>
      </c>
      <c r="K106" s="969">
        <v>20.39</v>
      </c>
      <c r="L106" s="911">
        <v>478</v>
      </c>
      <c r="M106" s="911">
        <v>407.49</v>
      </c>
      <c r="N106" s="971"/>
      <c r="O106" s="558"/>
      <c r="P106" s="558"/>
      <c r="Q106" s="912" t="s">
        <v>328</v>
      </c>
      <c r="R106" s="910">
        <v>1</v>
      </c>
      <c r="S106" s="969">
        <v>20.39</v>
      </c>
      <c r="T106" s="911">
        <v>478</v>
      </c>
      <c r="U106" s="911">
        <v>407.49</v>
      </c>
      <c r="V106" s="971"/>
      <c r="W106" s="1143"/>
      <c r="X106" s="1145"/>
      <c r="Y106" s="912" t="s">
        <v>328</v>
      </c>
      <c r="Z106" s="910">
        <v>1</v>
      </c>
      <c r="AA106" s="969">
        <v>20.39</v>
      </c>
      <c r="AB106" s="911">
        <v>478</v>
      </c>
      <c r="AC106" s="911">
        <v>407.49</v>
      </c>
      <c r="AD106" s="971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330</v>
      </c>
      <c r="B107" s="910">
        <v>2</v>
      </c>
      <c r="C107" s="969">
        <v>33.270000000000003</v>
      </c>
      <c r="D107" s="911">
        <v>473.6</v>
      </c>
      <c r="E107" s="911">
        <v>420.42</v>
      </c>
      <c r="F107" s="971"/>
      <c r="G107" s="1143"/>
      <c r="H107" s="1144"/>
      <c r="I107" s="912" t="s">
        <v>330</v>
      </c>
      <c r="J107" s="910">
        <v>2</v>
      </c>
      <c r="K107" s="969">
        <v>33.270000000000003</v>
      </c>
      <c r="L107" s="911">
        <v>473.6</v>
      </c>
      <c r="M107" s="911">
        <v>420.42</v>
      </c>
      <c r="N107" s="971"/>
      <c r="O107" s="558"/>
      <c r="P107" s="558"/>
      <c r="Q107" s="912" t="s">
        <v>330</v>
      </c>
      <c r="R107" s="910">
        <v>2</v>
      </c>
      <c r="S107" s="969">
        <v>33.270000000000003</v>
      </c>
      <c r="T107" s="911">
        <v>473.6</v>
      </c>
      <c r="U107" s="911">
        <v>420.42</v>
      </c>
      <c r="V107" s="971"/>
      <c r="W107" s="1143"/>
      <c r="X107" s="1145"/>
      <c r="Y107" s="912" t="s">
        <v>330</v>
      </c>
      <c r="Z107" s="910">
        <v>2</v>
      </c>
      <c r="AA107" s="969">
        <v>33.270000000000003</v>
      </c>
      <c r="AB107" s="911">
        <v>473.6</v>
      </c>
      <c r="AC107" s="911">
        <v>420.42</v>
      </c>
      <c r="AD107" s="971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331</v>
      </c>
      <c r="B108" s="910">
        <v>1</v>
      </c>
      <c r="C108" s="969">
        <v>21.94</v>
      </c>
      <c r="D108" s="911">
        <v>459.94</v>
      </c>
      <c r="E108" s="911">
        <v>423.55</v>
      </c>
      <c r="F108" s="971" t="s">
        <v>135</v>
      </c>
      <c r="G108" s="1143"/>
      <c r="H108" s="1144"/>
      <c r="I108" s="912" t="s">
        <v>331</v>
      </c>
      <c r="J108" s="910">
        <v>1</v>
      </c>
      <c r="K108" s="969">
        <v>21.94</v>
      </c>
      <c r="L108" s="911">
        <v>459.94</v>
      </c>
      <c r="M108" s="911">
        <v>423.55</v>
      </c>
      <c r="N108" s="971" t="s">
        <v>135</v>
      </c>
      <c r="O108" s="558"/>
      <c r="P108" s="558"/>
      <c r="Q108" s="912" t="s">
        <v>331</v>
      </c>
      <c r="R108" s="910">
        <v>1</v>
      </c>
      <c r="S108" s="969">
        <v>21.94</v>
      </c>
      <c r="T108" s="911">
        <v>459.94</v>
      </c>
      <c r="U108" s="911">
        <v>423.55</v>
      </c>
      <c r="V108" s="971" t="s">
        <v>283</v>
      </c>
      <c r="W108" s="1143"/>
      <c r="X108" s="1145"/>
      <c r="Y108" s="912" t="s">
        <v>331</v>
      </c>
      <c r="Z108" s="910">
        <v>1</v>
      </c>
      <c r="AA108" s="969">
        <v>21.94</v>
      </c>
      <c r="AB108" s="911">
        <v>459.94</v>
      </c>
      <c r="AC108" s="911">
        <v>423.55</v>
      </c>
      <c r="AD108" s="971" t="s">
        <v>283</v>
      </c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332</v>
      </c>
      <c r="B109" s="910">
        <v>1</v>
      </c>
      <c r="C109" s="970">
        <v>20.85</v>
      </c>
      <c r="D109" s="911">
        <v>453.14</v>
      </c>
      <c r="E109" s="911">
        <v>427.02</v>
      </c>
      <c r="F109" s="971"/>
      <c r="G109" s="1143"/>
      <c r="H109" s="1144"/>
      <c r="I109" s="912" t="s">
        <v>332</v>
      </c>
      <c r="J109" s="910">
        <v>1</v>
      </c>
      <c r="K109" s="970">
        <v>20.85</v>
      </c>
      <c r="L109" s="911">
        <v>453.14</v>
      </c>
      <c r="M109" s="911">
        <v>427.02</v>
      </c>
      <c r="N109" s="971"/>
      <c r="O109" s="558"/>
      <c r="P109" s="558"/>
      <c r="Q109" s="912" t="s">
        <v>332</v>
      </c>
      <c r="R109" s="910">
        <v>1</v>
      </c>
      <c r="S109" s="970">
        <v>20.85</v>
      </c>
      <c r="T109" s="911">
        <v>453.14</v>
      </c>
      <c r="U109" s="911">
        <v>427.02</v>
      </c>
      <c r="V109" s="971"/>
      <c r="W109" s="1143"/>
      <c r="X109" s="1145"/>
      <c r="Y109" s="912" t="s">
        <v>332</v>
      </c>
      <c r="Z109" s="910">
        <v>1</v>
      </c>
      <c r="AA109" s="970">
        <v>20.85</v>
      </c>
      <c r="AB109" s="911">
        <v>453.14</v>
      </c>
      <c r="AC109" s="911">
        <v>427.02</v>
      </c>
      <c r="AD109" s="971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333</v>
      </c>
      <c r="B110" s="910">
        <v>1</v>
      </c>
      <c r="C110" s="970">
        <v>16.05</v>
      </c>
      <c r="D110" s="911">
        <v>443.98</v>
      </c>
      <c r="E110" s="911">
        <v>441.07</v>
      </c>
      <c r="F110" s="971"/>
      <c r="G110" s="1143"/>
      <c r="H110" s="1144"/>
      <c r="I110" s="912" t="s">
        <v>333</v>
      </c>
      <c r="J110" s="910">
        <v>1</v>
      </c>
      <c r="K110" s="970">
        <v>16.05</v>
      </c>
      <c r="L110" s="911">
        <v>443.98</v>
      </c>
      <c r="M110" s="911">
        <v>441.07</v>
      </c>
      <c r="N110" s="971"/>
      <c r="O110" s="558"/>
      <c r="P110" s="558"/>
      <c r="Q110" s="912" t="s">
        <v>333</v>
      </c>
      <c r="R110" s="910">
        <v>1</v>
      </c>
      <c r="S110" s="970">
        <v>16.05</v>
      </c>
      <c r="T110" s="911">
        <v>443.98</v>
      </c>
      <c r="U110" s="911">
        <v>441.07</v>
      </c>
      <c r="V110" s="971"/>
      <c r="W110" s="1143"/>
      <c r="X110" s="1145"/>
      <c r="Y110" s="912" t="s">
        <v>333</v>
      </c>
      <c r="Z110" s="910">
        <v>1</v>
      </c>
      <c r="AA110" s="970">
        <v>16.05</v>
      </c>
      <c r="AB110" s="911">
        <v>443.98</v>
      </c>
      <c r="AC110" s="911">
        <v>441.07</v>
      </c>
      <c r="AD110" s="971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 t="s">
        <v>349</v>
      </c>
      <c r="B111" s="910"/>
      <c r="C111" s="970"/>
      <c r="D111" s="911"/>
      <c r="E111" s="911"/>
      <c r="F111" s="971"/>
      <c r="G111" s="1143"/>
      <c r="H111" s="1144"/>
      <c r="I111" s="912" t="s">
        <v>349</v>
      </c>
      <c r="J111" s="910"/>
      <c r="K111" s="970"/>
      <c r="L111" s="911"/>
      <c r="M111" s="911"/>
      <c r="N111" s="971"/>
      <c r="O111" s="558"/>
      <c r="P111" s="558"/>
      <c r="Q111" s="912" t="s">
        <v>349</v>
      </c>
      <c r="R111" s="910"/>
      <c r="S111" s="970"/>
      <c r="T111" s="911"/>
      <c r="U111" s="911"/>
      <c r="V111" s="971"/>
      <c r="W111" s="1143"/>
      <c r="X111" s="1145"/>
      <c r="Y111" s="912" t="s">
        <v>349</v>
      </c>
      <c r="Z111" s="910"/>
      <c r="AA111" s="970"/>
      <c r="AB111" s="911"/>
      <c r="AC111" s="911"/>
      <c r="AD111" s="971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 t="s">
        <v>161</v>
      </c>
      <c r="B112" s="910"/>
      <c r="C112" s="964"/>
      <c r="D112" s="911"/>
      <c r="E112" s="911"/>
      <c r="F112" s="971"/>
      <c r="G112" s="1143"/>
      <c r="H112" s="1144"/>
      <c r="I112" s="912" t="s">
        <v>161</v>
      </c>
      <c r="J112" s="910"/>
      <c r="K112" s="964"/>
      <c r="L112" s="911"/>
      <c r="M112" s="911"/>
      <c r="N112" s="971"/>
      <c r="O112" s="558"/>
      <c r="P112" s="558"/>
      <c r="Q112" s="912" t="s">
        <v>161</v>
      </c>
      <c r="R112" s="910"/>
      <c r="S112" s="964"/>
      <c r="T112" s="911"/>
      <c r="U112" s="911"/>
      <c r="V112" s="971"/>
      <c r="W112" s="1143"/>
      <c r="X112" s="1145"/>
      <c r="Y112" s="912" t="s">
        <v>161</v>
      </c>
      <c r="Z112" s="910"/>
      <c r="AA112" s="964"/>
      <c r="AB112" s="911"/>
      <c r="AC112" s="911"/>
      <c r="AD112" s="971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1143"/>
      <c r="H113" s="1144"/>
      <c r="I113" s="912"/>
      <c r="J113" s="910"/>
      <c r="K113" s="964"/>
      <c r="L113" s="911"/>
      <c r="M113" s="911"/>
      <c r="N113" s="971"/>
      <c r="O113" s="558"/>
      <c r="P113" s="558"/>
      <c r="Q113" s="912"/>
      <c r="R113" s="910"/>
      <c r="S113" s="964"/>
      <c r="T113" s="911"/>
      <c r="U113" s="911"/>
      <c r="V113" s="971"/>
      <c r="W113" s="1143"/>
      <c r="X113" s="1145"/>
      <c r="Y113" s="912"/>
      <c r="Z113" s="910"/>
      <c r="AA113" s="964"/>
      <c r="AB113" s="911"/>
      <c r="AC113" s="911"/>
      <c r="AD113" s="971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1143"/>
      <c r="H114" s="1144"/>
      <c r="I114" s="912"/>
      <c r="J114" s="910"/>
      <c r="K114" s="964"/>
      <c r="L114" s="911"/>
      <c r="M114" s="911"/>
      <c r="N114" s="971"/>
      <c r="O114" s="558"/>
      <c r="P114" s="558"/>
      <c r="Q114" s="912"/>
      <c r="R114" s="910"/>
      <c r="S114" s="964"/>
      <c r="T114" s="911"/>
      <c r="U114" s="911"/>
      <c r="V114" s="971"/>
      <c r="W114" s="1143"/>
      <c r="X114" s="1145"/>
      <c r="Y114" s="912"/>
      <c r="Z114" s="910"/>
      <c r="AA114" s="964"/>
      <c r="AB114" s="911"/>
      <c r="AC114" s="911"/>
      <c r="AD114" s="971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1143"/>
      <c r="H115" s="1144"/>
      <c r="I115" s="912"/>
      <c r="J115" s="910"/>
      <c r="K115" s="964"/>
      <c r="L115" s="911"/>
      <c r="M115" s="911"/>
      <c r="N115" s="971"/>
      <c r="O115" s="558"/>
      <c r="P115" s="558"/>
      <c r="Q115" s="912"/>
      <c r="R115" s="910"/>
      <c r="S115" s="964"/>
      <c r="T115" s="911"/>
      <c r="U115" s="911"/>
      <c r="V115" s="971"/>
      <c r="W115" s="1143"/>
      <c r="X115" s="1145"/>
      <c r="Y115" s="912"/>
      <c r="Z115" s="910"/>
      <c r="AA115" s="964"/>
      <c r="AB115" s="911"/>
      <c r="AC115" s="911"/>
      <c r="AD115" s="971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1143"/>
      <c r="H116" s="1144"/>
      <c r="I116" s="912"/>
      <c r="J116" s="910"/>
      <c r="K116" s="964"/>
      <c r="L116" s="911"/>
      <c r="M116" s="911"/>
      <c r="N116" s="971"/>
      <c r="O116" s="558"/>
      <c r="P116" s="558"/>
      <c r="Q116" s="912"/>
      <c r="R116" s="910"/>
      <c r="S116" s="964"/>
      <c r="T116" s="911"/>
      <c r="U116" s="911"/>
      <c r="V116" s="971"/>
      <c r="W116" s="1143"/>
      <c r="X116" s="1145"/>
      <c r="Y116" s="912"/>
      <c r="Z116" s="910"/>
      <c r="AA116" s="964"/>
      <c r="AB116" s="911"/>
      <c r="AC116" s="911"/>
      <c r="AD116" s="971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1143"/>
      <c r="H117" s="1144"/>
      <c r="I117" s="912"/>
      <c r="J117" s="910"/>
      <c r="K117" s="964"/>
      <c r="L117" s="911"/>
      <c r="M117" s="911"/>
      <c r="N117" s="971"/>
      <c r="O117" s="558"/>
      <c r="P117" s="558"/>
      <c r="Q117" s="912"/>
      <c r="R117" s="910"/>
      <c r="S117" s="964"/>
      <c r="T117" s="911"/>
      <c r="U117" s="911"/>
      <c r="V117" s="971"/>
      <c r="W117" s="1143"/>
      <c r="X117" s="1145"/>
      <c r="Y117" s="912"/>
      <c r="Z117" s="910"/>
      <c r="AA117" s="964"/>
      <c r="AB117" s="911"/>
      <c r="AC117" s="911"/>
      <c r="AD117" s="971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1143"/>
      <c r="H118" s="1144"/>
      <c r="I118" s="912"/>
      <c r="J118" s="910"/>
      <c r="K118" s="964"/>
      <c r="L118" s="911"/>
      <c r="M118" s="911"/>
      <c r="N118" s="971"/>
      <c r="O118" s="558"/>
      <c r="P118" s="558"/>
      <c r="Q118" s="912"/>
      <c r="R118" s="910"/>
      <c r="S118" s="964"/>
      <c r="T118" s="911"/>
      <c r="U118" s="911"/>
      <c r="V118" s="971"/>
      <c r="W118" s="1143"/>
      <c r="X118" s="1145"/>
      <c r="Y118" s="912"/>
      <c r="Z118" s="910"/>
      <c r="AA118" s="964"/>
      <c r="AB118" s="911"/>
      <c r="AC118" s="911"/>
      <c r="AD118" s="971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1143"/>
      <c r="H119" s="1144"/>
      <c r="I119" s="912"/>
      <c r="J119" s="910"/>
      <c r="K119" s="964"/>
      <c r="L119" s="911"/>
      <c r="M119" s="911"/>
      <c r="N119" s="971"/>
      <c r="O119" s="558"/>
      <c r="P119" s="558"/>
      <c r="Q119" s="912"/>
      <c r="R119" s="910"/>
      <c r="S119" s="964"/>
      <c r="T119" s="911"/>
      <c r="U119" s="911"/>
      <c r="V119" s="971"/>
      <c r="W119" s="1143"/>
      <c r="X119" s="1145"/>
      <c r="Y119" s="912"/>
      <c r="Z119" s="910"/>
      <c r="AA119" s="964"/>
      <c r="AB119" s="911"/>
      <c r="AC119" s="911"/>
      <c r="AD119" s="971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1143"/>
      <c r="H120" s="1144"/>
      <c r="I120" s="956"/>
      <c r="J120" s="957"/>
      <c r="K120" s="966"/>
      <c r="L120" s="967"/>
      <c r="M120" s="967"/>
      <c r="N120" s="986"/>
      <c r="O120" s="558"/>
      <c r="P120" s="558"/>
      <c r="Q120" s="956"/>
      <c r="R120" s="957"/>
      <c r="S120" s="966"/>
      <c r="T120" s="967"/>
      <c r="U120" s="967"/>
      <c r="V120" s="986"/>
      <c r="W120" s="1143"/>
      <c r="X120" s="1145"/>
      <c r="Y120" s="956"/>
      <c r="Z120" s="957"/>
      <c r="AA120" s="966"/>
      <c r="AB120" s="967"/>
      <c r="AC120" s="967"/>
      <c r="AD120" s="986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/>
      <c r="B121" s="1093"/>
      <c r="C121" s="1093"/>
      <c r="D121" s="1093"/>
      <c r="E121" s="1093"/>
      <c r="F121" s="1140"/>
      <c r="G121" s="1141"/>
      <c r="H121" s="1142"/>
      <c r="I121" s="1093"/>
      <c r="J121" s="1093"/>
      <c r="K121" s="1093"/>
      <c r="L121" s="1093"/>
      <c r="M121" s="1093"/>
      <c r="N121" s="1140"/>
      <c r="O121" s="1093"/>
      <c r="P121" s="1093"/>
      <c r="Q121" s="1093"/>
      <c r="R121" s="1093"/>
      <c r="S121" s="1093"/>
      <c r="T121" s="1093"/>
      <c r="U121" s="1093"/>
      <c r="V121" s="1140"/>
      <c r="W121" s="1141"/>
      <c r="X121" s="1142"/>
      <c r="Y121" s="1093"/>
      <c r="Z121" s="1093"/>
      <c r="AA121" s="1093"/>
      <c r="AB121" s="1093"/>
      <c r="AC121" s="1093"/>
      <c r="AD121" s="1140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1143"/>
      <c r="H122" s="1144"/>
      <c r="I122" s="1008"/>
      <c r="J122" s="1009"/>
      <c r="K122" s="1010"/>
      <c r="L122" s="1011"/>
      <c r="M122" s="1011"/>
      <c r="N122" s="1012"/>
      <c r="O122" s="558"/>
      <c r="P122" s="558"/>
      <c r="Q122" s="1008"/>
      <c r="R122" s="1009"/>
      <c r="S122" s="1010"/>
      <c r="T122" s="1011"/>
      <c r="U122" s="1011"/>
      <c r="V122" s="1012"/>
      <c r="W122" s="1143"/>
      <c r="X122" s="1145"/>
      <c r="Y122" s="1008"/>
      <c r="Z122" s="1009"/>
      <c r="AA122" s="1010"/>
      <c r="AB122" s="1011"/>
      <c r="AC122" s="1011"/>
      <c r="AD122" s="1012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1143"/>
      <c r="H123" s="1144"/>
      <c r="I123" s="912"/>
      <c r="J123" s="910"/>
      <c r="K123" s="969"/>
      <c r="L123" s="911"/>
      <c r="M123" s="911"/>
      <c r="N123" s="971"/>
      <c r="O123" s="558"/>
      <c r="P123" s="558"/>
      <c r="Q123" s="912"/>
      <c r="R123" s="910"/>
      <c r="S123" s="969"/>
      <c r="T123" s="911"/>
      <c r="U123" s="911"/>
      <c r="V123" s="971"/>
      <c r="W123" s="1143"/>
      <c r="X123" s="1145"/>
      <c r="Y123" s="912"/>
      <c r="Z123" s="910"/>
      <c r="AA123" s="969"/>
      <c r="AB123" s="911"/>
      <c r="AC123" s="911"/>
      <c r="AD123" s="971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1143"/>
      <c r="H124" s="1144"/>
      <c r="I124" s="912"/>
      <c r="J124" s="910"/>
      <c r="K124" s="969"/>
      <c r="L124" s="911"/>
      <c r="M124" s="911"/>
      <c r="N124" s="971"/>
      <c r="O124" s="558"/>
      <c r="P124" s="558"/>
      <c r="Q124" s="912"/>
      <c r="R124" s="910"/>
      <c r="S124" s="969"/>
      <c r="T124" s="911"/>
      <c r="U124" s="911"/>
      <c r="V124" s="971"/>
      <c r="W124" s="1143"/>
      <c r="X124" s="1145"/>
      <c r="Y124" s="912"/>
      <c r="Z124" s="910"/>
      <c r="AA124" s="969"/>
      <c r="AB124" s="911"/>
      <c r="AC124" s="911"/>
      <c r="AD124" s="971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1143"/>
      <c r="H125" s="1144"/>
      <c r="I125" s="912"/>
      <c r="J125" s="910"/>
      <c r="K125" s="969"/>
      <c r="L125" s="911"/>
      <c r="M125" s="911"/>
      <c r="N125" s="971"/>
      <c r="O125" s="558"/>
      <c r="P125" s="558"/>
      <c r="Q125" s="912"/>
      <c r="R125" s="910"/>
      <c r="S125" s="969"/>
      <c r="T125" s="911"/>
      <c r="U125" s="911"/>
      <c r="V125" s="971"/>
      <c r="W125" s="1143"/>
      <c r="X125" s="1145"/>
      <c r="Y125" s="912"/>
      <c r="Z125" s="910"/>
      <c r="AA125" s="969"/>
      <c r="AB125" s="911"/>
      <c r="AC125" s="911"/>
      <c r="AD125" s="971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1143"/>
      <c r="H126" s="1144"/>
      <c r="I126" s="912"/>
      <c r="J126" s="910"/>
      <c r="K126" s="969"/>
      <c r="L126" s="911"/>
      <c r="M126" s="911"/>
      <c r="N126" s="971"/>
      <c r="O126" s="558"/>
      <c r="P126" s="558"/>
      <c r="Q126" s="912"/>
      <c r="R126" s="910"/>
      <c r="S126" s="969"/>
      <c r="T126" s="911"/>
      <c r="U126" s="911"/>
      <c r="V126" s="971"/>
      <c r="W126" s="1143"/>
      <c r="X126" s="1145"/>
      <c r="Y126" s="912"/>
      <c r="Z126" s="910"/>
      <c r="AA126" s="969"/>
      <c r="AB126" s="911"/>
      <c r="AC126" s="911"/>
      <c r="AD126" s="971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1143"/>
      <c r="H127" s="1144"/>
      <c r="I127" s="912"/>
      <c r="J127" s="910"/>
      <c r="K127" s="969"/>
      <c r="L127" s="911"/>
      <c r="M127" s="911"/>
      <c r="N127" s="971"/>
      <c r="O127" s="558"/>
      <c r="P127" s="558"/>
      <c r="Q127" s="912"/>
      <c r="R127" s="910"/>
      <c r="S127" s="969"/>
      <c r="T127" s="911"/>
      <c r="U127" s="911"/>
      <c r="V127" s="971"/>
      <c r="W127" s="1143"/>
      <c r="X127" s="1145"/>
      <c r="Y127" s="912"/>
      <c r="Z127" s="910"/>
      <c r="AA127" s="969"/>
      <c r="AB127" s="911"/>
      <c r="AC127" s="911"/>
      <c r="AD127" s="971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1143"/>
      <c r="H128" s="1144"/>
      <c r="I128" s="912"/>
      <c r="J128" s="910"/>
      <c r="K128" s="969"/>
      <c r="L128" s="911"/>
      <c r="M128" s="911"/>
      <c r="N128" s="971"/>
      <c r="O128" s="558"/>
      <c r="P128" s="558"/>
      <c r="Q128" s="912"/>
      <c r="R128" s="910"/>
      <c r="S128" s="969"/>
      <c r="T128" s="911"/>
      <c r="U128" s="911"/>
      <c r="V128" s="971"/>
      <c r="W128" s="1143"/>
      <c r="X128" s="1145"/>
      <c r="Y128" s="912"/>
      <c r="Z128" s="910"/>
      <c r="AA128" s="969"/>
      <c r="AB128" s="911"/>
      <c r="AC128" s="911"/>
      <c r="AD128" s="971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1143"/>
      <c r="H129" s="1144"/>
      <c r="I129" s="912"/>
      <c r="J129" s="910"/>
      <c r="K129" s="969"/>
      <c r="L129" s="911"/>
      <c r="M129" s="911"/>
      <c r="N129" s="971"/>
      <c r="O129" s="558"/>
      <c r="P129" s="558"/>
      <c r="Q129" s="912"/>
      <c r="R129" s="910"/>
      <c r="S129" s="969"/>
      <c r="T129" s="911"/>
      <c r="U129" s="911"/>
      <c r="V129" s="971"/>
      <c r="W129" s="1143"/>
      <c r="X129" s="1145"/>
      <c r="Y129" s="912"/>
      <c r="Z129" s="910"/>
      <c r="AA129" s="969"/>
      <c r="AB129" s="911"/>
      <c r="AC129" s="911"/>
      <c r="AD129" s="971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1143"/>
      <c r="H130" s="1144"/>
      <c r="I130" s="912"/>
      <c r="J130" s="910"/>
      <c r="K130" s="969"/>
      <c r="L130" s="911"/>
      <c r="M130" s="911"/>
      <c r="N130" s="971"/>
      <c r="O130" s="558"/>
      <c r="P130" s="558"/>
      <c r="Q130" s="912"/>
      <c r="R130" s="910"/>
      <c r="S130" s="969"/>
      <c r="T130" s="911"/>
      <c r="U130" s="911"/>
      <c r="V130" s="971"/>
      <c r="W130" s="1143"/>
      <c r="X130" s="1145"/>
      <c r="Y130" s="912"/>
      <c r="Z130" s="910"/>
      <c r="AA130" s="969"/>
      <c r="AB130" s="911"/>
      <c r="AC130" s="911"/>
      <c r="AD130" s="971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1143"/>
      <c r="H131" s="1144"/>
      <c r="I131" s="912"/>
      <c r="J131" s="910"/>
      <c r="K131" s="969"/>
      <c r="L131" s="911"/>
      <c r="M131" s="911"/>
      <c r="N131" s="971"/>
      <c r="O131" s="558"/>
      <c r="P131" s="558"/>
      <c r="Q131" s="912"/>
      <c r="R131" s="910"/>
      <c r="S131" s="969"/>
      <c r="T131" s="911"/>
      <c r="U131" s="911"/>
      <c r="V131" s="971"/>
      <c r="W131" s="1143"/>
      <c r="X131" s="1145"/>
      <c r="Y131" s="912"/>
      <c r="Z131" s="910"/>
      <c r="AA131" s="969"/>
      <c r="AB131" s="911"/>
      <c r="AC131" s="911"/>
      <c r="AD131" s="971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1143"/>
      <c r="H132" s="1144"/>
      <c r="I132" s="912"/>
      <c r="J132" s="910"/>
      <c r="K132" s="969"/>
      <c r="L132" s="911"/>
      <c r="M132" s="911"/>
      <c r="N132" s="971"/>
      <c r="O132" s="558"/>
      <c r="P132" s="558"/>
      <c r="Q132" s="912"/>
      <c r="R132" s="910"/>
      <c r="S132" s="969"/>
      <c r="T132" s="911"/>
      <c r="U132" s="911"/>
      <c r="V132" s="971"/>
      <c r="W132" s="1143"/>
      <c r="X132" s="1145"/>
      <c r="Y132" s="912"/>
      <c r="Z132" s="910"/>
      <c r="AA132" s="969"/>
      <c r="AB132" s="911"/>
      <c r="AC132" s="911"/>
      <c r="AD132" s="971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1143"/>
      <c r="H133" s="1144"/>
      <c r="I133" s="912"/>
      <c r="J133" s="910"/>
      <c r="K133" s="969"/>
      <c r="L133" s="911"/>
      <c r="M133" s="911"/>
      <c r="N133" s="971"/>
      <c r="O133" s="558"/>
      <c r="P133" s="558"/>
      <c r="Q133" s="912"/>
      <c r="R133" s="910"/>
      <c r="S133" s="969"/>
      <c r="T133" s="911"/>
      <c r="U133" s="911"/>
      <c r="V133" s="971"/>
      <c r="W133" s="1143"/>
      <c r="X133" s="1145"/>
      <c r="Y133" s="912"/>
      <c r="Z133" s="910"/>
      <c r="AA133" s="969"/>
      <c r="AB133" s="911"/>
      <c r="AC133" s="911"/>
      <c r="AD133" s="971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1143"/>
      <c r="H134" s="1144"/>
      <c r="I134" s="912"/>
      <c r="J134" s="910"/>
      <c r="K134" s="970"/>
      <c r="L134" s="911"/>
      <c r="M134" s="911"/>
      <c r="N134" s="971"/>
      <c r="O134" s="558"/>
      <c r="P134" s="558"/>
      <c r="Q134" s="912"/>
      <c r="R134" s="910"/>
      <c r="S134" s="970"/>
      <c r="T134" s="911"/>
      <c r="U134" s="911"/>
      <c r="V134" s="971"/>
      <c r="W134" s="1143"/>
      <c r="X134" s="1145"/>
      <c r="Y134" s="912"/>
      <c r="Z134" s="910"/>
      <c r="AA134" s="970"/>
      <c r="AB134" s="911"/>
      <c r="AC134" s="911"/>
      <c r="AD134" s="971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1143"/>
      <c r="H135" s="1144"/>
      <c r="I135" s="912"/>
      <c r="J135" s="910"/>
      <c r="K135" s="970"/>
      <c r="L135" s="911"/>
      <c r="M135" s="911"/>
      <c r="N135" s="971"/>
      <c r="O135" s="558"/>
      <c r="P135" s="558"/>
      <c r="Q135" s="912"/>
      <c r="R135" s="910"/>
      <c r="S135" s="970"/>
      <c r="T135" s="911"/>
      <c r="U135" s="911"/>
      <c r="V135" s="971"/>
      <c r="W135" s="1143"/>
      <c r="X135" s="1145"/>
      <c r="Y135" s="912"/>
      <c r="Z135" s="910"/>
      <c r="AA135" s="970"/>
      <c r="AB135" s="911"/>
      <c r="AC135" s="911"/>
      <c r="AD135" s="971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1143"/>
      <c r="H136" s="1144"/>
      <c r="I136" s="912"/>
      <c r="J136" s="910"/>
      <c r="K136" s="970"/>
      <c r="L136" s="911"/>
      <c r="M136" s="911"/>
      <c r="N136" s="971"/>
      <c r="O136" s="558"/>
      <c r="P136" s="558"/>
      <c r="Q136" s="912"/>
      <c r="R136" s="910"/>
      <c r="S136" s="970"/>
      <c r="T136" s="911"/>
      <c r="U136" s="911"/>
      <c r="V136" s="971"/>
      <c r="W136" s="1143"/>
      <c r="X136" s="1145"/>
      <c r="Y136" s="912"/>
      <c r="Z136" s="910"/>
      <c r="AA136" s="970"/>
      <c r="AB136" s="911"/>
      <c r="AC136" s="911"/>
      <c r="AD136" s="971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1143"/>
      <c r="H137" s="1144"/>
      <c r="I137" s="912"/>
      <c r="J137" s="910"/>
      <c r="K137" s="964"/>
      <c r="L137" s="911"/>
      <c r="M137" s="911"/>
      <c r="N137" s="971"/>
      <c r="O137" s="558"/>
      <c r="P137" s="558"/>
      <c r="Q137" s="912"/>
      <c r="R137" s="910"/>
      <c r="S137" s="964"/>
      <c r="T137" s="911"/>
      <c r="U137" s="911"/>
      <c r="V137" s="971"/>
      <c r="W137" s="1143"/>
      <c r="X137" s="1145"/>
      <c r="Y137" s="912"/>
      <c r="Z137" s="910"/>
      <c r="AA137" s="964"/>
      <c r="AB137" s="911"/>
      <c r="AC137" s="911"/>
      <c r="AD137" s="971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1143"/>
      <c r="H138" s="1144"/>
      <c r="I138" s="912"/>
      <c r="J138" s="910"/>
      <c r="K138" s="964"/>
      <c r="L138" s="911"/>
      <c r="M138" s="911"/>
      <c r="N138" s="971"/>
      <c r="O138" s="558"/>
      <c r="P138" s="558"/>
      <c r="Q138" s="912"/>
      <c r="R138" s="910"/>
      <c r="S138" s="964"/>
      <c r="T138" s="911"/>
      <c r="U138" s="911"/>
      <c r="V138" s="971"/>
      <c r="W138" s="1143"/>
      <c r="X138" s="1145"/>
      <c r="Y138" s="912"/>
      <c r="Z138" s="910"/>
      <c r="AA138" s="964"/>
      <c r="AB138" s="911"/>
      <c r="AC138" s="911"/>
      <c r="AD138" s="971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1143"/>
      <c r="H139" s="1144"/>
      <c r="I139" s="912"/>
      <c r="J139" s="910"/>
      <c r="K139" s="964"/>
      <c r="L139" s="911"/>
      <c r="M139" s="911"/>
      <c r="N139" s="971"/>
      <c r="O139" s="558"/>
      <c r="P139" s="558"/>
      <c r="Q139" s="912"/>
      <c r="R139" s="910"/>
      <c r="S139" s="964"/>
      <c r="T139" s="911"/>
      <c r="U139" s="911"/>
      <c r="V139" s="971"/>
      <c r="W139" s="1143"/>
      <c r="X139" s="1145"/>
      <c r="Y139" s="912"/>
      <c r="Z139" s="910"/>
      <c r="AA139" s="964"/>
      <c r="AB139" s="911"/>
      <c r="AC139" s="911"/>
      <c r="AD139" s="971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1143"/>
      <c r="H140" s="1144"/>
      <c r="I140" s="912"/>
      <c r="J140" s="910"/>
      <c r="K140" s="964"/>
      <c r="L140" s="911"/>
      <c r="M140" s="911"/>
      <c r="N140" s="971"/>
      <c r="O140" s="558"/>
      <c r="P140" s="558"/>
      <c r="Q140" s="912"/>
      <c r="R140" s="910"/>
      <c r="S140" s="964"/>
      <c r="T140" s="911"/>
      <c r="U140" s="911"/>
      <c r="V140" s="971"/>
      <c r="W140" s="1143"/>
      <c r="X140" s="1145"/>
      <c r="Y140" s="912"/>
      <c r="Z140" s="910"/>
      <c r="AA140" s="964"/>
      <c r="AB140" s="911"/>
      <c r="AC140" s="911"/>
      <c r="AD140" s="971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1143"/>
      <c r="H141" s="1144"/>
      <c r="I141" s="912"/>
      <c r="J141" s="910"/>
      <c r="K141" s="964"/>
      <c r="L141" s="911"/>
      <c r="M141" s="911"/>
      <c r="N141" s="971"/>
      <c r="O141" s="558"/>
      <c r="P141" s="558"/>
      <c r="Q141" s="912"/>
      <c r="R141" s="910"/>
      <c r="S141" s="964"/>
      <c r="T141" s="911"/>
      <c r="U141" s="911"/>
      <c r="V141" s="971"/>
      <c r="W141" s="1143"/>
      <c r="X141" s="1145"/>
      <c r="Y141" s="912"/>
      <c r="Z141" s="910"/>
      <c r="AA141" s="964"/>
      <c r="AB141" s="911"/>
      <c r="AC141" s="911"/>
      <c r="AD141" s="971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1143"/>
      <c r="H142" s="1144"/>
      <c r="I142" s="912"/>
      <c r="J142" s="910"/>
      <c r="K142" s="964"/>
      <c r="L142" s="911"/>
      <c r="M142" s="911"/>
      <c r="N142" s="971"/>
      <c r="O142" s="558"/>
      <c r="P142" s="558"/>
      <c r="Q142" s="912"/>
      <c r="R142" s="910"/>
      <c r="S142" s="964"/>
      <c r="T142" s="911"/>
      <c r="U142" s="911"/>
      <c r="V142" s="971"/>
      <c r="W142" s="1143"/>
      <c r="X142" s="1145"/>
      <c r="Y142" s="912"/>
      <c r="Z142" s="910"/>
      <c r="AA142" s="964"/>
      <c r="AB142" s="911"/>
      <c r="AC142" s="911"/>
      <c r="AD142" s="971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1143"/>
      <c r="H143" s="1144"/>
      <c r="I143" s="912"/>
      <c r="J143" s="910"/>
      <c r="K143" s="964"/>
      <c r="L143" s="911"/>
      <c r="M143" s="911"/>
      <c r="N143" s="971"/>
      <c r="O143" s="558"/>
      <c r="P143" s="558"/>
      <c r="Q143" s="912"/>
      <c r="R143" s="910"/>
      <c r="S143" s="964"/>
      <c r="T143" s="911"/>
      <c r="U143" s="911"/>
      <c r="V143" s="971"/>
      <c r="W143" s="1143"/>
      <c r="X143" s="1145"/>
      <c r="Y143" s="912"/>
      <c r="Z143" s="910"/>
      <c r="AA143" s="964"/>
      <c r="AB143" s="911"/>
      <c r="AC143" s="911"/>
      <c r="AD143" s="971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1143"/>
      <c r="H144" s="1144"/>
      <c r="I144" s="912"/>
      <c r="J144" s="910"/>
      <c r="K144" s="964"/>
      <c r="L144" s="911"/>
      <c r="M144" s="911"/>
      <c r="N144" s="971"/>
      <c r="O144" s="558"/>
      <c r="P144" s="558"/>
      <c r="Q144" s="912"/>
      <c r="R144" s="910"/>
      <c r="S144" s="964"/>
      <c r="T144" s="911"/>
      <c r="U144" s="911"/>
      <c r="V144" s="971"/>
      <c r="W144" s="1143"/>
      <c r="X144" s="1145"/>
      <c r="Y144" s="912"/>
      <c r="Z144" s="910"/>
      <c r="AA144" s="964"/>
      <c r="AB144" s="911"/>
      <c r="AC144" s="911"/>
      <c r="AD144" s="971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1143"/>
      <c r="H145" s="1144"/>
      <c r="I145" s="956"/>
      <c r="J145" s="957"/>
      <c r="K145" s="966"/>
      <c r="L145" s="967"/>
      <c r="M145" s="967"/>
      <c r="N145" s="986"/>
      <c r="O145" s="558"/>
      <c r="P145" s="558"/>
      <c r="Q145" s="956"/>
      <c r="R145" s="957"/>
      <c r="S145" s="966"/>
      <c r="T145" s="967"/>
      <c r="U145" s="967"/>
      <c r="V145" s="986"/>
      <c r="W145" s="1143"/>
      <c r="X145" s="1145"/>
      <c r="Y145" s="956"/>
      <c r="Z145" s="957"/>
      <c r="AA145" s="966"/>
      <c r="AB145" s="967"/>
      <c r="AC145" s="967"/>
      <c r="AD145" s="986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  <mergeCell ref="Q54:Z54"/>
    <mergeCell ref="B54:B55"/>
    <mergeCell ref="I1:J1"/>
    <mergeCell ref="C54:M54"/>
    <mergeCell ref="AN53:AO53"/>
  </mergeCells>
  <conditionalFormatting sqref="C82:Z94">
    <cfRule type="expression" dxfId="44" priority="2090" stopIfTrue="1">
      <formula>C$82=0</formula>
    </cfRule>
  </conditionalFormatting>
  <conditionalFormatting sqref="A16:N43">
    <cfRule type="expression" dxfId="43" priority="17" stopIfTrue="1">
      <formula>$B16=""</formula>
    </cfRule>
  </conditionalFormatting>
  <conditionalFormatting sqref="A56:A79 C56:AA79">
    <cfRule type="expression" dxfId="42" priority="2098" stopIfTrue="1">
      <formula>$N56=0</formula>
    </cfRule>
  </conditionalFormatting>
  <conditionalFormatting sqref="F20:G43">
    <cfRule type="expression" dxfId="41" priority="2099" stopIfTrue="1">
      <formula>$AD56=TRUE</formula>
    </cfRule>
  </conditionalFormatting>
  <conditionalFormatting sqref="A45:E45">
    <cfRule type="expression" dxfId="40" priority="4" stopIfTrue="1">
      <formula>$B45=""</formula>
    </cfRule>
  </conditionalFormatting>
  <conditionalFormatting sqref="V2">
    <cfRule type="expression" dxfId="39" priority="3" stopIfTrue="1">
      <formula>$B4=""</formula>
    </cfRule>
  </conditionalFormatting>
  <conditionalFormatting sqref="A50:A51">
    <cfRule type="expression" dxfId="38" priority="2" stopIfTrue="1">
      <formula>$B50=""</formula>
    </cfRule>
  </conditionalFormatting>
  <conditionalFormatting sqref="A47:E47">
    <cfRule type="expression" dxfId="37" priority="1" stopIfTrue="1">
      <formula>$B47=""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7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194</v>
      </c>
      <c r="B1" s="90"/>
      <c r="K1" s="4"/>
      <c r="L1" s="4"/>
      <c r="M1" s="4"/>
      <c r="N1" s="272" t="s">
        <v>240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1.004</v>
      </c>
      <c r="Z1" s="668" t="s">
        <v>225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51" t="s">
        <v>207</v>
      </c>
      <c r="BD1" s="1251"/>
      <c r="BE1" s="1251"/>
      <c r="BF1" s="797"/>
      <c r="BH1" s="724" t="s">
        <v>199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42" t="str">
        <f>'Réglage perte'!B2</f>
        <v>MdS Escalquens</v>
      </c>
      <c r="B2" s="1243"/>
      <c r="C2" s="1243"/>
      <c r="D2" s="1244"/>
      <c r="I2" s="1197" t="s">
        <v>368</v>
      </c>
      <c r="J2" s="1198">
        <f>AVERAGEIF($BW$15:$CF$380,"&gt;0,97")</f>
        <v>0.9993630454812491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51"/>
      <c r="BD2" s="1251"/>
      <c r="BE2" s="1251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5"/>
      <c r="B3" s="1246"/>
      <c r="C3" s="1246"/>
      <c r="D3" s="1247"/>
      <c r="E3" s="3"/>
      <c r="L3" s="746">
        <f>AL3</f>
        <v>246</v>
      </c>
      <c r="M3" s="750">
        <f>+AM3</f>
        <v>241</v>
      </c>
      <c r="N3" s="171">
        <v>262</v>
      </c>
      <c r="O3" s="171">
        <v>301</v>
      </c>
      <c r="P3" s="171">
        <v>351</v>
      </c>
      <c r="Q3" s="171">
        <v>403</v>
      </c>
      <c r="R3" s="171">
        <v>456</v>
      </c>
      <c r="S3" s="171">
        <v>510</v>
      </c>
      <c r="T3" s="171">
        <v>560</v>
      </c>
      <c r="U3" s="171">
        <v>598</v>
      </c>
      <c r="V3" s="171">
        <v>623</v>
      </c>
      <c r="W3" s="171">
        <v>635</v>
      </c>
      <c r="X3" s="171">
        <v>638</v>
      </c>
      <c r="Y3" s="171">
        <v>634</v>
      </c>
      <c r="Z3" s="171">
        <v>627</v>
      </c>
      <c r="AA3" s="171">
        <v>617</v>
      </c>
      <c r="AB3" s="171">
        <v>604</v>
      </c>
      <c r="AC3" s="171">
        <v>586</v>
      </c>
      <c r="AD3" s="171">
        <v>563</v>
      </c>
      <c r="AE3" s="171">
        <v>533</v>
      </c>
      <c r="AF3" s="171">
        <v>496</v>
      </c>
      <c r="AG3" s="171">
        <v>452</v>
      </c>
      <c r="AH3" s="171">
        <v>402</v>
      </c>
      <c r="AI3" s="171">
        <v>352</v>
      </c>
      <c r="AJ3" s="171">
        <v>307</v>
      </c>
      <c r="AK3" s="171">
        <v>270</v>
      </c>
      <c r="AL3" s="171">
        <v>246</v>
      </c>
      <c r="AM3" s="171">
        <v>241</v>
      </c>
      <c r="AN3" s="746">
        <f>+N3</f>
        <v>262</v>
      </c>
      <c r="AO3" s="747">
        <f>+O3</f>
        <v>301</v>
      </c>
      <c r="BC3" s="1251"/>
      <c r="BD3" s="1251"/>
      <c r="BE3" s="1251"/>
      <c r="BF3" s="797"/>
      <c r="BH3" s="28"/>
      <c r="BI3" s="6"/>
      <c r="BJ3" s="6"/>
      <c r="BK3" s="6"/>
      <c r="BL3" s="6"/>
      <c r="BM3" s="6"/>
      <c r="BN3" s="6"/>
      <c r="BO3" s="787" t="s">
        <v>237</v>
      </c>
      <c r="BP3" s="788">
        <v>0.3</v>
      </c>
      <c r="BQ3" s="789" t="s">
        <v>238</v>
      </c>
      <c r="BR3" s="790" t="s">
        <v>243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191</v>
      </c>
      <c r="N4" s="752">
        <f>MAX($BA15:$BA28)-1</f>
        <v>4.1428771929483243E-2</v>
      </c>
      <c r="O4" s="642">
        <f>MAX($BA29:$BA42)-1</f>
        <v>4.3054646973989863E-2</v>
      </c>
      <c r="P4" s="642">
        <f>MAX($BA43:$BA56)-1</f>
        <v>4.1265590460616952E-2</v>
      </c>
      <c r="Q4" s="642">
        <f>MAX(BA57:BA70)-1</f>
        <v>1.5426597349023075E-2</v>
      </c>
      <c r="R4" s="642">
        <f>MAX(BA71:BA84)-1</f>
        <v>8.6296254599769195E-3</v>
      </c>
      <c r="S4" s="642">
        <f>MAX(BA85:BA98)-1</f>
        <v>1.2559881410290741E-2</v>
      </c>
      <c r="T4" s="642">
        <f>MAX(BA99:BA112)-1</f>
        <v>3.9000752785045778E-2</v>
      </c>
      <c r="U4" s="642">
        <f>MAX(BA113:BA126)-1</f>
        <v>9.8867890589628971E-3</v>
      </c>
      <c r="V4" s="642">
        <f>MAX(BA127:BA140)-1</f>
        <v>1.1952963453878418E-2</v>
      </c>
      <c r="W4" s="642">
        <f>MAX(BA141:BA154)-1</f>
        <v>1.8548390139661919E-2</v>
      </c>
      <c r="X4" s="642">
        <f>MAX(BA155:BA168)-1</f>
        <v>1.2547220239704782E-2</v>
      </c>
      <c r="Y4" s="642">
        <f>MAX(BA169:BA182)-1</f>
        <v>1.1128598156534109E-2</v>
      </c>
      <c r="Z4" s="642">
        <f>MAX(BA183:BA196)-1</f>
        <v>1.1886971201477525E-2</v>
      </c>
      <c r="AA4" s="642">
        <f>MAX(BA197:BA210)-1</f>
        <v>1.8551754447262869E-2</v>
      </c>
      <c r="AB4" s="642">
        <f>MAX(BA211:BA224)-1</f>
        <v>2.8188911545008244E-2</v>
      </c>
      <c r="AC4" s="642">
        <f>MAX(BA225:BA238)-1</f>
        <v>-7.1570016703499384E-3</v>
      </c>
      <c r="AD4" s="642">
        <f>MAX(BA239:BA252)-1</f>
        <v>8.2005621178333765E-3</v>
      </c>
      <c r="AE4" s="642">
        <f>MAX(BA253:BA266)-1</f>
        <v>3.1291800185761387E-2</v>
      </c>
      <c r="AF4" s="642">
        <f>MAX(BA267:BA280)-1</f>
        <v>3.6337496322720542E-2</v>
      </c>
      <c r="AG4" s="642">
        <f>MAX(BA281:BA294)-1</f>
        <v>4.4569460583134601E-2</v>
      </c>
      <c r="AH4" s="642">
        <f>MAX(BA295:BA308)-1</f>
        <v>3.9587847517770447E-2</v>
      </c>
      <c r="AI4" s="642">
        <f>MAX(BA309:BA322)-1</f>
        <v>3.5682540017186293E-2</v>
      </c>
      <c r="AJ4" s="642">
        <f>MAX(BA323:BA336)-1</f>
        <v>1.1597115070360875E-3</v>
      </c>
      <c r="AK4" s="642">
        <f>MAX(BA337:BA350)-1</f>
        <v>4.690149922644915E-2</v>
      </c>
      <c r="AL4" s="642">
        <f>MAX(BA351:BA364)-1</f>
        <v>2.4886556544549077E-2</v>
      </c>
      <c r="AM4" s="642">
        <f>MAX(BA365:BA380)-1</f>
        <v>4.212991551600509E-2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239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8" t="s">
        <v>190</v>
      </c>
      <c r="B5" s="1249"/>
      <c r="C5" s="1249"/>
      <c r="D5" s="1249"/>
      <c r="E5" s="1249"/>
      <c r="F5" s="1249"/>
      <c r="G5" s="1249"/>
      <c r="H5" s="1249"/>
      <c r="I5" s="1249"/>
      <c r="J5" s="1250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9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3.1291800185761387E-2</v>
      </c>
      <c r="B7" s="268">
        <f>'2020'!Dépas_env</f>
        <v>4.690149922644915E-2</v>
      </c>
      <c r="C7" s="268">
        <f>'2021'!Dépas_env</f>
        <v>4.212991551600509E-2</v>
      </c>
      <c r="D7" s="268">
        <f>'2022'!Dépas_env</f>
        <v>4.4569460583134601E-2</v>
      </c>
      <c r="E7" s="268">
        <f>'2023'!Dépas_env</f>
        <v>4.4569460583134601E-2</v>
      </c>
      <c r="F7" s="598">
        <f>'2024'!Dépas_env</f>
        <v>4.4569460583134601E-2</v>
      </c>
      <c r="G7" s="598">
        <f>'2025'!Dépas_env</f>
        <v>4.4569460583134601E-2</v>
      </c>
      <c r="H7" s="598">
        <f>'2026'!Dépas_env</f>
        <v>4.4569460583134601E-2</v>
      </c>
      <c r="I7" s="598">
        <f>'2027'!Dépas_env</f>
        <v>4.4569460583134601E-2</v>
      </c>
      <c r="J7" s="598">
        <f>'2028'!Dépas_env</f>
        <v>4.4569460583134601E-2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-1.5008874621829826</v>
      </c>
      <c r="BI9" s="953" t="s">
        <v>296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0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312</v>
      </c>
      <c r="D11" s="1069">
        <v>0.97</v>
      </c>
      <c r="E11" s="8"/>
      <c r="J11" s="9"/>
      <c r="K11" s="7"/>
      <c r="L11" s="749" t="s">
        <v>226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229</v>
      </c>
      <c r="AT11" s="27"/>
      <c r="AU11" s="679" t="s">
        <v>230</v>
      </c>
      <c r="AY11" s="27"/>
      <c r="AZ11" s="760" t="s">
        <v>233</v>
      </c>
      <c r="BA11" s="631"/>
      <c r="BB11" s="19"/>
      <c r="BC11" s="15"/>
      <c r="BD11" s="1252" t="s">
        <v>249</v>
      </c>
      <c r="BE11" s="1253"/>
      <c r="BF11" s="1256" t="s">
        <v>244</v>
      </c>
      <c r="BH11" s="1031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9.0351524420219071</v>
      </c>
      <c r="C12" s="12">
        <f>+MIN(C15:C379)</f>
        <v>2018</v>
      </c>
      <c r="D12" s="1042">
        <f>+MIN(D15:D379)</f>
        <v>0.97005904941195453</v>
      </c>
      <c r="E12" s="12">
        <f t="shared" ref="E12:J12" si="1">+MIN(E15:E379)</f>
        <v>24.196400000000001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24.110403418966701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24.341469395366211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24.114886481527769</v>
      </c>
      <c r="AZ12" s="389">
        <f t="shared" si="3"/>
        <v>24.233172441380368</v>
      </c>
      <c r="BA12" s="629"/>
      <c r="BC12" s="15"/>
      <c r="BD12" s="1254"/>
      <c r="BE12" s="1255"/>
      <c r="BF12" s="1257"/>
      <c r="BH12" s="1032">
        <f>(H_i-BH11)/(INDEX(Echel_vg,$BH$10+1)-BH$11)</f>
        <v>0.49911253781701737</v>
      </c>
      <c r="BJ12" s="6"/>
      <c r="BK12" s="6"/>
      <c r="BL12" s="6"/>
      <c r="BN12" s="355" t="str">
        <f>Masques!B53</f>
        <v>Pas de calcul pousse en hauteur:</v>
      </c>
      <c r="BO12" s="1098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65.112138934007149</v>
      </c>
      <c r="C13" s="12">
        <f>+MAX(C15:C379)</f>
        <v>2022</v>
      </c>
      <c r="D13" s="1042">
        <f>+MAX(D15:D379)</f>
        <v>1.0469014992264492</v>
      </c>
      <c r="E13" s="12">
        <f t="shared" ref="E13:J13" si="4">+MAX(E15:E379)</f>
        <v>64.055199999999999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64.057468513133273</v>
      </c>
      <c r="K13" s="6"/>
      <c r="L13" s="763">
        <f>AL13</f>
        <v>246.98400000000001</v>
      </c>
      <c r="M13" s="763">
        <f>+AM13</f>
        <v>241.964</v>
      </c>
      <c r="N13" s="762">
        <f t="shared" ref="N13:AM13" si="5">Ajust_M*N3</f>
        <v>263.048</v>
      </c>
      <c r="O13" s="753">
        <f t="shared" si="5"/>
        <v>302.20400000000001</v>
      </c>
      <c r="P13" s="753">
        <f t="shared" si="5"/>
        <v>352.404</v>
      </c>
      <c r="Q13" s="753">
        <f t="shared" si="5"/>
        <v>404.61200000000002</v>
      </c>
      <c r="R13" s="753">
        <f t="shared" si="5"/>
        <v>457.82400000000001</v>
      </c>
      <c r="S13" s="753">
        <f t="shared" si="5"/>
        <v>512.04</v>
      </c>
      <c r="T13" s="753">
        <f t="shared" si="5"/>
        <v>562.24</v>
      </c>
      <c r="U13" s="753">
        <f t="shared" si="5"/>
        <v>600.39200000000005</v>
      </c>
      <c r="V13" s="753">
        <f t="shared" si="5"/>
        <v>625.49199999999996</v>
      </c>
      <c r="W13" s="753">
        <f t="shared" si="5"/>
        <v>637.54</v>
      </c>
      <c r="X13" s="753">
        <f t="shared" si="5"/>
        <v>640.55200000000002</v>
      </c>
      <c r="Y13" s="753">
        <f t="shared" si="5"/>
        <v>636.53600000000006</v>
      </c>
      <c r="Z13" s="753">
        <f t="shared" si="5"/>
        <v>629.50800000000004</v>
      </c>
      <c r="AA13" s="753">
        <f t="shared" si="5"/>
        <v>619.46799999999996</v>
      </c>
      <c r="AB13" s="753">
        <f t="shared" si="5"/>
        <v>606.41600000000005</v>
      </c>
      <c r="AC13" s="753">
        <f t="shared" si="5"/>
        <v>588.34400000000005</v>
      </c>
      <c r="AD13" s="753">
        <f t="shared" si="5"/>
        <v>565.25199999999995</v>
      </c>
      <c r="AE13" s="753">
        <f t="shared" si="5"/>
        <v>535.13199999999995</v>
      </c>
      <c r="AF13" s="753">
        <f t="shared" si="5"/>
        <v>497.98399999999998</v>
      </c>
      <c r="AG13" s="753">
        <f t="shared" si="5"/>
        <v>453.80799999999999</v>
      </c>
      <c r="AH13" s="753">
        <f t="shared" si="5"/>
        <v>403.608</v>
      </c>
      <c r="AI13" s="753">
        <f t="shared" si="5"/>
        <v>353.40800000000002</v>
      </c>
      <c r="AJ13" s="753">
        <f t="shared" si="5"/>
        <v>308.22800000000001</v>
      </c>
      <c r="AK13" s="753">
        <f t="shared" si="5"/>
        <v>271.08</v>
      </c>
      <c r="AL13" s="753">
        <f t="shared" si="5"/>
        <v>246.98400000000001</v>
      </c>
      <c r="AM13" s="753">
        <f t="shared" si="5"/>
        <v>241.964</v>
      </c>
      <c r="AN13" s="763">
        <f>+N13</f>
        <v>263.048</v>
      </c>
      <c r="AO13" s="763">
        <f>+O13</f>
        <v>302.20400000000001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64.059842218977536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64.066071483652507</v>
      </c>
      <c r="AZ13" s="389">
        <f t="shared" si="6"/>
        <v>64.051019715624193</v>
      </c>
      <c r="BA13" s="629"/>
      <c r="BC13" s="37"/>
      <c r="BD13" s="284" t="s">
        <v>49</v>
      </c>
      <c r="BE13" s="284" t="s">
        <v>48</v>
      </c>
      <c r="BF13" s="284" t="s">
        <v>247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44582</v>
      </c>
      <c r="BP13" s="790">
        <f>YEAR(BO13)</f>
        <v>2022</v>
      </c>
      <c r="BW13" s="667" t="s">
        <v>367</v>
      </c>
    </row>
    <row r="14" spans="1:84" ht="37.5" customHeight="1" thickBot="1" x14ac:dyDescent="0.3">
      <c r="A14" s="355" t="s">
        <v>114</v>
      </c>
      <c r="B14" s="1041" t="s">
        <v>3</v>
      </c>
      <c r="C14" s="1041" t="s">
        <v>13</v>
      </c>
      <c r="D14" s="1043" t="s">
        <v>313</v>
      </c>
      <c r="E14" s="174" t="s">
        <v>223</v>
      </c>
      <c r="F14" s="174" t="s">
        <v>219</v>
      </c>
      <c r="G14" s="174" t="s">
        <v>220</v>
      </c>
      <c r="H14" s="174" t="s">
        <v>221</v>
      </c>
      <c r="I14" s="733" t="s">
        <v>222</v>
      </c>
      <c r="J14" s="78" t="s">
        <v>0</v>
      </c>
      <c r="L14" s="2"/>
      <c r="M14" s="4" t="s">
        <v>224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219</v>
      </c>
      <c r="AQ14" s="174" t="s">
        <v>220</v>
      </c>
      <c r="AR14" s="174" t="s">
        <v>221</v>
      </c>
      <c r="AS14" s="733" t="s">
        <v>222</v>
      </c>
      <c r="AT14" s="756" t="s">
        <v>231</v>
      </c>
      <c r="AU14" s="174" t="s">
        <v>219</v>
      </c>
      <c r="AV14" s="174" t="s">
        <v>220</v>
      </c>
      <c r="AW14" s="174" t="s">
        <v>221</v>
      </c>
      <c r="AX14" s="733" t="s">
        <v>222</v>
      </c>
      <c r="AY14" s="756" t="s">
        <v>232</v>
      </c>
      <c r="AZ14" s="78" t="s">
        <v>234</v>
      </c>
      <c r="BA14" s="632" t="s">
        <v>192</v>
      </c>
      <c r="BB14" s="72"/>
      <c r="BC14" s="355" t="s">
        <v>114</v>
      </c>
      <c r="BD14" s="285" t="s">
        <v>19</v>
      </c>
      <c r="BE14" s="286" t="s">
        <v>21</v>
      </c>
      <c r="BF14" s="802" t="s">
        <v>248</v>
      </c>
      <c r="BH14" s="1034" t="s">
        <v>90</v>
      </c>
      <c r="BI14" s="1029" t="s">
        <v>297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198</v>
      </c>
      <c r="BW14" s="1189">
        <v>2019</v>
      </c>
      <c r="BX14" s="1189">
        <v>2020</v>
      </c>
      <c r="BY14" s="1189">
        <v>2021</v>
      </c>
      <c r="BZ14" s="1189">
        <v>2022</v>
      </c>
      <c r="CA14" s="1189">
        <v>2023</v>
      </c>
      <c r="CB14" s="1189">
        <v>2024</v>
      </c>
      <c r="CC14" s="1189">
        <v>2025</v>
      </c>
      <c r="CD14" s="1189">
        <v>2026</v>
      </c>
      <c r="CE14" s="1189">
        <v>2027</v>
      </c>
      <c r="CF14" s="1189">
        <v>2028</v>
      </c>
    </row>
    <row r="15" spans="1:84" s="6" customFormat="1" ht="11.25" x14ac:dyDescent="0.2">
      <c r="A15" s="11">
        <v>43101</v>
      </c>
      <c r="B15" s="378">
        <f>'2022'!Maxi_hp</f>
        <v>25.454097031999808</v>
      </c>
      <c r="C15" s="739">
        <f>'2022'!An_max</f>
        <v>2022</v>
      </c>
      <c r="D15" s="1044">
        <f t="shared" ref="D15:D78" si="7">IF($BA15&gt;$D$11,BA15,"")</f>
        <v>1.017406186422448</v>
      </c>
      <c r="E15" s="1039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25.01861829787493</v>
      </c>
      <c r="L15" s="743" t="s">
        <v>208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8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25.197726477990891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25.064430539875197</v>
      </c>
      <c r="AZ15" s="734">
        <f>(AY15+AT15)/2</f>
        <v>25.131078508933044</v>
      </c>
      <c r="BA15" s="633">
        <f t="shared" ref="BA15:BA78" si="21">+B15/J15</f>
        <v>1.017406186422448</v>
      </c>
      <c r="BC15" s="11">
        <v>43101</v>
      </c>
      <c r="BD15" s="287">
        <f>[3]!FeuilCaduc*(1-Persistant)+Persistant</f>
        <v>0.50572287428576723</v>
      </c>
      <c r="BE15" s="288">
        <f>[3]!CroissVégét</f>
        <v>2.3909964587625958E-6</v>
      </c>
      <c r="BF15" s="803">
        <f>1+[3]!Salcycl*Ksac</f>
        <v>1.0005722874285767</v>
      </c>
      <c r="BH15" s="1035">
        <f t="shared" ref="BH15:BH78" si="22">INDEX($BJ15:$BT15,,$BH$10)*(1-Ratini)+INDEX($BJ15:$BT15,,$BH$10+1)*Ratini</f>
        <v>2.142652602499313E-2</v>
      </c>
      <c r="BI15" s="11">
        <v>44197</v>
      </c>
      <c r="BJ15" s="809">
        <v>2.1816213513607811E-3</v>
      </c>
      <c r="BK15" s="713">
        <v>4.8995464731651159E-3</v>
      </c>
      <c r="BL15" s="713">
        <v>8.3861086155112702E-3</v>
      </c>
      <c r="BM15" s="713">
        <v>1.4344351466631365E-2</v>
      </c>
      <c r="BN15" s="713">
        <v>2.8533885933822417E-2</v>
      </c>
      <c r="BO15" s="714">
        <v>5.4688520359780314E-2</v>
      </c>
      <c r="BP15" s="713">
        <v>9.2116916468655663E-2</v>
      </c>
      <c r="BQ15" s="713">
        <v>0.12914029908778735</v>
      </c>
      <c r="BR15" s="713">
        <v>0.16322266407705069</v>
      </c>
      <c r="BS15" s="713">
        <v>0.19550282615128889</v>
      </c>
      <c r="BT15" s="713">
        <v>0.2314746598494026</v>
      </c>
      <c r="BW15" s="1190">
        <f>'2019'!R\Max</f>
        <v>0</v>
      </c>
      <c r="BX15" s="1190">
        <f>'2020'!R\Max</f>
        <v>0.61388072202835986</v>
      </c>
      <c r="BY15" s="1190">
        <f>'2021'!R\Max</f>
        <v>0.30951284498120296</v>
      </c>
      <c r="BZ15" s="1190">
        <f>'2022'!R\Max</f>
        <v>1.017406186422448</v>
      </c>
      <c r="CA15" s="1190">
        <f>'2023'!R\Max</f>
        <v>1.0174061864224482</v>
      </c>
      <c r="CB15" s="1190">
        <f>'2024'!R\Max</f>
        <v>1.0174061864224482</v>
      </c>
      <c r="CC15" s="1190">
        <f>'2025'!R\Max</f>
        <v>1.017406186422448</v>
      </c>
      <c r="CD15" s="1190">
        <f>'2026'!R\Max</f>
        <v>1.017406186422448</v>
      </c>
      <c r="CE15" s="1191">
        <f>'2027'!R\Max</f>
        <v>1.017406186422448</v>
      </c>
      <c r="CF15" s="1192">
        <f>'2028'!R\Max</f>
        <v>1.0174061864224482</v>
      </c>
    </row>
    <row r="16" spans="1:84" s="6" customFormat="1" ht="11.25" x14ac:dyDescent="0.2">
      <c r="A16" s="11">
        <v>43102</v>
      </c>
      <c r="B16" s="379">
        <f>'2022'!Maxi_hp</f>
        <v>24.084283353934023</v>
      </c>
      <c r="C16" s="13">
        <f>'2022'!An_max</f>
        <v>2020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25.174602641761304</v>
      </c>
      <c r="L16" s="744" t="s">
        <v>209</v>
      </c>
      <c r="M16" s="730">
        <f t="shared" ref="M16:AN16" si="25">L13</f>
        <v>246.98400000000001</v>
      </c>
      <c r="N16" s="769">
        <f t="shared" si="25"/>
        <v>241.964</v>
      </c>
      <c r="O16" s="731">
        <f t="shared" si="25"/>
        <v>263.048</v>
      </c>
      <c r="P16" s="731">
        <f t="shared" si="25"/>
        <v>302.20400000000001</v>
      </c>
      <c r="Q16" s="731">
        <f t="shared" si="25"/>
        <v>352.404</v>
      </c>
      <c r="R16" s="731">
        <f t="shared" si="25"/>
        <v>404.61200000000002</v>
      </c>
      <c r="S16" s="731">
        <f t="shared" si="25"/>
        <v>457.82400000000001</v>
      </c>
      <c r="T16" s="731">
        <f t="shared" si="25"/>
        <v>512.04</v>
      </c>
      <c r="U16" s="731">
        <f t="shared" si="25"/>
        <v>562.24</v>
      </c>
      <c r="V16" s="731">
        <f t="shared" si="25"/>
        <v>600.39200000000005</v>
      </c>
      <c r="W16" s="731">
        <f t="shared" si="25"/>
        <v>625.49199999999996</v>
      </c>
      <c r="X16" s="731">
        <f t="shared" si="25"/>
        <v>637.54</v>
      </c>
      <c r="Y16" s="731">
        <f t="shared" si="25"/>
        <v>640.55200000000002</v>
      </c>
      <c r="Z16" s="731">
        <f t="shared" si="25"/>
        <v>636.53600000000006</v>
      </c>
      <c r="AA16" s="731">
        <f t="shared" si="25"/>
        <v>629.50800000000004</v>
      </c>
      <c r="AB16" s="731">
        <f t="shared" si="25"/>
        <v>619.46799999999996</v>
      </c>
      <c r="AC16" s="731">
        <f t="shared" si="25"/>
        <v>606.41600000000005</v>
      </c>
      <c r="AD16" s="731">
        <f t="shared" si="25"/>
        <v>588.34400000000005</v>
      </c>
      <c r="AE16" s="731">
        <f t="shared" si="25"/>
        <v>565.25199999999995</v>
      </c>
      <c r="AF16" s="731">
        <f t="shared" si="25"/>
        <v>535.13199999999995</v>
      </c>
      <c r="AG16" s="731">
        <f t="shared" si="25"/>
        <v>497.98399999999998</v>
      </c>
      <c r="AH16" s="731">
        <f t="shared" si="25"/>
        <v>453.80799999999999</v>
      </c>
      <c r="AI16" s="731">
        <f t="shared" si="25"/>
        <v>403.608</v>
      </c>
      <c r="AJ16" s="731">
        <f t="shared" si="25"/>
        <v>353.40800000000002</v>
      </c>
      <c r="AK16" s="731">
        <f t="shared" si="25"/>
        <v>308.22800000000001</v>
      </c>
      <c r="AL16" s="731">
        <f t="shared" si="25"/>
        <v>271.08</v>
      </c>
      <c r="AM16" s="731">
        <f t="shared" si="25"/>
        <v>246.98400000000001</v>
      </c>
      <c r="AN16" s="767">
        <f t="shared" si="25"/>
        <v>241.964</v>
      </c>
      <c r="AO16" s="1038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25.328721402893809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25.232193230272369</v>
      </c>
      <c r="AZ16" s="735">
        <f t="shared" ref="AZ16:AZ79" si="26">(AY16+AT16)/2</f>
        <v>25.280457316583089</v>
      </c>
      <c r="BA16" s="633">
        <f>+B16/J16</f>
        <v>0.95668971211412146</v>
      </c>
      <c r="BC16" s="11">
        <v>43102</v>
      </c>
      <c r="BD16" s="289">
        <f>[3]!FeuilCaduc*(1-Persistant)+Persistant</f>
        <v>0.50532281581379923</v>
      </c>
      <c r="BE16" s="290">
        <f>[3]!CroissVégét</f>
        <v>6.0820224447240291E-5</v>
      </c>
      <c r="BF16" s="804">
        <f>1+[3]!Salcycl*Ksac</f>
        <v>1.00053228158138</v>
      </c>
      <c r="BH16" s="1036">
        <f t="shared" si="22"/>
        <v>2.1368854738898633E-2</v>
      </c>
      <c r="BI16" s="11">
        <v>44198</v>
      </c>
      <c r="BJ16" s="715">
        <v>2.0481784304246286E-3</v>
      </c>
      <c r="BK16" s="715">
        <v>4.799491295343147E-3</v>
      </c>
      <c r="BL16" s="715">
        <v>8.3848945825296776E-3</v>
      </c>
      <c r="BM16" s="715">
        <v>1.4456424154434369E-2</v>
      </c>
      <c r="BN16" s="715">
        <v>2.8305867036990187E-2</v>
      </c>
      <c r="BO16" s="716">
        <v>5.3994519121528591E-2</v>
      </c>
      <c r="BP16" s="715">
        <v>9.1377718671103614E-2</v>
      </c>
      <c r="BQ16" s="715">
        <v>0.1292120664191091</v>
      </c>
      <c r="BR16" s="715">
        <v>0.16407065652031322</v>
      </c>
      <c r="BS16" s="715">
        <v>0.19656844863568221</v>
      </c>
      <c r="BT16" s="715">
        <v>0.23216601060689981</v>
      </c>
      <c r="BW16" s="1190">
        <f>'2019'!R\Max</f>
        <v>0</v>
      </c>
      <c r="BX16" s="1190">
        <f>'2020'!R\Max</f>
        <v>0.95668971211412146</v>
      </c>
      <c r="BY16" s="1190">
        <f>'2021'!R\Max</f>
        <v>0.16842767315179211</v>
      </c>
      <c r="BZ16" s="1190">
        <f>'2022'!R\Max</f>
        <v>0.69624884661171682</v>
      </c>
      <c r="CA16" s="1190">
        <f>'2023'!R\Max</f>
        <v>0.69563511496339081</v>
      </c>
      <c r="CB16" s="1190">
        <f>'2024'!R\Max</f>
        <v>0.69501963592801264</v>
      </c>
      <c r="CC16" s="1190">
        <f>'2025'!R\Max</f>
        <v>0.69439529273232525</v>
      </c>
      <c r="CD16" s="1190">
        <f>'2026'!R\Max</f>
        <v>0.6937694737741531</v>
      </c>
      <c r="CE16" s="1191">
        <f>'2027'!R\Max</f>
        <v>0.69710145984062233</v>
      </c>
      <c r="CF16" s="1193">
        <f>'2028'!R\Max</f>
        <v>0.69669102190610521</v>
      </c>
    </row>
    <row r="17" spans="1:84" s="6" customFormat="1" ht="11.25" x14ac:dyDescent="0.2">
      <c r="A17" s="11">
        <v>43103</v>
      </c>
      <c r="B17" s="379">
        <f>'2022'!Maxi_hp</f>
        <v>25.872417420672249</v>
      </c>
      <c r="C17" s="13">
        <f>'2022'!An_max</f>
        <v>2021</v>
      </c>
      <c r="D17" s="1045">
        <f t="shared" si="7"/>
        <v>1.0209828961047416</v>
      </c>
      <c r="E17" s="1040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25.340696224570273</v>
      </c>
      <c r="L17" s="744" t="s">
        <v>210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25.468831969078245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25.411265013032949</v>
      </c>
      <c r="AZ17" s="735">
        <f t="shared" si="26"/>
        <v>25.440048491055599</v>
      </c>
      <c r="BA17" s="633">
        <f t="shared" si="21"/>
        <v>1.0209828961047416</v>
      </c>
      <c r="BC17" s="11">
        <v>43103</v>
      </c>
      <c r="BD17" s="289">
        <f>[3]!FeuilCaduc*(1-Persistant)+Persistant</f>
        <v>0.50494526823035868</v>
      </c>
      <c r="BE17" s="290">
        <f>[3]!CroissVégét</f>
        <v>1.216934154264056E-4</v>
      </c>
      <c r="BF17" s="804">
        <f>1+[3]!Salcycl*Ksac</f>
        <v>1.0004945268230359</v>
      </c>
      <c r="BH17" s="1036">
        <f t="shared" si="22"/>
        <v>2.1318572251886971E-2</v>
      </c>
      <c r="BI17" s="11">
        <v>44199</v>
      </c>
      <c r="BJ17" s="715">
        <v>1.9313346128055509E-3</v>
      </c>
      <c r="BK17" s="715">
        <v>4.6950814604287986E-3</v>
      </c>
      <c r="BL17" s="715">
        <v>8.3702328658795348E-3</v>
      </c>
      <c r="BM17" s="715">
        <v>1.4554801716448866E-2</v>
      </c>
      <c r="BN17" s="715">
        <v>2.8106395841936069E-2</v>
      </c>
      <c r="BO17" s="716">
        <v>5.3323156796465265E-2</v>
      </c>
      <c r="BP17" s="715">
        <v>9.062408093576485E-2</v>
      </c>
      <c r="BQ17" s="715">
        <v>0.12922480944512119</v>
      </c>
      <c r="BR17" s="715">
        <v>0.16489943336533844</v>
      </c>
      <c r="BS17" s="715">
        <v>0.1977064276546838</v>
      </c>
      <c r="BT17" s="715">
        <v>0.23302155752247505</v>
      </c>
      <c r="BW17" s="1190">
        <f>'2019'!R\Max</f>
        <v>0</v>
      </c>
      <c r="BX17" s="1190">
        <f>'2020'!R\Max</f>
        <v>0.32953034580841278</v>
      </c>
      <c r="BY17" s="1190">
        <f>'2021'!R\Max</f>
        <v>1.0209828961047416</v>
      </c>
      <c r="BZ17" s="1190">
        <f>'2022'!R\Max</f>
        <v>0.74705305299308977</v>
      </c>
      <c r="CA17" s="1190">
        <f>'2023'!R\Max</f>
        <v>0.746509833490271</v>
      </c>
      <c r="CB17" s="1190">
        <f>'2024'!R\Max</f>
        <v>0.74596492041435503</v>
      </c>
      <c r="CC17" s="1190">
        <f>'2025'!R\Max</f>
        <v>0.74539956785547734</v>
      </c>
      <c r="CD17" s="1190">
        <f>'2026'!R\Max</f>
        <v>0.74483266973361806</v>
      </c>
      <c r="CE17" s="1191">
        <f>'2027'!R\Max</f>
        <v>0.74779523944475645</v>
      </c>
      <c r="CF17" s="1193">
        <f>'2028'!R\Max</f>
        <v>0.74743800056724907</v>
      </c>
    </row>
    <row r="18" spans="1:84" s="6" customFormat="1" ht="11.25" x14ac:dyDescent="0.2">
      <c r="A18" s="11">
        <v>43104</v>
      </c>
      <c r="B18" s="379">
        <f>'2022'!Maxi_hp</f>
        <v>21.824345162432092</v>
      </c>
      <c r="C18" s="13">
        <f>'2022'!An_max</f>
        <v>2021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25.516384682456653</v>
      </c>
      <c r="L18" s="744" t="s">
        <v>211</v>
      </c>
      <c r="M18" s="769">
        <f t="shared" ref="M18:AN18" si="29">M13</f>
        <v>241.964</v>
      </c>
      <c r="N18" s="732">
        <f t="shared" si="29"/>
        <v>263.048</v>
      </c>
      <c r="O18" s="732">
        <f t="shared" si="29"/>
        <v>302.20400000000001</v>
      </c>
      <c r="P18" s="732">
        <f t="shared" si="29"/>
        <v>352.404</v>
      </c>
      <c r="Q18" s="732">
        <f t="shared" si="29"/>
        <v>404.61200000000002</v>
      </c>
      <c r="R18" s="732">
        <f t="shared" si="29"/>
        <v>457.82400000000001</v>
      </c>
      <c r="S18" s="732">
        <f t="shared" si="29"/>
        <v>512.04</v>
      </c>
      <c r="T18" s="732">
        <f t="shared" si="29"/>
        <v>562.24</v>
      </c>
      <c r="U18" s="732">
        <f t="shared" si="29"/>
        <v>600.39200000000005</v>
      </c>
      <c r="V18" s="732">
        <f t="shared" si="29"/>
        <v>625.49199999999996</v>
      </c>
      <c r="W18" s="732">
        <f t="shared" si="29"/>
        <v>637.54</v>
      </c>
      <c r="X18" s="732">
        <f t="shared" si="29"/>
        <v>640.55200000000002</v>
      </c>
      <c r="Y18" s="732">
        <f t="shared" si="29"/>
        <v>636.53600000000006</v>
      </c>
      <c r="Z18" s="732">
        <f t="shared" si="29"/>
        <v>629.50800000000004</v>
      </c>
      <c r="AA18" s="732">
        <f t="shared" si="29"/>
        <v>619.46799999999996</v>
      </c>
      <c r="AB18" s="732">
        <f t="shared" si="29"/>
        <v>606.41600000000005</v>
      </c>
      <c r="AC18" s="732">
        <f t="shared" si="29"/>
        <v>588.34400000000005</v>
      </c>
      <c r="AD18" s="732">
        <f t="shared" si="29"/>
        <v>565.25199999999995</v>
      </c>
      <c r="AE18" s="732">
        <f t="shared" si="29"/>
        <v>535.13199999999995</v>
      </c>
      <c r="AF18" s="732">
        <f t="shared" si="29"/>
        <v>497.98399999999998</v>
      </c>
      <c r="AG18" s="732">
        <f t="shared" si="29"/>
        <v>453.80799999999999</v>
      </c>
      <c r="AH18" s="732">
        <f t="shared" si="29"/>
        <v>403.608</v>
      </c>
      <c r="AI18" s="732">
        <f t="shared" si="29"/>
        <v>353.40800000000002</v>
      </c>
      <c r="AJ18" s="732">
        <f t="shared" si="29"/>
        <v>308.22800000000001</v>
      </c>
      <c r="AK18" s="732">
        <f t="shared" si="29"/>
        <v>271.08</v>
      </c>
      <c r="AL18" s="732">
        <f t="shared" si="29"/>
        <v>246.98400000000001</v>
      </c>
      <c r="AM18" s="767">
        <f t="shared" si="29"/>
        <v>241.964</v>
      </c>
      <c r="AN18" s="765">
        <f t="shared" si="29"/>
        <v>263.048</v>
      </c>
      <c r="AO18" s="1038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25.61802048354313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25.601088033102712</v>
      </c>
      <c r="AZ18" s="735">
        <f t="shared" si="26"/>
        <v>25.609554258322923</v>
      </c>
      <c r="BA18" s="633">
        <f t="shared" si="21"/>
        <v>0.85530710694438783</v>
      </c>
      <c r="BC18" s="11">
        <v>43104</v>
      </c>
      <c r="BD18" s="289">
        <f>[3]!FeuilCaduc*(1-Persistant)+Persistant</f>
        <v>0.50458789025208151</v>
      </c>
      <c r="BE18" s="290">
        <f>[3]!CroissVégét</f>
        <v>1.8511247801664469E-4</v>
      </c>
      <c r="BF18" s="804">
        <f>1+[3]!Salcycl*Ksac</f>
        <v>1.0004587890252081</v>
      </c>
      <c r="BH18" s="1036">
        <f t="shared" si="22"/>
        <v>2.1275633716397339E-2</v>
      </c>
      <c r="BI18" s="11">
        <v>44200</v>
      </c>
      <c r="BJ18" s="715">
        <v>1.8311070502717473E-3</v>
      </c>
      <c r="BK18" s="715">
        <v>4.5862972119483343E-3</v>
      </c>
      <c r="BL18" s="715">
        <v>8.3420825293156944E-3</v>
      </c>
      <c r="BM18" s="715">
        <v>1.463942858569646E-2</v>
      </c>
      <c r="BN18" s="715">
        <v>2.7935438258636827E-2</v>
      </c>
      <c r="BO18" s="716">
        <v>5.267431945777909E-2</v>
      </c>
      <c r="BP18" s="715">
        <v>8.9855739372856069E-2</v>
      </c>
      <c r="BQ18" s="715">
        <v>0.12917811221564748</v>
      </c>
      <c r="BR18" s="715">
        <v>0.16570855560257652</v>
      </c>
      <c r="BS18" s="715">
        <v>0.19891637543184984</v>
      </c>
      <c r="BT18" s="715">
        <v>0.234040949646177</v>
      </c>
      <c r="BW18" s="1190">
        <f>'2019'!R\Max</f>
        <v>0</v>
      </c>
      <c r="BX18" s="1190">
        <f>'2020'!R\Max</f>
        <v>0.25396013140494905</v>
      </c>
      <c r="BY18" s="1190">
        <f>'2021'!R\Max</f>
        <v>0.85530710694438783</v>
      </c>
      <c r="BZ18" s="1190">
        <f>'2022'!R\Max</f>
        <v>0.78853768771935029</v>
      </c>
      <c r="CA18" s="1190">
        <f>'2023'!R\Max</f>
        <v>0.78806347605820026</v>
      </c>
      <c r="CB18" s="1190">
        <f>'2024'!R\Max</f>
        <v>0.78758768858709172</v>
      </c>
      <c r="CC18" s="1190">
        <f>'2025'!R\Max</f>
        <v>0.78708310210569454</v>
      </c>
      <c r="CD18" s="1190">
        <f>'2026'!R\Max</f>
        <v>0.7865769786967497</v>
      </c>
      <c r="CE18" s="1191">
        <f>'2027'!R\Max</f>
        <v>0.78917522526974548</v>
      </c>
      <c r="CF18" s="1193">
        <f>'2028'!R\Max</f>
        <v>0.78886836999345888</v>
      </c>
    </row>
    <row r="19" spans="1:84" s="6" customFormat="1" ht="11.25" x14ac:dyDescent="0.2">
      <c r="A19" s="11">
        <v>43105</v>
      </c>
      <c r="B19" s="379">
        <f>'2022'!Maxi_hp</f>
        <v>15.89891096179743</v>
      </c>
      <c r="C19" s="13">
        <f>'2022'!An_max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25.701153655350208</v>
      </c>
      <c r="L19" s="744" t="s">
        <v>212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25.776249243010732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25.801104421040112</v>
      </c>
      <c r="AZ19" s="735">
        <f t="shared" si="26"/>
        <v>25.788676832025423</v>
      </c>
      <c r="BA19" s="633">
        <f t="shared" si="21"/>
        <v>0.6186068989353618</v>
      </c>
      <c r="BC19" s="11">
        <v>43105</v>
      </c>
      <c r="BD19" s="289">
        <f>[3]!FeuilCaduc*(1-Persistant)+Persistant</f>
        <v>0.5042486426105478</v>
      </c>
      <c r="BE19" s="290">
        <f>[3]!CroissVégét</f>
        <v>2.5118354313997834E-4</v>
      </c>
      <c r="BF19" s="804">
        <f>1+[3]!Salcycl*Ksac</f>
        <v>1.0004248642610547</v>
      </c>
      <c r="BH19" s="1036">
        <f t="shared" si="22"/>
        <v>2.1239995016501007E-2</v>
      </c>
      <c r="BI19" s="11">
        <v>44201</v>
      </c>
      <c r="BJ19" s="715">
        <v>1.7475143578902183E-3</v>
      </c>
      <c r="BK19" s="715">
        <v>4.4731198153421282E-3</v>
      </c>
      <c r="BL19" s="715">
        <v>8.3004026163909332E-3</v>
      </c>
      <c r="BM19" s="715">
        <v>1.4710248045011391E-2</v>
      </c>
      <c r="BN19" s="715">
        <v>2.7792962817212774E-2</v>
      </c>
      <c r="BO19" s="716">
        <v>5.2047900651836676E-2</v>
      </c>
      <c r="BP19" s="715">
        <v>8.9072438006023949E-2</v>
      </c>
      <c r="BQ19" s="715">
        <v>0.12907155834636308</v>
      </c>
      <c r="BR19" s="715">
        <v>0.16649757623807551</v>
      </c>
      <c r="BS19" s="715">
        <v>0.20019789463326967</v>
      </c>
      <c r="BT19" s="715">
        <v>0.23522383096264049</v>
      </c>
      <c r="BW19" s="1190">
        <f>'2019'!R\Max</f>
        <v>0</v>
      </c>
      <c r="BX19" s="1190">
        <f>'2020'!R\Max</f>
        <v>0.54952928755210517</v>
      </c>
      <c r="BY19" s="1190">
        <f>'2021'!R\Max</f>
        <v>0.13008706434021422</v>
      </c>
      <c r="BZ19" s="1190">
        <f>'2022'!R\Max</f>
        <v>0.6186068989353618</v>
      </c>
      <c r="CA19" s="1190">
        <f>'2023'!R\Max</f>
        <v>0.61794436443924461</v>
      </c>
      <c r="CB19" s="1190">
        <f>'2024'!R\Max</f>
        <v>0.61728029028596909</v>
      </c>
      <c r="CC19" s="1190">
        <f>'2025'!R\Max</f>
        <v>0.61656160277329131</v>
      </c>
      <c r="CD19" s="1190">
        <f>'2026'!R\Max</f>
        <v>0.61584143538906622</v>
      </c>
      <c r="CE19" s="1191">
        <f>'2027'!R\Max</f>
        <v>0.61948498061548452</v>
      </c>
      <c r="CF19" s="1193">
        <f>'2028'!R\Max</f>
        <v>0.61906216928007674</v>
      </c>
    </row>
    <row r="20" spans="1:84" s="6" customFormat="1" ht="11.25" x14ac:dyDescent="0.2">
      <c r="A20" s="11">
        <v>43106</v>
      </c>
      <c r="B20" s="379">
        <f>'2022'!Maxi_hp</f>
        <v>25.97684931198668</v>
      </c>
      <c r="C20" s="13">
        <f>'2022'!An_max</f>
        <v>2020</v>
      </c>
      <c r="D20" s="1045">
        <f t="shared" si="7"/>
        <v>1.0031806202652456</v>
      </c>
      <c r="E20" s="1040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25.894488776226837</v>
      </c>
      <c r="L20" s="744" t="s">
        <v>213</v>
      </c>
      <c r="M20" s="772">
        <f>N13</f>
        <v>263.048</v>
      </c>
      <c r="N20" s="732">
        <f t="shared" ref="N20:AN20" si="31">O13</f>
        <v>302.20400000000001</v>
      </c>
      <c r="O20" s="732">
        <f t="shared" si="31"/>
        <v>352.404</v>
      </c>
      <c r="P20" s="732">
        <f t="shared" si="31"/>
        <v>404.61200000000002</v>
      </c>
      <c r="Q20" s="732">
        <f t="shared" si="31"/>
        <v>457.82400000000001</v>
      </c>
      <c r="R20" s="732">
        <f t="shared" si="31"/>
        <v>512.04</v>
      </c>
      <c r="S20" s="732">
        <f t="shared" si="31"/>
        <v>562.24</v>
      </c>
      <c r="T20" s="732">
        <f t="shared" si="31"/>
        <v>600.39200000000005</v>
      </c>
      <c r="U20" s="732">
        <f t="shared" si="31"/>
        <v>625.49199999999996</v>
      </c>
      <c r="V20" s="732">
        <f t="shared" si="31"/>
        <v>637.54</v>
      </c>
      <c r="W20" s="732">
        <f t="shared" si="31"/>
        <v>640.55200000000002</v>
      </c>
      <c r="X20" s="732">
        <f t="shared" si="31"/>
        <v>636.53600000000006</v>
      </c>
      <c r="Y20" s="732">
        <f t="shared" si="31"/>
        <v>629.50800000000004</v>
      </c>
      <c r="Z20" s="732">
        <f t="shared" si="31"/>
        <v>619.46799999999996</v>
      </c>
      <c r="AA20" s="732">
        <f t="shared" si="31"/>
        <v>606.41600000000005</v>
      </c>
      <c r="AB20" s="732">
        <f t="shared" si="31"/>
        <v>588.34400000000005</v>
      </c>
      <c r="AC20" s="732">
        <f t="shared" si="31"/>
        <v>565.25199999999995</v>
      </c>
      <c r="AD20" s="732">
        <f t="shared" si="31"/>
        <v>535.13199999999995</v>
      </c>
      <c r="AE20" s="732">
        <f t="shared" si="31"/>
        <v>497.98399999999998</v>
      </c>
      <c r="AF20" s="732">
        <f t="shared" si="31"/>
        <v>453.80799999999999</v>
      </c>
      <c r="AG20" s="732">
        <f t="shared" si="31"/>
        <v>403.608</v>
      </c>
      <c r="AH20" s="732">
        <f t="shared" si="31"/>
        <v>353.40800000000002</v>
      </c>
      <c r="AI20" s="732">
        <f t="shared" si="31"/>
        <v>308.22800000000001</v>
      </c>
      <c r="AJ20" s="732">
        <f t="shared" si="31"/>
        <v>271.08</v>
      </c>
      <c r="AK20" s="732">
        <f t="shared" si="31"/>
        <v>246.98400000000001</v>
      </c>
      <c r="AL20" s="767">
        <f t="shared" si="31"/>
        <v>241.964</v>
      </c>
      <c r="AM20" s="765">
        <f t="shared" si="31"/>
        <v>263.048</v>
      </c>
      <c r="AN20" s="765">
        <f t="shared" si="31"/>
        <v>302.20400000000001</v>
      </c>
      <c r="AO20" s="1038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25.94348054893058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26.010756319915423</v>
      </c>
      <c r="AZ20" s="735">
        <f t="shared" si="26"/>
        <v>25.977118434423002</v>
      </c>
      <c r="BA20" s="633">
        <f t="shared" si="21"/>
        <v>1.0031806202652456</v>
      </c>
      <c r="BC20" s="11">
        <v>43106</v>
      </c>
      <c r="BD20" s="289">
        <f>[3]!FeuilCaduc*(1-Persistant)+Persistant</f>
        <v>0.50392577826410012</v>
      </c>
      <c r="BE20" s="290">
        <f>[3]!CroissVégét</f>
        <v>3.2001713664140156E-4</v>
      </c>
      <c r="BF20" s="804">
        <f>1+[3]!Salcycl*Ksac</f>
        <v>1.00039257782641</v>
      </c>
      <c r="BH20" s="1036">
        <f t="shared" si="22"/>
        <v>2.1211612580989078E-2</v>
      </c>
      <c r="BI20" s="11">
        <v>44202</v>
      </c>
      <c r="BJ20" s="715">
        <v>1.6805761876168999E-3</v>
      </c>
      <c r="BK20" s="715">
        <v>4.3555316673038547E-3</v>
      </c>
      <c r="BL20" s="715">
        <v>8.2451524946637669E-3</v>
      </c>
      <c r="BM20" s="715">
        <v>1.4767202581152002E-2</v>
      </c>
      <c r="BN20" s="715">
        <v>2.7678939938067887E-2</v>
      </c>
      <c r="BO20" s="716">
        <v>5.1443800811362135E-2</v>
      </c>
      <c r="BP20" s="715">
        <v>8.8273929135574483E-2</v>
      </c>
      <c r="BQ20" s="715">
        <v>0.12890473254434756</v>
      </c>
      <c r="BR20" s="715">
        <v>0.16726604082712884</v>
      </c>
      <c r="BS20" s="715">
        <v>0.20155057657489997</v>
      </c>
      <c r="BT20" s="715">
        <v>0.23656983625138056</v>
      </c>
      <c r="BW20" s="1190">
        <f>'2019'!R\Max</f>
        <v>0</v>
      </c>
      <c r="BX20" s="1190">
        <f>'2020'!R\Max</f>
        <v>1.0031806202652456</v>
      </c>
      <c r="BY20" s="1190">
        <f>'2021'!R\Max</f>
        <v>0.30130642854724998</v>
      </c>
      <c r="BZ20" s="1190">
        <f>'2022'!R\Max</f>
        <v>0.88215343572801219</v>
      </c>
      <c r="CA20" s="1190">
        <f>'2023'!R\Max</f>
        <v>0.88186519385891682</v>
      </c>
      <c r="CB20" s="1190">
        <f>'2024'!R\Max</f>
        <v>0.88157586883304506</v>
      </c>
      <c r="CC20" s="1190">
        <f>'2025'!R\Max</f>
        <v>0.88125564108226129</v>
      </c>
      <c r="CD20" s="1190">
        <f>'2026'!R\Max</f>
        <v>0.88093422078256234</v>
      </c>
      <c r="CE20" s="1191">
        <f>'2027'!R\Max</f>
        <v>0.88252913445918857</v>
      </c>
      <c r="CF20" s="1193">
        <f>'2028'!R\Max</f>
        <v>0.88234829287902583</v>
      </c>
    </row>
    <row r="21" spans="1:84" s="6" customFormat="1" ht="11.25" x14ac:dyDescent="0.2">
      <c r="A21" s="11">
        <v>43107</v>
      </c>
      <c r="B21" s="379">
        <f>'2022'!Maxi_hp</f>
        <v>15.082360291680677</v>
      </c>
      <c r="C21" s="13">
        <f>'2022'!An_max</f>
        <v>2021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26.09587567895651</v>
      </c>
      <c r="L21" s="745" t="s">
        <v>214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26.119676699823344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26.229485862933359</v>
      </c>
      <c r="AZ21" s="735">
        <f t="shared" si="26"/>
        <v>26.174581281378352</v>
      </c>
      <c r="BA21" s="633">
        <f t="shared" si="21"/>
        <v>0.57795953955448076</v>
      </c>
      <c r="BC21" s="11">
        <v>43107</v>
      </c>
      <c r="BD21" s="289">
        <f>[3]!FeuilCaduc*(1-Persistant)+Persistant</f>
        <v>0.50361783040899966</v>
      </c>
      <c r="BE21" s="290">
        <f>[3]!CroissVégét</f>
        <v>3.9172835876776901E-4</v>
      </c>
      <c r="BF21" s="804">
        <f>1+[3]!Salcycl*Ksac</f>
        <v>1.0003617830409</v>
      </c>
      <c r="BH21" s="1036">
        <f t="shared" si="22"/>
        <v>2.1190443196731273E-2</v>
      </c>
      <c r="BI21" s="11">
        <v>44203</v>
      </c>
      <c r="BJ21" s="715">
        <v>1.6303128019081014E-3</v>
      </c>
      <c r="BK21" s="715">
        <v>4.2335164051754927E-3</v>
      </c>
      <c r="BL21" s="715">
        <v>8.1762922000118803E-3</v>
      </c>
      <c r="BM21" s="715">
        <v>1.481023423910096E-2</v>
      </c>
      <c r="BN21" s="715">
        <v>2.7593341202383454E-2</v>
      </c>
      <c r="BO21" s="716">
        <v>5.0861926669274297E-2</v>
      </c>
      <c r="BP21" s="715">
        <v>8.745997370283122E-2</v>
      </c>
      <c r="BQ21" s="715">
        <v>0.12867722213528612</v>
      </c>
      <c r="BR21" s="715">
        <v>0.16801348801006064</v>
      </c>
      <c r="BS21" s="715">
        <v>0.20297399943247355</v>
      </c>
      <c r="BT21" s="715">
        <v>0.23807858695010742</v>
      </c>
      <c r="BW21" s="1190">
        <f>'2019'!R\Max</f>
        <v>0</v>
      </c>
      <c r="BX21" s="1190">
        <f>'2020'!R\Max</f>
        <v>0.28025147425738683</v>
      </c>
      <c r="BY21" s="1190">
        <f>'2021'!R\Max</f>
        <v>0.57795953955448076</v>
      </c>
      <c r="BZ21" s="1190">
        <f>'2022'!R\Max</f>
        <v>0.42838197685005025</v>
      </c>
      <c r="CA21" s="1190">
        <f>'2023'!R\Max</f>
        <v>0.42771379663808673</v>
      </c>
      <c r="CB21" s="1190">
        <f>'2024'!R\Max</f>
        <v>0.42704480747591955</v>
      </c>
      <c r="CC21" s="1190">
        <f>'2025'!R\Max</f>
        <v>0.42629093327411088</v>
      </c>
      <c r="CD21" s="1190">
        <f>'2026'!R\Max</f>
        <v>0.42553634193962037</v>
      </c>
      <c r="CE21" s="1191">
        <f>'2027'!R\Max</f>
        <v>0.42924275595777306</v>
      </c>
      <c r="CF21" s="1193">
        <f>'2028'!R\Max</f>
        <v>0.42882799091209073</v>
      </c>
    </row>
    <row r="22" spans="1:84" s="6" customFormat="1" ht="11.25" x14ac:dyDescent="0.2">
      <c r="A22" s="11">
        <v>43108</v>
      </c>
      <c r="B22" s="379">
        <f>'2022'!Maxi_hp</f>
        <v>20.347217475948305</v>
      </c>
      <c r="C22" s="13">
        <f>'2022'!An_max</f>
        <v>2021</v>
      </c>
      <c r="D22" s="1045" t="str">
        <f t="shared" si="7"/>
        <v/>
      </c>
      <c r="E22" s="1040">
        <f>N$13/10</f>
        <v>26.3048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26.304799999296666</v>
      </c>
      <c r="L22" s="745" t="s">
        <v>215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26.304799997806548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26.456735190158259</v>
      </c>
      <c r="AZ22" s="735">
        <f t="shared" si="26"/>
        <v>26.380767593982405</v>
      </c>
      <c r="BA22" s="633">
        <f t="shared" si="21"/>
        <v>0.7735172849248938</v>
      </c>
      <c r="BC22" s="11">
        <v>43108</v>
      </c>
      <c r="BD22" s="289">
        <f>[3]!FeuilCaduc*(1-Persistant)+Persistant</f>
        <v>0.50332359848109409</v>
      </c>
      <c r="BE22" s="290">
        <f>[3]!CroissVégét</f>
        <v>4.664370707620742E-4</v>
      </c>
      <c r="BF22" s="804">
        <f>1+[3]!Salcycl*Ksac</f>
        <v>1.0003323598481093</v>
      </c>
      <c r="BH22" s="1036">
        <f t="shared" si="22"/>
        <v>2.1176443821556836E-2</v>
      </c>
      <c r="BI22" s="11">
        <v>44204</v>
      </c>
      <c r="BJ22" s="715">
        <v>1.5967446472931171E-3</v>
      </c>
      <c r="BK22" s="715">
        <v>4.1070590162420881E-3</v>
      </c>
      <c r="BL22" s="715">
        <v>8.0937827807587726E-3</v>
      </c>
      <c r="BM22" s="715">
        <v>1.4839284976034026E-2</v>
      </c>
      <c r="BN22" s="715">
        <v>2.7536138621986946E-2</v>
      </c>
      <c r="BO22" s="716">
        <v>5.0302190671355336E-2</v>
      </c>
      <c r="BP22" s="715">
        <v>8.6630341652492018E-2</v>
      </c>
      <c r="BQ22" s="715">
        <v>0.12838861858776546</v>
      </c>
      <c r="BR22" s="715">
        <v>0.16873945004425872</v>
      </c>
      <c r="BS22" s="715">
        <v>0.20446772644689612</v>
      </c>
      <c r="BT22" s="715">
        <v>0.23974968701274241</v>
      </c>
      <c r="BW22" s="1190">
        <f>'2019'!R\Max</f>
        <v>0</v>
      </c>
      <c r="BX22" s="1190">
        <f>'2020'!R\Max</f>
        <v>0.50942454916415558</v>
      </c>
      <c r="BY22" s="1190">
        <f>'2021'!R\Max</f>
        <v>0.7735172849248938</v>
      </c>
      <c r="BZ22" s="1190">
        <f>'2022'!R\Max</f>
        <v>0.30230245380880449</v>
      </c>
      <c r="CA22" s="1190">
        <f>'2023'!R\Max</f>
        <v>0.30173625316444053</v>
      </c>
      <c r="CB22" s="1190">
        <f>'2024'!R\Max</f>
        <v>0.30116976595508571</v>
      </c>
      <c r="CC22" s="1190">
        <f>'2025'!R\Max</f>
        <v>0.30051870226840294</v>
      </c>
      <c r="CD22" s="1190">
        <f>'2026'!R\Max</f>
        <v>0.29986751483260188</v>
      </c>
      <c r="CE22" s="1191">
        <f>'2027'!R\Max</f>
        <v>0.30302212678262064</v>
      </c>
      <c r="CF22" s="1193">
        <f>'2028'!R\Max</f>
        <v>0.30267518894527123</v>
      </c>
    </row>
    <row r="23" spans="1:84" s="6" customFormat="1" ht="11.25" x14ac:dyDescent="0.2">
      <c r="A23" s="11">
        <v>43109</v>
      </c>
      <c r="B23" s="379">
        <f>'2022'!Maxi_hp</f>
        <v>25.649292652260151</v>
      </c>
      <c r="C23" s="13">
        <f>'2022'!An_max</f>
        <v>2020</v>
      </c>
      <c r="D23" s="1045" t="str">
        <f t="shared" si="7"/>
        <v/>
      </c>
      <c r="E23" s="1040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26.523957671757255</v>
      </c>
      <c r="L23" s="745" t="s">
        <v>216</v>
      </c>
      <c r="M23" s="729">
        <f t="shared" ref="M23:AM23" si="34">(y.1m-y.2m-b.m*(x.1m-x.2m))/D2x12</f>
        <v>6.0833497536926268E-2</v>
      </c>
      <c r="N23" s="729">
        <f>(y.1m-y.2m-b.m*(x.1m-x.2m))/D2x12</f>
        <v>4.7974384236439002E-2</v>
      </c>
      <c r="O23" s="729">
        <f t="shared" si="34"/>
        <v>2.8173469387757298E-2</v>
      </c>
      <c r="P23" s="729">
        <f t="shared" si="34"/>
        <v>5.122448979593186E-3</v>
      </c>
      <c r="Q23" s="729">
        <f t="shared" si="34"/>
        <v>2.5612244897961806E-3</v>
      </c>
      <c r="R23" s="729">
        <f t="shared" si="34"/>
        <v>2.5612244897955249E-3</v>
      </c>
      <c r="S23" s="729">
        <f t="shared" si="34"/>
        <v>-1.0244897959181916E-2</v>
      </c>
      <c r="T23" s="729">
        <f t="shared" si="34"/>
        <v>-3.0734693877551893E-2</v>
      </c>
      <c r="U23" s="729">
        <f t="shared" si="34"/>
        <v>-3.3295918367345835E-2</v>
      </c>
      <c r="V23" s="729">
        <f t="shared" si="34"/>
        <v>-3.3295918367351324E-2</v>
      </c>
      <c r="W23" s="729">
        <f t="shared" si="34"/>
        <v>-2.3051020408162381E-2</v>
      </c>
      <c r="X23" s="729">
        <f t="shared" si="34"/>
        <v>-1.7928571428567675E-2</v>
      </c>
      <c r="Y23" s="729">
        <f t="shared" si="34"/>
        <v>-7.6836734693894937E-3</v>
      </c>
      <c r="Z23" s="729">
        <f t="shared" si="34"/>
        <v>-7.6836734693882143E-3</v>
      </c>
      <c r="AA23" s="729">
        <f t="shared" si="34"/>
        <v>-7.6836734693853052E-3</v>
      </c>
      <c r="AB23" s="729">
        <f t="shared" si="34"/>
        <v>-1.2806122448979973E-2</v>
      </c>
      <c r="AC23" s="729">
        <f t="shared" si="34"/>
        <v>-1.2806122448976984E-2</v>
      </c>
      <c r="AD23" s="729">
        <f t="shared" si="34"/>
        <v>-1.7928571428576116E-2</v>
      </c>
      <c r="AE23" s="729">
        <f t="shared" si="34"/>
        <v>-1.7928571428575936E-2</v>
      </c>
      <c r="AF23" s="729">
        <f t="shared" si="34"/>
        <v>-1.7928571428573493E-2</v>
      </c>
      <c r="AG23" s="729">
        <f t="shared" si="34"/>
        <v>-1.5367346938772489E-2</v>
      </c>
      <c r="AH23" s="729">
        <f t="shared" si="34"/>
        <v>1.2927807812750656E-17</v>
      </c>
      <c r="AI23" s="729">
        <f t="shared" si="34"/>
        <v>1.2806122448977603E-2</v>
      </c>
      <c r="AJ23" s="729">
        <f t="shared" si="34"/>
        <v>2.0489795918368515E-2</v>
      </c>
      <c r="AK23" s="729">
        <f t="shared" si="34"/>
        <v>3.3295918367340742E-2</v>
      </c>
      <c r="AL23" s="729">
        <f t="shared" si="34"/>
        <v>4.8663265306106776E-2</v>
      </c>
      <c r="AM23" s="729">
        <f t="shared" si="34"/>
        <v>6.0833497536949138E-2</v>
      </c>
      <c r="AN23" s="729">
        <f>(y.1m-y.2m-b.m*(x.1m-x.2m))/D2x12</f>
        <v>4.7974384236455274E-2</v>
      </c>
      <c r="AO23" s="1038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26.502475033101756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26.691946438622885</v>
      </c>
      <c r="AZ23" s="735">
        <f t="shared" si="26"/>
        <v>26.597210735862319</v>
      </c>
      <c r="BA23" s="633">
        <f t="shared" si="21"/>
        <v>0.9670235856080992</v>
      </c>
      <c r="BC23" s="11">
        <v>43109</v>
      </c>
      <c r="BD23" s="289">
        <f>[3]!FeuilCaduc*(1-Persistant)+Persistant</f>
        <v>0.50304213235334938</v>
      </c>
      <c r="BE23" s="290">
        <f>[3]!CroissVégét</f>
        <v>5.4426808883230738E-4</v>
      </c>
      <c r="BF23" s="804">
        <f>1+[3]!Salcycl*Ksac</f>
        <v>1.000304213235335</v>
      </c>
      <c r="BH23" s="1036">
        <f t="shared" si="22"/>
        <v>2.1169571397432956E-2</v>
      </c>
      <c r="BI23" s="11">
        <v>44205</v>
      </c>
      <c r="BJ23" s="715">
        <v>1.5798919279720342E-3</v>
      </c>
      <c r="BK23" s="715">
        <v>3.976145947091096E-3</v>
      </c>
      <c r="BL23" s="715">
        <v>7.9975866419177248E-3</v>
      </c>
      <c r="BM23" s="715">
        <v>1.4854297015493947E-2</v>
      </c>
      <c r="BN23" s="715">
        <v>2.750730390961106E-2</v>
      </c>
      <c r="BO23" s="716">
        <v>4.9764510389657041E-2</v>
      </c>
      <c r="BP23" s="715">
        <v>8.5784812296245169E-2</v>
      </c>
      <c r="BQ23" s="715">
        <v>0.12803851903937991</v>
      </c>
      <c r="BR23" s="715">
        <v>0.16944345333852687</v>
      </c>
      <c r="BS23" s="715">
        <v>0.20603130413242224</v>
      </c>
      <c r="BT23" s="715">
        <v>0.24158271877070125</v>
      </c>
      <c r="BW23" s="1190">
        <f>'2019'!R\Max</f>
        <v>0</v>
      </c>
      <c r="BX23" s="1190">
        <f>'2020'!R\Max</f>
        <v>0.9670235856080992</v>
      </c>
      <c r="BY23" s="1190">
        <f>'2021'!R\Max</f>
        <v>0.24036382355590261</v>
      </c>
      <c r="BZ23" s="1190">
        <f>'2022'!R\Max</f>
        <v>8.9509967067670795E-2</v>
      </c>
      <c r="CA23" s="1190">
        <f>'2023'!R\Max</f>
        <v>8.9344459737401197E-2</v>
      </c>
      <c r="CB23" s="1190">
        <f>'2024'!R\Max</f>
        <v>8.9178874515404807E-2</v>
      </c>
      <c r="CC23" s="1190">
        <f>'2025'!R\Max</f>
        <v>8.898466963630583E-2</v>
      </c>
      <c r="CD23" s="1190">
        <f>'2026'!R\Max</f>
        <v>8.879042947059658E-2</v>
      </c>
      <c r="CE23" s="1191">
        <f>'2027'!R\Max</f>
        <v>8.9717452261240074E-2</v>
      </c>
      <c r="CF23" s="1193">
        <f>'2028'!R\Max</f>
        <v>8.9617396763616408E-2</v>
      </c>
    </row>
    <row r="24" spans="1:84" s="6" customFormat="1" ht="11.25" x14ac:dyDescent="0.2">
      <c r="A24" s="11">
        <v>43110</v>
      </c>
      <c r="B24" s="379">
        <f>'2022'!Maxi_hp</f>
        <v>9.0351524420219071</v>
      </c>
      <c r="C24" s="13">
        <f>'2022'!An_max</f>
        <v>2020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26.755821793313537</v>
      </c>
      <c r="L24" s="745" t="s">
        <v>217</v>
      </c>
      <c r="M24" s="729">
        <f t="shared" ref="M24:AM24" si="35">(y.2m-y.3m-(y.1m-y.2m)*D2x23/D2x12)/(x.2m-x.3m)/(1-(x.2m+x.3m)/(x.1m+x.2m))</f>
        <v>-5242.5027211805818</v>
      </c>
      <c r="N24" s="729">
        <f>(y.2m-y.3m-(y.1m-y.2m)*D2x23/D2x12)/(x.2m-x.3m)/(1-(x.2m+x.3m)/(x.1m+x.2m))</f>
        <v>-4134.0342955652777</v>
      </c>
      <c r="O24" s="729">
        <f t="shared" si="35"/>
        <v>-2426.6014081634544</v>
      </c>
      <c r="P24" s="729">
        <f t="shared" si="35"/>
        <v>-438.26648979603476</v>
      </c>
      <c r="Q24" s="729">
        <f t="shared" si="35"/>
        <v>-217.26867346941034</v>
      </c>
      <c r="R24" s="729">
        <f t="shared" si="35"/>
        <v>-217.26867346935381</v>
      </c>
      <c r="S24" s="729">
        <f t="shared" si="35"/>
        <v>888.43755102025636</v>
      </c>
      <c r="T24" s="729">
        <f t="shared" si="35"/>
        <v>2658.1412244898711</v>
      </c>
      <c r="U24" s="729">
        <f t="shared" si="35"/>
        <v>2879.4258979590886</v>
      </c>
      <c r="V24" s="729">
        <f t="shared" si="35"/>
        <v>2879.4258979595625</v>
      </c>
      <c r="W24" s="729">
        <f t="shared" si="35"/>
        <v>1993.713489795842</v>
      </c>
      <c r="X24" s="729">
        <f t="shared" si="35"/>
        <v>1550.7138571425326</v>
      </c>
      <c r="Y24" s="729">
        <f t="shared" si="35"/>
        <v>664.427734694028</v>
      </c>
      <c r="Z24" s="729">
        <f t="shared" si="35"/>
        <v>664.42773469391727</v>
      </c>
      <c r="AA24" s="729">
        <f t="shared" si="35"/>
        <v>664.42773469366534</v>
      </c>
      <c r="AB24" s="729">
        <f t="shared" si="35"/>
        <v>1108.001081632686</v>
      </c>
      <c r="AC24" s="729">
        <f t="shared" si="35"/>
        <v>1108.001081632427</v>
      </c>
      <c r="AD24" s="729">
        <f t="shared" si="35"/>
        <v>1551.8612857146918</v>
      </c>
      <c r="AE24" s="729">
        <f t="shared" si="35"/>
        <v>1551.8612857146766</v>
      </c>
      <c r="AF24" s="729">
        <f t="shared" si="35"/>
        <v>1551.8612857144647</v>
      </c>
      <c r="AG24" s="729">
        <f t="shared" si="35"/>
        <v>1329.7160408160644</v>
      </c>
      <c r="AH24" s="729">
        <f t="shared" si="35"/>
        <v>-3.5857142857154063</v>
      </c>
      <c r="AI24" s="729">
        <f t="shared" si="35"/>
        <v>-1115.0290816324805</v>
      </c>
      <c r="AJ24" s="729">
        <f t="shared" si="35"/>
        <v>-1782.1102448980605</v>
      </c>
      <c r="AK24" s="729">
        <f t="shared" si="35"/>
        <v>-2894.2707551015023</v>
      </c>
      <c r="AL24" s="729">
        <f t="shared" si="35"/>
        <v>-4229.2936530598627</v>
      </c>
      <c r="AM24" s="729">
        <f t="shared" si="35"/>
        <v>-5286.911174384526</v>
      </c>
      <c r="AN24" s="729">
        <f>(y.2m-y.3m-(y.1m-y.2m)*D2x23/D2x12)/(x.2m-x.3m)/(1-(x.2m+x.3m)/(x.1m+x.2m))</f>
        <v>-4169.0555960592928</v>
      </c>
      <c r="AO24" s="1038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26.715836887513952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26.934561744640614</v>
      </c>
      <c r="AZ24" s="735">
        <f t="shared" si="26"/>
        <v>26.825199316077281</v>
      </c>
      <c r="BA24" s="633">
        <f t="shared" si="21"/>
        <v>0.33768921440042832</v>
      </c>
      <c r="BC24" s="11">
        <v>43110</v>
      </c>
      <c r="BD24" s="289">
        <f>[3]!FeuilCaduc*(1-Persistant)+Persistant</f>
        <v>0.50277271494657316</v>
      </c>
      <c r="BE24" s="290">
        <f>[3]!CroissVégét</f>
        <v>6.2535138577142317E-4</v>
      </c>
      <c r="BF24" s="804">
        <f>1+[3]!Salcycl*Ksac</f>
        <v>1.0002772714946573</v>
      </c>
      <c r="BH24" s="1036">
        <f t="shared" si="22"/>
        <v>2.1150573597329927E-2</v>
      </c>
      <c r="BI24" s="1038">
        <v>44206</v>
      </c>
      <c r="BJ24" s="715">
        <v>1.5835359634533352E-3</v>
      </c>
      <c r="BK24" s="715">
        <v>3.8540069369215981E-3</v>
      </c>
      <c r="BL24" s="715">
        <v>7.8906725191928151E-3</v>
      </c>
      <c r="BM24" s="715">
        <v>1.484232641181771E-2</v>
      </c>
      <c r="BN24" s="715">
        <v>2.7481253923241838E-2</v>
      </c>
      <c r="BO24" s="716">
        <v>4.9255584955280103E-2</v>
      </c>
      <c r="BP24" s="715">
        <v>8.4956815205179823E-2</v>
      </c>
      <c r="BQ24" s="715">
        <v>0.12761744540735623</v>
      </c>
      <c r="BR24" s="715">
        <v>0.17007089041870813</v>
      </c>
      <c r="BS24" s="715">
        <v>0.20758097383926874</v>
      </c>
      <c r="BT24" s="715">
        <v>0.24353844327164931</v>
      </c>
      <c r="BW24" s="1190">
        <f>'2019'!R\Max</f>
        <v>0</v>
      </c>
      <c r="BX24" s="1190">
        <f>'2020'!R\Max</f>
        <v>0.33768921440042832</v>
      </c>
      <c r="BY24" s="1190">
        <f>'2021'!R\Max</f>
        <v>0.21424234202872772</v>
      </c>
      <c r="BZ24" s="1190">
        <f>'2022'!R\Max</f>
        <v>7.2772702206217454E-2</v>
      </c>
      <c r="CA24" s="1190">
        <f>'2023'!R\Max</f>
        <v>7.2640568481251014E-2</v>
      </c>
      <c r="CB24" s="1190">
        <f>'2024'!R\Max</f>
        <v>7.2508375451170587E-2</v>
      </c>
      <c r="CC24" s="1190">
        <f>'2025'!R\Max</f>
        <v>7.2350443087785432E-2</v>
      </c>
      <c r="CD24" s="1190">
        <f>'2026'!R\Max</f>
        <v>7.2192481081095702E-2</v>
      </c>
      <c r="CE24" s="1191">
        <f>'2027'!R\Max</f>
        <v>7.2936252321565129E-2</v>
      </c>
      <c r="CF24" s="1193">
        <f>'2028'!R\Max</f>
        <v>7.2857356630853534E-2</v>
      </c>
    </row>
    <row r="25" spans="1:84" s="6" customFormat="1" ht="11.25" x14ac:dyDescent="0.2">
      <c r="A25" s="11">
        <v>43111</v>
      </c>
      <c r="B25" s="379">
        <f>'2022'!Maxi_hp</f>
        <v>27.372177107233075</v>
      </c>
      <c r="C25" s="13">
        <f>'2022'!An_max</f>
        <v>2022</v>
      </c>
      <c r="D25" s="1045">
        <f t="shared" si="7"/>
        <v>1.0138014686256271</v>
      </c>
      <c r="E25" s="1040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26.999543751244033</v>
      </c>
      <c r="L25" s="745" t="s">
        <v>218</v>
      </c>
      <c r="M25" s="729">
        <f t="shared" ref="M25:AM25" si="36">(y.1m+y.2m+y.3m-a.m*(x.3m*x.3m+x.2m*x.2m+x.1m*x.1m)-b.m*(x.3m+x.2m+x.1m))/3</f>
        <v>112947202.31983759</v>
      </c>
      <c r="N25" s="729">
        <f>(y.1m+y.2m+y.3m-a.m*(x.3m*x.3m+x.2m*x.2m+x.1m*x.1m)-b.m*(x.3m+x.2m+x.1m))/3</f>
        <v>89059431.354046509</v>
      </c>
      <c r="O25" s="729">
        <f t="shared" si="36"/>
        <v>52251447.854126513</v>
      </c>
      <c r="P25" s="729">
        <f t="shared" si="36"/>
        <v>9374000.6364923045</v>
      </c>
      <c r="Q25" s="729">
        <f t="shared" si="36"/>
        <v>4606746.3671025271</v>
      </c>
      <c r="R25" s="729">
        <f t="shared" si="36"/>
        <v>4606746.3671013089</v>
      </c>
      <c r="S25" s="729">
        <f t="shared" si="36"/>
        <v>-19260474.71411917</v>
      </c>
      <c r="T25" s="729">
        <f t="shared" si="36"/>
        <v>-57472800.279511817</v>
      </c>
      <c r="U25" s="729">
        <f t="shared" si="36"/>
        <v>-62252438.458610199</v>
      </c>
      <c r="V25" s="729">
        <f t="shared" si="36"/>
        <v>-62252438.458620429</v>
      </c>
      <c r="W25" s="729">
        <f t="shared" si="36"/>
        <v>-43109093.82677386</v>
      </c>
      <c r="X25" s="729">
        <f t="shared" si="36"/>
        <v>-33531220.519992981</v>
      </c>
      <c r="Y25" s="729">
        <f t="shared" si="36"/>
        <v>-14363067.908737948</v>
      </c>
      <c r="Z25" s="729">
        <f t="shared" si="36"/>
        <v>-14363067.908735553</v>
      </c>
      <c r="AA25" s="729">
        <f t="shared" si="36"/>
        <v>-14363067.908730099</v>
      </c>
      <c r="AB25" s="729">
        <f t="shared" si="36"/>
        <v>-23965765.258939486</v>
      </c>
      <c r="AC25" s="729">
        <f t="shared" si="36"/>
        <v>-23965765.258933883</v>
      </c>
      <c r="AD25" s="729">
        <f t="shared" si="36"/>
        <v>-33580886.678865939</v>
      </c>
      <c r="AE25" s="729">
        <f t="shared" si="36"/>
        <v>-33580886.678865619</v>
      </c>
      <c r="AF25" s="729">
        <f t="shared" si="36"/>
        <v>-33580886.678861022</v>
      </c>
      <c r="AG25" s="729">
        <f t="shared" si="36"/>
        <v>-28764000.386606559</v>
      </c>
      <c r="AH25" s="729">
        <f t="shared" si="36"/>
        <v>155980.57942859569</v>
      </c>
      <c r="AI25" s="729">
        <f t="shared" si="36"/>
        <v>24271522.414935034</v>
      </c>
      <c r="AJ25" s="729">
        <f t="shared" si="36"/>
        <v>38750185.146532811</v>
      </c>
      <c r="AK25" s="729">
        <f t="shared" si="36"/>
        <v>62896857.436314829</v>
      </c>
      <c r="AL25" s="729">
        <f t="shared" si="36"/>
        <v>91891551.492623493</v>
      </c>
      <c r="AM25" s="729">
        <f t="shared" si="36"/>
        <v>114868820.35582107</v>
      </c>
      <c r="AN25" s="729">
        <f>(y.1m+y.2m+y.3m-a.m*(x.3m*x.3m+x.2m*x.2m+x.1m*x.1m)-b.m*(x.3m+x.2m+x.1m))/3</f>
        <v>90574745.259298488</v>
      </c>
      <c r="AO25" s="1038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26.944113605216678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27.184023246580161</v>
      </c>
      <c r="AZ25" s="735">
        <f t="shared" si="26"/>
        <v>27.064068425898419</v>
      </c>
      <c r="BA25" s="633">
        <f t="shared" si="21"/>
        <v>1.0138014686256271</v>
      </c>
      <c r="BC25" s="11">
        <v>43111</v>
      </c>
      <c r="BD25" s="289">
        <f>[3]!FeuilCaduc*(1-Persistant)+Persistant</f>
        <v>0.50251484348034037</v>
      </c>
      <c r="BE25" s="290">
        <f>[3]!CroissVégét</f>
        <v>7.0982230050345072E-4</v>
      </c>
      <c r="BF25" s="804">
        <f>1+[3]!Salcycl*Ksac</f>
        <v>1.0002514843480341</v>
      </c>
      <c r="BH25" s="1036">
        <f t="shared" si="22"/>
        <v>2.1110137101679201E-2</v>
      </c>
      <c r="BI25" s="11">
        <v>44207</v>
      </c>
      <c r="BJ25" s="715">
        <v>1.6005949803159392E-3</v>
      </c>
      <c r="BK25" s="715">
        <v>3.7466011549163801E-3</v>
      </c>
      <c r="BL25" s="715">
        <v>7.7782658406590549E-3</v>
      </c>
      <c r="BM25" s="715">
        <v>1.480144433327682E-2</v>
      </c>
      <c r="BN25" s="715">
        <v>2.744126459504562E-2</v>
      </c>
      <c r="BO25" s="716">
        <v>4.8795301113735416E-2</v>
      </c>
      <c r="BP25" s="715">
        <v>8.4190591768373249E-2</v>
      </c>
      <c r="BQ25" s="715">
        <v>0.12716285331568261</v>
      </c>
      <c r="BR25" s="715">
        <v>0.17060858932816492</v>
      </c>
      <c r="BS25" s="715">
        <v>0.20906122953133729</v>
      </c>
      <c r="BT25" s="715">
        <v>0.24555247640874972</v>
      </c>
      <c r="BW25" s="1190">
        <f>'2019'!R\Max</f>
        <v>0</v>
      </c>
      <c r="BX25" s="1190">
        <f>'2020'!R\Max</f>
        <v>1.0100648455091663</v>
      </c>
      <c r="BY25" s="1190">
        <f>'2021'!R\Max</f>
        <v>0.1954314799022929</v>
      </c>
      <c r="BZ25" s="1190">
        <f>'2022'!R\Max</f>
        <v>1.0138014686256271</v>
      </c>
      <c r="CA25" s="1190">
        <f>'2023'!R\Max</f>
        <v>1.0138014686256269</v>
      </c>
      <c r="CB25" s="1190">
        <f>'2024'!R\Max</f>
        <v>1.0138014686256271</v>
      </c>
      <c r="CC25" s="1190">
        <f>'2025'!R\Max</f>
        <v>1.0138014686256271</v>
      </c>
      <c r="CD25" s="1190">
        <f>'2026'!R\Max</f>
        <v>1.0138014686256269</v>
      </c>
      <c r="CE25" s="1191">
        <f>'2027'!R\Max</f>
        <v>1.0138014686256271</v>
      </c>
      <c r="CF25" s="1193">
        <f>'2028'!R\Max</f>
        <v>1.0138014686256271</v>
      </c>
    </row>
    <row r="26" spans="1:84" s="6" customFormat="1" ht="11.25" x14ac:dyDescent="0.2">
      <c r="A26" s="11">
        <v>43112</v>
      </c>
      <c r="B26" s="379">
        <f>'2022'!Maxi_hp</f>
        <v>27.37093962937724</v>
      </c>
      <c r="C26" s="13">
        <f>'2022'!An_max</f>
        <v>2020</v>
      </c>
      <c r="D26" s="1045">
        <f t="shared" si="7"/>
        <v>1.0042806015305528</v>
      </c>
      <c r="E26" s="1040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27.254274938361981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27.186533238313029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27.439773082579006</v>
      </c>
      <c r="AZ26" s="735">
        <f t="shared" si="26"/>
        <v>27.313153160446017</v>
      </c>
      <c r="BA26" s="633">
        <f t="shared" si="21"/>
        <v>1.0042806015305528</v>
      </c>
      <c r="BC26" s="11">
        <v>43112</v>
      </c>
      <c r="BD26" s="289">
        <f>[3]!FeuilCaduc*(1-Persistant)+Persistant</f>
        <v>0.5022682095984794</v>
      </c>
      <c r="BE26" s="290">
        <f>[3]!CroissVégét</f>
        <v>7.9782175584567966E-4</v>
      </c>
      <c r="BF26" s="804">
        <f>1+[3]!Salcycl*Ksac</f>
        <v>1.0002268209598479</v>
      </c>
      <c r="BH26" s="1036">
        <f t="shared" si="22"/>
        <v>2.104818320730396E-2</v>
      </c>
      <c r="BI26" s="11">
        <v>44208</v>
      </c>
      <c r="BJ26" s="715">
        <v>1.6310815444466726E-3</v>
      </c>
      <c r="BK26" s="715">
        <v>3.6539433242501807E-3</v>
      </c>
      <c r="BL26" s="715">
        <v>7.6603452842328732E-3</v>
      </c>
      <c r="BM26" s="715">
        <v>1.4731578211426906E-2</v>
      </c>
      <c r="BN26" s="715">
        <v>2.7387251065297036E-2</v>
      </c>
      <c r="BO26" s="716">
        <v>4.8383621247938276E-2</v>
      </c>
      <c r="BP26" s="715">
        <v>8.3486047092747429E-2</v>
      </c>
      <c r="BQ26" s="715">
        <v>0.1266744023573512</v>
      </c>
      <c r="BR26" s="715">
        <v>0.17105598171597949</v>
      </c>
      <c r="BS26" s="715">
        <v>0.2104713888466021</v>
      </c>
      <c r="BT26" s="715">
        <v>0.24762418489807558</v>
      </c>
      <c r="BW26" s="1190">
        <f>'2019'!R\Max</f>
        <v>0</v>
      </c>
      <c r="BX26" s="1190">
        <f>'2020'!R\Max</f>
        <v>1.0042806015305528</v>
      </c>
      <c r="BY26" s="1190">
        <f>'2021'!R\Max</f>
        <v>0.440729966146156</v>
      </c>
      <c r="BZ26" s="1190">
        <f>'2022'!R\Max</f>
        <v>0.87259803742746667</v>
      </c>
      <c r="CA26" s="1190">
        <f>'2023'!R\Max</f>
        <v>0.87231992342741838</v>
      </c>
      <c r="CB26" s="1190">
        <f>'2024'!R\Max</f>
        <v>0.87204090060313189</v>
      </c>
      <c r="CC26" s="1190">
        <f>'2025'!R\Max</f>
        <v>0.87169656503927784</v>
      </c>
      <c r="CD26" s="1190">
        <f>'2026'!R\Max</f>
        <v>0.87135094429989501</v>
      </c>
      <c r="CE26" s="1191">
        <f>'2027'!R\Max</f>
        <v>0.87293475245629026</v>
      </c>
      <c r="CF26" s="1193">
        <f>'2028'!R\Max</f>
        <v>0.87277236529490765</v>
      </c>
    </row>
    <row r="27" spans="1:84" s="6" customFormat="1" ht="11.25" x14ac:dyDescent="0.2">
      <c r="A27" s="11">
        <v>43113</v>
      </c>
      <c r="B27" s="379">
        <f>'2022'!Maxi_hp</f>
        <v>16.17097757884445</v>
      </c>
      <c r="C27" s="13">
        <f>'2022'!An_max</f>
        <v>2020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27.519166741307295</v>
      </c>
      <c r="L27" s="10"/>
      <c r="M27" s="6" t="s">
        <v>227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27.442323831082991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27.701253387434729</v>
      </c>
      <c r="AZ27" s="735">
        <f t="shared" si="26"/>
        <v>27.57178860925886</v>
      </c>
      <c r="BA27" s="633">
        <f t="shared" si="21"/>
        <v>0.58762598921904163</v>
      </c>
      <c r="BC27" s="11">
        <v>43113</v>
      </c>
      <c r="BD27" s="289">
        <f>[3]!FeuilCaduc*(1-Persistant)+Persistant</f>
        <v>0.50203267860843537</v>
      </c>
      <c r="BE27" s="290">
        <f>[3]!CroissVégét</f>
        <v>8.8949648478391823E-4</v>
      </c>
      <c r="BF27" s="804">
        <f>1+[3]!Salcycl*Ksac</f>
        <v>1.0002032678608435</v>
      </c>
      <c r="BH27" s="1036">
        <f t="shared" si="22"/>
        <v>2.0964635962096904E-2</v>
      </c>
      <c r="BI27" s="11">
        <v>44209</v>
      </c>
      <c r="BJ27" s="715">
        <v>1.6750066251920712E-3</v>
      </c>
      <c r="BK27" s="715">
        <v>3.5760476912618674E-3</v>
      </c>
      <c r="BL27" s="715">
        <v>7.5368912675496972E-3</v>
      </c>
      <c r="BM27" s="715">
        <v>1.4632659011678586E-2</v>
      </c>
      <c r="BN27" s="715">
        <v>2.7319130439771067E-2</v>
      </c>
      <c r="BO27" s="716">
        <v>4.8020507334313033E-2</v>
      </c>
      <c r="BP27" s="715">
        <v>8.2843087662286721E-2</v>
      </c>
      <c r="BQ27" s="715">
        <v>0.12615176063594594</v>
      </c>
      <c r="BR27" s="715">
        <v>0.17141250385588513</v>
      </c>
      <c r="BS27" s="715">
        <v>0.21181076249406791</v>
      </c>
      <c r="BT27" s="715">
        <v>0.24975290964453137</v>
      </c>
      <c r="BW27" s="1190">
        <f>'2019'!R\Max</f>
        <v>0</v>
      </c>
      <c r="BX27" s="1190">
        <f>'2020'!R\Max</f>
        <v>0.58762598921904163</v>
      </c>
      <c r="BY27" s="1190">
        <f>'2021'!R\Max</f>
        <v>0.36149585323969941</v>
      </c>
      <c r="BZ27" s="1190">
        <f>'2022'!R\Max</f>
        <v>0.22104973710765777</v>
      </c>
      <c r="CA27" s="1190">
        <f>'2023'!R\Max</f>
        <v>0.22066971050227294</v>
      </c>
      <c r="CB27" s="1190">
        <f>'2024'!R\Max</f>
        <v>0.22028954732472109</v>
      </c>
      <c r="CC27" s="1190">
        <f>'2025'!R\Max</f>
        <v>0.21981682234002881</v>
      </c>
      <c r="CD27" s="1190">
        <f>'2026'!R\Max</f>
        <v>0.21934401525399003</v>
      </c>
      <c r="CE27" s="1191">
        <f>'2027'!R\Max</f>
        <v>0.22150858121819922</v>
      </c>
      <c r="CF27" s="1193">
        <f>'2028'!R\Max</f>
        <v>0.22128703167642022</v>
      </c>
    </row>
    <row r="28" spans="1:84" s="6" customFormat="1" ht="11.25" x14ac:dyDescent="0.2">
      <c r="A28" s="11">
        <v>43114</v>
      </c>
      <c r="B28" s="379">
        <f>'2022'!Maxi_hp</f>
        <v>28.944815761904703</v>
      </c>
      <c r="C28" s="13">
        <f>'2022'!An_max</f>
        <v>2022</v>
      </c>
      <c r="D28" s="1045">
        <f t="shared" si="7"/>
        <v>1.0414287719294832</v>
      </c>
      <c r="E28" s="1040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27.79337055214814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27.710713427939584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27.967906302059522</v>
      </c>
      <c r="AZ28" s="735">
        <f t="shared" si="26"/>
        <v>27.839309864999553</v>
      </c>
      <c r="BA28" s="633">
        <f t="shared" si="21"/>
        <v>1.0414287719294832</v>
      </c>
      <c r="BC28" s="11">
        <v>43114</v>
      </c>
      <c r="BD28" s="289">
        <f>[3]!FeuilCaduc*(1-Persistant)+Persistant</f>
        <v>0.50180826807640544</v>
      </c>
      <c r="BE28" s="290">
        <f>[3]!CroissVégét</f>
        <v>9.849992655628797E-4</v>
      </c>
      <c r="BF28" s="804">
        <f>1+[3]!Salcycl*Ksac</f>
        <v>1.0001808268076406</v>
      </c>
      <c r="BH28" s="1036">
        <f t="shared" si="22"/>
        <v>2.0859422701596485E-2</v>
      </c>
      <c r="BI28" s="11">
        <v>44210</v>
      </c>
      <c r="BJ28" s="715">
        <v>1.7323792538887217E-3</v>
      </c>
      <c r="BK28" s="715">
        <v>3.5129276468200076E-3</v>
      </c>
      <c r="BL28" s="715">
        <v>7.4078860822296422E-3</v>
      </c>
      <c r="BM28" s="715">
        <v>1.4504621962315833E-2</v>
      </c>
      <c r="BN28" s="715">
        <v>2.723682213319277E-2</v>
      </c>
      <c r="BO28" s="716">
        <v>4.7705919676739601E-2</v>
      </c>
      <c r="BP28" s="715">
        <v>8.2261619717757958E-2</v>
      </c>
      <c r="BQ28" s="715">
        <v>0.12559460556052079</v>
      </c>
      <c r="BR28" s="715">
        <v>0.17167759887764622</v>
      </c>
      <c r="BS28" s="715">
        <v>0.21307865597520689</v>
      </c>
      <c r="BT28" s="715">
        <v>0.25193796421270354</v>
      </c>
      <c r="BW28" s="1190">
        <f>'2019'!R\Max</f>
        <v>0</v>
      </c>
      <c r="BX28" s="1190">
        <f>'2020'!R\Max</f>
        <v>0.9763980685377337</v>
      </c>
      <c r="BY28" s="1190">
        <f>'2021'!R\Max</f>
        <v>0.43422696102202296</v>
      </c>
      <c r="BZ28" s="1190">
        <f>'2022'!R\Max</f>
        <v>1.0414287719294832</v>
      </c>
      <c r="CA28" s="1190">
        <f>'2023'!R\Max</f>
        <v>1.0414287719294832</v>
      </c>
      <c r="CB28" s="1190">
        <f>'2024'!R\Max</f>
        <v>1.0414287719294832</v>
      </c>
      <c r="CC28" s="1190">
        <f>'2025'!R\Max</f>
        <v>1.0414287719294832</v>
      </c>
      <c r="CD28" s="1190">
        <f>'2026'!R\Max</f>
        <v>1.0414287719294832</v>
      </c>
      <c r="CE28" s="1191">
        <f>'2027'!R\Max</f>
        <v>1.0414287719294832</v>
      </c>
      <c r="CF28" s="1193">
        <f>'2028'!R\Max</f>
        <v>1.0414287719294832</v>
      </c>
    </row>
    <row r="29" spans="1:84" s="6" customFormat="1" ht="11.25" x14ac:dyDescent="0.2">
      <c r="A29" s="11">
        <v>43115</v>
      </c>
      <c r="B29" s="379">
        <f>'2022'!Maxi_hp</f>
        <v>29.284841653101807</v>
      </c>
      <c r="C29" s="13">
        <f>'2022'!An_max</f>
        <v>2022</v>
      </c>
      <c r="D29" s="1045">
        <f t="shared" si="7"/>
        <v>1.0430546469739899</v>
      </c>
      <c r="E29" s="1040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28.07603775896132</v>
      </c>
      <c r="L29" s="763">
        <f>AJ13</f>
        <v>308.22800000000001</v>
      </c>
      <c r="M29" s="763">
        <f>L13</f>
        <v>246.98400000000001</v>
      </c>
      <c r="N29" s="753">
        <f>N13</f>
        <v>263.048</v>
      </c>
      <c r="O29" s="753">
        <f>P13</f>
        <v>352.404</v>
      </c>
      <c r="P29" s="753">
        <f>R13</f>
        <v>457.82400000000001</v>
      </c>
      <c r="Q29" s="753">
        <f>T13</f>
        <v>562.24</v>
      </c>
      <c r="R29" s="753">
        <f>V13</f>
        <v>625.49199999999996</v>
      </c>
      <c r="S29" s="753">
        <f>X13</f>
        <v>640.55200000000002</v>
      </c>
      <c r="T29" s="753">
        <f>Z13</f>
        <v>629.50800000000004</v>
      </c>
      <c r="U29" s="753">
        <f>AB13</f>
        <v>606.41600000000005</v>
      </c>
      <c r="V29" s="753">
        <f>AD13</f>
        <v>565.25199999999995</v>
      </c>
      <c r="W29" s="753">
        <f>AF13</f>
        <v>497.98399999999998</v>
      </c>
      <c r="X29" s="753">
        <f>AH13</f>
        <v>403.608</v>
      </c>
      <c r="Y29" s="753">
        <f>AJ13</f>
        <v>308.22800000000001</v>
      </c>
      <c r="Z29" s="753">
        <f>AL13</f>
        <v>246.98400000000001</v>
      </c>
      <c r="AA29" s="761">
        <f>AN13</f>
        <v>263.048</v>
      </c>
      <c r="AB29" s="761">
        <f>P13</f>
        <v>352.404</v>
      </c>
      <c r="AO29" s="1038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27.990930080320688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28.239173961250948</v>
      </c>
      <c r="AZ29" s="735">
        <f t="shared" si="26"/>
        <v>28.115052020785818</v>
      </c>
      <c r="BA29" s="633">
        <f t="shared" si="21"/>
        <v>1.0430546469739899</v>
      </c>
      <c r="BC29" s="11">
        <v>43115</v>
      </c>
      <c r="BD29" s="289">
        <f>[3]!FeuilCaduc*(1-Persistant)+Persistant</f>
        <v>0.5015951260203303</v>
      </c>
      <c r="BE29" s="290">
        <f>[3]!CroissVégét</f>
        <v>1.0844891659074879E-3</v>
      </c>
      <c r="BF29" s="804">
        <f>1+[3]!Salcycl*Ksac</f>
        <v>1.0001595126020331</v>
      </c>
      <c r="BH29" s="1036">
        <f t="shared" si="22"/>
        <v>2.0732474585206558E-2</v>
      </c>
      <c r="BI29" s="11">
        <v>44211</v>
      </c>
      <c r="BJ29" s="715">
        <v>1.8032061823636599E-3</v>
      </c>
      <c r="BK29" s="715">
        <v>3.4645953476288419E-3</v>
      </c>
      <c r="BL29" s="715">
        <v>7.273314028017233E-3</v>
      </c>
      <c r="BM29" s="715">
        <v>1.4347407283266757E-2</v>
      </c>
      <c r="BN29" s="715">
        <v>2.714024821222108E-2</v>
      </c>
      <c r="BO29" s="716">
        <v>4.74398156396863E-2</v>
      </c>
      <c r="BP29" s="715">
        <v>8.1741547635026862E-2</v>
      </c>
      <c r="BQ29" s="715">
        <v>0.12500262463833259</v>
      </c>
      <c r="BR29" s="715">
        <v>0.17185071899549928</v>
      </c>
      <c r="BS29" s="715">
        <v>0.21427437130173987</v>
      </c>
      <c r="BT29" s="715">
        <v>0.25417863329338508</v>
      </c>
      <c r="BW29" s="1190">
        <f>'2019'!R\Max</f>
        <v>0</v>
      </c>
      <c r="BX29" s="1190">
        <f>'2020'!R\Max</f>
        <v>0.83450760975965943</v>
      </c>
      <c r="BY29" s="1190">
        <f>'2021'!R\Max</f>
        <v>0.70899337365086568</v>
      </c>
      <c r="BZ29" s="1190">
        <f>'2022'!R\Max</f>
        <v>1.0430546469739899</v>
      </c>
      <c r="CA29" s="1190">
        <f>'2023'!R\Max</f>
        <v>1.0430546469739896</v>
      </c>
      <c r="CB29" s="1190">
        <f>'2024'!R\Max</f>
        <v>1.0430546469739896</v>
      </c>
      <c r="CC29" s="1190">
        <f>'2025'!R\Max</f>
        <v>1.0430546469739899</v>
      </c>
      <c r="CD29" s="1190">
        <f>'2026'!R\Max</f>
        <v>1.0430546469739896</v>
      </c>
      <c r="CE29" s="1191">
        <f>'2027'!R\Max</f>
        <v>1.0430546469739896</v>
      </c>
      <c r="CF29" s="1193">
        <f>'2028'!R\Max</f>
        <v>1.0430546469739896</v>
      </c>
    </row>
    <row r="30" spans="1:84" s="6" customFormat="1" ht="11.25" x14ac:dyDescent="0.2">
      <c r="A30" s="11">
        <v>43116</v>
      </c>
      <c r="B30" s="379">
        <f>'2022'!Maxi_hp</f>
        <v>28.651235386050466</v>
      </c>
      <c r="C30" s="13">
        <f>'2022'!An_max</f>
        <v>2022</v>
      </c>
      <c r="D30" s="1045">
        <f t="shared" si="7"/>
        <v>1.010044152286218</v>
      </c>
      <c r="E30" s="1040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28.366319750675132</v>
      </c>
      <c r="L30" s="743" t="s">
        <v>208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28.282201832958627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28.514498504688</v>
      </c>
      <c r="AZ30" s="735">
        <f t="shared" si="26"/>
        <v>28.398350168823313</v>
      </c>
      <c r="BA30" s="633">
        <f t="shared" si="21"/>
        <v>1.010044152286218</v>
      </c>
      <c r="BC30" s="11">
        <v>43116</v>
      </c>
      <c r="BD30" s="289">
        <f>[3]!FeuilCaduc*(1-Persistant)+Persistant</f>
        <v>0.50139350894068246</v>
      </c>
      <c r="BE30" s="290">
        <f>[3]!CroissVégét</f>
        <v>1.1881317966940647E-3</v>
      </c>
      <c r="BF30" s="804">
        <f>1+[3]!Salcycl*Ksac</f>
        <v>1.0001393508940681</v>
      </c>
      <c r="BH30" s="1036">
        <f t="shared" si="22"/>
        <v>2.0588336570217091E-2</v>
      </c>
      <c r="BI30" s="11">
        <v>44212</v>
      </c>
      <c r="BJ30" s="715">
        <v>1.8813832955790937E-3</v>
      </c>
      <c r="BK30" s="715">
        <v>3.4287944223707462E-3</v>
      </c>
      <c r="BL30" s="715">
        <v>7.1428482338595804E-3</v>
      </c>
      <c r="BM30" s="715">
        <v>1.4174742757457691E-2</v>
      </c>
      <c r="BN30" s="715">
        <v>2.7024738152906413E-2</v>
      </c>
      <c r="BO30" s="716">
        <v>4.7190780238837486E-2</v>
      </c>
      <c r="BP30" s="715">
        <v>8.1227493327885494E-2</v>
      </c>
      <c r="BQ30" s="715">
        <v>0.12432541535002038</v>
      </c>
      <c r="BR30" s="715">
        <v>0.17185653390971167</v>
      </c>
      <c r="BS30" s="715">
        <v>0.21529790069194168</v>
      </c>
      <c r="BT30" s="715">
        <v>0.25633326217044194</v>
      </c>
      <c r="BW30" s="1190">
        <f>'2019'!R\Max</f>
        <v>0</v>
      </c>
      <c r="BX30" s="1190">
        <f>'2020'!R\Max</f>
        <v>0.87142757172433738</v>
      </c>
      <c r="BY30" s="1190">
        <f>'2021'!R\Max</f>
        <v>0.67827420559889018</v>
      </c>
      <c r="BZ30" s="1190">
        <f>'2022'!R\Max</f>
        <v>1.010044152286218</v>
      </c>
      <c r="CA30" s="1190">
        <f>'2023'!R\Max</f>
        <v>1.010044152286218</v>
      </c>
      <c r="CB30" s="1190">
        <f>'2024'!R\Max</f>
        <v>1.010044152286218</v>
      </c>
      <c r="CC30" s="1190">
        <f>'2025'!R\Max</f>
        <v>1.010044152286218</v>
      </c>
      <c r="CD30" s="1190">
        <f>'2026'!R\Max</f>
        <v>1.010044152286218</v>
      </c>
      <c r="CE30" s="1191">
        <f>'2027'!R\Max</f>
        <v>1.010044152286218</v>
      </c>
      <c r="CF30" s="1193">
        <f>'2028'!R\Max</f>
        <v>1.010044152286218</v>
      </c>
    </row>
    <row r="31" spans="1:84" s="6" customFormat="1" ht="11.25" x14ac:dyDescent="0.2">
      <c r="A31" s="11">
        <v>43117</v>
      </c>
      <c r="B31" s="379">
        <f>'2022'!Maxi_hp</f>
        <v>13.20492175837156</v>
      </c>
      <c r="C31" s="13">
        <f>'2022'!An_max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28.663367918133737</v>
      </c>
      <c r="L31" s="744" t="s">
        <v>209</v>
      </c>
      <c r="M31" s="765">
        <f t="shared" ref="M31:AA31" si="38">L29</f>
        <v>308.22800000000001</v>
      </c>
      <c r="N31" s="769">
        <f t="shared" si="38"/>
        <v>246.98400000000001</v>
      </c>
      <c r="O31" s="731">
        <f t="shared" si="38"/>
        <v>263.048</v>
      </c>
      <c r="P31" s="731">
        <f t="shared" si="38"/>
        <v>352.404</v>
      </c>
      <c r="Q31" s="731">
        <f t="shared" si="38"/>
        <v>457.82400000000001</v>
      </c>
      <c r="R31" s="731">
        <f t="shared" si="38"/>
        <v>562.24</v>
      </c>
      <c r="S31" s="731">
        <f t="shared" si="38"/>
        <v>625.49199999999996</v>
      </c>
      <c r="T31" s="731">
        <f t="shared" si="38"/>
        <v>640.55200000000002</v>
      </c>
      <c r="U31" s="731">
        <f t="shared" si="38"/>
        <v>629.50800000000004</v>
      </c>
      <c r="V31" s="731">
        <f t="shared" si="38"/>
        <v>606.41600000000005</v>
      </c>
      <c r="W31" s="731">
        <f t="shared" si="38"/>
        <v>565.25199999999995</v>
      </c>
      <c r="X31" s="731">
        <f t="shared" si="38"/>
        <v>497.98399999999998</v>
      </c>
      <c r="Y31" s="731">
        <f t="shared" si="38"/>
        <v>403.608</v>
      </c>
      <c r="Z31" s="731">
        <f t="shared" si="38"/>
        <v>308.22800000000001</v>
      </c>
      <c r="AA31" s="767">
        <f t="shared" si="38"/>
        <v>246.98400000000001</v>
      </c>
      <c r="AO31" s="1038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28.583756733419637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28.793322067990385</v>
      </c>
      <c r="AZ31" s="735">
        <f t="shared" si="26"/>
        <v>28.688539400705011</v>
      </c>
      <c r="BA31" s="633">
        <f t="shared" si="21"/>
        <v>0.46068981831048306</v>
      </c>
      <c r="BC31" s="11">
        <v>43117</v>
      </c>
      <c r="BD31" s="289">
        <f>[3]!FeuilCaduc*(1-Persistant)+Persistant</f>
        <v>0.50120375992456212</v>
      </c>
      <c r="BE31" s="290">
        <f>[3]!CroissVégét</f>
        <v>1.2960995754023115E-3</v>
      </c>
      <c r="BF31" s="804">
        <f>1+[3]!Salcycl*Ksac</f>
        <v>1.0001203759924562</v>
      </c>
      <c r="BH31" s="1036">
        <f t="shared" si="22"/>
        <v>2.0428849820359085E-2</v>
      </c>
      <c r="BI31" s="11">
        <v>44213</v>
      </c>
      <c r="BJ31" s="715">
        <v>1.9572139035004808E-3</v>
      </c>
      <c r="BK31" s="715">
        <v>3.4038778706684705E-3</v>
      </c>
      <c r="BL31" s="715">
        <v>7.024791801634807E-3</v>
      </c>
      <c r="BM31" s="715">
        <v>1.4002416435865963E-2</v>
      </c>
      <c r="BN31" s="715">
        <v>2.6878136634361866E-2</v>
      </c>
      <c r="BO31" s="716">
        <v>4.6915605541636089E-2</v>
      </c>
      <c r="BP31" s="715">
        <v>8.0689139710330038E-2</v>
      </c>
      <c r="BQ31" s="715">
        <v>0.12358487101544698</v>
      </c>
      <c r="BR31" s="715">
        <v>0.17172815669607</v>
      </c>
      <c r="BS31" s="715">
        <v>0.21613281582732047</v>
      </c>
      <c r="BT31" s="715">
        <v>0.2583017434103414</v>
      </c>
      <c r="BW31" s="1190">
        <f>'2019'!R\Max</f>
        <v>0</v>
      </c>
      <c r="BX31" s="1190">
        <f>'2020'!R\Max</f>
        <v>0.1652912319824944</v>
      </c>
      <c r="BY31" s="1190">
        <f>'2021'!R\Max</f>
        <v>0.26978871751475036</v>
      </c>
      <c r="BZ31" s="1190">
        <f>'2022'!R\Max</f>
        <v>0.46068981831048306</v>
      </c>
      <c r="CA31" s="1190">
        <f>'2023'!R\Max</f>
        <v>0.46012296076862108</v>
      </c>
      <c r="CB31" s="1190">
        <f>'2024'!R\Max</f>
        <v>0.45955557484824067</v>
      </c>
      <c r="CC31" s="1190">
        <f>'2025'!R\Max</f>
        <v>0.45883440898456435</v>
      </c>
      <c r="CD31" s="1190">
        <f>'2026'!R\Max</f>
        <v>0.45811249376685292</v>
      </c>
      <c r="CE31" s="1191">
        <f>'2027'!R\Max</f>
        <v>0.46137276010537381</v>
      </c>
      <c r="CF31" s="1193">
        <f>'2028'!R\Max</f>
        <v>0.46104279405270526</v>
      </c>
    </row>
    <row r="32" spans="1:84" s="6" customFormat="1" ht="11.25" x14ac:dyDescent="0.2">
      <c r="A32" s="11">
        <v>43118</v>
      </c>
      <c r="B32" s="379">
        <f>'2022'!Maxi_hp</f>
        <v>29.066008249734857</v>
      </c>
      <c r="C32" s="13">
        <f>'2022'!An_max</f>
        <v>2021</v>
      </c>
      <c r="D32" s="1045">
        <f t="shared" si="7"/>
        <v>1.0034410499833828</v>
      </c>
      <c r="E32" s="1040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28.966333647817372</v>
      </c>
      <c r="L32" s="744" t="s">
        <v>210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28.894822825464821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29.07508678883314</v>
      </c>
      <c r="AZ32" s="735">
        <f t="shared" si="26"/>
        <v>28.984954807148981</v>
      </c>
      <c r="BA32" s="633">
        <f t="shared" si="21"/>
        <v>1.0034410499833828</v>
      </c>
      <c r="BC32" s="11">
        <v>43118</v>
      </c>
      <c r="BD32" s="289">
        <f>[3]!FeuilCaduc*(1-Persistant)+Persistant</f>
        <v>0.50102628705197882</v>
      </c>
      <c r="BE32" s="290">
        <f>[3]!CroissVégét</f>
        <v>1.4085719996856784E-3</v>
      </c>
      <c r="BF32" s="804">
        <f>1+[3]!Salcycl*Ksac</f>
        <v>1.0001026287051979</v>
      </c>
      <c r="BH32" s="1036">
        <f t="shared" si="22"/>
        <v>2.0253964816952845E-2</v>
      </c>
      <c r="BI32" s="11">
        <v>44214</v>
      </c>
      <c r="BJ32" s="715">
        <v>2.0306841380529801E-3</v>
      </c>
      <c r="BK32" s="715">
        <v>3.3898490361277019E-3</v>
      </c>
      <c r="BL32" s="715">
        <v>6.9191489592750934E-3</v>
      </c>
      <c r="BM32" s="715">
        <v>1.3830409646796172E-2</v>
      </c>
      <c r="BN32" s="715">
        <v>2.6700363181226618E-2</v>
      </c>
      <c r="BO32" s="716">
        <v>4.6614177430626902E-2</v>
      </c>
      <c r="BP32" s="715">
        <v>8.0126314536970319E-2</v>
      </c>
      <c r="BQ32" s="715">
        <v>0.12278069729009787</v>
      </c>
      <c r="BR32" s="715">
        <v>0.17146505536205225</v>
      </c>
      <c r="BS32" s="715">
        <v>0.21677833850294928</v>
      </c>
      <c r="BT32" s="715">
        <v>0.26008309224157244</v>
      </c>
      <c r="BW32" s="1190">
        <f>'2019'!R\Max</f>
        <v>0</v>
      </c>
      <c r="BX32" s="1190">
        <f>'2020'!R\Max</f>
        <v>0.65275045521038466</v>
      </c>
      <c r="BY32" s="1190">
        <f>'2021'!R\Max</f>
        <v>1.0034410499833828</v>
      </c>
      <c r="BZ32" s="1190">
        <f>'2022'!R\Max</f>
        <v>0.14474449148214782</v>
      </c>
      <c r="CA32" s="1190">
        <f>'2023'!R\Max</f>
        <v>0.1445174314691817</v>
      </c>
      <c r="CB32" s="1190">
        <f>'2024'!R\Max</f>
        <v>0.14429033765449906</v>
      </c>
      <c r="CC32" s="1190">
        <f>'2025'!R\Max</f>
        <v>0.14400131447909975</v>
      </c>
      <c r="CD32" s="1190">
        <f>'2026'!R\Max</f>
        <v>0.1437122685593602</v>
      </c>
      <c r="CE32" s="1191">
        <f>'2027'!R\Max</f>
        <v>0.14501872307301791</v>
      </c>
      <c r="CF32" s="1193">
        <f>'2028'!R\Max</f>
        <v>0.14488618079658108</v>
      </c>
    </row>
    <row r="33" spans="1:84" s="6" customFormat="1" ht="11.25" x14ac:dyDescent="0.2">
      <c r="A33" s="11">
        <v>43119</v>
      </c>
      <c r="B33" s="379">
        <f>'2022'!Maxi_hp</f>
        <v>30.468754573897851</v>
      </c>
      <c r="C33" s="13">
        <f>'2022'!An_max</f>
        <v>2021</v>
      </c>
      <c r="D33" s="1045">
        <f t="shared" si="7"/>
        <v>1.0407997272110978</v>
      </c>
      <c r="E33" s="1040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29.274368331687789</v>
      </c>
      <c r="L33" s="744" t="s">
        <v>211</v>
      </c>
      <c r="M33" s="769">
        <f t="shared" ref="M33:AA33" si="40">M29</f>
        <v>246.98400000000001</v>
      </c>
      <c r="N33" s="732">
        <f t="shared" si="40"/>
        <v>263.048</v>
      </c>
      <c r="O33" s="732">
        <f t="shared" si="40"/>
        <v>352.404</v>
      </c>
      <c r="P33" s="732">
        <f t="shared" si="40"/>
        <v>457.82400000000001</v>
      </c>
      <c r="Q33" s="732">
        <f t="shared" si="40"/>
        <v>562.24</v>
      </c>
      <c r="R33" s="732">
        <f t="shared" si="40"/>
        <v>625.49199999999996</v>
      </c>
      <c r="S33" s="732">
        <f t="shared" si="40"/>
        <v>640.55200000000002</v>
      </c>
      <c r="T33" s="732">
        <f t="shared" si="40"/>
        <v>629.50800000000004</v>
      </c>
      <c r="U33" s="732">
        <f t="shared" si="40"/>
        <v>606.41600000000005</v>
      </c>
      <c r="V33" s="732">
        <f t="shared" si="40"/>
        <v>565.25199999999995</v>
      </c>
      <c r="W33" s="732">
        <f t="shared" si="40"/>
        <v>497.98399999999998</v>
      </c>
      <c r="X33" s="732">
        <f t="shared" si="40"/>
        <v>403.608</v>
      </c>
      <c r="Y33" s="732">
        <f t="shared" si="40"/>
        <v>308.22800000000001</v>
      </c>
      <c r="Z33" s="767">
        <f t="shared" si="40"/>
        <v>246.98400000000001</v>
      </c>
      <c r="AA33" s="765">
        <f t="shared" si="40"/>
        <v>263.048</v>
      </c>
      <c r="AO33" s="1038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29.214628158922174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29.359234805353754</v>
      </c>
      <c r="AZ33" s="735">
        <f t="shared" si="26"/>
        <v>29.286931482137966</v>
      </c>
      <c r="BA33" s="633">
        <f t="shared" si="21"/>
        <v>1.0407997272110978</v>
      </c>
      <c r="BC33" s="11">
        <v>43119</v>
      </c>
      <c r="BD33" s="289">
        <f>[3]!FeuilCaduc*(1-Persistant)+Persistant</f>
        <v>0.50086154232446534</v>
      </c>
      <c r="BE33" s="290">
        <f>[3]!CroissVégét</f>
        <v>1.5257359314074395E-3</v>
      </c>
      <c r="BF33" s="804">
        <f>1+[3]!Salcycl*Ksac</f>
        <v>1.0000861542324466</v>
      </c>
      <c r="BH33" s="1036">
        <f t="shared" si="22"/>
        <v>2.0063636613165896E-2</v>
      </c>
      <c r="BI33" s="11">
        <v>44215</v>
      </c>
      <c r="BJ33" s="715">
        <v>2.1017798293220757E-3</v>
      </c>
      <c r="BK33" s="715">
        <v>3.3867093508979811E-3</v>
      </c>
      <c r="BL33" s="715">
        <v>6.8259226445784816E-3</v>
      </c>
      <c r="BM33" s="715">
        <v>1.3658705337533038E-2</v>
      </c>
      <c r="BN33" s="715">
        <v>2.6491344853355036E-2</v>
      </c>
      <c r="BO33" s="716">
        <v>4.6286389574552951E-2</v>
      </c>
      <c r="BP33" s="715">
        <v>7.9538855523301893E-2</v>
      </c>
      <c r="BQ33" s="715">
        <v>0.12191261940579845</v>
      </c>
      <c r="BR33" s="715">
        <v>0.17106672522032171</v>
      </c>
      <c r="BS33" s="715">
        <v>0.21723371879220824</v>
      </c>
      <c r="BT33" s="715">
        <v>0.26167634020095043</v>
      </c>
      <c r="BW33" s="1190">
        <f>'2019'!R\Max</f>
        <v>0</v>
      </c>
      <c r="BX33" s="1190">
        <f>'2020'!R\Max</f>
        <v>0.96939273977953755</v>
      </c>
      <c r="BY33" s="1190">
        <f>'2021'!R\Max</f>
        <v>1.0407997272110978</v>
      </c>
      <c r="BZ33" s="1190">
        <f>'2022'!R\Max</f>
        <v>0.3909245241121711</v>
      </c>
      <c r="CA33" s="1190">
        <f>'2023'!R\Max</f>
        <v>0.39040124912315999</v>
      </c>
      <c r="CB33" s="1190">
        <f>'2024'!R\Max</f>
        <v>0.38987771038779195</v>
      </c>
      <c r="CC33" s="1190">
        <f>'2025'!R\Max</f>
        <v>0.38921029280688518</v>
      </c>
      <c r="CD33" s="1190">
        <f>'2026'!R\Max</f>
        <v>0.38854249640939731</v>
      </c>
      <c r="CE33" s="1191">
        <f>'2027'!R\Max</f>
        <v>0.39155737779019256</v>
      </c>
      <c r="CF33" s="1193">
        <f>'2028'!R\Max</f>
        <v>0.39125152115084066</v>
      </c>
    </row>
    <row r="34" spans="1:84" s="6" customFormat="1" ht="11.25" x14ac:dyDescent="0.2">
      <c r="A34" s="11">
        <v>43120</v>
      </c>
      <c r="B34" s="379">
        <f>'2022'!Maxi_hp</f>
        <v>12.26188245483894</v>
      </c>
      <c r="C34" s="13">
        <f>'2022'!An_max</f>
        <v>2020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29.586623360216617</v>
      </c>
      <c r="L34" s="744" t="s">
        <v>212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29.542400780745915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29.645208253069171</v>
      </c>
      <c r="AZ34" s="735">
        <f t="shared" si="26"/>
        <v>29.593804516907543</v>
      </c>
      <c r="BA34" s="633">
        <f t="shared" si="21"/>
        <v>0.41444007670462213</v>
      </c>
      <c r="BC34" s="11">
        <v>43120</v>
      </c>
      <c r="BD34" s="289">
        <f>[3]!FeuilCaduc*(1-Persistant)+Persistant</f>
        <v>0.50071000132545829</v>
      </c>
      <c r="BE34" s="290">
        <f>[3]!CroissVégét</f>
        <v>1.6477858914927391E-3</v>
      </c>
      <c r="BF34" s="804">
        <f>1+[3]!Salcycl*Ksac</f>
        <v>1.0000710001325459</v>
      </c>
      <c r="BH34" s="1036">
        <f t="shared" si="22"/>
        <v>1.9857935970710616E-2</v>
      </c>
      <c r="BI34" s="11">
        <v>44216</v>
      </c>
      <c r="BJ34" s="715">
        <v>2.1704986716390173E-3</v>
      </c>
      <c r="BK34" s="715">
        <v>3.3944769904658174E-3</v>
      </c>
      <c r="BL34" s="715">
        <v>6.7451518067189629E-3</v>
      </c>
      <c r="BM34" s="715">
        <v>1.3487363283290527E-2</v>
      </c>
      <c r="BN34" s="715">
        <v>2.6251163438027664E-2</v>
      </c>
      <c r="BO34" s="716">
        <v>4.5932400257266102E-2</v>
      </c>
      <c r="BP34" s="715">
        <v>7.8927051138373477E-2</v>
      </c>
      <c r="BQ34" s="715">
        <v>0.12098105849058095</v>
      </c>
      <c r="BR34" s="715">
        <v>0.17053364337878088</v>
      </c>
      <c r="BS34" s="715">
        <v>0.21749945286974726</v>
      </c>
      <c r="BT34" s="715">
        <v>0.26308200713460628</v>
      </c>
      <c r="BW34" s="1190">
        <f>'2019'!R\Max</f>
        <v>0</v>
      </c>
      <c r="BX34" s="1190">
        <f>'2020'!R\Max</f>
        <v>0.41444007670462213</v>
      </c>
      <c r="BY34" s="1190">
        <f>'2021'!R\Max</f>
        <v>0.23754327229967254</v>
      </c>
      <c r="BZ34" s="1190">
        <f>'2022'!R\Max</f>
        <v>0.2421667415431612</v>
      </c>
      <c r="CA34" s="1190">
        <f>'2023'!R\Max</f>
        <v>0.24180078772284702</v>
      </c>
      <c r="CB34" s="1190">
        <f>'2024'!R\Max</f>
        <v>0.24143481505919256</v>
      </c>
      <c r="CC34" s="1190">
        <f>'2025'!R\Max</f>
        <v>0.2409683699663803</v>
      </c>
      <c r="CD34" s="1190">
        <f>'2026'!R\Max</f>
        <v>0.24050191202010623</v>
      </c>
      <c r="CE34" s="1191">
        <f>'2027'!R\Max</f>
        <v>0.24261041091753358</v>
      </c>
      <c r="CF34" s="1193">
        <f>'2028'!R\Max</f>
        <v>0.24239595333825215</v>
      </c>
    </row>
    <row r="35" spans="1:84" s="6" customFormat="1" ht="11.25" x14ac:dyDescent="0.2">
      <c r="A35" s="11">
        <v>43121</v>
      </c>
      <c r="B35" s="379">
        <f>'2022'!Maxi_hp</f>
        <v>22.880726638611495</v>
      </c>
      <c r="C35" s="13">
        <f>'2022'!An_max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29.902250118127892</v>
      </c>
      <c r="L35" s="744" t="s">
        <v>213</v>
      </c>
      <c r="M35" s="772">
        <f t="shared" ref="M35:AA35" si="42">N29</f>
        <v>263.048</v>
      </c>
      <c r="N35" s="732">
        <f t="shared" si="42"/>
        <v>352.404</v>
      </c>
      <c r="O35" s="732">
        <f t="shared" si="42"/>
        <v>457.82400000000001</v>
      </c>
      <c r="P35" s="732">
        <f t="shared" si="42"/>
        <v>562.24</v>
      </c>
      <c r="Q35" s="732">
        <f t="shared" si="42"/>
        <v>625.49199999999996</v>
      </c>
      <c r="R35" s="732">
        <f t="shared" si="42"/>
        <v>640.55200000000002</v>
      </c>
      <c r="S35" s="732">
        <f t="shared" si="42"/>
        <v>629.50800000000004</v>
      </c>
      <c r="T35" s="732">
        <f t="shared" si="42"/>
        <v>606.41600000000005</v>
      </c>
      <c r="U35" s="732">
        <f t="shared" si="42"/>
        <v>565.25199999999995</v>
      </c>
      <c r="V35" s="732">
        <f t="shared" si="42"/>
        <v>497.98399999999998</v>
      </c>
      <c r="W35" s="732">
        <f t="shared" si="42"/>
        <v>403.608</v>
      </c>
      <c r="X35" s="732">
        <f t="shared" si="42"/>
        <v>308.22800000000001</v>
      </c>
      <c r="Y35" s="732">
        <f t="shared" si="42"/>
        <v>246.98400000000001</v>
      </c>
      <c r="Z35" s="778">
        <f t="shared" si="42"/>
        <v>263.048</v>
      </c>
      <c r="AA35" s="765">
        <f t="shared" si="42"/>
        <v>352.404</v>
      </c>
      <c r="AO35" s="1038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29.877368736679536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29.932449272634653</v>
      </c>
      <c r="AZ35" s="735">
        <f t="shared" si="26"/>
        <v>29.904909004657092</v>
      </c>
      <c r="BA35" s="633">
        <f t="shared" si="21"/>
        <v>0.76518410983193275</v>
      </c>
      <c r="BC35" s="11">
        <v>43121</v>
      </c>
      <c r="BD35" s="289">
        <f>[3]!FeuilCaduc*(1-Persistant)+Persistant</f>
        <v>0.50057214380933035</v>
      </c>
      <c r="BE35" s="290">
        <f>[3]!CroissVégét</f>
        <v>1.7749243659651206E-3</v>
      </c>
      <c r="BF35" s="804">
        <f>1+[3]!Salcycl*Ksac</f>
        <v>1.000057214380933</v>
      </c>
      <c r="BH35" s="1036">
        <f t="shared" si="22"/>
        <v>1.9636983512144799E-2</v>
      </c>
      <c r="BI35" s="11">
        <v>44217</v>
      </c>
      <c r="BJ35" s="715">
        <v>2.2368452921726588E-3</v>
      </c>
      <c r="BK35" s="715">
        <v>3.4131766772564731E-3</v>
      </c>
      <c r="BL35" s="715">
        <v>6.6768887599544845E-3</v>
      </c>
      <c r="BM35" s="715">
        <v>1.331647457269639E-2</v>
      </c>
      <c r="BN35" s="715">
        <v>2.5979969196759725E-2</v>
      </c>
      <c r="BO35" s="716">
        <v>4.5552483089625485E-2</v>
      </c>
      <c r="BP35" s="715">
        <v>7.8291383980146179E-2</v>
      </c>
      <c r="BQ35" s="715">
        <v>0.11998673837698261</v>
      </c>
      <c r="BR35" s="715">
        <v>0.16986673390095311</v>
      </c>
      <c r="BS35" s="715">
        <v>0.2175766243730409</v>
      </c>
      <c r="BT35" s="715">
        <v>0.26430133143648438</v>
      </c>
      <c r="BW35" s="1190">
        <f>'2019'!R\Max</f>
        <v>0</v>
      </c>
      <c r="BX35" s="1190">
        <f>'2020'!R\Max</f>
        <v>0.12045947068360394</v>
      </c>
      <c r="BY35" s="1190">
        <f>'2021'!R\Max</f>
        <v>0.45578133025533624</v>
      </c>
      <c r="BZ35" s="1190">
        <f>'2022'!R\Max</f>
        <v>0.76518410983193275</v>
      </c>
      <c r="CA35" s="1190">
        <f>'2023'!R\Max</f>
        <v>0.76480339727342117</v>
      </c>
      <c r="CB35" s="1190">
        <f>'2024'!R\Max</f>
        <v>0.76442193225796395</v>
      </c>
      <c r="CC35" s="1190">
        <f>'2025'!R\Max</f>
        <v>0.76393501627950577</v>
      </c>
      <c r="CD35" s="1190">
        <f>'2026'!R\Max</f>
        <v>0.76344687160614377</v>
      </c>
      <c r="CE35" s="1191">
        <f>'2027'!R\Max</f>
        <v>0.76564566803741452</v>
      </c>
      <c r="CF35" s="1193">
        <f>'2028'!R\Max</f>
        <v>0.76542270519512223</v>
      </c>
    </row>
    <row r="36" spans="1:84" s="6" customFormat="1" ht="11.25" x14ac:dyDescent="0.2">
      <c r="A36" s="11">
        <v>43122</v>
      </c>
      <c r="B36" s="379">
        <f>'2022'!Maxi_hp</f>
        <v>30.566788013971934</v>
      </c>
      <c r="C36" s="13">
        <f>'2022'!An_max</f>
        <v>2022</v>
      </c>
      <c r="D36" s="1045">
        <f t="shared" si="7"/>
        <v>1.011462059241816</v>
      </c>
      <c r="E36" s="1040">
        <f>O$13/10</f>
        <v>30.220400000000001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30.220399998873472</v>
      </c>
      <c r="L36" s="745" t="s">
        <v>214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30.218760071694852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30.220399999618529</v>
      </c>
      <c r="AZ36" s="735">
        <f t="shared" si="26"/>
        <v>30.219580035656691</v>
      </c>
      <c r="BA36" s="633">
        <f t="shared" si="21"/>
        <v>1.011462059241816</v>
      </c>
      <c r="BC36" s="11">
        <v>43122</v>
      </c>
      <c r="BD36" s="289">
        <f>[3]!FeuilCaduc*(1-Persistant)+Persistant</f>
        <v>0.5004484354017199</v>
      </c>
      <c r="BE36" s="290">
        <f>[3]!CroissVégét</f>
        <v>1.9073621235293117E-3</v>
      </c>
      <c r="BF36" s="804">
        <f>1+[3]!Salcycl*Ksac</f>
        <v>1.0000448435401721</v>
      </c>
      <c r="BH36" s="1036">
        <f t="shared" si="22"/>
        <v>1.9400813605425289E-2</v>
      </c>
      <c r="BI36" s="11">
        <v>44218</v>
      </c>
      <c r="BJ36" s="715">
        <v>2.3008162505959405E-3</v>
      </c>
      <c r="BK36" s="715">
        <v>3.4428168430577538E-3</v>
      </c>
      <c r="BL36" s="715">
        <v>6.6211535826210012E-3</v>
      </c>
      <c r="BM36" s="715">
        <v>1.3146069573162123E-2</v>
      </c>
      <c r="BN36" s="715">
        <v>2.5677800512280014E-2</v>
      </c>
      <c r="BO36" s="716">
        <v>4.5146712365456865E-2</v>
      </c>
      <c r="BP36" s="715">
        <v>7.7631990843944371E-2</v>
      </c>
      <c r="BQ36" s="715">
        <v>0.11892985705665264</v>
      </c>
      <c r="BR36" s="715">
        <v>0.16906619746494037</v>
      </c>
      <c r="BS36" s="715">
        <v>0.21746541009968748</v>
      </c>
      <c r="BT36" s="715">
        <v>0.26533446287884638</v>
      </c>
      <c r="BW36" s="1190">
        <f>'2019'!R\Max</f>
        <v>0</v>
      </c>
      <c r="BX36" s="1190">
        <f>'2020'!R\Max</f>
        <v>3.9562286454627983E-2</v>
      </c>
      <c r="BY36" s="1190">
        <f>'2021'!R\Max</f>
        <v>0.21731922497728376</v>
      </c>
      <c r="BZ36" s="1190">
        <f>'2022'!R\Max</f>
        <v>1.011462059241816</v>
      </c>
      <c r="CA36" s="1190">
        <f>'2023'!R\Max</f>
        <v>1.011462059241816</v>
      </c>
      <c r="CB36" s="1190">
        <f>'2024'!R\Max</f>
        <v>1.011462059241816</v>
      </c>
      <c r="CC36" s="1190">
        <f>'2025'!R\Max</f>
        <v>1.011462059241816</v>
      </c>
      <c r="CD36" s="1190">
        <f>'2026'!R\Max</f>
        <v>1.0114620592418158</v>
      </c>
      <c r="CE36" s="1191">
        <f>'2027'!R\Max</f>
        <v>1.011462059241816</v>
      </c>
      <c r="CF36" s="1193">
        <f>'2028'!R\Max</f>
        <v>1.011462059241816</v>
      </c>
    </row>
    <row r="37" spans="1:84" s="6" customFormat="1" ht="11.25" x14ac:dyDescent="0.2">
      <c r="A37" s="11">
        <v>43123</v>
      </c>
      <c r="B37" s="379">
        <f>'2022'!Maxi_hp</f>
        <v>30.702667936607366</v>
      </c>
      <c r="C37" s="13">
        <f>'2022'!An_max</f>
        <v>2022</v>
      </c>
      <c r="D37" s="1045">
        <f t="shared" si="7"/>
        <v>1.0051787273423882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30.544486369884442</v>
      </c>
      <c r="L37" s="745" t="s">
        <v>215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30.565802835540048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30.513656414616189</v>
      </c>
      <c r="AZ37" s="735">
        <f t="shared" si="26"/>
        <v>30.539729625078117</v>
      </c>
      <c r="BA37" s="633">
        <f t="shared" si="21"/>
        <v>1.0051787273423882</v>
      </c>
      <c r="BC37" s="11">
        <v>43123</v>
      </c>
      <c r="BD37" s="289">
        <f>[3]!FeuilCaduc*(1-Persistant)+Persistant</f>
        <v>0.50033931057805758</v>
      </c>
      <c r="BE37" s="290">
        <f>[3]!CroissVégét</f>
        <v>2.045318545083899E-3</v>
      </c>
      <c r="BF37" s="804">
        <f>1+[3]!Salcycl*Ksac</f>
        <v>1.0000339310578057</v>
      </c>
      <c r="BH37" s="1036">
        <f t="shared" si="22"/>
        <v>1.9149461634684187E-2</v>
      </c>
      <c r="BI37" s="11">
        <v>44219</v>
      </c>
      <c r="BJ37" s="715">
        <v>2.362408778067134E-3</v>
      </c>
      <c r="BK37" s="715">
        <v>3.4834044037884708E-3</v>
      </c>
      <c r="BL37" s="715">
        <v>6.5779641521822585E-3</v>
      </c>
      <c r="BM37" s="715">
        <v>1.2976177659738596E-2</v>
      </c>
      <c r="BN37" s="715">
        <v>2.5344698799171114E-2</v>
      </c>
      <c r="BO37" s="716">
        <v>4.4715164028151115E-2</v>
      </c>
      <c r="BP37" s="715">
        <v>7.6949008428125229E-2</v>
      </c>
      <c r="BQ37" s="715">
        <v>0.11781061609107983</v>
      </c>
      <c r="BR37" s="715">
        <v>0.16813225011278457</v>
      </c>
      <c r="BS37" s="715">
        <v>0.21716601374120437</v>
      </c>
      <c r="BT37" s="715">
        <v>0.26618158336835523</v>
      </c>
      <c r="BW37" s="1190">
        <f>'2019'!R\Max</f>
        <v>0</v>
      </c>
      <c r="BX37" s="1190">
        <f>'2020'!R\Max</f>
        <v>0.46281564817968263</v>
      </c>
      <c r="BY37" s="1190">
        <f>'2021'!R\Max</f>
        <v>0.29050413385128526</v>
      </c>
      <c r="BZ37" s="1190">
        <f>'2022'!R\Max</f>
        <v>1.0051787273423882</v>
      </c>
      <c r="CA37" s="1190">
        <f>'2023'!R\Max</f>
        <v>1.0051787273423884</v>
      </c>
      <c r="CB37" s="1190">
        <f>'2024'!R\Max</f>
        <v>1.0051787273423884</v>
      </c>
      <c r="CC37" s="1190">
        <f>'2025'!R\Max</f>
        <v>1.0051787273423882</v>
      </c>
      <c r="CD37" s="1190">
        <f>'2026'!R\Max</f>
        <v>1.0051787273423884</v>
      </c>
      <c r="CE37" s="1191">
        <f>'2027'!R\Max</f>
        <v>1.0051787273423884</v>
      </c>
      <c r="CF37" s="1193">
        <f>'2028'!R\Max</f>
        <v>1.0051787273423884</v>
      </c>
    </row>
    <row r="38" spans="1:84" s="6" customFormat="1" ht="11.25" x14ac:dyDescent="0.2">
      <c r="A38" s="11">
        <v>43124</v>
      </c>
      <c r="B38" s="379">
        <f>'2022'!Maxi_hp</f>
        <v>31.29840811546141</v>
      </c>
      <c r="C38" s="13">
        <f>'2022'!An_max</f>
        <v>2022</v>
      </c>
      <c r="D38" s="1045">
        <f t="shared" si="7"/>
        <v>1.0136207234082972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30.877829737163019</v>
      </c>
      <c r="L38" s="745" t="s">
        <v>216</v>
      </c>
      <c r="M38" s="729">
        <f t="shared" ref="M38:AA38" si="45">(y.1lg-y.2lg-b.lg*(x.1lg-x.2lg))/D2x12Lg</f>
        <v>4.809152190821489E-2</v>
      </c>
      <c r="N38" s="729">
        <f t="shared" si="45"/>
        <v>4.626938034742456E-2</v>
      </c>
      <c r="O38" s="729">
        <f t="shared" si="45"/>
        <v>1.0244897959182193E-2</v>
      </c>
      <c r="P38" s="729">
        <f t="shared" si="45"/>
        <v>-6.403061224489944E-4</v>
      </c>
      <c r="Q38" s="729">
        <f t="shared" si="45"/>
        <v>-2.6252551020411342E-2</v>
      </c>
      <c r="R38" s="729">
        <f t="shared" si="45"/>
        <v>-3.073469387754886E-2</v>
      </c>
      <c r="S38" s="729">
        <f t="shared" si="45"/>
        <v>-1.6647959183673802E-2</v>
      </c>
      <c r="T38" s="729">
        <f t="shared" si="45"/>
        <v>-7.6836734693881128E-3</v>
      </c>
      <c r="U38" s="729">
        <f t="shared" si="45"/>
        <v>-1.1525510204083243E-2</v>
      </c>
      <c r="V38" s="729">
        <f t="shared" si="45"/>
        <v>-1.6647959183675835E-2</v>
      </c>
      <c r="W38" s="729">
        <f t="shared" si="45"/>
        <v>-1.7288265306123093E-2</v>
      </c>
      <c r="X38" s="729">
        <f t="shared" si="45"/>
        <v>-6.4030612244909166E-4</v>
      </c>
      <c r="Y38" s="729">
        <f t="shared" si="45"/>
        <v>2.17704081632633E-2</v>
      </c>
      <c r="Z38" s="729">
        <f t="shared" si="45"/>
        <v>4.8091521908223703E-2</v>
      </c>
      <c r="AA38" s="729">
        <f t="shared" si="45"/>
        <v>4.6269380347416234E-2</v>
      </c>
      <c r="AO38" s="1038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30.917725075355598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30.816836105287074</v>
      </c>
      <c r="AZ38" s="735">
        <f t="shared" si="26"/>
        <v>30.867280590321336</v>
      </c>
      <c r="BA38" s="633">
        <f t="shared" si="21"/>
        <v>1.0136207234082972</v>
      </c>
      <c r="BC38" s="11">
        <v>43124</v>
      </c>
      <c r="BD38" s="289">
        <f>[3]!FeuilCaduc*(1-Persistant)+Persistant</f>
        <v>0.50024515707010664</v>
      </c>
      <c r="BE38" s="290">
        <f>[3]!CroissVégét</f>
        <v>2.1890219655428525E-3</v>
      </c>
      <c r="BF38" s="804">
        <f>1+[3]!Salcycl*Ksac</f>
        <v>1.0000245157070107</v>
      </c>
      <c r="BH38" s="1036">
        <f t="shared" si="22"/>
        <v>1.8885882938949727E-2</v>
      </c>
      <c r="BI38" s="11">
        <v>44220</v>
      </c>
      <c r="BJ38" s="715">
        <v>2.4134462260325131E-3</v>
      </c>
      <c r="BK38" s="715">
        <v>3.5232440002128471E-3</v>
      </c>
      <c r="BL38" s="715">
        <v>6.5407165656227034E-3</v>
      </c>
      <c r="BM38" s="715">
        <v>1.2806427708869526E-2</v>
      </c>
      <c r="BN38" s="715">
        <v>2.4986957688481113E-2</v>
      </c>
      <c r="BO38" s="716">
        <v>4.426196447951835E-2</v>
      </c>
      <c r="BP38" s="715">
        <v>7.6225866259871697E-2</v>
      </c>
      <c r="BQ38" s="715">
        <v>0.11661095684941351</v>
      </c>
      <c r="BR38" s="715">
        <v>0.16700626657908557</v>
      </c>
      <c r="BS38" s="715">
        <v>0.21661293450570776</v>
      </c>
      <c r="BT38" s="715">
        <v>0.26676696898717295</v>
      </c>
      <c r="BW38" s="1190">
        <f>'2019'!R\Max</f>
        <v>0</v>
      </c>
      <c r="BX38" s="1190">
        <f>'2020'!R\Max</f>
        <v>0.54526380894016457</v>
      </c>
      <c r="BY38" s="1190">
        <f>'2021'!R\Max</f>
        <v>0.55059069356081036</v>
      </c>
      <c r="BZ38" s="1190">
        <f>'2022'!R\Max</f>
        <v>1.0136207234082972</v>
      </c>
      <c r="CA38" s="1190">
        <f>'2023'!R\Max</f>
        <v>1.0136207234082972</v>
      </c>
      <c r="CB38" s="1190">
        <f>'2024'!R\Max</f>
        <v>1.0136207234082972</v>
      </c>
      <c r="CC38" s="1190">
        <f>'2025'!R\Max</f>
        <v>1.0136207234082968</v>
      </c>
      <c r="CD38" s="1190">
        <f>'2026'!R\Max</f>
        <v>1.013620723408297</v>
      </c>
      <c r="CE38" s="1191">
        <f>'2027'!R\Max</f>
        <v>1.013620723408297</v>
      </c>
      <c r="CF38" s="1193">
        <f>'2028'!R\Max</f>
        <v>1.0136207234082972</v>
      </c>
    </row>
    <row r="39" spans="1:84" s="6" customFormat="1" ht="11.25" x14ac:dyDescent="0.2">
      <c r="A39" s="11">
        <v>43125</v>
      </c>
      <c r="B39" s="379">
        <f>'2022'!Maxi_hp</f>
        <v>30.261651120262506</v>
      </c>
      <c r="C39" s="13">
        <f>'2022'!An_max</f>
        <v>2022</v>
      </c>
      <c r="D39" s="1045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31.2194422006474</v>
      </c>
      <c r="L39" s="745" t="s">
        <v>217</v>
      </c>
      <c r="M39" s="729">
        <f t="shared" ref="M39:AA39" si="46">(y.2lg-y.3lg-(y.1lg-y.2lg)*D2x23Lg/D2x12Lg)/(x.2lg-x.3lg)/(1-(x.2lg+x.3lg)/(x.1lg+x.2lg))</f>
        <v>-4144.3100676688346</v>
      </c>
      <c r="N39" s="729">
        <f t="shared" si="46"/>
        <v>-3987.2651529689979</v>
      </c>
      <c r="O39" s="729">
        <f t="shared" si="46"/>
        <v>-880.3696938774234</v>
      </c>
      <c r="P39" s="729">
        <f t="shared" si="46"/>
        <v>59.023418367348221</v>
      </c>
      <c r="Q39" s="729">
        <f t="shared" si="46"/>
        <v>2270.7944387757848</v>
      </c>
      <c r="R39" s="729">
        <f t="shared" si="46"/>
        <v>2658.1053673467518</v>
      </c>
      <c r="S39" s="729">
        <f t="shared" si="46"/>
        <v>1440.0535918367634</v>
      </c>
      <c r="T39" s="729">
        <f t="shared" si="46"/>
        <v>664.42773469390852</v>
      </c>
      <c r="U39" s="729">
        <f t="shared" si="46"/>
        <v>997.05395918381294</v>
      </c>
      <c r="V39" s="729">
        <f t="shared" si="46"/>
        <v>1440.8424489797969</v>
      </c>
      <c r="W39" s="729">
        <f t="shared" si="46"/>
        <v>1496.3518673469948</v>
      </c>
      <c r="X39" s="729">
        <f t="shared" si="46"/>
        <v>52.174704081642368</v>
      </c>
      <c r="Y39" s="729">
        <f t="shared" si="46"/>
        <v>-1893.1649387753362</v>
      </c>
      <c r="Z39" s="729">
        <f t="shared" si="46"/>
        <v>-4179.4168786625969</v>
      </c>
      <c r="AA39" s="729">
        <f t="shared" si="46"/>
        <v>-4021.0418006218938</v>
      </c>
      <c r="AO39" s="1038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31.273754835900455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31.129413621184153</v>
      </c>
      <c r="AZ39" s="735">
        <f t="shared" si="26"/>
        <v>31.201584228542302</v>
      </c>
      <c r="BA39" s="633">
        <f t="shared" si="21"/>
        <v>0.96932068567307617</v>
      </c>
      <c r="BC39" s="11">
        <v>43125</v>
      </c>
      <c r="BD39" s="289">
        <f>[3]!FeuilCaduc*(1-Persistant)+Persistant</f>
        <v>0.50016630183211808</v>
      </c>
      <c r="BE39" s="290">
        <f>[3]!CroissVégét</f>
        <v>2.3387100283593187E-3</v>
      </c>
      <c r="BF39" s="804">
        <f>1+[3]!Salcycl*Ksac</f>
        <v>1.0000166301832119</v>
      </c>
      <c r="BH39" s="1036">
        <f t="shared" si="22"/>
        <v>1.862939841294832E-2</v>
      </c>
      <c r="BI39" s="11">
        <v>44221</v>
      </c>
      <c r="BJ39" s="715">
        <v>2.4501488790861239E-3</v>
      </c>
      <c r="BK39" s="715">
        <v>3.5490443163783279E-3</v>
      </c>
      <c r="BL39" s="715">
        <v>6.5064070118107525E-3</v>
      </c>
      <c r="BM39" s="715">
        <v>1.2649783684170588E-2</v>
      </c>
      <c r="BN39" s="715">
        <v>2.4630277612315413E-2</v>
      </c>
      <c r="BO39" s="716">
        <v>4.3780389730538723E-2</v>
      </c>
      <c r="BP39" s="715">
        <v>7.5428925569949054E-2</v>
      </c>
      <c r="BQ39" s="715">
        <v>0.11534019917361628</v>
      </c>
      <c r="BR39" s="715">
        <v>0.16574281325379928</v>
      </c>
      <c r="BS39" s="715">
        <v>0.21589001675381433</v>
      </c>
      <c r="BT39" s="715">
        <v>0.26712978736589205</v>
      </c>
      <c r="BW39" s="1190">
        <f>'2019'!R\Max</f>
        <v>0</v>
      </c>
      <c r="BX39" s="1190">
        <f>'2020'!R\Max</f>
        <v>0.54256303155492536</v>
      </c>
      <c r="BY39" s="1190">
        <f>'2021'!R\Max</f>
        <v>0.2775158932115166</v>
      </c>
      <c r="BZ39" s="1190">
        <f>'2022'!R\Max</f>
        <v>0.96932068567307617</v>
      </c>
      <c r="CA39" s="1190">
        <f>'2023'!R\Max</f>
        <v>0.96926237699013973</v>
      </c>
      <c r="CB39" s="1190">
        <f>'2024'!R\Max</f>
        <v>0.96920390630731146</v>
      </c>
      <c r="CC39" s="1190">
        <f>'2025'!R\Max</f>
        <v>0.96912996140061713</v>
      </c>
      <c r="CD39" s="1190">
        <f>'2026'!R\Max</f>
        <v>0.96905575936732458</v>
      </c>
      <c r="CE39" s="1191">
        <f>'2027'!R\Max</f>
        <v>0.96939216349220791</v>
      </c>
      <c r="CF39" s="1193">
        <f>'2028'!R\Max</f>
        <v>0.96935766426289371</v>
      </c>
    </row>
    <row r="40" spans="1:84" s="6" customFormat="1" ht="11.25" x14ac:dyDescent="0.2">
      <c r="A40" s="11">
        <v>43126</v>
      </c>
      <c r="B40" s="379">
        <f>'2022'!Maxi_hp</f>
        <v>30.999537323642969</v>
      </c>
      <c r="C40" s="13">
        <f>'2022'!An_max</f>
        <v>2022</v>
      </c>
      <c r="D40" s="1045">
        <f t="shared" si="7"/>
        <v>0.98198199174056688</v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31.568335859903264</v>
      </c>
      <c r="L40" s="745" t="s">
        <v>218</v>
      </c>
      <c r="M40" s="729">
        <f t="shared" ref="M40:AA40" si="47">(y.1lg+y.2lg+y.3lg-a.lg*(x.3lg*x.3lg+x.2lg*x.2lg+x.1lg*x.1lg)-b.lg*(x.3lg+x.2lg+x.1lg))/3</f>
        <v>89284722.441783741</v>
      </c>
      <c r="N40" s="729">
        <f t="shared" si="47"/>
        <v>85900915.309080288</v>
      </c>
      <c r="O40" s="729">
        <f t="shared" si="47"/>
        <v>18913149.37640541</v>
      </c>
      <c r="P40" s="729">
        <f t="shared" si="47"/>
        <v>-1354254.8867755381</v>
      </c>
      <c r="Q40" s="729">
        <f t="shared" si="47"/>
        <v>-49104174.426373281</v>
      </c>
      <c r="R40" s="729">
        <f t="shared" si="47"/>
        <v>-57471251.537791871</v>
      </c>
      <c r="S40" s="729">
        <f t="shared" si="47"/>
        <v>-31140629.067592457</v>
      </c>
      <c r="T40" s="729">
        <f t="shared" si="47"/>
        <v>-14363067.908735359</v>
      </c>
      <c r="U40" s="729">
        <f t="shared" si="47"/>
        <v>-21562761.784819346</v>
      </c>
      <c r="V40" s="729">
        <f t="shared" si="47"/>
        <v>-31174775.681310564</v>
      </c>
      <c r="W40" s="729">
        <f t="shared" si="47"/>
        <v>-32377831.180082854</v>
      </c>
      <c r="X40" s="729">
        <f t="shared" si="47"/>
        <v>-1057964.3033471494</v>
      </c>
      <c r="Y40" s="729">
        <f t="shared" si="47"/>
        <v>41157846.893792145</v>
      </c>
      <c r="Z40" s="729">
        <f t="shared" si="47"/>
        <v>90803802.609505698</v>
      </c>
      <c r="AA40" s="729">
        <f t="shared" si="47"/>
        <v>87362431.328095019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31.633120163157582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31.45086350985137</v>
      </c>
      <c r="AZ40" s="735">
        <f t="shared" si="26"/>
        <v>31.541991836504476</v>
      </c>
      <c r="BA40" s="633">
        <f t="shared" si="21"/>
        <v>0.98198199174056688</v>
      </c>
      <c r="BC40" s="11">
        <v>43126</v>
      </c>
      <c r="BD40" s="289">
        <f>[3]!FeuilCaduc*(1-Persistant)+Persistant</f>
        <v>0.50010299867905028</v>
      </c>
      <c r="BE40" s="290">
        <f>[3]!CroissVégét</f>
        <v>2.4946300531446561E-3</v>
      </c>
      <c r="BF40" s="804">
        <f>1+[3]!Salcycl*Ksac</f>
        <v>1.000010299867905</v>
      </c>
      <c r="BH40" s="1036">
        <f t="shared" si="22"/>
        <v>1.8380048975067051E-2</v>
      </c>
      <c r="BI40" s="11">
        <v>44222</v>
      </c>
      <c r="BJ40" s="715">
        <v>2.4725142663558591E-3</v>
      </c>
      <c r="BK40" s="715">
        <v>3.5608050061107163E-3</v>
      </c>
      <c r="BL40" s="715">
        <v>6.4750464785831184E-3</v>
      </c>
      <c r="BM40" s="715">
        <v>1.2506274194424927E-2</v>
      </c>
      <c r="BN40" s="715">
        <v>2.427471184243998E-2</v>
      </c>
      <c r="BO40" s="716">
        <v>4.3270518117411061E-2</v>
      </c>
      <c r="BP40" s="715">
        <v>7.4558313578696689E-2</v>
      </c>
      <c r="BQ40" s="715">
        <v>0.11399855040780148</v>
      </c>
      <c r="BR40" s="715">
        <v>0.16434214527606814</v>
      </c>
      <c r="BS40" s="715">
        <v>0.21499753802210289</v>
      </c>
      <c r="BT40" s="715">
        <v>0.26727030150975212</v>
      </c>
      <c r="BW40" s="1190">
        <f>'2019'!R\Max</f>
        <v>0</v>
      </c>
      <c r="BX40" s="1190">
        <f>'2020'!R\Max</f>
        <v>0.22159870085292735</v>
      </c>
      <c r="BY40" s="1190">
        <f>'2021'!R\Max</f>
        <v>0.61224865652444882</v>
      </c>
      <c r="BZ40" s="1190">
        <f>'2022'!R\Max</f>
        <v>0.98198199174056688</v>
      </c>
      <c r="CA40" s="1190">
        <f>'2023'!R\Max</f>
        <v>0.98194807950934826</v>
      </c>
      <c r="CB40" s="1190">
        <f>'2024'!R\Max</f>
        <v>0.9819140720457159</v>
      </c>
      <c r="CC40" s="1190">
        <f>'2025'!R\Max</f>
        <v>0.98187108437304604</v>
      </c>
      <c r="CD40" s="1190">
        <f>'2026'!R\Max</f>
        <v>0.98182794566537523</v>
      </c>
      <c r="CE40" s="1191">
        <f>'2027'!R\Max</f>
        <v>0.98202370091968538</v>
      </c>
      <c r="CF40" s="1193">
        <f>'2028'!R\Max</f>
        <v>0.98200357323253684</v>
      </c>
    </row>
    <row r="41" spans="1:84" s="6" customFormat="1" ht="11.25" x14ac:dyDescent="0.2">
      <c r="A41" s="11">
        <v>43127</v>
      </c>
      <c r="B41" s="379">
        <f>'2022'!Maxi_hp</f>
        <v>29.617485688648788</v>
      </c>
      <c r="C41" s="13">
        <f>'2022'!An_max</f>
        <v>2022</v>
      </c>
      <c r="D41" s="1045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31.923522812540511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31.995049107354134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31.78066031963764</v>
      </c>
      <c r="AZ41" s="735">
        <f t="shared" si="26"/>
        <v>31.887854713495887</v>
      </c>
      <c r="BA41" s="633">
        <f t="shared" si="21"/>
        <v>0.92776370147389109</v>
      </c>
      <c r="BC41" s="11">
        <v>43127</v>
      </c>
      <c r="BD41" s="289">
        <f>[3]!FeuilCaduc*(1-Persistant)+Persistant</f>
        <v>0.50005541768942652</v>
      </c>
      <c r="BE41" s="290">
        <f>[3]!CroissVégét</f>
        <v>2.6570394167881404E-3</v>
      </c>
      <c r="BF41" s="804">
        <f>1+[3]!Salcycl*Ksac</f>
        <v>1.0000055417689426</v>
      </c>
      <c r="BH41" s="1036">
        <f t="shared" si="22"/>
        <v>1.8137873381545565E-2</v>
      </c>
      <c r="BI41" s="11">
        <v>44223</v>
      </c>
      <c r="BJ41" s="715">
        <v>2.4805417541164799E-3</v>
      </c>
      <c r="BK41" s="715">
        <v>3.5585274683143614E-3</v>
      </c>
      <c r="BL41" s="715">
        <v>6.4466454230041013E-3</v>
      </c>
      <c r="BM41" s="715">
        <v>1.2375925508613016E-2</v>
      </c>
      <c r="BN41" s="715">
        <v>2.3920311666760317E-2</v>
      </c>
      <c r="BO41" s="716">
        <v>4.2732428719313903E-2</v>
      </c>
      <c r="BP41" s="715">
        <v>7.3614161835228453E-2</v>
      </c>
      <c r="BQ41" s="715">
        <v>0.11258621941988507</v>
      </c>
      <c r="BR41" s="715">
        <v>0.16280452688838368</v>
      </c>
      <c r="BS41" s="715">
        <v>0.21393579127298198</v>
      </c>
      <c r="BT41" s="715">
        <v>0.26718880126548711</v>
      </c>
      <c r="BW41" s="1190">
        <f>'2019'!R\Max</f>
        <v>0</v>
      </c>
      <c r="BX41" s="1190">
        <f>'2020'!R\Max</f>
        <v>0.35876887548096664</v>
      </c>
      <c r="BY41" s="1190">
        <f>'2021'!R\Max</f>
        <v>0.18309077702421564</v>
      </c>
      <c r="BZ41" s="1190">
        <f>'2022'!R\Max</f>
        <v>0.92776370147389109</v>
      </c>
      <c r="CA41" s="1190">
        <f>'2023'!R\Max</f>
        <v>0.92763835985590359</v>
      </c>
      <c r="CB41" s="1190">
        <f>'2024'!R\Max</f>
        <v>0.92751269423313554</v>
      </c>
      <c r="CC41" s="1190">
        <f>'2025'!R\Max</f>
        <v>0.92735372097525148</v>
      </c>
      <c r="CD41" s="1190">
        <f>'2026'!R\Max</f>
        <v>0.92719423359876485</v>
      </c>
      <c r="CE41" s="1191">
        <f>'2027'!R\Max</f>
        <v>0.92791841334353953</v>
      </c>
      <c r="CF41" s="1193">
        <f>'2028'!R\Max</f>
        <v>0.92784376015645764</v>
      </c>
    </row>
    <row r="42" spans="1:84" s="6" customFormat="1" ht="11.25" x14ac:dyDescent="0.2">
      <c r="A42" s="11">
        <v>43128</v>
      </c>
      <c r="B42" s="379">
        <f>'2022'!Maxi_hp</f>
        <v>18.471919028830147</v>
      </c>
      <c r="C42" s="13">
        <f>'2022'!An_max</f>
        <v>2021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32.284015160160401</v>
      </c>
      <c r="M42" s="6" t="s">
        <v>228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32.358769713342191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32.118278602557254</v>
      </c>
      <c r="AZ42" s="735">
        <f t="shared" si="26"/>
        <v>32.238524157949726</v>
      </c>
      <c r="BA42" s="633">
        <f t="shared" si="21"/>
        <v>0.57216919695989787</v>
      </c>
      <c r="BC42" s="11">
        <v>43128</v>
      </c>
      <c r="BD42" s="289">
        <f>[3]!FeuilCaduc*(1-Persistant)+Persistant</f>
        <v>0.50002363644501702</v>
      </c>
      <c r="BE42" s="290">
        <f>[3]!CroissVégét</f>
        <v>2.826205948480045E-3</v>
      </c>
      <c r="BF42" s="804">
        <f>1+[3]!Salcycl*Ksac</f>
        <v>1.0000023636445017</v>
      </c>
      <c r="BH42" s="1036">
        <f t="shared" si="22"/>
        <v>1.7902908320508629E-2</v>
      </c>
      <c r="BI42" s="11">
        <v>44224</v>
      </c>
      <c r="BJ42" s="715">
        <v>2.4742323670643666E-3</v>
      </c>
      <c r="BK42" s="715">
        <v>3.5422146722458602E-3</v>
      </c>
      <c r="BL42" s="715">
        <v>6.4212138098289273E-3</v>
      </c>
      <c r="BM42" s="715">
        <v>1.2258761723370143E-2</v>
      </c>
      <c r="BN42" s="715">
        <v>2.356712640966804E-2</v>
      </c>
      <c r="BO42" s="716">
        <v>4.2166201015790682E-2</v>
      </c>
      <c r="BP42" s="715">
        <v>7.2596605315556381E-2</v>
      </c>
      <c r="BQ42" s="715">
        <v>0.1111034157446899</v>
      </c>
      <c r="BR42" s="715">
        <v>0.16113022976242039</v>
      </c>
      <c r="BS42" s="715">
        <v>0.21270508282708347</v>
      </c>
      <c r="BT42" s="715">
        <v>0.26688560060462901</v>
      </c>
      <c r="BW42" s="1190">
        <f>'2019'!R\Max</f>
        <v>0</v>
      </c>
      <c r="BX42" s="1190">
        <f>'2020'!R\Max</f>
        <v>0.56652696426070193</v>
      </c>
      <c r="BY42" s="1190">
        <f>'2021'!R\Max</f>
        <v>0.57216919695989787</v>
      </c>
      <c r="BZ42" s="1190">
        <f>'2022'!R\Max</f>
        <v>0.14471864807665361</v>
      </c>
      <c r="CA42" s="1190">
        <f>'2023'!R\Max</f>
        <v>0.14453411182310366</v>
      </c>
      <c r="CB42" s="1190">
        <f>'2024'!R\Max</f>
        <v>0.14434952411890972</v>
      </c>
      <c r="CC42" s="1190">
        <f>'2025'!R\Max</f>
        <v>0.1441160108713449</v>
      </c>
      <c r="CD42" s="1190">
        <f>'2026'!R\Max</f>
        <v>0.14388242425740871</v>
      </c>
      <c r="CE42" s="1191">
        <f>'2027'!R\Max</f>
        <v>0.14494777438140277</v>
      </c>
      <c r="CF42" s="1193">
        <f>'2028'!R\Max</f>
        <v>0.14483714884810162</v>
      </c>
    </row>
    <row r="43" spans="1:84" s="6" customFormat="1" ht="11.25" x14ac:dyDescent="0.2">
      <c r="A43" s="11">
        <v>43129</v>
      </c>
      <c r="B43" s="379">
        <f>'2022'!Maxi_hp</f>
        <v>19.775703807846384</v>
      </c>
      <c r="C43" s="13">
        <f>'2022'!An_max</f>
        <v>2020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32.648824999947102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32.72351002600044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32.463192904973404</v>
      </c>
      <c r="AZ43" s="735">
        <f t="shared" si="26"/>
        <v>32.593351465486919</v>
      </c>
      <c r="BA43" s="633">
        <f t="shared" si="21"/>
        <v>0.60570951046104793</v>
      </c>
      <c r="BC43" s="11">
        <v>43129</v>
      </c>
      <c r="BD43" s="289">
        <f>[3]!FeuilCaduc*(1-Persistant)+Persistant</f>
        <v>0.50000763315884711</v>
      </c>
      <c r="BE43" s="290">
        <f>[3]!CroissVégét</f>
        <v>3.0024083390505912E-3</v>
      </c>
      <c r="BF43" s="804">
        <f>1+[3]!Salcycl*Ksac</f>
        <v>1.0000007633158847</v>
      </c>
      <c r="BH43" s="1036">
        <f t="shared" si="22"/>
        <v>1.7675188506394542E-2</v>
      </c>
      <c r="BI43" s="11">
        <v>44225</v>
      </c>
      <c r="BJ43" s="715">
        <v>2.4535886096455073E-3</v>
      </c>
      <c r="BK43" s="715">
        <v>3.5118709828644394E-3</v>
      </c>
      <c r="BL43" s="715">
        <v>6.398761150106673E-3</v>
      </c>
      <c r="BM43" s="715">
        <v>1.2154804930713442E-2</v>
      </c>
      <c r="BN43" s="715">
        <v>2.3215203452909977E-2</v>
      </c>
      <c r="BO43" s="716">
        <v>4.157191454506616E-2</v>
      </c>
      <c r="BP43" s="715">
        <v>7.1505781522318845E-2</v>
      </c>
      <c r="BQ43" s="715">
        <v>0.10955034872950332</v>
      </c>
      <c r="BR43" s="715">
        <v>0.15931953132840712</v>
      </c>
      <c r="BS43" s="715">
        <v>0.21130573030029021</v>
      </c>
      <c r="BT43" s="715">
        <v>0.2663610349125749</v>
      </c>
      <c r="BW43" s="1190">
        <f>'2019'!R\Max</f>
        <v>0</v>
      </c>
      <c r="BX43" s="1190">
        <f>'2020'!R\Max</f>
        <v>0.60570951046104793</v>
      </c>
      <c r="BY43" s="1190">
        <f>'2021'!R\Max</f>
        <v>0.50818827243542608</v>
      </c>
      <c r="BZ43" s="1190">
        <f>'2022'!R\Max</f>
        <v>0.30205726217124096</v>
      </c>
      <c r="CA43" s="1190">
        <f>'2023'!R\Max</f>
        <v>0.30168406314937363</v>
      </c>
      <c r="CB43" s="1190">
        <f>'2024'!R\Max</f>
        <v>0.30131073657901691</v>
      </c>
      <c r="CC43" s="1190">
        <f>'2025'!R\Max</f>
        <v>0.30083640829190944</v>
      </c>
      <c r="CD43" s="1190">
        <f>'2026'!R\Max</f>
        <v>0.30036189507042499</v>
      </c>
      <c r="CE43" s="1191">
        <f>'2027'!R\Max</f>
        <v>0.30252216028843054</v>
      </c>
      <c r="CF43" s="1193">
        <f>'2028'!R\Max</f>
        <v>0.30229773644709074</v>
      </c>
    </row>
    <row r="44" spans="1:84" s="6" customFormat="1" ht="11.25" x14ac:dyDescent="0.2">
      <c r="A44" s="11">
        <v>43130</v>
      </c>
      <c r="B44" s="379">
        <f>'2022'!Maxi_hp</f>
        <v>11.80160840972839</v>
      </c>
      <c r="C44" s="13">
        <f>'2022'!An_max</f>
        <v>2020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33.01696443089417</v>
      </c>
      <c r="L44" s="763">
        <f>AK13</f>
        <v>271.08</v>
      </c>
      <c r="M44" s="763">
        <f>M13</f>
        <v>241.964</v>
      </c>
      <c r="N44" s="753">
        <f>O13</f>
        <v>302.20400000000001</v>
      </c>
      <c r="O44" s="753">
        <f>Q13</f>
        <v>404.61200000000002</v>
      </c>
      <c r="P44" s="753">
        <f>S13</f>
        <v>512.04</v>
      </c>
      <c r="Q44" s="753">
        <f>U13</f>
        <v>600.39200000000005</v>
      </c>
      <c r="R44" s="753">
        <f>W13</f>
        <v>637.54</v>
      </c>
      <c r="S44" s="753">
        <f>Y13</f>
        <v>636.53600000000006</v>
      </c>
      <c r="T44" s="753">
        <f>AA13</f>
        <v>619.46799999999996</v>
      </c>
      <c r="U44" s="753">
        <f>AC13</f>
        <v>588.34400000000005</v>
      </c>
      <c r="V44" s="753">
        <f>AE13</f>
        <v>535.13199999999995</v>
      </c>
      <c r="W44" s="753">
        <f>AG13</f>
        <v>453.80799999999999</v>
      </c>
      <c r="X44" s="753">
        <f>AI13</f>
        <v>353.40800000000002</v>
      </c>
      <c r="Y44" s="753">
        <f>AK13</f>
        <v>271.08</v>
      </c>
      <c r="Z44" s="753">
        <f>AM13</f>
        <v>241.964</v>
      </c>
      <c r="AA44" s="761">
        <f>AO13</f>
        <v>302.20400000000001</v>
      </c>
      <c r="AB44" s="761">
        <f>Q13</f>
        <v>404.61200000000002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33.088498096194648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32.814877776402447</v>
      </c>
      <c r="AZ44" s="735">
        <f t="shared" si="26"/>
        <v>32.951687936298548</v>
      </c>
      <c r="BA44" s="633">
        <f t="shared" si="21"/>
        <v>0.35744074639052992</v>
      </c>
      <c r="BC44" s="11">
        <v>43130</v>
      </c>
      <c r="BD44" s="289">
        <f>[3]!FeuilCaduc*(1-Persistant)+Persistant</f>
        <v>0.50000728172226783</v>
      </c>
      <c r="BE44" s="290">
        <f>[3]!CroissVégét</f>
        <v>3.1859365650375344E-3</v>
      </c>
      <c r="BF44" s="804">
        <f>1+[3]!Salcycl*Ksac</f>
        <v>1.0000007281722267</v>
      </c>
      <c r="BH44" s="1036">
        <f t="shared" si="22"/>
        <v>1.7437591412213641E-2</v>
      </c>
      <c r="BI44" s="11">
        <v>44226</v>
      </c>
      <c r="BJ44" s="715">
        <v>2.4187375329779016E-3</v>
      </c>
      <c r="BK44" s="715">
        <v>3.4677294784745544E-3</v>
      </c>
      <c r="BL44" s="715">
        <v>6.3672279496683219E-3</v>
      </c>
      <c r="BM44" s="715">
        <v>1.2046152354050899E-2</v>
      </c>
      <c r="BN44" s="715">
        <v>2.2848203293791728E-2</v>
      </c>
      <c r="BO44" s="716">
        <v>4.0945236145118413E-2</v>
      </c>
      <c r="BP44" s="715">
        <v>7.0359116706215419E-2</v>
      </c>
      <c r="BQ44" s="715">
        <v>0.10794482945465511</v>
      </c>
      <c r="BR44" s="715">
        <v>0.15737977915714577</v>
      </c>
      <c r="BS44" s="715">
        <v>0.20970097334135651</v>
      </c>
      <c r="BT44" s="715">
        <v>0.26553081632206144</v>
      </c>
      <c r="BW44" s="1190">
        <f>'2019'!R\Max</f>
        <v>0</v>
      </c>
      <c r="BX44" s="1190">
        <f>'2020'!R\Max</f>
        <v>0.35744074639052992</v>
      </c>
      <c r="BY44" s="1190">
        <f>'2021'!R\Max</f>
        <v>0.28161944691704666</v>
      </c>
      <c r="BZ44" s="1190">
        <f>'2022'!R\Max</f>
        <v>0.15426050213068826</v>
      </c>
      <c r="CA44" s="1190">
        <f>'2023'!R\Max</f>
        <v>0.1540746162619345</v>
      </c>
      <c r="CB44" s="1190">
        <f>'2024'!R\Max</f>
        <v>0.15388865756396944</v>
      </c>
      <c r="CC44" s="1190">
        <f>'2025'!R\Max</f>
        <v>0.15365112845411738</v>
      </c>
      <c r="CD44" s="1190">
        <f>'2026'!R\Max</f>
        <v>0.15341349376441851</v>
      </c>
      <c r="CE44" s="1191">
        <f>'2027'!R\Max</f>
        <v>0.15449281406531815</v>
      </c>
      <c r="CF44" s="1193">
        <f>'2028'!R\Max</f>
        <v>0.15438068583480521</v>
      </c>
    </row>
    <row r="45" spans="1:84" s="6" customFormat="1" ht="11.25" x14ac:dyDescent="0.2">
      <c r="A45" s="11">
        <v>43131</v>
      </c>
      <c r="B45" s="379">
        <f>'2022'!Maxi_hp</f>
        <v>23.12427848668732</v>
      </c>
      <c r="C45" s="13">
        <f>'2022'!An_max</f>
        <v>2020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33.387445553950968</v>
      </c>
      <c r="L45" s="743" t="s">
        <v>208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33.452961968377764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33.172807765821929</v>
      </c>
      <c r="AZ45" s="735">
        <f t="shared" si="26"/>
        <v>33.312884867099847</v>
      </c>
      <c r="BA45" s="633">
        <f t="shared" si="21"/>
        <v>0.69260400438004943</v>
      </c>
      <c r="BC45" s="11">
        <v>43131</v>
      </c>
      <c r="BD45" s="289">
        <f>[3]!FeuilCaduc*(1-Persistant)+Persistant</f>
        <v>0.50002234868118989</v>
      </c>
      <c r="BE45" s="290">
        <f>[3]!CroissVégét</f>
        <v>3.3770923278976551E-3</v>
      </c>
      <c r="BF45" s="804">
        <f>1+[3]!Salcycl*Ksac</f>
        <v>1.000002234868119</v>
      </c>
      <c r="BH45" s="1036">
        <f t="shared" si="22"/>
        <v>1.718553219115309E-2</v>
      </c>
      <c r="BI45" s="11">
        <v>44227</v>
      </c>
      <c r="BJ45" s="715">
        <v>2.3758024536699673E-3</v>
      </c>
      <c r="BK45" s="715">
        <v>3.4120674581723178E-3</v>
      </c>
      <c r="BL45" s="715">
        <v>6.3169209874199212E-3</v>
      </c>
      <c r="BM45" s="715">
        <v>1.1919019087222961E-2</v>
      </c>
      <c r="BN45" s="715">
        <v>2.2470773861736192E-2</v>
      </c>
      <c r="BO45" s="716">
        <v>4.031766502973403E-2</v>
      </c>
      <c r="BP45" s="715">
        <v>6.9212120357457843E-2</v>
      </c>
      <c r="BQ45" s="715">
        <v>0.10633724727857942</v>
      </c>
      <c r="BR45" s="715">
        <v>0.15538617481828668</v>
      </c>
      <c r="BS45" s="715">
        <v>0.20799062162833101</v>
      </c>
      <c r="BT45" s="715">
        <v>0.26453646401902231</v>
      </c>
      <c r="BW45" s="1190">
        <f>'2019'!R\Max</f>
        <v>0</v>
      </c>
      <c r="BX45" s="1190">
        <f>'2020'!R\Max</f>
        <v>0.69260400438004943</v>
      </c>
      <c r="BY45" s="1190">
        <f>'2021'!R\Max</f>
        <v>0.27462156733551452</v>
      </c>
      <c r="BZ45" s="1190">
        <f>'2022'!R\Max</f>
        <v>0.25297534208314532</v>
      </c>
      <c r="CA45" s="1190">
        <f>'2023'!R\Max</f>
        <v>0.25267921600480603</v>
      </c>
      <c r="CB45" s="1190">
        <f>'2024'!R\Max</f>
        <v>0.25238295484514661</v>
      </c>
      <c r="CC45" s="1190">
        <f>'2025'!R\Max</f>
        <v>0.25200247637208645</v>
      </c>
      <c r="CD45" s="1190">
        <f>'2026'!R\Max</f>
        <v>0.25162180224418079</v>
      </c>
      <c r="CE45" s="1191">
        <f>'2027'!R\Max</f>
        <v>0.2533468569149212</v>
      </c>
      <c r="CF45" s="1193">
        <f>'2028'!R\Max</f>
        <v>0.25316756895180192</v>
      </c>
    </row>
    <row r="46" spans="1:84" s="6" customFormat="1" ht="11.25" x14ac:dyDescent="0.2">
      <c r="A46" s="11">
        <v>43132</v>
      </c>
      <c r="B46" s="379">
        <f>'2022'!Maxi_hp</f>
        <v>14.021130827306354</v>
      </c>
      <c r="C46" s="13">
        <f>'2022'!An_max</f>
        <v>2022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33.759280465889191</v>
      </c>
      <c r="L46" s="744" t="s">
        <v>209</v>
      </c>
      <c r="M46" s="765">
        <f t="shared" ref="M46:AA46" si="49">L44</f>
        <v>271.08</v>
      </c>
      <c r="N46" s="769">
        <f t="shared" si="49"/>
        <v>241.964</v>
      </c>
      <c r="O46" s="731">
        <f t="shared" si="49"/>
        <v>302.20400000000001</v>
      </c>
      <c r="P46" s="731">
        <f t="shared" si="49"/>
        <v>404.61200000000002</v>
      </c>
      <c r="Q46" s="731">
        <f t="shared" si="49"/>
        <v>512.04</v>
      </c>
      <c r="R46" s="731">
        <f t="shared" si="49"/>
        <v>600.39200000000005</v>
      </c>
      <c r="S46" s="731">
        <f t="shared" si="49"/>
        <v>637.54</v>
      </c>
      <c r="T46" s="731">
        <f t="shared" si="49"/>
        <v>636.53600000000006</v>
      </c>
      <c r="U46" s="731">
        <f t="shared" si="49"/>
        <v>619.46799999999996</v>
      </c>
      <c r="V46" s="731">
        <f t="shared" si="49"/>
        <v>588.34400000000005</v>
      </c>
      <c r="W46" s="731">
        <f t="shared" si="49"/>
        <v>535.13199999999995</v>
      </c>
      <c r="X46" s="731">
        <f t="shared" si="49"/>
        <v>453.80799999999999</v>
      </c>
      <c r="Y46" s="731">
        <f t="shared" si="49"/>
        <v>353.40800000000002</v>
      </c>
      <c r="Z46" s="731">
        <f t="shared" si="49"/>
        <v>271.08</v>
      </c>
      <c r="AA46" s="767">
        <f t="shared" si="49"/>
        <v>241.964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33.816129689344336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33.536457422495417</v>
      </c>
      <c r="AZ46" s="735">
        <f t="shared" si="26"/>
        <v>33.676293555919877</v>
      </c>
      <c r="BA46" s="633">
        <f t="shared" si="21"/>
        <v>0.4153267082061623</v>
      </c>
      <c r="BC46" s="11">
        <v>43132</v>
      </c>
      <c r="BD46" s="289">
        <f>[3]!FeuilCaduc*(1-Persistant)+Persistant</f>
        <v>0.50005249213128744</v>
      </c>
      <c r="BE46" s="290">
        <f>[3]!CroissVégét</f>
        <v>3.5761895087786043E-3</v>
      </c>
      <c r="BF46" s="804">
        <f>1+[3]!Salcycl*Ksac</f>
        <v>1.0000052492131288</v>
      </c>
      <c r="BH46" s="1036">
        <f t="shared" si="22"/>
        <v>1.6919043151559204E-2</v>
      </c>
      <c r="BI46" s="11">
        <v>44228</v>
      </c>
      <c r="BJ46" s="715">
        <v>2.3247885730536934E-3</v>
      </c>
      <c r="BK46" s="715">
        <v>3.3448921510859583E-3</v>
      </c>
      <c r="BL46" s="715">
        <v>6.2478514079495522E-3</v>
      </c>
      <c r="BM46" s="715">
        <v>1.1773426253391688E-2</v>
      </c>
      <c r="BN46" s="715">
        <v>2.2082958690050256E-2</v>
      </c>
      <c r="BO46" s="716">
        <v>3.968927614083282E-2</v>
      </c>
      <c r="BP46" s="715">
        <v>6.806492376933039E-2</v>
      </c>
      <c r="BQ46" s="715">
        <v>0.10472779797619175</v>
      </c>
      <c r="BR46" s="715">
        <v>0.15333899397833514</v>
      </c>
      <c r="BS46" s="715">
        <v>0.20617500897169216</v>
      </c>
      <c r="BT46" s="715">
        <v>0.26337835841581453</v>
      </c>
      <c r="BW46" s="1190">
        <f>'2019'!R\Max</f>
        <v>0</v>
      </c>
      <c r="BX46" s="1190">
        <f>'2020'!R\Max</f>
        <v>0.36756564012456916</v>
      </c>
      <c r="BY46" s="1190">
        <f>'2021'!R\Max</f>
        <v>0.24456015244475887</v>
      </c>
      <c r="BZ46" s="1190">
        <f>'2022'!R\Max</f>
        <v>0.4153267082061623</v>
      </c>
      <c r="CA46" s="1190">
        <f>'2023'!R\Max</f>
        <v>0.41493254870542712</v>
      </c>
      <c r="CB46" s="1190">
        <f>'2024'!R\Max</f>
        <v>0.4145380335238445</v>
      </c>
      <c r="CC46" s="1190">
        <f>'2025'!R\Max</f>
        <v>0.41402834665506877</v>
      </c>
      <c r="CD46" s="1190">
        <f>'2026'!R\Max</f>
        <v>0.41351811265733018</v>
      </c>
      <c r="CE46" s="1191">
        <f>'2027'!R\Max</f>
        <v>0.41582323652551695</v>
      </c>
      <c r="CF46" s="1193">
        <f>'2028'!R\Max</f>
        <v>0.41558368543655277</v>
      </c>
    </row>
    <row r="47" spans="1:84" s="6" customFormat="1" ht="11.25" x14ac:dyDescent="0.2">
      <c r="A47" s="11">
        <v>43133</v>
      </c>
      <c r="B47" s="379">
        <f>'2022'!Maxi_hp</f>
        <v>29.977059055663016</v>
      </c>
      <c r="C47" s="13">
        <f>'2022'!An_max</f>
        <v>2021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34.131481268004116</v>
      </c>
      <c r="L47" s="744" t="s">
        <v>210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34.177229305569611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33.905301294425904</v>
      </c>
      <c r="AZ47" s="735">
        <f t="shared" si="26"/>
        <v>34.041265299997761</v>
      </c>
      <c r="BA47" s="633">
        <f t="shared" si="21"/>
        <v>0.87828180735198325</v>
      </c>
      <c r="BC47" s="11">
        <v>43133</v>
      </c>
      <c r="BD47" s="289">
        <f>[3]!FeuilCaduc*(1-Persistant)+Persistant</f>
        <v>0.50009726250221709</v>
      </c>
      <c r="BE47" s="290">
        <f>[3]!CroissVégét</f>
        <v>3.7835546392683654E-3</v>
      </c>
      <c r="BF47" s="804">
        <f>1+[3]!Salcycl*Ksac</f>
        <v>1.0000097262502217</v>
      </c>
      <c r="BH47" s="1036">
        <f t="shared" si="22"/>
        <v>1.663815635037489E-2</v>
      </c>
      <c r="BI47" s="11">
        <v>44229</v>
      </c>
      <c r="BJ47" s="715">
        <v>2.2657014476869658E-3</v>
      </c>
      <c r="BK47" s="715">
        <v>3.2662113201732648E-3</v>
      </c>
      <c r="BL47" s="715">
        <v>6.1600314270999976E-3</v>
      </c>
      <c r="BM47" s="715">
        <v>1.1609395637499471E-2</v>
      </c>
      <c r="BN47" s="715">
        <v>2.1684800144206217E-2</v>
      </c>
      <c r="BO47" s="716">
        <v>3.9060141312506597E-2</v>
      </c>
      <c r="BP47" s="715">
        <v>6.6917652466791183E-2</v>
      </c>
      <c r="BQ47" s="715">
        <v>0.10311666934302222</v>
      </c>
      <c r="BR47" s="715">
        <v>0.15123850601714692</v>
      </c>
      <c r="BS47" s="715">
        <v>0.20425446792750671</v>
      </c>
      <c r="BT47" s="715">
        <v>0.26205688634343877</v>
      </c>
      <c r="BW47" s="1190">
        <f>'2019'!R\Max</f>
        <v>0</v>
      </c>
      <c r="BX47" s="1190">
        <f>'2020'!R\Max</f>
        <v>0.87248637006037688</v>
      </c>
      <c r="BY47" s="1190">
        <f>'2021'!R\Max</f>
        <v>0.87828180735198325</v>
      </c>
      <c r="BZ47" s="1190">
        <f>'2022'!R\Max</f>
        <v>0.17337714634251239</v>
      </c>
      <c r="CA47" s="1190">
        <f>'2023'!R\Max</f>
        <v>0.17318573427661157</v>
      </c>
      <c r="CB47" s="1190">
        <f>'2024'!R\Max</f>
        <v>0.17299420712965421</v>
      </c>
      <c r="CC47" s="1190">
        <f>'2025'!R\Max</f>
        <v>0.17274547964766623</v>
      </c>
      <c r="CD47" s="1190">
        <f>'2026'!R\Max</f>
        <v>0.17249658770151569</v>
      </c>
      <c r="CE47" s="1191">
        <f>'2027'!R\Max</f>
        <v>0.17361962735080141</v>
      </c>
      <c r="CF47" s="1193">
        <f>'2028'!R\Max</f>
        <v>0.17350264544287641</v>
      </c>
    </row>
    <row r="48" spans="1:84" s="6" customFormat="1" ht="11.25" x14ac:dyDescent="0.2">
      <c r="A48" s="11">
        <v>43134</v>
      </c>
      <c r="B48" s="379">
        <f>'2022'!Maxi_hp</f>
        <v>27.588451395254136</v>
      </c>
      <c r="C48" s="13">
        <f>'2022'!An_max</f>
        <v>2020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34.503060058185035</v>
      </c>
      <c r="L48" s="744" t="s">
        <v>211</v>
      </c>
      <c r="M48" s="769">
        <f t="shared" ref="M48:AA48" si="51">M44</f>
        <v>241.964</v>
      </c>
      <c r="N48" s="732">
        <f t="shared" si="51"/>
        <v>302.20400000000001</v>
      </c>
      <c r="O48" s="732">
        <f t="shared" si="51"/>
        <v>404.61200000000002</v>
      </c>
      <c r="P48" s="732">
        <f t="shared" si="51"/>
        <v>512.04</v>
      </c>
      <c r="Q48" s="732">
        <f t="shared" si="51"/>
        <v>600.39200000000005</v>
      </c>
      <c r="R48" s="732">
        <f t="shared" si="51"/>
        <v>637.54</v>
      </c>
      <c r="S48" s="732">
        <f t="shared" si="51"/>
        <v>636.53600000000006</v>
      </c>
      <c r="T48" s="732">
        <f t="shared" si="51"/>
        <v>619.46799999999996</v>
      </c>
      <c r="U48" s="732">
        <f t="shared" si="51"/>
        <v>588.34400000000005</v>
      </c>
      <c r="V48" s="732">
        <f t="shared" si="51"/>
        <v>535.13199999999995</v>
      </c>
      <c r="W48" s="732">
        <f t="shared" si="51"/>
        <v>453.80799999999999</v>
      </c>
      <c r="X48" s="732">
        <f t="shared" si="51"/>
        <v>353.40800000000002</v>
      </c>
      <c r="Y48" s="732">
        <f t="shared" si="51"/>
        <v>271.08</v>
      </c>
      <c r="Z48" s="767">
        <f t="shared" si="51"/>
        <v>241.964</v>
      </c>
      <c r="AA48" s="765">
        <f t="shared" si="51"/>
        <v>302.20400000000001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34.535488865391486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34.278813930481135</v>
      </c>
      <c r="AZ48" s="735">
        <f t="shared" si="26"/>
        <v>34.40715139793631</v>
      </c>
      <c r="BA48" s="633">
        <f t="shared" si="21"/>
        <v>0.79959433594381812</v>
      </c>
      <c r="BC48" s="11">
        <v>43134</v>
      </c>
      <c r="BD48" s="289">
        <f>[3]!FeuilCaduc*(1-Persistant)+Persistant</f>
        <v>0.50015610518187903</v>
      </c>
      <c r="BE48" s="290">
        <f>[3]!CroissVégét</f>
        <v>3.9995273885343324E-3</v>
      </c>
      <c r="BF48" s="804">
        <f>1+[3]!Salcycl*Ksac</f>
        <v>1.0000156105181879</v>
      </c>
      <c r="BH48" s="1036">
        <f t="shared" si="22"/>
        <v>1.6342903415142475E-2</v>
      </c>
      <c r="BI48" s="11">
        <v>44230</v>
      </c>
      <c r="BJ48" s="715">
        <v>2.1985468886790253E-3</v>
      </c>
      <c r="BK48" s="715">
        <v>3.1760331187559638E-3</v>
      </c>
      <c r="BL48" s="715">
        <v>6.0534740983134473E-3</v>
      </c>
      <c r="BM48" s="715">
        <v>1.1426949457190026E-2</v>
      </c>
      <c r="BN48" s="715">
        <v>2.1276339295108138E-2</v>
      </c>
      <c r="BO48" s="716">
        <v>3.8430329266409026E-2</v>
      </c>
      <c r="BP48" s="715">
        <v>6.5770426213554958E-2</v>
      </c>
      <c r="BQ48" s="715">
        <v>0.10150404118671391</v>
      </c>
      <c r="BR48" s="715">
        <v>0.1490849733800616</v>
      </c>
      <c r="BS48" s="715">
        <v>0.20222932851153363</v>
      </c>
      <c r="BT48" s="715">
        <v>0.26057243904340899</v>
      </c>
      <c r="BW48" s="1190">
        <f>'2019'!R\Max</f>
        <v>0</v>
      </c>
      <c r="BX48" s="1190">
        <f>'2020'!R\Max</f>
        <v>0.79959433594381812</v>
      </c>
      <c r="BY48" s="1190">
        <f>'2021'!R\Max</f>
        <v>0.65219769851587939</v>
      </c>
      <c r="BZ48" s="1190">
        <f>'2022'!R\Max</f>
        <v>0.33665160931346699</v>
      </c>
      <c r="CA48" s="1190">
        <f>'2023'!R\Max</f>
        <v>0.33630987295957793</v>
      </c>
      <c r="CB48" s="1190">
        <f>'2024'!R\Max</f>
        <v>0.33596786437489395</v>
      </c>
      <c r="CC48" s="1190">
        <f>'2025'!R\Max</f>
        <v>0.33552110413017172</v>
      </c>
      <c r="CD48" s="1190">
        <f>'2026'!R\Max</f>
        <v>0.33507394801936252</v>
      </c>
      <c r="CE48" s="1191">
        <f>'2027'!R\Max</f>
        <v>0.33708702304379512</v>
      </c>
      <c r="CF48" s="1193">
        <f>'2028'!R\Max</f>
        <v>0.33687700244741509</v>
      </c>
    </row>
    <row r="49" spans="1:84" s="6" customFormat="1" ht="11.25" x14ac:dyDescent="0.2">
      <c r="A49" s="11">
        <v>43135</v>
      </c>
      <c r="B49" s="379">
        <f>'2022'!Maxi_hp</f>
        <v>19.347515119040757</v>
      </c>
      <c r="C49" s="13">
        <f>'2022'!An_max</f>
        <v>2020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34.873028935718217</v>
      </c>
      <c r="L49" s="744" t="s">
        <v>212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34.890136414633261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34.656469880589952</v>
      </c>
      <c r="AZ49" s="735">
        <f t="shared" si="26"/>
        <v>34.773303147611607</v>
      </c>
      <c r="BA49" s="633">
        <f t="shared" si="21"/>
        <v>0.5547988147144951</v>
      </c>
      <c r="BC49" s="11">
        <v>43135</v>
      </c>
      <c r="BD49" s="289">
        <f>[3]!FeuilCaduc*(1-Persistant)+Persistant</f>
        <v>0.50022836491362632</v>
      </c>
      <c r="BE49" s="290">
        <f>[3]!CroissVégét</f>
        <v>4.2244610672662677E-3</v>
      </c>
      <c r="BF49" s="804">
        <f>1+[3]!Salcycl*Ksac</f>
        <v>1.0000228364913626</v>
      </c>
      <c r="BH49" s="1036">
        <f t="shared" si="22"/>
        <v>1.6033315366083229E-2</v>
      </c>
      <c r="BI49" s="11">
        <v>44231</v>
      </c>
      <c r="BJ49" s="715">
        <v>2.1233308610265102E-3</v>
      </c>
      <c r="BK49" s="715">
        <v>3.0743659470693035E-3</v>
      </c>
      <c r="BL49" s="715">
        <v>5.928193079004729E-3</v>
      </c>
      <c r="BM49" s="715">
        <v>1.1226110133782963E-2</v>
      </c>
      <c r="BN49" s="715">
        <v>2.0857615792458012E-2</v>
      </c>
      <c r="BO49" s="716">
        <v>3.779990560732506E-2</v>
      </c>
      <c r="BP49" s="715">
        <v>6.4623359019483378E-2</v>
      </c>
      <c r="BQ49" s="715">
        <v>9.9890085318994307E-2</v>
      </c>
      <c r="BR49" s="715">
        <v>0.14687865093073021</v>
      </c>
      <c r="BS49" s="715">
        <v>0.20009991691426268</v>
      </c>
      <c r="BT49" s="715">
        <v>0.25892541016081971</v>
      </c>
      <c r="BW49" s="1190">
        <f>'2019'!R\Max</f>
        <v>0</v>
      </c>
      <c r="BX49" s="1190">
        <f>'2020'!R\Max</f>
        <v>0.5547988147144951</v>
      </c>
      <c r="BY49" s="1190">
        <f>'2021'!R\Max</f>
        <v>0.50692741565077071</v>
      </c>
      <c r="BZ49" s="1190">
        <f>'2022'!R\Max</f>
        <v>0.32807564436446934</v>
      </c>
      <c r="CA49" s="1190">
        <f>'2023'!R\Max</f>
        <v>0.3277481592323781</v>
      </c>
      <c r="CB49" s="1190">
        <f>'2024'!R\Max</f>
        <v>0.32742039382997101</v>
      </c>
      <c r="CC49" s="1190">
        <f>'2025'!R\Max</f>
        <v>0.32698974661575902</v>
      </c>
      <c r="CD49" s="1190">
        <f>'2026'!R\Max</f>
        <v>0.32655870078772031</v>
      </c>
      <c r="CE49" s="1191">
        <f>'2027'!R\Max</f>
        <v>0.32849568822683878</v>
      </c>
      <c r="CF49" s="1193">
        <f>'2028'!R\Max</f>
        <v>0.32829310877114132</v>
      </c>
    </row>
    <row r="50" spans="1:84" s="6" customFormat="1" ht="11.25" x14ac:dyDescent="0.2">
      <c r="A50" s="11">
        <v>43136</v>
      </c>
      <c r="B50" s="379">
        <f>'2022'!Maxi_hp</f>
        <v>35.681802082367859</v>
      </c>
      <c r="C50" s="13">
        <f>'2022'!An_max</f>
        <v>2020</v>
      </c>
      <c r="D50" s="1045">
        <f t="shared" si="7"/>
        <v>1.0125254560803041</v>
      </c>
      <c r="E50" s="1040">
        <f>P$13/10</f>
        <v>35.240400000000001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35.240399999916555</v>
      </c>
      <c r="L50" s="744" t="s">
        <v>213</v>
      </c>
      <c r="M50" s="772">
        <f t="shared" ref="M50:AA50" si="53">N44</f>
        <v>302.20400000000001</v>
      </c>
      <c r="N50" s="732">
        <f t="shared" si="53"/>
        <v>404.61200000000002</v>
      </c>
      <c r="O50" s="732">
        <f t="shared" si="53"/>
        <v>512.04</v>
      </c>
      <c r="P50" s="732">
        <f t="shared" si="53"/>
        <v>600.39200000000005</v>
      </c>
      <c r="Q50" s="732">
        <f t="shared" si="53"/>
        <v>637.54</v>
      </c>
      <c r="R50" s="732">
        <f t="shared" si="53"/>
        <v>636.53600000000006</v>
      </c>
      <c r="S50" s="732">
        <f t="shared" si="53"/>
        <v>619.46799999999996</v>
      </c>
      <c r="T50" s="732">
        <f t="shared" si="53"/>
        <v>588.34400000000005</v>
      </c>
      <c r="U50" s="732">
        <f t="shared" si="53"/>
        <v>535.13199999999995</v>
      </c>
      <c r="V50" s="732">
        <f t="shared" si="53"/>
        <v>453.80799999999999</v>
      </c>
      <c r="W50" s="732">
        <f t="shared" si="53"/>
        <v>353.40800000000002</v>
      </c>
      <c r="X50" s="732">
        <f t="shared" si="53"/>
        <v>271.08</v>
      </c>
      <c r="Y50" s="732">
        <f t="shared" si="53"/>
        <v>241.964</v>
      </c>
      <c r="Z50" s="778">
        <f t="shared" si="53"/>
        <v>302.20400000000001</v>
      </c>
      <c r="AA50" s="765">
        <f t="shared" si="53"/>
        <v>404.61200000000002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35.240399999544024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35.037743693357335</v>
      </c>
      <c r="AZ50" s="735">
        <f t="shared" si="26"/>
        <v>35.139071846450676</v>
      </c>
      <c r="BA50" s="633">
        <f t="shared" si="21"/>
        <v>1.0125254560803041</v>
      </c>
      <c r="BC50" s="11">
        <v>43136</v>
      </c>
      <c r="BD50" s="289">
        <f>[3]!FeuilCaduc*(1-Persistant)+Persistant</f>
        <v>0.50031329188230567</v>
      </c>
      <c r="BE50" s="290">
        <f>[3]!CroissVégét</f>
        <v>4.4587231488279668E-3</v>
      </c>
      <c r="BF50" s="804">
        <f>1+[3]!Salcycl*Ksac</f>
        <v>1.0000313291882306</v>
      </c>
      <c r="BH50" s="1036">
        <f t="shared" si="22"/>
        <v>1.5709422438159669E-2</v>
      </c>
      <c r="BI50" s="11">
        <v>44232</v>
      </c>
      <c r="BJ50" s="715">
        <v>2.0400593829468633E-3</v>
      </c>
      <c r="BK50" s="715">
        <v>2.9612183088079465E-3</v>
      </c>
      <c r="BL50" s="715">
        <v>5.784202396928298E-3</v>
      </c>
      <c r="BM50" s="715">
        <v>1.1006900063236664E-2</v>
      </c>
      <c r="BN50" s="715">
        <v>2.0428667738099249E-2</v>
      </c>
      <c r="BO50" s="716">
        <v>3.7168932818700449E-2</v>
      </c>
      <c r="BP50" s="715">
        <v>6.3476559147906439E-2</v>
      </c>
      <c r="BQ50" s="715">
        <v>9.8274965547542517E-2</v>
      </c>
      <c r="BR50" s="715">
        <v>0.14461978530379244</v>
      </c>
      <c r="BS50" s="715">
        <v>0.19786655421576127</v>
      </c>
      <c r="BT50" s="715">
        <v>0.25711619373718114</v>
      </c>
      <c r="BW50" s="1190">
        <f>'2019'!R\Max</f>
        <v>0</v>
      </c>
      <c r="BX50" s="1190">
        <f>'2020'!R\Max</f>
        <v>1.0125254560803041</v>
      </c>
      <c r="BY50" s="1190">
        <f>'2021'!R\Max</f>
        <v>0.44104448335167623</v>
      </c>
      <c r="BZ50" s="1190">
        <f>'2022'!R\Max</f>
        <v>0.28527599676691467</v>
      </c>
      <c r="CA50" s="1190">
        <f>'2023'!R\Max</f>
        <v>0.28498784050284454</v>
      </c>
      <c r="CB50" s="1190">
        <f>'2024'!R\Max</f>
        <v>0.28469943471121412</v>
      </c>
      <c r="CC50" s="1190">
        <f>'2025'!R\Max</f>
        <v>0.28431827608222049</v>
      </c>
      <c r="CD50" s="1190">
        <f>'2026'!R\Max</f>
        <v>0.28393677816575558</v>
      </c>
      <c r="CE50" s="1191">
        <f>'2027'!R\Max</f>
        <v>0.28564837411562133</v>
      </c>
      <c r="CF50" s="1193">
        <f>'2028'!R\Max</f>
        <v>0.28546880343761122</v>
      </c>
    </row>
    <row r="51" spans="1:84" s="6" customFormat="1" ht="11.25" x14ac:dyDescent="0.2">
      <c r="A51" s="11">
        <v>43137</v>
      </c>
      <c r="B51" s="379">
        <f>'2022'!Maxi_hp</f>
        <v>37.076232391062831</v>
      </c>
      <c r="C51" s="13">
        <f>'2022'!An_max</f>
        <v>2020</v>
      </c>
      <c r="D51" s="1045">
        <f t="shared" si="7"/>
        <v>1.041265590460617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35.606892929844818</v>
      </c>
      <c r="L51" s="745" t="s">
        <v>214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35.590288419840263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35.422109917029076</v>
      </c>
      <c r="AZ51" s="735">
        <f t="shared" si="26"/>
        <v>35.506199168434669</v>
      </c>
      <c r="BA51" s="633">
        <f t="shared" si="21"/>
        <v>1.041265590460617</v>
      </c>
      <c r="BC51" s="11">
        <v>43137</v>
      </c>
      <c r="BD51" s="289">
        <f>[3]!FeuilCaduc*(1-Persistant)+Persistant</f>
        <v>0.5004100493892133</v>
      </c>
      <c r="BE51" s="290">
        <f>[3]!CroissVégét</f>
        <v>4.7026958080162657E-3</v>
      </c>
      <c r="BF51" s="804">
        <f>1+[3]!Salcycl*Ksac</f>
        <v>1.0000410049389212</v>
      </c>
      <c r="BH51" s="1036">
        <f t="shared" si="22"/>
        <v>1.5371253903102879E-2</v>
      </c>
      <c r="BI51" s="11">
        <v>44233</v>
      </c>
      <c r="BJ51" s="715">
        <v>1.948738425206791E-3</v>
      </c>
      <c r="BK51" s="715">
        <v>2.8365986676647248E-3</v>
      </c>
      <c r="BL51" s="715">
        <v>5.6215162165319894E-3</v>
      </c>
      <c r="BM51" s="715">
        <v>1.0769341387086601E-2</v>
      </c>
      <c r="BN51" s="715">
        <v>1.9989531559314679E-2</v>
      </c>
      <c r="BO51" s="716">
        <v>3.6537470258090156E-2</v>
      </c>
      <c r="BP51" s="715">
        <v>6.2330129122804341E-2</v>
      </c>
      <c r="BQ51" s="715">
        <v>9.6658837667641995E-2</v>
      </c>
      <c r="BR51" s="715">
        <v>0.14230861425723887</v>
      </c>
      <c r="BS51" s="715">
        <v>0.19552955510009698</v>
      </c>
      <c r="BT51" s="715">
        <v>0.25514518220271104</v>
      </c>
      <c r="BW51" s="1190">
        <f>'2019'!R\Max</f>
        <v>0</v>
      </c>
      <c r="BX51" s="1190">
        <f>'2020'!R\Max</f>
        <v>1.041265590460617</v>
      </c>
      <c r="BY51" s="1190">
        <f>'2021'!R\Max</f>
        <v>0.29317998235220483</v>
      </c>
      <c r="BZ51" s="1190">
        <f>'2022'!R\Max</f>
        <v>0.65835647388341834</v>
      </c>
      <c r="CA51" s="1190">
        <f>'2023'!R\Max</f>
        <v>0.6580415495788734</v>
      </c>
      <c r="CB51" s="1190">
        <f>'2024'!R\Max</f>
        <v>0.65772600314005714</v>
      </c>
      <c r="CC51" s="1190">
        <f>'2025'!R\Max</f>
        <v>0.65730594126424791</v>
      </c>
      <c r="CD51" s="1190">
        <f>'2026'!R\Max</f>
        <v>0.65688491031081575</v>
      </c>
      <c r="CE51" s="1191">
        <f>'2027'!R\Max</f>
        <v>0.65876631367507832</v>
      </c>
      <c r="CF51" s="1193">
        <f>'2028'!R\Max</f>
        <v>0.65856877098909861</v>
      </c>
    </row>
    <row r="52" spans="1:84" s="6" customFormat="1" ht="11.25" x14ac:dyDescent="0.2">
      <c r="A52" s="11">
        <v>43138</v>
      </c>
      <c r="B52" s="379">
        <f>'2022'!Maxi_hp</f>
        <v>24.451684563184926</v>
      </c>
      <c r="C52" s="13">
        <f>'2022'!An_max</f>
        <v>2020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35.97481282777818</v>
      </c>
      <c r="L52" s="745" t="s">
        <v>215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35.944169606265078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35.809043101008442</v>
      </c>
      <c r="AZ52" s="735">
        <f t="shared" si="26"/>
        <v>35.87660635363676</v>
      </c>
      <c r="BA52" s="633">
        <f t="shared" si="21"/>
        <v>0.679689000196949</v>
      </c>
      <c r="BC52" s="11">
        <v>43138</v>
      </c>
      <c r="BD52" s="289">
        <f>[3]!FeuilCaduc*(1-Persistant)+Persistant</f>
        <v>0.50051772300163511</v>
      </c>
      <c r="BE52" s="290">
        <f>[3]!CroissVégét</f>
        <v>4.9567764778191995E-3</v>
      </c>
      <c r="BF52" s="804">
        <f>1+[3]!Salcycl*Ksac</f>
        <v>1.0000517723001634</v>
      </c>
      <c r="BH52" s="1036">
        <f t="shared" si="22"/>
        <v>1.5017608082826322E-2</v>
      </c>
      <c r="BI52" s="11">
        <v>44234</v>
      </c>
      <c r="BJ52" s="715">
        <v>1.8483389857101068E-3</v>
      </c>
      <c r="BK52" s="715">
        <v>2.6996079353593127E-3</v>
      </c>
      <c r="BL52" s="715">
        <v>5.4391385615450809E-3</v>
      </c>
      <c r="BM52" s="715">
        <v>1.0512363310040643E-2</v>
      </c>
      <c r="BN52" s="715">
        <v>1.9538874229783103E-2</v>
      </c>
      <c r="BO52" s="716">
        <v>3.5887319808403276E-2</v>
      </c>
      <c r="BP52" s="715">
        <v>6.1163476473807148E-2</v>
      </c>
      <c r="BQ52" s="715">
        <v>9.5021575778193756E-2</v>
      </c>
      <c r="BR52" s="715">
        <v>0.13994993230729894</v>
      </c>
      <c r="BS52" s="715">
        <v>0.19307597714044275</v>
      </c>
      <c r="BT52" s="715">
        <v>0.25295076754241314</v>
      </c>
      <c r="BW52" s="1190">
        <f>'2019'!R\Max</f>
        <v>0</v>
      </c>
      <c r="BX52" s="1190">
        <f>'2020'!R\Max</f>
        <v>0.679689000196949</v>
      </c>
      <c r="BY52" s="1190">
        <f>'2021'!R\Max</f>
        <v>0.57913456467555213</v>
      </c>
      <c r="BZ52" s="1190">
        <f>'2022'!R\Max</f>
        <v>0.27441288907125566</v>
      </c>
      <c r="CA52" s="1190">
        <f>'2023'!R\Max</f>
        <v>0.27415192365507079</v>
      </c>
      <c r="CB52" s="1190">
        <f>'2024'!R\Max</f>
        <v>0.27389067637999487</v>
      </c>
      <c r="CC52" s="1190">
        <f>'2025'!R\Max</f>
        <v>0.27354110610737942</v>
      </c>
      <c r="CD52" s="1190">
        <f>'2026'!R\Max</f>
        <v>0.27319117228698303</v>
      </c>
      <c r="CE52" s="1191">
        <f>'2027'!R\Max</f>
        <v>0.27475566166323356</v>
      </c>
      <c r="CF52" s="1193">
        <f>'2028'!R\Max</f>
        <v>0.27459040848421085</v>
      </c>
    </row>
    <row r="53" spans="1:84" s="6" customFormat="1" ht="11.25" x14ac:dyDescent="0.2">
      <c r="A53" s="11">
        <v>43139</v>
      </c>
      <c r="B53" s="379">
        <f>'2022'!Maxi_hp</f>
        <v>36.669864928426442</v>
      </c>
      <c r="C53" s="13">
        <f>'2022'!An_max</f>
        <v>2022</v>
      </c>
      <c r="D53" s="1045">
        <f t="shared" si="7"/>
        <v>1.0089647411935272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36.34404992690709</v>
      </c>
      <c r="L53" s="745" t="s">
        <v>216</v>
      </c>
      <c r="M53" s="729">
        <f t="shared" ref="M53:AA53" si="56">(y.1ld-y.2ld-b.ld*(x.1ld-x.2ld))/D2x12Ld</f>
        <v>5.4685938985391418E-2</v>
      </c>
      <c r="N53" s="729">
        <f t="shared" si="56"/>
        <v>2.7722582317860317E-2</v>
      </c>
      <c r="O53" s="729">
        <f t="shared" si="56"/>
        <v>3.2015306122444879E-3</v>
      </c>
      <c r="P53" s="729">
        <f t="shared" si="56"/>
        <v>-1.216581632653228E-2</v>
      </c>
      <c r="Q53" s="729">
        <f t="shared" si="56"/>
        <v>-3.2655612244899414E-2</v>
      </c>
      <c r="R53" s="729">
        <f t="shared" si="56"/>
        <v>-2.4331632653063106E-2</v>
      </c>
      <c r="S53" s="729">
        <f t="shared" si="56"/>
        <v>-1.0244897959182507E-2</v>
      </c>
      <c r="T53" s="729">
        <f t="shared" si="56"/>
        <v>-8.9642857142870989E-3</v>
      </c>
      <c r="U53" s="729">
        <f t="shared" si="56"/>
        <v>-1.4086734693879093E-2</v>
      </c>
      <c r="V53" s="729">
        <f t="shared" si="56"/>
        <v>-1.792857142857E-2</v>
      </c>
      <c r="W53" s="729">
        <f t="shared" si="56"/>
        <v>-1.2165816326530274E-2</v>
      </c>
      <c r="X53" s="729">
        <f t="shared" si="56"/>
        <v>1.1525510204080876E-2</v>
      </c>
      <c r="Y53" s="729">
        <f t="shared" si="56"/>
        <v>3.3936224489793186E-2</v>
      </c>
      <c r="Z53" s="729">
        <f t="shared" si="56"/>
        <v>5.4685938985387442E-2</v>
      </c>
      <c r="AA53" s="729">
        <f t="shared" si="56"/>
        <v>2.7722582317866794E-2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36.301810304435534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36.198017794223105</v>
      </c>
      <c r="AZ53" s="735">
        <f t="shared" si="26"/>
        <v>36.24991404932932</v>
      </c>
      <c r="BA53" s="633">
        <f t="shared" si="21"/>
        <v>1.0089647411935272</v>
      </c>
      <c r="BC53" s="11">
        <v>43139</v>
      </c>
      <c r="BD53" s="289">
        <f>[3]!FeuilCaduc*(1-Persistant)+Persistant</f>
        <v>0.50063533104971769</v>
      </c>
      <c r="BE53" s="290">
        <f>[3]!CroissVégét</f>
        <v>5.2213784245517241E-3</v>
      </c>
      <c r="BF53" s="804">
        <f>1+[3]!Salcycl*Ksac</f>
        <v>1.0000635331049719</v>
      </c>
      <c r="BH53" s="1036">
        <f t="shared" si="22"/>
        <v>1.4645594029055464E-2</v>
      </c>
      <c r="BI53" s="11">
        <v>44235</v>
      </c>
      <c r="BJ53" s="715">
        <v>1.7470384988443224E-3</v>
      </c>
      <c r="BK53" s="715">
        <v>2.5619510047102203E-3</v>
      </c>
      <c r="BL53" s="715">
        <v>5.243700796526328E-3</v>
      </c>
      <c r="BM53" s="715">
        <v>1.023638643306961E-2</v>
      </c>
      <c r="BN53" s="715">
        <v>1.9070481475583528E-2</v>
      </c>
      <c r="BO53" s="716">
        <v>3.5214491605288722E-2</v>
      </c>
      <c r="BP53" s="715">
        <v>5.9993398423948276E-2</v>
      </c>
      <c r="BQ53" s="715">
        <v>9.3381581331322475E-2</v>
      </c>
      <c r="BR53" s="715">
        <v>0.13760279030324832</v>
      </c>
      <c r="BS53" s="715">
        <v>0.19057182732641806</v>
      </c>
      <c r="BT53" s="715">
        <v>0.25060925743698359</v>
      </c>
      <c r="BW53" s="1190">
        <f>'2019'!R\Max</f>
        <v>0</v>
      </c>
      <c r="BX53" s="1190">
        <f>'2020'!R\Max</f>
        <v>0.81495026522283853</v>
      </c>
      <c r="BY53" s="1190">
        <f>'2021'!R\Max</f>
        <v>0.13226014026488769</v>
      </c>
      <c r="BZ53" s="1190">
        <f>'2022'!R\Max</f>
        <v>1.0089647411935272</v>
      </c>
      <c r="CA53" s="1190">
        <f>'2023'!R\Max</f>
        <v>1.0089647411935274</v>
      </c>
      <c r="CB53" s="1190">
        <f>'2024'!R\Max</f>
        <v>1.008964741193527</v>
      </c>
      <c r="CC53" s="1190">
        <f>'2025'!R\Max</f>
        <v>1.008964741193527</v>
      </c>
      <c r="CD53" s="1190">
        <f>'2026'!R\Max</f>
        <v>1.0089647411935274</v>
      </c>
      <c r="CE53" s="1191">
        <f>'2027'!R\Max</f>
        <v>1.0089647411935272</v>
      </c>
      <c r="CF53" s="1193">
        <f>'2028'!R\Max</f>
        <v>1.008964741193527</v>
      </c>
    </row>
    <row r="54" spans="1:84" s="6" customFormat="1" ht="11.25" x14ac:dyDescent="0.2">
      <c r="A54" s="11">
        <v>43140</v>
      </c>
      <c r="B54" s="379">
        <f>'2022'!Maxi_hp</f>
        <v>36.984153600859251</v>
      </c>
      <c r="C54" s="13">
        <f>'2022'!An_max</f>
        <v>2022</v>
      </c>
      <c r="D54" s="1045">
        <f t="shared" si="7"/>
        <v>1.0073447597282734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36.71449446050184</v>
      </c>
      <c r="L54" s="745" t="s">
        <v>217</v>
      </c>
      <c r="M54" s="729">
        <f t="shared" ref="M54:AA54" si="57">(y.2ld-y.3ld-(y.1ld-y.2ld)*D2x23Ld/D2x12Ld)/(x.2ld-x.3ld)/(1-(x.2ld+x.3ld)/(x.1ld+x.2ld))</f>
        <v>-4712.670988246211</v>
      </c>
      <c r="N54" s="729">
        <f t="shared" si="57"/>
        <v>-2388.0251931550165</v>
      </c>
      <c r="O54" s="729">
        <f t="shared" si="57"/>
        <v>-272.54502040812787</v>
      </c>
      <c r="P54" s="729">
        <f t="shared" si="57"/>
        <v>1054.087306122593</v>
      </c>
      <c r="Q54" s="729">
        <f t="shared" si="57"/>
        <v>2824.0778367348198</v>
      </c>
      <c r="R54" s="729">
        <f t="shared" si="57"/>
        <v>2104.5530408164891</v>
      </c>
      <c r="S54" s="729">
        <f t="shared" si="57"/>
        <v>886.106836734593</v>
      </c>
      <c r="T54" s="729">
        <f t="shared" si="57"/>
        <v>775.26728571440572</v>
      </c>
      <c r="U54" s="729">
        <f t="shared" si="57"/>
        <v>1218.912346938909</v>
      </c>
      <c r="V54" s="729">
        <f t="shared" si="57"/>
        <v>1551.8612857141618</v>
      </c>
      <c r="W54" s="729">
        <f t="shared" si="57"/>
        <v>1052.1151632652768</v>
      </c>
      <c r="X54" s="729">
        <f t="shared" si="57"/>
        <v>-1003.7233877550366</v>
      </c>
      <c r="Y54" s="729">
        <f t="shared" si="57"/>
        <v>-2949.690530612007</v>
      </c>
      <c r="Z54" s="729">
        <f t="shared" si="57"/>
        <v>-4752.5917237052017</v>
      </c>
      <c r="AA54" s="729">
        <f t="shared" si="57"/>
        <v>-2408.2626782476182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36.662977259004094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36.588508545228152</v>
      </c>
      <c r="AZ54" s="735">
        <f t="shared" si="26"/>
        <v>36.625742902116123</v>
      </c>
      <c r="BA54" s="633">
        <f t="shared" si="21"/>
        <v>1.0073447597282734</v>
      </c>
      <c r="BC54" s="11">
        <v>43140</v>
      </c>
      <c r="BD54" s="289">
        <f>[3]!FeuilCaduc*(1-Persistant)+Persistant</f>
        <v>0.50076183633210347</v>
      </c>
      <c r="BE54" s="290">
        <f>[3]!CroissVégét</f>
        <v>5.4969313417339892E-3</v>
      </c>
      <c r="BF54" s="804">
        <f>1+[3]!Salcycl*Ksac</f>
        <v>1.0000761836332104</v>
      </c>
      <c r="BH54" s="1036">
        <f t="shared" si="22"/>
        <v>1.4255238162112521E-2</v>
      </c>
      <c r="BI54" s="11">
        <v>44236</v>
      </c>
      <c r="BJ54" s="715">
        <v>1.6448403065454475E-3</v>
      </c>
      <c r="BK54" s="715">
        <v>2.4236325084235266E-3</v>
      </c>
      <c r="BL54" s="715">
        <v>5.0352146163844926E-3</v>
      </c>
      <c r="BM54" s="715">
        <v>9.9414309507258689E-3</v>
      </c>
      <c r="BN54" s="715">
        <v>1.8584385964947856E-2</v>
      </c>
      <c r="BO54" s="716">
        <v>3.4519041625522343E-2</v>
      </c>
      <c r="BP54" s="715">
        <v>5.8819981514414449E-2</v>
      </c>
      <c r="BQ54" s="715">
        <v>9.1738986702530279E-2</v>
      </c>
      <c r="BR54" s="715">
        <v>0.13526737867323022</v>
      </c>
      <c r="BS54" s="715">
        <v>0.18801737964105544</v>
      </c>
      <c r="BT54" s="715">
        <v>0.24812102416190779</v>
      </c>
      <c r="BW54" s="1190">
        <f>'2019'!R\Max</f>
        <v>0</v>
      </c>
      <c r="BX54" s="1190">
        <f>'2020'!R\Max</f>
        <v>0.82416624250162418</v>
      </c>
      <c r="BY54" s="1190">
        <f>'2021'!R\Max</f>
        <v>0.37155764892116411</v>
      </c>
      <c r="BZ54" s="1190">
        <f>'2022'!R\Max</f>
        <v>1.0073447597282734</v>
      </c>
      <c r="CA54" s="1190">
        <f>'2023'!R\Max</f>
        <v>1.0073447597282734</v>
      </c>
      <c r="CB54" s="1190">
        <f>'2024'!R\Max</f>
        <v>1.0073447597282734</v>
      </c>
      <c r="CC54" s="1190">
        <f>'2025'!R\Max</f>
        <v>1.0073447597282734</v>
      </c>
      <c r="CD54" s="1190">
        <f>'2026'!R\Max</f>
        <v>1.0073447597282732</v>
      </c>
      <c r="CE54" s="1191">
        <f>'2027'!R\Max</f>
        <v>1.0073447597282734</v>
      </c>
      <c r="CF54" s="1193">
        <f>'2028'!R\Max</f>
        <v>1.0073447597282732</v>
      </c>
    </row>
    <row r="55" spans="1:84" s="6" customFormat="1" ht="11.25" x14ac:dyDescent="0.2">
      <c r="A55" s="11">
        <v>43141</v>
      </c>
      <c r="B55" s="379">
        <f>'2022'!Maxi_hp</f>
        <v>34.485478690767295</v>
      </c>
      <c r="C55" s="13">
        <f>'2022'!An_max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37.086036661626508</v>
      </c>
      <c r="L55" s="745" t="s">
        <v>218</v>
      </c>
      <c r="M55" s="729">
        <f t="shared" ref="M55:AA55" si="58">(y.1ld+y.2ld+y.3ld-a.ld*(x.3ld*x.3ld+x.2ld*x.2ld+x.1ld*x.1ld)-b.ld*(x.3ld+x.2ld+x.1ld))/3</f>
        <v>101531220.55781381</v>
      </c>
      <c r="N55" s="729">
        <f t="shared" si="58"/>
        <v>51426391.920912683</v>
      </c>
      <c r="O55" s="729">
        <f t="shared" si="58"/>
        <v>5799720.3612339282</v>
      </c>
      <c r="P55" s="729">
        <f t="shared" si="58"/>
        <v>-22831655.497952089</v>
      </c>
      <c r="Q55" s="729">
        <f t="shared" si="58"/>
        <v>-61056366.981053747</v>
      </c>
      <c r="R55" s="729">
        <f t="shared" si="58"/>
        <v>-45507437.772758611</v>
      </c>
      <c r="S55" s="729">
        <f t="shared" si="58"/>
        <v>-19159759.816691697</v>
      </c>
      <c r="T55" s="729">
        <f t="shared" si="58"/>
        <v>-16761413.862716885</v>
      </c>
      <c r="U55" s="729">
        <f t="shared" si="58"/>
        <v>-26367215.724349827</v>
      </c>
      <c r="V55" s="729">
        <f t="shared" si="58"/>
        <v>-33580886.678854458</v>
      </c>
      <c r="W55" s="729">
        <f t="shared" si="58"/>
        <v>-22746391.873662625</v>
      </c>
      <c r="X55" s="729">
        <f t="shared" si="58"/>
        <v>21852965.008672051</v>
      </c>
      <c r="Y55" s="729">
        <f t="shared" si="58"/>
        <v>64096015.353311144</v>
      </c>
      <c r="Z55" s="729">
        <f t="shared" si="58"/>
        <v>103258631.00273754</v>
      </c>
      <c r="AA55" s="729">
        <f t="shared" si="58"/>
        <v>52301714.457455814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37.027437217240887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36.979989902944574</v>
      </c>
      <c r="AZ55" s="735">
        <f t="shared" si="26"/>
        <v>37.003713560092734</v>
      </c>
      <c r="BA55" s="633">
        <f t="shared" si="21"/>
        <v>0.92987770587116814</v>
      </c>
      <c r="BC55" s="11">
        <v>43141</v>
      </c>
      <c r="BD55" s="289">
        <f>[3]!FeuilCaduc*(1-Persistant)+Persistant</f>
        <v>0.50089615888213179</v>
      </c>
      <c r="BE55" s="290">
        <f>[3]!CroissVégét</f>
        <v>5.7838819630590035E-3</v>
      </c>
      <c r="BF55" s="804">
        <f>1+[3]!Salcycl*Ksac</f>
        <v>1.0000896158882131</v>
      </c>
      <c r="BH55" s="1036">
        <f t="shared" si="22"/>
        <v>1.3846565244794726E-2</v>
      </c>
      <c r="BI55" s="11">
        <v>44237</v>
      </c>
      <c r="BJ55" s="715">
        <v>1.5417472544990423E-3</v>
      </c>
      <c r="BK55" s="715">
        <v>2.2846563989315327E-3</v>
      </c>
      <c r="BL55" s="715">
        <v>4.8136908809090426E-3</v>
      </c>
      <c r="BM55" s="715">
        <v>9.6275158853732241E-3</v>
      </c>
      <c r="BN55" s="715">
        <v>1.8080618221520652E-2</v>
      </c>
      <c r="BO55" s="716">
        <v>3.3801022738261542E-2</v>
      </c>
      <c r="BP55" s="715">
        <v>5.7643306494959336E-2</v>
      </c>
      <c r="BQ55" s="715">
        <v>9.0093916131393045E-2</v>
      </c>
      <c r="BR55" s="715">
        <v>0.13294387603698668</v>
      </c>
      <c r="BS55" s="715">
        <v>0.18541289616131185</v>
      </c>
      <c r="BT55" s="715">
        <v>0.24548642995971465</v>
      </c>
      <c r="BW55" s="1190">
        <f>'2019'!R\Max</f>
        <v>0</v>
      </c>
      <c r="BX55" s="1190">
        <f>'2020'!R\Max</f>
        <v>0.25644977070233993</v>
      </c>
      <c r="BY55" s="1190">
        <f>'2021'!R\Max</f>
        <v>0.41801490456621093</v>
      </c>
      <c r="BZ55" s="1190">
        <f>'2022'!R\Max</f>
        <v>0.92987770587116814</v>
      </c>
      <c r="CA55" s="1190">
        <f>'2023'!R\Max</f>
        <v>0.92979658441195734</v>
      </c>
      <c r="CB55" s="1190">
        <f>'2024'!R\Max</f>
        <v>0.9297152179535455</v>
      </c>
      <c r="CC55" s="1190">
        <f>'2025'!R\Max</f>
        <v>0.92960442868308457</v>
      </c>
      <c r="CD55" s="1190">
        <f>'2026'!R\Max</f>
        <v>0.9294932594749663</v>
      </c>
      <c r="CE55" s="1191">
        <f>'2027'!R\Max</f>
        <v>0.92998612909591882</v>
      </c>
      <c r="CF55" s="1193">
        <f>'2028'!R\Max</f>
        <v>0.92993390252109698</v>
      </c>
    </row>
    <row r="56" spans="1:84" s="6" customFormat="1" ht="11.25" x14ac:dyDescent="0.2">
      <c r="A56" s="11">
        <v>43142</v>
      </c>
      <c r="B56" s="379">
        <f>'2022'!Maxi_hp</f>
        <v>31.561088268066062</v>
      </c>
      <c r="C56" s="13">
        <f>'2022'!An_max</f>
        <v>2021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37.458566763637847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37.394956924092753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37.371936416572758</v>
      </c>
      <c r="AZ56" s="735">
        <f t="shared" si="26"/>
        <v>37.383446670332759</v>
      </c>
      <c r="BA56" s="633">
        <f t="shared" si="21"/>
        <v>0.84255995343375911</v>
      </c>
      <c r="BC56" s="11">
        <v>43142</v>
      </c>
      <c r="BD56" s="289">
        <f>[3]!FeuilCaduc*(1-Persistant)+Persistant</f>
        <v>0.50103718963853894</v>
      </c>
      <c r="BE56" s="290">
        <f>[3]!CroissVégét</f>
        <v>6.0826946947814143E-3</v>
      </c>
      <c r="BF56" s="804">
        <f>1+[3]!Salcycl*Ksac</f>
        <v>1.000103718963854</v>
      </c>
      <c r="BH56" s="1036">
        <f t="shared" si="22"/>
        <v>1.341959815261776E-2</v>
      </c>
      <c r="BI56" s="11">
        <v>44238</v>
      </c>
      <c r="BJ56" s="715">
        <v>1.4377616807489061E-3</v>
      </c>
      <c r="BK56" s="715">
        <v>2.1450259399036476E-3</v>
      </c>
      <c r="BL56" s="715">
        <v>4.5791394512966948E-3</v>
      </c>
      <c r="BM56" s="715">
        <v>9.294658849524946E-3</v>
      </c>
      <c r="BN56" s="715">
        <v>1.7559206402536092E-2</v>
      </c>
      <c r="BO56" s="716">
        <v>3.3060484421789403E-2</v>
      </c>
      <c r="BP56" s="715">
        <v>5.6463448281614342E-2</v>
      </c>
      <c r="BQ56" s="715">
        <v>8.8446485688615309E-2</v>
      </c>
      <c r="BR56" s="715">
        <v>0.13063244935212978</v>
      </c>
      <c r="BS56" s="715">
        <v>0.18275862642986648</v>
      </c>
      <c r="BT56" s="715">
        <v>0.24270582520795891</v>
      </c>
      <c r="BW56" s="1190">
        <f>'2019'!R\Max</f>
        <v>0</v>
      </c>
      <c r="BX56" s="1190">
        <f>'2020'!R\Max</f>
        <v>0.2335397137532193</v>
      </c>
      <c r="BY56" s="1190">
        <f>'2021'!R\Max</f>
        <v>0.84255995343375911</v>
      </c>
      <c r="BZ56" s="1190">
        <f>'2022'!R\Max</f>
        <v>0.50956478996182131</v>
      </c>
      <c r="CA56" s="1190">
        <f>'2023'!R\Max</f>
        <v>0.50926272518759208</v>
      </c>
      <c r="CB56" s="1190">
        <f>'2024'!R\Max</f>
        <v>0.50896002969860077</v>
      </c>
      <c r="CC56" s="1190">
        <f>'2025'!R\Max</f>
        <v>0.5085467627328053</v>
      </c>
      <c r="CD56" s="1190">
        <f>'2026'!R\Max</f>
        <v>0.5081326404230615</v>
      </c>
      <c r="CE56" s="1191">
        <f>'2027'!R\Max</f>
        <v>0.50997087452224399</v>
      </c>
      <c r="CF56" s="1193">
        <f>'2028'!R\Max</f>
        <v>0.50977521450388064</v>
      </c>
    </row>
    <row r="57" spans="1:84" s="6" customFormat="1" ht="11.25" x14ac:dyDescent="0.2">
      <c r="A57" s="11">
        <v>43143</v>
      </c>
      <c r="B57" s="379">
        <f>'2022'!Maxi_hp</f>
        <v>29.265897627745993</v>
      </c>
      <c r="C57" s="13">
        <f>'2022'!An_max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37.831974999886008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37.765303124615457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37.763822634937242</v>
      </c>
      <c r="AZ57" s="735">
        <f t="shared" si="26"/>
        <v>37.764562879776349</v>
      </c>
      <c r="BA57" s="633">
        <f t="shared" si="21"/>
        <v>0.77357572867486235</v>
      </c>
      <c r="BC57" s="11">
        <v>43143</v>
      </c>
      <c r="BD57" s="289">
        <f>[3]!FeuilCaduc*(1-Persistant)+Persistant</f>
        <v>0.50118380485851821</v>
      </c>
      <c r="BE57" s="290">
        <f>[3]!CroissVégét</f>
        <v>6.3938522678270975E-3</v>
      </c>
      <c r="BF57" s="804">
        <f>1+[3]!Salcycl*Ksac</f>
        <v>1.0001183804858518</v>
      </c>
      <c r="BH57" s="1036">
        <f t="shared" si="22"/>
        <v>1.2974357643954364E-2</v>
      </c>
      <c r="BI57" s="11">
        <v>44239</v>
      </c>
      <c r="BJ57" s="715">
        <v>1.332885404292816E-3</v>
      </c>
      <c r="BK57" s="715">
        <v>2.0047436977383916E-3</v>
      </c>
      <c r="BL57" s="715">
        <v>4.3315690266397706E-3</v>
      </c>
      <c r="BM57" s="715">
        <v>8.9428758081082863E-3</v>
      </c>
      <c r="BN57" s="715">
        <v>1.7020176076858667E-2</v>
      </c>
      <c r="BO57" s="716">
        <v>3.2297472480009005E-2</v>
      </c>
      <c r="BP57" s="715">
        <v>5.528047591397417E-2</v>
      </c>
      <c r="BQ57" s="715">
        <v>8.6796803242424989E-2</v>
      </c>
      <c r="BR57" s="715">
        <v>0.12833325405944093</v>
      </c>
      <c r="BS57" s="715">
        <v>0.18005480682557795</v>
      </c>
      <c r="BT57" s="715">
        <v>0.23977954658544678</v>
      </c>
      <c r="BW57" s="1190">
        <f>'2019'!R\Max</f>
        <v>0</v>
      </c>
      <c r="BX57" s="1190">
        <f>'2020'!R\Max</f>
        <v>0.55026830259131687</v>
      </c>
      <c r="BY57" s="1190">
        <f>'2021'!R\Max</f>
        <v>0.14493673086495998</v>
      </c>
      <c r="BZ57" s="1190">
        <f>'2022'!R\Max</f>
        <v>0.77357572867486235</v>
      </c>
      <c r="CA57" s="1190">
        <f>'2023'!R\Max</f>
        <v>0.77336974976244388</v>
      </c>
      <c r="CB57" s="1190">
        <f>'2024'!R\Max</f>
        <v>0.77316318731962808</v>
      </c>
      <c r="CC57" s="1190">
        <f>'2025'!R\Max</f>
        <v>0.7728800409639861</v>
      </c>
      <c r="CD57" s="1190">
        <f>'2026'!R\Max</f>
        <v>0.77259604418967021</v>
      </c>
      <c r="CE57" s="1191">
        <f>'2027'!R\Max</f>
        <v>0.7738534369299086</v>
      </c>
      <c r="CF57" s="1193">
        <f>'2028'!R\Max</f>
        <v>0.77371967255574969</v>
      </c>
    </row>
    <row r="58" spans="1:84" s="6" customFormat="1" ht="11.25" x14ac:dyDescent="0.2">
      <c r="A58" s="11">
        <v>43144</v>
      </c>
      <c r="B58" s="379">
        <f>'2022'!Maxi_hp</f>
        <v>35.818160403759038</v>
      </c>
      <c r="C58" s="13">
        <f>'2022'!An_max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38.206151603295332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38.138242565308303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38.155123106589805</v>
      </c>
      <c r="AZ58" s="735">
        <f t="shared" si="26"/>
        <v>38.146682835949051</v>
      </c>
      <c r="BA58" s="633">
        <f t="shared" si="21"/>
        <v>0.93749720661919989</v>
      </c>
      <c r="BC58" s="11">
        <v>43144</v>
      </c>
      <c r="BD58" s="289">
        <f>[3]!FeuilCaduc*(1-Persistant)+Persistant</f>
        <v>0.50133488110675972</v>
      </c>
      <c r="BE58" s="290">
        <f>[3]!CroissVégét</f>
        <v>6.7178564099054624E-3</v>
      </c>
      <c r="BF58" s="804">
        <f>1+[3]!Salcycl*Ksac</f>
        <v>1.000133488110676</v>
      </c>
      <c r="BH58" s="1036">
        <f t="shared" si="22"/>
        <v>1.2512538440973636E-2</v>
      </c>
      <c r="BI58" s="11">
        <v>44240</v>
      </c>
      <c r="BJ58" s="715">
        <v>1.2299566980778843E-3</v>
      </c>
      <c r="BK58" s="715">
        <v>1.8672174919536185E-3</v>
      </c>
      <c r="BL58" s="715">
        <v>4.0778502663634825E-3</v>
      </c>
      <c r="BM58" s="715">
        <v>8.5756619305276446E-3</v>
      </c>
      <c r="BN58" s="715">
        <v>1.6463415116742562E-2</v>
      </c>
      <c r="BO58" s="716">
        <v>3.1505174892227358E-2</v>
      </c>
      <c r="BP58" s="715">
        <v>5.4081845093843679E-2</v>
      </c>
      <c r="BQ58" s="715">
        <v>8.5125686064377273E-2</v>
      </c>
      <c r="BR58" s="715">
        <v>0.12601371647162146</v>
      </c>
      <c r="BS58" s="715">
        <v>0.17724600071040972</v>
      </c>
      <c r="BT58" s="715">
        <v>0.23661519104836964</v>
      </c>
      <c r="BW58" s="1190">
        <f>'2019'!R\Max</f>
        <v>0</v>
      </c>
      <c r="BX58" s="1190">
        <f>'2020'!R\Max</f>
        <v>0.46095778947456056</v>
      </c>
      <c r="BY58" s="1190">
        <f>'2021'!R\Max</f>
        <v>0.21972646938171986</v>
      </c>
      <c r="BZ58" s="1190">
        <f>'2022'!R\Max</f>
        <v>0.93749720661919989</v>
      </c>
      <c r="CA58" s="1190">
        <f>'2023'!R\Max</f>
        <v>0.9374301499566835</v>
      </c>
      <c r="CB58" s="1190">
        <f>'2024'!R\Max</f>
        <v>0.93736287075616709</v>
      </c>
      <c r="CC58" s="1190">
        <f>'2025'!R\Max</f>
        <v>0.93727036976665745</v>
      </c>
      <c r="CD58" s="1190">
        <f>'2026'!R\Max</f>
        <v>0.93717753716871677</v>
      </c>
      <c r="CE58" s="1191">
        <f>'2027'!R\Max</f>
        <v>0.93758779081269517</v>
      </c>
      <c r="CF58" s="1193">
        <f>'2028'!R\Max</f>
        <v>0.93754416834096121</v>
      </c>
    </row>
    <row r="59" spans="1:84" s="6" customFormat="1" ht="11.25" x14ac:dyDescent="0.2">
      <c r="A59" s="11">
        <v>43145</v>
      </c>
      <c r="B59" s="379">
        <f>'2022'!Maxi_hp</f>
        <v>38.116109222133424</v>
      </c>
      <c r="C59" s="13">
        <f>'2022'!An_max</f>
        <v>2021</v>
      </c>
      <c r="D59" s="1045">
        <f t="shared" si="7"/>
        <v>0.98795060406929569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38.580986807575179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38.513541991488147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38.545312380727509</v>
      </c>
      <c r="AZ59" s="735">
        <f t="shared" si="26"/>
        <v>38.529427186107824</v>
      </c>
      <c r="BA59" s="633">
        <f t="shared" si="21"/>
        <v>0.98795060406929569</v>
      </c>
      <c r="BC59" s="11">
        <v>43145</v>
      </c>
      <c r="BD59" s="289">
        <f>[3]!FeuilCaduc*(1-Persistant)+Persistant</f>
        <v>0.50148931065168578</v>
      </c>
      <c r="BE59" s="290">
        <f>[3]!CroissVégét</f>
        <v>7.0552285378688686E-3</v>
      </c>
      <c r="BF59" s="804">
        <f>1+[3]!Salcycl*Ksac</f>
        <v>1.0001489310651686</v>
      </c>
      <c r="BH59" s="1036">
        <f t="shared" si="22"/>
        <v>1.2051293099349148E-2</v>
      </c>
      <c r="BI59" s="11">
        <v>44241</v>
      </c>
      <c r="BJ59" s="715">
        <v>1.1288525086155536E-3</v>
      </c>
      <c r="BK59" s="715">
        <v>1.7322203953009574E-3</v>
      </c>
      <c r="BL59" s="715">
        <v>3.8300431578408597E-3</v>
      </c>
      <c r="BM59" s="715">
        <v>8.2109323120563432E-3</v>
      </c>
      <c r="BN59" s="715">
        <v>1.5905310826548287E-2</v>
      </c>
      <c r="BO59" s="716">
        <v>3.0688038645337312E-2</v>
      </c>
      <c r="BP59" s="715">
        <v>5.2850347278585515E-2</v>
      </c>
      <c r="BQ59" s="715">
        <v>8.3415646110030606E-2</v>
      </c>
      <c r="BR59" s="715">
        <v>0.12366691879248511</v>
      </c>
      <c r="BS59" s="715">
        <v>0.17436947746899514</v>
      </c>
      <c r="BT59" s="715">
        <v>0.23329763676126755</v>
      </c>
      <c r="BW59" s="1190">
        <f>'2019'!R\Max</f>
        <v>0</v>
      </c>
      <c r="BX59" s="1190">
        <f>'2020'!R\Max</f>
        <v>0.82848061874930357</v>
      </c>
      <c r="BY59" s="1190">
        <f>'2021'!R\Max</f>
        <v>0.98795060406929569</v>
      </c>
      <c r="BZ59" s="1190">
        <f>'2022'!R\Max</f>
        <v>0.43545581385275373</v>
      </c>
      <c r="CA59" s="1190">
        <f>'2023'!R\Max</f>
        <v>0.43518241118618284</v>
      </c>
      <c r="CB59" s="1190">
        <f>'2024'!R\Max</f>
        <v>0.43490837835611296</v>
      </c>
      <c r="CC59" s="1190">
        <f>'2025'!R\Max</f>
        <v>0.43453106339780562</v>
      </c>
      <c r="CD59" s="1190">
        <f>'2026'!R\Max</f>
        <v>0.43415295948272292</v>
      </c>
      <c r="CE59" s="1191">
        <f>'2027'!R\Max</f>
        <v>0.43582609898142177</v>
      </c>
      <c r="CF59" s="1193">
        <f>'2028'!R\Max</f>
        <v>0.43564772444657118</v>
      </c>
    </row>
    <row r="60" spans="1:84" s="6" customFormat="1" ht="11.25" x14ac:dyDescent="0.2">
      <c r="A60" s="11">
        <v>43146</v>
      </c>
      <c r="B60" s="379">
        <f>'2022'!Maxi_hp</f>
        <v>37.957548920378891</v>
      </c>
      <c r="C60" s="13">
        <f>'2022'!An_max</f>
        <v>2020</v>
      </c>
      <c r="D60" s="1045">
        <f t="shared" si="7"/>
        <v>0.97436049859415608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38.95637084543705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38.890968148769545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38.933865006347851</v>
      </c>
      <c r="AZ60" s="735">
        <f t="shared" si="26"/>
        <v>38.912416577558702</v>
      </c>
      <c r="BA60" s="633">
        <f t="shared" si="21"/>
        <v>0.97436049859415608</v>
      </c>
      <c r="BC60" s="11">
        <v>43146</v>
      </c>
      <c r="BD60" s="289">
        <f>[3]!FeuilCaduc*(1-Persistant)+Persistant</f>
        <v>0.50164601709951107</v>
      </c>
      <c r="BE60" s="290">
        <f>[3]!CroissVégét</f>
        <v>7.4065104705297478E-3</v>
      </c>
      <c r="BF60" s="804">
        <f>1+[3]!Salcycl*Ksac</f>
        <v>1.000164601709951</v>
      </c>
      <c r="BH60" s="1036">
        <f t="shared" si="22"/>
        <v>1.1590630426233272E-2</v>
      </c>
      <c r="BI60" s="11">
        <v>44242</v>
      </c>
      <c r="BJ60" s="715">
        <v>1.0295724618243299E-3</v>
      </c>
      <c r="BK60" s="715">
        <v>1.5997521679208526E-3</v>
      </c>
      <c r="BL60" s="715">
        <v>3.5881477708681604E-3</v>
      </c>
      <c r="BM60" s="715">
        <v>7.8486917759726417E-3</v>
      </c>
      <c r="BN60" s="715">
        <v>1.5345876011469617E-2</v>
      </c>
      <c r="BO60" s="716">
        <v>2.9846097262282083E-2</v>
      </c>
      <c r="BP60" s="715">
        <v>5.1586040166514975E-2</v>
      </c>
      <c r="BQ60" s="715">
        <v>8.1666774454801971E-2</v>
      </c>
      <c r="BR60" s="715">
        <v>0.12129299124350669</v>
      </c>
      <c r="BS60" s="715">
        <v>0.1714254335275065</v>
      </c>
      <c r="BT60" s="715">
        <v>0.22982716867331049</v>
      </c>
      <c r="BW60" s="1190">
        <f>'2019'!R\Max</f>
        <v>0</v>
      </c>
      <c r="BX60" s="1190">
        <f>'2020'!R\Max</f>
        <v>0.97436049859415608</v>
      </c>
      <c r="BY60" s="1190">
        <f>'2021'!R\Max</f>
        <v>0.92017943872236452</v>
      </c>
      <c r="BZ60" s="1190">
        <f>'2022'!R\Max</f>
        <v>0.52025232934948262</v>
      </c>
      <c r="CA60" s="1190">
        <f>'2023'!R\Max</f>
        <v>0.51998256168066392</v>
      </c>
      <c r="CB60" s="1190">
        <f>'2024'!R\Max</f>
        <v>0.51971208211314812</v>
      </c>
      <c r="CC60" s="1190">
        <f>'2025'!R\Max</f>
        <v>0.5193384239685026</v>
      </c>
      <c r="CD60" s="1190">
        <f>'2026'!R\Max</f>
        <v>0.51896385073013207</v>
      </c>
      <c r="CE60" s="1191">
        <f>'2027'!R\Max</f>
        <v>0.52061763092714708</v>
      </c>
      <c r="CF60" s="1193">
        <f>'2028'!R\Max</f>
        <v>0.52044168169874783</v>
      </c>
    </row>
    <row r="61" spans="1:84" s="6" customFormat="1" ht="11.25" x14ac:dyDescent="0.2">
      <c r="A61" s="11">
        <v>43147</v>
      </c>
      <c r="B61" s="379">
        <f>'2022'!Maxi_hp</f>
        <v>33.411514000889703</v>
      </c>
      <c r="C61" s="13">
        <f>'2022'!An_max</f>
        <v>2021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39.332193950450574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39.270287782088516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39.320255532178898</v>
      </c>
      <c r="AZ61" s="735">
        <f t="shared" si="26"/>
        <v>39.295271657133711</v>
      </c>
      <c r="BA61" s="633">
        <f t="shared" si="21"/>
        <v>0.84946987811004004</v>
      </c>
      <c r="BC61" s="11">
        <v>43147</v>
      </c>
      <c r="BD61" s="289">
        <f>[3]!FeuilCaduc*(1-Persistant)+Persistant</f>
        <v>0.50180397109796426</v>
      </c>
      <c r="BE61" s="290">
        <f>[3]!CroissVégét</f>
        <v>7.7722651621059055E-3</v>
      </c>
      <c r="BF61" s="804">
        <f>1+[3]!Salcycl*Ksac</f>
        <v>1.0001803971097964</v>
      </c>
      <c r="BH61" s="1036">
        <f t="shared" si="22"/>
        <v>1.1130556940208199E-2</v>
      </c>
      <c r="BI61" s="11">
        <v>44243</v>
      </c>
      <c r="BJ61" s="715">
        <v>9.3211573984749681E-4</v>
      </c>
      <c r="BK61" s="715">
        <v>1.4698119806604746E-3</v>
      </c>
      <c r="BL61" s="715">
        <v>3.3521631372096638E-3</v>
      </c>
      <c r="BM61" s="715">
        <v>7.4889434051745975E-3</v>
      </c>
      <c r="BN61" s="715">
        <v>1.4785120637990729E-2</v>
      </c>
      <c r="BO61" s="716">
        <v>2.8979379327143284E-2</v>
      </c>
      <c r="BP61" s="715">
        <v>5.0288974171024355E-2</v>
      </c>
      <c r="BQ61" s="715">
        <v>7.9879152291358099E-2</v>
      </c>
      <c r="BR61" s="715">
        <v>0.11889205138304428</v>
      </c>
      <c r="BS61" s="715">
        <v>0.16841404861989287</v>
      </c>
      <c r="BT61" s="715">
        <v>0.2262040499145043</v>
      </c>
      <c r="BW61" s="1190">
        <f>'2019'!R\Max</f>
        <v>0</v>
      </c>
      <c r="BX61" s="1190">
        <f>'2020'!R\Max</f>
        <v>0.5707296919384941</v>
      </c>
      <c r="BY61" s="1190">
        <f>'2021'!R\Max</f>
        <v>0.84946987811004004</v>
      </c>
      <c r="BZ61" s="1190">
        <f>'2022'!R\Max</f>
        <v>0.25336724458791027</v>
      </c>
      <c r="CA61" s="1190">
        <f>'2023'!R\Max</f>
        <v>0.25318103091678901</v>
      </c>
      <c r="CB61" s="1190">
        <f>'2024'!R\Max</f>
        <v>0.25299438333538538</v>
      </c>
      <c r="CC61" s="1190">
        <f>'2025'!R\Max</f>
        <v>0.25273580987412125</v>
      </c>
      <c r="CD61" s="1190">
        <f>'2026'!R\Max</f>
        <v>0.25247674267903286</v>
      </c>
      <c r="CE61" s="1191">
        <f>'2027'!R\Max</f>
        <v>0.25361923808484199</v>
      </c>
      <c r="CF61" s="1193">
        <f>'2028'!R\Max</f>
        <v>0.25349785270837549</v>
      </c>
    </row>
    <row r="62" spans="1:84" s="6" customFormat="1" ht="11.25" x14ac:dyDescent="0.2">
      <c r="A62" s="11">
        <v>43148</v>
      </c>
      <c r="B62" s="379">
        <f>'2022'!Maxi_hp</f>
        <v>36.826584894030596</v>
      </c>
      <c r="C62" s="13">
        <f>'2022'!An_max</f>
        <v>2021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39.708346355600021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39.651267638253714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39.703958507055155</v>
      </c>
      <c r="AZ62" s="735">
        <f t="shared" si="26"/>
        <v>39.677613072654438</v>
      </c>
      <c r="BA62" s="633">
        <f t="shared" si="21"/>
        <v>0.92742680755923712</v>
      </c>
      <c r="BC62" s="11">
        <v>43148</v>
      </c>
      <c r="BD62" s="289">
        <f>[3]!FeuilCaduc*(1-Persistant)+Persistant</f>
        <v>0.5019622059444524</v>
      </c>
      <c r="BE62" s="290">
        <f>[3]!CroissVégét</f>
        <v>8.1530774564185747E-3</v>
      </c>
      <c r="BF62" s="804">
        <f>1+[3]!Salcycl*Ksac</f>
        <v>1.0001962205944452</v>
      </c>
      <c r="BH62" s="1036">
        <f t="shared" si="22"/>
        <v>1.0671076876968402E-2</v>
      </c>
      <c r="BI62" s="11">
        <v>44244</v>
      </c>
      <c r="BJ62" s="715">
        <v>8.3648110361926088E-4</v>
      </c>
      <c r="BK62" s="715">
        <v>1.3423984463581645E-3</v>
      </c>
      <c r="BL62" s="715">
        <v>3.1220873238764026E-3</v>
      </c>
      <c r="BM62" s="715">
        <v>7.1316885721366477E-3</v>
      </c>
      <c r="BN62" s="715">
        <v>1.4223051815208195E-2</v>
      </c>
      <c r="BO62" s="716">
        <v>2.8087908171291007E-2</v>
      </c>
      <c r="BP62" s="715">
        <v>4.8959192004443763E-2</v>
      </c>
      <c r="BQ62" s="715">
        <v>7.8052850435369844E-2</v>
      </c>
      <c r="BR62" s="715">
        <v>0.11646420375493673</v>
      </c>
      <c r="BS62" s="715">
        <v>0.16533548492694974</v>
      </c>
      <c r="BT62" s="715">
        <v>0.22242851986169498</v>
      </c>
      <c r="BW62" s="1190">
        <f>'2019'!R\Max</f>
        <v>0</v>
      </c>
      <c r="BX62" s="1190">
        <f>'2020'!R\Max</f>
        <v>0.15098640650973319</v>
      </c>
      <c r="BY62" s="1190">
        <f>'2021'!R\Max</f>
        <v>0.92742680755923712</v>
      </c>
      <c r="BZ62" s="1190">
        <f>'2022'!R\Max</f>
        <v>0.31270219365719959</v>
      </c>
      <c r="CA62" s="1190">
        <f>'2023'!R\Max</f>
        <v>0.31248332566880921</v>
      </c>
      <c r="CB62" s="1190">
        <f>'2024'!R\Max</f>
        <v>0.31226390195056364</v>
      </c>
      <c r="CC62" s="1190">
        <f>'2025'!R\Max</f>
        <v>0.31195879167965973</v>
      </c>
      <c r="CD62" s="1190">
        <f>'2026'!R\Max</f>
        <v>0.31165304691660789</v>
      </c>
      <c r="CE62" s="1191">
        <f>'2027'!R\Max</f>
        <v>0.31299761180101454</v>
      </c>
      <c r="CF62" s="1193">
        <f>'2028'!R\Max</f>
        <v>0.31285531972228481</v>
      </c>
    </row>
    <row r="63" spans="1:84" s="6" customFormat="1" ht="11.25" x14ac:dyDescent="0.2">
      <c r="A63" s="11">
        <v>43149</v>
      </c>
      <c r="B63" s="379">
        <f>'2022'!Maxi_hp</f>
        <v>32.083253619797951</v>
      </c>
      <c r="C63" s="13">
        <f>'2022'!An_max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40.08471829447496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40.033674462370776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40.084448480053936</v>
      </c>
      <c r="AZ63" s="735">
        <f t="shared" si="26"/>
        <v>40.05906147121236</v>
      </c>
      <c r="BA63" s="633">
        <f t="shared" si="21"/>
        <v>0.80038615674193514</v>
      </c>
      <c r="BC63" s="11">
        <v>43149</v>
      </c>
      <c r="BD63" s="289">
        <f>[3]!FeuilCaduc*(1-Persistant)+Persistant</f>
        <v>0.50211983293805695</v>
      </c>
      <c r="BE63" s="290">
        <f>[3]!CroissVégét</f>
        <v>8.5495548619151183E-3</v>
      </c>
      <c r="BF63" s="804">
        <f>1+[3]!Salcycl*Ksac</f>
        <v>1.0002119832938057</v>
      </c>
      <c r="BH63" s="1036">
        <f t="shared" si="22"/>
        <v>1.0212192194849288E-2</v>
      </c>
      <c r="BI63" s="11">
        <v>44245</v>
      </c>
      <c r="BJ63" s="715">
        <v>7.4266691541694299E-4</v>
      </c>
      <c r="BK63" s="715">
        <v>1.2175096511063065E-3</v>
      </c>
      <c r="BL63" s="715">
        <v>2.8979175063567984E-3</v>
      </c>
      <c r="BM63" s="715">
        <v>6.776926968761865E-3</v>
      </c>
      <c r="BN63" s="715">
        <v>1.3659673775949559E-2</v>
      </c>
      <c r="BO63" s="716">
        <v>2.7171701559139599E-2</v>
      </c>
      <c r="BP63" s="715">
        <v>4.759672826122141E-2</v>
      </c>
      <c r="BQ63" s="715">
        <v>7.6187928830191029E-2</v>
      </c>
      <c r="BR63" s="715">
        <v>0.1140095395355034</v>
      </c>
      <c r="BS63" s="715">
        <v>0.16218988621313143</v>
      </c>
      <c r="BT63" s="715">
        <v>0.21850079220155075</v>
      </c>
      <c r="BW63" s="1190">
        <f>'2019'!R\Max</f>
        <v>0</v>
      </c>
      <c r="BX63" s="1190">
        <f>'2020'!R\Max</f>
        <v>0.74719047317004905</v>
      </c>
      <c r="BY63" s="1190">
        <f>'2021'!R\Max</f>
        <v>0.4360666791101046</v>
      </c>
      <c r="BZ63" s="1190">
        <f>'2022'!R\Max</f>
        <v>0.80038615674193514</v>
      </c>
      <c r="CA63" s="1190">
        <f>'2023'!R\Max</f>
        <v>0.80022830548071699</v>
      </c>
      <c r="CB63" s="1190">
        <f>'2024'!R\Max</f>
        <v>0.80006986981717088</v>
      </c>
      <c r="CC63" s="1190">
        <f>'2025'!R\Max</f>
        <v>0.79984842546310364</v>
      </c>
      <c r="CD63" s="1190">
        <f>'2026'!R\Max</f>
        <v>0.79962618856265133</v>
      </c>
      <c r="CE63" s="1191">
        <f>'2027'!R\Max</f>
        <v>0.8005981289298586</v>
      </c>
      <c r="CF63" s="1193">
        <f>'2028'!R\Max</f>
        <v>0.8004960705240326</v>
      </c>
    </row>
    <row r="64" spans="1:84" s="6" customFormat="1" ht="11.25" x14ac:dyDescent="0.2">
      <c r="A64" s="11">
        <v>43150</v>
      </c>
      <c r="B64" s="379">
        <f>'2022'!Maxi_hp</f>
        <v>39.436937045771522</v>
      </c>
      <c r="C64" s="13">
        <f>'2022'!An_max</f>
        <v>2021</v>
      </c>
      <c r="D64" s="1045">
        <f t="shared" si="7"/>
        <v>0.97468530458309854</v>
      </c>
      <c r="E64" s="1040">
        <f>Q$13/10</f>
        <v>40.461200000000005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40.461199999973175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40.417274999734943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40.461199999786913</v>
      </c>
      <c r="AZ64" s="735">
        <f t="shared" si="26"/>
        <v>40.439237499760928</v>
      </c>
      <c r="BA64" s="633">
        <f t="shared" si="21"/>
        <v>0.97468530458309854</v>
      </c>
      <c r="BC64" s="11">
        <v>43150</v>
      </c>
      <c r="BD64" s="289">
        <f>[3]!FeuilCaduc*(1-Persistant)+Persistant</f>
        <v>0.50227605632094996</v>
      </c>
      <c r="BE64" s="290">
        <f>[3]!CroissVégét</f>
        <v>8.9623283475330478E-3</v>
      </c>
      <c r="BF64" s="804">
        <f>1+[3]!Salcycl*Ksac</f>
        <v>1.0002276056320949</v>
      </c>
      <c r="BH64" s="1036">
        <f t="shared" si="22"/>
        <v>9.7539025804599076E-3</v>
      </c>
      <c r="BI64" s="11">
        <v>44246</v>
      </c>
      <c r="BJ64" s="715">
        <v>6.5067116142231054E-4</v>
      </c>
      <c r="BK64" s="715">
        <v>1.095143185528449E-3</v>
      </c>
      <c r="BL64" s="715">
        <v>2.6796500418793524E-3</v>
      </c>
      <c r="BM64" s="715">
        <v>6.424656636304509E-3</v>
      </c>
      <c r="BN64" s="715">
        <v>1.3094987858029804E-2</v>
      </c>
      <c r="BO64" s="716">
        <v>2.6230771374171662E-2</v>
      </c>
      <c r="BP64" s="715">
        <v>4.6201609001568202E-2</v>
      </c>
      <c r="BQ64" s="715">
        <v>7.4284436052272196E-2</v>
      </c>
      <c r="BR64" s="715">
        <v>0.11152813618163732</v>
      </c>
      <c r="BS64" s="715">
        <v>0.15897737696491046</v>
      </c>
      <c r="BT64" s="715">
        <v>0.21442105299561706</v>
      </c>
      <c r="BW64" s="1190">
        <f>'2019'!R\Max</f>
        <v>0</v>
      </c>
      <c r="BX64" s="1190">
        <f>'2020'!R\Max</f>
        <v>0.69067059374688689</v>
      </c>
      <c r="BY64" s="1190">
        <f>'2021'!R\Max</f>
        <v>0.97468530458309854</v>
      </c>
      <c r="BZ64" s="1190">
        <f>'2022'!R\Max</f>
        <v>0.5378217372408296</v>
      </c>
      <c r="CA64" s="1190">
        <f>'2023'!R\Max</f>
        <v>0.53758384070699072</v>
      </c>
      <c r="CB64" s="1190">
        <f>'2024'!R\Max</f>
        <v>0.5373451407704174</v>
      </c>
      <c r="CC64" s="1190">
        <f>'2025'!R\Max</f>
        <v>0.53701027599711959</v>
      </c>
      <c r="CD64" s="1190">
        <f>'2026'!R\Max</f>
        <v>0.53667441062044496</v>
      </c>
      <c r="CE64" s="1191">
        <f>'2027'!R\Max</f>
        <v>0.53813962970463325</v>
      </c>
      <c r="CF64" s="1193">
        <f>'2028'!R\Max</f>
        <v>0.53798655491210112</v>
      </c>
    </row>
    <row r="65" spans="1:84" s="6" customFormat="1" ht="11.25" x14ac:dyDescent="0.2">
      <c r="A65" s="11">
        <v>43151</v>
      </c>
      <c r="B65" s="379">
        <f>'2022'!Maxi_hp</f>
        <v>41.467946828147284</v>
      </c>
      <c r="C65" s="13">
        <f>'2022'!An_max</f>
        <v>2020</v>
      </c>
      <c r="D65" s="1045">
        <f t="shared" si="7"/>
        <v>1.0154265973490231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40.837956122488585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40.801835996517084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40.837709146947603</v>
      </c>
      <c r="AZ65" s="735">
        <f t="shared" si="26"/>
        <v>40.819772571732344</v>
      </c>
      <c r="BA65" s="633">
        <f t="shared" si="21"/>
        <v>1.0154265973490231</v>
      </c>
      <c r="BC65" s="11">
        <v>43151</v>
      </c>
      <c r="BD65" s="289">
        <f>[3]!FeuilCaduc*(1-Persistant)+Persistant</f>
        <v>0.50243018766248881</v>
      </c>
      <c r="BE65" s="290">
        <f>[3]!CroissVégét</f>
        <v>9.3920531593536197E-3</v>
      </c>
      <c r="BF65" s="804">
        <f>1+[3]!Salcycl*Ksac</f>
        <v>1.0002430187662488</v>
      </c>
      <c r="BH65" s="1036">
        <f t="shared" si="22"/>
        <v>9.2962054542495148E-3</v>
      </c>
      <c r="BI65" s="11">
        <v>44247</v>
      </c>
      <c r="BJ65" s="715">
        <v>5.6049147427761673E-4</v>
      </c>
      <c r="BK65" s="715">
        <v>9.7529617604796826E-4</v>
      </c>
      <c r="BL65" s="715">
        <v>2.4672805426557815E-3</v>
      </c>
      <c r="BM65" s="715">
        <v>6.0748739952483505E-3</v>
      </c>
      <c r="BN65" s="715">
        <v>1.2528992485419714E-2</v>
      </c>
      <c r="BO65" s="716">
        <v>2.5265123304788917E-2</v>
      </c>
      <c r="BP65" s="715">
        <v>4.4773851334800524E-2</v>
      </c>
      <c r="BQ65" s="715">
        <v>7.2342408816094203E-2</v>
      </c>
      <c r="BR65" s="715">
        <v>0.10902005707818101</v>
      </c>
      <c r="BS65" s="715">
        <v>0.15569806152811858</v>
      </c>
      <c r="BT65" s="715">
        <v>0.21018945874400422</v>
      </c>
      <c r="BW65" s="1190">
        <f>'2019'!R\Max</f>
        <v>0</v>
      </c>
      <c r="BX65" s="1190">
        <f>'2020'!R\Max</f>
        <v>1.0154265973490231</v>
      </c>
      <c r="BY65" s="1190">
        <f>'2021'!R\Max</f>
        <v>0.79437935287773687</v>
      </c>
      <c r="BZ65" s="1190">
        <f>'2022'!R\Max</f>
        <v>0.52965479399190185</v>
      </c>
      <c r="CA65" s="1190">
        <f>'2023'!R\Max</f>
        <v>0.52942397406446196</v>
      </c>
      <c r="CB65" s="1190">
        <f>'2024'!R\Max</f>
        <v>0.5291923289825412</v>
      </c>
      <c r="CC65" s="1190">
        <f>'2025'!R\Max</f>
        <v>0.52886584083591559</v>
      </c>
      <c r="CD65" s="1190">
        <f>'2026'!R\Max</f>
        <v>0.52853833357078739</v>
      </c>
      <c r="CE65" s="1191">
        <f>'2027'!R\Max</f>
        <v>0.5299610131403093</v>
      </c>
      <c r="CF65" s="1193">
        <f>'2028'!R\Max</f>
        <v>0.52981356718929207</v>
      </c>
    </row>
    <row r="66" spans="1:84" s="6" customFormat="1" ht="11.25" x14ac:dyDescent="0.2">
      <c r="A66" s="11">
        <v>43152</v>
      </c>
      <c r="B66" s="379">
        <f>'2022'!Maxi_hp</f>
        <v>23.950887388071926</v>
      </c>
      <c r="C66" s="13">
        <f>'2022'!An_max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41.215224489769234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41.187124198156276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41.217602769445094</v>
      </c>
      <c r="AZ66" s="735">
        <f t="shared" si="26"/>
        <v>41.202363483800681</v>
      </c>
      <c r="BA66" s="633">
        <f t="shared" si="21"/>
        <v>0.58111747987730122</v>
      </c>
      <c r="BC66" s="11">
        <v>43152</v>
      </c>
      <c r="BD66" s="289">
        <f>[3]!FeuilCaduc*(1-Persistant)+Persistant</f>
        <v>0.50258165954828615</v>
      </c>
      <c r="BE66" s="290">
        <f>[3]!CroissVégét</f>
        <v>9.8394096579268626E-3</v>
      </c>
      <c r="BF66" s="804">
        <f>1+[3]!Salcycl*Ksac</f>
        <v>1.0002581659548286</v>
      </c>
      <c r="BH66" s="1036">
        <f t="shared" si="22"/>
        <v>8.8489924184000177E-3</v>
      </c>
      <c r="BI66" s="11">
        <v>44248</v>
      </c>
      <c r="BJ66" s="715">
        <v>4.7686757123503986E-4</v>
      </c>
      <c r="BK66" s="715">
        <v>8.6378903796258089E-4</v>
      </c>
      <c r="BL66" s="715">
        <v>2.2678563153152049E-3</v>
      </c>
      <c r="BM66" s="715">
        <v>5.7360854784975291E-3</v>
      </c>
      <c r="BN66" s="715">
        <v>1.1972969355463428E-2</v>
      </c>
      <c r="BO66" s="716">
        <v>2.4292158576002493E-2</v>
      </c>
      <c r="BP66" s="715">
        <v>4.3324823769602942E-2</v>
      </c>
      <c r="BQ66" s="715">
        <v>7.035633111041735E-2</v>
      </c>
      <c r="BR66" s="715">
        <v>0.10645770156688539</v>
      </c>
      <c r="BS66" s="715">
        <v>0.15231559901933978</v>
      </c>
      <c r="BT66" s="715">
        <v>0.2057722258161308</v>
      </c>
      <c r="BW66" s="1190">
        <f>'2019'!R\Max</f>
        <v>0</v>
      </c>
      <c r="BX66" s="1190">
        <f>'2020'!R\Max</f>
        <v>0.34882403013484914</v>
      </c>
      <c r="BY66" s="1190">
        <f>'2021'!R\Max</f>
        <v>0.31885867883468078</v>
      </c>
      <c r="BZ66" s="1190">
        <f>'2022'!R\Max</f>
        <v>0.58111747987730122</v>
      </c>
      <c r="CA66" s="1190">
        <f>'2023'!R\Max</f>
        <v>0.58089939086690734</v>
      </c>
      <c r="CB66" s="1190">
        <f>'2024'!R\Max</f>
        <v>0.58068045220347164</v>
      </c>
      <c r="CC66" s="1190">
        <f>'2025'!R\Max</f>
        <v>0.58037036111140572</v>
      </c>
      <c r="CD66" s="1190">
        <f>'2026'!R\Max</f>
        <v>0.58005920785704446</v>
      </c>
      <c r="CE66" s="1191">
        <f>'2027'!R\Max</f>
        <v>0.58140438934485761</v>
      </c>
      <c r="CF66" s="1193">
        <f>'2028'!R\Max</f>
        <v>0.58126625334185833</v>
      </c>
    </row>
    <row r="67" spans="1:84" s="6" customFormat="1" ht="11.25" x14ac:dyDescent="0.2">
      <c r="A67" s="11">
        <v>43153</v>
      </c>
      <c r="B67" s="379">
        <f>'2022'!Maxi_hp</f>
        <v>39.949310572645629</v>
      </c>
      <c r="C67" s="13">
        <f>'2022'!An_max</f>
        <v>2020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41.593005101961481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41.572906350269577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41.600551566800902</v>
      </c>
      <c r="AZ67" s="735">
        <f t="shared" si="26"/>
        <v>41.58672895853524</v>
      </c>
      <c r="BA67" s="633">
        <f t="shared" si="21"/>
        <v>0.96048146736965789</v>
      </c>
      <c r="BC67" s="11">
        <v>43153</v>
      </c>
      <c r="BD67" s="289">
        <f>[3]!FeuilCaduc*(1-Persistant)+Persistant</f>
        <v>0.50273003844682362</v>
      </c>
      <c r="BE67" s="290">
        <f>[3]!CroissVégét</f>
        <v>1.0305104176065441E-2</v>
      </c>
      <c r="BF67" s="804">
        <f>1+[3]!Salcycl*Ksac</f>
        <v>1.0002730038446823</v>
      </c>
      <c r="BH67" s="1036">
        <f t="shared" si="22"/>
        <v>8.4134386725941389E-3</v>
      </c>
      <c r="BI67" s="11">
        <v>44249</v>
      </c>
      <c r="BJ67" s="715">
        <v>4.0082803643436371E-4</v>
      </c>
      <c r="BK67" s="715">
        <v>7.6152032640593636E-4</v>
      </c>
      <c r="BL67" s="715">
        <v>2.0823692701868435E-3</v>
      </c>
      <c r="BM67" s="715">
        <v>5.4093459517951274E-3</v>
      </c>
      <c r="BN67" s="715">
        <v>1.142821442971014E-2</v>
      </c>
      <c r="BO67" s="716">
        <v>2.332997808167965E-2</v>
      </c>
      <c r="BP67" s="715">
        <v>4.1874963511944113E-2</v>
      </c>
      <c r="BQ67" s="715">
        <v>6.8346093141977246E-2</v>
      </c>
      <c r="BR67" s="715">
        <v>0.10383597136216249</v>
      </c>
      <c r="BS67" s="715">
        <v>0.14884246985683586</v>
      </c>
      <c r="BT67" s="715">
        <v>0.20123027765749141</v>
      </c>
      <c r="BW67" s="1190">
        <f>'2019'!R\Max</f>
        <v>0</v>
      </c>
      <c r="BX67" s="1190">
        <f>'2020'!R\Max</f>
        <v>0.96048146736965789</v>
      </c>
      <c r="BY67" s="1190">
        <f>'2021'!R\Max</f>
        <v>0.23766462213562178</v>
      </c>
      <c r="BZ67" s="1190">
        <f>'2022'!R\Max</f>
        <v>0.88037274821140632</v>
      </c>
      <c r="CA67" s="1190">
        <f>'2023'!R\Max</f>
        <v>0.88028159651513316</v>
      </c>
      <c r="CB67" s="1190">
        <f>'2024'!R\Max</f>
        <v>0.88019002035961436</v>
      </c>
      <c r="CC67" s="1190">
        <f>'2025'!R\Max</f>
        <v>0.88005961994120629</v>
      </c>
      <c r="CD67" s="1190">
        <f>'2026'!R\Max</f>
        <v>0.87992865232423934</v>
      </c>
      <c r="CE67" s="1191">
        <f>'2027'!R\Max</f>
        <v>0.88049161244123209</v>
      </c>
      <c r="CF67" s="1193">
        <f>'2028'!R\Max</f>
        <v>0.88043439749299546</v>
      </c>
    </row>
    <row r="68" spans="1:84" s="6" customFormat="1" ht="11.25" x14ac:dyDescent="0.2">
      <c r="A68" s="11">
        <v>43154</v>
      </c>
      <c r="B68" s="379">
        <f>'2022'!Maxi_hp</f>
        <v>41.571938803017574</v>
      </c>
      <c r="C68" s="13">
        <f>'2022'!An_max</f>
        <v>2020</v>
      </c>
      <c r="D68" s="1045">
        <f t="shared" si="7"/>
        <v>0.99048494624725036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41.971297959171764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41.958949198044969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41.986226238815917</v>
      </c>
      <c r="AZ68" s="735">
        <f t="shared" si="26"/>
        <v>41.972587718430447</v>
      </c>
      <c r="BA68" s="633">
        <f t="shared" si="21"/>
        <v>0.99048494624725036</v>
      </c>
      <c r="BC68" s="11">
        <v>43154</v>
      </c>
      <c r="BD68" s="289">
        <f>[3]!FeuilCaduc*(1-Persistant)+Persistant</f>
        <v>0.50287503663753919</v>
      </c>
      <c r="BE68" s="290">
        <f>[3]!CroissVégét</f>
        <v>1.0789869896821172E-2</v>
      </c>
      <c r="BF68" s="804">
        <f>1+[3]!Salcycl*Ksac</f>
        <v>1.000287503663754</v>
      </c>
      <c r="BH68" s="1036">
        <f t="shared" si="22"/>
        <v>7.9894901676661433E-3</v>
      </c>
      <c r="BI68" s="11">
        <v>44250</v>
      </c>
      <c r="BJ68" s="715">
        <v>3.3236894926335253E-4</v>
      </c>
      <c r="BK68" s="715">
        <v>6.6848361368556503E-4</v>
      </c>
      <c r="BL68" s="715">
        <v>1.9108041025096443E-3</v>
      </c>
      <c r="BM68" s="715">
        <v>5.0946195711408038E-3</v>
      </c>
      <c r="BN68" s="715">
        <v>1.0894655389088228E-2</v>
      </c>
      <c r="BO68" s="716">
        <v>2.2378437622398245E-2</v>
      </c>
      <c r="BP68" s="715">
        <v>4.0424018015305006E-2</v>
      </c>
      <c r="BQ68" s="715">
        <v>6.6311290685769242E-2</v>
      </c>
      <c r="BR68" s="715">
        <v>0.10115426185527315</v>
      </c>
      <c r="BS68" s="715">
        <v>0.14527781335148218</v>
      </c>
      <c r="BT68" s="715">
        <v>0.19656245384082302</v>
      </c>
      <c r="BW68" s="1190">
        <f>'2019'!R\Max</f>
        <v>0</v>
      </c>
      <c r="BX68" s="1190">
        <f>'2020'!R\Max</f>
        <v>0.99048494624725036</v>
      </c>
      <c r="BY68" s="1190">
        <f>'2021'!R\Max</f>
        <v>0.77942319974689378</v>
      </c>
      <c r="BZ68" s="1190">
        <f>'2022'!R\Max</f>
        <v>0.91683519527886048</v>
      </c>
      <c r="CA68" s="1190">
        <f>'2023'!R\Max</f>
        <v>0.91677154045955422</v>
      </c>
      <c r="CB68" s="1190">
        <f>'2024'!R\Max</f>
        <v>0.91670757028924554</v>
      </c>
      <c r="CC68" s="1190">
        <f>'2025'!R\Max</f>
        <v>0.91661604501608096</v>
      </c>
      <c r="CD68" s="1190">
        <f>'2026'!R\Max</f>
        <v>0.91652409814381097</v>
      </c>
      <c r="CE68" s="1191">
        <f>'2027'!R\Max</f>
        <v>0.91691752666178106</v>
      </c>
      <c r="CF68" s="1193">
        <f>'2028'!R\Max</f>
        <v>0.91687790004344771</v>
      </c>
    </row>
    <row r="69" spans="1:84" s="6" customFormat="1" ht="11.25" x14ac:dyDescent="0.2">
      <c r="A69" s="11">
        <v>43155</v>
      </c>
      <c r="B69" s="379">
        <f>'2022'!Maxi_hp</f>
        <v>41.52507944394246</v>
      </c>
      <c r="C69" s="13">
        <f>'2022'!An_max</f>
        <v>2020</v>
      </c>
      <c r="D69" s="1045">
        <f t="shared" si="7"/>
        <v>0.980518970259736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42.350103061180562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42.345019487844546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42.374297485237804</v>
      </c>
      <c r="AZ69" s="735">
        <f t="shared" si="26"/>
        <v>42.359658486541178</v>
      </c>
      <c r="BA69" s="633">
        <f t="shared" si="21"/>
        <v>0.980518970259736</v>
      </c>
      <c r="BC69" s="11">
        <v>43155</v>
      </c>
      <c r="BD69" s="289">
        <f>[3]!FeuilCaduc*(1-Persistant)+Persistant</f>
        <v>0.50301652309662848</v>
      </c>
      <c r="BE69" s="290">
        <f>[3]!CroissVégét</f>
        <v>1.1294467751257744E-2</v>
      </c>
      <c r="BF69" s="804">
        <f>1+[3]!Salcycl*Ksac</f>
        <v>1.0003016523096628</v>
      </c>
      <c r="BH69" s="1036">
        <f t="shared" si="22"/>
        <v>7.5771397906357289E-3</v>
      </c>
      <c r="BI69" s="11">
        <v>44251</v>
      </c>
      <c r="BJ69" s="715">
        <v>2.7148942144306358E-4</v>
      </c>
      <c r="BK69" s="715">
        <v>5.8467763004686985E-4</v>
      </c>
      <c r="BL69" s="715">
        <v>1.7531582710479466E-3</v>
      </c>
      <c r="BM69" s="715">
        <v>4.7919013095543694E-3</v>
      </c>
      <c r="BN69" s="715">
        <v>1.0372283027199123E-2</v>
      </c>
      <c r="BO69" s="716">
        <v>2.1437519842367771E-2</v>
      </c>
      <c r="BP69" s="715">
        <v>3.8971958769487933E-2</v>
      </c>
      <c r="BQ69" s="715">
        <v>6.4251880580076456E-2</v>
      </c>
      <c r="BR69" s="715">
        <v>9.8412511527094085E-2</v>
      </c>
      <c r="BS69" s="715">
        <v>0.14162154392191462</v>
      </c>
      <c r="BT69" s="715">
        <v>0.19176864005935604</v>
      </c>
      <c r="BW69" s="1190">
        <f>'2019'!R\Max</f>
        <v>0</v>
      </c>
      <c r="BX69" s="1190">
        <f>'2020'!R\Max</f>
        <v>0.980518970259736</v>
      </c>
      <c r="BY69" s="1190">
        <f>'2021'!R\Max</f>
        <v>0.95720728510903241</v>
      </c>
      <c r="BZ69" s="1190">
        <f>'2022'!R\Max</f>
        <v>0.56536782504041938</v>
      </c>
      <c r="CA69" s="1190">
        <f>'2023'!R\Max</f>
        <v>0.56517028590140672</v>
      </c>
      <c r="CB69" s="1190">
        <f>'2024'!R\Max</f>
        <v>0.56497183124729788</v>
      </c>
      <c r="CC69" s="1190">
        <f>'2025'!R\Max</f>
        <v>0.5646867623874513</v>
      </c>
      <c r="CD69" s="1190">
        <f>'2026'!R\Max</f>
        <v>0.56440056376013237</v>
      </c>
      <c r="CE69" s="1191">
        <f>'2027'!R\Max</f>
        <v>0.5656214422155964</v>
      </c>
      <c r="CF69" s="1193">
        <f>'2028'!R\Max</f>
        <v>0.56549936048935001</v>
      </c>
    </row>
    <row r="70" spans="1:84" s="6" customFormat="1" ht="11.25" x14ac:dyDescent="0.2">
      <c r="A70" s="11">
        <v>43156</v>
      </c>
      <c r="B70" s="379">
        <f>'2022'!Maxi_hp</f>
        <v>36.519009293012743</v>
      </c>
      <c r="C70" s="13">
        <f>'2022'!An_max</f>
        <v>2021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42.729420408180786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42.73088396497603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42.76443600568787</v>
      </c>
      <c r="AZ70" s="735">
        <f t="shared" si="26"/>
        <v>42.74765998533195</v>
      </c>
      <c r="BA70" s="633">
        <f t="shared" si="21"/>
        <v>0.85465725825808236</v>
      </c>
      <c r="BC70" s="11">
        <v>43156</v>
      </c>
      <c r="BD70" s="289">
        <f>[3]!FeuilCaduc*(1-Persistant)+Persistant</f>
        <v>0.5031545332498869</v>
      </c>
      <c r="BE70" s="290">
        <f>[3]!CroissVégét</f>
        <v>1.1819687335529849E-2</v>
      </c>
      <c r="BF70" s="804">
        <f>1+[3]!Salcycl*Ksac</f>
        <v>1.0003154533249887</v>
      </c>
      <c r="BH70" s="1036">
        <f t="shared" si="22"/>
        <v>7.1763812467200592E-3</v>
      </c>
      <c r="BI70" s="11">
        <v>44252</v>
      </c>
      <c r="BJ70" s="715">
        <v>2.1818879100410886E-4</v>
      </c>
      <c r="BK70" s="715">
        <v>5.1010139563085046E-4</v>
      </c>
      <c r="BL70" s="715">
        <v>1.6094297179333049E-3</v>
      </c>
      <c r="BM70" s="715">
        <v>4.5011868035584003E-3</v>
      </c>
      <c r="BN70" s="715">
        <v>9.8610891110865427E-3</v>
      </c>
      <c r="BO70" s="716">
        <v>2.0507208967795464E-2</v>
      </c>
      <c r="BP70" s="715">
        <v>3.7518759390675865E-2</v>
      </c>
      <c r="BQ70" s="715">
        <v>6.216782226453265E-2</v>
      </c>
      <c r="BR70" s="715">
        <v>9.5610661830681162E-2</v>
      </c>
      <c r="BS70" s="715">
        <v>0.13787357974222553</v>
      </c>
      <c r="BT70" s="715">
        <v>0.18684872682425396</v>
      </c>
      <c r="BW70" s="1190">
        <f>'2019'!R\Max</f>
        <v>0</v>
      </c>
      <c r="BX70" s="1190">
        <f>'2020'!R\Max</f>
        <v>0.39126879558616007</v>
      </c>
      <c r="BY70" s="1190">
        <f>'2021'!R\Max</f>
        <v>0.85465725825808236</v>
      </c>
      <c r="BZ70" s="1190">
        <f>'2022'!R\Max</f>
        <v>0.80269667223338459</v>
      </c>
      <c r="CA70" s="1190">
        <f>'2023'!R\Max</f>
        <v>0.80257419634486171</v>
      </c>
      <c r="CB70" s="1190">
        <f>'2024'!R\Max</f>
        <v>0.80245107221282952</v>
      </c>
      <c r="CC70" s="1190">
        <f>'2025'!R\Max</f>
        <v>0.80227330144590236</v>
      </c>
      <c r="CD70" s="1190">
        <f>'2026'!R\Max</f>
        <v>0.802094691937836</v>
      </c>
      <c r="CE70" s="1191">
        <f>'2027'!R\Max</f>
        <v>0.80285260045452878</v>
      </c>
      <c r="CF70" s="1193">
        <f>'2028'!R\Max</f>
        <v>0.80277755835984121</v>
      </c>
    </row>
    <row r="71" spans="1:84" s="6" customFormat="1" ht="11.25" x14ac:dyDescent="0.2">
      <c r="A71" s="11">
        <v>43157</v>
      </c>
      <c r="B71" s="379">
        <f>'2022'!Maxi_hp</f>
        <v>43.481266681339839</v>
      </c>
      <c r="C71" s="13">
        <f>'2022'!An_max</f>
        <v>2022</v>
      </c>
      <c r="D71" s="1045">
        <f t="shared" si="7"/>
        <v>1.0086296254599769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43.109249999979511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43.116309375071431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43.156312499963676</v>
      </c>
      <c r="AZ71" s="735">
        <f t="shared" si="26"/>
        <v>43.13631093751755</v>
      </c>
      <c r="BA71" s="633">
        <f t="shared" si="21"/>
        <v>1.0086296254599769</v>
      </c>
      <c r="BC71" s="11">
        <v>43157</v>
      </c>
      <c r="BD71" s="289">
        <f>[3]!FeuilCaduc*(1-Persistant)+Persistant</f>
        <v>0.50328927751563424</v>
      </c>
      <c r="BE71" s="290">
        <f>[3]!CroissVégét</f>
        <v>1.236634784666045E-2</v>
      </c>
      <c r="BF71" s="804">
        <f>1+[3]!Salcycl*Ksac</f>
        <v>1.0003289277515635</v>
      </c>
      <c r="BH71" s="1036">
        <f t="shared" si="22"/>
        <v>6.7872090165194705E-3</v>
      </c>
      <c r="BI71" s="11">
        <v>44253</v>
      </c>
      <c r="BJ71" s="715">
        <v>1.7246659425045548E-4</v>
      </c>
      <c r="BK71" s="715">
        <v>4.4475418633334985E-4</v>
      </c>
      <c r="BL71" s="715">
        <v>1.4796168171926597E-3</v>
      </c>
      <c r="BM71" s="715">
        <v>4.2224723088141666E-3</v>
      </c>
      <c r="BN71" s="715">
        <v>9.3610663399774901E-3</v>
      </c>
      <c r="BO71" s="716">
        <v>1.9587490767844291E-2</v>
      </c>
      <c r="BP71" s="715">
        <v>3.6064395626011068E-2</v>
      </c>
      <c r="BQ71" s="715">
        <v>6.0059077871903205E-2</v>
      </c>
      <c r="BR71" s="715">
        <v>9.274865741451678E-2</v>
      </c>
      <c r="BS71" s="715">
        <v>0.13403384308249597</v>
      </c>
      <c r="BT71" s="715">
        <v>0.18180260993288733</v>
      </c>
      <c r="BW71" s="1190">
        <f>'2019'!R\Max</f>
        <v>0</v>
      </c>
      <c r="BX71" s="1190">
        <f>'2020'!R\Max</f>
        <v>0.47652743258737884</v>
      </c>
      <c r="BY71" s="1190">
        <f>'2021'!R\Max</f>
        <v>0.20675959541985051</v>
      </c>
      <c r="BZ71" s="1190">
        <f>'2022'!R\Max</f>
        <v>1.0086296254599769</v>
      </c>
      <c r="CA71" s="1190">
        <f>'2023'!R\Max</f>
        <v>1.0086296254599769</v>
      </c>
      <c r="CB71" s="1190">
        <f>'2024'!R\Max</f>
        <v>1.0086296254599769</v>
      </c>
      <c r="CC71" s="1190">
        <f>'2025'!R\Max</f>
        <v>1.0086296254599769</v>
      </c>
      <c r="CD71" s="1190">
        <f>'2026'!R\Max</f>
        <v>1.0086296254599769</v>
      </c>
      <c r="CE71" s="1191">
        <f>'2027'!R\Max</f>
        <v>1.0086296254599769</v>
      </c>
      <c r="CF71" s="1193">
        <f>'2028'!R\Max</f>
        <v>1.0086296254599769</v>
      </c>
    </row>
    <row r="72" spans="1:84" s="6" customFormat="1" ht="11.25" x14ac:dyDescent="0.2">
      <c r="A72" s="11">
        <v>43158</v>
      </c>
      <c r="B72" s="379">
        <f>'2022'!Maxi_hp</f>
        <v>42.979805880549684</v>
      </c>
      <c r="C72" s="13">
        <f>'2022'!An_max</f>
        <v>2021</v>
      </c>
      <c r="D72" s="1045">
        <f t="shared" si="7"/>
        <v>0.9882779779112556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43.48959183668984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43.501062463471733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43.549597667330616</v>
      </c>
      <c r="AZ72" s="735">
        <f t="shared" si="26"/>
        <v>43.525330065401178</v>
      </c>
      <c r="BA72" s="633">
        <f t="shared" si="21"/>
        <v>0.9882779779112556</v>
      </c>
      <c r="BC72" s="11">
        <v>43158</v>
      </c>
      <c r="BD72" s="289">
        <f>[3]!FeuilCaduc*(1-Persistant)+Persistant</f>
        <v>0.50342114857492537</v>
      </c>
      <c r="BE72" s="290">
        <f>[3]!CroissVégét</f>
        <v>1.2935299036280712E-2</v>
      </c>
      <c r="BF72" s="804">
        <f>1+[3]!Salcycl*Ksac</f>
        <v>1.0003421148574925</v>
      </c>
      <c r="BH72" s="1036">
        <f t="shared" si="22"/>
        <v>6.423976088638466E-3</v>
      </c>
      <c r="BI72" s="11">
        <v>44254</v>
      </c>
      <c r="BJ72" s="715">
        <v>1.3434132525875762E-4</v>
      </c>
      <c r="BK72" s="715">
        <v>3.8890237140489192E-4</v>
      </c>
      <c r="BL72" s="715">
        <v>1.3665658945937343E-3</v>
      </c>
      <c r="BM72" s="715">
        <v>3.9657688296134913E-3</v>
      </c>
      <c r="BN72" s="715">
        <v>8.8909251275828948E-3</v>
      </c>
      <c r="BO72" s="716">
        <v>1.8705677377258652E-2</v>
      </c>
      <c r="BP72" s="715">
        <v>3.4644716469282431E-2</v>
      </c>
      <c r="BQ72" s="715">
        <v>5.7968994779919993E-2</v>
      </c>
      <c r="BR72" s="715">
        <v>8.9874610342871739E-2</v>
      </c>
      <c r="BS72" s="715">
        <v>0.13016240033655388</v>
      </c>
      <c r="BT72" s="715">
        <v>0.17671331307575081</v>
      </c>
      <c r="BW72" s="1190">
        <f>'2019'!R\Max</f>
        <v>0</v>
      </c>
      <c r="BX72" s="1190">
        <f>'2020'!R\Max</f>
        <v>0.19322359749902174</v>
      </c>
      <c r="BY72" s="1190">
        <f>'2021'!R\Max</f>
        <v>0.9882779779112556</v>
      </c>
      <c r="BZ72" s="1190">
        <f>'2022'!R\Max</f>
        <v>0.71446828033327237</v>
      </c>
      <c r="CA72" s="1190">
        <f>'2023'!R\Max</f>
        <v>0.7143229917351781</v>
      </c>
      <c r="CB72" s="1190">
        <f>'2024'!R\Max</f>
        <v>0.71417686537752223</v>
      </c>
      <c r="CC72" s="1190">
        <f>'2025'!R\Max</f>
        <v>0.71396397719647431</v>
      </c>
      <c r="CD72" s="1190">
        <f>'2026'!R\Max</f>
        <v>0.71375002960154732</v>
      </c>
      <c r="CE72" s="1191">
        <f>'2027'!R\Max</f>
        <v>0.71465045124551563</v>
      </c>
      <c r="CF72" s="1193">
        <f>'2028'!R\Max</f>
        <v>0.71456279241466114</v>
      </c>
    </row>
    <row r="73" spans="1:84" s="6" customFormat="1" ht="11.25" x14ac:dyDescent="0.2">
      <c r="A73" s="11">
        <v>43159</v>
      </c>
      <c r="B73" s="379">
        <f>'2022'!Maxi_hp</f>
        <v>37.518611340462861</v>
      </c>
      <c r="C73" s="13">
        <f>'2022'!An_max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43.870445918351678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43.884909976279594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43.943962208238169</v>
      </c>
      <c r="AZ73" s="735">
        <f t="shared" si="26"/>
        <v>43.914436092258882</v>
      </c>
      <c r="BA73" s="633">
        <f t="shared" si="21"/>
        <v>0.85521381319646572</v>
      </c>
      <c r="BC73" s="11">
        <v>43159</v>
      </c>
      <c r="BD73" s="289">
        <f>[3]!FeuilCaduc*(1-Persistant)+Persistant</f>
        <v>0.50355072732069706</v>
      </c>
      <c r="BE73" s="290">
        <f>[3]!CroissVégét</f>
        <v>1.352742218145603E-2</v>
      </c>
      <c r="BF73" s="804">
        <f>1+[3]!Salcycl*Ksac</f>
        <v>1.0003550727320698</v>
      </c>
      <c r="BH73" s="1036">
        <f t="shared" si="22"/>
        <v>6.0850030059373325E-3</v>
      </c>
      <c r="BI73" s="11">
        <v>44255</v>
      </c>
      <c r="BJ73" s="715">
        <v>1.0097707137500104E-4</v>
      </c>
      <c r="BK73" s="715">
        <v>3.3914114909867362E-4</v>
      </c>
      <c r="BL73" s="715">
        <v>1.2634157508560741E-3</v>
      </c>
      <c r="BM73" s="715">
        <v>3.7275942965243176E-3</v>
      </c>
      <c r="BN73" s="715">
        <v>8.4507950394342845E-3</v>
      </c>
      <c r="BO73" s="716">
        <v>1.786860888116058E-2</v>
      </c>
      <c r="BP73" s="715">
        <v>3.3272304498508022E-2</v>
      </c>
      <c r="BQ73" s="715">
        <v>5.5916815522661534E-2</v>
      </c>
      <c r="BR73" s="715">
        <v>8.7021176745916237E-2</v>
      </c>
      <c r="BS73" s="715">
        <v>0.12631481917890761</v>
      </c>
      <c r="BT73" s="715">
        <v>0.17167342957556728</v>
      </c>
      <c r="BW73" s="1190">
        <f>'2019'!R\Max</f>
        <v>0</v>
      </c>
      <c r="BX73" s="1190">
        <f>'2020'!R\Max</f>
        <v>0.43129420019547743</v>
      </c>
      <c r="BY73" s="1190">
        <f>'2021'!R\Max</f>
        <v>0.8121822930228626</v>
      </c>
      <c r="BZ73" s="1190">
        <f>'2022'!R\Max</f>
        <v>0.85521381319646572</v>
      </c>
      <c r="CA73" s="1190">
        <f>'2023'!R\Max</f>
        <v>0.85512930263389109</v>
      </c>
      <c r="CB73" s="1190">
        <f>'2024'!R\Max</f>
        <v>0.85504426059298499</v>
      </c>
      <c r="CC73" s="1190">
        <f>'2025'!R\Max</f>
        <v>0.85491981286863405</v>
      </c>
      <c r="CD73" s="1190">
        <f>'2026'!R\Max</f>
        <v>0.85479467895605143</v>
      </c>
      <c r="CE73" s="1191">
        <f>'2027'!R\Max</f>
        <v>0.85531904673324466</v>
      </c>
      <c r="CF73" s="1193">
        <f>'2028'!R\Max</f>
        <v>0.85526841704534828</v>
      </c>
    </row>
    <row r="74" spans="1:84" s="6" customFormat="1" ht="11.25" x14ac:dyDescent="0.2">
      <c r="A74" s="11">
        <v>43160</v>
      </c>
      <c r="B74" s="379">
        <f>'2022'!Maxi_hp</f>
        <v>43.537458266027507</v>
      </c>
      <c r="C74" s="13">
        <f>'2022'!An_max</f>
        <v>2022</v>
      </c>
      <c r="D74" s="1045">
        <f t="shared" si="7"/>
        <v>0.98385706838615938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44.251812244885201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44.267618658872586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44.33907682199164</v>
      </c>
      <c r="AZ74" s="735">
        <f t="shared" si="26"/>
        <v>44.303347740432116</v>
      </c>
      <c r="BA74" s="633">
        <f t="shared" si="21"/>
        <v>0.98385706838615938</v>
      </c>
      <c r="BC74" s="11">
        <v>43160</v>
      </c>
      <c r="BD74" s="289">
        <f>[3]!FeuilCaduc*(1-Persistant)+Persistant</f>
        <v>0.50367878745206141</v>
      </c>
      <c r="BE74" s="290">
        <f>[3]!CroissVégét</f>
        <v>1.4143631071573595E-2</v>
      </c>
      <c r="BF74" s="804">
        <f>1+[3]!Salcycl*Ksac</f>
        <v>1.0003678787452062</v>
      </c>
      <c r="BH74" s="1036">
        <f t="shared" si="22"/>
        <v>5.7702866029243913E-3</v>
      </c>
      <c r="BI74" s="11">
        <v>44256</v>
      </c>
      <c r="BJ74" s="715">
        <v>7.2373742129453112E-5</v>
      </c>
      <c r="BK74" s="715">
        <v>2.9547029903382325E-4</v>
      </c>
      <c r="BL74" s="715">
        <v>1.1701656794865592E-3</v>
      </c>
      <c r="BM74" s="715">
        <v>3.507946711134404E-3</v>
      </c>
      <c r="BN74" s="715">
        <v>8.0406717388102206E-3</v>
      </c>
      <c r="BO74" s="716">
        <v>1.7076276175511183E-2</v>
      </c>
      <c r="BP74" s="715">
        <v>3.1947142910844162E-2</v>
      </c>
      <c r="BQ74" s="715">
        <v>5.3902512184805788E-2</v>
      </c>
      <c r="BR74" s="715">
        <v>8.4188313879955748E-2</v>
      </c>
      <c r="BS74" s="715">
        <v>0.1224910385918878</v>
      </c>
      <c r="BT74" s="715">
        <v>0.16668287748846805</v>
      </c>
      <c r="BW74" s="1190">
        <f>'2019'!R\Max</f>
        <v>0</v>
      </c>
      <c r="BX74" s="1190">
        <f>'2020'!R\Max</f>
        <v>0.3666950880110153</v>
      </c>
      <c r="BY74" s="1190">
        <f>'2021'!R\Max</f>
        <v>0.89437515808208767</v>
      </c>
      <c r="BZ74" s="1190">
        <f>'2022'!R\Max</f>
        <v>0.98385706838615938</v>
      </c>
      <c r="CA74" s="1190">
        <f>'2023'!R\Max</f>
        <v>0.98384669054506402</v>
      </c>
      <c r="CB74" s="1190">
        <f>'2024'!R\Max</f>
        <v>0.98383624219286525</v>
      </c>
      <c r="CC74" s="1190">
        <f>'2025'!R\Max</f>
        <v>0.98382088955498737</v>
      </c>
      <c r="CD74" s="1190">
        <f>'2026'!R\Max</f>
        <v>0.98380544443107554</v>
      </c>
      <c r="CE74" s="1191">
        <f>'2027'!R\Max</f>
        <v>0.98386991409350388</v>
      </c>
      <c r="CF74" s="1193">
        <f>'2028'!R\Max</f>
        <v>0.98386373461062049</v>
      </c>
    </row>
    <row r="75" spans="1:84" s="6" customFormat="1" ht="11.25" x14ac:dyDescent="0.2">
      <c r="A75" s="11">
        <v>43161</v>
      </c>
      <c r="B75" s="379">
        <f>'2022'!Maxi_hp</f>
        <v>30.966593074683484</v>
      </c>
      <c r="C75" s="13">
        <f>'2022'!An_max</f>
        <v>2020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44.633690816330322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44.648955256866095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44.734612208352033</v>
      </c>
      <c r="AZ75" s="735">
        <f t="shared" si="26"/>
        <v>44.691783732609068</v>
      </c>
      <c r="BA75" s="633">
        <f t="shared" si="21"/>
        <v>0.69379413864993666</v>
      </c>
      <c r="BC75" s="11">
        <v>43161</v>
      </c>
      <c r="BD75" s="289">
        <f>[3]!FeuilCaduc*(1-Persistant)+Persistant</f>
        <v>0.50380629869445648</v>
      </c>
      <c r="BE75" s="290">
        <f>[3]!CroissVégét</f>
        <v>1.47848730100967E-2</v>
      </c>
      <c r="BF75" s="804">
        <f>1+[3]!Salcycl*Ksac</f>
        <v>1.0003806298694458</v>
      </c>
      <c r="BH75" s="1036">
        <f t="shared" si="22"/>
        <v>5.4798243466704973E-3</v>
      </c>
      <c r="BI75" s="11">
        <v>44257</v>
      </c>
      <c r="BJ75" s="715">
        <v>4.8531322120571848E-5</v>
      </c>
      <c r="BK75" s="715">
        <v>2.5788970733848252E-4</v>
      </c>
      <c r="BL75" s="715">
        <v>1.0868151800726966E-3</v>
      </c>
      <c r="BM75" s="715">
        <v>3.3068245274958676E-3</v>
      </c>
      <c r="BN75" s="715">
        <v>7.6605517022904348E-3</v>
      </c>
      <c r="BO75" s="716">
        <v>1.632867163651127E-2</v>
      </c>
      <c r="BP75" s="715">
        <v>3.0669217189552411E-2</v>
      </c>
      <c r="BQ75" s="715">
        <v>5.1926060092594373E-2</v>
      </c>
      <c r="BR75" s="715">
        <v>8.137598333533011E-2</v>
      </c>
      <c r="BS75" s="715">
        <v>0.11869100338062882</v>
      </c>
      <c r="BT75" s="715">
        <v>0.16174158259576801</v>
      </c>
      <c r="BW75" s="1190">
        <f>'2019'!R\Max</f>
        <v>0</v>
      </c>
      <c r="BX75" s="1190">
        <f>'2020'!R\Max</f>
        <v>0.69379413864993666</v>
      </c>
      <c r="BY75" s="1190">
        <f>'2021'!R\Max</f>
        <v>0.39736449693422593</v>
      </c>
      <c r="BZ75" s="1190">
        <f>'2022'!R\Max</f>
        <v>0.28404412849096522</v>
      </c>
      <c r="CA75" s="1190">
        <f>'2023'!R\Max</f>
        <v>0.28391990442782722</v>
      </c>
      <c r="CB75" s="1190">
        <f>'2024'!R\Max</f>
        <v>0.28379490095916704</v>
      </c>
      <c r="CC75" s="1190">
        <f>'2025'!R\Max</f>
        <v>0.28361076491042791</v>
      </c>
      <c r="CD75" s="1190">
        <f>'2026'!R\Max</f>
        <v>0.28342570559603159</v>
      </c>
      <c r="CE75" s="1191">
        <f>'2027'!R\Max</f>
        <v>0.2841973128275655</v>
      </c>
      <c r="CF75" s="1193">
        <f>'2028'!R\Max</f>
        <v>0.28412360734237374</v>
      </c>
    </row>
    <row r="76" spans="1:84" s="6" customFormat="1" ht="11.25" x14ac:dyDescent="0.2">
      <c r="A76" s="11">
        <v>43162</v>
      </c>
      <c r="B76" s="379">
        <f>'2022'!Maxi_hp</f>
        <v>38.923472241989082</v>
      </c>
      <c r="C76" s="13">
        <f>'2022'!An_max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45.016081632567307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45.028686516008541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45.130239066907336</v>
      </c>
      <c r="AZ76" s="735">
        <f t="shared" si="26"/>
        <v>45.079462791457942</v>
      </c>
      <c r="BA76" s="633">
        <f t="shared" si="21"/>
        <v>0.86465704766781681</v>
      </c>
      <c r="BC76" s="11">
        <v>43162</v>
      </c>
      <c r="BD76" s="289">
        <f>[3]!FeuilCaduc*(1-Persistant)+Persistant</f>
        <v>0.50393442864065063</v>
      </c>
      <c r="BE76" s="290">
        <f>[3]!CroissVégét</f>
        <v>1.5452129829812465E-2</v>
      </c>
      <c r="BF76" s="804">
        <f>1+[3]!Salcycl*Ksac</f>
        <v>1.0003934428640651</v>
      </c>
      <c r="BH76" s="1036">
        <f t="shared" si="22"/>
        <v>5.2136142470798974E-3</v>
      </c>
      <c r="BI76" s="11">
        <v>44258</v>
      </c>
      <c r="BJ76" s="715">
        <v>2.9449853400569381E-5</v>
      </c>
      <c r="BK76" s="715">
        <v>2.2639934411724282E-4</v>
      </c>
      <c r="BL76" s="715">
        <v>1.0133639216572561E-3</v>
      </c>
      <c r="BM76" s="715">
        <v>3.1242265835883035E-3</v>
      </c>
      <c r="BN76" s="715">
        <v>7.3104321087590551E-3</v>
      </c>
      <c r="BO76" s="716">
        <v>1.5625788955134962E-2</v>
      </c>
      <c r="BP76" s="715">
        <v>2.9438514929270312E-2</v>
      </c>
      <c r="BQ76" s="715">
        <v>4.9987437673848278E-2</v>
      </c>
      <c r="BR76" s="715">
        <v>7.8584150960543817E-2</v>
      </c>
      <c r="BS76" s="715">
        <v>0.11491466408536843</v>
      </c>
      <c r="BT76" s="715">
        <v>0.15684947822194731</v>
      </c>
      <c r="BW76" s="1190">
        <f>'2019'!R\Max</f>
        <v>0</v>
      </c>
      <c r="BX76" s="1190">
        <f>'2020'!R\Max</f>
        <v>0.53789960793849623</v>
      </c>
      <c r="BY76" s="1190">
        <f>'2021'!R\Max</f>
        <v>0.36653299361920066</v>
      </c>
      <c r="BZ76" s="1190">
        <f>'2022'!R\Max</f>
        <v>0.86465704766781681</v>
      </c>
      <c r="CA76" s="1190">
        <f>'2023'!R\Max</f>
        <v>0.86458720271415634</v>
      </c>
      <c r="CB76" s="1190">
        <f>'2024'!R\Max</f>
        <v>0.8645168443327429</v>
      </c>
      <c r="CC76" s="1190">
        <f>'2025'!R\Max</f>
        <v>0.86441277953471152</v>
      </c>
      <c r="CD76" s="1190">
        <f>'2026'!R\Max</f>
        <v>0.86430805198780014</v>
      </c>
      <c r="CE76" s="1191">
        <f>'2027'!R\Max</f>
        <v>0.86474280116981694</v>
      </c>
      <c r="CF76" s="1193">
        <f>'2028'!R\Max</f>
        <v>0.86470155178707775</v>
      </c>
    </row>
    <row r="77" spans="1:84" s="6" customFormat="1" ht="11.25" x14ac:dyDescent="0.2">
      <c r="A77" s="11">
        <v>43163</v>
      </c>
      <c r="B77" s="379">
        <f>'2022'!Maxi_hp</f>
        <v>32.038386239307918</v>
      </c>
      <c r="C77" s="13">
        <f>'2022'!An_max</f>
        <v>2021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45.398984693915452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45.406579181841309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45.525628097578213</v>
      </c>
      <c r="AZ77" s="735">
        <f t="shared" si="26"/>
        <v>45.466103639709758</v>
      </c>
      <c r="BA77" s="633">
        <f t="shared" si="21"/>
        <v>0.70570710898743572</v>
      </c>
      <c r="BC77" s="11">
        <v>43163</v>
      </c>
      <c r="BD77" s="289">
        <f>[3]!FeuilCaduc*(1-Persistant)+Persistant</f>
        <v>0.50406454322149952</v>
      </c>
      <c r="BE77" s="290">
        <f>[3]!CroissVégét</f>
        <v>1.6146418920009037E-2</v>
      </c>
      <c r="BF77" s="804">
        <f>1+[3]!Salcycl*Ksac</f>
        <v>1.00040645432215</v>
      </c>
      <c r="BH77" s="1036">
        <f t="shared" si="22"/>
        <v>4.9716547671531195E-3</v>
      </c>
      <c r="BI77" s="11">
        <v>44259</v>
      </c>
      <c r="BJ77" s="715">
        <v>1.5129417860922779E-5</v>
      </c>
      <c r="BK77" s="715">
        <v>2.0099924091822869E-4</v>
      </c>
      <c r="BL77" s="715">
        <v>9.4981170611135705E-4</v>
      </c>
      <c r="BM77" s="715">
        <v>2.960152032777118E-3</v>
      </c>
      <c r="BN77" s="715">
        <v>6.9903107283966837E-3</v>
      </c>
      <c r="BO77" s="716">
        <v>1.4967622971639482E-2</v>
      </c>
      <c r="BP77" s="715">
        <v>2.8255025661237162E-2</v>
      </c>
      <c r="BQ77" s="715">
        <v>4.8086626317907603E-2</v>
      </c>
      <c r="BR77" s="715">
        <v>7.581278678627755E-2</v>
      </c>
      <c r="BS77" s="715">
        <v>0.11116197689357393</v>
      </c>
      <c r="BT77" s="715">
        <v>0.1520065050523946</v>
      </c>
      <c r="BW77" s="1190">
        <f>'2019'!R\Max</f>
        <v>0</v>
      </c>
      <c r="BX77" s="1190">
        <f>'2020'!R\Max</f>
        <v>0.12312922626852597</v>
      </c>
      <c r="BY77" s="1190">
        <f>'2021'!R\Max</f>
        <v>0.70570710898743572</v>
      </c>
      <c r="BZ77" s="1190">
        <f>'2022'!R\Max</f>
        <v>9.208930060136207E-2</v>
      </c>
      <c r="CA77" s="1190">
        <f>'2023'!R\Max</f>
        <v>9.2052596396145464E-2</v>
      </c>
      <c r="CB77" s="1190">
        <f>'2024'!R\Max</f>
        <v>9.2015632407929843E-2</v>
      </c>
      <c r="CC77" s="1190">
        <f>'2025'!R\Max</f>
        <v>9.1960850961376239E-2</v>
      </c>
      <c r="CD77" s="1190">
        <f>'2026'!R\Max</f>
        <v>9.1905756133691507E-2</v>
      </c>
      <c r="CE77" s="1191">
        <f>'2027'!R\Max</f>
        <v>9.2134296416424663E-2</v>
      </c>
      <c r="CF77" s="1193">
        <f>'2028'!R\Max</f>
        <v>9.2112648651336032E-2</v>
      </c>
    </row>
    <row r="78" spans="1:84" s="6" customFormat="1" ht="11.25" x14ac:dyDescent="0.2">
      <c r="A78" s="11">
        <v>43164</v>
      </c>
      <c r="B78" s="379">
        <f>'2022'!Maxi_hp</f>
        <v>38.035034481034316</v>
      </c>
      <c r="C78" s="13">
        <f>'2022'!An_max</f>
        <v>2021</v>
      </c>
      <c r="D78" s="1045" t="str">
        <f t="shared" si="7"/>
        <v/>
      </c>
      <c r="E78" s="1040">
        <f>R$13/10</f>
        <v>45.782400000000003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45.782399999909103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45.782400000002234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45.920449999812988</v>
      </c>
      <c r="AZ78" s="735">
        <f t="shared" si="26"/>
        <v>45.851424999907607</v>
      </c>
      <c r="BA78" s="633">
        <f t="shared" si="21"/>
        <v>0.83077851928054958</v>
      </c>
      <c r="BC78" s="11">
        <v>43164</v>
      </c>
      <c r="BD78" s="289">
        <f>[3]!FeuilCaduc*(1-Persistant)+Persistant</f>
        <v>0.50419820582872832</v>
      </c>
      <c r="BE78" s="290">
        <f>[3]!CroissVégét</f>
        <v>1.6868794263800321E-2</v>
      </c>
      <c r="BF78" s="804">
        <f>1+[3]!Salcycl*Ksac</f>
        <v>1.0004198205828729</v>
      </c>
      <c r="BH78" s="1036">
        <f t="shared" si="22"/>
        <v>4.753944733265774E-3</v>
      </c>
      <c r="BI78" s="11">
        <v>44260</v>
      </c>
      <c r="BJ78" s="715">
        <v>5.5701196179925097E-6</v>
      </c>
      <c r="BK78" s="715">
        <v>1.8168946820089102E-4</v>
      </c>
      <c r="BL78" s="715">
        <v>8.9615843151066648E-4</v>
      </c>
      <c r="BM78" s="715">
        <v>2.8146002752814235E-3</v>
      </c>
      <c r="BN78" s="715">
        <v>6.7001858116947461E-3</v>
      </c>
      <c r="BO78" s="716">
        <v>1.4354169510122548E-2</v>
      </c>
      <c r="BP78" s="715">
        <v>2.7118740678609528E-2</v>
      </c>
      <c r="BQ78" s="715">
        <v>4.6223610235723071E-2</v>
      </c>
      <c r="BR78" s="715">
        <v>7.3061864949637637E-2</v>
      </c>
      <c r="BS78" s="715">
        <v>0.10743290355241558</v>
      </c>
      <c r="BT78" s="715">
        <v>0.14721261095162624</v>
      </c>
      <c r="BW78" s="1190">
        <f>'2019'!R\Max</f>
        <v>0</v>
      </c>
      <c r="BX78" s="1190">
        <f>'2020'!R\Max</f>
        <v>0.19855108203745525</v>
      </c>
      <c r="BY78" s="1190">
        <f>'2021'!R\Max</f>
        <v>0.83077851928054958</v>
      </c>
      <c r="BZ78" s="1190">
        <f>'2022'!R\Max</f>
        <v>0.31445844399429806</v>
      </c>
      <c r="CA78" s="1190">
        <f>'2023'!R\Max</f>
        <v>0.31434151605060556</v>
      </c>
      <c r="CB78" s="1190">
        <f>'2024'!R\Max</f>
        <v>0.31422370963274471</v>
      </c>
      <c r="CC78" s="1190">
        <f>'2025'!R\Max</f>
        <v>0.31404869606826763</v>
      </c>
      <c r="CD78" s="1190">
        <f>'2026'!R\Max</f>
        <v>0.31387260908872838</v>
      </c>
      <c r="CE78" s="1191">
        <f>'2027'!R\Max</f>
        <v>0.3146016742566195</v>
      </c>
      <c r="CF78" s="1193">
        <f>'2028'!R\Max</f>
        <v>0.31453276678776404</v>
      </c>
    </row>
    <row r="79" spans="1:84" s="6" customFormat="1" ht="11.25" x14ac:dyDescent="0.2">
      <c r="A79" s="11">
        <v>43165</v>
      </c>
      <c r="B79" s="379">
        <f>'2022'!Maxi_hp</f>
        <v>17.358899888574093</v>
      </c>
      <c r="C79" s="13">
        <f>'2022'!An_max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46.167516691058083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46.159512864472347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46.314375473472424</v>
      </c>
      <c r="AZ79" s="735">
        <f t="shared" si="26"/>
        <v>46.236944168972386</v>
      </c>
      <c r="BA79" s="633">
        <f t="shared" ref="BA79:BA142" si="74">+B79/J79</f>
        <v>0.3759981288301833</v>
      </c>
      <c r="BC79" s="11">
        <v>43165</v>
      </c>
      <c r="BD79" s="289">
        <f>[3]!FeuilCaduc*(1-Persistant)+Persistant</f>
        <v>0.50433717512471332</v>
      </c>
      <c r="BE79" s="290">
        <f>[3]!CroissVégét</f>
        <v>1.7620347483596571E-2</v>
      </c>
      <c r="BF79" s="804">
        <f>1+[3]!Salcycl*Ksac</f>
        <v>1.0004337175124713</v>
      </c>
      <c r="BH79" s="1036">
        <f t="shared" ref="BH79:BH142" si="75">INDEX($BJ79:$BT79,,$BH$10)*(1-Ratini)+INDEX($BJ79:$BT79,,$BH$10+1)*Ratini</f>
        <v>4.560483245426729E-3</v>
      </c>
      <c r="BI79" s="11">
        <v>44261</v>
      </c>
      <c r="BJ79" s="715">
        <v>7.7206739852696237E-7</v>
      </c>
      <c r="BK79" s="715">
        <v>1.6847011280290869E-4</v>
      </c>
      <c r="BL79" s="715">
        <v>8.5240405550758905E-4</v>
      </c>
      <c r="BM79" s="715">
        <v>2.6875708896295816E-3</v>
      </c>
      <c r="BN79" s="715">
        <v>6.4400559784409291E-3</v>
      </c>
      <c r="BO79" s="716">
        <v>1.3785425213017876E-2</v>
      </c>
      <c r="BP79" s="715">
        <v>2.6029652861660067E-2</v>
      </c>
      <c r="BQ79" s="715">
        <v>4.4398376319749772E-2</v>
      </c>
      <c r="BR79" s="715">
        <v>7.033136361809475E-2</v>
      </c>
      <c r="BS79" s="715">
        <v>0.10372741128078578</v>
      </c>
      <c r="BT79" s="715">
        <v>0.14246775078088361</v>
      </c>
      <c r="BW79" s="1190">
        <f>'2019'!R\Max</f>
        <v>0</v>
      </c>
      <c r="BX79" s="1190">
        <f>'2020'!R\Max</f>
        <v>0.24797087617757202</v>
      </c>
      <c r="BY79" s="1190">
        <f>'2021'!R\Max</f>
        <v>0.26060179036575737</v>
      </c>
      <c r="BZ79" s="1190">
        <f>'2022'!R\Max</f>
        <v>0.3759981288301833</v>
      </c>
      <c r="CA79" s="1190">
        <f>'2023'!R\Max</f>
        <v>0.37587703926732718</v>
      </c>
      <c r="CB79" s="1190">
        <f>'2024'!R\Max</f>
        <v>0.37575498038693989</v>
      </c>
      <c r="CC79" s="1190">
        <f>'2025'!R\Max</f>
        <v>0.37557329023498898</v>
      </c>
      <c r="CD79" s="1190">
        <f>'2026'!R\Max</f>
        <v>0.37539039296381349</v>
      </c>
      <c r="CE79" s="1191">
        <f>'2027'!R\Max</f>
        <v>0.37614658551726021</v>
      </c>
      <c r="CF79" s="1193">
        <f>'2028'!R\Max</f>
        <v>0.37607516409798963</v>
      </c>
    </row>
    <row r="80" spans="1:84" s="6" customFormat="1" ht="11.25" x14ac:dyDescent="0.2">
      <c r="A80" s="11">
        <v>43166</v>
      </c>
      <c r="B80" s="379">
        <f>'2022'!Maxi_hp</f>
        <v>42.780921418940942</v>
      </c>
      <c r="C80" s="13">
        <f>'2022'!An_max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46.555158017549132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46.541071282696379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46.70707521829754</v>
      </c>
      <c r="AZ80" s="735">
        <f t="shared" ref="AZ80:AZ143" si="77">(AY80+AT80)/2</f>
        <v>46.624073250496963</v>
      </c>
      <c r="BA80" s="633">
        <f t="shared" si="74"/>
        <v>0.91892978653008806</v>
      </c>
      <c r="BC80" s="11">
        <v>43166</v>
      </c>
      <c r="BD80" s="289">
        <f>[3]!FeuilCaduc*(1-Persistant)+Persistant</f>
        <v>0.50448340158613203</v>
      </c>
      <c r="BE80" s="290">
        <f>[3]!CroissVégét</f>
        <v>1.8402208892467707E-2</v>
      </c>
      <c r="BF80" s="804">
        <f>1+[3]!Salcycl*Ksac</f>
        <v>1.0004483401586133</v>
      </c>
      <c r="BH80" s="1036">
        <f t="shared" si="75"/>
        <v>4.3930767050854198E-3</v>
      </c>
      <c r="BI80" s="11">
        <v>44262</v>
      </c>
      <c r="BJ80" s="715">
        <v>7.3458444601994343E-7</v>
      </c>
      <c r="BK80" s="715">
        <v>1.6179065986652349E-4</v>
      </c>
      <c r="BL80" s="715">
        <v>8.1942587507214542E-4</v>
      </c>
      <c r="BM80" s="715">
        <v>2.5806240979517887E-3</v>
      </c>
      <c r="BN80" s="715">
        <v>6.2119746848571114E-3</v>
      </c>
      <c r="BO80" s="716">
        <v>1.327107971078415E-2</v>
      </c>
      <c r="BP80" s="715">
        <v>2.5013780271902503E-2</v>
      </c>
      <c r="BQ80" s="715">
        <v>4.2660234726833814E-2</v>
      </c>
      <c r="BR80" s="715">
        <v>6.7687843926433566E-2</v>
      </c>
      <c r="BS80" s="715">
        <v>0.10011573565606707</v>
      </c>
      <c r="BT80" s="715">
        <v>0.13783407701412959</v>
      </c>
      <c r="BW80" s="1190">
        <f>'2019'!R\Max</f>
        <v>0</v>
      </c>
      <c r="BX80" s="1190">
        <f>'2020'!R\Max</f>
        <v>0.47342210647840954</v>
      </c>
      <c r="BY80" s="1190">
        <f>'2021'!R\Max</f>
        <v>0.25343702795295892</v>
      </c>
      <c r="BZ80" s="1190">
        <f>'2022'!R\Max</f>
        <v>0.91892978653008806</v>
      </c>
      <c r="CA80" s="1190">
        <f>'2023'!R\Max</f>
        <v>0.91889320020405896</v>
      </c>
      <c r="CB80" s="1190">
        <f>'2024'!R\Max</f>
        <v>0.9188562855140836</v>
      </c>
      <c r="CC80" s="1190">
        <f>'2025'!R\Max</f>
        <v>0.91880122945008491</v>
      </c>
      <c r="CD80" s="1190">
        <f>'2026'!R\Max</f>
        <v>0.91874573960599404</v>
      </c>
      <c r="CE80" s="1191">
        <f>'2027'!R\Max</f>
        <v>0.91897472932318758</v>
      </c>
      <c r="CF80" s="1193">
        <f>'2028'!R\Max</f>
        <v>0.91895311051984641</v>
      </c>
    </row>
    <row r="81" spans="1:84" s="6" customFormat="1" ht="11.25" x14ac:dyDescent="0.2">
      <c r="A81" s="11">
        <v>43167</v>
      </c>
      <c r="B81" s="379">
        <f>'2022'!Maxi_hp</f>
        <v>34.863147641201927</v>
      </c>
      <c r="C81" s="13">
        <f>'2022'!An_max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46.94477514588673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46.926526421223699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47.098219934322074</v>
      </c>
      <c r="AZ81" s="735">
        <f t="shared" si="77"/>
        <v>47.012373177772886</v>
      </c>
      <c r="BA81" s="633">
        <f t="shared" si="74"/>
        <v>0.74264170044185662</v>
      </c>
      <c r="BC81" s="11">
        <v>43167</v>
      </c>
      <c r="BD81" s="289">
        <f>[3]!FeuilCaduc*(1-Persistant)+Persistant</f>
        <v>0.5046390228393236</v>
      </c>
      <c r="BE81" s="290">
        <f>[3]!CroissVégét</f>
        <v>1.9215548548887868E-2</v>
      </c>
      <c r="BF81" s="804">
        <f>1+[3]!Salcycl*Ksac</f>
        <v>1.0004639022839323</v>
      </c>
      <c r="BH81" s="1036">
        <f t="shared" si="75"/>
        <v>4.2418276389615695E-3</v>
      </c>
      <c r="BI81" s="11">
        <v>44263</v>
      </c>
      <c r="BJ81" s="715">
        <v>7.1511610730572026E-7</v>
      </c>
      <c r="BK81" s="715">
        <v>1.5582719308897752E-4</v>
      </c>
      <c r="BL81" s="715">
        <v>7.901711955768647E-4</v>
      </c>
      <c r="BM81" s="715">
        <v>2.4852476747126177E-3</v>
      </c>
      <c r="BN81" s="715">
        <v>6.004654283754649E-3</v>
      </c>
      <c r="BO81" s="716">
        <v>1.2793728082124631E-2</v>
      </c>
      <c r="BP81" s="715">
        <v>2.4059757427802319E-2</v>
      </c>
      <c r="BQ81" s="715">
        <v>4.1014718362308758E-2</v>
      </c>
      <c r="BR81" s="715">
        <v>6.5158943308572928E-2</v>
      </c>
      <c r="BS81" s="715">
        <v>9.6634281030966732E-2</v>
      </c>
      <c r="BT81" s="715">
        <v>0.13334546863694791</v>
      </c>
      <c r="BW81" s="1190">
        <f>'2019'!R\Max</f>
        <v>0</v>
      </c>
      <c r="BX81" s="1190">
        <f>'2020'!R\Max</f>
        <v>0.6115906948595603</v>
      </c>
      <c r="BY81" s="1190">
        <f>'2021'!R\Max</f>
        <v>0.52051095042586026</v>
      </c>
      <c r="BZ81" s="1190">
        <f>'2022'!R\Max</f>
        <v>0.74264170044185662</v>
      </c>
      <c r="CA81" s="1190">
        <f>'2023'!R\Max</f>
        <v>0.74255237767809024</v>
      </c>
      <c r="CB81" s="1190">
        <f>'2024'!R\Max</f>
        <v>0.74246223082818041</v>
      </c>
      <c r="CC81" s="1190">
        <f>'2025'!R\Max</f>
        <v>0.74232767745683137</v>
      </c>
      <c r="CD81" s="1190">
        <f>'2026'!R\Max</f>
        <v>0.74219204428623653</v>
      </c>
      <c r="CE81" s="1191">
        <f>'2027'!R\Max</f>
        <v>0.74275176967236733</v>
      </c>
      <c r="CF81" s="1193">
        <f>'2028'!R\Max</f>
        <v>0.74269881739194643</v>
      </c>
    </row>
    <row r="82" spans="1:84" s="6" customFormat="1" ht="11.25" x14ac:dyDescent="0.2">
      <c r="A82" s="11">
        <v>43168</v>
      </c>
      <c r="B82" s="379">
        <f>'2022'!Maxi_hp</f>
        <v>45.223150143497143</v>
      </c>
      <c r="C82" s="13">
        <f>'2022'!An_max</f>
        <v>2021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47.3358192421762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47.315329446064844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47.487480320522032</v>
      </c>
      <c r="AZ82" s="735">
        <f t="shared" si="77"/>
        <v>47.401404883293438</v>
      </c>
      <c r="BA82" s="633">
        <f t="shared" si="74"/>
        <v>0.95536848981380529</v>
      </c>
      <c r="BC82" s="11">
        <v>43168</v>
      </c>
      <c r="BD82" s="289">
        <f>[3]!FeuilCaduc*(1-Persistant)+Persistant</f>
        <v>0.50480635785513883</v>
      </c>
      <c r="BE82" s="290">
        <f>[3]!CroissVégét</f>
        <v>2.0061577312061717E-2</v>
      </c>
      <c r="BF82" s="804">
        <f>1+[3]!Salcycl*Ksac</f>
        <v>1.0004806357855138</v>
      </c>
      <c r="BH82" s="1036">
        <f t="shared" si="75"/>
        <v>4.1067353903052068E-3</v>
      </c>
      <c r="BI82" s="11">
        <v>44264</v>
      </c>
      <c r="BJ82" s="715">
        <v>7.1366237869103864E-7</v>
      </c>
      <c r="BK82" s="715">
        <v>1.5057969151058357E-4</v>
      </c>
      <c r="BL82" s="715">
        <v>7.6463990658015362E-4</v>
      </c>
      <c r="BM82" s="715">
        <v>2.4014412883449519E-3</v>
      </c>
      <c r="BN82" s="715">
        <v>5.8180937920443146E-3</v>
      </c>
      <c r="BO82" s="716">
        <v>1.2353368347939693E-2</v>
      </c>
      <c r="BP82" s="715">
        <v>2.3167580823593058E-2</v>
      </c>
      <c r="BQ82" s="715">
        <v>3.9461821231922441E-2</v>
      </c>
      <c r="BR82" s="715">
        <v>6.2744651516382741E-2</v>
      </c>
      <c r="BS82" s="715">
        <v>9.3283030484825946E-2</v>
      </c>
      <c r="BT82" s="715">
        <v>0.12900190038938864</v>
      </c>
      <c r="BW82" s="1190">
        <f>'2019'!R\Max</f>
        <v>0</v>
      </c>
      <c r="BX82" s="1190">
        <f>'2020'!R\Max</f>
        <v>0.70523650491552958</v>
      </c>
      <c r="BY82" s="1190">
        <f>'2021'!R\Max</f>
        <v>0.95536848981380529</v>
      </c>
      <c r="BZ82" s="1190">
        <f>'2022'!R\Max</f>
        <v>0.71809199529253953</v>
      </c>
      <c r="CA82" s="1190">
        <f>'2023'!R\Max</f>
        <v>0.71800190393671393</v>
      </c>
      <c r="CB82" s="1190">
        <f>'2024'!R\Max</f>
        <v>0.71791094376091824</v>
      </c>
      <c r="CC82" s="1190">
        <f>'2025'!R\Max</f>
        <v>0.7177750848294675</v>
      </c>
      <c r="CD82" s="1190">
        <f>'2026'!R\Max</f>
        <v>0.71763808324104938</v>
      </c>
      <c r="CE82" s="1191">
        <f>'2027'!R\Max</f>
        <v>0.71820338687049246</v>
      </c>
      <c r="CF82" s="1193">
        <f>'2028'!R\Max</f>
        <v>0.71814979465356477</v>
      </c>
    </row>
    <row r="83" spans="1:84" s="6" customFormat="1" ht="11.25" x14ac:dyDescent="0.2">
      <c r="A83" s="11">
        <v>43169</v>
      </c>
      <c r="B83" s="379">
        <f>'2022'!Maxi_hp</f>
        <v>44.941946667610743</v>
      </c>
      <c r="C83" s="13">
        <f>'2022'!An_max</f>
        <v>2021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47.727741472389816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47.706931523340089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47.874527077107423</v>
      </c>
      <c r="AZ83" s="735">
        <f t="shared" si="77"/>
        <v>47.790729300223759</v>
      </c>
      <c r="BA83" s="633">
        <f t="shared" si="74"/>
        <v>0.94163153925080156</v>
      </c>
      <c r="BC83" s="11">
        <v>43169</v>
      </c>
      <c r="BD83" s="289">
        <f>[3]!FeuilCaduc*(1-Persistant)+Persistant</f>
        <v>0.50498790007987349</v>
      </c>
      <c r="BE83" s="290">
        <f>[3]!CroissVégét</f>
        <v>2.0941547894735235E-2</v>
      </c>
      <c r="BF83" s="804">
        <f>1+[3]!Salcycl*Ksac</f>
        <v>1.0004987900079874</v>
      </c>
      <c r="BH83" s="1036">
        <f t="shared" si="75"/>
        <v>3.9877993263843061E-3</v>
      </c>
      <c r="BI83" s="11">
        <v>44265</v>
      </c>
      <c r="BJ83" s="715">
        <v>7.3022306259899822E-7</v>
      </c>
      <c r="BK83" s="715">
        <v>1.4604813414315144E-4</v>
      </c>
      <c r="BL83" s="715">
        <v>7.4283189489053917E-4</v>
      </c>
      <c r="BM83" s="715">
        <v>2.3292046053514964E-3</v>
      </c>
      <c r="BN83" s="715">
        <v>5.652292276695222E-3</v>
      </c>
      <c r="BO83" s="716">
        <v>1.1949998777996936E-2</v>
      </c>
      <c r="BP83" s="715">
        <v>2.2337247600294735E-2</v>
      </c>
      <c r="BQ83" s="715">
        <v>3.8001538630746214E-2</v>
      </c>
      <c r="BR83" s="715">
        <v>6.0444960625984895E-2</v>
      </c>
      <c r="BS83" s="715">
        <v>9.0061970637431751E-2</v>
      </c>
      <c r="BT83" s="715">
        <v>0.12480335185822776</v>
      </c>
      <c r="BW83" s="1190">
        <f>'2019'!R\Max</f>
        <v>0</v>
      </c>
      <c r="BX83" s="1190">
        <f>'2020'!R\Max</f>
        <v>0.57809498699560935</v>
      </c>
      <c r="BY83" s="1190">
        <f>'2021'!R\Max</f>
        <v>0.94163153925080156</v>
      </c>
      <c r="BZ83" s="1190">
        <f>'2022'!R\Max</f>
        <v>0.56692185814483353</v>
      </c>
      <c r="CA83" s="1190">
        <f>'2023'!R\Max</f>
        <v>0.56681773931163382</v>
      </c>
      <c r="CB83" s="1190">
        <f>'2024'!R\Max</f>
        <v>0.56671258275797376</v>
      </c>
      <c r="CC83" s="1190">
        <f>'2025'!R\Max</f>
        <v>0.5665554878153084</v>
      </c>
      <c r="CD83" s="1190">
        <f>'2026'!R\Max</f>
        <v>0.56639703551180931</v>
      </c>
      <c r="CE83" s="1191">
        <f>'2027'!R\Max</f>
        <v>0.56705110001969161</v>
      </c>
      <c r="CF83" s="1193">
        <f>'2028'!R\Max</f>
        <v>0.56698891256860395</v>
      </c>
    </row>
    <row r="84" spans="1:84" s="6" customFormat="1" ht="11.25" x14ac:dyDescent="0.2">
      <c r="A84" s="11">
        <v>43170</v>
      </c>
      <c r="B84" s="379">
        <f>'2022'!Maxi_hp</f>
        <v>33.644561072825525</v>
      </c>
      <c r="C84" s="13">
        <f>'2022'!An_max</f>
        <v>2020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48.119993002925597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48.100783819031705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48.259030903716173</v>
      </c>
      <c r="AZ84" s="735">
        <f t="shared" si="77"/>
        <v>48.179907361373935</v>
      </c>
      <c r="BA84" s="633">
        <f t="shared" si="74"/>
        <v>0.6991805063392259</v>
      </c>
      <c r="BC84" s="11">
        <v>43170</v>
      </c>
      <c r="BD84" s="289">
        <f>[3]!FeuilCaduc*(1-Persistant)+Persistant</f>
        <v>0.50518630958649502</v>
      </c>
      <c r="BE84" s="290">
        <f>[3]!CroissVégét</f>
        <v>2.1856755910064932E-2</v>
      </c>
      <c r="BF84" s="804">
        <f>1+[3]!Salcycl*Ksac</f>
        <v>1.0005186309586496</v>
      </c>
      <c r="BH84" s="1036">
        <f t="shared" si="75"/>
        <v>3.885018778667558E-3</v>
      </c>
      <c r="BI84" s="11">
        <v>44266</v>
      </c>
      <c r="BJ84" s="715">
        <v>7.6479770091781874E-7</v>
      </c>
      <c r="BK84" s="715">
        <v>1.4223249731962391E-4</v>
      </c>
      <c r="BL84" s="715">
        <v>7.2474703078363679E-4</v>
      </c>
      <c r="BM84" s="715">
        <v>2.2685372474751026E-3</v>
      </c>
      <c r="BN84" s="715">
        <v>5.507248777869643E-3</v>
      </c>
      <c r="BO84" s="716">
        <v>1.1583617753942413E-2</v>
      </c>
      <c r="BP84" s="715">
        <v>2.1568755316654118E-2</v>
      </c>
      <c r="BQ84" s="715">
        <v>3.6633866800085874E-2</v>
      </c>
      <c r="BR84" s="715">
        <v>5.8259864613051097E-2</v>
      </c>
      <c r="BS84" s="715">
        <v>8.6971091166279615E-2</v>
      </c>
      <c r="BT84" s="715">
        <v>0.1207498069389481</v>
      </c>
      <c r="BW84" s="1190">
        <f>'2019'!R\Max</f>
        <v>0.21821203722196406</v>
      </c>
      <c r="BX84" s="1190">
        <f>'2020'!R\Max</f>
        <v>0.6991805063392259</v>
      </c>
      <c r="BY84" s="1190">
        <f>'2021'!R\Max</f>
        <v>0.68408894560429523</v>
      </c>
      <c r="BZ84" s="1190">
        <f>'2022'!R\Max</f>
        <v>0.34870361764780178</v>
      </c>
      <c r="CA84" s="1190">
        <f>'2023'!R\Max</f>
        <v>0.34861176341028194</v>
      </c>
      <c r="CB84" s="1190">
        <f>'2024'!R\Max</f>
        <v>0.34851896707698732</v>
      </c>
      <c r="CC84" s="1190">
        <f>'2025'!R\Max</f>
        <v>0.34838036927394078</v>
      </c>
      <c r="CD84" s="1190">
        <f>'2026'!R\Max</f>
        <v>0.34824055103453661</v>
      </c>
      <c r="CE84" s="1191">
        <f>'2027'!R\Max</f>
        <v>0.34881814199748129</v>
      </c>
      <c r="CF84" s="1193">
        <f>'2028'!R\Max</f>
        <v>0.34876302841063461</v>
      </c>
    </row>
    <row r="85" spans="1:84" s="6" customFormat="1" ht="11.25" x14ac:dyDescent="0.2">
      <c r="A85" s="11">
        <v>43171</v>
      </c>
      <c r="B85" s="379">
        <f>'2022'!Maxi_hp</f>
        <v>43.401527185164618</v>
      </c>
      <c r="C85" s="13">
        <f>'2022'!An_max</f>
        <v>2020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48.51202500006184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48.496337499760557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48.640662499656898</v>
      </c>
      <c r="AZ85" s="735">
        <f t="shared" si="77"/>
        <v>48.568499999708727</v>
      </c>
      <c r="BA85" s="633">
        <f t="shared" si="74"/>
        <v>0.89465503006954028</v>
      </c>
      <c r="BC85" s="11">
        <v>43171</v>
      </c>
      <c r="BD85" s="289">
        <f>[3]!FeuilCaduc*(1-Persistant)+Persistant</f>
        <v>0.50540440433671407</v>
      </c>
      <c r="BE85" s="290">
        <f>[3]!CroissVégét</f>
        <v>2.2808540908775418E-2</v>
      </c>
      <c r="BF85" s="804">
        <f>1+[3]!Salcycl*Ksac</f>
        <v>1.0005404404336715</v>
      </c>
      <c r="BH85" s="1036">
        <f t="shared" si="75"/>
        <v>3.7983929830270836E-3</v>
      </c>
      <c r="BI85" s="11">
        <v>44267</v>
      </c>
      <c r="BJ85" s="715">
        <v>8.173855083529536E-7</v>
      </c>
      <c r="BK85" s="715">
        <v>1.3913275204444273E-4</v>
      </c>
      <c r="BL85" s="715">
        <v>7.103851542228256E-4</v>
      </c>
      <c r="BM85" s="715">
        <v>2.2194387488807463E-3</v>
      </c>
      <c r="BN85" s="715">
        <v>5.3829622320860646E-3</v>
      </c>
      <c r="BO85" s="716">
        <v>1.1254223632371876E-2</v>
      </c>
      <c r="BP85" s="715">
        <v>2.0862101720197646E-2</v>
      </c>
      <c r="BQ85" s="715">
        <v>3.5358802584585243E-2</v>
      </c>
      <c r="BR85" s="715">
        <v>5.6189358928406208E-2</v>
      </c>
      <c r="BS85" s="715">
        <v>8.4010384324289478E-2</v>
      </c>
      <c r="BT85" s="715">
        <v>0.1168412532983454</v>
      </c>
      <c r="BW85" s="1190">
        <f>'2019'!R\Max</f>
        <v>0.84929876791191117</v>
      </c>
      <c r="BX85" s="1190">
        <f>'2020'!R\Max</f>
        <v>0.89465503006954028</v>
      </c>
      <c r="BY85" s="1190">
        <f>'2021'!R\Max</f>
        <v>0.70561817515089265</v>
      </c>
      <c r="BZ85" s="1190">
        <f>'2022'!R\Max</f>
        <v>0.36002879487308392</v>
      </c>
      <c r="CA85" s="1190">
        <f>'2023'!R\Max</f>
        <v>0.35993981412138087</v>
      </c>
      <c r="CB85" s="1190">
        <f>'2024'!R\Max</f>
        <v>0.35984987687498227</v>
      </c>
      <c r="CC85" s="1190">
        <f>'2025'!R\Max</f>
        <v>0.35971560548894621</v>
      </c>
      <c r="CD85" s="1190">
        <f>'2026'!R\Max</f>
        <v>0.35958009067551905</v>
      </c>
      <c r="CE85" s="1191">
        <f>'2027'!R\Max</f>
        <v>0.36014025875426225</v>
      </c>
      <c r="CF85" s="1193">
        <f>'2028'!R\Max</f>
        <v>0.36008661307689505</v>
      </c>
    </row>
    <row r="86" spans="1:84" s="6" customFormat="1" ht="11.25" x14ac:dyDescent="0.2">
      <c r="A86" s="11">
        <v>43172</v>
      </c>
      <c r="B86" s="379">
        <f>'2022'!Maxi_hp</f>
        <v>43.4645843753053</v>
      </c>
      <c r="C86" s="13">
        <f>'2022'!An_max</f>
        <v>2021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48.903288629863937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48.893043731631977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49.019092565801529</v>
      </c>
      <c r="AZ86" s="735">
        <f t="shared" si="77"/>
        <v>48.956068148716753</v>
      </c>
      <c r="BA86" s="633">
        <f t="shared" si="74"/>
        <v>0.88878653344312375</v>
      </c>
      <c r="BC86" s="11">
        <v>43172</v>
      </c>
      <c r="BD86" s="289">
        <f>[3]!FeuilCaduc*(1-Persistant)+Persistant</f>
        <v>0.50564515064949966</v>
      </c>
      <c r="BE86" s="290">
        <f>[3]!CroissVégét</f>
        <v>2.3798287402466985E-2</v>
      </c>
      <c r="BF86" s="804">
        <f>1+[3]!Salcycl*Ksac</f>
        <v>1.00056451506495</v>
      </c>
      <c r="BH86" s="1036">
        <f t="shared" si="75"/>
        <v>3.7272733623925393E-3</v>
      </c>
      <c r="BI86" s="11">
        <v>44268</v>
      </c>
      <c r="BJ86" s="715">
        <v>8.8280671021464422E-7</v>
      </c>
      <c r="BK86" s="715">
        <v>1.3667374969069987E-4</v>
      </c>
      <c r="BL86" s="715">
        <v>6.9939773769584672E-4</v>
      </c>
      <c r="BM86" s="715">
        <v>2.1812646345138642E-3</v>
      </c>
      <c r="BN86" s="715">
        <v>5.2787799456709373E-3</v>
      </c>
      <c r="BO86" s="716">
        <v>1.0962017886442778E-2</v>
      </c>
      <c r="BP86" s="715">
        <v>2.021994314477071E-2</v>
      </c>
      <c r="BQ86" s="715">
        <v>3.4182792428340471E-2</v>
      </c>
      <c r="BR86" s="715">
        <v>5.4253649180445528E-2</v>
      </c>
      <c r="BS86" s="715">
        <v>8.1213562381239182E-2</v>
      </c>
      <c r="BT86" s="715">
        <v>0.11312470680133714</v>
      </c>
      <c r="BW86" s="1190">
        <f>'2019'!R\Max</f>
        <v>0.57201513253990144</v>
      </c>
      <c r="BX86" s="1190">
        <f>'2020'!R\Max</f>
        <v>0.35533979947681105</v>
      </c>
      <c r="BY86" s="1190">
        <f>'2021'!R\Max</f>
        <v>0.88878653344312375</v>
      </c>
      <c r="BZ86" s="1190">
        <f>'2022'!R\Max</f>
        <v>0.20027492696438573</v>
      </c>
      <c r="CA86" s="1190">
        <f>'2023'!R\Max</f>
        <v>0.20022314367064703</v>
      </c>
      <c r="CB86" s="1190">
        <f>'2024'!R\Max</f>
        <v>0.20017078081874162</v>
      </c>
      <c r="CC86" s="1190">
        <f>'2025'!R\Max</f>
        <v>0.20009268099554103</v>
      </c>
      <c r="CD86" s="1190">
        <f>'2026'!R\Max</f>
        <v>0.20001382879127377</v>
      </c>
      <c r="CE86" s="1191">
        <f>'2027'!R\Max</f>
        <v>0.2003401289607927</v>
      </c>
      <c r="CF86" s="1193">
        <f>'2028'!R\Max</f>
        <v>0.20030874461276552</v>
      </c>
    </row>
    <row r="87" spans="1:84" s="6" customFormat="1" ht="11.25" x14ac:dyDescent="0.2">
      <c r="A87" s="11">
        <v>43173</v>
      </c>
      <c r="B87" s="379">
        <f>'2022'!Maxi_hp</f>
        <v>41.9627960937136</v>
      </c>
      <c r="C87" s="13">
        <f>'2022'!An_max</f>
        <v>2020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49.293235058550323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49.290353680609925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49.393991799888731</v>
      </c>
      <c r="AZ87" s="735">
        <f t="shared" si="77"/>
        <v>49.342172740249325</v>
      </c>
      <c r="BA87" s="633">
        <f t="shared" si="74"/>
        <v>0.85128914837645253</v>
      </c>
      <c r="BC87" s="11">
        <v>43173</v>
      </c>
      <c r="BD87" s="289">
        <f>[3]!FeuilCaduc*(1-Persistant)+Persistant</f>
        <v>0.50591165297533158</v>
      </c>
      <c r="BE87" s="290">
        <f>[3]!CroissVégét</f>
        <v>2.4827425868542252E-2</v>
      </c>
      <c r="BF87" s="804">
        <f>1+[3]!Salcycl*Ksac</f>
        <v>1.0005911652975332</v>
      </c>
      <c r="BH87" s="1036">
        <f t="shared" si="75"/>
        <v>3.6573007674407742E-3</v>
      </c>
      <c r="BI87" s="11">
        <v>44269</v>
      </c>
      <c r="BJ87" s="715">
        <v>9.4227200120254647E-7</v>
      </c>
      <c r="BK87" s="715">
        <v>1.3458856912889627E-4</v>
      </c>
      <c r="BL87" s="715">
        <v>6.88936909717474E-4</v>
      </c>
      <c r="BM87" s="715">
        <v>2.1439998023550146E-3</v>
      </c>
      <c r="BN87" s="715">
        <v>5.175983273867325E-3</v>
      </c>
      <c r="BO87" s="716">
        <v>1.0679673034487141E-2</v>
      </c>
      <c r="BP87" s="715">
        <v>1.9606405139687016E-2</v>
      </c>
      <c r="BQ87" s="715">
        <v>3.3062449816903212E-2</v>
      </c>
      <c r="BR87" s="715">
        <v>5.2404566754285453E-2</v>
      </c>
      <c r="BS87" s="715">
        <v>7.8520479069459651E-2</v>
      </c>
      <c r="BT87" s="715">
        <v>0.10951703538173162</v>
      </c>
      <c r="BW87" s="1190">
        <f>'2019'!R\Max</f>
        <v>0.47173387502200764</v>
      </c>
      <c r="BX87" s="1190">
        <f>'2020'!R\Max</f>
        <v>0.85128914837645253</v>
      </c>
      <c r="BY87" s="1190">
        <f>'2021'!R\Max</f>
        <v>0.60097049626001786</v>
      </c>
      <c r="BZ87" s="1190">
        <f>'2022'!R\Max</f>
        <v>0.32016382023824647</v>
      </c>
      <c r="CA87" s="1190">
        <f>'2023'!R\Max</f>
        <v>0.32008688537242114</v>
      </c>
      <c r="CB87" s="1190">
        <f>'2024'!R\Max</f>
        <v>0.32000904954153547</v>
      </c>
      <c r="CC87" s="1190">
        <f>'2025'!R\Max</f>
        <v>0.3198930751170258</v>
      </c>
      <c r="CD87" s="1190">
        <f>'2026'!R\Max</f>
        <v>0.31977592873441607</v>
      </c>
      <c r="CE87" s="1191">
        <f>'2027'!R\Max</f>
        <v>0.32026116261277893</v>
      </c>
      <c r="CF87" s="1193">
        <f>'2028'!R\Max</f>
        <v>0.32021430369368109</v>
      </c>
    </row>
    <row r="88" spans="1:84" s="6" customFormat="1" ht="11.25" x14ac:dyDescent="0.2">
      <c r="A88" s="11">
        <v>43174</v>
      </c>
      <c r="B88" s="379">
        <f>'2022'!Maxi_hp</f>
        <v>33.906662518762403</v>
      </c>
      <c r="C88" s="13">
        <f>'2022'!An_max</f>
        <v>2020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49.68131545239261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49.687718512851276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49.765030903927979</v>
      </c>
      <c r="AZ88" s="735">
        <f t="shared" si="77"/>
        <v>49.726374708389628</v>
      </c>
      <c r="BA88" s="633">
        <f t="shared" si="74"/>
        <v>0.68248318729107815</v>
      </c>
      <c r="BC88" s="11">
        <v>43174</v>
      </c>
      <c r="BD88" s="289">
        <f>[3]!FeuilCaduc*(1-Persistant)+Persistant</f>
        <v>0.50620714307783987</v>
      </c>
      <c r="BE88" s="290">
        <f>[3]!CroissVégét</f>
        <v>2.5897433731805454E-2</v>
      </c>
      <c r="BF88" s="804">
        <f>1+[3]!Salcycl*Ksac</f>
        <v>1.0006207143077839</v>
      </c>
      <c r="BH88" s="1036">
        <f t="shared" si="75"/>
        <v>3.5884746160148727E-3</v>
      </c>
      <c r="BI88" s="11">
        <v>44270</v>
      </c>
      <c r="BJ88" s="715">
        <v>9.9578058803715886E-7</v>
      </c>
      <c r="BK88" s="715">
        <v>1.3287716909233884E-4</v>
      </c>
      <c r="BL88" s="715">
        <v>6.7900251551505279E-4</v>
      </c>
      <c r="BM88" s="715">
        <v>2.1076438570127531E-3</v>
      </c>
      <c r="BN88" s="715">
        <v>5.0745714470886725E-3</v>
      </c>
      <c r="BO88" s="716">
        <v>1.0407188014945596E-2</v>
      </c>
      <c r="BP88" s="715">
        <v>1.9021486425628946E-2</v>
      </c>
      <c r="BQ88" s="715">
        <v>3.1997773283828086E-2</v>
      </c>
      <c r="BR88" s="715">
        <v>5.0642110253984109E-2</v>
      </c>
      <c r="BS88" s="715">
        <v>7.5931132496137865E-2</v>
      </c>
      <c r="BT88" s="715">
        <v>0.10601823617975725</v>
      </c>
      <c r="BW88" s="1190">
        <f>'2019'!R\Max</f>
        <v>0.25738332045498141</v>
      </c>
      <c r="BX88" s="1190">
        <f>'2020'!R\Max</f>
        <v>0.68248318729107815</v>
      </c>
      <c r="BY88" s="1190">
        <f>'2021'!R\Max</f>
        <v>0.38770478105434281</v>
      </c>
      <c r="BZ88" s="1190">
        <f>'2022'!R\Max</f>
        <v>0.30238308860666813</v>
      </c>
      <c r="CA88" s="1190">
        <f>'2023'!R\Max</f>
        <v>0.30231165703928553</v>
      </c>
      <c r="CB88" s="1190">
        <f>'2024'!R\Max</f>
        <v>0.30223935285301706</v>
      </c>
      <c r="CC88" s="1190">
        <f>'2025'!R\Max</f>
        <v>0.30213175035117668</v>
      </c>
      <c r="CD88" s="1190">
        <f>'2026'!R\Max</f>
        <v>0.30202301384350333</v>
      </c>
      <c r="CE88" s="1191">
        <f>'2027'!R\Max</f>
        <v>0.30247388593636393</v>
      </c>
      <c r="CF88" s="1193">
        <f>'2028'!R\Max</f>
        <v>0.30243017404062</v>
      </c>
    </row>
    <row r="89" spans="1:84" s="6" customFormat="1" ht="11.25" x14ac:dyDescent="0.2">
      <c r="A89" s="11">
        <v>43175</v>
      </c>
      <c r="B89" s="379">
        <f>'2022'!Maxi_hp</f>
        <v>50.695816320188271</v>
      </c>
      <c r="C89" s="13">
        <f>'2022'!An_max</f>
        <v>2020</v>
      </c>
      <c r="D89" s="1045">
        <f t="shared" si="59"/>
        <v>1.0125598814102907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50.066980976551505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50.084589394759881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50.131880575864173</v>
      </c>
      <c r="AZ89" s="735">
        <f t="shared" si="77"/>
        <v>50.108234985312023</v>
      </c>
      <c r="BA89" s="633">
        <f t="shared" si="74"/>
        <v>1.0125598814102907</v>
      </c>
      <c r="BC89" s="11">
        <v>43175</v>
      </c>
      <c r="BD89" s="289">
        <f>[3]!FeuilCaduc*(1-Persistant)+Persistant</f>
        <v>0.5065349687254842</v>
      </c>
      <c r="BE89" s="290">
        <f>[3]!CroissVégét</f>
        <v>2.7009836317349309E-2</v>
      </c>
      <c r="BF89" s="804">
        <f>1+[3]!Salcycl*Ksac</f>
        <v>1.0006534968725485</v>
      </c>
      <c r="BH89" s="1036">
        <f t="shared" si="75"/>
        <v>3.5207943996511202E-3</v>
      </c>
      <c r="BI89" s="11">
        <v>44271</v>
      </c>
      <c r="BJ89" s="715">
        <v>1.043331742242205E-6</v>
      </c>
      <c r="BK89" s="715">
        <v>1.3153950178564818E-4</v>
      </c>
      <c r="BL89" s="715">
        <v>6.6959440219716872E-4</v>
      </c>
      <c r="BM89" s="715">
        <v>2.0721964346554649E-3</v>
      </c>
      <c r="BN89" s="715">
        <v>4.9745438117248311E-3</v>
      </c>
      <c r="BO89" s="716">
        <v>1.0144561929732889E-2</v>
      </c>
      <c r="BP89" s="715">
        <v>1.8465185894232881E-2</v>
      </c>
      <c r="BQ89" s="715">
        <v>3.0988761587716587E-2</v>
      </c>
      <c r="BR89" s="715">
        <v>4.8966278790099078E-2</v>
      </c>
      <c r="BS89" s="715">
        <v>7.3445522081850095E-2</v>
      </c>
      <c r="BT89" s="715">
        <v>0.10262830886733934</v>
      </c>
      <c r="BW89" s="1190">
        <f>'2019'!R\Max</f>
        <v>0.9616908282641915</v>
      </c>
      <c r="BX89" s="1190">
        <f>'2020'!R\Max</f>
        <v>1.0125598814102907</v>
      </c>
      <c r="BY89" s="1190">
        <f>'2021'!R\Max</f>
        <v>0.67043296321501589</v>
      </c>
      <c r="BZ89" s="1190">
        <f>'2022'!R\Max</f>
        <v>0.29948003188844108</v>
      </c>
      <c r="CA89" s="1190">
        <f>'2023'!R\Max</f>
        <v>0.299411938464757</v>
      </c>
      <c r="CB89" s="1190">
        <f>'2024'!R\Max</f>
        <v>0.29934297709609581</v>
      </c>
      <c r="CC89" s="1190">
        <f>'2025'!R\Max</f>
        <v>0.29924048801001585</v>
      </c>
      <c r="CD89" s="1190">
        <f>'2026'!R\Max</f>
        <v>0.29913687265286248</v>
      </c>
      <c r="CE89" s="1191">
        <f>'2027'!R\Max</f>
        <v>0.29956695753064422</v>
      </c>
      <c r="CF89" s="1193">
        <f>'2028'!R\Max</f>
        <v>0.29952510684489225</v>
      </c>
    </row>
    <row r="90" spans="1:84" s="6" customFormat="1" ht="11.25" x14ac:dyDescent="0.2">
      <c r="A90" s="11">
        <v>43176</v>
      </c>
      <c r="B90" s="379">
        <f>'2022'!Maxi_hp</f>
        <v>27.308423529990701</v>
      </c>
      <c r="C90" s="13">
        <f>'2022'!An_max</f>
        <v>2021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50.449682798795408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50.480417492586589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50.494211515272035</v>
      </c>
      <c r="AZ90" s="735">
        <f t="shared" si="77"/>
        <v>50.487314503929312</v>
      </c>
      <c r="BA90" s="633">
        <f t="shared" si="74"/>
        <v>0.54130020279617586</v>
      </c>
      <c r="BC90" s="11">
        <v>43176</v>
      </c>
      <c r="BD90" s="289">
        <f>[3]!FeuilCaduc*(1-Persistant)+Persistant</f>
        <v>0.50689858199561411</v>
      </c>
      <c r="BE90" s="290">
        <f>[3]!CroissVégét</f>
        <v>2.8166207768877807E-2</v>
      </c>
      <c r="BF90" s="804">
        <f>1+[3]!Salcycl*Ksac</f>
        <v>1.0006898581995614</v>
      </c>
      <c r="BH90" s="1036">
        <f t="shared" si="75"/>
        <v>3.4542596792951309E-3</v>
      </c>
      <c r="BI90" s="11">
        <v>44272</v>
      </c>
      <c r="BJ90" s="715">
        <v>1.0849248221620247E-6</v>
      </c>
      <c r="BK90" s="715">
        <v>1.3057551150029396E-4</v>
      </c>
      <c r="BL90" s="715">
        <v>6.6071241679772181E-4</v>
      </c>
      <c r="BM90" s="715">
        <v>2.037657199623494E-3</v>
      </c>
      <c r="BN90" s="715">
        <v>4.8758998249589973E-3</v>
      </c>
      <c r="BO90" s="716">
        <v>9.8917940076454752E-3</v>
      </c>
      <c r="BP90" s="715">
        <v>1.7937502502009369E-2</v>
      </c>
      <c r="BQ90" s="715">
        <v>3.003541350594786E-2</v>
      </c>
      <c r="BR90" s="715">
        <v>4.737707165869659E-2</v>
      </c>
      <c r="BS90" s="715">
        <v>7.1063648176005134E-2</v>
      </c>
      <c r="BT90" s="715">
        <v>9.9347255244221916E-2</v>
      </c>
      <c r="BW90" s="1190">
        <f>'2019'!R\Max</f>
        <v>0.31450740470575872</v>
      </c>
      <c r="BX90" s="1190">
        <f>'2020'!R\Max</f>
        <v>0.19461218211181844</v>
      </c>
      <c r="BY90" s="1190">
        <f>'2021'!R\Max</f>
        <v>0.54130020279617586</v>
      </c>
      <c r="BZ90" s="1190">
        <f>'2022'!R\Max</f>
        <v>0.24962715166144575</v>
      </c>
      <c r="CA90" s="1190">
        <f>'2023'!R\Max</f>
        <v>0.24957264662075873</v>
      </c>
      <c r="CB90" s="1190">
        <f>'2024'!R\Max</f>
        <v>0.24951741712520589</v>
      </c>
      <c r="CC90" s="1190">
        <f>'2025'!R\Max</f>
        <v>0.24943546074660244</v>
      </c>
      <c r="CD90" s="1190">
        <f>'2026'!R\Max</f>
        <v>0.2493525668991822</v>
      </c>
      <c r="CE90" s="1191">
        <f>'2027'!R\Max</f>
        <v>0.24969700317406782</v>
      </c>
      <c r="CF90" s="1193">
        <f>'2028'!R\Max</f>
        <v>0.24966337131535768</v>
      </c>
    </row>
    <row r="91" spans="1:84" s="6" customFormat="1" ht="11.25" x14ac:dyDescent="0.2">
      <c r="A91" s="11">
        <v>43177</v>
      </c>
      <c r="B91" s="379">
        <f>'2022'!Maxi_hp</f>
        <v>34.112652515484889</v>
      </c>
      <c r="C91" s="13">
        <f>'2022'!An_max</f>
        <v>2018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50.828872084890364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50.874653972538155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50.851694423961455</v>
      </c>
      <c r="AZ91" s="735">
        <f t="shared" si="77"/>
        <v>50.863174198249808</v>
      </c>
      <c r="BA91" s="633">
        <f t="shared" si="74"/>
        <v>0.67112747374194404</v>
      </c>
      <c r="BC91" s="11">
        <v>43177</v>
      </c>
      <c r="BD91" s="289">
        <f>[3]!FeuilCaduc*(1-Persistant)+Persistant</f>
        <v>0.50730152729164557</v>
      </c>
      <c r="BE91" s="290">
        <f>[3]!CroissVégét</f>
        <v>2.9368171926128662E-2</v>
      </c>
      <c r="BF91" s="804">
        <f>1+[3]!Salcycl*Ksac</f>
        <v>1.0007301527291645</v>
      </c>
      <c r="BH91" s="1036">
        <f t="shared" si="75"/>
        <v>3.3888700810068527E-3</v>
      </c>
      <c r="BI91" s="11">
        <v>44273</v>
      </c>
      <c r="BJ91" s="715">
        <v>1.1205592949758661E-6</v>
      </c>
      <c r="BK91" s="715">
        <v>1.2998513322971678E-4</v>
      </c>
      <c r="BL91" s="715">
        <v>6.5235640431789707E-4</v>
      </c>
      <c r="BM91" s="715">
        <v>2.004025841034734E-3</v>
      </c>
      <c r="BN91" s="715">
        <v>4.7786390495689274E-3</v>
      </c>
      <c r="BO91" s="716">
        <v>9.648883567736917E-3</v>
      </c>
      <c r="BP91" s="715">
        <v>1.7438435164204416E-2</v>
      </c>
      <c r="BQ91" s="715">
        <v>2.9137727628310277E-2</v>
      </c>
      <c r="BR91" s="715">
        <v>4.5874488020203469E-2</v>
      </c>
      <c r="BS91" s="715">
        <v>6.8785511672052255E-2</v>
      </c>
      <c r="BT91" s="715">
        <v>9.6175078833761293E-2</v>
      </c>
      <c r="BW91" s="1190">
        <f>'2019'!R\Max</f>
        <v>0.67112747374194404</v>
      </c>
      <c r="BX91" s="1190">
        <f>'2020'!R\Max</f>
        <v>0.26856170377020722</v>
      </c>
      <c r="BY91" s="1190">
        <f>'2021'!R\Max</f>
        <v>0.44779784905283276</v>
      </c>
      <c r="BZ91" s="1190">
        <f>'2022'!R\Max</f>
        <v>0.32033027249533524</v>
      </c>
      <c r="CA91" s="1190">
        <f>'2023'!R\Max</f>
        <v>0.32026497183399238</v>
      </c>
      <c r="CB91" s="1190">
        <f>'2024'!R\Max</f>
        <v>0.32019876599048036</v>
      </c>
      <c r="CC91" s="1190">
        <f>'2025'!R\Max</f>
        <v>0.32010068682199849</v>
      </c>
      <c r="CD91" s="1190">
        <f>'2026'!R\Max</f>
        <v>0.32000144057591051</v>
      </c>
      <c r="CE91" s="1191">
        <f>'2027'!R\Max</f>
        <v>0.32041424937058183</v>
      </c>
      <c r="CF91" s="1193">
        <f>'2028'!R\Max</f>
        <v>0.32037381553557842</v>
      </c>
    </row>
    <row r="92" spans="1:84" s="6" customFormat="1" ht="11.25" x14ac:dyDescent="0.2">
      <c r="A92" s="11">
        <v>43178</v>
      </c>
      <c r="B92" s="379">
        <f>'2022'!Maxi_hp</f>
        <v>46.811989092410982</v>
      </c>
      <c r="C92" s="13">
        <f>'2022'!An_max</f>
        <v>2020</v>
      </c>
      <c r="D92" s="1045" t="str">
        <f t="shared" si="59"/>
        <v/>
      </c>
      <c r="E92" s="1040">
        <f>S$13/10</f>
        <v>51.203999999999994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51.204000000283123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51.266749999357856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51.203999999910593</v>
      </c>
      <c r="AZ92" s="735">
        <f t="shared" si="77"/>
        <v>51.235374999634224</v>
      </c>
      <c r="BA92" s="633">
        <f t="shared" si="74"/>
        <v>0.91422523810936929</v>
      </c>
      <c r="BC92" s="11">
        <v>43178</v>
      </c>
      <c r="BD92" s="289">
        <f>[3]!FeuilCaduc*(1-Persistant)+Persistant</f>
        <v>0.50774742917125781</v>
      </c>
      <c r="BE92" s="290">
        <f>[3]!CroissVégét</f>
        <v>3.0617403154541836E-2</v>
      </c>
      <c r="BF92" s="804">
        <f>1+[3]!Salcycl*Ksac</f>
        <v>1.0007747429171259</v>
      </c>
      <c r="BH92" s="1036">
        <f t="shared" si="75"/>
        <v>3.3246252916769902E-3</v>
      </c>
      <c r="BI92" s="11">
        <v>44274</v>
      </c>
      <c r="BJ92" s="715">
        <v>1.1502347587155602E-6</v>
      </c>
      <c r="BK92" s="715">
        <v>1.2976829128487905E-4</v>
      </c>
      <c r="BL92" s="715">
        <v>6.4452620577030452E-4</v>
      </c>
      <c r="BM92" s="715">
        <v>1.9713020693969412E-3</v>
      </c>
      <c r="BN92" s="715">
        <v>4.6827611487442909E-3</v>
      </c>
      <c r="BO92" s="716">
        <v>9.4158299827261805E-3</v>
      </c>
      <c r="BP92" s="715">
        <v>1.6967982648720632E-2</v>
      </c>
      <c r="BQ92" s="715">
        <v>2.8295702150733681E-2</v>
      </c>
      <c r="BR92" s="715">
        <v>4.4458526578418617E-2</v>
      </c>
      <c r="BS92" s="715">
        <v>6.6611113622927501E-2</v>
      </c>
      <c r="BT92" s="715">
        <v>9.3111784479052939E-2</v>
      </c>
      <c r="BW92" s="1190">
        <f>'2019'!R\Max</f>
        <v>0.24185314286565754</v>
      </c>
      <c r="BX92" s="1190">
        <f>'2020'!R\Max</f>
        <v>0.91422523810936929</v>
      </c>
      <c r="BY92" s="1190">
        <f>'2021'!R\Max</f>
        <v>0.2081006206684255</v>
      </c>
      <c r="BZ92" s="1190">
        <f>'2022'!R\Max</f>
        <v>0.60765794612064927</v>
      </c>
      <c r="CA92" s="1190">
        <f>'2023'!R\Max</f>
        <v>0.60758906101306465</v>
      </c>
      <c r="CB92" s="1190">
        <f>'2024'!R\Max</f>
        <v>0.60751917013924628</v>
      </c>
      <c r="CC92" s="1190">
        <f>'2025'!R\Max</f>
        <v>0.60741580550513719</v>
      </c>
      <c r="CD92" s="1190">
        <f>'2026'!R\Max</f>
        <v>0.6073111402945941</v>
      </c>
      <c r="CE92" s="1191">
        <f>'2027'!R\Max</f>
        <v>0.60774678056490883</v>
      </c>
      <c r="CF92" s="1193">
        <f>'2028'!R\Max</f>
        <v>0.60770400999267249</v>
      </c>
    </row>
    <row r="93" spans="1:84" s="6" customFormat="1" ht="11.25" x14ac:dyDescent="0.2">
      <c r="A93" s="11">
        <v>43179</v>
      </c>
      <c r="B93" s="379">
        <f>'2022'!Maxi_hp</f>
        <v>50.974512464979433</v>
      </c>
      <c r="C93" s="13">
        <f>'2022'!An_max</f>
        <v>2018</v>
      </c>
      <c r="D93" s="1045">
        <f t="shared" si="59"/>
        <v>0.98830349406252582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51.577792420264871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51.656156741728772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51.554366363358817</v>
      </c>
      <c r="AZ93" s="735">
        <f t="shared" si="77"/>
        <v>51.605261552543794</v>
      </c>
      <c r="BA93" s="633">
        <f t="shared" si="74"/>
        <v>0.98830349406252582</v>
      </c>
      <c r="BC93" s="11">
        <v>43179</v>
      </c>
      <c r="BD93" s="289">
        <f>[3]!FeuilCaduc*(1-Persistant)+Persistant</f>
        <v>0.5082399800795161</v>
      </c>
      <c r="BE93" s="290">
        <f>[3]!CroissVégét</f>
        <v>3.1915627119784788E-2</v>
      </c>
      <c r="BF93" s="804">
        <f>1+[3]!Salcycl*Ksac</f>
        <v>1.0008239980079516</v>
      </c>
      <c r="BH93" s="1036">
        <f t="shared" si="75"/>
        <v>3.261525163017906E-3</v>
      </c>
      <c r="BI93" s="11">
        <v>44275</v>
      </c>
      <c r="BJ93" s="715">
        <v>1.1739510032559589E-6</v>
      </c>
      <c r="BK93" s="715">
        <v>1.299249022230181E-4</v>
      </c>
      <c r="BL93" s="715">
        <v>6.3722167737733282E-4</v>
      </c>
      <c r="BM93" s="715">
        <v>1.9394856776061727E-3</v>
      </c>
      <c r="BN93" s="715">
        <v>4.5882660332229137E-3</v>
      </c>
      <c r="BO93" s="716">
        <v>9.1926329475778244E-3</v>
      </c>
      <c r="BP93" s="715">
        <v>1.6526144018663577E-2</v>
      </c>
      <c r="BQ93" s="715">
        <v>2.7509335582259608E-2</v>
      </c>
      <c r="BR93" s="715">
        <v>4.3129186691299275E-2</v>
      </c>
      <c r="BS93" s="715">
        <v>6.4540456999072571E-2</v>
      </c>
      <c r="BT93" s="715">
        <v>9.0157380932044229E-2</v>
      </c>
      <c r="BW93" s="1190">
        <f>'2019'!R\Max</f>
        <v>0.98830349406252582</v>
      </c>
      <c r="BX93" s="1190">
        <f>'2020'!R\Max</f>
        <v>0.94289221612954421</v>
      </c>
      <c r="BY93" s="1190">
        <f>'2021'!R\Max</f>
        <v>0.85693028773037105</v>
      </c>
      <c r="BZ93" s="1190">
        <f>'2022'!R\Max</f>
        <v>0.66991092837147204</v>
      </c>
      <c r="CA93" s="1190">
        <f>'2023'!R\Max</f>
        <v>0.66984927504683156</v>
      </c>
      <c r="CB93" s="1190">
        <f>'2024'!R\Max</f>
        <v>0.66978668392577234</v>
      </c>
      <c r="CC93" s="1190">
        <f>'2025'!R\Max</f>
        <v>0.66969430434793431</v>
      </c>
      <c r="CD93" s="1190">
        <f>'2026'!R\Max</f>
        <v>0.66960072025231976</v>
      </c>
      <c r="CE93" s="1191">
        <f>'2027'!R\Max</f>
        <v>0.66999062793629249</v>
      </c>
      <c r="CF93" s="1193">
        <f>'2028'!R\Max</f>
        <v>0.66995225655596657</v>
      </c>
    </row>
    <row r="94" spans="1:84" s="6" customFormat="1" ht="11.25" x14ac:dyDescent="0.2">
      <c r="A94" s="11">
        <v>43180</v>
      </c>
      <c r="B94" s="379">
        <f>'2022'!Maxi_hp</f>
        <v>52.150714918937091</v>
      </c>
      <c r="C94" s="13">
        <f>'2022'!An_max</f>
        <v>2020</v>
      </c>
      <c r="D94" s="1045">
        <f t="shared" si="59"/>
        <v>1.0038103702350845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51.952755685044188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52.042325363983402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51.905958454576989</v>
      </c>
      <c r="AZ94" s="735">
        <f t="shared" si="77"/>
        <v>51.974141909280192</v>
      </c>
      <c r="BA94" s="633">
        <f t="shared" si="74"/>
        <v>1.0038103702350845</v>
      </c>
      <c r="BC94" s="11">
        <v>43180</v>
      </c>
      <c r="BD94" s="289">
        <f>[3]!FeuilCaduc*(1-Persistant)+Persistant</f>
        <v>0.50878292807574432</v>
      </c>
      <c r="BE94" s="290">
        <f>[3]!CroissVégét</f>
        <v>3.3264621499185201E-2</v>
      </c>
      <c r="BF94" s="804">
        <f>1+[3]!Salcycl*Ksac</f>
        <v>1.0008782928075743</v>
      </c>
      <c r="BH94" s="1036">
        <f t="shared" si="75"/>
        <v>3.1997165366364605E-3</v>
      </c>
      <c r="BI94" s="11">
        <v>44276</v>
      </c>
      <c r="BJ94" s="715">
        <v>1.1854504106742412E-6</v>
      </c>
      <c r="BK94" s="715">
        <v>1.3016742409099324E-4</v>
      </c>
      <c r="BL94" s="715">
        <v>6.3006719328116245E-4</v>
      </c>
      <c r="BM94" s="715">
        <v>1.9082875413308428E-3</v>
      </c>
      <c r="BN94" s="715">
        <v>4.4957380609150178E-3</v>
      </c>
      <c r="BO94" s="716">
        <v>8.9816072061913842E-3</v>
      </c>
      <c r="BP94" s="715">
        <v>1.611777459883516E-2</v>
      </c>
      <c r="BQ94" s="715">
        <v>2.67874978669977E-2</v>
      </c>
      <c r="BR94" s="715">
        <v>4.1901344552744385E-2</v>
      </c>
      <c r="BS94" s="715">
        <v>6.2598770826960123E-2</v>
      </c>
      <c r="BT94" s="715">
        <v>8.7350783363294229E-2</v>
      </c>
      <c r="BW94" s="1190">
        <f>'2019'!R\Max</f>
        <v>0.9859652184737282</v>
      </c>
      <c r="BX94" s="1190">
        <f>'2020'!R\Max</f>
        <v>1.0038103702350845</v>
      </c>
      <c r="BY94" s="1190">
        <f>'2021'!R\Max</f>
        <v>0.82677217685533477</v>
      </c>
      <c r="BZ94" s="1190">
        <f>'2022'!R\Max</f>
        <v>0.94164121172747595</v>
      </c>
      <c r="CA94" s="1190">
        <f>'2023'!R\Max</f>
        <v>0.94162639341057841</v>
      </c>
      <c r="CB94" s="1190">
        <f>'2024'!R\Max</f>
        <v>0.94161133879489967</v>
      </c>
      <c r="CC94" s="1190">
        <f>'2025'!R\Max</f>
        <v>0.94158916565407358</v>
      </c>
      <c r="CD94" s="1190">
        <f>'2026'!R\Max</f>
        <v>0.94156668999160098</v>
      </c>
      <c r="CE94" s="1191">
        <f>'2027'!R\Max</f>
        <v>0.94166039994913153</v>
      </c>
      <c r="CF94" s="1193">
        <f>'2028'!R\Max</f>
        <v>0.94165116261999993</v>
      </c>
    </row>
    <row r="95" spans="1:84" s="6" customFormat="1" ht="11.25" x14ac:dyDescent="0.2">
      <c r="A95" s="11">
        <v>43181</v>
      </c>
      <c r="B95" s="379">
        <f>'2022'!Maxi_hp</f>
        <v>50.892769880316351</v>
      </c>
      <c r="C95" s="13">
        <f>'2022'!An_max</f>
        <v>2020</v>
      </c>
      <c r="D95" s="1045">
        <f t="shared" si="59"/>
        <v>0.97257220873211914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52.32801166163491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52.424707033540891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52.258337208562139</v>
      </c>
      <c r="AZ95" s="735">
        <f t="shared" si="77"/>
        <v>52.341522121051511</v>
      </c>
      <c r="BA95" s="633">
        <f t="shared" si="74"/>
        <v>0.97257220873211914</v>
      </c>
      <c r="BC95" s="11">
        <v>43181</v>
      </c>
      <c r="BD95" s="289">
        <f>[3]!FeuilCaduc*(1-Persistant)+Persistant</f>
        <v>0.50938006463690155</v>
      </c>
      <c r="BE95" s="290">
        <f>[3]!CroissVégét</f>
        <v>3.4666216621534622E-2</v>
      </c>
      <c r="BF95" s="804">
        <f>1+[3]!Salcycl*Ksac</f>
        <v>1.0009380064636901</v>
      </c>
      <c r="BH95" s="1036">
        <f t="shared" si="75"/>
        <v>3.1374005366271883E-3</v>
      </c>
      <c r="BI95" s="11">
        <v>44277</v>
      </c>
      <c r="BJ95" s="715">
        <v>1.1855096550887639E-6</v>
      </c>
      <c r="BK95" s="715">
        <v>1.3004688615642415E-4</v>
      </c>
      <c r="BL95" s="715">
        <v>6.2218721158358275E-4</v>
      </c>
      <c r="BM95" s="715">
        <v>1.8761521850029484E-3</v>
      </c>
      <c r="BN95" s="715">
        <v>4.4031340900069727E-3</v>
      </c>
      <c r="BO95" s="716">
        <v>8.7730839914054864E-3</v>
      </c>
      <c r="BP95" s="715">
        <v>1.5716894126524262E-2</v>
      </c>
      <c r="BQ95" s="715">
        <v>2.6080941449995548E-2</v>
      </c>
      <c r="BR95" s="715">
        <v>4.070853272840453E-2</v>
      </c>
      <c r="BS95" s="715">
        <v>6.0715953431355968E-2</v>
      </c>
      <c r="BT95" s="715">
        <v>8.4630019860632621E-2</v>
      </c>
      <c r="BW95" s="1190">
        <f>'2019'!R\Max</f>
        <v>0.95575042786737663</v>
      </c>
      <c r="BX95" s="1190">
        <f>'2020'!R\Max</f>
        <v>0.97257220873211914</v>
      </c>
      <c r="BY95" s="1190">
        <f>'2021'!R\Max</f>
        <v>0.81503571367625838</v>
      </c>
      <c r="BZ95" s="1190">
        <f>'2022'!R\Max</f>
        <v>0.88762897148895248</v>
      </c>
      <c r="CA95" s="1190">
        <f>'2023'!R\Max</f>
        <v>0.88760295799876909</v>
      </c>
      <c r="CB95" s="1190">
        <f>'2024'!R\Max</f>
        <v>0.88757651490556533</v>
      </c>
      <c r="CC95" s="1190">
        <f>'2025'!R\Max</f>
        <v>0.88753766129117106</v>
      </c>
      <c r="CD95" s="1190">
        <f>'2026'!R\Max</f>
        <v>0.88749826382364971</v>
      </c>
      <c r="CE95" s="1191">
        <f>'2027'!R\Max</f>
        <v>0.88766271910798011</v>
      </c>
      <c r="CF95" s="1193">
        <f>'2028'!R\Max</f>
        <v>0.88764647338932023</v>
      </c>
    </row>
    <row r="96" spans="1:84" s="6" customFormat="1" ht="11.25" x14ac:dyDescent="0.2">
      <c r="A96" s="11">
        <v>43182</v>
      </c>
      <c r="B96" s="379">
        <f>'2022'!Maxi_hp</f>
        <v>53.286062169656844</v>
      </c>
      <c r="C96" s="13">
        <f>'2022'!An_max</f>
        <v>2021</v>
      </c>
      <c r="D96" s="1045">
        <f t="shared" si="59"/>
        <v>1.0110692649673609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52.702682215720415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52.802752915274219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52.611063557118179</v>
      </c>
      <c r="AZ96" s="735">
        <f t="shared" si="77"/>
        <v>52.706908236196199</v>
      </c>
      <c r="BA96" s="633">
        <f t="shared" si="74"/>
        <v>1.0110692649673609</v>
      </c>
      <c r="BC96" s="11">
        <v>43182</v>
      </c>
      <c r="BD96" s="289">
        <f>[3]!FeuilCaduc*(1-Persistant)+Persistant</f>
        <v>0.51003521261326679</v>
      </c>
      <c r="BE96" s="290">
        <f>[3]!CroissVégét</f>
        <v>3.6122296026123907E-2</v>
      </c>
      <c r="BF96" s="804">
        <f>1+[3]!Salcycl*Ksac</f>
        <v>1.0010035212613266</v>
      </c>
      <c r="BH96" s="1036">
        <f t="shared" si="75"/>
        <v>3.0745762604487501E-3</v>
      </c>
      <c r="BI96" s="11">
        <v>44278</v>
      </c>
      <c r="BJ96" s="715">
        <v>1.1741299727963941E-6</v>
      </c>
      <c r="BK96" s="715">
        <v>1.2956329810353829E-4</v>
      </c>
      <c r="BL96" s="715">
        <v>6.1358163935082042E-4</v>
      </c>
      <c r="BM96" s="715">
        <v>1.8430791558970889E-3</v>
      </c>
      <c r="BN96" s="715">
        <v>4.310452766541884E-3</v>
      </c>
      <c r="BO96" s="716">
        <v>8.5670602425162272E-3</v>
      </c>
      <c r="BP96" s="715">
        <v>1.5323496707464057E-2</v>
      </c>
      <c r="BQ96" s="715">
        <v>2.5389656167531392E-2</v>
      </c>
      <c r="BR96" s="715">
        <v>3.9550733819720921E-2</v>
      </c>
      <c r="BS96" s="715">
        <v>5.8891977978748435E-2</v>
      </c>
      <c r="BT96" s="715">
        <v>8.1995052535729945E-2</v>
      </c>
      <c r="BW96" s="1190">
        <f>'2019'!R\Max</f>
        <v>0.88939402354310892</v>
      </c>
      <c r="BX96" s="1190">
        <f>'2020'!R\Max</f>
        <v>0.89661067933021499</v>
      </c>
      <c r="BY96" s="1190">
        <f>'2021'!R\Max</f>
        <v>1.0110692649673609</v>
      </c>
      <c r="BZ96" s="1190">
        <f>'2022'!R\Max</f>
        <v>1.0046718730909368</v>
      </c>
      <c r="CA96" s="1190">
        <f>'2023'!R\Max</f>
        <v>1.0046718730909368</v>
      </c>
      <c r="CB96" s="1190">
        <f>'2024'!R\Max</f>
        <v>1.0046718730909368</v>
      </c>
      <c r="CC96" s="1190">
        <f>'2025'!R\Max</f>
        <v>1.0046718730909368</v>
      </c>
      <c r="CD96" s="1190">
        <f>'2026'!R\Max</f>
        <v>1.0046718730909368</v>
      </c>
      <c r="CE96" s="1191">
        <f>'2027'!R\Max</f>
        <v>1.0046718730909365</v>
      </c>
      <c r="CF96" s="1193">
        <f>'2028'!R\Max</f>
        <v>1.0046718730909368</v>
      </c>
    </row>
    <row r="97" spans="1:84" s="6" customFormat="1" ht="11.25" x14ac:dyDescent="0.2">
      <c r="A97" s="11">
        <v>43183</v>
      </c>
      <c r="B97" s="379">
        <f>'2022'!Maxi_hp</f>
        <v>52.432685420203406</v>
      </c>
      <c r="C97" s="13">
        <f>'2022'!An_max</f>
        <v>2021</v>
      </c>
      <c r="D97" s="1045">
        <f t="shared" si="59"/>
        <v>0.98788143161955166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53.075889212984052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53.175914175741084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52.963698432567924</v>
      </c>
      <c r="AZ97" s="735">
        <f t="shared" si="77"/>
        <v>53.069806304154504</v>
      </c>
      <c r="BA97" s="633">
        <f t="shared" si="74"/>
        <v>0.98788143161955166</v>
      </c>
      <c r="BC97" s="11">
        <v>43183</v>
      </c>
      <c r="BD97" s="289">
        <f>[3]!FeuilCaduc*(1-Persistant)+Persistant</f>
        <v>0.51075221440451068</v>
      </c>
      <c r="BE97" s="290">
        <f>[3]!CroissVégét</f>
        <v>3.7634796931243539E-2</v>
      </c>
      <c r="BF97" s="804">
        <f>1+[3]!Salcycl*Ksac</f>
        <v>1.001075221440451</v>
      </c>
      <c r="BH97" s="1036">
        <f t="shared" si="75"/>
        <v>3.0112428867025203E-3</v>
      </c>
      <c r="BI97" s="11">
        <v>44279</v>
      </c>
      <c r="BJ97" s="715">
        <v>1.1513126329950972E-6</v>
      </c>
      <c r="BK97" s="715">
        <v>1.2871667081204168E-4</v>
      </c>
      <c r="BL97" s="715">
        <v>6.0425039580669262E-4</v>
      </c>
      <c r="BM97" s="715">
        <v>1.8090680450679455E-3</v>
      </c>
      <c r="BN97" s="715">
        <v>4.2176928552010683E-3</v>
      </c>
      <c r="BO97" s="716">
        <v>8.3635331583110876E-3</v>
      </c>
      <c r="BP97" s="715">
        <v>1.4937576938586203E-2</v>
      </c>
      <c r="BQ97" s="715">
        <v>2.4713632715709508E-2</v>
      </c>
      <c r="BR97" s="715">
        <v>3.8427931853226141E-2</v>
      </c>
      <c r="BS97" s="715">
        <v>5.7126819874976309E-2</v>
      </c>
      <c r="BT97" s="715">
        <v>7.9445846734202213E-2</v>
      </c>
      <c r="BW97" s="1190">
        <f>'2019'!R\Max</f>
        <v>0.96721163506250185</v>
      </c>
      <c r="BX97" s="1190">
        <f>'2020'!R\Max</f>
        <v>0.68739175976765954</v>
      </c>
      <c r="BY97" s="1190">
        <f>'2021'!R\Max</f>
        <v>0.98788143161955166</v>
      </c>
      <c r="BZ97" s="1190">
        <f>'2022'!R\Max</f>
        <v>0.98128410854983295</v>
      </c>
      <c r="CA97" s="1190">
        <f>'2023'!R\Max</f>
        <v>0.98127962564726834</v>
      </c>
      <c r="CB97" s="1190">
        <f>'2024'!R\Max</f>
        <v>0.98127506291627087</v>
      </c>
      <c r="CC97" s="1190">
        <f>'2025'!R\Max</f>
        <v>0.9812683915153132</v>
      </c>
      <c r="CD97" s="1190">
        <f>'2026'!R\Max</f>
        <v>0.98126162036808928</v>
      </c>
      <c r="CE97" s="1191">
        <f>'2027'!R\Max</f>
        <v>0.98128994443152273</v>
      </c>
      <c r="CF97" s="1193">
        <f>'2028'!R\Max</f>
        <v>0.98128713545778756</v>
      </c>
    </row>
    <row r="98" spans="1:84" s="6" customFormat="1" ht="11.25" x14ac:dyDescent="0.2">
      <c r="A98" s="11">
        <v>43184</v>
      </c>
      <c r="B98" s="379">
        <f>'2022'!Maxi_hp</f>
        <v>46.350209045253081</v>
      </c>
      <c r="C98" s="13">
        <f>'2022'!An_max</f>
        <v>2022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53.446754519109206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53.543641982666614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53.315802769549194</v>
      </c>
      <c r="AZ98" s="735">
        <f t="shared" si="77"/>
        <v>53.429722376107904</v>
      </c>
      <c r="BA98" s="633">
        <f t="shared" si="74"/>
        <v>0.86722214402524955</v>
      </c>
      <c r="BC98" s="11">
        <v>43184</v>
      </c>
      <c r="BD98" s="289">
        <f>[3]!FeuilCaduc*(1-Persistant)+Persistant</f>
        <v>0.51153492041587412</v>
      </c>
      <c r="BE98" s="290">
        <f>[3]!CroissVégét</f>
        <v>3.9205710601738018E-2</v>
      </c>
      <c r="BF98" s="804">
        <f>1+[3]!Salcycl*Ksac</f>
        <v>1.0011534920415874</v>
      </c>
      <c r="BH98" s="1036">
        <f t="shared" si="75"/>
        <v>2.9473996767733651E-3</v>
      </c>
      <c r="BI98" s="11">
        <v>44280</v>
      </c>
      <c r="BJ98" s="715">
        <v>1.1170589744280704E-6</v>
      </c>
      <c r="BK98" s="715">
        <v>1.2750701751998195E-4</v>
      </c>
      <c r="BL98" s="715">
        <v>5.9419341465826684E-4</v>
      </c>
      <c r="BM98" s="715">
        <v>1.7741184903601482E-3</v>
      </c>
      <c r="BN98" s="715">
        <v>4.1248532395708774E-3</v>
      </c>
      <c r="BO98" s="716">
        <v>8.1625001891065651E-3</v>
      </c>
      <c r="BP98" s="715">
        <v>1.455912988413678E-2</v>
      </c>
      <c r="BQ98" s="715">
        <v>2.4052862601696853E-2</v>
      </c>
      <c r="BR98" s="715">
        <v>3.734011216865183E-2</v>
      </c>
      <c r="BS98" s="715">
        <v>5.5420456577163789E-2</v>
      </c>
      <c r="BT98" s="715">
        <v>7.6982370761398189E-2</v>
      </c>
      <c r="BW98" s="1190">
        <f>'2019'!R\Max</f>
        <v>0.83788067458202176</v>
      </c>
      <c r="BX98" s="1190">
        <f>'2020'!R\Max</f>
        <v>0.82959902025745591</v>
      </c>
      <c r="BY98" s="1190">
        <f>'2021'!R\Max</f>
        <v>0.71087120654710978</v>
      </c>
      <c r="BZ98" s="1190">
        <f>'2022'!R\Max</f>
        <v>0.86722214402524955</v>
      </c>
      <c r="CA98" s="1190">
        <f>'2023'!R\Max</f>
        <v>0.8671949449923505</v>
      </c>
      <c r="CB98" s="1190">
        <f>'2024'!R\Max</f>
        <v>0.86716724554789393</v>
      </c>
      <c r="CC98" s="1190">
        <f>'2025'!R\Max</f>
        <v>0.86712685289744118</v>
      </c>
      <c r="CD98" s="1190">
        <f>'2026'!R\Max</f>
        <v>0.86708583968820996</v>
      </c>
      <c r="CE98" s="1191">
        <f>'2027'!R\Max</f>
        <v>0.86725761340690655</v>
      </c>
      <c r="CF98" s="1193">
        <f>'2028'!R\Max</f>
        <v>0.86724054178449639</v>
      </c>
    </row>
    <row r="99" spans="1:84" s="6" customFormat="1" ht="11.25" x14ac:dyDescent="0.2">
      <c r="A99" s="11">
        <v>43185</v>
      </c>
      <c r="B99" s="379">
        <f>'2022'!Maxi_hp</f>
        <v>54.664172365947202</v>
      </c>
      <c r="C99" s="13">
        <f>'2022'!An_max</f>
        <v>2018</v>
      </c>
      <c r="D99" s="1045">
        <f t="shared" si="59"/>
        <v>1.0157907988534678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53.814400000125168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53.905387500231157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53.666937499679626</v>
      </c>
      <c r="AZ99" s="735">
        <f t="shared" si="77"/>
        <v>53.786162499955395</v>
      </c>
      <c r="BA99" s="633">
        <f t="shared" si="74"/>
        <v>1.0157907988534678</v>
      </c>
      <c r="BC99" s="11">
        <v>43185</v>
      </c>
      <c r="BD99" s="289">
        <f>[3]!FeuilCaduc*(1-Persistant)+Persistant</f>
        <v>0.51238717784529242</v>
      </c>
      <c r="BE99" s="290">
        <f>[3]!CroissVégét</f>
        <v>4.0837082604545251E-2</v>
      </c>
      <c r="BF99" s="804">
        <f>1+[3]!Salcycl*Ksac</f>
        <v>1.0012387177845292</v>
      </c>
      <c r="BH99" s="1036">
        <f t="shared" si="75"/>
        <v>2.8830459764803747E-3</v>
      </c>
      <c r="BI99" s="11">
        <v>44281</v>
      </c>
      <c r="BJ99" s="715">
        <v>1.0713704420316337E-6</v>
      </c>
      <c r="BK99" s="715">
        <v>1.2593435498703805E-4</v>
      </c>
      <c r="BL99" s="715">
        <v>5.8341064642352617E-4</v>
      </c>
      <c r="BM99" s="715">
        <v>1.7382301794241423E-3</v>
      </c>
      <c r="BN99" s="715">
        <v>4.0319329224234382E-3</v>
      </c>
      <c r="BO99" s="716">
        <v>7.9639590288134738E-3</v>
      </c>
      <c r="BP99" s="715">
        <v>1.4188151051841439E-2</v>
      </c>
      <c r="BQ99" s="715">
        <v>2.3407338095041346E-2</v>
      </c>
      <c r="BR99" s="715">
        <v>3.6287261307163178E-2</v>
      </c>
      <c r="BS99" s="715">
        <v>5.3772867405844187E-2</v>
      </c>
      <c r="BT99" s="715">
        <v>7.4604595608448412E-2</v>
      </c>
      <c r="BW99" s="1190">
        <f>'2019'!R\Max</f>
        <v>1.0157907988534678</v>
      </c>
      <c r="BX99" s="1190">
        <f>'2020'!R\Max</f>
        <v>1.0100380259419393</v>
      </c>
      <c r="BY99" s="1190">
        <f>'2021'!R\Max</f>
        <v>0.78225993765034019</v>
      </c>
      <c r="BZ99" s="1190">
        <f>'2022'!R\Max</f>
        <v>0.95353608254080313</v>
      </c>
      <c r="CA99" s="1190">
        <f>'2023'!R\Max</f>
        <v>0.9535259519996081</v>
      </c>
      <c r="CB99" s="1190">
        <f>'2024'!R\Max</f>
        <v>0.95351562793234523</v>
      </c>
      <c r="CC99" s="1190">
        <f>'2025'!R\Max</f>
        <v>0.95350061257687058</v>
      </c>
      <c r="CD99" s="1190">
        <f>'2026'!R\Max</f>
        <v>0.95348535752147823</v>
      </c>
      <c r="CE99" s="1191">
        <f>'2027'!R\Max</f>
        <v>0.9535493140330924</v>
      </c>
      <c r="CF99" s="1193">
        <f>'2028'!R\Max</f>
        <v>0.95354294618165036</v>
      </c>
    </row>
    <row r="100" spans="1:84" s="6" customFormat="1" ht="11.25" x14ac:dyDescent="0.2">
      <c r="A100" s="11">
        <v>43186</v>
      </c>
      <c r="B100" s="379">
        <f>'2022'!Maxi_hp</f>
        <v>53.82661692337178</v>
      </c>
      <c r="C100" s="13">
        <f>'2022'!An_max</f>
        <v>2018</v>
      </c>
      <c r="D100" s="1045">
        <f t="shared" si="59"/>
        <v>0.99351524717267803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54.177947521741899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54.260601895645117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54.016663557024934</v>
      </c>
      <c r="AZ100" s="735">
        <f t="shared" si="77"/>
        <v>54.138632726335025</v>
      </c>
      <c r="BA100" s="633">
        <f t="shared" si="74"/>
        <v>0.99351524717267803</v>
      </c>
      <c r="BC100" s="11">
        <v>43186</v>
      </c>
      <c r="BD100" s="289">
        <f>[3]!FeuilCaduc*(1-Persistant)+Persistant</f>
        <v>0.51331281984304977</v>
      </c>
      <c r="BE100" s="290">
        <f>[3]!CroissVégét</f>
        <v>4.2531012940474407E-2</v>
      </c>
      <c r="BF100" s="804">
        <f>1+[3]!Salcycl*Ksac</f>
        <v>1.001331281984305</v>
      </c>
      <c r="BH100" s="1036">
        <f t="shared" si="75"/>
        <v>2.8189033335184435E-3</v>
      </c>
      <c r="BI100" s="11">
        <v>44282</v>
      </c>
      <c r="BJ100" s="715">
        <v>1.0168365248920012E-6</v>
      </c>
      <c r="BK100" s="715">
        <v>1.2389030938777967E-4</v>
      </c>
      <c r="BL100" s="715">
        <v>5.718215394273676E-4</v>
      </c>
      <c r="BM100" s="715">
        <v>1.7016624910311804E-3</v>
      </c>
      <c r="BN100" s="715">
        <v>3.9401172639242261E-3</v>
      </c>
      <c r="BO100" s="716">
        <v>7.7708729805529642E-3</v>
      </c>
      <c r="BP100" s="715">
        <v>1.3829724350933327E-2</v>
      </c>
      <c r="BQ100" s="715">
        <v>2.2786127640312973E-2</v>
      </c>
      <c r="BR100" s="715">
        <v>3.5283774239188277E-2</v>
      </c>
      <c r="BS100" s="715">
        <v>5.2207037811567443E-2</v>
      </c>
      <c r="BT100" s="715">
        <v>7.2345718976683709E-2</v>
      </c>
      <c r="BW100" s="1190">
        <f>'2019'!R\Max</f>
        <v>0.99351524717267803</v>
      </c>
      <c r="BX100" s="1190">
        <f>'2020'!R\Max</f>
        <v>0.51832647775036222</v>
      </c>
      <c r="BY100" s="1190">
        <f>'2021'!R\Max</f>
        <v>0.90365224010076239</v>
      </c>
      <c r="BZ100" s="1190">
        <f>'2022'!R\Max</f>
        <v>0.91574622151092089</v>
      </c>
      <c r="CA100" s="1190">
        <f>'2023'!R\Max</f>
        <v>0.91572913301923586</v>
      </c>
      <c r="CB100" s="1190">
        <f>'2024'!R\Max</f>
        <v>0.91571170666319945</v>
      </c>
      <c r="CC100" s="1190">
        <f>'2025'!R\Max</f>
        <v>0.9156864302947707</v>
      </c>
      <c r="CD100" s="1190">
        <f>'2026'!R\Max</f>
        <v>0.91566073617720056</v>
      </c>
      <c r="CE100" s="1191">
        <f>'2027'!R\Max</f>
        <v>0.91576857780038312</v>
      </c>
      <c r="CF100" s="1193">
        <f>'2028'!R\Max</f>
        <v>0.91575781926108368</v>
      </c>
    </row>
    <row r="101" spans="1:84" s="6" customFormat="1" ht="11.25" x14ac:dyDescent="0.2">
      <c r="A101" s="11">
        <v>43187</v>
      </c>
      <c r="B101" s="379">
        <f>'2022'!Maxi_hp</f>
        <v>53.283033319082513</v>
      </c>
      <c r="C101" s="13">
        <f>'2022'!An_max</f>
        <v>2021</v>
      </c>
      <c r="D101" s="1045">
        <f t="shared" si="59"/>
        <v>0.97701566480300006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54.536518951132891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54.608736333294232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54.364541872830259</v>
      </c>
      <c r="AZ101" s="735">
        <f t="shared" si="77"/>
        <v>54.486639103062245</v>
      </c>
      <c r="BA101" s="633">
        <f t="shared" si="74"/>
        <v>0.97701566480300006</v>
      </c>
      <c r="BC101" s="11">
        <v>43187</v>
      </c>
      <c r="BD101" s="289">
        <f>[3]!FeuilCaduc*(1-Persistant)+Persistant</f>
        <v>0.51431565507605703</v>
      </c>
      <c r="BE101" s="290">
        <f>[3]!CroissVégét</f>
        <v>4.4289656039802887E-2</v>
      </c>
      <c r="BF101" s="804">
        <f>1+[3]!Salcycl*Ksac</f>
        <v>1.0014315655076058</v>
      </c>
      <c r="BH101" s="1036">
        <f t="shared" si="75"/>
        <v>2.7556184236396148E-3</v>
      </c>
      <c r="BI101" s="11">
        <v>44283</v>
      </c>
      <c r="BJ101" s="715">
        <v>9.5863409345510204E-7</v>
      </c>
      <c r="BK101" s="715">
        <v>1.2144999267656044E-4</v>
      </c>
      <c r="BL101" s="715">
        <v>5.5977421454761348E-4</v>
      </c>
      <c r="BM101" s="715">
        <v>1.6650586761371761E-3</v>
      </c>
      <c r="BN101" s="715">
        <v>3.8500563768005393E-3</v>
      </c>
      <c r="BO101" s="716">
        <v>7.583036562679845E-3</v>
      </c>
      <c r="BP101" s="715">
        <v>1.3481188230259754E-2</v>
      </c>
      <c r="BQ101" s="715">
        <v>2.2182777901337991E-2</v>
      </c>
      <c r="BR101" s="715">
        <v>3.4309440120672892E-2</v>
      </c>
      <c r="BS101" s="715">
        <v>5.0689248629328838E-2</v>
      </c>
      <c r="BT101" s="715">
        <v>7.0158713955771709E-2</v>
      </c>
      <c r="BW101" s="1190">
        <f>'2019'!R\Max</f>
        <v>0.96831448198304848</v>
      </c>
      <c r="BX101" s="1190">
        <f>'2020'!R\Max</f>
        <v>0.93824299708396197</v>
      </c>
      <c r="BY101" s="1190">
        <f>'2021'!R\Max</f>
        <v>0.97701566480300006</v>
      </c>
      <c r="BZ101" s="1190">
        <f>'2022'!R\Max</f>
        <v>0.29290058622318194</v>
      </c>
      <c r="CA101" s="1190">
        <f>'2023'!R\Max</f>
        <v>0.29285658631630918</v>
      </c>
      <c r="CB101" s="1190">
        <f>'2024'!R\Max</f>
        <v>0.29281169729355694</v>
      </c>
      <c r="CC101" s="1190">
        <f>'2025'!R\Max</f>
        <v>0.29274678388394132</v>
      </c>
      <c r="CD101" s="1190">
        <f>'2026'!R\Max</f>
        <v>0.29268078421375182</v>
      </c>
      <c r="CE101" s="1191">
        <f>'2027'!R\Max</f>
        <v>0.29295827415927572</v>
      </c>
      <c r="CF101" s="1193">
        <f>'2028'!R\Max</f>
        <v>0.29293051248592894</v>
      </c>
    </row>
    <row r="102" spans="1:84" s="6" customFormat="1" ht="11.25" x14ac:dyDescent="0.2">
      <c r="A102" s="11">
        <v>43188</v>
      </c>
      <c r="B102" s="379">
        <f>'2022'!Maxi_hp</f>
        <v>55.473113479022246</v>
      </c>
      <c r="C102" s="13">
        <f>'2022'!An_max</f>
        <v>2021</v>
      </c>
      <c r="D102" s="1045">
        <f t="shared" si="59"/>
        <v>1.010637373882314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54.889236151959224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54.949241982353854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54.71013338185314</v>
      </c>
      <c r="AZ102" s="735">
        <f t="shared" si="77"/>
        <v>54.829687682103497</v>
      </c>
      <c r="BA102" s="633">
        <f t="shared" si="74"/>
        <v>1.010637373882314</v>
      </c>
      <c r="BC102" s="11">
        <v>43188</v>
      </c>
      <c r="BD102" s="289">
        <f>[3]!FeuilCaduc*(1-Persistant)+Persistant</f>
        <v>0.51539945771925288</v>
      </c>
      <c r="BE102" s="290">
        <f>[3]!CroissVégét</f>
        <v>4.6115220608575654E-2</v>
      </c>
      <c r="BF102" s="804">
        <f>1+[3]!Salcycl*Ksac</f>
        <v>1.0015399457719254</v>
      </c>
      <c r="BH102" s="1036">
        <f t="shared" si="75"/>
        <v>2.6931906193197442E-3</v>
      </c>
      <c r="BI102" s="11">
        <v>44284</v>
      </c>
      <c r="BJ102" s="715">
        <v>8.9676380076707993E-7</v>
      </c>
      <c r="BK102" s="715">
        <v>1.1861344553559485E-4</v>
      </c>
      <c r="BL102" s="715">
        <v>5.4726864200125181E-4</v>
      </c>
      <c r="BM102" s="715">
        <v>1.6284184353909346E-3</v>
      </c>
      <c r="BN102" s="715">
        <v>3.7617493041882479E-3</v>
      </c>
      <c r="BO102" s="716">
        <v>7.4004476646965149E-3</v>
      </c>
      <c r="BP102" s="715">
        <v>1.3142538938650547E-2</v>
      </c>
      <c r="BQ102" s="715">
        <v>2.1597282635089424E-2</v>
      </c>
      <c r="BR102" s="715">
        <v>3.3364249305347073E-2</v>
      </c>
      <c r="BS102" s="715">
        <v>4.9219485290954122E-2</v>
      </c>
      <c r="BT102" s="715">
        <v>6.8043560048589399E-2</v>
      </c>
      <c r="BW102" s="1190">
        <f>'2019'!R\Max</f>
        <v>0.97062178631443585</v>
      </c>
      <c r="BX102" s="1190">
        <f>'2020'!R\Max</f>
        <v>0.94891791460187469</v>
      </c>
      <c r="BY102" s="1190">
        <f>'2021'!R\Max</f>
        <v>1.010637373882314</v>
      </c>
      <c r="BZ102" s="1190">
        <f>'2022'!R\Max</f>
        <v>0.55864609489777506</v>
      </c>
      <c r="CA102" s="1190">
        <f>'2023'!R\Max</f>
        <v>0.55859480870258227</v>
      </c>
      <c r="CB102" s="1190">
        <f>'2024'!R\Max</f>
        <v>0.55854244253712904</v>
      </c>
      <c r="CC102" s="1190">
        <f>'2025'!R\Max</f>
        <v>0.55846690960447953</v>
      </c>
      <c r="CD102" s="1190">
        <f>'2026'!R\Max</f>
        <v>0.55839005235608608</v>
      </c>
      <c r="CE102" s="1191">
        <f>'2027'!R\Max</f>
        <v>0.55871346689562984</v>
      </c>
      <c r="CF102" s="1193">
        <f>'2028'!R\Max</f>
        <v>0.55868104841831456</v>
      </c>
    </row>
    <row r="103" spans="1:84" s="6" customFormat="1" ht="11.25" x14ac:dyDescent="0.2">
      <c r="A103" s="11">
        <v>43189</v>
      </c>
      <c r="B103" s="379">
        <f>'2022'!Maxi_hp</f>
        <v>54.228775027955102</v>
      </c>
      <c r="C103" s="13">
        <f>'2022'!An_max</f>
        <v>2018</v>
      </c>
      <c r="D103" s="1045">
        <f t="shared" si="59"/>
        <v>0.9817789094325583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55.235220992166013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55.281570007212167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55.052999016230125</v>
      </c>
      <c r="AZ103" s="735">
        <f t="shared" si="77"/>
        <v>55.167284511721149</v>
      </c>
      <c r="BA103" s="633">
        <f t="shared" si="74"/>
        <v>0.9817789094325583</v>
      </c>
      <c r="BC103" s="11">
        <v>43189</v>
      </c>
      <c r="BD103" s="289">
        <f>[3]!FeuilCaduc*(1-Persistant)+Persistant</f>
        <v>0.51656795788708476</v>
      </c>
      <c r="BE103" s="290">
        <f>[3]!CroissVégét</f>
        <v>4.8009969311812332E-2</v>
      </c>
      <c r="BF103" s="804">
        <f>1+[3]!Salcycl*Ksac</f>
        <v>1.0016567957887086</v>
      </c>
      <c r="BH103" s="1036">
        <f t="shared" si="75"/>
        <v>2.631619361600617E-3</v>
      </c>
      <c r="BI103" s="11">
        <v>44285</v>
      </c>
      <c r="BJ103" s="715">
        <v>8.3122642738344813E-7</v>
      </c>
      <c r="BK103" s="715">
        <v>1.153807174826813E-4</v>
      </c>
      <c r="BL103" s="715">
        <v>5.343048140193415E-4</v>
      </c>
      <c r="BM103" s="715">
        <v>1.591741516769886E-3</v>
      </c>
      <c r="BN103" s="715">
        <v>3.6751951791019811E-3</v>
      </c>
      <c r="BO103" s="716">
        <v>7.2231043406740273E-3</v>
      </c>
      <c r="BP103" s="715">
        <v>1.2813773028195667E-2</v>
      </c>
      <c r="BQ103" s="715">
        <v>2.102963611296409E-2</v>
      </c>
      <c r="BR103" s="715">
        <v>3.2448192973345641E-2</v>
      </c>
      <c r="BS103" s="715">
        <v>4.7797734477998545E-2</v>
      </c>
      <c r="BT103" s="715">
        <v>6.6000238520832907E-2</v>
      </c>
      <c r="BW103" s="1190">
        <f>'2019'!R\Max</f>
        <v>0.9817789094325583</v>
      </c>
      <c r="BX103" s="1190">
        <f>'2020'!R\Max</f>
        <v>0.55290750202981243</v>
      </c>
      <c r="BY103" s="1190">
        <f>'2021'!R\Max</f>
        <v>0.9376950448356669</v>
      </c>
      <c r="BZ103" s="1190">
        <f>'2022'!R\Max</f>
        <v>0.15565604317875781</v>
      </c>
      <c r="CA103" s="1190">
        <f>'2023'!R\Max</f>
        <v>0.1556340641570928</v>
      </c>
      <c r="CB103" s="1190">
        <f>'2024'!R\Max</f>
        <v>0.15561160796871679</v>
      </c>
      <c r="CC103" s="1190">
        <f>'2025'!R\Max</f>
        <v>0.15557930832035097</v>
      </c>
      <c r="CD103" s="1190">
        <f>'2026'!R\Max</f>
        <v>0.15554642654038939</v>
      </c>
      <c r="CE103" s="1191">
        <f>'2027'!R\Max</f>
        <v>0.15568498634977634</v>
      </c>
      <c r="CF103" s="1193">
        <f>'2028'!R\Max</f>
        <v>0.15567105972428591</v>
      </c>
    </row>
    <row r="104" spans="1:84" s="6" customFormat="1" ht="11.25" x14ac:dyDescent="0.2">
      <c r="A104" s="11">
        <v>43190</v>
      </c>
      <c r="B104" s="379">
        <f>'2022'!Maxi_hp</f>
        <v>49.948595361830613</v>
      </c>
      <c r="C104" s="13">
        <f>'2022'!An_max</f>
        <v>2021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55.573595335866727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55.605171574698758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55.392699708150964</v>
      </c>
      <c r="AZ104" s="735">
        <f t="shared" si="77"/>
        <v>55.498935641424865</v>
      </c>
      <c r="BA104" s="633">
        <f t="shared" si="74"/>
        <v>0.89878286729442913</v>
      </c>
      <c r="BC104" s="11">
        <v>43190</v>
      </c>
      <c r="BD104" s="289">
        <f>[3]!FeuilCaduc*(1-Persistant)+Persistant</f>
        <v>0.51782483250866063</v>
      </c>
      <c r="BE104" s="290">
        <f>[3]!CroissVégét</f>
        <v>4.9976218279140845E-2</v>
      </c>
      <c r="BF104" s="804">
        <f>1+[3]!Salcycl*Ksac</f>
        <v>1.0017824832508662</v>
      </c>
      <c r="BH104" s="1036">
        <f t="shared" si="75"/>
        <v>2.5709041573466207E-3</v>
      </c>
      <c r="BI104" s="11">
        <v>44286</v>
      </c>
      <c r="BJ104" s="715">
        <v>7.6202289313732448E-7</v>
      </c>
      <c r="BK104" s="715">
        <v>1.117518681410129E-4</v>
      </c>
      <c r="BL104" s="715">
        <v>5.2088274631594748E-4</v>
      </c>
      <c r="BM104" s="715">
        <v>1.5550277156982943E-3</v>
      </c>
      <c r="BN104" s="715">
        <v>3.590393218820083E-3</v>
      </c>
      <c r="BO104" s="716">
        <v>7.0510047924498007E-3</v>
      </c>
      <c r="BP104" s="715">
        <v>1.2494887322591691E-2</v>
      </c>
      <c r="BQ104" s="715">
        <v>2.0479833063625705E-2</v>
      </c>
      <c r="BR104" s="715">
        <v>3.1561263037922248E-2</v>
      </c>
      <c r="BS104" s="715">
        <v>4.6423983968028021E-2</v>
      </c>
      <c r="BT104" s="715">
        <v>6.4028732171049471E-2</v>
      </c>
      <c r="BW104" s="1190">
        <f>'2019'!R\Max</f>
        <v>0.82609847244485823</v>
      </c>
      <c r="BX104" s="1190">
        <f>'2020'!R\Max</f>
        <v>0.35107862343420193</v>
      </c>
      <c r="BY104" s="1190">
        <f>'2021'!R\Max</f>
        <v>0.89878286729442913</v>
      </c>
      <c r="BZ104" s="1190">
        <f>'2022'!R\Max</f>
        <v>0.55114772544713386</v>
      </c>
      <c r="CA104" s="1190">
        <f>'2023'!R\Max</f>
        <v>0.55109931499094944</v>
      </c>
      <c r="CB104" s="1190">
        <f>'2024'!R\Max</f>
        <v>0.55104981043787393</v>
      </c>
      <c r="CC104" s="1190">
        <f>'2025'!R\Max</f>
        <v>0.55097878748419038</v>
      </c>
      <c r="CD104" s="1190">
        <f>'2026'!R\Max</f>
        <v>0.5512297278157875</v>
      </c>
      <c r="CE104" s="1191">
        <f>'2027'!R\Max</f>
        <v>0.55121163162617903</v>
      </c>
      <c r="CF104" s="1193">
        <f>'2028'!R\Max</f>
        <v>0.55118088471353754</v>
      </c>
    </row>
    <row r="105" spans="1:84" s="6" customFormat="1" ht="11.25" x14ac:dyDescent="0.2">
      <c r="A105" s="11">
        <v>43191</v>
      </c>
      <c r="B105" s="379">
        <f>'2022'!Maxi_hp</f>
        <v>50.703405728850484</v>
      </c>
      <c r="C105" s="13">
        <f>'2022'!An_max</f>
        <v>2021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55.903481050101774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55.919497848880056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55.728796391867625</v>
      </c>
      <c r="AZ105" s="735">
        <f t="shared" si="77"/>
        <v>55.824147120373837</v>
      </c>
      <c r="BA105" s="633">
        <f t="shared" si="74"/>
        <v>0.90698118930034277</v>
      </c>
      <c r="BC105" s="11">
        <v>43191</v>
      </c>
      <c r="BD105" s="289">
        <f>[3]!FeuilCaduc*(1-Persistant)+Persistant</f>
        <v>0.51917369664111657</v>
      </c>
      <c r="BE105" s="290">
        <f>[3]!CroissVégét</f>
        <v>5.201633641771132E-2</v>
      </c>
      <c r="BF105" s="804">
        <f>1+[3]!Salcycl*Ksac</f>
        <v>1.0019173696641117</v>
      </c>
      <c r="BH105" s="1036">
        <f t="shared" si="75"/>
        <v>2.5110445764960189E-3</v>
      </c>
      <c r="BI105" s="11">
        <v>44287</v>
      </c>
      <c r="BJ105" s="715">
        <v>6.891542689060303E-7</v>
      </c>
      <c r="BK105" s="715">
        <v>1.0772696850875437E-4</v>
      </c>
      <c r="BL105" s="715">
        <v>5.0700247955598368E-4</v>
      </c>
      <c r="BM105" s="715">
        <v>1.518276875162209E-3</v>
      </c>
      <c r="BN105" s="715">
        <v>3.5073427192620315E-3</v>
      </c>
      <c r="BO105" s="716">
        <v>6.8841473528104928E-3</v>
      </c>
      <c r="BP105" s="715">
        <v>1.2185878885462053E-2</v>
      </c>
      <c r="BQ105" s="715">
        <v>1.9947868615804918E-2</v>
      </c>
      <c r="BR105" s="715">
        <v>3.0703452052096802E-2</v>
      </c>
      <c r="BS105" s="715">
        <v>4.5098222480802565E-2</v>
      </c>
      <c r="BT105" s="715">
        <v>6.2129025100534363E-2</v>
      </c>
      <c r="BW105" s="1190">
        <f>'2019'!R\Max</f>
        <v>0.7148055821498458</v>
      </c>
      <c r="BX105" s="1190">
        <f>'2020'!R\Max</f>
        <v>0.84203526508350646</v>
      </c>
      <c r="BY105" s="1190">
        <f>'2021'!R\Max</f>
        <v>0.90698118930034277</v>
      </c>
      <c r="BZ105" s="1190">
        <f>'2022'!R\Max</f>
        <v>0.64166211815704821</v>
      </c>
      <c r="CA105" s="1190">
        <f>'2023'!R\Max</f>
        <v>0.64161844238127808</v>
      </c>
      <c r="CB105" s="1190">
        <f>'2024'!R\Max</f>
        <v>0.64157374247489085</v>
      </c>
      <c r="CC105" s="1190">
        <f>'2025'!R\Max</f>
        <v>0.64150978031438388</v>
      </c>
      <c r="CD105" s="1190">
        <f>'2026'!R\Max</f>
        <v>0.6417363174763917</v>
      </c>
      <c r="CE105" s="1191">
        <f>'2027'!R\Max</f>
        <v>0.64171993275915407</v>
      </c>
      <c r="CF105" s="1193">
        <f>'2028'!R\Max</f>
        <v>0.64169212000758469</v>
      </c>
    </row>
    <row r="106" spans="1:84" s="6" customFormat="1" ht="11.25" x14ac:dyDescent="0.2">
      <c r="A106" s="11">
        <v>43192</v>
      </c>
      <c r="B106" s="379">
        <f>'2022'!Maxi_hp</f>
        <v>45.942881049826532</v>
      </c>
      <c r="C106" s="13">
        <f>'2022'!An_max</f>
        <v>2021</v>
      </c>
      <c r="D106" s="1045" t="str">
        <f t="shared" si="59"/>
        <v/>
      </c>
      <c r="E106" s="1040">
        <f>T$13/10</f>
        <v>56.224000000000004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56.224000000208619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56.223999998718497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56.060849999450149</v>
      </c>
      <c r="AZ106" s="735">
        <f t="shared" si="77"/>
        <v>56.142424999084326</v>
      </c>
      <c r="BA106" s="633">
        <f t="shared" si="74"/>
        <v>0.8171400300522208</v>
      </c>
      <c r="BC106" s="11">
        <v>43192</v>
      </c>
      <c r="BD106" s="289">
        <f>[3]!FeuilCaduc*(1-Persistant)+Persistant</f>
        <v>0.52061809520715085</v>
      </c>
      <c r="BE106" s="290">
        <f>[3]!CroissVégét</f>
        <v>5.4132744516590045E-2</v>
      </c>
      <c r="BF106" s="804">
        <f>1+[3]!Salcycl*Ksac</f>
        <v>1.002061809520715</v>
      </c>
      <c r="BH106" s="1036">
        <f t="shared" si="75"/>
        <v>2.4520402493221146E-3</v>
      </c>
      <c r="BI106" s="11">
        <v>44288</v>
      </c>
      <c r="BJ106" s="715">
        <v>6.1262178838073137E-7</v>
      </c>
      <c r="BK106" s="715">
        <v>1.033061022290519E-4</v>
      </c>
      <c r="BL106" s="715">
        <v>4.9266408082505994E-4</v>
      </c>
      <c r="BM106" s="715">
        <v>1.4814888858303938E-3</v>
      </c>
      <c r="BN106" s="715">
        <v>3.4260430493796581E-3</v>
      </c>
      <c r="BO106" s="716">
        <v>6.7225304687019731E-3</v>
      </c>
      <c r="BP106" s="715">
        <v>1.1886744988725308E-2</v>
      </c>
      <c r="BQ106" s="715">
        <v>1.9433738241178132E-2</v>
      </c>
      <c r="BR106" s="715">
        <v>2.9874753115424414E-2</v>
      </c>
      <c r="BS106" s="715">
        <v>4.3820439524638516E-2</v>
      </c>
      <c r="BT106" s="715">
        <v>6.0301102483474554E-2</v>
      </c>
      <c r="BW106" s="1190">
        <f>'2019'!R\Max</f>
        <v>0.3027887965915288</v>
      </c>
      <c r="BX106" s="1190">
        <f>'2020'!R\Max</f>
        <v>0.78551970937202154</v>
      </c>
      <c r="BY106" s="1190">
        <f>'2021'!R\Max</f>
        <v>0.8171400300522208</v>
      </c>
      <c r="BZ106" s="1190">
        <f>'2022'!R\Max</f>
        <v>0.39828947418207672</v>
      </c>
      <c r="CA106" s="1190">
        <f>'2023'!R\Max</f>
        <v>0.39824526459580639</v>
      </c>
      <c r="CB106" s="1190">
        <f>'2024'!R\Max</f>
        <v>0.39819998534705681</v>
      </c>
      <c r="CC106" s="1190">
        <f>'2025'!R\Max</f>
        <v>0.39813537208402944</v>
      </c>
      <c r="CD106" s="1190">
        <f>'2026'!R\Max</f>
        <v>0.39836483325875144</v>
      </c>
      <c r="CE106" s="1191">
        <f>'2027'!R\Max</f>
        <v>0.39834816006078927</v>
      </c>
      <c r="CF106" s="1193">
        <f>'2028'!R\Max</f>
        <v>0.39831994117715303</v>
      </c>
    </row>
    <row r="107" spans="1:84" s="6" customFormat="1" ht="11.25" x14ac:dyDescent="0.2">
      <c r="A107" s="11">
        <v>43193</v>
      </c>
      <c r="B107" s="379">
        <f>'2022'!Maxi_hp</f>
        <v>55.561785950469968</v>
      </c>
      <c r="C107" s="13">
        <f>'2022'!An_max</f>
        <v>2021</v>
      </c>
      <c r="D107" s="1045">
        <f t="shared" si="59"/>
        <v>0.98275595956137141</v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56.536707215969045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56.521214093959756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56.388421465150486</v>
      </c>
      <c r="AZ107" s="735">
        <f t="shared" si="77"/>
        <v>56.454817779555121</v>
      </c>
      <c r="BA107" s="633">
        <f t="shared" si="74"/>
        <v>0.98275595956137141</v>
      </c>
      <c r="BC107" s="11">
        <v>43193</v>
      </c>
      <c r="BD107" s="289">
        <f>[3]!FeuilCaduc*(1-Persistant)+Persistant</f>
        <v>0.52216149513464727</v>
      </c>
      <c r="BE107" s="290">
        <f>[3]!CroissVégét</f>
        <v>5.6327914126217182E-2</v>
      </c>
      <c r="BF107" s="804">
        <f>1+[3]!Salcycl*Ksac</f>
        <v>1.0022161495134647</v>
      </c>
      <c r="BH107" s="1036">
        <f t="shared" si="75"/>
        <v>2.3938908636872216E-3</v>
      </c>
      <c r="BI107" s="11">
        <v>44289</v>
      </c>
      <c r="BJ107" s="715">
        <v>5.3242685983366391E-7</v>
      </c>
      <c r="BK107" s="715">
        <v>9.8489366859723682E-5</v>
      </c>
      <c r="BL107" s="715">
        <v>4.7786764509786866E-4</v>
      </c>
      <c r="BM107" s="715">
        <v>1.444663686170909E-3</v>
      </c>
      <c r="BN107" s="715">
        <v>3.3464936455383384E-3</v>
      </c>
      <c r="BO107" s="716">
        <v>6.5661526844195788E-3</v>
      </c>
      <c r="BP107" s="715">
        <v>1.159748308092841E-2</v>
      </c>
      <c r="BQ107" s="715">
        <v>1.8937437697188756E-2</v>
      </c>
      <c r="BR107" s="715">
        <v>2.9075159780675663E-2</v>
      </c>
      <c r="BS107" s="715">
        <v>4.2590625242639728E-2</v>
      </c>
      <c r="BT107" s="715">
        <v>5.8544950336911199E-2</v>
      </c>
      <c r="BW107" s="1190">
        <f>'2019'!R\Max</f>
        <v>0.27410797247267282</v>
      </c>
      <c r="BX107" s="1190">
        <f>'2020'!R\Max</f>
        <v>0.50242659290240377</v>
      </c>
      <c r="BY107" s="1190">
        <f>'2021'!R\Max</f>
        <v>0.98275595956137141</v>
      </c>
      <c r="BZ107" s="1190">
        <f>'2022'!R\Max</f>
        <v>0.44069580489923771</v>
      </c>
      <c r="CA107" s="1190">
        <f>'2023'!R\Max</f>
        <v>0.44065161997359414</v>
      </c>
      <c r="CB107" s="1190">
        <f>'2024'!R\Max</f>
        <v>0.4406063267288961</v>
      </c>
      <c r="CC107" s="1190">
        <f>'2025'!R\Max</f>
        <v>0.44054186023108288</v>
      </c>
      <c r="CD107" s="1190">
        <f>'2026'!R\Max</f>
        <v>0.44077138530120813</v>
      </c>
      <c r="CE107" s="1191">
        <f>'2027'!R\Max</f>
        <v>0.44075463225588751</v>
      </c>
      <c r="CF107" s="1193">
        <f>'2028'!R\Max</f>
        <v>0.44072635950629191</v>
      </c>
    </row>
    <row r="108" spans="1:84" s="6" customFormat="1" ht="11.25" x14ac:dyDescent="0.2">
      <c r="A108" s="11">
        <v>43194</v>
      </c>
      <c r="B108" s="379">
        <f>'2022'!Maxi_hp</f>
        <v>57.558924699627966</v>
      </c>
      <c r="C108" s="13">
        <f>'2022'!An_max</f>
        <v>2020</v>
      </c>
      <c r="D108" s="1045">
        <f t="shared" si="59"/>
        <v>1.0125828386719014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56.843669970865754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56.813978061984685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56.711071720293582</v>
      </c>
      <c r="AZ108" s="735">
        <f t="shared" si="77"/>
        <v>56.762524891139137</v>
      </c>
      <c r="BA108" s="633">
        <f t="shared" si="74"/>
        <v>1.0125828386719014</v>
      </c>
      <c r="BC108" s="11">
        <v>43194</v>
      </c>
      <c r="BD108" s="289">
        <f>[3]!FeuilCaduc*(1-Persistant)+Persistant</f>
        <v>0.52380727786897496</v>
      </c>
      <c r="BE108" s="290">
        <f>[3]!CroissVégét</f>
        <v>5.8604366195922526E-2</v>
      </c>
      <c r="BF108" s="804">
        <f>1+[3]!Salcycl*Ksac</f>
        <v>1.0023807277868975</v>
      </c>
      <c r="BH108" s="1036">
        <f t="shared" si="75"/>
        <v>2.3359656304276265E-3</v>
      </c>
      <c r="BI108" s="11">
        <v>44290</v>
      </c>
      <c r="BJ108" s="715">
        <v>4.5312410608945884E-7</v>
      </c>
      <c r="BK108" s="715">
        <v>9.3358396328612178E-5</v>
      </c>
      <c r="BL108" s="715">
        <v>4.624117564193193E-4</v>
      </c>
      <c r="BM108" s="715">
        <v>1.4072838399489509E-3</v>
      </c>
      <c r="BN108" s="715">
        <v>3.2679499625442223E-3</v>
      </c>
      <c r="BO108" s="716">
        <v>6.4145989197892392E-3</v>
      </c>
      <c r="BP108" s="715">
        <v>1.1319153052656161E-2</v>
      </c>
      <c r="BQ108" s="715">
        <v>1.846241955737004E-2</v>
      </c>
      <c r="BR108" s="715">
        <v>2.8312068629002804E-2</v>
      </c>
      <c r="BS108" s="715">
        <v>4.1421831475055688E-2</v>
      </c>
      <c r="BT108" s="715">
        <v>5.6881042122910321E-2</v>
      </c>
      <c r="BW108" s="1190">
        <f>'2019'!R\Max</f>
        <v>0.72664222028680781</v>
      </c>
      <c r="BX108" s="1190">
        <f>'2020'!R\Max</f>
        <v>1.0125828386719014</v>
      </c>
      <c r="BY108" s="1190">
        <f>'2021'!R\Max</f>
        <v>0.97106540326986712</v>
      </c>
      <c r="BZ108" s="1190">
        <f>'2022'!R\Max</f>
        <v>0.88252731384048588</v>
      </c>
      <c r="CA108" s="1190">
        <f>'2023'!R\Max</f>
        <v>0.88250923727677488</v>
      </c>
      <c r="CB108" s="1190">
        <f>'2024'!R\Max</f>
        <v>0.8824906879939538</v>
      </c>
      <c r="CC108" s="1190">
        <f>'2025'!R\Max</f>
        <v>0.88246434821646447</v>
      </c>
      <c r="CD108" s="1190">
        <f>'2026'!R\Max</f>
        <v>0.8825583383714275</v>
      </c>
      <c r="CE108" s="1191">
        <f>'2027'!R\Max</f>
        <v>0.88255145092554532</v>
      </c>
      <c r="CF108" s="1193">
        <f>'2028'!R\Max</f>
        <v>0.8825398569868057</v>
      </c>
    </row>
    <row r="109" spans="1:84" s="6" customFormat="1" ht="11.25" x14ac:dyDescent="0.2">
      <c r="A109" s="11">
        <v>43195</v>
      </c>
      <c r="B109" s="379">
        <f>'2022'!Maxi_hp</f>
        <v>59.132284614261103</v>
      </c>
      <c r="C109" s="13">
        <f>'2022'!An_max</f>
        <v>2020</v>
      </c>
      <c r="D109" s="1045">
        <f t="shared" si="59"/>
        <v>1.0347801875868516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57.144778498475048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57.102195854059289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57.028361698133608</v>
      </c>
      <c r="AZ109" s="735">
        <f t="shared" si="77"/>
        <v>57.065278776096449</v>
      </c>
      <c r="BA109" s="633">
        <f t="shared" si="74"/>
        <v>1.0347801875868516</v>
      </c>
      <c r="BC109" s="11">
        <v>43195</v>
      </c>
      <c r="BD109" s="289">
        <f>[3]!FeuilCaduc*(1-Persistant)+Persistant</f>
        <v>0.52555873222200544</v>
      </c>
      <c r="BE109" s="290">
        <f>[3]!CroissVégét</f>
        <v>6.0964669451959982E-2</v>
      </c>
      <c r="BF109" s="804">
        <f>1+[3]!Salcycl*Ksac</f>
        <v>1.0025558732222006</v>
      </c>
      <c r="BH109" s="1036">
        <f t="shared" si="75"/>
        <v>2.2781301337164309E-3</v>
      </c>
      <c r="BI109" s="11">
        <v>44291</v>
      </c>
      <c r="BJ109" s="715">
        <v>3.8097086122024524E-7</v>
      </c>
      <c r="BK109" s="715">
        <v>8.8200996887438147E-5</v>
      </c>
      <c r="BL109" s="715">
        <v>4.4667421157238097E-4</v>
      </c>
      <c r="BM109" s="715">
        <v>1.3696456054299521E-3</v>
      </c>
      <c r="BN109" s="715">
        <v>3.1898453789318232E-3</v>
      </c>
      <c r="BO109" s="716">
        <v>6.2655898687050187E-3</v>
      </c>
      <c r="BP109" s="715">
        <v>1.1046962696678158E-2</v>
      </c>
      <c r="BQ109" s="715">
        <v>1.7999918894298039E-2</v>
      </c>
      <c r="BR109" s="715">
        <v>2.7570770162623343E-2</v>
      </c>
      <c r="BS109" s="715">
        <v>4.0289084994574238E-2</v>
      </c>
      <c r="BT109" s="715">
        <v>5.5270827939928241E-2</v>
      </c>
      <c r="BW109" s="1190">
        <f>'2019'!R\Max</f>
        <v>0.91607807674078257</v>
      </c>
      <c r="BX109" s="1190">
        <f>'2020'!R\Max</f>
        <v>1.0347801875868516</v>
      </c>
      <c r="BY109" s="1190">
        <f>'2021'!R\Max</f>
        <v>0.92362575882789555</v>
      </c>
      <c r="BZ109" s="1190">
        <f>'2022'!R\Max</f>
        <v>1.007482097951178</v>
      </c>
      <c r="CA109" s="1190">
        <f>'2023'!R\Max</f>
        <v>1.007482097951178</v>
      </c>
      <c r="CB109" s="1190">
        <f>'2024'!R\Max</f>
        <v>1.007482097951178</v>
      </c>
      <c r="CC109" s="1190">
        <f>'2025'!R\Max</f>
        <v>1.007482097951178</v>
      </c>
      <c r="CD109" s="1190">
        <f>'2026'!R\Max</f>
        <v>1.007482097951178</v>
      </c>
      <c r="CE109" s="1191">
        <f>'2027'!R\Max</f>
        <v>1.007482097951178</v>
      </c>
      <c r="CF109" s="1193">
        <f>'2028'!R\Max</f>
        <v>1.007482097951178</v>
      </c>
    </row>
    <row r="110" spans="1:84" s="6" customFormat="1" ht="11.25" x14ac:dyDescent="0.2">
      <c r="A110" s="11">
        <v>43196</v>
      </c>
      <c r="B110" s="379">
        <f>'2022'!Maxi_hp</f>
        <v>59.680123270108488</v>
      </c>
      <c r="C110" s="13">
        <f>'2022'!An_max</f>
        <v>2020</v>
      </c>
      <c r="D110" s="1045">
        <f t="shared" si="59"/>
        <v>1.0390007527850458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57.439923031947444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57.385771428474357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57.339852332909189</v>
      </c>
      <c r="AZ110" s="735">
        <f t="shared" si="77"/>
        <v>57.362811880691773</v>
      </c>
      <c r="BA110" s="633">
        <f t="shared" si="74"/>
        <v>1.0390007527850458</v>
      </c>
      <c r="BC110" s="11">
        <v>43196</v>
      </c>
      <c r="BD110" s="289">
        <f>[3]!FeuilCaduc*(1-Persistant)+Persistant</f>
        <v>0.5274190475162287</v>
      </c>
      <c r="BE110" s="290">
        <f>[3]!CroissVégét</f>
        <v>6.3411438498040387E-2</v>
      </c>
      <c r="BF110" s="804">
        <f>1+[3]!Salcycl*Ksac</f>
        <v>1.0027419047516228</v>
      </c>
      <c r="BH110" s="1036">
        <f t="shared" si="75"/>
        <v>2.2203844249748033E-3</v>
      </c>
      <c r="BI110" s="11">
        <v>44292</v>
      </c>
      <c r="BJ110" s="715">
        <v>3.159662623046051E-7</v>
      </c>
      <c r="BK110" s="715">
        <v>8.3017218658364467E-5</v>
      </c>
      <c r="BL110" s="715">
        <v>4.3065515535791431E-4</v>
      </c>
      <c r="BM110" s="715">
        <v>1.3317491300359899E-3</v>
      </c>
      <c r="BN110" s="715">
        <v>3.1121798497800034E-3</v>
      </c>
      <c r="BO110" s="716">
        <v>6.119124969756134E-3</v>
      </c>
      <c r="BP110" s="715">
        <v>1.0780910751206478E-2</v>
      </c>
      <c r="BQ110" s="715">
        <v>1.7549933302758704E-2</v>
      </c>
      <c r="BR110" s="715">
        <v>2.685126051645173E-2</v>
      </c>
      <c r="BS110" s="715">
        <v>3.9192379817415191E-2</v>
      </c>
      <c r="BT110" s="715">
        <v>5.3714299327940862E-2</v>
      </c>
      <c r="BW110" s="1190">
        <f>'2019'!R\Max</f>
        <v>0.36035429868764596</v>
      </c>
      <c r="BX110" s="1190">
        <f>'2020'!R\Max</f>
        <v>1.0390007527850458</v>
      </c>
      <c r="BY110" s="1190">
        <f>'2021'!R\Max</f>
        <v>0.62746058357910417</v>
      </c>
      <c r="BZ110" s="1190">
        <f>'2022'!R\Max</f>
        <v>0.21693033150955227</v>
      </c>
      <c r="CA110" s="1190">
        <f>'2023'!R\Max</f>
        <v>0.21690525510269762</v>
      </c>
      <c r="CB110" s="1190">
        <f>'2024'!R\Max</f>
        <v>0.21687948004690458</v>
      </c>
      <c r="CC110" s="1190">
        <f>'2025'!R\Max</f>
        <v>0.21684306851461449</v>
      </c>
      <c r="CD110" s="1190">
        <f>'2026'!R\Max</f>
        <v>0.21697369221189022</v>
      </c>
      <c r="CE110" s="1191">
        <f>'2027'!R\Max</f>
        <v>0.21696403809365006</v>
      </c>
      <c r="CF110" s="1193">
        <f>'2028'!R\Max</f>
        <v>0.21694786330940363</v>
      </c>
    </row>
    <row r="111" spans="1:84" s="6" customFormat="1" ht="11.25" x14ac:dyDescent="0.2">
      <c r="A111" s="11">
        <v>43197</v>
      </c>
      <c r="B111" s="379">
        <f>'2022'!Maxi_hp</f>
        <v>57.850737846912956</v>
      </c>
      <c r="C111" s="13">
        <f>'2022'!An_max</f>
        <v>2021</v>
      </c>
      <c r="D111" s="1045">
        <f t="shared" si="59"/>
        <v>1.0021088890352954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57.728993804859257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57.664608737320769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57.645104554920863</v>
      </c>
      <c r="AZ111" s="735">
        <f t="shared" si="77"/>
        <v>57.65485664612082</v>
      </c>
      <c r="BA111" s="633">
        <f t="shared" si="74"/>
        <v>1.0021088890352954</v>
      </c>
      <c r="BC111" s="11">
        <v>43197</v>
      </c>
      <c r="BD111" s="289">
        <f>[3]!FeuilCaduc*(1-Persistant)+Persistant</f>
        <v>0.5293913069776609</v>
      </c>
      <c r="BE111" s="290">
        <f>[3]!CroissVégét</f>
        <v>6.5947331619938404E-2</v>
      </c>
      <c r="BF111" s="804">
        <f>1+[3]!Salcycl*Ksac</f>
        <v>1.0029391306977662</v>
      </c>
      <c r="BH111" s="1036">
        <f t="shared" si="75"/>
        <v>2.1627286268257875E-3</v>
      </c>
      <c r="BI111" s="11">
        <v>44293</v>
      </c>
      <c r="BJ111" s="715">
        <v>2.5810932599586634E-7</v>
      </c>
      <c r="BK111" s="715">
        <v>7.7807119167574228E-5</v>
      </c>
      <c r="BL111" s="715">
        <v>4.1435476112045775E-4</v>
      </c>
      <c r="BM111" s="715">
        <v>1.2935946169997466E-3</v>
      </c>
      <c r="BN111" s="715">
        <v>3.0349534168155096E-3</v>
      </c>
      <c r="BO111" s="716">
        <v>5.9752037758951659E-3</v>
      </c>
      <c r="BP111" s="715">
        <v>1.0520996118984554E-2</v>
      </c>
      <c r="BQ111" s="715">
        <v>1.7112460595119696E-2</v>
      </c>
      <c r="BR111" s="715">
        <v>2.6153536122879833E-2</v>
      </c>
      <c r="BS111" s="715">
        <v>3.8131710332901678E-2</v>
      </c>
      <c r="BT111" s="715">
        <v>5.2211448284656292E-2</v>
      </c>
      <c r="BW111" s="1190">
        <f>'2019'!R\Max</f>
        <v>0.57535588186074604</v>
      </c>
      <c r="BX111" s="1190">
        <f>'2020'!R\Max</f>
        <v>0.58050085734163015</v>
      </c>
      <c r="BY111" s="1190">
        <f>'2021'!R\Max</f>
        <v>1.0021088890352954</v>
      </c>
      <c r="BZ111" s="1190">
        <f>'2022'!R\Max</f>
        <v>0.72472433562004412</v>
      </c>
      <c r="CA111" s="1190">
        <f>'2023'!R\Max</f>
        <v>0.72469225246626423</v>
      </c>
      <c r="CB111" s="1190">
        <f>'2024'!R\Max</f>
        <v>0.72465923823446732</v>
      </c>
      <c r="CC111" s="1190">
        <f>'2025'!R\Max</f>
        <v>0.72461270287010093</v>
      </c>
      <c r="CD111" s="1190">
        <f>'2026'!R\Max</f>
        <v>0.72478000291834332</v>
      </c>
      <c r="CE111" s="1191">
        <f>'2027'!R\Max</f>
        <v>0.7247675961513772</v>
      </c>
      <c r="CF111" s="1193">
        <f>'2028'!R\Max</f>
        <v>0.7247468488660268</v>
      </c>
    </row>
    <row r="112" spans="1:84" s="6" customFormat="1" ht="11.25" x14ac:dyDescent="0.2">
      <c r="A112" s="11">
        <v>43198</v>
      </c>
      <c r="B112" s="379">
        <f>'2022'!Maxi_hp</f>
        <v>57.096062387011123</v>
      </c>
      <c r="C112" s="13">
        <f>'2022'!An_max</f>
        <v>2021</v>
      </c>
      <c r="D112" s="1045">
        <f t="shared" si="59"/>
        <v>0.98421325688484529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58.011881050786805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57.93861173460526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57.943679299418406</v>
      </c>
      <c r="AZ112" s="735">
        <f t="shared" si="77"/>
        <v>57.941145517011833</v>
      </c>
      <c r="BA112" s="633">
        <f t="shared" si="74"/>
        <v>0.98421325688484529</v>
      </c>
      <c r="BC112" s="11">
        <v>43198</v>
      </c>
      <c r="BD112" s="289">
        <f>[3]!FeuilCaduc*(1-Persistant)+Persistant</f>
        <v>0.53147848132757958</v>
      </c>
      <c r="BE112" s="290">
        <f>[3]!CroissVégét</f>
        <v>6.8575048275425571E-2</v>
      </c>
      <c r="BF112" s="804">
        <f>1+[3]!Salcycl*Ksac</f>
        <v>1.003147848132758</v>
      </c>
      <c r="BH112" s="1036">
        <f t="shared" si="75"/>
        <v>2.1051629328147632E-3</v>
      </c>
      <c r="BI112" s="11">
        <v>44294</v>
      </c>
      <c r="BJ112" s="715">
        <v>2.0739892563497066E-7</v>
      </c>
      <c r="BK112" s="715">
        <v>7.2570763431744435E-5</v>
      </c>
      <c r="BL112" s="715">
        <v>3.9777323165489207E-4</v>
      </c>
      <c r="BM112" s="715">
        <v>1.2551823261991208E-3</v>
      </c>
      <c r="BN112" s="715">
        <v>2.9581662070153124E-3</v>
      </c>
      <c r="BO112" s="716">
        <v>5.8338259462978404E-3</v>
      </c>
      <c r="BP112" s="715">
        <v>1.0267217847640491E-2</v>
      </c>
      <c r="BQ112" s="715">
        <v>1.6687498761269872E-2</v>
      </c>
      <c r="BR112" s="715">
        <v>2.547759364203454E-2</v>
      </c>
      <c r="BS112" s="715">
        <v>3.7107071188100721E-2</v>
      </c>
      <c r="BT112" s="715">
        <v>5.076226709368644E-2</v>
      </c>
      <c r="BW112" s="1190">
        <f>'2019'!R\Max</f>
        <v>0.60488861376644643</v>
      </c>
      <c r="BX112" s="1190">
        <f>'2020'!R\Max</f>
        <v>0.63353313213851747</v>
      </c>
      <c r="BY112" s="1190">
        <f>'2021'!R\Max</f>
        <v>0.98421325688484529</v>
      </c>
      <c r="BZ112" s="1190">
        <f>'2022'!R\Max</f>
        <v>0.58594593678343654</v>
      </c>
      <c r="CA112" s="1190">
        <f>'2023'!R\Max</f>
        <v>0.58590792202951114</v>
      </c>
      <c r="CB112" s="1190">
        <f>'2024'!R\Max</f>
        <v>0.58586876566212298</v>
      </c>
      <c r="CC112" s="1190">
        <f>'2025'!R\Max</f>
        <v>0.58581370292069701</v>
      </c>
      <c r="CD112" s="1190">
        <f>'2026'!R\Max</f>
        <v>0.5860121403532923</v>
      </c>
      <c r="CE112" s="1191">
        <f>'2027'!R\Max</f>
        <v>0.58599737141682828</v>
      </c>
      <c r="CF112" s="1193">
        <f>'2028'!R\Max</f>
        <v>0.5859727170387925</v>
      </c>
    </row>
    <row r="113" spans="1:84" s="6" customFormat="1" ht="11.25" x14ac:dyDescent="0.2">
      <c r="A113" s="11">
        <v>43199</v>
      </c>
      <c r="B113" s="379">
        <f>'2022'!Maxi_hp</f>
        <v>45.048186570983958</v>
      </c>
      <c r="C113" s="13">
        <f>'2022'!An_max</f>
        <v>2020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58.288475000485775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58.207684374414384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58.235137499775739</v>
      </c>
      <c r="AZ113" s="735">
        <f t="shared" si="77"/>
        <v>58.221410937095058</v>
      </c>
      <c r="BA113" s="633">
        <f t="shared" si="74"/>
        <v>0.77284894776554935</v>
      </c>
      <c r="BC113" s="11">
        <v>43199</v>
      </c>
      <c r="BD113" s="289">
        <f>[3]!FeuilCaduc*(1-Persistant)+Persistant</f>
        <v>0.53368342252056578</v>
      </c>
      <c r="BE113" s="290">
        <f>[3]!CroissVégét</f>
        <v>7.1297326250557638E-2</v>
      </c>
      <c r="BF113" s="804">
        <f>1+[3]!Salcycl*Ksac</f>
        <v>1.0033683422520565</v>
      </c>
      <c r="BH113" s="1036">
        <f t="shared" si="75"/>
        <v>2.0476876071097321E-3</v>
      </c>
      <c r="BI113" s="11">
        <v>44295</v>
      </c>
      <c r="BJ113" s="715">
        <v>1.6383376836005633E-7</v>
      </c>
      <c r="BK113" s="715">
        <v>6.7308224043743803E-5</v>
      </c>
      <c r="BL113" s="715">
        <v>3.809108001091573E-4</v>
      </c>
      <c r="BM113" s="715">
        <v>1.2165125749797221E-3</v>
      </c>
      <c r="BN113" s="715">
        <v>2.8818184311806979E-3</v>
      </c>
      <c r="BO113" s="716">
        <v>5.6949912381673495E-3</v>
      </c>
      <c r="BP113" s="715">
        <v>1.0019575109942594E-2</v>
      </c>
      <c r="BQ113" s="715">
        <v>1.6275045928399512E-2</v>
      </c>
      <c r="BR113" s="715">
        <v>2.4823429891791534E-2</v>
      </c>
      <c r="BS113" s="715">
        <v>3.6118457172107543E-2</v>
      </c>
      <c r="BT113" s="715">
        <v>4.9366748152229661E-2</v>
      </c>
      <c r="BW113" s="1190">
        <f>'2019'!R\Max</f>
        <v>0.71330047699587851</v>
      </c>
      <c r="BX113" s="1190">
        <f>'2020'!R\Max</f>
        <v>0.77284894776554935</v>
      </c>
      <c r="BY113" s="1190">
        <f>'2021'!R\Max</f>
        <v>0.58423215074861468</v>
      </c>
      <c r="BZ113" s="1190">
        <f>'2022'!R\Max</f>
        <v>0.68424630374724404</v>
      </c>
      <c r="CA113" s="1190">
        <f>'2023'!R\Max</f>
        <v>0.68421330146280068</v>
      </c>
      <c r="CB113" s="1190">
        <f>'2024'!R\Max</f>
        <v>0.68417927070481921</v>
      </c>
      <c r="CC113" s="1190">
        <f>'2025'!R\Max</f>
        <v>0.68413152056713433</v>
      </c>
      <c r="CD113" s="1190">
        <f>'2026'!R\Max</f>
        <v>0.68430398535888415</v>
      </c>
      <c r="CE113" s="1191">
        <f>'2027'!R\Max</f>
        <v>0.68429110876214705</v>
      </c>
      <c r="CF113" s="1193">
        <f>'2028'!R\Max</f>
        <v>0.68426964440173499</v>
      </c>
    </row>
    <row r="114" spans="1:84" s="6" customFormat="1" ht="11.25" x14ac:dyDescent="0.2">
      <c r="A114" s="11">
        <v>43200</v>
      </c>
      <c r="B114" s="379">
        <f>'2022'!Maxi_hp</f>
        <v>58.33024090130305</v>
      </c>
      <c r="C114" s="13">
        <f>'2022'!An_max</f>
        <v>2022</v>
      </c>
      <c r="D114" s="1045">
        <f t="shared" si="59"/>
        <v>0.99609921119737344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58.558665889501569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58.471730611579758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58.519040087477435</v>
      </c>
      <c r="AZ114" s="735">
        <f t="shared" si="77"/>
        <v>58.495385349528597</v>
      </c>
      <c r="BA114" s="633">
        <f t="shared" si="74"/>
        <v>0.99609921119737344</v>
      </c>
      <c r="BC114" s="11">
        <v>43200</v>
      </c>
      <c r="BD114" s="289">
        <f>[3]!FeuilCaduc*(1-Persistant)+Persistant</f>
        <v>0.53600885757489669</v>
      </c>
      <c r="BE114" s="290">
        <f>[3]!CroissVégét</f>
        <v>7.4116938463242688E-2</v>
      </c>
      <c r="BF114" s="804">
        <f>1+[3]!Salcycl*Ksac</f>
        <v>1.0036008857574896</v>
      </c>
      <c r="BH114" s="1036">
        <f t="shared" si="75"/>
        <v>1.9914055170770616E-3</v>
      </c>
      <c r="BI114" s="11">
        <v>44296</v>
      </c>
      <c r="BJ114" s="715">
        <v>1.2741237221703406E-7</v>
      </c>
      <c r="BK114" s="715">
        <v>6.2214891389543962E-5</v>
      </c>
      <c r="BL114" s="715">
        <v>3.6439055124459627E-4</v>
      </c>
      <c r="BM114" s="715">
        <v>1.178531018549023E-3</v>
      </c>
      <c r="BN114" s="715">
        <v>2.8071707279086213E-3</v>
      </c>
      <c r="BO114" s="716">
        <v>5.5600425583576555E-3</v>
      </c>
      <c r="BP114" s="715">
        <v>9.7801752811360367E-3</v>
      </c>
      <c r="BQ114" s="715">
        <v>1.5878300398250386E-2</v>
      </c>
      <c r="BR114" s="715">
        <v>2.4196531070015476E-2</v>
      </c>
      <c r="BS114" s="715">
        <v>3.5174622475303889E-2</v>
      </c>
      <c r="BT114" s="715">
        <v>4.8037956536424863E-2</v>
      </c>
      <c r="BW114" s="1190">
        <f>'2019'!R\Max</f>
        <v>0.58341108353049131</v>
      </c>
      <c r="BX114" s="1190">
        <f>'2020'!R\Max</f>
        <v>0.99343142002008156</v>
      </c>
      <c r="BY114" s="1190">
        <f>'2021'!R\Max</f>
        <v>0.62206324625200127</v>
      </c>
      <c r="BZ114" s="1190">
        <f>'2022'!R\Max</f>
        <v>0.99609921119737344</v>
      </c>
      <c r="CA114" s="1190">
        <f>'2023'!R\Max</f>
        <v>0.99609863214439198</v>
      </c>
      <c r="CB114" s="1190">
        <f>'2024'!R\Max</f>
        <v>0.99609803432426336</v>
      </c>
      <c r="CC114" s="1190">
        <f>'2025'!R\Max</f>
        <v>0.99609719719656242</v>
      </c>
      <c r="CD114" s="1190">
        <f>'2026'!R\Max</f>
        <v>0.99610022672211185</v>
      </c>
      <c r="CE114" s="1191">
        <f>'2027'!R\Max</f>
        <v>0.99609999989994447</v>
      </c>
      <c r="CF114" s="1193">
        <f>'2028'!R\Max</f>
        <v>0.99609962229317739</v>
      </c>
    </row>
    <row r="115" spans="1:84" s="6" customFormat="1" ht="11.25" x14ac:dyDescent="0.2">
      <c r="A115" s="11">
        <v>43201</v>
      </c>
      <c r="B115" s="379">
        <f>'2022'!Maxi_hp</f>
        <v>59.403908056990687</v>
      </c>
      <c r="C115" s="13">
        <f>'2022'!An_max</f>
        <v>2020</v>
      </c>
      <c r="D115" s="1045">
        <f t="shared" si="59"/>
        <v>1.0098867890589629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58.822343950399329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58.730654399975073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58.794947995538152</v>
      </c>
      <c r="AZ115" s="735">
        <f t="shared" si="77"/>
        <v>58.762801197756616</v>
      </c>
      <c r="BA115" s="633">
        <f t="shared" si="74"/>
        <v>1.0098867890589629</v>
      </c>
      <c r="BC115" s="11">
        <v>43201</v>
      </c>
      <c r="BD115" s="289">
        <f>[3]!FeuilCaduc*(1-Persistant)+Persistant</f>
        <v>0.5384573824410599</v>
      </c>
      <c r="BE115" s="290">
        <f>[3]!CroissVégét</f>
        <v>7.7036689395036897E-2</v>
      </c>
      <c r="BF115" s="804">
        <f>1+[3]!Salcycl*Ksac</f>
        <v>1.0038457382441059</v>
      </c>
      <c r="BH115" s="1036">
        <f t="shared" si="75"/>
        <v>1.9355954343943571E-3</v>
      </c>
      <c r="BI115" s="11">
        <v>44297</v>
      </c>
      <c r="BJ115" s="715">
        <v>9.5548241845898655E-8</v>
      </c>
      <c r="BK115" s="715">
        <v>5.739905122541397E-5</v>
      </c>
      <c r="BL115" s="715">
        <v>3.4829299069392538E-4</v>
      </c>
      <c r="BM115" s="715">
        <v>1.1409784368219919E-3</v>
      </c>
      <c r="BN115" s="715">
        <v>2.733038217663812E-3</v>
      </c>
      <c r="BO115" s="716">
        <v>5.4260175486802453E-3</v>
      </c>
      <c r="BP115" s="715">
        <v>9.5439351073390594E-3</v>
      </c>
      <c r="BQ115" s="715">
        <v>1.5488194752809888E-2</v>
      </c>
      <c r="BR115" s="715">
        <v>2.3582502116246584E-2</v>
      </c>
      <c r="BS115" s="715">
        <v>3.42525818898365E-2</v>
      </c>
      <c r="BT115" s="715">
        <v>4.6742695323126568E-2</v>
      </c>
      <c r="BW115" s="1190">
        <f>'2019'!R\Max</f>
        <v>0.16784393568214034</v>
      </c>
      <c r="BX115" s="1190">
        <f>'2020'!R\Max</f>
        <v>1.0098867890589629</v>
      </c>
      <c r="BY115" s="1190">
        <f>'2021'!R\Max</f>
        <v>0.15310834195518619</v>
      </c>
      <c r="BZ115" s="1190">
        <f>'2022'!R\Max</f>
        <v>0.82190988071679649</v>
      </c>
      <c r="CA115" s="1190">
        <f>'2023'!R\Max</f>
        <v>0.82188859471809261</v>
      </c>
      <c r="CB115" s="1190">
        <f>'2024'!R\Max</f>
        <v>0.8218665948168683</v>
      </c>
      <c r="CC115" s="1190">
        <f>'2025'!R\Max</f>
        <v>0.82183585772011425</v>
      </c>
      <c r="CD115" s="1190">
        <f>'2026'!R\Max</f>
        <v>0.82194733699444544</v>
      </c>
      <c r="CE115" s="1191">
        <f>'2027'!R\Max</f>
        <v>0.82193896617924611</v>
      </c>
      <c r="CF115" s="1193">
        <f>'2028'!R\Max</f>
        <v>0.82192504910634989</v>
      </c>
    </row>
    <row r="116" spans="1:84" s="6" customFormat="1" ht="11.25" x14ac:dyDescent="0.2">
      <c r="A116" s="11">
        <v>43202</v>
      </c>
      <c r="B116" s="379">
        <f>'2022'!Maxi_hp</f>
        <v>58.857771528976158</v>
      </c>
      <c r="C116" s="13">
        <f>'2022'!An_max</f>
        <v>2018</v>
      </c>
      <c r="D116" s="1045">
        <f t="shared" si="59"/>
        <v>0.99624864350391995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59.079399417766503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58.984359693261126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59.062422157770825</v>
      </c>
      <c r="AZ116" s="735">
        <f t="shared" si="77"/>
        <v>59.023390925515976</v>
      </c>
      <c r="BA116" s="633">
        <f t="shared" si="74"/>
        <v>0.99624864350391995</v>
      </c>
      <c r="BC116" s="11">
        <v>43202</v>
      </c>
      <c r="BD116" s="289">
        <f>[3]!FeuilCaduc*(1-Persistant)+Persistant</f>
        <v>0.54103145585505263</v>
      </c>
      <c r="BE116" s="290">
        <f>[3]!CroissVégét</f>
        <v>8.0059411132293548E-2</v>
      </c>
      <c r="BF116" s="804">
        <f>1+[3]!Salcycl*Ksac</f>
        <v>1.0041031455855052</v>
      </c>
      <c r="BH116" s="1036">
        <f t="shared" si="75"/>
        <v>1.8802576710312091E-3</v>
      </c>
      <c r="BI116" s="11">
        <v>44298</v>
      </c>
      <c r="BJ116" s="715">
        <v>6.8240396861432443E-8</v>
      </c>
      <c r="BK116" s="715">
        <v>5.2860684029735718E-5</v>
      </c>
      <c r="BL116" s="715">
        <v>3.3261817739202925E-4</v>
      </c>
      <c r="BM116" s="715">
        <v>1.1038550536024325E-3</v>
      </c>
      <c r="BN116" s="715">
        <v>2.6594213008951785E-3</v>
      </c>
      <c r="BO116" s="716">
        <v>5.2929167780301567E-3</v>
      </c>
      <c r="BP116" s="715">
        <v>9.3108550667921532E-3</v>
      </c>
      <c r="BQ116" s="715">
        <v>1.5104729376984425E-2</v>
      </c>
      <c r="BR116" s="715">
        <v>2.2981343056553073E-2</v>
      </c>
      <c r="BS116" s="715">
        <v>3.3352334976061188E-2</v>
      </c>
      <c r="BT116" s="715">
        <v>4.5480963331202148E-2</v>
      </c>
      <c r="BW116" s="1190">
        <f>'2019'!R\Max</f>
        <v>0.99624864350391995</v>
      </c>
      <c r="BX116" s="1190">
        <f>'2020'!R\Max</f>
        <v>0.9844101299975605</v>
      </c>
      <c r="BY116" s="1190">
        <f>'2021'!R\Max</f>
        <v>0.80435084378382726</v>
      </c>
      <c r="BZ116" s="1190">
        <f>'2022'!R\Max</f>
        <v>0.69896314275300042</v>
      </c>
      <c r="CA116" s="1190">
        <f>'2023'!R\Max</f>
        <v>0.69893327533180305</v>
      </c>
      <c r="CB116" s="1190">
        <f>'2024'!R\Max</f>
        <v>0.69890237089045104</v>
      </c>
      <c r="CC116" s="1190">
        <f>'2025'!R\Max</f>
        <v>0.69885929100850197</v>
      </c>
      <c r="CD116" s="1190">
        <f>'2026'!R\Max</f>
        <v>0.69901586091767165</v>
      </c>
      <c r="CE116" s="1191">
        <f>'2027'!R\Max</f>
        <v>0.6990040735200399</v>
      </c>
      <c r="CF116" s="1193">
        <f>'2028'!R\Max</f>
        <v>0.69898450080185359</v>
      </c>
    </row>
    <row r="117" spans="1:84" s="6" customFormat="1" ht="11.25" x14ac:dyDescent="0.2">
      <c r="A117" s="11">
        <v>43203</v>
      </c>
      <c r="B117" s="379">
        <f>'2022'!Maxi_hp</f>
        <v>58.816606841862637</v>
      </c>
      <c r="C117" s="13">
        <f>'2022'!An_max</f>
        <v>2018</v>
      </c>
      <c r="D117" s="1045">
        <f t="shared" si="59"/>
        <v>0.99135145660029855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59.329722521986277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59.232750444965703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59.321023506285357</v>
      </c>
      <c r="AZ117" s="735">
        <f t="shared" si="77"/>
        <v>59.27688697562553</v>
      </c>
      <c r="BA117" s="633">
        <f t="shared" si="74"/>
        <v>0.99135145660029855</v>
      </c>
      <c r="BC117" s="11">
        <v>43203</v>
      </c>
      <c r="BD117" s="289">
        <f>[3]!FeuilCaduc*(1-Persistant)+Persistant</f>
        <v>0.54373339312516933</v>
      </c>
      <c r="BE117" s="290">
        <f>[3]!CroissVégét</f>
        <v>8.3187958998136649E-2</v>
      </c>
      <c r="BF117" s="804">
        <f>1+[3]!Salcycl*Ksac</f>
        <v>1.0043733393125169</v>
      </c>
      <c r="BH117" s="1036">
        <f t="shared" si="75"/>
        <v>1.8253925907376139E-3</v>
      </c>
      <c r="BI117" s="11">
        <v>44299</v>
      </c>
      <c r="BJ117" s="715">
        <v>4.54877094238087E-8</v>
      </c>
      <c r="BK117" s="715">
        <v>4.8599764996707291E-5</v>
      </c>
      <c r="BL117" s="715">
        <v>3.1736617343823119E-4</v>
      </c>
      <c r="BM117" s="715">
        <v>1.067161122993096E-3</v>
      </c>
      <c r="BN117" s="715">
        <v>2.5863204513898869E-3</v>
      </c>
      <c r="BO117" s="716">
        <v>5.1607409480116289E-3</v>
      </c>
      <c r="BP117" s="715">
        <v>9.0809358082871525E-3</v>
      </c>
      <c r="BQ117" s="715">
        <v>1.4727904878568008E-2</v>
      </c>
      <c r="BR117" s="715">
        <v>2.2393054168071441E-2</v>
      </c>
      <c r="BS117" s="715">
        <v>3.2473881569676642E-2</v>
      </c>
      <c r="BT117" s="715">
        <v>4.4252759646274363E-2</v>
      </c>
      <c r="BW117" s="1190">
        <f>'2019'!R\Max</f>
        <v>0.99135145660029855</v>
      </c>
      <c r="BX117" s="1190">
        <f>'2020'!R\Max</f>
        <v>0.78261595077716473</v>
      </c>
      <c r="BY117" s="1190">
        <f>'2021'!R\Max</f>
        <v>0.89417625920586485</v>
      </c>
      <c r="BZ117" s="1190">
        <f>'2022'!R\Max</f>
        <v>0.14873737370859255</v>
      </c>
      <c r="CA117" s="1190">
        <f>'2023'!R\Max</f>
        <v>0.14872294324540888</v>
      </c>
      <c r="CB117" s="1190">
        <f>'2024'!R\Max</f>
        <v>0.14870799529689346</v>
      </c>
      <c r="CC117" s="1190">
        <f>'2025'!R\Max</f>
        <v>0.14868720847833666</v>
      </c>
      <c r="CD117" s="1190">
        <f>'2026'!R\Max</f>
        <v>0.14876291802883948</v>
      </c>
      <c r="CE117" s="1191">
        <f>'2027'!R\Max</f>
        <v>0.14875720380079741</v>
      </c>
      <c r="CF117" s="1193">
        <f>'2028'!R\Max</f>
        <v>0.14874772721059723</v>
      </c>
    </row>
    <row r="118" spans="1:84" s="6" customFormat="1" ht="11.25" x14ac:dyDescent="0.2">
      <c r="A118" s="11">
        <v>43204</v>
      </c>
      <c r="B118" s="379">
        <f>'2022'!Maxi_hp</f>
        <v>59.036177217934771</v>
      </c>
      <c r="C118" s="13">
        <f>'2022'!An_max</f>
        <v>2021</v>
      </c>
      <c r="D118" s="1045">
        <f t="shared" si="59"/>
        <v>0.99098543893944468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59.573203498444386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59.475730611703227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59.570312973617447</v>
      </c>
      <c r="AZ118" s="735">
        <f t="shared" si="77"/>
        <v>59.523021792660337</v>
      </c>
      <c r="BA118" s="633">
        <f t="shared" si="74"/>
        <v>0.99098543893944468</v>
      </c>
      <c r="BC118" s="11">
        <v>43204</v>
      </c>
      <c r="BD118" s="289">
        <f>[3]!FeuilCaduc*(1-Persistant)+Persistant</f>
        <v>0.54656535980417187</v>
      </c>
      <c r="BE118" s="290">
        <f>[3]!CroissVégét</f>
        <v>8.6425206757263798E-2</v>
      </c>
      <c r="BF118" s="804">
        <f>1+[3]!Salcycl*Ksac</f>
        <v>1.0046565359804172</v>
      </c>
      <c r="BH118" s="1036">
        <f t="shared" si="75"/>
        <v>1.7710006075100694E-3</v>
      </c>
      <c r="BI118" s="11">
        <v>44300</v>
      </c>
      <c r="BJ118" s="715">
        <v>2.7288889641176414E-8</v>
      </c>
      <c r="BK118" s="715">
        <v>4.4616263147964093E-5</v>
      </c>
      <c r="BL118" s="715">
        <v>3.0253704274126953E-4</v>
      </c>
      <c r="BM118" s="715">
        <v>1.0308969280113146E-3</v>
      </c>
      <c r="BN118" s="715">
        <v>2.5137362145893822E-3</v>
      </c>
      <c r="BO118" s="716">
        <v>5.0294908899034966E-3</v>
      </c>
      <c r="BP118" s="715">
        <v>8.8541781409065771E-3</v>
      </c>
      <c r="BQ118" s="715">
        <v>1.4357722066745059E-2</v>
      </c>
      <c r="BR118" s="715">
        <v>2.1817635937436672E-2</v>
      </c>
      <c r="BS118" s="715">
        <v>3.161722171142077E-2</v>
      </c>
      <c r="BT118" s="715">
        <v>4.3058083512654492E-2</v>
      </c>
      <c r="BW118" s="1190">
        <f>'2019'!R\Max</f>
        <v>0.49019363869382071</v>
      </c>
      <c r="BX118" s="1190">
        <f>'2020'!R\Max</f>
        <v>0.30337598258073373</v>
      </c>
      <c r="BY118" s="1190">
        <f>'2021'!R\Max</f>
        <v>0.99098543893944468</v>
      </c>
      <c r="BZ118" s="1190">
        <f>'2022'!R\Max</f>
        <v>0.74990213422853091</v>
      </c>
      <c r="CA118" s="1190">
        <f>'2023'!R\Max</f>
        <v>0.74987674579986963</v>
      </c>
      <c r="CB118" s="1190">
        <f>'2024'!R\Max</f>
        <v>0.7498504107424554</v>
      </c>
      <c r="CC118" s="1190">
        <f>'2025'!R\Max</f>
        <v>0.74981386795052407</v>
      </c>
      <c r="CD118" s="1190">
        <f>'2026'!R\Max</f>
        <v>0.74994717695734348</v>
      </c>
      <c r="CE118" s="1191">
        <f>'2027'!R\Max</f>
        <v>0.74993709861608426</v>
      </c>
      <c r="CF118" s="1193">
        <f>'2028'!R\Max</f>
        <v>0.74992040208445188</v>
      </c>
    </row>
    <row r="119" spans="1:84" s="6" customFormat="1" ht="11.25" x14ac:dyDescent="0.2">
      <c r="A119" s="11">
        <v>43205</v>
      </c>
      <c r="B119" s="379">
        <f>'2022'!Maxi_hp</f>
        <v>59.816550107721071</v>
      </c>
      <c r="C119" s="13">
        <f>'2022'!An_max</f>
        <v>2021</v>
      </c>
      <c r="D119" s="1045">
        <f t="shared" si="59"/>
        <v>1.0001139869407007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59.809732579280229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59.713204144979159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59.809851493526779</v>
      </c>
      <c r="AZ119" s="735">
        <f t="shared" si="77"/>
        <v>59.761527819252969</v>
      </c>
      <c r="BA119" s="633">
        <f t="shared" si="74"/>
        <v>1.0001139869407007</v>
      </c>
      <c r="BC119" s="11">
        <v>43205</v>
      </c>
      <c r="BD119" s="289">
        <f>[3]!FeuilCaduc*(1-Persistant)+Persistant</f>
        <v>0.54952936520300688</v>
      </c>
      <c r="BE119" s="290">
        <f>[3]!CroissVégét</f>
        <v>8.9774041376326802E-2</v>
      </c>
      <c r="BF119" s="804">
        <f>1+[3]!Salcycl*Ksac</f>
        <v>1.0049529365203007</v>
      </c>
      <c r="BH119" s="1036">
        <f t="shared" si="75"/>
        <v>1.7170821841010595E-3</v>
      </c>
      <c r="BI119" s="11">
        <v>44301</v>
      </c>
      <c r="BJ119" s="715">
        <v>1.36424709736016E-8</v>
      </c>
      <c r="BK119" s="715">
        <v>4.0910140445391902E-5</v>
      </c>
      <c r="BL119" s="715">
        <v>2.8813084967189826E-4</v>
      </c>
      <c r="BM119" s="715">
        <v>9.950627792300762E-4</v>
      </c>
      <c r="BN119" s="715">
        <v>2.44166920596682E-3</v>
      </c>
      <c r="BO119" s="716">
        <v>4.8991675617469557E-3</v>
      </c>
      <c r="BP119" s="715">
        <v>8.6305830239781986E-3</v>
      </c>
      <c r="BQ119" s="715">
        <v>1.3994181930942423E-2</v>
      </c>
      <c r="BR119" s="715">
        <v>2.1255089019743545E-2</v>
      </c>
      <c r="BS119" s="715">
        <v>3.0782355577537567E-2</v>
      </c>
      <c r="BT119" s="715">
        <v>4.1896934226326177E-2</v>
      </c>
      <c r="BW119" s="1190">
        <f>'2019'!R\Max</f>
        <v>0.66484583342314574</v>
      </c>
      <c r="BX119" s="1190">
        <f>'2020'!R\Max</f>
        <v>0.9535327949475777</v>
      </c>
      <c r="BY119" s="1190">
        <f>'2021'!R\Max</f>
        <v>1.0001139869407007</v>
      </c>
      <c r="BZ119" s="1190">
        <f>'2022'!R\Max</f>
        <v>0.8151513479285134</v>
      </c>
      <c r="CA119" s="1190">
        <f>'2023'!R\Max</f>
        <v>0.81513141901382147</v>
      </c>
      <c r="CB119" s="1190">
        <f>'2024'!R\Max</f>
        <v>0.81511072012137076</v>
      </c>
      <c r="CC119" s="1190">
        <f>'2025'!R\Max</f>
        <v>0.81508206515281723</v>
      </c>
      <c r="CD119" s="1190">
        <f>'2026'!R\Max</f>
        <v>0.81518677751744872</v>
      </c>
      <c r="CE119" s="1191">
        <f>'2027'!R\Max</f>
        <v>0.8151788483768444</v>
      </c>
      <c r="CF119" s="1193">
        <f>'2028'!R\Max</f>
        <v>0.81516572603050674</v>
      </c>
    </row>
    <row r="120" spans="1:84" s="6" customFormat="1" ht="11.25" x14ac:dyDescent="0.2">
      <c r="A120" s="11">
        <v>43206</v>
      </c>
      <c r="B120" s="379">
        <f>'2022'!Maxi_hp</f>
        <v>51.884062779817704</v>
      </c>
      <c r="C120" s="13">
        <f>'2022'!An_max</f>
        <v>2021</v>
      </c>
      <c r="D120" s="1045" t="str">
        <f t="shared" si="59"/>
        <v/>
      </c>
      <c r="E120" s="1040">
        <f>U$13/10</f>
        <v>60.039200000000008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60.039199999719855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59.945074999704957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60.039199999719855</v>
      </c>
      <c r="AZ120" s="735">
        <f t="shared" si="77"/>
        <v>59.992137499712406</v>
      </c>
      <c r="BA120" s="633">
        <f t="shared" si="74"/>
        <v>0.86416978873902039</v>
      </c>
      <c r="BC120" s="11">
        <v>43206</v>
      </c>
      <c r="BD120" s="289">
        <f>[3]!FeuilCaduc*(1-Persistant)+Persistant</f>
        <v>0.55262725570755977</v>
      </c>
      <c r="BE120" s="290">
        <f>[3]!CroissVégét</f>
        <v>9.3237357323611589E-2</v>
      </c>
      <c r="BF120" s="804">
        <f>1+[3]!Salcycl*Ksac</f>
        <v>1.005262725570756</v>
      </c>
      <c r="BH120" s="1036">
        <f t="shared" si="75"/>
        <v>1.6636378304882751E-3</v>
      </c>
      <c r="BI120" s="11">
        <v>44302</v>
      </c>
      <c r="BJ120" s="715">
        <v>4.5467956357114859E-9</v>
      </c>
      <c r="BK120" s="715">
        <v>3.748135090282761E-5</v>
      </c>
      <c r="BL120" s="715">
        <v>2.7414765770840063E-4</v>
      </c>
      <c r="BM120" s="715">
        <v>9.5965901339547816E-4</v>
      </c>
      <c r="BN120" s="715">
        <v>2.3701201093475235E-3</v>
      </c>
      <c r="BO120" s="716">
        <v>4.7697720453198141E-3</v>
      </c>
      <c r="BP120" s="715">
        <v>8.4101515568299635E-3</v>
      </c>
      <c r="BQ120" s="715">
        <v>1.3637285619357483E-2</v>
      </c>
      <c r="BR120" s="715">
        <v>2.0705414197015323E-2</v>
      </c>
      <c r="BS120" s="715">
        <v>2.9969283409529132E-2</v>
      </c>
      <c r="BT120" s="715">
        <v>4.0769311026954455E-2</v>
      </c>
      <c r="BW120" s="1190">
        <f>'2019'!R\Max</f>
        <v>0.59621355029501344</v>
      </c>
      <c r="BX120" s="1190">
        <f>'2020'!R\Max</f>
        <v>0.85738477593196449</v>
      </c>
      <c r="BY120" s="1190">
        <f>'2021'!R\Max</f>
        <v>0.86416978873902039</v>
      </c>
      <c r="BZ120" s="1190">
        <f>'2022'!R\Max</f>
        <v>0.84262399953746203</v>
      </c>
      <c r="CA120" s="1190">
        <f>'2023'!R\Max</f>
        <v>0.84260685787698131</v>
      </c>
      <c r="CB120" s="1190">
        <f>'2024'!R\Max</f>
        <v>0.84258903029691568</v>
      </c>
      <c r="CC120" s="1190">
        <f>'2025'!R\Max</f>
        <v>0.84256440919751741</v>
      </c>
      <c r="CD120" s="1190">
        <f>'2026'!R\Max</f>
        <v>0.84265452613593661</v>
      </c>
      <c r="CE120" s="1191">
        <f>'2027'!R\Max</f>
        <v>0.84264769337768541</v>
      </c>
      <c r="CF120" s="1193">
        <f>'2028'!R\Max</f>
        <v>0.84263639646242261</v>
      </c>
    </row>
    <row r="121" spans="1:84" s="6" customFormat="1" ht="11.25" x14ac:dyDescent="0.2">
      <c r="A121" s="11">
        <v>43207</v>
      </c>
      <c r="B121" s="379">
        <f>'2022'!Maxi_hp</f>
        <v>59.386411049175642</v>
      </c>
      <c r="C121" s="13">
        <f>'2022'!An_max</f>
        <v>2022</v>
      </c>
      <c r="D121" s="1045">
        <f t="shared" si="59"/>
        <v>0.98547405173400704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60.261770408547349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60.171247129940561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60.259238912378045</v>
      </c>
      <c r="AZ121" s="735">
        <f t="shared" si="77"/>
        <v>60.215243021159303</v>
      </c>
      <c r="BA121" s="633">
        <f t="shared" si="74"/>
        <v>0.98547405173400704</v>
      </c>
      <c r="BC121" s="11">
        <v>43207</v>
      </c>
      <c r="BD121" s="289">
        <f>[3]!FeuilCaduc*(1-Persistant)+Persistant</f>
        <v>0.55586070786623254</v>
      </c>
      <c r="BE121" s="290">
        <f>[3]!CroissVégét</f>
        <v>9.6818050392965163E-2</v>
      </c>
      <c r="BF121" s="804">
        <f>1+[3]!Salcycl*Ksac</f>
        <v>1.0055860707866233</v>
      </c>
      <c r="BH121" s="1036">
        <f t="shared" si="75"/>
        <v>1.6106681023658367E-3</v>
      </c>
      <c r="BI121" s="11">
        <v>44303</v>
      </c>
      <c r="BJ121" s="715">
        <v>0</v>
      </c>
      <c r="BK121" s="715">
        <v>3.4329839698355983E-5</v>
      </c>
      <c r="BL121" s="715">
        <v>2.605875280859465E-4</v>
      </c>
      <c r="BM121" s="715">
        <v>9.2468599205706721E-4</v>
      </c>
      <c r="BN121" s="715">
        <v>2.2990896752605968E-3</v>
      </c>
      <c r="BO121" s="716">
        <v>4.6413055431729138E-3</v>
      </c>
      <c r="BP121" s="715">
        <v>8.1928849686542949E-3</v>
      </c>
      <c r="BQ121" s="715">
        <v>1.3287034417663724E-2</v>
      </c>
      <c r="BR121" s="715">
        <v>2.016861233694224E-2</v>
      </c>
      <c r="BS121" s="715">
        <v>2.9178005444299271E-2</v>
      </c>
      <c r="BT121" s="715">
        <v>3.9675212990428609E-2</v>
      </c>
      <c r="BW121" s="1190">
        <f>'2019'!R\Max</f>
        <v>0.63682391232540292</v>
      </c>
      <c r="BX121" s="1190">
        <f>'2020'!R\Max</f>
        <v>0.77237226941248283</v>
      </c>
      <c r="BY121" s="1190">
        <f>'2021'!R\Max</f>
        <v>0.90610940168593768</v>
      </c>
      <c r="BZ121" s="1190">
        <f>'2022'!R\Max</f>
        <v>0.98547405173400704</v>
      </c>
      <c r="CA121" s="1190">
        <f>'2023'!R\Max</f>
        <v>0.98547224256914268</v>
      </c>
      <c r="CB121" s="1190">
        <f>'2024'!R\Max</f>
        <v>0.98547035838860308</v>
      </c>
      <c r="CC121" s="1190">
        <f>'2025'!R\Max</f>
        <v>0.98546776242702505</v>
      </c>
      <c r="CD121" s="1190">
        <f>'2026'!R\Max</f>
        <v>0.98547727770645888</v>
      </c>
      <c r="CE121" s="1191">
        <f>'2027'!R\Max</f>
        <v>0.98547655563177328</v>
      </c>
      <c r="CF121" s="1193">
        <f>'2028'!R\Max</f>
        <v>0.98547536283471304</v>
      </c>
    </row>
    <row r="122" spans="1:84" s="6" customFormat="1" ht="11.25" x14ac:dyDescent="0.2">
      <c r="A122" s="11">
        <v>43208</v>
      </c>
      <c r="B122" s="379">
        <f>'2022'!Maxi_hp</f>
        <v>43.933124779978819</v>
      </c>
      <c r="C122" s="13">
        <f>'2022'!An_max</f>
        <v>2022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60.477681633085012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60.391624489533044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60.471260277075416</v>
      </c>
      <c r="AZ122" s="735">
        <f t="shared" si="77"/>
        <v>60.43144238330423</v>
      </c>
      <c r="BA122" s="633">
        <f t="shared" si="74"/>
        <v>0.72643533273181382</v>
      </c>
      <c r="BC122" s="11">
        <v>43208</v>
      </c>
      <c r="BD122" s="289">
        <f>[3]!FeuilCaduc*(1-Persistant)+Persistant</f>
        <v>0.55923122122331848</v>
      </c>
      <c r="BE122" s="290">
        <f>[3]!CroissVégét</f>
        <v>0.10051901103841099</v>
      </c>
      <c r="BF122" s="804">
        <f>1+[3]!Salcycl*Ksac</f>
        <v>1.0059231221223319</v>
      </c>
      <c r="BH122" s="1036">
        <f t="shared" si="75"/>
        <v>1.5598357118601948E-3</v>
      </c>
      <c r="BI122" s="11">
        <v>44304</v>
      </c>
      <c r="BJ122" s="715">
        <v>0</v>
      </c>
      <c r="BK122" s="715">
        <v>3.1573942904805135E-5</v>
      </c>
      <c r="BL122" s="715">
        <v>2.4809664337394901E-4</v>
      </c>
      <c r="BM122" s="715">
        <v>8.914660083540381E-4</v>
      </c>
      <c r="BN122" s="715">
        <v>2.2305822454043518E-3</v>
      </c>
      <c r="BO122" s="716">
        <v>4.5164867938115036E-3</v>
      </c>
      <c r="BP122" s="715">
        <v>7.9822509208222325E-3</v>
      </c>
      <c r="BQ122" s="715">
        <v>1.2948054875960227E-2</v>
      </c>
      <c r="BR122" s="715">
        <v>1.9651019049975699E-2</v>
      </c>
      <c r="BS122" s="715">
        <v>2.8417755143190355E-2</v>
      </c>
      <c r="BT122" s="715">
        <v>3.8627608755616417E-2</v>
      </c>
      <c r="BW122" s="1190">
        <f>'2019'!R\Max</f>
        <v>0.47704051578242007</v>
      </c>
      <c r="BX122" s="1190">
        <f>'2020'!R\Max</f>
        <v>0.58961835039839228</v>
      </c>
      <c r="BY122" s="1190">
        <f>'2021'!R\Max</f>
        <v>0.69952435968395832</v>
      </c>
      <c r="BZ122" s="1190">
        <f>'2022'!R\Max</f>
        <v>0.72643533273181382</v>
      </c>
      <c r="CA122" s="1190">
        <f>'2023'!R\Max</f>
        <v>0.72641076417981676</v>
      </c>
      <c r="CB122" s="1190">
        <f>'2024'!R\Max</f>
        <v>0.7263851428640572</v>
      </c>
      <c r="CC122" s="1190">
        <f>'2025'!R\Max</f>
        <v>0.72634993225032418</v>
      </c>
      <c r="CD122" s="1190">
        <f>'2026'!R\Max</f>
        <v>0.72647919146022588</v>
      </c>
      <c r="CE122" s="1191">
        <f>'2027'!R\Max</f>
        <v>0.72646937340609752</v>
      </c>
      <c r="CF122" s="1193">
        <f>'2028'!R\Max</f>
        <v>0.72645317145196586</v>
      </c>
    </row>
    <row r="123" spans="1:84" s="6" customFormat="1" ht="11.25" x14ac:dyDescent="0.2">
      <c r="A123" s="11">
        <v>43209</v>
      </c>
      <c r="B123" s="379">
        <f>'2022'!Maxi_hp</f>
        <v>59.533076172726751</v>
      </c>
      <c r="C123" s="13">
        <f>'2022'!An_max</f>
        <v>2021</v>
      </c>
      <c r="D123" s="1045">
        <f t="shared" si="59"/>
        <v>0.98098672266652187</v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60.686933673173186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60.606111032702032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60.67544246552778</v>
      </c>
      <c r="AZ123" s="735">
        <f t="shared" si="77"/>
        <v>60.640776749114906</v>
      </c>
      <c r="BA123" s="633">
        <f t="shared" si="74"/>
        <v>0.98098672266652187</v>
      </c>
      <c r="BC123" s="11">
        <v>43209</v>
      </c>
      <c r="BD123" s="289">
        <f>[3]!FeuilCaduc*(1-Persistant)+Persistant</f>
        <v>0.56274011088114417</v>
      </c>
      <c r="BE123" s="290">
        <f>[3]!CroissVégét</f>
        <v>0.1043431172076847</v>
      </c>
      <c r="BF123" s="804">
        <f>1+[3]!Salcycl*Ksac</f>
        <v>1.0062740110881143</v>
      </c>
      <c r="BH123" s="1036">
        <f t="shared" si="75"/>
        <v>1.5117697565113673E-3</v>
      </c>
      <c r="BI123" s="11">
        <v>44305</v>
      </c>
      <c r="BJ123" s="715">
        <v>0</v>
      </c>
      <c r="BK123" s="715">
        <v>2.913215370992366E-5</v>
      </c>
      <c r="BL123" s="715">
        <v>2.3687587101816289E-4</v>
      </c>
      <c r="BM123" s="715">
        <v>8.6051521018100418E-4</v>
      </c>
      <c r="BN123" s="715">
        <v>2.1653402686312956E-3</v>
      </c>
      <c r="BO123" s="716">
        <v>4.3957287009929631E-3</v>
      </c>
      <c r="BP123" s="715">
        <v>7.7771887083645545E-3</v>
      </c>
      <c r="BQ123" s="715">
        <v>1.2616895911720107E-2</v>
      </c>
      <c r="BR123" s="715">
        <v>1.9145243084594154E-2</v>
      </c>
      <c r="BS123" s="715">
        <v>2.7675490881255611E-2</v>
      </c>
      <c r="BT123" s="715">
        <v>3.7606041429587657E-2</v>
      </c>
      <c r="BW123" s="1190">
        <f>'2019'!R\Max</f>
        <v>0.8538614622921098</v>
      </c>
      <c r="BX123" s="1190">
        <f>'2020'!R\Max</f>
        <v>0.75741146522184177</v>
      </c>
      <c r="BY123" s="1190">
        <f>'2021'!R\Max</f>
        <v>0.98098672266652187</v>
      </c>
      <c r="BZ123" s="1190">
        <f>'2022'!R\Max</f>
        <v>0.1692228599849972</v>
      </c>
      <c r="CA123" s="1190">
        <f>'2023'!R\Max</f>
        <v>0.16920853130602295</v>
      </c>
      <c r="CB123" s="1190">
        <f>'2024'!R\Max</f>
        <v>0.16919356884120393</v>
      </c>
      <c r="CC123" s="1190">
        <f>'2025'!R\Max</f>
        <v>0.16917306095091542</v>
      </c>
      <c r="CD123" s="1190">
        <f>'2026'!R\Max</f>
        <v>0.16924847016146996</v>
      </c>
      <c r="CE123" s="1191">
        <f>'2027'!R\Max</f>
        <v>0.16924273479939581</v>
      </c>
      <c r="CF123" s="1193">
        <f>'2028'!R\Max</f>
        <v>0.16923328369846147</v>
      </c>
    </row>
    <row r="124" spans="1:84" s="6" customFormat="1" ht="11.25" x14ac:dyDescent="0.2">
      <c r="A124" s="11">
        <v>43210</v>
      </c>
      <c r="B124" s="379">
        <f>'2022'!Maxi_hp</f>
        <v>52.580415314681325</v>
      </c>
      <c r="C124" s="13">
        <f>'2022'!An_max</f>
        <v>2018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60.889526530355212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60.814610714465381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60.871963849237986</v>
      </c>
      <c r="AZ124" s="735">
        <f t="shared" si="77"/>
        <v>60.843287281851687</v>
      </c>
      <c r="BA124" s="633">
        <f t="shared" si="74"/>
        <v>0.86353792369314031</v>
      </c>
      <c r="BC124" s="11">
        <v>43210</v>
      </c>
      <c r="BD124" s="289">
        <f>[3]!FeuilCaduc*(1-Persistant)+Persistant</f>
        <v>0.56638849978262629</v>
      </c>
      <c r="BE124" s="290">
        <f>[3]!CroissVégét</f>
        <v>0.10829322666502313</v>
      </c>
      <c r="BF124" s="804">
        <f>1+[3]!Salcycl*Ksac</f>
        <v>1.0066388499782626</v>
      </c>
      <c r="BH124" s="1036">
        <f t="shared" si="75"/>
        <v>1.4664695782860718E-3</v>
      </c>
      <c r="BI124" s="11">
        <v>44306</v>
      </c>
      <c r="BJ124" s="715">
        <v>0</v>
      </c>
      <c r="BK124" s="715">
        <v>2.7004361209289771E-5</v>
      </c>
      <c r="BL124" s="715">
        <v>2.2692476039647507E-4</v>
      </c>
      <c r="BM124" s="715">
        <v>8.3183294911527825E-4</v>
      </c>
      <c r="BN124" s="715">
        <v>2.1033630772633741E-3</v>
      </c>
      <c r="BO124" s="716">
        <v>4.2790309661642307E-3</v>
      </c>
      <c r="BP124" s="715">
        <v>7.5776984319586259E-3</v>
      </c>
      <c r="BQ124" s="715">
        <v>1.2293558301169646E-2</v>
      </c>
      <c r="BR124" s="715">
        <v>1.8651285735724485E-2</v>
      </c>
      <c r="BS124" s="715">
        <v>2.6951214352860908E-2</v>
      </c>
      <c r="BT124" s="715">
        <v>3.6610512814948863E-2</v>
      </c>
      <c r="BW124" s="1190">
        <f>'2019'!R\Max</f>
        <v>0.86353792369314031</v>
      </c>
      <c r="BX124" s="1190">
        <f>'2020'!R\Max</f>
        <v>0.31733585797146552</v>
      </c>
      <c r="BY124" s="1190">
        <f>'2021'!R\Max</f>
        <v>0.67575193495924146</v>
      </c>
      <c r="BZ124" s="1190">
        <f>'2022'!R\Max</f>
        <v>0.17598348013363771</v>
      </c>
      <c r="CA124" s="1190">
        <f>'2023'!R\Max</f>
        <v>0.17596889833294324</v>
      </c>
      <c r="CB124" s="1190">
        <f>'2024'!R\Max</f>
        <v>0.17595364923001522</v>
      </c>
      <c r="CC124" s="1190">
        <f>'2025'!R\Max</f>
        <v>0.1759328027126173</v>
      </c>
      <c r="CD124" s="1190">
        <f>'2026'!R\Max</f>
        <v>0.17600957149587304</v>
      </c>
      <c r="CE124" s="1191">
        <f>'2027'!R\Max</f>
        <v>0.17600372469695802</v>
      </c>
      <c r="CF124" s="1193">
        <f>'2028'!R\Max</f>
        <v>0.17599410712990646</v>
      </c>
    </row>
    <row r="125" spans="1:84" s="6" customFormat="1" ht="11.25" x14ac:dyDescent="0.2">
      <c r="A125" s="11">
        <v>43211</v>
      </c>
      <c r="B125" s="379">
        <f>'2022'!Maxi_hp</f>
        <v>55.246951602065522</v>
      </c>
      <c r="C125" s="13">
        <f>'2022'!An_max</f>
        <v>2021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61.08546020463109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61.017027487233278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61.061002796835126</v>
      </c>
      <c r="AZ125" s="735">
        <f t="shared" si="77"/>
        <v>61.039015142034202</v>
      </c>
      <c r="BA125" s="633">
        <f t="shared" si="74"/>
        <v>0.90442064964384228</v>
      </c>
      <c r="BC125" s="11">
        <v>43211</v>
      </c>
      <c r="BD125" s="289">
        <f>[3]!FeuilCaduc*(1-Persistant)+Persistant</f>
        <v>0.57017731071516031</v>
      </c>
      <c r="BE125" s="290">
        <f>[3]!CroissVégét</f>
        <v>0.11237216879596926</v>
      </c>
      <c r="BF125" s="804">
        <f>1+[3]!Salcycl*Ksac</f>
        <v>1.007017731071516</v>
      </c>
      <c r="BH125" s="1036">
        <f t="shared" si="75"/>
        <v>1.4239384788828672E-3</v>
      </c>
      <c r="BI125" s="11">
        <v>44307</v>
      </c>
      <c r="BJ125" s="715">
        <v>0</v>
      </c>
      <c r="BK125" s="715">
        <v>2.5190511550665452E-5</v>
      </c>
      <c r="BL125" s="715">
        <v>2.1824342471450295E-4</v>
      </c>
      <c r="BM125" s="715">
        <v>8.0542078133839822E-4</v>
      </c>
      <c r="BN125" s="715">
        <v>2.0446557247235063E-3</v>
      </c>
      <c r="BO125" s="716">
        <v>4.1664050802145188E-3</v>
      </c>
      <c r="BP125" s="715">
        <v>7.3838011664884018E-3</v>
      </c>
      <c r="BQ125" s="715">
        <v>1.1978076912390655E-2</v>
      </c>
      <c r="BR125" s="715">
        <v>1.8169200018326913E-2</v>
      </c>
      <c r="BS125" s="715">
        <v>2.624500192394286E-2</v>
      </c>
      <c r="BT125" s="715">
        <v>3.5641126045541191E-2</v>
      </c>
      <c r="BW125" s="1190">
        <f>'2019'!R\Max</f>
        <v>0.31787467631758964</v>
      </c>
      <c r="BX125" s="1190">
        <f>'2020'!R\Max</f>
        <v>0.25014622207635495</v>
      </c>
      <c r="BY125" s="1190">
        <f>'2021'!R\Max</f>
        <v>0.90442064964384228</v>
      </c>
      <c r="BZ125" s="1190">
        <f>'2022'!R\Max</f>
        <v>0.168872538774792</v>
      </c>
      <c r="CA125" s="1190">
        <f>'2023'!R\Max</f>
        <v>0.16885884373582885</v>
      </c>
      <c r="CB125" s="1190">
        <f>'2024'!R\Max</f>
        <v>0.16884450051622418</v>
      </c>
      <c r="CC125" s="1190">
        <f>'2025'!R\Max</f>
        <v>0.16882494470660037</v>
      </c>
      <c r="CD125" s="1190">
        <f>'2026'!R\Max</f>
        <v>0.16889707122117301</v>
      </c>
      <c r="CE125" s="1191">
        <f>'2027'!R\Max</f>
        <v>0.16889156862263693</v>
      </c>
      <c r="CF125" s="1193">
        <f>'2028'!R\Max</f>
        <v>0.16888253726954444</v>
      </c>
    </row>
    <row r="126" spans="1:84" s="6" customFormat="1" ht="11.25" x14ac:dyDescent="0.2">
      <c r="A126" s="11">
        <v>43212</v>
      </c>
      <c r="B126" s="379">
        <f>'2022'!Maxi_hp</f>
        <v>61.484611749803321</v>
      </c>
      <c r="C126" s="13">
        <f>'2022'!An_max</f>
        <v>2021</v>
      </c>
      <c r="D126" s="1045">
        <f t="shared" si="59"/>
        <v>1.0034251809712271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61.274734694510698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61.213265305651092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61.242737681791183</v>
      </c>
      <c r="AZ126" s="735">
        <f t="shared" si="77"/>
        <v>61.228001493721138</v>
      </c>
      <c r="BA126" s="633">
        <f t="shared" si="74"/>
        <v>1.0034251809712271</v>
      </c>
      <c r="BC126" s="11">
        <v>43212</v>
      </c>
      <c r="BD126" s="289">
        <f>[3]!FeuilCaduc*(1-Persistant)+Persistant</f>
        <v>0.57410725804646978</v>
      </c>
      <c r="BE126" s="290">
        <f>[3]!CroissVégét</f>
        <v>0.11658273588973417</v>
      </c>
      <c r="BF126" s="804">
        <f>1+[3]!Salcycl*Ksac</f>
        <v>1.007410725804647</v>
      </c>
      <c r="BH126" s="1036">
        <f t="shared" si="75"/>
        <v>1.3841793005303119E-3</v>
      </c>
      <c r="BI126" s="11">
        <v>44308</v>
      </c>
      <c r="BJ126" s="715">
        <v>0</v>
      </c>
      <c r="BK126" s="715">
        <v>2.3690519773665947E-5</v>
      </c>
      <c r="BL126" s="715">
        <v>2.108318458672842E-4</v>
      </c>
      <c r="BM126" s="715">
        <v>7.8127994681432764E-4</v>
      </c>
      <c r="BN126" s="715">
        <v>1.9892226612027546E-3</v>
      </c>
      <c r="BO126" s="716">
        <v>4.0578614952472662E-3</v>
      </c>
      <c r="BP126" s="715">
        <v>7.1955162785165465E-3</v>
      </c>
      <c r="BQ126" s="715">
        <v>1.1670483888696964E-2</v>
      </c>
      <c r="BR126" s="715">
        <v>1.7699034780359359E-2</v>
      </c>
      <c r="BS126" s="715">
        <v>2.5556923799088142E-2</v>
      </c>
      <c r="BT126" s="715">
        <v>3.4697975708835337E-2</v>
      </c>
      <c r="BW126" s="1190">
        <f>'2019'!R\Max</f>
        <v>0.54942845266719453</v>
      </c>
      <c r="BX126" s="1190">
        <f>'2020'!R\Max</f>
        <v>0.2610972316817447</v>
      </c>
      <c r="BY126" s="1190">
        <f>'2021'!R\Max</f>
        <v>1.0034251809712271</v>
      </c>
      <c r="BZ126" s="1190">
        <f>'2022'!R\Max</f>
        <v>0.48937406393285748</v>
      </c>
      <c r="CA126" s="1190">
        <f>'2023'!R\Max</f>
        <v>0.48934572578910912</v>
      </c>
      <c r="CB126" s="1190">
        <f>'2024'!R\Max</f>
        <v>0.48931599968398526</v>
      </c>
      <c r="CC126" s="1190">
        <f>'2025'!R\Max</f>
        <v>0.48927557949483652</v>
      </c>
      <c r="CD126" s="1190">
        <f>'2026'!R\Max</f>
        <v>0.48942488308972493</v>
      </c>
      <c r="CE126" s="1191">
        <f>'2027'!R\Max</f>
        <v>0.48941347045457723</v>
      </c>
      <c r="CF126" s="1193">
        <f>'2028'!R\Max</f>
        <v>0.48939478852249424</v>
      </c>
    </row>
    <row r="127" spans="1:84" s="6" customFormat="1" ht="11.25" x14ac:dyDescent="0.2">
      <c r="A127" s="11">
        <v>43213</v>
      </c>
      <c r="B127" s="379">
        <f>'2022'!Maxi_hp</f>
        <v>61.411826255045938</v>
      </c>
      <c r="C127" s="13">
        <f>'2022'!An_max</f>
        <v>2021</v>
      </c>
      <c r="D127" s="1045">
        <f t="shared" si="59"/>
        <v>0.99925926281273347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61.457349999621513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61.403228125162421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61.417346875183284</v>
      </c>
      <c r="AZ127" s="735">
        <f t="shared" si="77"/>
        <v>61.410287500172856</v>
      </c>
      <c r="BA127" s="633">
        <f t="shared" si="74"/>
        <v>0.99925926281273347</v>
      </c>
      <c r="BC127" s="11">
        <v>43213</v>
      </c>
      <c r="BD127" s="289">
        <f>[3]!FeuilCaduc*(1-Persistant)+Persistant</f>
        <v>0.57817883921308411</v>
      </c>
      <c r="BE127" s="290">
        <f>[3]!CroissVégét</f>
        <v>0.12092767389780094</v>
      </c>
      <c r="BF127" s="804">
        <f>1+[3]!Salcycl*Ksac</f>
        <v>1.0078178839213083</v>
      </c>
      <c r="BH127" s="1036">
        <f t="shared" si="75"/>
        <v>1.347190598590565E-3</v>
      </c>
      <c r="BI127" s="11">
        <v>44309</v>
      </c>
      <c r="BJ127" s="715">
        <v>0</v>
      </c>
      <c r="BK127" s="715">
        <v>2.2504212430797762E-5</v>
      </c>
      <c r="BL127" s="715">
        <v>2.0468931415753376E-4</v>
      </c>
      <c r="BM127" s="715">
        <v>7.5940922933142533E-4</v>
      </c>
      <c r="BN127" s="715">
        <v>1.9370622128247587E-3</v>
      </c>
      <c r="BO127" s="716">
        <v>3.9533982920092635E-3</v>
      </c>
      <c r="BP127" s="715">
        <v>7.0128412834885639E-3</v>
      </c>
      <c r="BQ127" s="715">
        <v>1.1370775956823112E-2</v>
      </c>
      <c r="BR127" s="715">
        <v>1.7240785131900027E-2</v>
      </c>
      <c r="BS127" s="715">
        <v>2.4886972486688613E-2</v>
      </c>
      <c r="BT127" s="715">
        <v>3.3781050784325306E-2</v>
      </c>
      <c r="BW127" s="1190">
        <f>'2019'!R\Max</f>
        <v>0.60906941385712143</v>
      </c>
      <c r="BX127" s="1190">
        <f>'2020'!R\Max</f>
        <v>0.16400686954930094</v>
      </c>
      <c r="BY127" s="1190">
        <f>'2021'!R\Max</f>
        <v>0.99925926281273347</v>
      </c>
      <c r="BZ127" s="1190">
        <f>'2022'!R\Max</f>
        <v>0.16250810566226226</v>
      </c>
      <c r="CA127" s="1190">
        <f>'2023'!R\Max</f>
        <v>0.1624954748587388</v>
      </c>
      <c r="CB127" s="1190">
        <f>'2024'!R\Max</f>
        <v>0.16248220530788796</v>
      </c>
      <c r="CC127" s="1190">
        <f>'2025'!R\Max</f>
        <v>0.16246421372681247</v>
      </c>
      <c r="CD127" s="1190">
        <f>'2026'!R\Max</f>
        <v>0.16253078497089998</v>
      </c>
      <c r="CE127" s="1191">
        <f>'2027'!R\Max</f>
        <v>0.16252568355026148</v>
      </c>
      <c r="CF127" s="1193">
        <f>'2028'!R\Max</f>
        <v>0.16251735917718946</v>
      </c>
    </row>
    <row r="128" spans="1:84" s="6" customFormat="1" ht="11.25" x14ac:dyDescent="0.2">
      <c r="A128" s="11">
        <v>43214</v>
      </c>
      <c r="B128" s="379">
        <f>'2022'!Maxi_hp</f>
        <v>58.10105142457774</v>
      </c>
      <c r="C128" s="13">
        <f>'2022'!An_max</f>
        <v>2021</v>
      </c>
      <c r="D128" s="1045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61.633306121719741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61.586819898550004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61.585008745853386</v>
      </c>
      <c r="AZ128" s="735">
        <f t="shared" si="77"/>
        <v>61.585914322201695</v>
      </c>
      <c r="BA128" s="633">
        <f t="shared" si="74"/>
        <v>0.94268918999467355</v>
      </c>
      <c r="BC128" s="11">
        <v>43214</v>
      </c>
      <c r="BD128" s="289">
        <f>[3]!FeuilCaduc*(1-Persistant)+Persistant</f>
        <v>0.5823923259923296</v>
      </c>
      <c r="BE128" s="290">
        <f>[3]!CroissVégét</f>
        <v>0.12540967267096395</v>
      </c>
      <c r="BF128" s="804">
        <f>1+[3]!Salcycl*Ksac</f>
        <v>1.0082392325992329</v>
      </c>
      <c r="BH128" s="1036">
        <f t="shared" si="75"/>
        <v>1.3126277277999527E-3</v>
      </c>
      <c r="BI128" s="11">
        <v>44310</v>
      </c>
      <c r="BJ128" s="715">
        <v>0</v>
      </c>
      <c r="BK128" s="715">
        <v>2.1576055208912472E-5</v>
      </c>
      <c r="BL128" s="715">
        <v>1.9945583191718043E-4</v>
      </c>
      <c r="BM128" s="715">
        <v>7.3934820403789197E-4</v>
      </c>
      <c r="BN128" s="715">
        <v>1.8879459256447859E-3</v>
      </c>
      <c r="BO128" s="716">
        <v>3.8536118426757086E-3</v>
      </c>
      <c r="BP128" s="715">
        <v>6.8376585165756225E-3</v>
      </c>
      <c r="BQ128" s="715">
        <v>1.1082858369620696E-2</v>
      </c>
      <c r="BR128" s="715">
        <v>1.6801061322052505E-2</v>
      </c>
      <c r="BS128" s="715">
        <v>2.4245056704572759E-2</v>
      </c>
      <c r="BT128" s="715">
        <v>3.2903803285622639E-2</v>
      </c>
      <c r="BW128" s="1190">
        <f>'2019'!R\Max</f>
        <v>0.85022107126179514</v>
      </c>
      <c r="BX128" s="1190">
        <f>'2020'!R\Max</f>
        <v>0.27794422913676137</v>
      </c>
      <c r="BY128" s="1190">
        <f>'2021'!R\Max</f>
        <v>0.94268918999467355</v>
      </c>
      <c r="BZ128" s="1190">
        <f>'2022'!R\Max</f>
        <v>0.56002589819160975</v>
      </c>
      <c r="CA128" s="1190">
        <f>'2023'!R\Max</f>
        <v>0.55999909703879236</v>
      </c>
      <c r="CB128" s="1190">
        <f>'2024'!R\Max</f>
        <v>0.55997089384388765</v>
      </c>
      <c r="CC128" s="1190">
        <f>'2025'!R\Max</f>
        <v>0.55993276078689247</v>
      </c>
      <c r="CD128" s="1190">
        <f>'2026'!R\Max</f>
        <v>0.5600740733396733</v>
      </c>
      <c r="CE128" s="1191">
        <f>'2027'!R\Max</f>
        <v>0.56006321797932934</v>
      </c>
      <c r="CF128" s="1193">
        <f>'2028'!R\Max</f>
        <v>0.56004556495324009</v>
      </c>
    </row>
    <row r="129" spans="1:84" s="6" customFormat="1" ht="11.25" x14ac:dyDescent="0.2">
      <c r="A129" s="11">
        <v>43215</v>
      </c>
      <c r="B129" s="379">
        <f>'2022'!Maxi_hp</f>
        <v>57.415722541484826</v>
      </c>
      <c r="C129" s="13">
        <f>'2022'!An_max</f>
        <v>2020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61.802603061231117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61.763944579554462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61.745901666954161</v>
      </c>
      <c r="AZ129" s="735">
        <f t="shared" si="77"/>
        <v>61.754923123254315</v>
      </c>
      <c r="BA129" s="633">
        <f t="shared" si="74"/>
        <v>0.92901786814060283</v>
      </c>
      <c r="BC129" s="11">
        <v>43215</v>
      </c>
      <c r="BD129" s="289">
        <f>[3]!FeuilCaduc*(1-Persistant)+Persistant</f>
        <v>0.58674775559897863</v>
      </c>
      <c r="BE129" s="290">
        <f>[3]!CroissVégét</f>
        <v>0.13003135568089563</v>
      </c>
      <c r="BF129" s="804">
        <f>1+[3]!Salcycl*Ksac</f>
        <v>1.0086747755598979</v>
      </c>
      <c r="BH129" s="1036">
        <f t="shared" si="75"/>
        <v>1.2793896201543054E-3</v>
      </c>
      <c r="BI129" s="11">
        <v>44311</v>
      </c>
      <c r="BJ129" s="715">
        <v>0</v>
      </c>
      <c r="BK129" s="715">
        <v>2.0711076814668465E-5</v>
      </c>
      <c r="BL129" s="715">
        <v>1.9450960923800571E-4</v>
      </c>
      <c r="BM129" s="715">
        <v>7.2015296406488603E-4</v>
      </c>
      <c r="BN129" s="715">
        <v>1.840615011633093E-3</v>
      </c>
      <c r="BO129" s="716">
        <v>3.7571601256114174E-3</v>
      </c>
      <c r="BP129" s="715">
        <v>6.6678615079937475E-3</v>
      </c>
      <c r="BQ129" s="715">
        <v>1.0803533420302021E-2</v>
      </c>
      <c r="BR129" s="715">
        <v>1.637437889836987E-2</v>
      </c>
      <c r="BS129" s="715">
        <v>2.3622425464119686E-2</v>
      </c>
      <c r="BT129" s="715">
        <v>3.2053173908877068E-2</v>
      </c>
      <c r="BW129" s="1190">
        <f>'2019'!R\Max</f>
        <v>0.58311459567107538</v>
      </c>
      <c r="BX129" s="1190">
        <f>'2020'!R\Max</f>
        <v>0.92901786814060283</v>
      </c>
      <c r="BY129" s="1190">
        <f>'2021'!R\Max</f>
        <v>0.45219769538075466</v>
      </c>
      <c r="BZ129" s="1190">
        <f>'2022'!R\Max</f>
        <v>0.84537910081480661</v>
      </c>
      <c r="CA129" s="1190">
        <f>'2023'!R\Max</f>
        <v>0.84536516646096493</v>
      </c>
      <c r="CB129" s="1190">
        <f>'2024'!R\Max</f>
        <v>0.8453504782256781</v>
      </c>
      <c r="CC129" s="1190">
        <f>'2025'!R\Max</f>
        <v>0.84533067437590392</v>
      </c>
      <c r="CD129" s="1190">
        <f>'2026'!R\Max</f>
        <v>0.84540417806847623</v>
      </c>
      <c r="CE129" s="1191">
        <f>'2027'!R\Max</f>
        <v>0.84539851714763148</v>
      </c>
      <c r="CF129" s="1193">
        <f>'2028'!R\Max</f>
        <v>0.84538934377089869</v>
      </c>
    </row>
    <row r="130" spans="1:84" s="6" customFormat="1" ht="11.25" x14ac:dyDescent="0.2">
      <c r="A130" s="11">
        <v>43216</v>
      </c>
      <c r="B130" s="379">
        <f>'2022'!Maxi_hp</f>
        <v>59.909404473598052</v>
      </c>
      <c r="C130" s="13">
        <f>'2022'!An_max</f>
        <v>2022</v>
      </c>
      <c r="D130" s="1045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61.96524081645267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61.93450612287436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61.900204008924106</v>
      </c>
      <c r="AZ130" s="735">
        <f t="shared" si="77"/>
        <v>61.91735506589923</v>
      </c>
      <c r="BA130" s="633">
        <f t="shared" si="74"/>
        <v>0.96682274908050125</v>
      </c>
      <c r="BC130" s="11">
        <v>43216</v>
      </c>
      <c r="BD130" s="289">
        <f>[3]!FeuilCaduc*(1-Persistant)+Persistant</f>
        <v>0.59124492165785514</v>
      </c>
      <c r="BE130" s="290">
        <f>[3]!CroissVégét</f>
        <v>0.13479526923661356</v>
      </c>
      <c r="BF130" s="804">
        <f>1+[3]!Salcycl*Ksac</f>
        <v>1.0091244921657856</v>
      </c>
      <c r="BH130" s="1036">
        <f t="shared" si="75"/>
        <v>1.2474756436630847E-3</v>
      </c>
      <c r="BI130" s="11">
        <v>44312</v>
      </c>
      <c r="BJ130" s="715">
        <v>0</v>
      </c>
      <c r="BK130" s="715">
        <v>1.9909245222645092E-5</v>
      </c>
      <c r="BL130" s="715">
        <v>1.898504933404131E-4</v>
      </c>
      <c r="BM130" s="715">
        <v>7.018230840361195E-4</v>
      </c>
      <c r="BN130" s="715">
        <v>1.795068631450138E-3</v>
      </c>
      <c r="BO130" s="716">
        <v>3.6640416236635859E-3</v>
      </c>
      <c r="BP130" s="715">
        <v>6.5034478857981535E-3</v>
      </c>
      <c r="BQ130" s="715">
        <v>1.0532797415532126E-2</v>
      </c>
      <c r="BR130" s="715">
        <v>1.596073230209968E-2</v>
      </c>
      <c r="BS130" s="715">
        <v>2.3019070551985366E-2</v>
      </c>
      <c r="BT130" s="715">
        <v>3.1229151308147893E-2</v>
      </c>
      <c r="BW130" s="1190">
        <f>'2019'!R\Max</f>
        <v>0.47137255164800457</v>
      </c>
      <c r="BX130" s="1190">
        <f>'2020'!R\Max</f>
        <v>0.79026972618268976</v>
      </c>
      <c r="BY130" s="1190">
        <f>'2021'!R\Max</f>
        <v>0.12702405438647632</v>
      </c>
      <c r="BZ130" s="1190">
        <f>'2022'!R\Max</f>
        <v>0.96682274908050125</v>
      </c>
      <c r="CA130" s="1190">
        <f>'2023'!R\Max</f>
        <v>0.96681939662270289</v>
      </c>
      <c r="CB130" s="1190">
        <f>'2024'!R\Max</f>
        <v>0.96681585677137682</v>
      </c>
      <c r="CC130" s="1190">
        <f>'2025'!R\Max</f>
        <v>0.96681109785724928</v>
      </c>
      <c r="CD130" s="1190">
        <f>'2026'!R\Max</f>
        <v>0.96682879079105033</v>
      </c>
      <c r="CE130" s="1191">
        <f>'2027'!R\Max</f>
        <v>0.96682742434758406</v>
      </c>
      <c r="CF130" s="1193">
        <f>'2028'!R\Max</f>
        <v>0.9668252181518856</v>
      </c>
    </row>
    <row r="131" spans="1:84" s="6" customFormat="1" ht="11.25" x14ac:dyDescent="0.2">
      <c r="A131" s="11">
        <v>43217</v>
      </c>
      <c r="B131" s="379">
        <f>'2022'!Maxi_hp</f>
        <v>43.491010827693984</v>
      </c>
      <c r="C131" s="13">
        <f>'2022'!An_max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62.121219387650491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62.098408482569667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62.048094141057561</v>
      </c>
      <c r="AZ131" s="735">
        <f t="shared" si="77"/>
        <v>62.073251311813614</v>
      </c>
      <c r="BA131" s="633">
        <f t="shared" si="74"/>
        <v>0.70009911679775982</v>
      </c>
      <c r="BC131" s="11">
        <v>43217</v>
      </c>
      <c r="BD131" s="289">
        <f>[3]!FeuilCaduc*(1-Persistant)+Persistant</f>
        <v>0.59588336511359419</v>
      </c>
      <c r="BE131" s="290">
        <f>[3]!CroissVégét</f>
        <v>0.13970387121088346</v>
      </c>
      <c r="BF131" s="804">
        <f>1+[3]!Salcycl*Ksac</f>
        <v>1.0095883365113594</v>
      </c>
      <c r="BH131" s="1036">
        <f t="shared" si="75"/>
        <v>1.2168851540612518E-3</v>
      </c>
      <c r="BI131" s="11">
        <v>44313</v>
      </c>
      <c r="BJ131" s="715">
        <v>0</v>
      </c>
      <c r="BK131" s="715">
        <v>1.9170527196835813E-5</v>
      </c>
      <c r="BL131" s="715">
        <v>1.8547832680512231E-4</v>
      </c>
      <c r="BM131" s="715">
        <v>6.8435812835063463E-4</v>
      </c>
      <c r="BN131" s="715">
        <v>1.7513059314247584E-3</v>
      </c>
      <c r="BO131" s="716">
        <v>3.5742547999419697E-3</v>
      </c>
      <c r="BP131" s="715">
        <v>6.3444152584050603E-3</v>
      </c>
      <c r="BQ131" s="715">
        <v>1.0270646638063366E-2</v>
      </c>
      <c r="BR131" s="715">
        <v>1.5560115940636055E-2</v>
      </c>
      <c r="BS131" s="715">
        <v>2.2434983697593738E-2</v>
      </c>
      <c r="BT131" s="715">
        <v>3.0431724050898862E-2</v>
      </c>
      <c r="BW131" s="1190">
        <f>'2019'!R\Max</f>
        <v>0.48028062887493878</v>
      </c>
      <c r="BX131" s="1190">
        <f>'2020'!R\Max</f>
        <v>0.42594289309059979</v>
      </c>
      <c r="BY131" s="1190">
        <f>'2021'!R\Max</f>
        <v>0.34796765234560445</v>
      </c>
      <c r="BZ131" s="1190">
        <f>'2022'!R\Max</f>
        <v>0.70009911679775982</v>
      </c>
      <c r="CA131" s="1190">
        <f>'2023'!R\Max</f>
        <v>0.70007759494167432</v>
      </c>
      <c r="CB131" s="1190">
        <f>'2024'!R\Max</f>
        <v>0.70005483233293442</v>
      </c>
      <c r="CC131" s="1190">
        <f>'2025'!R\Max</f>
        <v>0.70002432309036755</v>
      </c>
      <c r="CD131" s="1190">
        <f>'2026'!R\Max</f>
        <v>0.70013796665650019</v>
      </c>
      <c r="CE131" s="1191">
        <f>'2027'!R\Max</f>
        <v>0.70012916228183775</v>
      </c>
      <c r="CF131" s="1193">
        <f>'2028'!R\Max</f>
        <v>0.70011500129705495</v>
      </c>
    </row>
    <row r="132" spans="1:84" s="6" customFormat="1" ht="11.25" x14ac:dyDescent="0.2">
      <c r="A132" s="11">
        <v>43218</v>
      </c>
      <c r="B132" s="379">
        <f>'2022'!Maxi_hp</f>
        <v>46.721279625112096</v>
      </c>
      <c r="C132" s="13">
        <f>'2022'!An_max</f>
        <v>2018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62.27053877434561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62.25555561307285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62.189750437438491</v>
      </c>
      <c r="AZ132" s="735">
        <f t="shared" si="77"/>
        <v>62.222653025255667</v>
      </c>
      <c r="BA132" s="633">
        <f t="shared" si="74"/>
        <v>0.75029509210478296</v>
      </c>
      <c r="BC132" s="11">
        <v>43218</v>
      </c>
      <c r="BD132" s="289">
        <f>[3]!FeuilCaduc*(1-Persistant)+Persistant</f>
        <v>0.60066236514825999</v>
      </c>
      <c r="BE132" s="290">
        <f>[3]!CroissVégét</f>
        <v>0.14475951929663808</v>
      </c>
      <c r="BF132" s="804">
        <f>1+[3]!Salcycl*Ksac</f>
        <v>1.0100662365148261</v>
      </c>
      <c r="BH132" s="1036">
        <f t="shared" si="75"/>
        <v>1.1876174919391619E-3</v>
      </c>
      <c r="BI132" s="11">
        <v>44314</v>
      </c>
      <c r="BJ132" s="715">
        <v>0</v>
      </c>
      <c r="BK132" s="715">
        <v>1.8494888153257908E-5</v>
      </c>
      <c r="BL132" s="715">
        <v>1.8139294694905037E-4</v>
      </c>
      <c r="BM132" s="715">
        <v>6.6775764930517923E-4</v>
      </c>
      <c r="BN132" s="715">
        <v>1.7093260396880544E-3</v>
      </c>
      <c r="BO132" s="716">
        <v>3.4877980906039148E-3</v>
      </c>
      <c r="BP132" s="715">
        <v>6.1907612029498274E-3</v>
      </c>
      <c r="BQ132" s="715">
        <v>1.0017077328168665E-2</v>
      </c>
      <c r="BR132" s="715">
        <v>1.5172524159342796E-2</v>
      </c>
      <c r="BS132" s="715">
        <v>2.1870156531465471E-2</v>
      </c>
      <c r="BT132" s="715">
        <v>2.9660880560474154E-2</v>
      </c>
      <c r="BW132" s="1190">
        <f>'2019'!R\Max</f>
        <v>0.75029509210478296</v>
      </c>
      <c r="BX132" s="1190">
        <f>'2020'!R\Max</f>
        <v>0.36749907138521742</v>
      </c>
      <c r="BY132" s="1190">
        <f>'2021'!R\Max</f>
        <v>0.2809270017945707</v>
      </c>
      <c r="BZ132" s="1190">
        <f>'2022'!R\Max</f>
        <v>0.4208516916036148</v>
      </c>
      <c r="CA132" s="1190">
        <f>'2023'!R\Max</f>
        <v>0.42082717784191709</v>
      </c>
      <c r="CB132" s="1190">
        <f>'2024'!R\Max</f>
        <v>0.4208012067200666</v>
      </c>
      <c r="CC132" s="1190">
        <f>'2025'!R\Max</f>
        <v>0.42076650311174718</v>
      </c>
      <c r="CD132" s="1190">
        <f>'2026'!R\Max</f>
        <v>0.42089602151116867</v>
      </c>
      <c r="CE132" s="1191">
        <f>'2027'!R\Max</f>
        <v>0.42088595422817843</v>
      </c>
      <c r="CF132" s="1193">
        <f>'2028'!R\Max</f>
        <v>0.42086982549272439</v>
      </c>
    </row>
    <row r="133" spans="1:84" s="6" customFormat="1" ht="11.25" x14ac:dyDescent="0.2">
      <c r="A133" s="11">
        <v>43219</v>
      </c>
      <c r="B133" s="379">
        <f>'2022'!Maxi_hp</f>
        <v>51.783140656081144</v>
      </c>
      <c r="C133" s="13">
        <f>'2022'!An_max</f>
        <v>2018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62.413198979890772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62.405851466288524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62.325351266536337</v>
      </c>
      <c r="AZ133" s="735">
        <f t="shared" si="77"/>
        <v>62.365601366412434</v>
      </c>
      <c r="BA133" s="633">
        <f t="shared" si="74"/>
        <v>0.82968252713284929</v>
      </c>
      <c r="BC133" s="11">
        <v>43219</v>
      </c>
      <c r="BD133" s="289">
        <f>[3]!FeuilCaduc*(1-Persistant)+Persistant</f>
        <v>0.60558093018649406</v>
      </c>
      <c r="BE133" s="290">
        <f>[3]!CroissVégét</f>
        <v>0.14996445881890225</v>
      </c>
      <c r="BF133" s="804">
        <f>1+[3]!Salcycl*Ksac</f>
        <v>1.0105580930186495</v>
      </c>
      <c r="BH133" s="1036">
        <f t="shared" si="75"/>
        <v>1.1596719798593858E-3</v>
      </c>
      <c r="BI133" s="11">
        <v>44315</v>
      </c>
      <c r="BJ133" s="715">
        <v>0</v>
      </c>
      <c r="BK133" s="715">
        <v>1.788229202234962E-5</v>
      </c>
      <c r="BL133" s="715">
        <v>1.7759418519920785E-4</v>
      </c>
      <c r="BM133" s="715">
        <v>6.5202118520923079E-4</v>
      </c>
      <c r="BN133" s="715">
        <v>1.6691280622884595E-3</v>
      </c>
      <c r="BO133" s="716">
        <v>3.4046698976010112E-3</v>
      </c>
      <c r="BP133" s="715">
        <v>6.0424832535769558E-3</v>
      </c>
      <c r="BQ133" s="715">
        <v>9.7720856649643681E-3</v>
      </c>
      <c r="BR133" s="715">
        <v>1.4797951213209133E-2</v>
      </c>
      <c r="BS133" s="715">
        <v>2.1324580543305386E-2</v>
      </c>
      <c r="BT133" s="715">
        <v>2.891660905824666E-2</v>
      </c>
      <c r="BW133" s="1190">
        <f>'2019'!R\Max</f>
        <v>0.82968252713284929</v>
      </c>
      <c r="BX133" s="1190">
        <f>'2020'!R\Max</f>
        <v>0.49291804676247403</v>
      </c>
      <c r="BY133" s="1190">
        <f>'2021'!R\Max</f>
        <v>0.43668720018482321</v>
      </c>
      <c r="BZ133" s="1190">
        <f>'2022'!R\Max</f>
        <v>0.76806498521156985</v>
      </c>
      <c r="CA133" s="1190">
        <f>'2023'!R\Max</f>
        <v>0.76804739700488567</v>
      </c>
      <c r="CB133" s="1190">
        <f>'2024'!R\Max</f>
        <v>0.76802872824303359</v>
      </c>
      <c r="CC133" s="1190">
        <f>'2025'!R\Max</f>
        <v>0.76800385507556257</v>
      </c>
      <c r="CD133" s="1190">
        <f>'2026'!R\Max</f>
        <v>0.76809684740199624</v>
      </c>
      <c r="CE133" s="1191">
        <f>'2027'!R\Max</f>
        <v>0.7680895965541592</v>
      </c>
      <c r="CF133" s="1193">
        <f>'2028'!R\Max</f>
        <v>0.76807802612298459</v>
      </c>
    </row>
    <row r="134" spans="1:84" s="6" customFormat="1" ht="11.25" x14ac:dyDescent="0.2">
      <c r="A134" s="11">
        <v>43220</v>
      </c>
      <c r="B134" s="379">
        <f>'2022'!Maxi_hp</f>
        <v>61.648626642094747</v>
      </c>
      <c r="C134" s="13">
        <f>'2022'!An_max</f>
        <v>2018</v>
      </c>
      <c r="D134" s="1045">
        <f t="shared" si="59"/>
        <v>0.98560216025503111</v>
      </c>
      <c r="E134" s="1040">
        <f>V$13/10</f>
        <v>62.549199999999999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62.549199999868868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62.549199999123815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62.4550750002265</v>
      </c>
      <c r="AZ134" s="735">
        <f t="shared" si="77"/>
        <v>62.502137499675158</v>
      </c>
      <c r="BA134" s="633">
        <f t="shared" si="74"/>
        <v>0.98560216025503111</v>
      </c>
      <c r="BC134" s="11">
        <v>43220</v>
      </c>
      <c r="BD134" s="289">
        <f>[3]!FeuilCaduc*(1-Persistant)+Persistant</f>
        <v>0.61063778907615396</v>
      </c>
      <c r="BE134" s="290">
        <f>[3]!CroissVégét</f>
        <v>0.1553208101334605</v>
      </c>
      <c r="BF134" s="804">
        <f>1+[3]!Salcycl*Ksac</f>
        <v>1.0110637789076153</v>
      </c>
      <c r="BH134" s="1036">
        <f t="shared" si="75"/>
        <v>1.133047919477267E-3</v>
      </c>
      <c r="BI134" s="11">
        <v>44316</v>
      </c>
      <c r="BJ134" s="715">
        <v>0</v>
      </c>
      <c r="BK134" s="715">
        <v>1.7332701111428513E-5</v>
      </c>
      <c r="BL134" s="715">
        <v>1.740818664671608E-4</v>
      </c>
      <c r="BM134" s="715">
        <v>6.3714825850211623E-4</v>
      </c>
      <c r="BN134" s="715">
        <v>1.6307110793121907E-3</v>
      </c>
      <c r="BO134" s="716">
        <v>3.324868581436722E-3</v>
      </c>
      <c r="BP134" s="715">
        <v>5.8995788897495882E-3</v>
      </c>
      <c r="BQ134" s="715">
        <v>9.5356677477646829E-3</v>
      </c>
      <c r="BR134" s="715">
        <v>1.4436391238553366E-2</v>
      </c>
      <c r="BS134" s="715">
        <v>2.0798247040158941E-2</v>
      </c>
      <c r="BT134" s="715">
        <v>2.8198897505860191E-2</v>
      </c>
      <c r="BW134" s="1190">
        <f>'2019'!R\Max</f>
        <v>0.98560216025503111</v>
      </c>
      <c r="BX134" s="1190">
        <f>'2020'!R\Max</f>
        <v>0.87433471138109409</v>
      </c>
      <c r="BY134" s="1190">
        <f>'2021'!R\Max</f>
        <v>0.25048682784788628</v>
      </c>
      <c r="BZ134" s="1190">
        <f>'2022'!R\Max</f>
        <v>0.81136429394771747</v>
      </c>
      <c r="CA134" s="1190">
        <f>'2023'!R\Max</f>
        <v>0.81134945344748821</v>
      </c>
      <c r="CB134" s="1190">
        <f>'2024'!R\Max</f>
        <v>0.81133367198464446</v>
      </c>
      <c r="CC134" s="1190">
        <f>'2025'!R\Max</f>
        <v>0.81131270903431041</v>
      </c>
      <c r="CD134" s="1190">
        <f>'2026'!R\Max</f>
        <v>0.81139123267680746</v>
      </c>
      <c r="CE134" s="1191">
        <f>'2027'!R\Max</f>
        <v>0.81138508888191685</v>
      </c>
      <c r="CF134" s="1193">
        <f>'2028'!R\Max</f>
        <v>0.81137532536617385</v>
      </c>
    </row>
    <row r="135" spans="1:84" s="6" customFormat="1" ht="11.25" x14ac:dyDescent="0.2">
      <c r="A135" s="11">
        <v>43221</v>
      </c>
      <c r="B135" s="379">
        <f>'2022'!Maxi_hp</f>
        <v>57.098058064772587</v>
      </c>
      <c r="C135" s="13">
        <f>'2022'!An_max</f>
        <v>2018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62.677590524990634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62.684611023310573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62.579100009426476</v>
      </c>
      <c r="AZ135" s="735">
        <f t="shared" si="77"/>
        <v>62.631855516368525</v>
      </c>
      <c r="BA135" s="633">
        <f t="shared" si="74"/>
        <v>0.91098042516498157</v>
      </c>
      <c r="BC135" s="11">
        <v>43221</v>
      </c>
      <c r="BD135" s="289">
        <f>[3]!FeuilCaduc*(1-Persistant)+Persistant</f>
        <v>0.6158313825398869</v>
      </c>
      <c r="BE135" s="290">
        <f>[3]!CroissVégét</f>
        <v>0.16083055564958049</v>
      </c>
      <c r="BF135" s="804">
        <f>1+[3]!Salcycl*Ksac</f>
        <v>1.0115831382539886</v>
      </c>
      <c r="BH135" s="1036">
        <f t="shared" si="75"/>
        <v>1.1077445886596947E-3</v>
      </c>
      <c r="BI135" s="11">
        <v>44317</v>
      </c>
      <c r="BJ135" s="715">
        <v>0</v>
      </c>
      <c r="BK135" s="715">
        <v>1.6846075967122442E-5</v>
      </c>
      <c r="BL135" s="715">
        <v>1.7085580852321811E-4</v>
      </c>
      <c r="BM135" s="715">
        <v>6.2313837386913289E-4</v>
      </c>
      <c r="BN135" s="715">
        <v>1.5940741410011264E-3</v>
      </c>
      <c r="BO135" s="716">
        <v>3.2483924539187651E-3</v>
      </c>
      <c r="BP135" s="715">
        <v>5.7620455245497E-3</v>
      </c>
      <c r="BQ135" s="715">
        <v>9.3078195774210816E-3</v>
      </c>
      <c r="BR135" s="715">
        <v>1.4087838224703768E-2</v>
      </c>
      <c r="BS135" s="715">
        <v>2.0291147104535931E-2</v>
      </c>
      <c r="BT135" s="715">
        <v>2.7507733547427048E-2</v>
      </c>
      <c r="BW135" s="1190">
        <f>'2019'!R\Max</f>
        <v>0.91098042516498157</v>
      </c>
      <c r="BX135" s="1190">
        <f>'2020'!R\Max</f>
        <v>0.74130365979766866</v>
      </c>
      <c r="BY135" s="1190">
        <f>'2021'!R\Max</f>
        <v>0.31334328291265945</v>
      </c>
      <c r="BZ135" s="1190">
        <f>'2022'!R\Max</f>
        <v>0.81936206843016302</v>
      </c>
      <c r="CA135" s="1190">
        <f>'2023'!R\Max</f>
        <v>0.81934796717936276</v>
      </c>
      <c r="CB135" s="1190">
        <f>'2024'!R\Max</f>
        <v>0.81933294345621588</v>
      </c>
      <c r="CC135" s="1190">
        <f>'2025'!R\Max</f>
        <v>0.81931304767682711</v>
      </c>
      <c r="CD135" s="1190">
        <f>'2026'!R\Max</f>
        <v>0.81938772141346461</v>
      </c>
      <c r="CE135" s="1191">
        <f>'2027'!R\Max</f>
        <v>0.81938185764634175</v>
      </c>
      <c r="CF135" s="1193">
        <f>'2028'!R\Max</f>
        <v>0.81937257859223089</v>
      </c>
    </row>
    <row r="136" spans="1:84" s="6" customFormat="1" ht="11.25" x14ac:dyDescent="0.2">
      <c r="A136" s="11">
        <v>43222</v>
      </c>
      <c r="B136" s="379">
        <f>'2022'!Maxi_hp</f>
        <v>49.564429764978506</v>
      </c>
      <c r="C136" s="13">
        <f>'2022'!An_max</f>
        <v>2021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62.797711952456403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62.811359620786142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62.697604665160178</v>
      </c>
      <c r="AZ136" s="735">
        <f t="shared" si="77"/>
        <v>62.75448214297316</v>
      </c>
      <c r="BA136" s="633">
        <f t="shared" si="74"/>
        <v>0.78927126839435335</v>
      </c>
      <c r="BC136" s="11">
        <v>43222</v>
      </c>
      <c r="BD136" s="289">
        <f>[3]!FeuilCaduc*(1-Persistant)+Persistant</f>
        <v>0.62115985499963711</v>
      </c>
      <c r="BE136" s="290">
        <f>[3]!CroissVégét</f>
        <v>0.16649552652045066</v>
      </c>
      <c r="BF136" s="804">
        <f>1+[3]!Salcycl*Ksac</f>
        <v>1.0121159854999637</v>
      </c>
      <c r="BH136" s="1036">
        <f t="shared" si="75"/>
        <v>1.0841090927183688E-3</v>
      </c>
      <c r="BI136" s="11">
        <v>44318</v>
      </c>
      <c r="BJ136" s="715">
        <v>0</v>
      </c>
      <c r="BK136" s="715">
        <v>1.638127915058171E-5</v>
      </c>
      <c r="BL136" s="715">
        <v>1.6777032845564972E-4</v>
      </c>
      <c r="BM136" s="715">
        <v>6.1006745107680053E-4</v>
      </c>
      <c r="BN136" s="715">
        <v>1.5598365025915101E-3</v>
      </c>
      <c r="BO136" s="716">
        <v>3.1767990527580372E-3</v>
      </c>
      <c r="BP136" s="715">
        <v>5.6327214540679129E-3</v>
      </c>
      <c r="BQ136" s="715">
        <v>9.0932848730774975E-3</v>
      </c>
      <c r="BR136" s="715">
        <v>1.3759176971786351E-2</v>
      </c>
      <c r="BS136" s="715">
        <v>1.9812405583916233E-2</v>
      </c>
      <c r="BT136" s="715">
        <v>2.6854344408182729E-2</v>
      </c>
      <c r="BW136" s="1190">
        <f>'2019'!R\Max</f>
        <v>0.51152492153656359</v>
      </c>
      <c r="BX136" s="1190">
        <f>'2020'!R\Max</f>
        <v>0.3469186681619893</v>
      </c>
      <c r="BY136" s="1190">
        <f>'2021'!R\Max</f>
        <v>0.78927126839435335</v>
      </c>
      <c r="BZ136" s="1190">
        <f>'2022'!R\Max</f>
        <v>0.48489569115081144</v>
      </c>
      <c r="CA136" s="1190">
        <f>'2023'!R\Max</f>
        <v>0.48487228546798594</v>
      </c>
      <c r="CB136" s="1190">
        <f>'2024'!R\Max</f>
        <v>0.48484730177449215</v>
      </c>
      <c r="CC136" s="1190">
        <f>'2025'!R\Max</f>
        <v>0.48481431896199739</v>
      </c>
      <c r="CD136" s="1190">
        <f>'2026'!R\Max</f>
        <v>0.48493837770695525</v>
      </c>
      <c r="CE136" s="1191">
        <f>'2027'!R\Max</f>
        <v>0.48492859723005788</v>
      </c>
      <c r="CF136" s="1193">
        <f>'2028'!R\Max</f>
        <v>0.48491318793032046</v>
      </c>
    </row>
    <row r="137" spans="1:84" s="6" customFormat="1" ht="11.25" x14ac:dyDescent="0.2">
      <c r="A137" s="11">
        <v>43223</v>
      </c>
      <c r="B137" s="379">
        <f>'2022'!Maxi_hp</f>
        <v>61.404519088032231</v>
      </c>
      <c r="C137" s="13">
        <f>'2022'!An_max</f>
        <v>2021</v>
      </c>
      <c r="D137" s="1045">
        <f t="shared" si="59"/>
        <v>0.97606923882988783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62.910003353495689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62.92974764877664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62.810767338105606</v>
      </c>
      <c r="AZ137" s="735">
        <f t="shared" si="77"/>
        <v>62.870257493441123</v>
      </c>
      <c r="BA137" s="633">
        <f t="shared" si="74"/>
        <v>0.97606923882988783</v>
      </c>
      <c r="BC137" s="11">
        <v>43223</v>
      </c>
      <c r="BD137" s="289">
        <f>[3]!FeuilCaduc*(1-Persistant)+Persistant</f>
        <v>0.62662104688158959</v>
      </c>
      <c r="BE137" s="290">
        <f>[3]!CroissVégét</f>
        <v>0.1723173890515782</v>
      </c>
      <c r="BF137" s="804">
        <f>1+[3]!Salcycl*Ksac</f>
        <v>1.012662104688159</v>
      </c>
      <c r="BH137" s="1036">
        <f t="shared" si="75"/>
        <v>1.0604837518038315E-3</v>
      </c>
      <c r="BI137" s="11">
        <v>44319</v>
      </c>
      <c r="BJ137" s="715">
        <v>0</v>
      </c>
      <c r="BK137" s="715">
        <v>1.5820289504954424E-5</v>
      </c>
      <c r="BL137" s="715">
        <v>1.6418134870161791E-4</v>
      </c>
      <c r="BM137" s="715">
        <v>5.9661734670414187E-4</v>
      </c>
      <c r="BN137" s="715">
        <v>1.5259997403593189E-3</v>
      </c>
      <c r="BO137" s="716">
        <v>3.1073768947507251E-3</v>
      </c>
      <c r="BP137" s="715">
        <v>5.5081468188915581E-3</v>
      </c>
      <c r="BQ137" s="715">
        <v>8.8874457699447944E-3</v>
      </c>
      <c r="BR137" s="715">
        <v>1.3444081886618676E-2</v>
      </c>
      <c r="BS137" s="715">
        <v>1.9352802985760659E-2</v>
      </c>
      <c r="BT137" s="715">
        <v>2.6225781063856028E-2</v>
      </c>
      <c r="BW137" s="1190">
        <f>'2019'!R\Max</f>
        <v>0.3243164374307646</v>
      </c>
      <c r="BX137" s="1190">
        <f>'2020'!R\Max</f>
        <v>0.584597638794213</v>
      </c>
      <c r="BY137" s="1190">
        <f>'2021'!R\Max</f>
        <v>0.97606923882988783</v>
      </c>
      <c r="BZ137" s="1190">
        <f>'2022'!R\Max</f>
        <v>0.67569826850110237</v>
      </c>
      <c r="CA137" s="1190">
        <f>'2023'!R\Max</f>
        <v>0.67567805466906061</v>
      </c>
      <c r="CB137" s="1190">
        <f>'2024'!R\Max</f>
        <v>0.67565643420172639</v>
      </c>
      <c r="CC137" s="1190">
        <f>'2025'!R\Max</f>
        <v>0.67562797693630461</v>
      </c>
      <c r="CD137" s="1190">
        <f>'2026'!R\Max</f>
        <v>0.67573522342459524</v>
      </c>
      <c r="CE137" s="1191">
        <f>'2027'!R\Max</f>
        <v>0.67572673766088343</v>
      </c>
      <c r="CF137" s="1193">
        <f>'2028'!R\Max</f>
        <v>0.6757134243512658</v>
      </c>
    </row>
    <row r="138" spans="1:84" s="6" customFormat="1" ht="11.25" x14ac:dyDescent="0.2">
      <c r="A138" s="11">
        <v>43224</v>
      </c>
      <c r="B138" s="379">
        <f>'2022'!Maxi_hp</f>
        <v>54.000058250195806</v>
      </c>
      <c r="C138" s="13">
        <f>'2022'!An_max</f>
        <v>2021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63.014903790184427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63.040076967807749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62.918766400058345</v>
      </c>
      <c r="AZ138" s="735">
        <f t="shared" si="77"/>
        <v>62.979421683933047</v>
      </c>
      <c r="BA138" s="633">
        <f t="shared" si="74"/>
        <v>0.85694105683308486</v>
      </c>
      <c r="BC138" s="11">
        <v>43224</v>
      </c>
      <c r="BD138" s="289">
        <f>[3]!FeuilCaduc*(1-Persistant)+Persistant</f>
        <v>0.63221248751341552</v>
      </c>
      <c r="BE138" s="290">
        <f>[3]!CroissVégét</f>
        <v>0.17829763088415901</v>
      </c>
      <c r="BF138" s="804">
        <f>1+[3]!Salcycl*Ksac</f>
        <v>1.0132212487513415</v>
      </c>
      <c r="BH138" s="1036">
        <f t="shared" si="75"/>
        <v>1.0368688017542132E-3</v>
      </c>
      <c r="BI138" s="11">
        <v>44320</v>
      </c>
      <c r="BJ138" s="715">
        <v>0</v>
      </c>
      <c r="BK138" s="715">
        <v>1.5163190410042323E-5</v>
      </c>
      <c r="BL138" s="715">
        <v>1.6008930046397304E-4</v>
      </c>
      <c r="BM138" s="715">
        <v>5.8278849856317836E-4</v>
      </c>
      <c r="BN138" s="715">
        <v>1.4925638874505396E-3</v>
      </c>
      <c r="BO138" s="716">
        <v>3.0401249955088598E-3</v>
      </c>
      <c r="BP138" s="715">
        <v>5.3883191990149555E-3</v>
      </c>
      <c r="BQ138" s="715">
        <v>8.6902976534882059E-3</v>
      </c>
      <c r="BR138" s="715">
        <v>1.3142545742206378E-2</v>
      </c>
      <c r="BS138" s="715">
        <v>1.8912329336598054E-2</v>
      </c>
      <c r="BT138" s="715">
        <v>2.5622030987990929E-2</v>
      </c>
      <c r="BW138" s="1190">
        <f>'2019'!R\Max</f>
        <v>0.55458623913878669</v>
      </c>
      <c r="BX138" s="1190">
        <f>'2020'!R\Max</f>
        <v>0.85688172111629268</v>
      </c>
      <c r="BY138" s="1190">
        <f>'2021'!R\Max</f>
        <v>0.85694105683308486</v>
      </c>
      <c r="BZ138" s="1190">
        <f>'2022'!R\Max</f>
        <v>0.36531325001887299</v>
      </c>
      <c r="CA138" s="1190">
        <f>'2023'!R\Max</f>
        <v>0.3652921794325763</v>
      </c>
      <c r="CB138" s="1190">
        <f>'2024'!R\Max</f>
        <v>0.36526959782231649</v>
      </c>
      <c r="CC138" s="1190">
        <f>'2025'!R\Max</f>
        <v>0.36523996803202352</v>
      </c>
      <c r="CD138" s="1190">
        <f>'2026'!R\Max</f>
        <v>0.36535187209402603</v>
      </c>
      <c r="CE138" s="1191">
        <f>'2027'!R\Max</f>
        <v>0.36534298459640857</v>
      </c>
      <c r="CF138" s="1193">
        <f>'2028'!R\Max</f>
        <v>0.36532909843347866</v>
      </c>
    </row>
    <row r="139" spans="1:84" s="6" customFormat="1" ht="11.25" x14ac:dyDescent="0.2">
      <c r="A139" s="11">
        <v>43225</v>
      </c>
      <c r="B139" s="379">
        <f>'2022'!Maxi_hp</f>
        <v>59.96671405061354</v>
      </c>
      <c r="C139" s="13">
        <f>'2022'!An_max</f>
        <v>2020</v>
      </c>
      <c r="D139" s="1045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63.112852332315278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63.142649434772991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63.021780220552216</v>
      </c>
      <c r="AZ139" s="735">
        <f t="shared" si="77"/>
        <v>63.082214827662604</v>
      </c>
      <c r="BA139" s="633">
        <f t="shared" si="74"/>
        <v>0.95015059270121371</v>
      </c>
      <c r="BC139" s="11">
        <v>43225</v>
      </c>
      <c r="BD139" s="289">
        <f>[3]!FeuilCaduc*(1-Persistant)+Persistant</f>
        <v>0.63793138872880584</v>
      </c>
      <c r="BE139" s="290">
        <f>[3]!CroissVégét</f>
        <v>0.1844375470173118</v>
      </c>
      <c r="BF139" s="804">
        <f>1+[3]!Salcycl*Ksac</f>
        <v>1.0137931388728807</v>
      </c>
      <c r="BH139" s="1036">
        <f t="shared" si="75"/>
        <v>1.0132644986378251E-3</v>
      </c>
      <c r="BI139" s="11">
        <v>44321</v>
      </c>
      <c r="BJ139" s="715">
        <v>0</v>
      </c>
      <c r="BK139" s="715">
        <v>1.4410069758721536E-5</v>
      </c>
      <c r="BL139" s="715">
        <v>1.5549463911180886E-4</v>
      </c>
      <c r="BM139" s="715">
        <v>5.6858137206597609E-4</v>
      </c>
      <c r="BN139" s="715">
        <v>1.4595289898452692E-3</v>
      </c>
      <c r="BO139" s="716">
        <v>2.9750423406524657E-3</v>
      </c>
      <c r="BP139" s="715">
        <v>5.273236085009971E-3</v>
      </c>
      <c r="BQ139" s="715">
        <v>8.501835726110997E-3</v>
      </c>
      <c r="BR139" s="715">
        <v>1.2854561020755627E-2</v>
      </c>
      <c r="BS139" s="715">
        <v>1.8490974266028953E-2</v>
      </c>
      <c r="BT139" s="715">
        <v>2.5043081167754996E-2</v>
      </c>
      <c r="BW139" s="1190">
        <f>'2019'!R\Max</f>
        <v>0.78111794871464058</v>
      </c>
      <c r="BX139" s="1190">
        <f>'2020'!R\Max</f>
        <v>0.95015059270121371</v>
      </c>
      <c r="BY139" s="1190">
        <f>'2021'!R\Max</f>
        <v>0.55637769016818051</v>
      </c>
      <c r="BZ139" s="1190">
        <f>'2022'!R\Max</f>
        <v>0.74835541015009077</v>
      </c>
      <c r="CA139" s="1190">
        <f>'2023'!R\Max</f>
        <v>0.74833853487625801</v>
      </c>
      <c r="CB139" s="1190">
        <f>'2024'!R\Max</f>
        <v>0.74832041017840967</v>
      </c>
      <c r="CC139" s="1190">
        <f>'2025'!R\Max</f>
        <v>0.74829669874370874</v>
      </c>
      <c r="CD139" s="1190">
        <f>'2026'!R\Max</f>
        <v>0.74838641948521667</v>
      </c>
      <c r="CE139" s="1191">
        <f>'2027'!R\Max</f>
        <v>0.74837927010808525</v>
      </c>
      <c r="CF139" s="1193">
        <f>'2028'!R\Max</f>
        <v>0.7483681433494549</v>
      </c>
    </row>
    <row r="140" spans="1:84" s="6" customFormat="1" ht="11.25" x14ac:dyDescent="0.2">
      <c r="A140" s="11">
        <v>43226</v>
      </c>
      <c r="B140" s="379">
        <f>'2022'!Maxi_hp</f>
        <v>63.959766591204975</v>
      </c>
      <c r="C140" s="13">
        <f>'2022'!An_max</f>
        <v>2018</v>
      </c>
      <c r="D140" s="1045">
        <f t="shared" si="59"/>
        <v>1.0119529634538784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63.20428804606199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63.237766909705741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63.119987171994786</v>
      </c>
      <c r="AZ140" s="735">
        <f t="shared" si="77"/>
        <v>63.178877040850267</v>
      </c>
      <c r="BA140" s="633">
        <f t="shared" si="74"/>
        <v>1.0119529634538784</v>
      </c>
      <c r="BC140" s="11">
        <v>43226</v>
      </c>
      <c r="BD140" s="289">
        <f>[3]!FeuilCaduc*(1-Persistant)+Persistant</f>
        <v>0.64377463929608303</v>
      </c>
      <c r="BE140" s="290">
        <f>[3]!CroissVégét</f>
        <v>0.19073822573999455</v>
      </c>
      <c r="BF140" s="804">
        <f>1+[3]!Salcycl*Ksac</f>
        <v>1.0143774639296084</v>
      </c>
      <c r="BH140" s="1036">
        <f t="shared" si="75"/>
        <v>9.8967111875013399E-4</v>
      </c>
      <c r="BI140" s="11">
        <v>44322</v>
      </c>
      <c r="BJ140" s="715">
        <v>0</v>
      </c>
      <c r="BK140" s="715">
        <v>1.3561020168118885E-5</v>
      </c>
      <c r="BL140" s="715">
        <v>1.5039784528600005E-4</v>
      </c>
      <c r="BM140" s="715">
        <v>5.5399646106601952E-4</v>
      </c>
      <c r="BN140" s="715">
        <v>1.4268951055072855E-3</v>
      </c>
      <c r="BO140" s="716">
        <v>2.9121278811111494E-3</v>
      </c>
      <c r="BP140" s="715">
        <v>5.1628948677268282E-3</v>
      </c>
      <c r="BQ140" s="715">
        <v>8.322054988281237E-3</v>
      </c>
      <c r="BR140" s="715">
        <v>1.2580119884224772E-2</v>
      </c>
      <c r="BS140" s="715">
        <v>1.8088726965194594E-2</v>
      </c>
      <c r="BT140" s="715">
        <v>2.4488918050096564E-2</v>
      </c>
      <c r="BW140" s="1190">
        <f>'2019'!R\Max</f>
        <v>1.0119529634538784</v>
      </c>
      <c r="BX140" s="1190">
        <f>'2020'!R\Max</f>
        <v>0.85952282580807571</v>
      </c>
      <c r="BY140" s="1190">
        <f>'2021'!R\Max</f>
        <v>0.57463871058000182</v>
      </c>
      <c r="BZ140" s="1190">
        <f>'2022'!R\Max</f>
        <v>0.65583098681572116</v>
      </c>
      <c r="CA140" s="1190">
        <f>'2023'!R\Max</f>
        <v>0.6558110254602848</v>
      </c>
      <c r="CB140" s="1190">
        <f>'2024'!R\Max</f>
        <v>0.65578954037001624</v>
      </c>
      <c r="CC140" s="1190">
        <f>'2025'!R\Max</f>
        <v>0.65576151873944277</v>
      </c>
      <c r="CD140" s="1190">
        <f>'2026'!R\Max</f>
        <v>0.65586776512842515</v>
      </c>
      <c r="CE140" s="1191">
        <f>'2027'!R\Max</f>
        <v>0.65585927001671329</v>
      </c>
      <c r="CF140" s="1193">
        <f>'2028'!R\Max</f>
        <v>0.65584609926283011</v>
      </c>
    </row>
    <row r="141" spans="1:84" s="6" customFormat="1" ht="11.25" x14ac:dyDescent="0.2">
      <c r="A141" s="11">
        <v>43227</v>
      </c>
      <c r="B141" s="379">
        <f>'2022'!Maxi_hp</f>
        <v>60.392486037860046</v>
      </c>
      <c r="C141" s="13">
        <f>'2022'!An_max</f>
        <v>2020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63.28965000100434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63.325731249991804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63.213565625809132</v>
      </c>
      <c r="AZ141" s="735">
        <f t="shared" si="77"/>
        <v>63.269648437900472</v>
      </c>
      <c r="BA141" s="633">
        <f t="shared" si="74"/>
        <v>0.95422373226746682</v>
      </c>
      <c r="BC141" s="11">
        <v>43227</v>
      </c>
      <c r="BD141" s="289">
        <f>[3]!FeuilCaduc*(1-Persistant)+Persistant</f>
        <v>0.64973880028810904</v>
      </c>
      <c r="BE141" s="290">
        <f>[3]!CroissVégét</f>
        <v>0.19720053455029921</v>
      </c>
      <c r="BF141" s="804">
        <f>1+[3]!Salcycl*Ksac</f>
        <v>1.0149738800288108</v>
      </c>
      <c r="BH141" s="1036">
        <f t="shared" si="75"/>
        <v>9.6608895859607127E-4</v>
      </c>
      <c r="BI141" s="11">
        <v>44323</v>
      </c>
      <c r="BJ141" s="715">
        <v>0</v>
      </c>
      <c r="BK141" s="715">
        <v>1.261613919057152E-5</v>
      </c>
      <c r="BL141" s="715">
        <v>1.4479942600247359E-4</v>
      </c>
      <c r="BM141" s="715">
        <v>5.3903428869134099E-4</v>
      </c>
      <c r="BN141" s="715">
        <v>1.3946623035125101E-3</v>
      </c>
      <c r="BO141" s="716">
        <v>2.8513805283827153E-3</v>
      </c>
      <c r="BP141" s="715">
        <v>5.0572928279187593E-3</v>
      </c>
      <c r="BQ141" s="715">
        <v>8.1509502195356836E-3</v>
      </c>
      <c r="BR141" s="715">
        <v>1.2319214144690062E-2</v>
      </c>
      <c r="BS141" s="715">
        <v>1.7705576144978235E-2</v>
      </c>
      <c r="BT141" s="715">
        <v>2.3959527487539246E-2</v>
      </c>
      <c r="BW141" s="1190">
        <f>'2019'!R\Max</f>
        <v>0.73882622392357056</v>
      </c>
      <c r="BX141" s="1190">
        <f>'2020'!R\Max</f>
        <v>0.95422373226746682</v>
      </c>
      <c r="BY141" s="1190">
        <f>'2021'!R\Max</f>
        <v>0.45176931537826526</v>
      </c>
      <c r="BZ141" s="1190">
        <f>'2022'!R\Max</f>
        <v>0.89616631504272914</v>
      </c>
      <c r="CA141" s="1190">
        <f>'2023'!R\Max</f>
        <v>0.8961581860185508</v>
      </c>
      <c r="CB141" s="1190">
        <f>'2024'!R\Max</f>
        <v>0.89614941672504611</v>
      </c>
      <c r="CC141" s="1190">
        <f>'2025'!R\Max</f>
        <v>0.89613801355677802</v>
      </c>
      <c r="CD141" s="1190">
        <f>'2026'!R\Max</f>
        <v>0.89618133222784213</v>
      </c>
      <c r="CE141" s="1191">
        <f>'2027'!R\Max</f>
        <v>0.89617785773683012</v>
      </c>
      <c r="CF141" s="1193">
        <f>'2028'!R\Max</f>
        <v>0.89617249046237257</v>
      </c>
    </row>
    <row r="142" spans="1:84" s="6" customFormat="1" ht="11.25" x14ac:dyDescent="0.2">
      <c r="A142" s="11">
        <v>43228</v>
      </c>
      <c r="B142" s="379">
        <f>'2022'!Maxi_hp</f>
        <v>59.443974291396984</v>
      </c>
      <c r="C142" s="13">
        <f>'2022'!An_max</f>
        <v>2021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63.369377259484352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63.406844314719947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63.302693950917046</v>
      </c>
      <c r="AZ142" s="735">
        <f t="shared" si="77"/>
        <v>63.354769132818497</v>
      </c>
      <c r="BA142" s="633">
        <f t="shared" si="74"/>
        <v>0.93805520682310539</v>
      </c>
      <c r="BC142" s="11">
        <v>43228</v>
      </c>
      <c r="BD142" s="289">
        <f>[3]!FeuilCaduc*(1-Persistant)+Persistant</f>
        <v>0.65582010150971071</v>
      </c>
      <c r="BE142" s="290">
        <f>[3]!CroissVégét</f>
        <v>0.2038251061465651</v>
      </c>
      <c r="BF142" s="804">
        <f>1+[3]!Salcycl*Ksac</f>
        <v>1.0155820101509712</v>
      </c>
      <c r="BH142" s="1036">
        <f t="shared" si="75"/>
        <v>9.4266738007939407E-4</v>
      </c>
      <c r="BI142" s="11">
        <v>44324</v>
      </c>
      <c r="BJ142" s="715">
        <v>0</v>
      </c>
      <c r="BK142" s="715">
        <v>1.1629677868741174E-5</v>
      </c>
      <c r="BL142" s="715">
        <v>1.3891796305137168E-4</v>
      </c>
      <c r="BM142" s="715">
        <v>5.2395694211069502E-4</v>
      </c>
      <c r="BN142" s="715">
        <v>1.3628668196305519E-3</v>
      </c>
      <c r="BO142" s="716">
        <v>2.7926767816315741E-3</v>
      </c>
      <c r="BP142" s="715">
        <v>4.956224981710524E-3</v>
      </c>
      <c r="BQ142" s="715">
        <v>7.9885447858236147E-3</v>
      </c>
      <c r="BR142" s="715">
        <v>1.2072226902553962E-2</v>
      </c>
      <c r="BS142" s="715">
        <v>1.7343039264972951E-2</v>
      </c>
      <c r="BT142" s="715">
        <v>2.3458198624671793E-2</v>
      </c>
      <c r="BW142" s="1190">
        <f>'2019'!R\Max</f>
        <v>0.5098305415546398</v>
      </c>
      <c r="BX142" s="1190">
        <f>'2020'!R\Max</f>
        <v>0.84315541158490237</v>
      </c>
      <c r="BY142" s="1190">
        <f>'2021'!R\Max</f>
        <v>0.93805520682310539</v>
      </c>
      <c r="BZ142" s="1190">
        <f>'2022'!R\Max</f>
        <v>0.82541885314847074</v>
      </c>
      <c r="CA142" s="1190">
        <f>'2023'!R\Max</f>
        <v>0.82540640635034201</v>
      </c>
      <c r="CB142" s="1190">
        <f>'2024'!R\Max</f>
        <v>0.82539294843701294</v>
      </c>
      <c r="CC142" s="1190">
        <f>'2025'!R\Max</f>
        <v>0.82537550001998528</v>
      </c>
      <c r="CD142" s="1190">
        <f>'2026'!R\Max</f>
        <v>0.82544190857815158</v>
      </c>
      <c r="CE142" s="1191">
        <f>'2027'!R\Max</f>
        <v>0.82543656643988905</v>
      </c>
      <c r="CF142" s="1193">
        <f>'2028'!R\Max</f>
        <v>0.82542834199489035</v>
      </c>
    </row>
    <row r="143" spans="1:84" s="6" customFormat="1" ht="11.25" x14ac:dyDescent="0.2">
      <c r="A143" s="11">
        <v>43229</v>
      </c>
      <c r="B143" s="379">
        <f>'2022'!Maxi_hp</f>
        <v>60.07223224205881</v>
      </c>
      <c r="C143" s="13">
        <f>'2022'!An_max</f>
        <v>2022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63.443908891986517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63.481407963245047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63.387550520205068</v>
      </c>
      <c r="AZ143" s="735">
        <f t="shared" si="77"/>
        <v>63.434479241725057</v>
      </c>
      <c r="BA143" s="633">
        <f t="shared" ref="BA143:BA206" si="93">+B143/J143</f>
        <v>0.94685578633454004</v>
      </c>
      <c r="BC143" s="11">
        <v>43229</v>
      </c>
      <c r="BD143" s="289">
        <f>[3]!FeuilCaduc*(1-Persistant)+Persistant</f>
        <v>0.6620144390963838</v>
      </c>
      <c r="BE143" s="290">
        <f>[3]!CroissVégét</f>
        <v>0.21061232458125589</v>
      </c>
      <c r="BF143" s="804">
        <f>1+[3]!Salcycl*Ksac</f>
        <v>1.0162014439096383</v>
      </c>
      <c r="BH143" s="1036">
        <f t="shared" ref="BH143:BH206" si="94">INDEX($BJ143:$BT143,,$BH$10)*(1-Ratini)+INDEX($BJ143:$BT143,,$BH$10+1)*Ratini</f>
        <v>9.1974842358396041E-4</v>
      </c>
      <c r="BI143" s="11">
        <v>44325</v>
      </c>
      <c r="BJ143" s="715">
        <v>0</v>
      </c>
      <c r="BK143" s="715">
        <v>1.065683528116371E-5</v>
      </c>
      <c r="BL143" s="715">
        <v>1.3311169763725181E-4</v>
      </c>
      <c r="BM143" s="715">
        <v>5.09222167554663E-4</v>
      </c>
      <c r="BN143" s="715">
        <v>1.3317345769299669E-3</v>
      </c>
      <c r="BO143" s="716">
        <v>2.7354195643449933E-3</v>
      </c>
      <c r="BP143" s="715">
        <v>4.8578109827920402E-3</v>
      </c>
      <c r="BQ143" s="715">
        <v>7.8309394958212767E-3</v>
      </c>
      <c r="BR143" s="715">
        <v>1.1832559200713674E-2</v>
      </c>
      <c r="BS143" s="715">
        <v>1.6991224565637189E-2</v>
      </c>
      <c r="BT143" s="715">
        <v>2.2971501759863917E-2</v>
      </c>
      <c r="BW143" s="1190">
        <f>'2019'!R\Max</f>
        <v>0.75188648761037113</v>
      </c>
      <c r="BX143" s="1190">
        <f>'2020'!R\Max</f>
        <v>0.8593311793845827</v>
      </c>
      <c r="BY143" s="1190">
        <f>'2021'!R\Max</f>
        <v>0.34960062350243903</v>
      </c>
      <c r="BZ143" s="1190">
        <f>'2022'!R\Max</f>
        <v>0.94685578633454004</v>
      </c>
      <c r="CA143" s="1190">
        <f>'2023'!R\Max</f>
        <v>0.94685148739851166</v>
      </c>
      <c r="CB143" s="1190">
        <f>'2024'!R\Max</f>
        <v>0.94684682806262099</v>
      </c>
      <c r="CC143" s="1190">
        <f>'2025'!R\Max</f>
        <v>0.94684080442506791</v>
      </c>
      <c r="CD143" s="1190">
        <f>'2026'!R\Max</f>
        <v>0.94686377056882964</v>
      </c>
      <c r="CE143" s="1191">
        <f>'2027'!R\Max</f>
        <v>0.94686191798901287</v>
      </c>
      <c r="CF143" s="1193">
        <f>'2028'!R\Max</f>
        <v>0.94685907530519042</v>
      </c>
    </row>
    <row r="144" spans="1:84" s="6" customFormat="1" ht="11.25" x14ac:dyDescent="0.2">
      <c r="A144" s="11">
        <v>43230</v>
      </c>
      <c r="B144" s="379">
        <f>'2022'!Maxi_hp</f>
        <v>56.120412695618967</v>
      </c>
      <c r="C144" s="13">
        <f>'2022'!An_max</f>
        <v>2022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63.513683965376444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63.549724052527118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63.468313704005311</v>
      </c>
      <c r="AZ144" s="735">
        <f t="shared" ref="AZ144:AZ207" si="96">(AY144+AT144)/2</f>
        <v>63.509018878266218</v>
      </c>
      <c r="BA144" s="633">
        <f t="shared" si="93"/>
        <v>0.8835956158079602</v>
      </c>
      <c r="BC144" s="11">
        <v>43230</v>
      </c>
      <c r="BD144" s="289">
        <f>[3]!FeuilCaduc*(1-Persistant)+Persistant</f>
        <v>0.66831737439411343</v>
      </c>
      <c r="BE144" s="290">
        <f>[3]!CroissVégét</f>
        <v>0.21756231167469237</v>
      </c>
      <c r="BF144" s="804">
        <f>1+[3]!Salcycl*Ksac</f>
        <v>1.0168317374394114</v>
      </c>
      <c r="BH144" s="1036">
        <f t="shared" si="94"/>
        <v>8.9733197885054545E-4</v>
      </c>
      <c r="BI144" s="11">
        <v>44326</v>
      </c>
      <c r="BJ144" s="715">
        <v>0</v>
      </c>
      <c r="BK144" s="715">
        <v>9.6976204978087693E-6</v>
      </c>
      <c r="BL144" s="715">
        <v>1.2738067319192599E-4</v>
      </c>
      <c r="BM144" s="715">
        <v>4.9482989551230213E-4</v>
      </c>
      <c r="BN144" s="715">
        <v>1.3012654242583403E-3</v>
      </c>
      <c r="BO144" s="716">
        <v>2.6796083229499762E-3</v>
      </c>
      <c r="BP144" s="715">
        <v>4.762049688993829E-3</v>
      </c>
      <c r="BQ144" s="715">
        <v>7.6781320024447283E-3</v>
      </c>
      <c r="BR144" s="715">
        <v>1.1600207469341843E-2</v>
      </c>
      <c r="BS144" s="715">
        <v>1.6650126915941903E-2</v>
      </c>
      <c r="BT144" s="715">
        <v>2.2499430104892873E-2</v>
      </c>
      <c r="BW144" s="1190">
        <f>'2019'!R\Max</f>
        <v>0.62966859019713883</v>
      </c>
      <c r="BX144" s="1190">
        <f>'2020'!R\Max</f>
        <v>0.81663852934601522</v>
      </c>
      <c r="BY144" s="1190">
        <f>'2021'!R\Max</f>
        <v>0.67723868392793218</v>
      </c>
      <c r="BZ144" s="1190">
        <f>'2022'!R\Max</f>
        <v>0.8835956158079602</v>
      </c>
      <c r="CA144" s="1190">
        <f>'2023'!R\Max</f>
        <v>0.88358692167043984</v>
      </c>
      <c r="CB144" s="1190">
        <f>'2024'!R\Max</f>
        <v>0.88357747553062194</v>
      </c>
      <c r="CC144" s="1190">
        <f>'2025'!R\Max</f>
        <v>0.88356529821717855</v>
      </c>
      <c r="CD144" s="1190">
        <f>'2026'!R\Max</f>
        <v>0.88361180728133881</v>
      </c>
      <c r="CE144" s="1191">
        <f>'2027'!R\Max</f>
        <v>0.88360804532432491</v>
      </c>
      <c r="CF144" s="1193">
        <f>'2028'!R\Max</f>
        <v>0.88360229168693094</v>
      </c>
    </row>
    <row r="145" spans="1:84" s="6" customFormat="1" ht="11.25" x14ac:dyDescent="0.2">
      <c r="A145" s="11">
        <v>43231</v>
      </c>
      <c r="B145" s="379">
        <f>'2022'!Maxi_hp</f>
        <v>60.524133563423938</v>
      </c>
      <c r="C145" s="13">
        <f>'2022'!An_max</f>
        <v>2022</v>
      </c>
      <c r="D145" s="1045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63.579141545295712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63.612094442706017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63.545161871479024</v>
      </c>
      <c r="AZ145" s="735">
        <f t="shared" si="96"/>
        <v>63.578628157092524</v>
      </c>
      <c r="BA145" s="633">
        <f t="shared" si="93"/>
        <v>0.95194952451984127</v>
      </c>
      <c r="BC145" s="11">
        <v>43231</v>
      </c>
      <c r="BD145" s="289">
        <f>[3]!FeuilCaduc*(1-Persistant)+Persistant</f>
        <v>0.67472413422475319</v>
      </c>
      <c r="BE145" s="290">
        <f>[3]!CroissVégét</f>
        <v>0.22467491379142088</v>
      </c>
      <c r="BF145" s="804">
        <f>1+[3]!Salcycl*Ksac</f>
        <v>1.0174724134224753</v>
      </c>
      <c r="BH145" s="1036">
        <f t="shared" si="94"/>
        <v>8.7541793080469165E-4</v>
      </c>
      <c r="BI145" s="11">
        <v>44327</v>
      </c>
      <c r="BJ145" s="715">
        <v>0</v>
      </c>
      <c r="BK145" s="715">
        <v>8.7520427869594226E-6</v>
      </c>
      <c r="BL145" s="715">
        <v>1.2172493458694599E-4</v>
      </c>
      <c r="BM145" s="715">
        <v>4.8078005246532293E-4</v>
      </c>
      <c r="BN145" s="715">
        <v>1.271459204837266E-3</v>
      </c>
      <c r="BO145" s="716">
        <v>2.6252424820596958E-3</v>
      </c>
      <c r="BP145" s="715">
        <v>4.6689399122158441E-3</v>
      </c>
      <c r="BQ145" s="715">
        <v>7.5301198576602181E-3</v>
      </c>
      <c r="BR145" s="715">
        <v>1.1375167984152328E-2</v>
      </c>
      <c r="BS145" s="715">
        <v>1.631974095948897E-2</v>
      </c>
      <c r="BT145" s="715">
        <v>2.2041976570113503E-2</v>
      </c>
      <c r="BW145" s="1190">
        <f>'2019'!R\Max</f>
        <v>0.59599792950214425</v>
      </c>
      <c r="BX145" s="1190">
        <f>'2020'!R\Max</f>
        <v>0.19413032105506742</v>
      </c>
      <c r="BY145" s="1190">
        <f>'2021'!R\Max</f>
        <v>0.59096792296328737</v>
      </c>
      <c r="BZ145" s="1190">
        <f>'2022'!R\Max</f>
        <v>0.95194952451984127</v>
      </c>
      <c r="CA145" s="1190">
        <f>'2023'!R\Max</f>
        <v>0.95194569753035607</v>
      </c>
      <c r="CB145" s="1190">
        <f>'2024'!R\Max</f>
        <v>0.95194152885112127</v>
      </c>
      <c r="CC145" s="1190">
        <f>'2025'!R\Max</f>
        <v>0.95193616972093276</v>
      </c>
      <c r="CD145" s="1190">
        <f>'2026'!R\Max</f>
        <v>0.9519566711536217</v>
      </c>
      <c r="CE145" s="1191">
        <f>'2027'!R\Max</f>
        <v>0.95195500859197335</v>
      </c>
      <c r="CF145" s="1193">
        <f>'2028'!R\Max</f>
        <v>0.95195247396578142</v>
      </c>
    </row>
    <row r="146" spans="1:84" s="6" customFormat="1" ht="11.25" x14ac:dyDescent="0.2">
      <c r="A146" s="11">
        <v>43232</v>
      </c>
      <c r="B146" s="379">
        <f>'2022'!Maxi_hp</f>
        <v>56.127004376201441</v>
      </c>
      <c r="C146" s="13">
        <f>'2022'!An_max</f>
        <v>2018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63.640720700153295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63.668820991420318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63.618273395459561</v>
      </c>
      <c r="AZ146" s="735">
        <f t="shared" si="96"/>
        <v>63.643547193439943</v>
      </c>
      <c r="BA146" s="633">
        <f t="shared" si="93"/>
        <v>0.88193539857360925</v>
      </c>
      <c r="BC146" s="11">
        <v>43232</v>
      </c>
      <c r="BD146" s="289">
        <f>[3]!FeuilCaduc*(1-Persistant)+Persistant</f>
        <v>0.68122961263456139</v>
      </c>
      <c r="BE146" s="290">
        <f>[3]!CroissVégét</f>
        <v>0.23194968908707836</v>
      </c>
      <c r="BF146" s="804">
        <f>1+[3]!Salcycl*Ksac</f>
        <v>1.0181229612634561</v>
      </c>
      <c r="BH146" s="1036">
        <f t="shared" si="94"/>
        <v>8.5400615845784129E-4</v>
      </c>
      <c r="BI146" s="11">
        <v>44328</v>
      </c>
      <c r="BJ146" s="715">
        <v>0</v>
      </c>
      <c r="BK146" s="715">
        <v>7.8201115863011916E-6</v>
      </c>
      <c r="BL146" s="715">
        <v>1.1614452797242049E-4</v>
      </c>
      <c r="BM146" s="715">
        <v>4.6707256014132857E-4</v>
      </c>
      <c r="BN146" s="715">
        <v>1.2423157548101204E-3</v>
      </c>
      <c r="BO146" s="716">
        <v>2.5723214412971601E-3</v>
      </c>
      <c r="BP146" s="715">
        <v>4.5784804125960192E-3</v>
      </c>
      <c r="BQ146" s="715">
        <v>7.3869005019371985E-3</v>
      </c>
      <c r="BR146" s="715">
        <v>1.1157436850319712E-2</v>
      </c>
      <c r="BS146" s="715">
        <v>1.6000061090965998E-2</v>
      </c>
      <c r="BT146" s="715">
        <v>2.1599133732342162E-2</v>
      </c>
      <c r="BW146" s="1190">
        <f>'2019'!R\Max</f>
        <v>0.88193539857360925</v>
      </c>
      <c r="BX146" s="1190">
        <f>'2020'!R\Max</f>
        <v>0.13602743038111145</v>
      </c>
      <c r="BY146" s="1190">
        <f>'2021'!R\Max</f>
        <v>0.67930203188415628</v>
      </c>
      <c r="BZ146" s="1190">
        <f>'2022'!R\Max</f>
        <v>0.70910781306943316</v>
      </c>
      <c r="CA146" s="1190">
        <f>'2023'!R\Max</f>
        <v>0.70909072565153664</v>
      </c>
      <c r="CB146" s="1190">
        <f>'2024'!R\Max</f>
        <v>0.70907206407552714</v>
      </c>
      <c r="CC146" s="1190">
        <f>'2025'!R\Max</f>
        <v>0.70904813969823055</v>
      </c>
      <c r="CD146" s="1190">
        <f>'2026'!R\Max</f>
        <v>0.70913981288108074</v>
      </c>
      <c r="CE146" s="1191">
        <f>'2027'!R\Max</f>
        <v>0.70913235938212671</v>
      </c>
      <c r="CF146" s="1193">
        <f>'2028'!R\Max</f>
        <v>0.70912103231843138</v>
      </c>
    </row>
    <row r="147" spans="1:84" s="6" customFormat="1" ht="11.25" x14ac:dyDescent="0.2">
      <c r="A147" s="11">
        <v>43233</v>
      </c>
      <c r="B147" s="379">
        <f>'2022'!Maxi_hp</f>
        <v>64.735176440204555</v>
      </c>
      <c r="C147" s="13">
        <f>'2022'!An_max</f>
        <v>2018</v>
      </c>
      <c r="D147" s="1045">
        <f t="shared" si="78"/>
        <v>1.0162689871646022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63.69886049638901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63.720205557798707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63.68782664888672</v>
      </c>
      <c r="AZ147" s="735">
        <f t="shared" si="96"/>
        <v>63.70401610334271</v>
      </c>
      <c r="BA147" s="633">
        <f t="shared" si="93"/>
        <v>1.0162689871646022</v>
      </c>
      <c r="BC147" s="11">
        <v>43233</v>
      </c>
      <c r="BD147" s="289">
        <f>[3]!FeuilCaduc*(1-Persistant)+Persistant</f>
        <v>0.68782837421524001</v>
      </c>
      <c r="BE147" s="290">
        <f>[3]!CroissVégét</f>
        <v>0.23938589533798257</v>
      </c>
      <c r="BF147" s="804">
        <f>1+[3]!Salcycl*Ksac</f>
        <v>1.018782837421524</v>
      </c>
      <c r="BH147" s="1036">
        <f t="shared" si="94"/>
        <v>8.3309653381787507E-4</v>
      </c>
      <c r="BI147" s="11">
        <v>44329</v>
      </c>
      <c r="BJ147" s="715">
        <v>0</v>
      </c>
      <c r="BK147" s="715">
        <v>6.9018364741370632E-6</v>
      </c>
      <c r="BL147" s="715">
        <v>1.1063950061725437E-4</v>
      </c>
      <c r="BM147" s="715">
        <v>4.5370733477230826E-4</v>
      </c>
      <c r="BN147" s="715">
        <v>1.2138349018034071E-3</v>
      </c>
      <c r="BO147" s="716">
        <v>2.5208445721465835E-3</v>
      </c>
      <c r="BP147" s="715">
        <v>4.4906698927279342E-3</v>
      </c>
      <c r="BQ147" s="715">
        <v>7.2484712537804761E-3</v>
      </c>
      <c r="BR147" s="715">
        <v>1.0947009986518534E-2</v>
      </c>
      <c r="BS147" s="715">
        <v>1.5691081432773278E-2</v>
      </c>
      <c r="BT147" s="715">
        <v>2.1170893802973455E-2</v>
      </c>
      <c r="BW147" s="1190">
        <f>'2019'!R\Max</f>
        <v>1.0162689871646022</v>
      </c>
      <c r="BX147" s="1190">
        <f>'2020'!R\Max</f>
        <v>0.33293047603175147</v>
      </c>
      <c r="BY147" s="1190">
        <f>'2021'!R\Max</f>
        <v>0.77023667478969304</v>
      </c>
      <c r="BZ147" s="1190">
        <f>'2022'!R\Max</f>
        <v>0.74215894633756208</v>
      </c>
      <c r="CA147" s="1190">
        <f>'2023'!R\Max</f>
        <v>0.74214324508280338</v>
      </c>
      <c r="CB147" s="1190">
        <f>'2024'!R\Max</f>
        <v>0.74212605012256827</v>
      </c>
      <c r="CC147" s="1190">
        <f>'2025'!R\Max</f>
        <v>0.74210406433862275</v>
      </c>
      <c r="CD147" s="1190">
        <f>'2026'!R\Max</f>
        <v>0.74218843213091235</v>
      </c>
      <c r="CE147" s="1191">
        <f>'2027'!R\Max</f>
        <v>0.74218155639263739</v>
      </c>
      <c r="CF147" s="1193">
        <f>'2028'!R\Max</f>
        <v>0.74217113958222014</v>
      </c>
    </row>
    <row r="148" spans="1:84" s="6" customFormat="1" ht="11.25" x14ac:dyDescent="0.2">
      <c r="A148" s="11">
        <v>43234</v>
      </c>
      <c r="B148" s="379">
        <f>'2022'!Maxi_hp</f>
        <v>63.17753058579234</v>
      </c>
      <c r="C148" s="13">
        <f>'2022'!An_max</f>
        <v>2018</v>
      </c>
      <c r="D148" s="1045">
        <f t="shared" si="78"/>
        <v>0.99095790987045429</v>
      </c>
      <c r="E148" s="1040">
        <f>W$13/10</f>
        <v>63.753999999999998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63.75399999991059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63.766550000198187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63.75399999991059</v>
      </c>
      <c r="AZ148" s="735">
        <f t="shared" si="96"/>
        <v>63.760275000054392</v>
      </c>
      <c r="BA148" s="633">
        <f t="shared" si="93"/>
        <v>0.99095790987045429</v>
      </c>
      <c r="BC148" s="11">
        <v>43234</v>
      </c>
      <c r="BD148" s="289">
        <f>[3]!FeuilCaduc*(1-Persistant)+Persistant</f>
        <v>0.69451465907721122</v>
      </c>
      <c r="BE148" s="290">
        <f>[3]!CroissVégét</f>
        <v>0.24698247846918731</v>
      </c>
      <c r="BF148" s="804">
        <f>1+[3]!Salcycl*Ksac</f>
        <v>1.0194514659077212</v>
      </c>
      <c r="BH148" s="1036">
        <f t="shared" si="94"/>
        <v>8.1268892080482594E-4</v>
      </c>
      <c r="BI148" s="11">
        <v>44330</v>
      </c>
      <c r="BJ148" s="715">
        <v>0</v>
      </c>
      <c r="BK148" s="715">
        <v>5.9972271406441852E-6</v>
      </c>
      <c r="BL148" s="715">
        <v>1.0520990075007178E-4</v>
      </c>
      <c r="BM148" s="715">
        <v>4.4068428635594617E-4</v>
      </c>
      <c r="BN148" s="715">
        <v>1.1860164634956488E-3</v>
      </c>
      <c r="BO148" s="716">
        <v>2.4708112148204391E-3</v>
      </c>
      <c r="BP148" s="715">
        <v>4.4055069919064086E-3</v>
      </c>
      <c r="BQ148" s="715">
        <v>7.1148292993074335E-3</v>
      </c>
      <c r="BR148" s="715">
        <v>1.0743883109030494E-2</v>
      </c>
      <c r="BS148" s="715">
        <v>1.5392795811748137E-2</v>
      </c>
      <c r="BT148" s="715">
        <v>2.0757248596228472E-2</v>
      </c>
      <c r="BW148" s="1190">
        <f>'2019'!R\Max</f>
        <v>0.99095790987045429</v>
      </c>
      <c r="BX148" s="1190">
        <f>'2020'!R\Max</f>
        <v>0.50615060988046001</v>
      </c>
      <c r="BY148" s="1190">
        <f>'2021'!R\Max</f>
        <v>0.76922825105728787</v>
      </c>
      <c r="BZ148" s="1190">
        <f>'2022'!R\Max</f>
        <v>0.84509034709629594</v>
      </c>
      <c r="CA148" s="1190">
        <f>'2023'!R\Max</f>
        <v>0.84507970368461272</v>
      </c>
      <c r="CB148" s="1190">
        <f>'2024'!R\Max</f>
        <v>0.84506801424181399</v>
      </c>
      <c r="CC148" s="1190">
        <f>'2025'!R\Max</f>
        <v>0.84505310631234642</v>
      </c>
      <c r="CD148" s="1190">
        <f>'2026'!R\Max</f>
        <v>0.84511039036479718</v>
      </c>
      <c r="CE148" s="1191">
        <f>'2027'!R\Max</f>
        <v>0.84510571153896941</v>
      </c>
      <c r="CF148" s="1193">
        <f>'2028'!R\Max</f>
        <v>0.84509864446084848</v>
      </c>
    </row>
    <row r="149" spans="1:84" s="6" customFormat="1" ht="11.25" x14ac:dyDescent="0.2">
      <c r="A149" s="11">
        <v>43235</v>
      </c>
      <c r="B149" s="379">
        <f>'2022'!Maxi_hp</f>
        <v>63.749746861981109</v>
      </c>
      <c r="C149" s="13">
        <f>'2022'!An_max</f>
        <v>2018</v>
      </c>
      <c r="D149" s="1045">
        <f t="shared" si="78"/>
        <v>0.99913395361062396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63.805004956147499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63.808156176949183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63.814751330816321</v>
      </c>
      <c r="AZ149" s="735">
        <f t="shared" si="96"/>
        <v>63.811453753882752</v>
      </c>
      <c r="BA149" s="633">
        <f t="shared" si="93"/>
        <v>0.99913395361062396</v>
      </c>
      <c r="BC149" s="11">
        <v>43235</v>
      </c>
      <c r="BD149" s="289">
        <f>[3]!FeuilCaduc*(1-Persistant)+Persistant</f>
        <v>0.70128238954397093</v>
      </c>
      <c r="BE149" s="290">
        <f>[3]!CroissVégét</f>
        <v>0.25473806189926657</v>
      </c>
      <c r="BF149" s="804">
        <f>1+[3]!Salcycl*Ksac</f>
        <v>1.0201282389543971</v>
      </c>
      <c r="BH149" s="1036">
        <f t="shared" si="94"/>
        <v>7.9278317416182269E-4</v>
      </c>
      <c r="BI149" s="11">
        <v>44331</v>
      </c>
      <c r="BJ149" s="715">
        <v>0</v>
      </c>
      <c r="BK149" s="715">
        <v>5.1062933590745904E-6</v>
      </c>
      <c r="BL149" s="715">
        <v>9.9855777399445746E-5</v>
      </c>
      <c r="BM149" s="715">
        <v>4.280033179142882E-4</v>
      </c>
      <c r="BN149" s="715">
        <v>1.1588602461793695E-3</v>
      </c>
      <c r="BO149" s="716">
        <v>2.4222206751123329E-3</v>
      </c>
      <c r="BP149" s="715">
        <v>4.3229902803479459E-3</v>
      </c>
      <c r="BQ149" s="715">
        <v>6.985971681784703E-3</v>
      </c>
      <c r="BR149" s="715">
        <v>1.0548051715790452E-2</v>
      </c>
      <c r="BS149" s="715">
        <v>1.5105197735801384E-2</v>
      </c>
      <c r="BT149" s="715">
        <v>2.0358189497284164E-2</v>
      </c>
      <c r="BW149" s="1190">
        <f>'2019'!R\Max</f>
        <v>0.99913395361062396</v>
      </c>
      <c r="BX149" s="1190">
        <f>'2020'!R\Max</f>
        <v>0.3282115435279962</v>
      </c>
      <c r="BY149" s="1190">
        <f>'2021'!R\Max</f>
        <v>0.34357545255383998</v>
      </c>
      <c r="BZ149" s="1190">
        <f>'2022'!R\Max</f>
        <v>0.88872676619717994</v>
      </c>
      <c r="CA149" s="1190">
        <f>'2023'!R\Max</f>
        <v>0.88871879652528563</v>
      </c>
      <c r="CB149" s="1190">
        <f>'2024'!R\Max</f>
        <v>0.88871001754774448</v>
      </c>
      <c r="CC149" s="1190">
        <f>'2025'!R\Max</f>
        <v>0.88869884958465917</v>
      </c>
      <c r="CD149" s="1190">
        <f>'2026'!R\Max</f>
        <v>0.88874181672256325</v>
      </c>
      <c r="CE149" s="1191">
        <f>'2027'!R\Max</f>
        <v>0.88873829984930797</v>
      </c>
      <c r="CF149" s="1193">
        <f>'2028'!R\Max</f>
        <v>0.88873300356028417</v>
      </c>
    </row>
    <row r="150" spans="1:84" s="6" customFormat="1" ht="11.25" x14ac:dyDescent="0.2">
      <c r="A150" s="11">
        <v>43236</v>
      </c>
      <c r="B150" s="379">
        <f>'2022'!Maxi_hp</f>
        <v>55.014965480142017</v>
      </c>
      <c r="C150" s="13">
        <f>'2022'!An_max</f>
        <v>2022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63.85059475270765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63.845325947340051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63.868120845380645</v>
      </c>
      <c r="AZ150" s="735">
        <f t="shared" si="96"/>
        <v>63.856723396360351</v>
      </c>
      <c r="BA150" s="633">
        <f t="shared" si="93"/>
        <v>0.86162025104408368</v>
      </c>
      <c r="BC150" s="11">
        <v>43236</v>
      </c>
      <c r="BD150" s="289">
        <f>[3]!FeuilCaduc*(1-Persistant)+Persistant</f>
        <v>0.70812517862426905</v>
      </c>
      <c r="BE150" s="290">
        <f>[3]!CroissVégét</f>
        <v>0.2626509368215188</v>
      </c>
      <c r="BF150" s="804">
        <f>1+[3]!Salcycl*Ksac</f>
        <v>1.020812517862427</v>
      </c>
      <c r="BH150" s="1036">
        <f t="shared" si="94"/>
        <v>7.7290640297979739E-4</v>
      </c>
      <c r="BI150" s="11">
        <v>44332</v>
      </c>
      <c r="BJ150" s="715">
        <v>4.327002988972297E-10</v>
      </c>
      <c r="BK150" s="715">
        <v>4.2650015846098117E-6</v>
      </c>
      <c r="BL150" s="715">
        <v>9.460144393855669E-5</v>
      </c>
      <c r="BM150" s="715">
        <v>4.1534246034725426E-4</v>
      </c>
      <c r="BN150" s="715">
        <v>1.1317419004343149E-3</v>
      </c>
      <c r="BO150" s="716">
        <v>2.3741970502619146E-3</v>
      </c>
      <c r="BP150" s="715">
        <v>4.2423637700582479E-3</v>
      </c>
      <c r="BQ150" s="715">
        <v>6.8613266124519122E-3</v>
      </c>
      <c r="BR150" s="715">
        <v>1.0359685212139117E-2</v>
      </c>
      <c r="BS150" s="715">
        <v>1.4830042714280308E-2</v>
      </c>
      <c r="BT150" s="715">
        <v>1.9977796147738962E-2</v>
      </c>
      <c r="BW150" s="1190">
        <f>'2019'!R\Max</f>
        <v>0.85803845574671445</v>
      </c>
      <c r="BX150" s="1190">
        <f>'2020'!R\Max</f>
        <v>0.27096411421695826</v>
      </c>
      <c r="BY150" s="1190">
        <f>'2021'!R\Max</f>
        <v>0.21191519776391607</v>
      </c>
      <c r="BZ150" s="1190">
        <f>'2022'!R\Max</f>
        <v>0.86162025104408368</v>
      </c>
      <c r="CA150" s="1190">
        <f>'2023'!R\Max</f>
        <v>0.86161072172800779</v>
      </c>
      <c r="CB150" s="1190">
        <f>'2024'!R\Max</f>
        <v>0.8616001923353136</v>
      </c>
      <c r="CC150" s="1190">
        <f>'2025'!R\Max</f>
        <v>0.8615868305237161</v>
      </c>
      <c r="CD150" s="1190">
        <f>'2026'!R\Max</f>
        <v>0.8616382935170267</v>
      </c>
      <c r="CE150" s="1191">
        <f>'2027'!R\Max</f>
        <v>0.86163407414563886</v>
      </c>
      <c r="CF150" s="1193">
        <f>'2028'!R\Max</f>
        <v>0.86162773743711885</v>
      </c>
    </row>
    <row r="151" spans="1:84" s="6" customFormat="1" ht="11.25" x14ac:dyDescent="0.2">
      <c r="A151" s="11">
        <v>43237</v>
      </c>
      <c r="B151" s="379">
        <f>'2022'!Maxi_hp</f>
        <v>58.682633435101266</v>
      </c>
      <c r="C151" s="13">
        <f>'2022'!An_max</f>
        <v>2022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63.890988920708857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63.878361169767707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63.914410404235653</v>
      </c>
      <c r="AZ151" s="735">
        <f t="shared" si="96"/>
        <v>63.896385787001677</v>
      </c>
      <c r="BA151" s="633">
        <f t="shared" si="93"/>
        <v>0.91848059368635915</v>
      </c>
      <c r="BC151" s="11">
        <v>43237</v>
      </c>
      <c r="BD151" s="289">
        <f>[3]!FeuilCaduc*(1-Persistant)+Persistant</f>
        <v>0.71503634030567198</v>
      </c>
      <c r="BE151" s="290">
        <f>[3]!CroissVégét</f>
        <v>0.27071905354146641</v>
      </c>
      <c r="BF151" s="804">
        <f>1+[3]!Salcycl*Ksac</f>
        <v>1.0215036340305672</v>
      </c>
      <c r="BH151" s="1036">
        <f t="shared" si="94"/>
        <v>7.5271277475939249E-4</v>
      </c>
      <c r="BI151" s="11">
        <v>44333</v>
      </c>
      <c r="BJ151" s="715">
        <v>1.2976083127066588E-9</v>
      </c>
      <c r="BK151" s="715">
        <v>3.5142218514610683E-6</v>
      </c>
      <c r="BL151" s="715">
        <v>8.9591725544285421E-5</v>
      </c>
      <c r="BM151" s="715">
        <v>4.0262589482279511E-4</v>
      </c>
      <c r="BN151" s="715">
        <v>1.1040446198818414E-3</v>
      </c>
      <c r="BO151" s="716">
        <v>2.3251886799677498E-3</v>
      </c>
      <c r="BP151" s="715">
        <v>4.1607992520120186E-3</v>
      </c>
      <c r="BQ151" s="715">
        <v>6.7361661547241545E-3</v>
      </c>
      <c r="BR151" s="715">
        <v>1.0171920120184721E-2</v>
      </c>
      <c r="BS151" s="715">
        <v>1.455823084434045E-2</v>
      </c>
      <c r="BT151" s="715">
        <v>1.9604867694043841E-2</v>
      </c>
      <c r="BW151" s="1190">
        <f>'2019'!R\Max</f>
        <v>0.10329548388939132</v>
      </c>
      <c r="BX151" s="1190">
        <f>'2020'!R\Max</f>
        <v>0.59822642728475439</v>
      </c>
      <c r="BY151" s="1190">
        <f>'2021'!R\Max</f>
        <v>0.90187460388189611</v>
      </c>
      <c r="BZ151" s="1190">
        <f>'2022'!R\Max</f>
        <v>0.91848059368635915</v>
      </c>
      <c r="CA151" s="1190">
        <f>'2023'!R\Max</f>
        <v>0.9184746601408238</v>
      </c>
      <c r="CB151" s="1190">
        <f>'2024'!R\Max</f>
        <v>0.91846808280849956</v>
      </c>
      <c r="CC151" s="1190">
        <f>'2025'!R\Max</f>
        <v>0.91845975614173547</v>
      </c>
      <c r="CD151" s="1190">
        <f>'2026'!R\Max</f>
        <v>0.91849185332986738</v>
      </c>
      <c r="CE151" s="1191">
        <f>'2027'!R\Max</f>
        <v>0.91848921871642164</v>
      </c>
      <c r="CF151" s="1193">
        <f>'2028'!R\Max</f>
        <v>0.9184852720391421</v>
      </c>
    </row>
    <row r="152" spans="1:84" s="6" customFormat="1" ht="11.25" x14ac:dyDescent="0.2">
      <c r="A152" s="11">
        <v>43238</v>
      </c>
      <c r="B152" s="379">
        <f>'2022'!Maxi_hp</f>
        <v>65.112138934007149</v>
      </c>
      <c r="C152" s="13">
        <f>'2022'!An_max</f>
        <v>2020</v>
      </c>
      <c r="D152" s="1045">
        <f t="shared" si="78"/>
        <v>1.0185483901396619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63.926406996803621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63.907563702336368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63.953921866097616</v>
      </c>
      <c r="AZ152" s="735">
        <f t="shared" si="96"/>
        <v>63.930742784216989</v>
      </c>
      <c r="BA152" s="633">
        <f t="shared" si="93"/>
        <v>1.0185483901396619</v>
      </c>
      <c r="BC152" s="11">
        <v>43238</v>
      </c>
      <c r="BD152" s="289">
        <f>[3]!FeuilCaduc*(1-Persistant)+Persistant</f>
        <v>0.72200890169890197</v>
      </c>
      <c r="BE152" s="290">
        <f>[3]!CroissVégét</f>
        <v>0.27894001398938062</v>
      </c>
      <c r="BF152" s="804">
        <f>1+[3]!Salcycl*Ksac</f>
        <v>1.0222008901698902</v>
      </c>
      <c r="BH152" s="1036">
        <f t="shared" si="94"/>
        <v>7.322030813542577E-4</v>
      </c>
      <c r="BI152" s="11">
        <v>44334</v>
      </c>
      <c r="BJ152" s="715">
        <v>2.5942054941865392E-9</v>
      </c>
      <c r="BK152" s="715">
        <v>2.8538731120878443E-6</v>
      </c>
      <c r="BL152" s="715">
        <v>8.4826474357021996E-5</v>
      </c>
      <c r="BM152" s="715">
        <v>3.8985397362245117E-4</v>
      </c>
      <c r="BN152" s="715">
        <v>1.075769637510897E-3</v>
      </c>
      <c r="BO152" s="716">
        <v>2.2751976105712447E-3</v>
      </c>
      <c r="BP152" s="715">
        <v>4.0782992635230737E-3</v>
      </c>
      <c r="BQ152" s="715">
        <v>6.6104930651116707E-3</v>
      </c>
      <c r="BR152" s="715">
        <v>9.9847589945641496E-3</v>
      </c>
      <c r="BS152" s="715">
        <v>1.4289763050384124E-2</v>
      </c>
      <c r="BT152" s="715">
        <v>1.9239402218317193E-2</v>
      </c>
      <c r="BW152" s="1190">
        <f>'2019'!R\Max</f>
        <v>0.58385203747522085</v>
      </c>
      <c r="BX152" s="1190">
        <f>'2020'!R\Max</f>
        <v>1.0185483901396619</v>
      </c>
      <c r="BY152" s="1190">
        <f>'2021'!R\Max</f>
        <v>0.58135063691299049</v>
      </c>
      <c r="BZ152" s="1190">
        <f>'2022'!R\Max</f>
        <v>0.88796987669209138</v>
      </c>
      <c r="CA152" s="1190">
        <f>'2023'!R\Max</f>
        <v>0.88796206170306979</v>
      </c>
      <c r="CB152" s="1190">
        <f>'2024'!R\Max</f>
        <v>0.88795337001967756</v>
      </c>
      <c r="CC152" s="1190">
        <f>'2025'!R\Max</f>
        <v>0.88794239265836739</v>
      </c>
      <c r="CD152" s="1190">
        <f>'2026'!R\Max</f>
        <v>0.88798473532666888</v>
      </c>
      <c r="CE152" s="1191">
        <f>'2027'!R\Max</f>
        <v>0.88798125749137591</v>
      </c>
      <c r="CF152" s="1193">
        <f>'2028'!R\Max</f>
        <v>0.88797605971985738</v>
      </c>
    </row>
    <row r="153" spans="1:84" s="6" customFormat="1" ht="11.25" x14ac:dyDescent="0.2">
      <c r="A153" s="11">
        <v>43239</v>
      </c>
      <c r="B153" s="379">
        <f>'2022'!Maxi_hp</f>
        <v>63.796579298765408</v>
      </c>
      <c r="C153" s="13">
        <f>'2022'!An_max</f>
        <v>2020</v>
      </c>
      <c r="D153" s="1045">
        <f t="shared" si="78"/>
        <v>0.99749067275565795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63.957068513253965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63.933235404387652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63.986957088791357</v>
      </c>
      <c r="AZ153" s="735">
        <f t="shared" si="96"/>
        <v>63.960096246589501</v>
      </c>
      <c r="BA153" s="633">
        <f t="shared" si="93"/>
        <v>0.99749067275565795</v>
      </c>
      <c r="BC153" s="11">
        <v>43239</v>
      </c>
      <c r="BD153" s="289">
        <f>[3]!FeuilCaduc*(1-Persistant)+Persistant</f>
        <v>0.72903561704732533</v>
      </c>
      <c r="BE153" s="290">
        <f>[3]!CroissVégét</f>
        <v>0.28731106552397356</v>
      </c>
      <c r="BF153" s="804">
        <f>1+[3]!Salcycl*Ksac</f>
        <v>1.0229035617047326</v>
      </c>
      <c r="BH153" s="1036">
        <f t="shared" si="94"/>
        <v>7.113781517212813E-4</v>
      </c>
      <c r="BI153" s="11">
        <v>44335</v>
      </c>
      <c r="BJ153" s="715">
        <v>4.3219463808180894E-9</v>
      </c>
      <c r="BK153" s="715">
        <v>2.2838695410910194E-6</v>
      </c>
      <c r="BL153" s="715">
        <v>8.0305532284899545E-5</v>
      </c>
      <c r="BM153" s="715">
        <v>3.7702706377055442E-4</v>
      </c>
      <c r="BN153" s="715">
        <v>1.0469182458536326E-3</v>
      </c>
      <c r="BO153" s="716">
        <v>2.2242259910231926E-3</v>
      </c>
      <c r="BP153" s="715">
        <v>3.9948664700524507E-3</v>
      </c>
      <c r="BQ153" s="715">
        <v>6.4843102406047818E-3</v>
      </c>
      <c r="BR153" s="715">
        <v>9.7982045175449787E-3</v>
      </c>
      <c r="BS153" s="715">
        <v>1.402464029234027E-2</v>
      </c>
      <c r="BT153" s="715">
        <v>1.8881397677876981E-2</v>
      </c>
      <c r="BW153" s="1190">
        <f>'2019'!R\Max</f>
        <v>0.41720439705384349</v>
      </c>
      <c r="BX153" s="1190">
        <f>'2020'!R\Max</f>
        <v>0.99749067275565795</v>
      </c>
      <c r="BY153" s="1190">
        <f>'2021'!R\Max</f>
        <v>0.70834847684958624</v>
      </c>
      <c r="BZ153" s="1190">
        <f>'2022'!R\Max</f>
        <v>0.93313726762246152</v>
      </c>
      <c r="CA153" s="1190">
        <f>'2023'!R\Max</f>
        <v>0.93313240988230517</v>
      </c>
      <c r="CB153" s="1190">
        <f>'2024'!R\Max</f>
        <v>0.93312698849172093</v>
      </c>
      <c r="CC153" s="1190">
        <f>'2025'!R\Max</f>
        <v>0.93312015715787211</v>
      </c>
      <c r="CD153" s="1190">
        <f>'2026'!R\Max</f>
        <v>0.93314651814911653</v>
      </c>
      <c r="CE153" s="1191">
        <f>'2027'!R\Max</f>
        <v>0.93314435285159802</v>
      </c>
      <c r="CF153" s="1193">
        <f>'2028'!R\Max</f>
        <v>0.93314112343359701</v>
      </c>
    </row>
    <row r="154" spans="1:84" s="6" customFormat="1" ht="11.25" x14ac:dyDescent="0.2">
      <c r="A154" s="11">
        <v>43240</v>
      </c>
      <c r="B154" s="379">
        <f>'2022'!Maxi_hp</f>
        <v>63.305602398396879</v>
      </c>
      <c r="C154" s="13">
        <f>'2022'!An_max</f>
        <v>2021</v>
      </c>
      <c r="D154" s="1045">
        <f t="shared" si="78"/>
        <v>0.98940986574140355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63.983193002587974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63.955678133772949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64.013817930407825</v>
      </c>
      <c r="AZ154" s="735">
        <f t="shared" si="96"/>
        <v>63.984748032090387</v>
      </c>
      <c r="BA154" s="633">
        <f t="shared" si="93"/>
        <v>0.98940986574140355</v>
      </c>
      <c r="BC154" s="11">
        <v>43240</v>
      </c>
      <c r="BD154" s="289">
        <f>[3]!FeuilCaduc*(1-Persistant)+Persistant</f>
        <v>0.73610898360023957</v>
      </c>
      <c r="BE154" s="290">
        <f>[3]!CroissVégét</f>
        <v>0.29582909613929492</v>
      </c>
      <c r="BF154" s="804">
        <f>1+[3]!Salcycl*Ksac</f>
        <v>1.0236108983600241</v>
      </c>
      <c r="BH154" s="1036">
        <f t="shared" si="94"/>
        <v>6.9023885265141814E-4</v>
      </c>
      <c r="BI154" s="11">
        <v>44336</v>
      </c>
      <c r="BJ154" s="715">
        <v>6.4802576428935485E-9</v>
      </c>
      <c r="BK154" s="715">
        <v>1.8041203373566566E-6</v>
      </c>
      <c r="BL154" s="715">
        <v>7.6028730474013144E-5</v>
      </c>
      <c r="BM154" s="715">
        <v>3.641455471779681E-4</v>
      </c>
      <c r="BN154" s="715">
        <v>1.0174917983054063E-3</v>
      </c>
      <c r="BO154" s="716">
        <v>2.1722760751331591E-3</v>
      </c>
      <c r="BP154" s="715">
        <v>3.9105036674112895E-3</v>
      </c>
      <c r="BQ154" s="715">
        <v>6.3576207200230087E-3</v>
      </c>
      <c r="BR154" s="715">
        <v>9.6122594980264514E-3</v>
      </c>
      <c r="BS154" s="715">
        <v>1.3762863558780069E-2</v>
      </c>
      <c r="BT154" s="715">
        <v>1.8530851889464763E-2</v>
      </c>
      <c r="BW154" s="1190">
        <f>'2019'!R\Max</f>
        <v>0.83199375688718558</v>
      </c>
      <c r="BX154" s="1190">
        <f>'2020'!R\Max</f>
        <v>0.97325744180061191</v>
      </c>
      <c r="BY154" s="1190">
        <f>'2021'!R\Max</f>
        <v>0.98940986574140355</v>
      </c>
      <c r="BZ154" s="1190">
        <f>'2022'!R\Max</f>
        <v>0.83241457359261384</v>
      </c>
      <c r="CA154" s="1190">
        <f>'2023'!R\Max</f>
        <v>0.83240381218554915</v>
      </c>
      <c r="CB154" s="1190">
        <f>'2024'!R\Max</f>
        <v>0.8323917592016925</v>
      </c>
      <c r="CC154" s="1190">
        <f>'2025'!R\Max</f>
        <v>0.83237660615113274</v>
      </c>
      <c r="CD154" s="1190">
        <f>'2026'!R\Max</f>
        <v>0.83243509178497166</v>
      </c>
      <c r="CE154" s="1191">
        <f>'2027'!R\Max</f>
        <v>0.83243029004594726</v>
      </c>
      <c r="CF154" s="1193">
        <f>'2028'!R\Max</f>
        <v>0.83242314170615184</v>
      </c>
    </row>
    <row r="155" spans="1:84" s="6" customFormat="1" ht="11.25" x14ac:dyDescent="0.2">
      <c r="A155" s="11">
        <v>43241</v>
      </c>
      <c r="B155" s="379">
        <f>'2022'!Maxi_hp</f>
        <v>61.653025263591708</v>
      </c>
      <c r="C155" s="13">
        <f>'2022'!An_max</f>
        <v>2020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64.004999999888241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63.975193749833849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64.034806250501418</v>
      </c>
      <c r="AZ155" s="735">
        <f t="shared" si="96"/>
        <v>64.005000000167627</v>
      </c>
      <c r="BA155" s="633">
        <f t="shared" si="93"/>
        <v>0.96325326558392876</v>
      </c>
      <c r="BC155" s="11">
        <v>43241</v>
      </c>
      <c r="BD155" s="289">
        <f>[3]!FeuilCaduc*(1-Persistant)+Persistant</f>
        <v>0.74322125933233163</v>
      </c>
      <c r="BE155" s="290">
        <f>[3]!CroissVégét</f>
        <v>0.30449063118118064</v>
      </c>
      <c r="BF155" s="804">
        <f>1+[3]!Salcycl*Ksac</f>
        <v>1.0243221259332331</v>
      </c>
      <c r="BH155" s="1036">
        <f t="shared" si="94"/>
        <v>6.6878608945973952E-4</v>
      </c>
      <c r="BI155" s="11">
        <v>44337</v>
      </c>
      <c r="BJ155" s="715">
        <v>9.0685371314245895E-9</v>
      </c>
      <c r="BK155" s="715">
        <v>1.4145295260520613E-6</v>
      </c>
      <c r="BL155" s="715">
        <v>7.1995888773963E-5</v>
      </c>
      <c r="BM155" s="715">
        <v>3.5120982076415012E-4</v>
      </c>
      <c r="BN155" s="715">
        <v>9.8749171038483912E-4</v>
      </c>
      <c r="BO155" s="716">
        <v>2.1193502236918535E-3</v>
      </c>
      <c r="BP155" s="715">
        <v>3.8252137837358948E-3</v>
      </c>
      <c r="BQ155" s="715">
        <v>6.2304276849946992E-3</v>
      </c>
      <c r="BR155" s="715">
        <v>9.4269268699823106E-3</v>
      </c>
      <c r="BS155" s="715">
        <v>1.3504433859233821E-2</v>
      </c>
      <c r="BT155" s="715">
        <v>1.8187762512394349E-2</v>
      </c>
      <c r="BW155" s="1190">
        <f>'2019'!R\Max</f>
        <v>0.79754869069709089</v>
      </c>
      <c r="BX155" s="1190">
        <f>'2020'!R\Max</f>
        <v>0.96325326558392876</v>
      </c>
      <c r="BY155" s="1190">
        <f>'2021'!R\Max</f>
        <v>0.64254002931104948</v>
      </c>
      <c r="BZ155" s="1190">
        <f>'2022'!R\Max</f>
        <v>0.8338510227768765</v>
      </c>
      <c r="CA155" s="1190">
        <f>'2023'!R\Max</f>
        <v>0.83384043646659745</v>
      </c>
      <c r="CB155" s="1190">
        <f>'2024'!R\Max</f>
        <v>0.8338285353257926</v>
      </c>
      <c r="CC155" s="1190">
        <f>'2025'!R\Max</f>
        <v>0.83381360612486777</v>
      </c>
      <c r="CD155" s="1190">
        <f>'2026'!R\Max</f>
        <v>0.83387122395697244</v>
      </c>
      <c r="CE155" s="1191">
        <f>'2027'!R\Max</f>
        <v>0.8338664988463802</v>
      </c>
      <c r="CF155" s="1193">
        <f>'2028'!R\Max</f>
        <v>0.83385947565174878</v>
      </c>
    </row>
    <row r="156" spans="1:84" s="6" customFormat="1" ht="11.25" x14ac:dyDescent="0.2">
      <c r="A156" s="11">
        <v>43242</v>
      </c>
      <c r="B156" s="379">
        <f>'2022'!Maxi_hp</f>
        <v>60.757180610940942</v>
      </c>
      <c r="C156" s="13">
        <f>'2022'!An_max</f>
        <v>2018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64.022709038215027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63.992084110714494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64.050223907402582</v>
      </c>
      <c r="AZ156" s="735">
        <f t="shared" si="96"/>
        <v>64.021154009058534</v>
      </c>
      <c r="BA156" s="633">
        <f t="shared" si="93"/>
        <v>0.94899421664077199</v>
      </c>
      <c r="BC156" s="11">
        <v>43242</v>
      </c>
      <c r="BD156" s="289">
        <f>[3]!FeuilCaduc*(1-Persistant)+Persistant</f>
        <v>0.75036448247499921</v>
      </c>
      <c r="BE156" s="290">
        <f>[3]!CroissVégét</f>
        <v>0.3132918316722918</v>
      </c>
      <c r="BF156" s="804">
        <f>1+[3]!Salcycl*Ksac</f>
        <v>1.0250364482474998</v>
      </c>
      <c r="BH156" s="1036">
        <f t="shared" si="94"/>
        <v>6.4764814144266456E-4</v>
      </c>
      <c r="BI156" s="11">
        <v>44338</v>
      </c>
      <c r="BJ156" s="715">
        <v>1.2572681772960947E-8</v>
      </c>
      <c r="BK156" s="715">
        <v>1.1167118216140578E-6</v>
      </c>
      <c r="BL156" s="715">
        <v>6.8298345943898408E-5</v>
      </c>
      <c r="BM156" s="715">
        <v>3.3858942463719697E-4</v>
      </c>
      <c r="BN156" s="715">
        <v>9.5780592069479248E-4</v>
      </c>
      <c r="BO156" s="716">
        <v>2.0668114225738266E-3</v>
      </c>
      <c r="BP156" s="715">
        <v>3.7410456825065987E-3</v>
      </c>
      <c r="BQ156" s="715">
        <v>6.105499447601183E-3</v>
      </c>
      <c r="BR156" s="715">
        <v>9.2460036280837179E-3</v>
      </c>
      <c r="BS156" s="715">
        <v>1.3254167534823088E-2</v>
      </c>
      <c r="BT156" s="715">
        <v>1.7858080308778088E-2</v>
      </c>
      <c r="BW156" s="1190">
        <f>'2019'!R\Max</f>
        <v>0.94899421664077199</v>
      </c>
      <c r="BX156" s="1190">
        <f>'2020'!R\Max</f>
        <v>0.89032146383496646</v>
      </c>
      <c r="BY156" s="1190">
        <f>'2021'!R\Max</f>
        <v>0.48454266453846051</v>
      </c>
      <c r="BZ156" s="1190">
        <f>'2022'!R\Max</f>
        <v>0.63327928778760123</v>
      </c>
      <c r="CA156" s="1190">
        <f>'2023'!R\Max</f>
        <v>0.6332617090301883</v>
      </c>
      <c r="CB156" s="1190">
        <f>'2024'!R\Max</f>
        <v>0.6332418716450412</v>
      </c>
      <c r="CC156" s="1190">
        <f>'2025'!R\Max</f>
        <v>0.63321704294768444</v>
      </c>
      <c r="CD156" s="1190">
        <f>'2026'!R\Max</f>
        <v>0.63331285068941257</v>
      </c>
      <c r="CE156" s="1191">
        <f>'2027'!R\Max</f>
        <v>0.63330500504837262</v>
      </c>
      <c r="CF156" s="1193">
        <f>'2028'!R\Max</f>
        <v>0.63329336191454322</v>
      </c>
    </row>
    <row r="157" spans="1:84" s="6" customFormat="1" ht="11.25" x14ac:dyDescent="0.2">
      <c r="A157" s="11">
        <v>43243</v>
      </c>
      <c r="B157" s="379">
        <f>'2022'!Maxi_hp</f>
        <v>57.940082195716684</v>
      </c>
      <c r="C157" s="13">
        <f>'2022'!An_max</f>
        <v>2020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64.036539649910168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64.006651074745292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64.060372759042565</v>
      </c>
      <c r="AZ157" s="735">
        <f t="shared" si="96"/>
        <v>64.033511916893929</v>
      </c>
      <c r="BA157" s="633">
        <f t="shared" si="93"/>
        <v>0.90479720660230845</v>
      </c>
      <c r="BC157" s="11">
        <v>43243</v>
      </c>
      <c r="BD157" s="289">
        <f>[3]!FeuilCaduc*(1-Persistant)+Persistant</f>
        <v>0.7575304928083314</v>
      </c>
      <c r="BE157" s="290">
        <f>[3]!CroissVégét</f>
        <v>0.3222284943358365</v>
      </c>
      <c r="BF157" s="804">
        <f>1+[3]!Salcycl*Ksac</f>
        <v>1.0257530492808331</v>
      </c>
      <c r="BH157" s="1036">
        <f t="shared" si="94"/>
        <v>6.2667349156658974E-4</v>
      </c>
      <c r="BI157" s="11">
        <v>44339</v>
      </c>
      <c r="BJ157" s="715">
        <v>1.6991287552255346E-8</v>
      </c>
      <c r="BK157" s="715">
        <v>8.5670608418618063E-7</v>
      </c>
      <c r="BL157" s="715">
        <v>6.4718584766070093E-5</v>
      </c>
      <c r="BM157" s="715">
        <v>3.2602242033489707E-4</v>
      </c>
      <c r="BN157" s="715">
        <v>9.2839372630660992E-4</v>
      </c>
      <c r="BO157" s="716">
        <v>2.0147710378245758E-3</v>
      </c>
      <c r="BP157" s="715">
        <v>3.6581807203842566E-3</v>
      </c>
      <c r="BQ157" s="715">
        <v>5.9827741955744184E-3</v>
      </c>
      <c r="BR157" s="715">
        <v>9.0690484858008576E-3</v>
      </c>
      <c r="BS157" s="715">
        <v>1.3010466814073087E-2</v>
      </c>
      <c r="BT157" s="715">
        <v>1.753841253048977E-2</v>
      </c>
      <c r="BW157" s="1190">
        <f>'2019'!R\Max</f>
        <v>0.8232033355026902</v>
      </c>
      <c r="BX157" s="1190">
        <f>'2020'!R\Max</f>
        <v>0.90479720660230845</v>
      </c>
      <c r="BY157" s="1190">
        <f>'2021'!R\Max</f>
        <v>0.62639381573873265</v>
      </c>
      <c r="BZ157" s="1190">
        <f>'2022'!R\Max</f>
        <v>0.33431640047042682</v>
      </c>
      <c r="CA157" s="1190">
        <f>'2023'!R\Max</f>
        <v>0.33429971122879781</v>
      </c>
      <c r="CB157" s="1190">
        <f>'2024'!R\Max</f>
        <v>0.33428080512064079</v>
      </c>
      <c r="CC157" s="1190">
        <f>'2025'!R\Max</f>
        <v>0.33425719800045667</v>
      </c>
      <c r="CD157" s="1190">
        <f>'2026'!R\Max</f>
        <v>0.33434827588950189</v>
      </c>
      <c r="CE157" s="1191">
        <f>'2027'!R\Max</f>
        <v>0.33434082928949654</v>
      </c>
      <c r="CF157" s="1193">
        <f>'2028'!R\Max</f>
        <v>0.33432979694552462</v>
      </c>
    </row>
    <row r="158" spans="1:84" s="6" customFormat="1" ht="11.25" x14ac:dyDescent="0.2">
      <c r="A158" s="11">
        <v>43244</v>
      </c>
      <c r="B158" s="379">
        <f>'2022'!Maxi_hp</f>
        <v>27.39141049073487</v>
      </c>
      <c r="C158" s="13">
        <f>'2022'!An_max</f>
        <v>2021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64.046711370508575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64.019196501906436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64.065554665188699</v>
      </c>
      <c r="AZ158" s="735">
        <f t="shared" si="96"/>
        <v>64.042375583547567</v>
      </c>
      <c r="BA158" s="633">
        <f t="shared" si="93"/>
        <v>0.42767864117606702</v>
      </c>
      <c r="BC158" s="11">
        <v>43244</v>
      </c>
      <c r="BD158" s="289">
        <f>[3]!FeuilCaduc*(1-Persistant)+Persistant</f>
        <v>0.7647109546455817</v>
      </c>
      <c r="BE158" s="290">
        <f>[3]!CroissVégét</f>
        <v>0.33129605339749552</v>
      </c>
      <c r="BF158" s="804">
        <f>1+[3]!Salcycl*Ksac</f>
        <v>1.0264710954645582</v>
      </c>
      <c r="BH158" s="1036">
        <f t="shared" si="94"/>
        <v>6.0586012379053376E-4</v>
      </c>
      <c r="BI158" s="11">
        <v>44340</v>
      </c>
      <c r="BJ158" s="715">
        <v>2.2322791310391425E-8</v>
      </c>
      <c r="BK158" s="715">
        <v>6.3447162707616765E-7</v>
      </c>
      <c r="BL158" s="715">
        <v>6.1256339381084133E-5</v>
      </c>
      <c r="BM158" s="715">
        <v>3.1350789396118484E-4</v>
      </c>
      <c r="BN158" s="715">
        <v>8.9925200511499026E-4</v>
      </c>
      <c r="BO158" s="716">
        <v>1.9632217657121953E-3</v>
      </c>
      <c r="BP158" s="715">
        <v>3.5766044498095947E-3</v>
      </c>
      <c r="BQ158" s="715">
        <v>5.862227490320681E-3</v>
      </c>
      <c r="BR158" s="715">
        <v>8.8960230414897069E-3</v>
      </c>
      <c r="BS158" s="715">
        <v>1.2773274859274411E-2</v>
      </c>
      <c r="BT158" s="715">
        <v>1.722868049217793E-2</v>
      </c>
      <c r="BW158" s="1190">
        <f>'2019'!R\Max</f>
        <v>0.1957689738233466</v>
      </c>
      <c r="BX158" s="1190">
        <f>'2020'!R\Max</f>
        <v>0.28979967942976753</v>
      </c>
      <c r="BY158" s="1190">
        <f>'2021'!R\Max</f>
        <v>0.42767864117606702</v>
      </c>
      <c r="BZ158" s="1190">
        <f>'2022'!R\Max</f>
        <v>0.27636541361702716</v>
      </c>
      <c r="CA158" s="1190">
        <f>'2023'!R\Max</f>
        <v>0.27635103786045717</v>
      </c>
      <c r="CB158" s="1190">
        <f>'2024'!R\Max</f>
        <v>0.27633468831721636</v>
      </c>
      <c r="CC158" s="1190">
        <f>'2025'!R\Max</f>
        <v>0.27631432268371531</v>
      </c>
      <c r="CD158" s="1190">
        <f>'2026'!R\Max</f>
        <v>0.27639287152887615</v>
      </c>
      <c r="CE158" s="1191">
        <f>'2027'!R\Max</f>
        <v>0.27638646118062993</v>
      </c>
      <c r="CF158" s="1193">
        <f>'2028'!R\Max</f>
        <v>0.27637698086921525</v>
      </c>
    </row>
    <row r="159" spans="1:84" s="6" customFormat="1" ht="11.25" x14ac:dyDescent="0.2">
      <c r="A159" s="11">
        <v>43245</v>
      </c>
      <c r="B159" s="379">
        <f>'2022'!Maxi_hp</f>
        <v>59.825577923222795</v>
      </c>
      <c r="C159" s="13">
        <f>'2022'!An_max</f>
        <v>2020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64.053443731527253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64.030022248213328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64.066071483652507</v>
      </c>
      <c r="AZ159" s="735">
        <f t="shared" si="96"/>
        <v>64.048046865932918</v>
      </c>
      <c r="BA159" s="633">
        <f t="shared" si="93"/>
        <v>0.93399471500665787</v>
      </c>
      <c r="BC159" s="11">
        <v>43245</v>
      </c>
      <c r="BD159" s="289">
        <f>[3]!FeuilCaduc*(1-Persistant)+Persistant</f>
        <v>0.77189738142514019</v>
      </c>
      <c r="BE159" s="290">
        <f>[3]!CroissVégét</f>
        <v>0.34048958423292969</v>
      </c>
      <c r="BF159" s="804">
        <f>1+[3]!Salcycl*Ksac</f>
        <v>1.0271897381425139</v>
      </c>
      <c r="BH159" s="1036">
        <f t="shared" si="94"/>
        <v>5.8520991831691389E-4</v>
      </c>
      <c r="BI159" s="11">
        <v>44341</v>
      </c>
      <c r="BJ159" s="715">
        <v>2.8565593335451347E-8</v>
      </c>
      <c r="BK159" s="715">
        <v>4.4997018109117041E-7</v>
      </c>
      <c r="BL159" s="715">
        <v>5.7911743869497258E-5</v>
      </c>
      <c r="BM159" s="715">
        <v>3.0104697359075681E-4</v>
      </c>
      <c r="BN159" s="715">
        <v>8.703833921247583E-4</v>
      </c>
      <c r="BO159" s="716">
        <v>1.9121687278504705E-3</v>
      </c>
      <c r="BP159" s="715">
        <v>3.4963248574698823E-3</v>
      </c>
      <c r="BQ159" s="715">
        <v>5.7438714880661797E-3</v>
      </c>
      <c r="BR159" s="715">
        <v>8.7269442297131065E-3</v>
      </c>
      <c r="BS159" s="715">
        <v>1.2542614045264444E-2</v>
      </c>
      <c r="BT159" s="715">
        <v>1.6928912090269369E-2</v>
      </c>
      <c r="BW159" s="1190">
        <f>'2019'!R\Max</f>
        <v>0.40214783607060522</v>
      </c>
      <c r="BX159" s="1190">
        <f>'2020'!R\Max</f>
        <v>0.93399471500665787</v>
      </c>
      <c r="BY159" s="1190">
        <f>'2021'!R\Max</f>
        <v>0.79580149074182027</v>
      </c>
      <c r="BZ159" s="1190">
        <f>'2022'!R\Max</f>
        <v>0.69524902697617164</v>
      </c>
      <c r="CA159" s="1190">
        <f>'2023'!R\Max</f>
        <v>0.69523342410150157</v>
      </c>
      <c r="CB159" s="1190">
        <f>'2024'!R\Max</f>
        <v>0.69521560697569507</v>
      </c>
      <c r="CC159" s="1190">
        <f>'2025'!R\Max</f>
        <v>0.69519346711940699</v>
      </c>
      <c r="CD159" s="1190">
        <f>'2026'!R\Max</f>
        <v>0.69527881960260174</v>
      </c>
      <c r="CE159" s="1191">
        <f>'2027'!R\Max</f>
        <v>0.69527186931841622</v>
      </c>
      <c r="CF159" s="1193">
        <f>'2028'!R\Max</f>
        <v>0.69526160940882487</v>
      </c>
    </row>
    <row r="160" spans="1:84" s="6" customFormat="1" ht="11.25" x14ac:dyDescent="0.2">
      <c r="A160" s="11">
        <v>43246</v>
      </c>
      <c r="B160" s="379">
        <f>'2022'!Maxi_hp</f>
        <v>62.596709791929555</v>
      </c>
      <c r="C160" s="13">
        <f>'2022'!An_max</f>
        <v>2020</v>
      </c>
      <c r="D160" s="1045">
        <f t="shared" si="78"/>
        <v>0.97720393598077482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64.056956267889063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64.039430175375728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64.062225073575974</v>
      </c>
      <c r="AZ160" s="735">
        <f t="shared" si="96"/>
        <v>64.050827624475858</v>
      </c>
      <c r="BA160" s="633">
        <f t="shared" si="93"/>
        <v>0.97720393598077482</v>
      </c>
      <c r="BC160" s="11">
        <v>43246</v>
      </c>
      <c r="BD160" s="289">
        <f>[3]!FeuilCaduc*(1-Persistant)+Persistant</f>
        <v>0.77908116180847387</v>
      </c>
      <c r="BE160" s="290">
        <f>[3]!CroissVégét</f>
        <v>0.34980380891459434</v>
      </c>
      <c r="BF160" s="804">
        <f>1+[3]!Salcycl*Ksac</f>
        <v>1.0279081161808474</v>
      </c>
      <c r="BH160" s="1036">
        <f t="shared" si="94"/>
        <v>5.647246267747577E-4</v>
      </c>
      <c r="BI160" s="11">
        <v>44342</v>
      </c>
      <c r="BJ160" s="715">
        <v>3.5718015091285565E-8</v>
      </c>
      <c r="BK160" s="715">
        <v>3.0315788215358022E-7</v>
      </c>
      <c r="BL160" s="715">
        <v>5.4684900303105409E-5</v>
      </c>
      <c r="BM160" s="715">
        <v>2.8864071520247504E-4</v>
      </c>
      <c r="BN160" s="715">
        <v>8.4179033708895118E-4</v>
      </c>
      <c r="BO160" s="716">
        <v>1.8616167166711607E-3</v>
      </c>
      <c r="BP160" s="715">
        <v>3.4173493492121727E-3</v>
      </c>
      <c r="BQ160" s="715">
        <v>5.627717454596691E-3</v>
      </c>
      <c r="BR160" s="715">
        <v>8.5618276129275171E-3</v>
      </c>
      <c r="BS160" s="715">
        <v>1.2318504734544551E-2</v>
      </c>
      <c r="BT160" s="715">
        <v>1.6639132425187334E-2</v>
      </c>
      <c r="BW160" s="1190">
        <f>'2019'!R\Max</f>
        <v>0.4123508424521663</v>
      </c>
      <c r="BX160" s="1190">
        <f>'2020'!R\Max</f>
        <v>0.97720393598077482</v>
      </c>
      <c r="BY160" s="1190">
        <f>'2021'!R\Max</f>
        <v>0.87121108879218201</v>
      </c>
      <c r="BZ160" s="1190">
        <f>'2022'!R\Max</f>
        <v>0.4226383190728728</v>
      </c>
      <c r="CA160" s="1190">
        <f>'2023'!R\Max</f>
        <v>0.4226205090986464</v>
      </c>
      <c r="CB160" s="1190">
        <f>'2024'!R\Max</f>
        <v>0.42260009052383857</v>
      </c>
      <c r="CC160" s="1190">
        <f>'2025'!R\Max</f>
        <v>0.42257478523705938</v>
      </c>
      <c r="CD160" s="1190">
        <f>'2026'!R\Max</f>
        <v>0.42267231148345535</v>
      </c>
      <c r="CE160" s="1191">
        <f>'2027'!R\Max</f>
        <v>0.42266438700995229</v>
      </c>
      <c r="CF160" s="1193">
        <f>'2028'!R\Max</f>
        <v>0.42265271241426661</v>
      </c>
    </row>
    <row r="161" spans="1:84" s="6" customFormat="1" ht="11.25" x14ac:dyDescent="0.2">
      <c r="A161" s="11">
        <v>43247</v>
      </c>
      <c r="B161" s="379">
        <f>'2022'!Maxi_hp</f>
        <v>62.270971233570506</v>
      </c>
      <c r="C161" s="13">
        <f>'2022'!An_max</f>
        <v>2020</v>
      </c>
      <c r="D161" s="1045">
        <f t="shared" si="78"/>
        <v>0.97211102278891193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64.057468513133273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64.04772213879707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64.05431729245133</v>
      </c>
      <c r="AZ161" s="735">
        <f t="shared" si="96"/>
        <v>64.051019715624193</v>
      </c>
      <c r="BA161" s="633">
        <f t="shared" si="93"/>
        <v>0.97211102278891193</v>
      </c>
      <c r="BC161" s="11">
        <v>43247</v>
      </c>
      <c r="BD161" s="289">
        <f>[3]!FeuilCaduc*(1-Persistant)+Persistant</f>
        <v>0.78625358716645866</v>
      </c>
      <c r="BE161" s="290">
        <f>[3]!CroissVégét</f>
        <v>0.35923310369654604</v>
      </c>
      <c r="BF161" s="804">
        <f>1+[3]!Salcycl*Ksac</f>
        <v>1.0286253587166458</v>
      </c>
      <c r="BH161" s="1036">
        <f t="shared" si="94"/>
        <v>5.444058743017499E-4</v>
      </c>
      <c r="BI161" s="11">
        <v>44343</v>
      </c>
      <c r="BJ161" s="715">
        <v>4.3778311549290847E-8</v>
      </c>
      <c r="BK161" s="715">
        <v>1.939857761104291E-7</v>
      </c>
      <c r="BL161" s="715">
        <v>5.1575880298439788E-5</v>
      </c>
      <c r="BM161" s="715">
        <v>2.7629010331961886E-4</v>
      </c>
      <c r="BN161" s="715">
        <v>8.1347510803778621E-4</v>
      </c>
      <c r="BO161" s="716">
        <v>1.8115702019391616E-3</v>
      </c>
      <c r="BP161" s="715">
        <v>3.3396847673530512E-3</v>
      </c>
      <c r="BQ161" s="715">
        <v>5.5137757946785377E-3</v>
      </c>
      <c r="BR161" s="715">
        <v>8.4006874346265904E-3</v>
      </c>
      <c r="BS161" s="715">
        <v>1.2100965365357439E-2</v>
      </c>
      <c r="BT161" s="715">
        <v>1.6359363935809307E-2</v>
      </c>
      <c r="BW161" s="1190">
        <f>'2019'!R\Max</f>
        <v>0.49599689020593535</v>
      </c>
      <c r="BX161" s="1190">
        <f>'2020'!R\Max</f>
        <v>0.97211102278891193</v>
      </c>
      <c r="BY161" s="1190">
        <f>'2021'!R\Max</f>
        <v>0.96921609000700759</v>
      </c>
      <c r="BZ161" s="1190">
        <f>'2022'!R\Max</f>
        <v>0.77825619597767604</v>
      </c>
      <c r="CA161" s="1190">
        <f>'2023'!R\Max</f>
        <v>0.77824370981790658</v>
      </c>
      <c r="CB161" s="1190">
        <f>'2024'!R\Max</f>
        <v>0.77822933583960496</v>
      </c>
      <c r="CC161" s="1190">
        <f>'2025'!R\Max</f>
        <v>0.77821156852842721</v>
      </c>
      <c r="CD161" s="1190">
        <f>'2026'!R\Max</f>
        <v>0.7782800073264724</v>
      </c>
      <c r="CE161" s="1191">
        <f>'2027'!R\Max</f>
        <v>0.77827446084891694</v>
      </c>
      <c r="CF161" s="1193">
        <f>'2028'!R\Max</f>
        <v>0.77826630637946459</v>
      </c>
    </row>
    <row r="162" spans="1:84" s="6" customFormat="1" ht="11.25" x14ac:dyDescent="0.2">
      <c r="A162" s="11">
        <v>43248</v>
      </c>
      <c r="B162" s="379">
        <f>'2022'!Maxi_hp</f>
        <v>61.405954695216622</v>
      </c>
      <c r="C162" s="13">
        <f>'2022'!An_max</f>
        <v>2020</v>
      </c>
      <c r="D162" s="1045" t="str">
        <f t="shared" si="78"/>
        <v/>
      </c>
      <c r="E162" s="1040">
        <f>X$13/10</f>
        <v>64.055199999999999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64.055200000107291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64.055200000107291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64.042649999819702</v>
      </c>
      <c r="AZ162" s="735">
        <f t="shared" si="96"/>
        <v>64.048924999963504</v>
      </c>
      <c r="BA162" s="633">
        <f t="shared" si="93"/>
        <v>0.95864121406402236</v>
      </c>
      <c r="BC162" s="11">
        <v>43248</v>
      </c>
      <c r="BD162" s="289">
        <f>[3]!FeuilCaduc*(1-Persistant)+Persistant</f>
        <v>0.79340588032111792</v>
      </c>
      <c r="BE162" s="290">
        <f>[3]!CroissVégét</f>
        <v>0.3687715084596308</v>
      </c>
      <c r="BF162" s="804">
        <f>1+[3]!Salcycl*Ksac</f>
        <v>1.0293405880321118</v>
      </c>
      <c r="BH162" s="1036">
        <f t="shared" si="94"/>
        <v>5.2425516164605684E-4</v>
      </c>
      <c r="BI162" s="11">
        <v>44344</v>
      </c>
      <c r="BJ162" s="715">
        <v>5.2744683521156445E-8</v>
      </c>
      <c r="BK162" s="715">
        <v>1.2240032355793908E-7</v>
      </c>
      <c r="BL162" s="715">
        <v>4.858472657222086E-5</v>
      </c>
      <c r="BM162" s="715">
        <v>2.63996051660312E-4</v>
      </c>
      <c r="BN162" s="715">
        <v>7.854397948370463E-4</v>
      </c>
      <c r="BO162" s="716">
        <v>1.762033337332313E-3</v>
      </c>
      <c r="BP162" s="715">
        <v>3.2633374081066039E-3</v>
      </c>
      <c r="BQ162" s="715">
        <v>5.4020560816737499E-3</v>
      </c>
      <c r="BR162" s="715">
        <v>8.2435366727797634E-3</v>
      </c>
      <c r="BS162" s="715">
        <v>1.1890012540188635E-2</v>
      </c>
      <c r="BT162" s="715">
        <v>1.6089626534497276E-2</v>
      </c>
      <c r="BW162" s="1190">
        <f>'2019'!R\Max</f>
        <v>0.43817237146213056</v>
      </c>
      <c r="BX162" s="1190">
        <f>'2020'!R\Max</f>
        <v>0.95864121406402236</v>
      </c>
      <c r="BY162" s="1190">
        <f>'2021'!R\Max</f>
        <v>0.82857695211943261</v>
      </c>
      <c r="BZ162" s="1190">
        <f>'2022'!R\Max</f>
        <v>0.936247432551644</v>
      </c>
      <c r="CA162" s="1190">
        <f>'2023'!R\Max</f>
        <v>0.93624315092687116</v>
      </c>
      <c r="CB162" s="1190">
        <f>'2024'!R\Max</f>
        <v>0.93623820166569605</v>
      </c>
      <c r="CC162" s="1190">
        <f>'2025'!R\Max</f>
        <v>0.93623210085585051</v>
      </c>
      <c r="CD162" s="1190">
        <f>'2026'!R\Max</f>
        <v>0.93625558885368099</v>
      </c>
      <c r="CE162" s="1191">
        <f>'2027'!R\Max</f>
        <v>0.93625369059642116</v>
      </c>
      <c r="CF162" s="1193">
        <f>'2028'!R\Max</f>
        <v>0.93625090582908943</v>
      </c>
    </row>
    <row r="163" spans="1:84" s="6" customFormat="1" ht="11.25" x14ac:dyDescent="0.2">
      <c r="A163" s="11">
        <v>43249</v>
      </c>
      <c r="B163" s="379">
        <f>'2022'!Maxi_hp</f>
        <v>64.852505396426309</v>
      </c>
      <c r="C163" s="13">
        <f>'2022'!An_max</f>
        <v>2022</v>
      </c>
      <c r="D163" s="1045">
        <f t="shared" si="78"/>
        <v>1.0125472202397048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64.048870116964508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64.059842218977536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64.027525054809772</v>
      </c>
      <c r="AZ163" s="735">
        <f t="shared" si="96"/>
        <v>64.043683636893661</v>
      </c>
      <c r="BA163" s="633">
        <f t="shared" si="93"/>
        <v>1.0125472202397048</v>
      </c>
      <c r="BC163" s="11">
        <v>43249</v>
      </c>
      <c r="BD163" s="289">
        <f>[3]!FeuilCaduc*(1-Persistant)+Persistant</f>
        <v>0.80052922539522431</v>
      </c>
      <c r="BE163" s="290">
        <f>[3]!CroissVégét</f>
        <v>0.37841273812207477</v>
      </c>
      <c r="BF163" s="804">
        <f>1+[3]!Salcycl*Ksac</f>
        <v>1.0300529225395225</v>
      </c>
      <c r="BH163" s="1036">
        <f t="shared" si="94"/>
        <v>5.0427386725399026E-4</v>
      </c>
      <c r="BI163" s="11">
        <v>44345</v>
      </c>
      <c r="BJ163" s="715">
        <v>6.2615289990973741E-8</v>
      </c>
      <c r="BK163" s="715">
        <v>8.8343904654748603E-8</v>
      </c>
      <c r="BL163" s="715">
        <v>4.5711454495403372E-5</v>
      </c>
      <c r="BM163" s="715">
        <v>2.5175940378065084E-4</v>
      </c>
      <c r="BN163" s="715">
        <v>7.576863127254132E-4</v>
      </c>
      <c r="BO163" s="716">
        <v>1.7130099669750108E-3</v>
      </c>
      <c r="BP163" s="715">
        <v>3.1883130389279879E-3</v>
      </c>
      <c r="BQ163" s="715">
        <v>5.2925670870167052E-3</v>
      </c>
      <c r="BR163" s="715">
        <v>8.090387093060477E-3</v>
      </c>
      <c r="BS163" s="715">
        <v>1.1685661113965537E-2</v>
      </c>
      <c r="BT163" s="715">
        <v>1.5829937741719837E-2</v>
      </c>
      <c r="BW163" s="1190">
        <f>'2019'!R\Max</f>
        <v>0.63559494842436171</v>
      </c>
      <c r="BX163" s="1190">
        <f>'2020'!R\Max</f>
        <v>0.95849554853197538</v>
      </c>
      <c r="BY163" s="1190">
        <f>'2021'!R\Max</f>
        <v>0.59592707138195833</v>
      </c>
      <c r="BZ163" s="1190">
        <f>'2022'!R\Max</f>
        <v>1.0125472202397048</v>
      </c>
      <c r="CA163" s="1190">
        <f>'2023'!R\Max</f>
        <v>1.0125472202397046</v>
      </c>
      <c r="CB163" s="1190">
        <f>'2024'!R\Max</f>
        <v>1.0125472202397048</v>
      </c>
      <c r="CC163" s="1190">
        <f>'2025'!R\Max</f>
        <v>1.0125472202397048</v>
      </c>
      <c r="CD163" s="1190">
        <f>'2026'!R\Max</f>
        <v>1.0125472202397048</v>
      </c>
      <c r="CE163" s="1191">
        <f>'2027'!R\Max</f>
        <v>1.0125472202397048</v>
      </c>
      <c r="CF163" s="1193">
        <f>'2028'!R\Max</f>
        <v>1.0125472202397046</v>
      </c>
    </row>
    <row r="164" spans="1:84" s="6" customFormat="1" ht="11.25" x14ac:dyDescent="0.2">
      <c r="A164" s="11">
        <v>43250</v>
      </c>
      <c r="B164" s="379">
        <f>'2022'!Maxi_hp</f>
        <v>59.25879141798292</v>
      </c>
      <c r="C164" s="13">
        <f>'2022'!An_max</f>
        <v>2020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64.037344606167508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64.059554081796009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64.009244314900457</v>
      </c>
      <c r="AZ164" s="735">
        <f t="shared" si="96"/>
        <v>64.03439919834824</v>
      </c>
      <c r="BA164" s="633">
        <f t="shared" si="93"/>
        <v>0.92537864869986564</v>
      </c>
      <c r="BC164" s="11">
        <v>43250</v>
      </c>
      <c r="BD164" s="289">
        <f>[3]!FeuilCaduc*(1-Persistant)+Persistant</f>
        <v>0.80761479860862817</v>
      </c>
      <c r="BE164" s="290">
        <f>[3]!CroissVégét</f>
        <v>0.38815019600224987</v>
      </c>
      <c r="BF164" s="804">
        <f>1+[3]!Salcycl*Ksac</f>
        <v>1.0307614798608629</v>
      </c>
      <c r="BH164" s="1036">
        <f t="shared" si="94"/>
        <v>4.8477894190202724E-4</v>
      </c>
      <c r="BI164" s="11">
        <v>44346</v>
      </c>
      <c r="BJ164" s="715">
        <v>7.2528517388213261E-8</v>
      </c>
      <c r="BK164" s="715">
        <v>9.0895580880132686E-8</v>
      </c>
      <c r="BL164" s="715">
        <v>4.3018716581118709E-5</v>
      </c>
      <c r="BM164" s="715">
        <v>2.3984836464613401E-4</v>
      </c>
      <c r="BN164" s="715">
        <v>7.3058053163827788E-4</v>
      </c>
      <c r="BO164" s="716">
        <v>1.6649685772898353E-3</v>
      </c>
      <c r="BP164" s="715">
        <v>3.1152188242315362E-3</v>
      </c>
      <c r="BQ164" s="715">
        <v>5.1862568898319037E-3</v>
      </c>
      <c r="BR164" s="715">
        <v>7.9427009609462657E-3</v>
      </c>
      <c r="BS164" s="715">
        <v>1.1489794330562179E-2</v>
      </c>
      <c r="BT164" s="715">
        <v>1.5582592322385274E-2</v>
      </c>
      <c r="BW164" s="1190">
        <f>'2019'!R\Max</f>
        <v>0.89892308617541383</v>
      </c>
      <c r="BX164" s="1190">
        <f>'2020'!R\Max</f>
        <v>0.92537864869986564</v>
      </c>
      <c r="BY164" s="1190">
        <f>'2021'!R\Max</f>
        <v>0.86752613647265753</v>
      </c>
      <c r="BZ164" s="1190">
        <f>'2022'!R\Max</f>
        <v>0.85938408039805991</v>
      </c>
      <c r="CA164" s="1190">
        <f>'2023'!R\Max</f>
        <v>0.85937555444026081</v>
      </c>
      <c r="CB164" s="1190">
        <f>'2024'!R\Max</f>
        <v>0.8593656175266613</v>
      </c>
      <c r="CC164" s="1190">
        <f>'2025'!R\Max</f>
        <v>0.85935343969725264</v>
      </c>
      <c r="CD164" s="1190">
        <f>'2026'!R\Max</f>
        <v>0.85940027369969496</v>
      </c>
      <c r="CE164" s="1191">
        <f>'2027'!R\Max</f>
        <v>0.85939651194674049</v>
      </c>
      <c r="CF164" s="1193">
        <f>'2028'!R\Max</f>
        <v>0.85939101942962892</v>
      </c>
    </row>
    <row r="165" spans="1:84" s="6" customFormat="1" ht="11.25" x14ac:dyDescent="0.2">
      <c r="A165" s="11">
        <v>43251</v>
      </c>
      <c r="B165" s="379">
        <f>'2022'!Maxi_hp</f>
        <v>62.682352866116169</v>
      </c>
      <c r="C165" s="13">
        <f>'2022'!An_max</f>
        <v>2018</v>
      </c>
      <c r="D165" s="1045">
        <f t="shared" si="78"/>
        <v>0.97908954307686946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64.021062536457819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64.054527678919428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63.988109638834636</v>
      </c>
      <c r="AZ165" s="735">
        <f t="shared" si="96"/>
        <v>64.021318658877036</v>
      </c>
      <c r="BA165" s="633">
        <f t="shared" si="93"/>
        <v>0.97908954307686946</v>
      </c>
      <c r="BC165" s="11">
        <v>43251</v>
      </c>
      <c r="BD165" s="289">
        <f>[3]!FeuilCaduc*(1-Persistant)+Persistant</f>
        <v>0.81465379984775699</v>
      </c>
      <c r="BE165" s="290">
        <f>[3]!CroissVégét</f>
        <v>0.3979769891015032</v>
      </c>
      <c r="BF165" s="804">
        <f>1+[3]!Salcycl*Ksac</f>
        <v>1.0314653799847757</v>
      </c>
      <c r="BH165" s="1036">
        <f t="shared" si="94"/>
        <v>4.6624034232487866E-4</v>
      </c>
      <c r="BI165" s="11">
        <v>44347</v>
      </c>
      <c r="BJ165" s="715">
        <v>8.2054365737866906E-8</v>
      </c>
      <c r="BK165" s="715">
        <v>9.4291916033231334E-8</v>
      </c>
      <c r="BL165" s="715">
        <v>4.0482277278334905E-5</v>
      </c>
      <c r="BM165" s="715">
        <v>2.2858274365270762E-4</v>
      </c>
      <c r="BN165" s="715">
        <v>7.0474308959717297E-4</v>
      </c>
      <c r="BO165" s="716">
        <v>1.6187805387140443E-3</v>
      </c>
      <c r="BP165" s="715">
        <v>3.0448075830606298E-3</v>
      </c>
      <c r="BQ165" s="715">
        <v>5.0836957280848789E-3</v>
      </c>
      <c r="BR165" s="715">
        <v>7.8003123291333345E-3</v>
      </c>
      <c r="BS165" s="715">
        <v>1.1300670735822164E-2</v>
      </c>
      <c r="BT165" s="715">
        <v>1.53435398065951E-2</v>
      </c>
      <c r="BW165" s="1190">
        <f>'2019'!R\Max</f>
        <v>0.97908954307686946</v>
      </c>
      <c r="BX165" s="1190">
        <f>'2020'!R\Max</f>
        <v>0.97862415508738188</v>
      </c>
      <c r="BY165" s="1190">
        <f>'2021'!R\Max</f>
        <v>0.9429047814215763</v>
      </c>
      <c r="BZ165" s="1190">
        <f>'2022'!R\Max</f>
        <v>0.93197006168123253</v>
      </c>
      <c r="CA165" s="1190">
        <f>'2023'!R\Max</f>
        <v>0.93196562366023095</v>
      </c>
      <c r="CB165" s="1190">
        <f>'2024'!R\Max</f>
        <v>0.93196042945764468</v>
      </c>
      <c r="CC165" s="1190">
        <f>'2025'!R\Max</f>
        <v>0.93195408277700353</v>
      </c>
      <c r="CD165" s="1190">
        <f>'2026'!R\Max</f>
        <v>0.93197847703138059</v>
      </c>
      <c r="CE165" s="1191">
        <f>'2027'!R\Max</f>
        <v>0.93197652370487838</v>
      </c>
      <c r="CF165" s="1193">
        <f>'2028'!R\Max</f>
        <v>0.93197367948786081</v>
      </c>
    </row>
    <row r="166" spans="1:84" s="6" customFormat="1" ht="11.25" x14ac:dyDescent="0.2">
      <c r="A166" s="11">
        <v>43252</v>
      </c>
      <c r="B166" s="379">
        <f>'2022'!Maxi_hp</f>
        <v>63.124729427681508</v>
      </c>
      <c r="C166" s="13">
        <f>'2022'!An_max</f>
        <v>2018</v>
      </c>
      <c r="D166" s="1045">
        <f t="shared" si="78"/>
        <v>0.98631676232582044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64.000462973809675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64.044955102301074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63.964422886153407</v>
      </c>
      <c r="AZ166" s="735">
        <f t="shared" si="96"/>
        <v>64.004688994227237</v>
      </c>
      <c r="BA166" s="633">
        <f t="shared" si="93"/>
        <v>0.98631676232582044</v>
      </c>
      <c r="BC166" s="11">
        <v>43252</v>
      </c>
      <c r="BD166" s="289">
        <f>[3]!FeuilCaduc*(1-Persistant)+Persistant</f>
        <v>0.82163748482358545</v>
      </c>
      <c r="BE166" s="290">
        <f>[3]!CroissVégét</f>
        <v>0.4078859452556679</v>
      </c>
      <c r="BF166" s="804">
        <f>1+[3]!Salcycl*Ksac</f>
        <v>1.0321637484823585</v>
      </c>
      <c r="BH166" s="1036">
        <f t="shared" si="94"/>
        <v>4.4865768016006405E-4</v>
      </c>
      <c r="BI166" s="11">
        <v>44348</v>
      </c>
      <c r="BJ166" s="715">
        <v>9.1193272811732567E-8</v>
      </c>
      <c r="BK166" s="715">
        <v>9.8531429822644664E-8</v>
      </c>
      <c r="BL166" s="715">
        <v>3.8102008398863638E-5</v>
      </c>
      <c r="BM166" s="715">
        <v>2.1796212066116727E-4</v>
      </c>
      <c r="BN166" s="715">
        <v>6.8017363012934547E-4</v>
      </c>
      <c r="BO166" s="716">
        <v>1.5744464083173265E-3</v>
      </c>
      <c r="BP166" s="715">
        <v>2.9770811682934342E-3</v>
      </c>
      <c r="BQ166" s="715">
        <v>4.9848874269986226E-3</v>
      </c>
      <c r="BR166" s="715">
        <v>7.6632273165946852E-3</v>
      </c>
      <c r="BS166" s="715">
        <v>1.1118300199290573E-2</v>
      </c>
      <c r="BT166" s="715">
        <v>1.5112794458075698E-2</v>
      </c>
      <c r="BW166" s="1190">
        <f>'2019'!R\Max</f>
        <v>0.98631676232582044</v>
      </c>
      <c r="BX166" s="1190">
        <f>'2020'!R\Max</f>
        <v>0.97197691524872787</v>
      </c>
      <c r="BY166" s="1190">
        <f>'2021'!R\Max</f>
        <v>0.59048096769097014</v>
      </c>
      <c r="BZ166" s="1190">
        <f>'2022'!R\Max</f>
        <v>0.95009163952000375</v>
      </c>
      <c r="CA166" s="1190">
        <f>'2023'!R\Max</f>
        <v>0.95008834577430479</v>
      </c>
      <c r="CB166" s="1190">
        <f>'2024'!R\Max</f>
        <v>0.95008447452592393</v>
      </c>
      <c r="CC166" s="1190">
        <f>'2025'!R\Max</f>
        <v>0.95007975866423655</v>
      </c>
      <c r="CD166" s="1190">
        <f>'2026'!R\Max</f>
        <v>0.95009787513969701</v>
      </c>
      <c r="CE166" s="1191">
        <f>'2027'!R\Max</f>
        <v>0.95009642870177402</v>
      </c>
      <c r="CF166" s="1193">
        <f>'2028'!R\Max</f>
        <v>0.9500943290303645</v>
      </c>
    </row>
    <row r="167" spans="1:84" s="6" customFormat="1" ht="11.25" x14ac:dyDescent="0.2">
      <c r="A167" s="11">
        <v>43253</v>
      </c>
      <c r="B167" s="379">
        <f>'2022'!Maxi_hp</f>
        <v>62.353294055215706</v>
      </c>
      <c r="C167" s="13">
        <f>'2022'!An_max</f>
        <v>2018</v>
      </c>
      <c r="D167" s="1045">
        <f t="shared" si="78"/>
        <v>0.9746359367417412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63.975984985394668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64.031028444073826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63.938485914708259</v>
      </c>
      <c r="AZ167" s="735">
        <f t="shared" si="96"/>
        <v>63.984757179391039</v>
      </c>
      <c r="BA167" s="633">
        <f t="shared" si="93"/>
        <v>0.9746359367417412</v>
      </c>
      <c r="BC167" s="11">
        <v>43253</v>
      </c>
      <c r="BD167" s="289">
        <f>[3]!FeuilCaduc*(1-Persistant)+Persistant</f>
        <v>0.82855719762368418</v>
      </c>
      <c r="BE167" s="290">
        <f>[3]!CroissVégét</f>
        <v>0.41786963208449301</v>
      </c>
      <c r="BF167" s="804">
        <f>1+[3]!Salcycl*Ksac</f>
        <v>1.0328557197623685</v>
      </c>
      <c r="BH167" s="1036">
        <f t="shared" si="94"/>
        <v>4.3203041117739782E-4</v>
      </c>
      <c r="BI167" s="11">
        <v>44349</v>
      </c>
      <c r="BJ167" s="715">
        <v>9.9945750903118857E-8</v>
      </c>
      <c r="BK167" s="715">
        <v>1.0361260880629013E-7</v>
      </c>
      <c r="BL167" s="715">
        <v>3.587775882230427E-5</v>
      </c>
      <c r="BM167" s="715">
        <v>2.0798597676729554E-4</v>
      </c>
      <c r="BN167" s="715">
        <v>6.5687158358857835E-4</v>
      </c>
      <c r="BO167" s="716">
        <v>1.5319663881711027E-3</v>
      </c>
      <c r="BP167" s="715">
        <v>2.9120409016833077E-3</v>
      </c>
      <c r="BQ167" s="715">
        <v>4.8898350493938999E-3</v>
      </c>
      <c r="BR167" s="715">
        <v>7.5314509799691053E-3</v>
      </c>
      <c r="BS167" s="715">
        <v>1.0942691199597523E-2</v>
      </c>
      <c r="BT167" s="715">
        <v>1.4890368799007748E-2</v>
      </c>
      <c r="BW167" s="1190">
        <f>'2019'!R\Max</f>
        <v>0.9746359367417412</v>
      </c>
      <c r="BX167" s="1190">
        <f>'2020'!R\Max</f>
        <v>0.50080153841448738</v>
      </c>
      <c r="BY167" s="1190">
        <f>'2021'!R\Max</f>
        <v>0.78212128020551319</v>
      </c>
      <c r="BZ167" s="1190">
        <f>'2022'!R\Max</f>
        <v>0.75810433385036713</v>
      </c>
      <c r="CA167" s="1190">
        <f>'2023'!R\Max</f>
        <v>0.75809169031387924</v>
      </c>
      <c r="CB167" s="1190">
        <f>'2024'!R\Max</f>
        <v>0.75807676721841499</v>
      </c>
      <c r="CC167" s="1190">
        <f>'2025'!R\Max</f>
        <v>0.75805864493671882</v>
      </c>
      <c r="CD167" s="1190">
        <f>'2026'!R\Max</f>
        <v>0.75812823372885918</v>
      </c>
      <c r="CE167" s="1191">
        <f>'2027'!R\Max</f>
        <v>0.75812269244237873</v>
      </c>
      <c r="CF167" s="1193">
        <f>'2028'!R\Max</f>
        <v>0.75811467609962302</v>
      </c>
    </row>
    <row r="168" spans="1:84" s="6" customFormat="1" ht="11.25" x14ac:dyDescent="0.2">
      <c r="A168" s="11">
        <v>43254</v>
      </c>
      <c r="B168" s="379">
        <f>'2022'!Maxi_hp</f>
        <v>59.33169374417173</v>
      </c>
      <c r="C168" s="13">
        <f>'2022'!An_max</f>
        <v>2022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63.948067638836804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64.012939795984749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63.910600583574606</v>
      </c>
      <c r="AZ168" s="735">
        <f t="shared" si="96"/>
        <v>63.961770189779678</v>
      </c>
      <c r="BA168" s="633">
        <f t="shared" si="93"/>
        <v>0.92781058028622165</v>
      </c>
      <c r="BC168" s="11">
        <v>43254</v>
      </c>
      <c r="BD168" s="289">
        <f>[3]!FeuilCaduc*(1-Persistant)+Persistant</f>
        <v>0.83540440345579769</v>
      </c>
      <c r="BE168" s="290">
        <f>[3]!CroissVégét</f>
        <v>0.42792037764903684</v>
      </c>
      <c r="BF168" s="804">
        <f>1+[3]!Salcycl*Ksac</f>
        <v>1.0335404403455797</v>
      </c>
      <c r="BH168" s="1036">
        <f t="shared" si="94"/>
        <v>4.1635784796070329E-4</v>
      </c>
      <c r="BI168" s="11">
        <v>44350</v>
      </c>
      <c r="BJ168" s="715">
        <v>1.0831238176602682E-7</v>
      </c>
      <c r="BK168" s="715">
        <v>1.0953391784469156E-7</v>
      </c>
      <c r="BL168" s="715">
        <v>3.3809356570377941E-5</v>
      </c>
      <c r="BM168" s="715">
        <v>1.98653702865589E-4</v>
      </c>
      <c r="BN168" s="715">
        <v>6.3483618396953617E-4</v>
      </c>
      <c r="BO168" s="716">
        <v>1.4913403498861149E-3</v>
      </c>
      <c r="BP168" s="715">
        <v>2.8496876094421092E-3</v>
      </c>
      <c r="BQ168" s="715">
        <v>4.798540945484776E-3</v>
      </c>
      <c r="BR168" s="715">
        <v>7.4049873840653759E-3</v>
      </c>
      <c r="BS168" s="715">
        <v>1.0773850914309475E-2</v>
      </c>
      <c r="BT168" s="715">
        <v>1.4676273720667678E-2</v>
      </c>
      <c r="BW168" s="1190">
        <f>'2019'!R\Max</f>
        <v>0.75449583480779336</v>
      </c>
      <c r="BX168" s="1190">
        <f>'2020'!R\Max</f>
        <v>0.74657096923211574</v>
      </c>
      <c r="BY168" s="1190">
        <f>'2021'!R\Max</f>
        <v>0.89801428983945919</v>
      </c>
      <c r="BZ168" s="1190">
        <f>'2022'!R\Max</f>
        <v>0.92781058028622165</v>
      </c>
      <c r="CA168" s="1190">
        <f>'2023'!R\Max</f>
        <v>0.9278059954774438</v>
      </c>
      <c r="CB168" s="1190">
        <f>'2024'!R\Max</f>
        <v>0.9278005607980524</v>
      </c>
      <c r="CC168" s="1190">
        <f>'2025'!R\Max</f>
        <v>0.92779398150449843</v>
      </c>
      <c r="CD168" s="1190">
        <f>'2026'!R\Max</f>
        <v>0.92781923332654592</v>
      </c>
      <c r="CE168" s="1191">
        <f>'2027'!R\Max</f>
        <v>0.92781722778717579</v>
      </c>
      <c r="CF168" s="1193">
        <f>'2028'!R\Max</f>
        <v>0.92781433724790685</v>
      </c>
    </row>
    <row r="169" spans="1:84" s="6" customFormat="1" ht="11.25" x14ac:dyDescent="0.2">
      <c r="A169" s="11">
        <v>43255</v>
      </c>
      <c r="B169" s="379">
        <f>'2022'!Maxi_hp</f>
        <v>57.206955445857666</v>
      </c>
      <c r="C169" s="13">
        <f>'2022'!An_max</f>
        <v>2018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63.917149999737738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63.99088125033304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63.881068749912082</v>
      </c>
      <c r="AZ169" s="735">
        <f t="shared" si="96"/>
        <v>63.935975000122561</v>
      </c>
      <c r="BA169" s="633">
        <f t="shared" si="93"/>
        <v>0.89501730671803104</v>
      </c>
      <c r="BC169" s="11">
        <v>43255</v>
      </c>
      <c r="BD169" s="289">
        <f>[3]!FeuilCaduc*(1-Persistant)+Persistant</f>
        <v>0.84217072137392845</v>
      </c>
      <c r="BE169" s="290">
        <f>[3]!CroissVégét</f>
        <v>0.43803029270835642</v>
      </c>
      <c r="BF169" s="804">
        <f>1+[3]!Salcycl*Ksac</f>
        <v>1.0342170721373929</v>
      </c>
      <c r="BH169" s="1036">
        <f t="shared" si="94"/>
        <v>4.0163917259212535E-4</v>
      </c>
      <c r="BI169" s="11">
        <v>44351</v>
      </c>
      <c r="BJ169" s="715">
        <v>1.1629381155476768E-7</v>
      </c>
      <c r="BK169" s="715">
        <v>1.1629381155476771E-7</v>
      </c>
      <c r="BL169" s="715">
        <v>3.1896610881488434E-5</v>
      </c>
      <c r="BM169" s="715">
        <v>1.8996460821426477E-4</v>
      </c>
      <c r="BN169" s="715">
        <v>6.1406648572603321E-4</v>
      </c>
      <c r="BO169" s="716">
        <v>1.4525678591590218E-3</v>
      </c>
      <c r="BP169" s="715">
        <v>2.790021657840383E-3</v>
      </c>
      <c r="BQ169" s="715">
        <v>4.7110068027023154E-3</v>
      </c>
      <c r="BR169" s="715">
        <v>7.2838396724097783E-3</v>
      </c>
      <c r="BS169" s="715">
        <v>1.0611785309843165E-2</v>
      </c>
      <c r="BT169" s="715">
        <v>1.4470518594154127E-2</v>
      </c>
      <c r="BW169" s="1190">
        <f>'2019'!R\Max</f>
        <v>0.89501730671803104</v>
      </c>
      <c r="BX169" s="1190">
        <f>'2020'!R\Max</f>
        <v>0.44355709682813099</v>
      </c>
      <c r="BY169" s="1190">
        <f>'2021'!R\Max</f>
        <v>0.1278242975290004</v>
      </c>
      <c r="BZ169" s="1190">
        <f>'2022'!R\Max</f>
        <v>0.44255197903334037</v>
      </c>
      <c r="CA169" s="1190">
        <f>'2023'!R\Max</f>
        <v>0.44253520939229418</v>
      </c>
      <c r="CB169" s="1190">
        <f>'2024'!R\Max</f>
        <v>0.44251524742769205</v>
      </c>
      <c r="CC169" s="1190">
        <f>'2025'!R\Max</f>
        <v>0.44249116006454131</v>
      </c>
      <c r="CD169" s="1190">
        <f>'2026'!R\Max</f>
        <v>0.44258358458059027</v>
      </c>
      <c r="CE169" s="1191">
        <f>'2027'!R\Max</f>
        <v>0.44257626021108237</v>
      </c>
      <c r="CF169" s="1193">
        <f>'2028'!R\Max</f>
        <v>0.44256574700937951</v>
      </c>
    </row>
    <row r="170" spans="1:84" s="6" customFormat="1" ht="11.25" x14ac:dyDescent="0.2">
      <c r="A170" s="11">
        <v>43256</v>
      </c>
      <c r="B170" s="379">
        <f>'2022'!Maxi_hp</f>
        <v>45.501902889660293</v>
      </c>
      <c r="C170" s="13">
        <f>'2022'!An_max</f>
        <v>2021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63.88367113705192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63.965044897901159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63.850192274046798</v>
      </c>
      <c r="AZ170" s="735">
        <f t="shared" si="96"/>
        <v>63.907618585973978</v>
      </c>
      <c r="BA170" s="633">
        <f t="shared" si="93"/>
        <v>0.71226186723119644</v>
      </c>
      <c r="BC170" s="11">
        <v>43256</v>
      </c>
      <c r="BD170" s="289">
        <f>[3]!FeuilCaduc*(1-Persistant)+Persistant</f>
        <v>0.84884795677317237</v>
      </c>
      <c r="BE170" s="290">
        <f>[3]!CroissVégét</f>
        <v>0.44819129444890032</v>
      </c>
      <c r="BF170" s="804">
        <f>1+[3]!Salcycl*Ksac</f>
        <v>1.0348847956773173</v>
      </c>
      <c r="BH170" s="1036">
        <f t="shared" si="94"/>
        <v>3.8825779679037454E-4</v>
      </c>
      <c r="BI170" s="11">
        <v>44352</v>
      </c>
      <c r="BJ170" s="715">
        <v>1.2292522079515149E-7</v>
      </c>
      <c r="BK170" s="715">
        <v>1.2292522079515149E-7</v>
      </c>
      <c r="BL170" s="715">
        <v>3.0181493736141684E-5</v>
      </c>
      <c r="BM170" s="715">
        <v>1.8211987124928261E-4</v>
      </c>
      <c r="BN170" s="715">
        <v>5.9512878191035959E-4</v>
      </c>
      <c r="BO170" s="716">
        <v>1.4168472526022954E-3</v>
      </c>
      <c r="BP170" s="715">
        <v>2.7349289723425552E-3</v>
      </c>
      <c r="BQ170" s="715">
        <v>4.6299834851072355E-3</v>
      </c>
      <c r="BR170" s="715">
        <v>7.1717621563049394E-3</v>
      </c>
      <c r="BS170" s="715">
        <v>1.0461480594292062E-2</v>
      </c>
      <c r="BT170" s="715">
        <v>1.4279338530942369E-2</v>
      </c>
      <c r="BW170" s="1190">
        <f>'2019'!R\Max</f>
        <v>0.16399889700216233</v>
      </c>
      <c r="BX170" s="1190">
        <f>'2020'!R\Max</f>
        <v>0.58101591028215838</v>
      </c>
      <c r="BY170" s="1190">
        <f>'2021'!R\Max</f>
        <v>0.71226186723119644</v>
      </c>
      <c r="BZ170" s="1190">
        <f>'2022'!R\Max</f>
        <v>0.61022558594031096</v>
      </c>
      <c r="CA170" s="1190">
        <f>'2023'!R\Max</f>
        <v>0.61020951710365567</v>
      </c>
      <c r="CB170" s="1190">
        <f>'2024'!R\Max</f>
        <v>0.61019030733091795</v>
      </c>
      <c r="CC170" s="1190">
        <f>'2025'!R\Max</f>
        <v>0.61016720223576881</v>
      </c>
      <c r="CD170" s="1190">
        <f>'2026'!R\Max</f>
        <v>0.61025583170753472</v>
      </c>
      <c r="CE170" s="1191">
        <f>'2027'!R\Max</f>
        <v>0.61024882201358976</v>
      </c>
      <c r="CF170" s="1193">
        <f>'2028'!R\Max</f>
        <v>0.61023880506618589</v>
      </c>
    </row>
    <row r="171" spans="1:84" s="6" customFormat="1" ht="11.25" x14ac:dyDescent="0.2">
      <c r="A171" s="11">
        <v>43257</v>
      </c>
      <c r="B171" s="379">
        <f>'2022'!Maxi_hp</f>
        <v>58.87079114151684</v>
      </c>
      <c r="C171" s="13">
        <f>'2022'!An_max</f>
        <v>2018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63.84807011651408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63.93562283180654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63.818273013963235</v>
      </c>
      <c r="AZ171" s="735">
        <f t="shared" si="96"/>
        <v>63.876947922884888</v>
      </c>
      <c r="BA171" s="633">
        <f t="shared" si="93"/>
        <v>0.92204495819663179</v>
      </c>
      <c r="BC171" s="11">
        <v>43257</v>
      </c>
      <c r="BD171" s="289">
        <f>[3]!FeuilCaduc*(1-Persistant)+Persistant</f>
        <v>0.8554281334366628</v>
      </c>
      <c r="BE171" s="290">
        <f>[3]!CroissVégét</f>
        <v>0.45839513154318023</v>
      </c>
      <c r="BF171" s="804">
        <f>1+[3]!Salcycl*Ksac</f>
        <v>1.0355428133436664</v>
      </c>
      <c r="BH171" s="1036">
        <f t="shared" si="94"/>
        <v>3.7558986689294481E-4</v>
      </c>
      <c r="BI171" s="11">
        <v>44353</v>
      </c>
      <c r="BJ171" s="715">
        <v>1.2772673696910245E-7</v>
      </c>
      <c r="BK171" s="715">
        <v>1.2772673696910248E-7</v>
      </c>
      <c r="BL171" s="715">
        <v>2.8572938345711242E-5</v>
      </c>
      <c r="BM171" s="715">
        <v>1.7475224213468223E-4</v>
      </c>
      <c r="BN171" s="715">
        <v>5.7714170250903346E-4</v>
      </c>
      <c r="BO171" s="716">
        <v>1.3828261574855413E-3</v>
      </c>
      <c r="BP171" s="715">
        <v>2.6823768555101005E-3</v>
      </c>
      <c r="BQ171" s="715">
        <v>4.5527244516542853E-3</v>
      </c>
      <c r="BR171" s="715">
        <v>7.0649870593299151E-3</v>
      </c>
      <c r="BS171" s="715">
        <v>1.0318156132450662E-2</v>
      </c>
      <c r="BT171" s="715">
        <v>1.4096824951539796E-2</v>
      </c>
      <c r="BW171" s="1190">
        <f>'2019'!R\Max</f>
        <v>0.92204495819663179</v>
      </c>
      <c r="BX171" s="1190">
        <f>'2020'!R\Max</f>
        <v>0.37310440047742405</v>
      </c>
      <c r="BY171" s="1190">
        <f>'2021'!R\Max</f>
        <v>0.74813448997694509</v>
      </c>
      <c r="BZ171" s="1190">
        <f>'2022'!R\Max</f>
        <v>0.79654082717231756</v>
      </c>
      <c r="CA171" s="1190">
        <f>'2023'!R\Max</f>
        <v>0.7965299424375365</v>
      </c>
      <c r="CB171" s="1190">
        <f>'2024'!R\Max</f>
        <v>0.7965168737087206</v>
      </c>
      <c r="CC171" s="1190">
        <f>'2025'!R\Max</f>
        <v>0.79650120558251725</v>
      </c>
      <c r="CD171" s="1190">
        <f>'2026'!R\Max</f>
        <v>0.7965612916461472</v>
      </c>
      <c r="CE171" s="1191">
        <f>'2027'!R\Max</f>
        <v>0.79655654840512269</v>
      </c>
      <c r="CF171" s="1193">
        <f>'2028'!R\Max</f>
        <v>0.79654980091491823</v>
      </c>
    </row>
    <row r="172" spans="1:84" s="6" customFormat="1" ht="11.25" x14ac:dyDescent="0.2">
      <c r="A172" s="11">
        <v>43258</v>
      </c>
      <c r="B172" s="379">
        <f>'2022'!Maxi_hp</f>
        <v>52.613805955532094</v>
      </c>
      <c r="C172" s="13">
        <f>'2022'!An_max</f>
        <v>2021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63.810786005961042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63.902807143051177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63.785612828178067</v>
      </c>
      <c r="AZ172" s="735">
        <f t="shared" si="96"/>
        <v>63.844209985614626</v>
      </c>
      <c r="BA172" s="633">
        <f t="shared" si="93"/>
        <v>0.82452841045739578</v>
      </c>
      <c r="BC172" s="11">
        <v>43258</v>
      </c>
      <c r="BD172" s="289">
        <f>[3]!FeuilCaduc*(1-Persistant)+Persistant</f>
        <v>0.86190352491696698</v>
      </c>
      <c r="BE172" s="290">
        <f>[3]!CroissVégét</f>
        <v>0.46863341037883222</v>
      </c>
      <c r="BF172" s="804">
        <f>1+[3]!Salcycl*Ksac</f>
        <v>1.0361903524916967</v>
      </c>
      <c r="BH172" s="1036">
        <f t="shared" si="94"/>
        <v>3.6363469879401695E-4</v>
      </c>
      <c r="BI172" s="11">
        <v>44354</v>
      </c>
      <c r="BJ172" s="715">
        <v>1.3070192618535757E-7</v>
      </c>
      <c r="BK172" s="715">
        <v>1.3070192618535757E-7</v>
      </c>
      <c r="BL172" s="715">
        <v>2.7070802081633499E-5</v>
      </c>
      <c r="BM172" s="715">
        <v>1.6786114707978753E-4</v>
      </c>
      <c r="BN172" s="715">
        <v>5.6010445270879413E-4</v>
      </c>
      <c r="BO172" s="716">
        <v>1.3505036465085631E-3</v>
      </c>
      <c r="BP172" s="715">
        <v>2.6323647664420555E-3</v>
      </c>
      <c r="BQ172" s="715">
        <v>4.4792296677027494E-3</v>
      </c>
      <c r="BR172" s="715">
        <v>6.9635151797795454E-3</v>
      </c>
      <c r="BS172" s="715">
        <v>1.0181814372896942E-2</v>
      </c>
      <c r="BT172" s="715">
        <v>1.3922982676073316E-2</v>
      </c>
      <c r="BW172" s="1190">
        <f>'2019'!R\Max</f>
        <v>0.36002035013179234</v>
      </c>
      <c r="BX172" s="1190">
        <f>'2020'!R\Max</f>
        <v>0.43344521289972993</v>
      </c>
      <c r="BY172" s="1190">
        <f>'2021'!R\Max</f>
        <v>0.82452841045739578</v>
      </c>
      <c r="BZ172" s="1190">
        <f>'2022'!R\Max</f>
        <v>0.48350865062176634</v>
      </c>
      <c r="CA172" s="1190">
        <f>'2023'!R\Max</f>
        <v>0.48349197173344499</v>
      </c>
      <c r="CB172" s="1190">
        <f>'2024'!R\Max</f>
        <v>0.48347186018435073</v>
      </c>
      <c r="CC172" s="1190">
        <f>'2025'!R\Max</f>
        <v>0.48344782834093714</v>
      </c>
      <c r="CD172" s="1190">
        <f>'2026'!R\Max</f>
        <v>0.48353998072758198</v>
      </c>
      <c r="CE172" s="1191">
        <f>'2027'!R\Max</f>
        <v>0.48353271775727147</v>
      </c>
      <c r="CF172" s="1193">
        <f>'2028'!R\Max</f>
        <v>0.48352243391968286</v>
      </c>
    </row>
    <row r="173" spans="1:84" s="6" customFormat="1" ht="11.25" x14ac:dyDescent="0.2">
      <c r="A173" s="11">
        <v>43259</v>
      </c>
      <c r="B173" s="379">
        <f>'2022'!Maxi_hp</f>
        <v>63.747853574878313</v>
      </c>
      <c r="C173" s="13">
        <f>'2022'!An_max</f>
        <v>2018</v>
      </c>
      <c r="D173" s="1045">
        <f t="shared" si="78"/>
        <v>0.99961732111053003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63.772257871699651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63.866789923601651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63.752513575474076</v>
      </c>
      <c r="AZ173" s="735">
        <f t="shared" si="96"/>
        <v>63.809651749537863</v>
      </c>
      <c r="BA173" s="633">
        <f t="shared" si="93"/>
        <v>0.99961732111053003</v>
      </c>
      <c r="BC173" s="11">
        <v>43259</v>
      </c>
      <c r="BD173" s="289">
        <f>[3]!FeuilCaduc*(1-Persistant)+Persistant</f>
        <v>0.86826668503521454</v>
      </c>
      <c r="BE173" s="290">
        <f>[3]!CroissVégét</f>
        <v>0.4788976222853652</v>
      </c>
      <c r="BF173" s="804">
        <f>1+[3]!Salcycl*Ksac</f>
        <v>1.0368266685035215</v>
      </c>
      <c r="BH173" s="1036">
        <f t="shared" si="94"/>
        <v>3.5239153237845986E-4</v>
      </c>
      <c r="BI173" s="11">
        <v>44355</v>
      </c>
      <c r="BJ173" s="715">
        <v>1.3185440367785097E-7</v>
      </c>
      <c r="BK173" s="715">
        <v>1.31854403677851E-7</v>
      </c>
      <c r="BL173" s="715">
        <v>2.5674932400826526E-5</v>
      </c>
      <c r="BM173" s="715">
        <v>1.6144596716665958E-4</v>
      </c>
      <c r="BN173" s="715">
        <v>5.4401613069519829E-4</v>
      </c>
      <c r="BO173" s="716">
        <v>1.3198785921914086E-3</v>
      </c>
      <c r="BP173" s="715">
        <v>2.584891857910067E-3</v>
      </c>
      <c r="BQ173" s="715">
        <v>4.4094986499493656E-3</v>
      </c>
      <c r="BR173" s="715">
        <v>6.8673466972304234E-3</v>
      </c>
      <c r="BS173" s="715">
        <v>1.0052456938213541E-2</v>
      </c>
      <c r="BT173" s="715">
        <v>1.3757815478806508E-2</v>
      </c>
      <c r="BW173" s="1190">
        <f>'2019'!R\Max</f>
        <v>0.99961732111053003</v>
      </c>
      <c r="BX173" s="1190">
        <f>'2020'!R\Max</f>
        <v>0.6600961714695408</v>
      </c>
      <c r="BY173" s="1190">
        <f>'2021'!R\Max</f>
        <v>0.97559226466210336</v>
      </c>
      <c r="BZ173" s="1190">
        <f>'2022'!R\Max</f>
        <v>0.36072429817814916</v>
      </c>
      <c r="CA173" s="1190">
        <f>'2023'!R\Max</f>
        <v>0.36070897776103994</v>
      </c>
      <c r="CB173" s="1190">
        <f>'2024'!R\Max</f>
        <v>0.36069042364287196</v>
      </c>
      <c r="CC173" s="1190">
        <f>'2025'!R\Max</f>
        <v>0.36066832562483558</v>
      </c>
      <c r="CD173" s="1190">
        <f>'2026'!R\Max</f>
        <v>0.36075305448525991</v>
      </c>
      <c r="CE173" s="1191">
        <f>'2027'!R\Max</f>
        <v>0.36074638679534959</v>
      </c>
      <c r="CF173" s="1193">
        <f>'2028'!R\Max</f>
        <v>0.36073699054634634</v>
      </c>
    </row>
    <row r="174" spans="1:84" s="6" customFormat="1" ht="11.25" x14ac:dyDescent="0.2">
      <c r="A174" s="11">
        <v>43260</v>
      </c>
      <c r="B174" s="379">
        <f>'2022'!Maxi_hp</f>
        <v>60.451525350346095</v>
      </c>
      <c r="C174" s="13">
        <f>'2022'!An_max</f>
        <v>2021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63.732924781313969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63.827763265930116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63.71927711343659</v>
      </c>
      <c r="AZ174" s="735">
        <f t="shared" si="96"/>
        <v>63.773520189683353</v>
      </c>
      <c r="BA174" s="633">
        <f t="shared" si="93"/>
        <v>0.94851327720754541</v>
      </c>
      <c r="BC174" s="11">
        <v>43260</v>
      </c>
      <c r="BD174" s="289">
        <f>[3]!FeuilCaduc*(1-Persistant)+Persistant</f>
        <v>0.87451047728410136</v>
      </c>
      <c r="BE174" s="290">
        <f>[3]!CroissVégét</f>
        <v>0.48917917157397695</v>
      </c>
      <c r="BF174" s="804">
        <f>1+[3]!Salcycl*Ksac</f>
        <v>1.0374510477284102</v>
      </c>
      <c r="BH174" s="1036">
        <f t="shared" si="94"/>
        <v>3.4185954098006236E-4</v>
      </c>
      <c r="BI174" s="11">
        <v>44356</v>
      </c>
      <c r="BJ174" s="715">
        <v>1.3118780914049023E-7</v>
      </c>
      <c r="BK174" s="715">
        <v>1.3118780914049023E-7</v>
      </c>
      <c r="BL174" s="715">
        <v>2.4385168261605205E-5</v>
      </c>
      <c r="BM174" s="715">
        <v>1.5550604468945705E-4</v>
      </c>
      <c r="BN174" s="715">
        <v>5.2887574024081487E-4</v>
      </c>
      <c r="BO174" s="716">
        <v>1.290949689368042E-3</v>
      </c>
      <c r="BP174" s="715">
        <v>2.5399570099906028E-3</v>
      </c>
      <c r="BQ174" s="715">
        <v>4.3435305163038321E-3</v>
      </c>
      <c r="BR174" s="715">
        <v>6.7764812428685985E-3</v>
      </c>
      <c r="BS174" s="715">
        <v>9.9300847175810801E-3</v>
      </c>
      <c r="BT174" s="715">
        <v>1.3601326203097825E-2</v>
      </c>
      <c r="BW174" s="1190">
        <f>'2019'!R\Max</f>
        <v>0.82027988600165169</v>
      </c>
      <c r="BX174" s="1190">
        <f>'2020'!R\Max</f>
        <v>0.70568040124400855</v>
      </c>
      <c r="BY174" s="1190">
        <f>'2021'!R\Max</f>
        <v>0.94851327720754541</v>
      </c>
      <c r="BZ174" s="1190">
        <f>'2022'!R\Max</f>
        <v>0.78653364473817777</v>
      </c>
      <c r="CA174" s="1190">
        <f>'2023'!R\Max</f>
        <v>0.78652254492755536</v>
      </c>
      <c r="CB174" s="1190">
        <f>'2024'!R\Max</f>
        <v>0.78650904204558048</v>
      </c>
      <c r="CC174" s="1190">
        <f>'2025'!R\Max</f>
        <v>0.78649301134278393</v>
      </c>
      <c r="CD174" s="1190">
        <f>'2026'!R\Max</f>
        <v>0.78655446453500455</v>
      </c>
      <c r="CE174" s="1191">
        <f>'2027'!R\Max</f>
        <v>0.78654963606256023</v>
      </c>
      <c r="CF174" s="1193">
        <f>'2028'!R\Max</f>
        <v>0.78654286429564069</v>
      </c>
    </row>
    <row r="175" spans="1:84" s="6" customFormat="1" ht="11.25" x14ac:dyDescent="0.2">
      <c r="A175" s="11">
        <v>43261</v>
      </c>
      <c r="B175" s="379">
        <f>'2022'!Maxi_hp</f>
        <v>62.54511086114735</v>
      </c>
      <c r="C175" s="13">
        <f>'2022'!An_max</f>
        <v>2022</v>
      </c>
      <c r="D175" s="1045">
        <f t="shared" si="78"/>
        <v>0.98197430062299018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63.693225801802647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63.78591926028021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63.686205302511475</v>
      </c>
      <c r="AZ175" s="735">
        <f t="shared" si="96"/>
        <v>63.736062281395846</v>
      </c>
      <c r="BA175" s="633">
        <f t="shared" si="93"/>
        <v>0.98197430062299018</v>
      </c>
      <c r="BC175" s="11">
        <v>43261</v>
      </c>
      <c r="BD175" s="289">
        <f>[3]!FeuilCaduc*(1-Persistant)+Persistant</f>
        <v>0.8806281029257399</v>
      </c>
      <c r="BE175" s="290">
        <f>[3]!CroissVégét</f>
        <v>0.499469404196</v>
      </c>
      <c r="BF175" s="804">
        <f>1+[3]!Salcycl*Ksac</f>
        <v>1.038062810292574</v>
      </c>
      <c r="BH175" s="1036">
        <f t="shared" si="94"/>
        <v>3.3203784084420311E-4</v>
      </c>
      <c r="BI175" s="11">
        <v>44357</v>
      </c>
      <c r="BJ175" s="715">
        <v>1.2870578206354578E-7</v>
      </c>
      <c r="BK175" s="715">
        <v>1.2870578206354581E-7</v>
      </c>
      <c r="BL175" s="715">
        <v>2.3201341539924635E-5</v>
      </c>
      <c r="BM175" s="715">
        <v>1.5004068949584076E-4</v>
      </c>
      <c r="BN175" s="715">
        <v>5.1468220330025936E-4</v>
      </c>
      <c r="BO175" s="716">
        <v>1.2637154776965404E-3</v>
      </c>
      <c r="BP175" s="715">
        <v>2.4975588637294209E-3</v>
      </c>
      <c r="BQ175" s="715">
        <v>4.2813240358192629E-3</v>
      </c>
      <c r="BR175" s="715">
        <v>6.690917969902792E-3</v>
      </c>
      <c r="BS175" s="715">
        <v>9.8146979594965923E-3</v>
      </c>
      <c r="BT175" s="715">
        <v>1.3453516876529853E-2</v>
      </c>
      <c r="BW175" s="1190">
        <f>'2019'!R\Max</f>
        <v>0.33255877065050149</v>
      </c>
      <c r="BX175" s="1190">
        <f>'2020'!R\Max</f>
        <v>0.39795093683587696</v>
      </c>
      <c r="BY175" s="1190">
        <f>'2021'!R\Max</f>
        <v>0.94858004486334047</v>
      </c>
      <c r="BZ175" s="1190">
        <f>'2022'!R\Max</f>
        <v>0.98197430062299018</v>
      </c>
      <c r="CA175" s="1190">
        <f>'2023'!R\Max</f>
        <v>0.98197313580067924</v>
      </c>
      <c r="CB175" s="1190">
        <f>'2024'!R\Max</f>
        <v>0.98197171245413128</v>
      </c>
      <c r="CC175" s="1190">
        <f>'2025'!R\Max</f>
        <v>0.98197002810302825</v>
      </c>
      <c r="CD175" s="1190">
        <f>'2026'!R\Max</f>
        <v>0.98197648445089314</v>
      </c>
      <c r="CE175" s="1191">
        <f>'2027'!R\Max</f>
        <v>0.98197597783353696</v>
      </c>
      <c r="CF175" s="1193">
        <f>'2028'!R\Max</f>
        <v>0.98197527080496805</v>
      </c>
    </row>
    <row r="176" spans="1:84" s="6" customFormat="1" ht="11.25" x14ac:dyDescent="0.2">
      <c r="A176" s="11">
        <v>43262</v>
      </c>
      <c r="B176" s="379">
        <f>'2022'!Maxi_hp</f>
        <v>60.448688456997267</v>
      </c>
      <c r="C176" s="13">
        <f>'2022'!An_max</f>
        <v>2022</v>
      </c>
      <c r="D176" s="1045" t="str">
        <f t="shared" si="78"/>
        <v/>
      </c>
      <c r="E176" s="1040">
        <f>Y$13/10</f>
        <v>63.653600000000004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63.653600000217558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63.741450000554323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63.653599999845028</v>
      </c>
      <c r="AZ176" s="735">
        <f t="shared" si="96"/>
        <v>63.697525000199676</v>
      </c>
      <c r="BA176" s="633">
        <f t="shared" si="93"/>
        <v>0.94965074177722331</v>
      </c>
      <c r="BC176" s="11">
        <v>43262</v>
      </c>
      <c r="BD176" s="289">
        <f>[3]!FeuilCaduc*(1-Persistant)+Persistant</f>
        <v>0.88661312758207367</v>
      </c>
      <c r="BE176" s="290">
        <f>[3]!CroissVégét</f>
        <v>0.50975963681802305</v>
      </c>
      <c r="BF176" s="804">
        <f>1+[3]!Salcycl*Ksac</f>
        <v>1.0386613127582074</v>
      </c>
      <c r="BH176" s="1036">
        <f t="shared" si="94"/>
        <v>3.2292550058644946E-4</v>
      </c>
      <c r="BI176" s="11">
        <v>44358</v>
      </c>
      <c r="BJ176" s="715">
        <v>1.2441193706854746E-7</v>
      </c>
      <c r="BK176" s="715">
        <v>1.2441193706854746E-7</v>
      </c>
      <c r="BL176" s="715">
        <v>2.2123278445322641E-5</v>
      </c>
      <c r="BM176" s="715">
        <v>1.4504918532650413E-4</v>
      </c>
      <c r="BN176" s="715">
        <v>5.0143437259895379E-4</v>
      </c>
      <c r="BO176" s="716">
        <v>1.2381743641541305E-3</v>
      </c>
      <c r="BP176" s="715">
        <v>2.4576958547764334E-3</v>
      </c>
      <c r="BQ176" s="715">
        <v>4.2228776785722E-3</v>
      </c>
      <c r="BR176" s="715">
        <v>6.6106556238991511E-3</v>
      </c>
      <c r="BS176" s="715">
        <v>9.7062963643771583E-3</v>
      </c>
      <c r="BT176" s="715">
        <v>1.3314388825881551E-2</v>
      </c>
      <c r="BW176" s="1190">
        <f>'2019'!R\Max</f>
        <v>0.51675405726615498</v>
      </c>
      <c r="BX176" s="1190">
        <f>'2020'!R\Max</f>
        <v>0.6826933039869626</v>
      </c>
      <c r="BY176" s="1190">
        <f>'2021'!R\Max</f>
        <v>0.78687597407643406</v>
      </c>
      <c r="BZ176" s="1190">
        <f>'2022'!R\Max</f>
        <v>0.94965074177722331</v>
      </c>
      <c r="CA176" s="1190">
        <f>'2023'!R\Max</f>
        <v>0.9496476087465594</v>
      </c>
      <c r="CB176" s="1190">
        <f>'2024'!R\Max</f>
        <v>0.94964376324041888</v>
      </c>
      <c r="CC176" s="1190">
        <f>'2025'!R\Max</f>
        <v>0.94963922742611706</v>
      </c>
      <c r="CD176" s="1190">
        <f>'2026'!R\Max</f>
        <v>0.94965661429130932</v>
      </c>
      <c r="CE176" s="1191">
        <f>'2027'!R\Max</f>
        <v>0.94965525141883966</v>
      </c>
      <c r="CF176" s="1193">
        <f>'2028'!R\Max</f>
        <v>0.94965335894934266</v>
      </c>
    </row>
    <row r="177" spans="1:84" s="6" customFormat="1" ht="11.25" x14ac:dyDescent="0.2">
      <c r="A177" s="11">
        <v>43263</v>
      </c>
      <c r="B177" s="379">
        <f>'2022'!Maxi_hp</f>
        <v>56.41651381708197</v>
      </c>
      <c r="C177" s="13">
        <f>'2022'!An_max</f>
        <v>2018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63.613388775475322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63.694547576796523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63.620180594342365</v>
      </c>
      <c r="AZ177" s="735">
        <f t="shared" si="96"/>
        <v>63.657364085569441</v>
      </c>
      <c r="BA177" s="633">
        <f t="shared" si="93"/>
        <v>0.88686540527191748</v>
      </c>
      <c r="BC177" s="11">
        <v>43263</v>
      </c>
      <c r="BD177" s="289">
        <f>[3]!FeuilCaduc*(1-Persistant)+Persistant</f>
        <v>0.89245950612421099</v>
      </c>
      <c r="BE177" s="290">
        <f>[3]!CroissVégét</f>
        <v>0.52004118610663486</v>
      </c>
      <c r="BF177" s="804">
        <f>1+[3]!Salcycl*Ksac</f>
        <v>1.0392459506124212</v>
      </c>
      <c r="BH177" s="1036">
        <f t="shared" si="94"/>
        <v>3.1452155065311274E-4</v>
      </c>
      <c r="BI177" s="11">
        <v>44359</v>
      </c>
      <c r="BJ177" s="715">
        <v>1.1830983924388682E-7</v>
      </c>
      <c r="BK177" s="715">
        <v>1.1830983924388682E-7</v>
      </c>
      <c r="BL177" s="715">
        <v>2.1150800937008057E-5</v>
      </c>
      <c r="BM177" s="715">
        <v>1.405307961556066E-4</v>
      </c>
      <c r="BN177" s="715">
        <v>4.8913104422489866E-4</v>
      </c>
      <c r="BO177" s="716">
        <v>1.2143246455394853E-3</v>
      </c>
      <c r="BP177" s="715">
        <v>2.4203662470347366E-3</v>
      </c>
      <c r="BQ177" s="715">
        <v>4.1681896655667607E-3</v>
      </c>
      <c r="BR177" s="715">
        <v>6.5356926131534647E-3</v>
      </c>
      <c r="BS177" s="715">
        <v>9.6048791772183669E-3</v>
      </c>
      <c r="BT177" s="715">
        <v>1.3183942792175501E-2</v>
      </c>
      <c r="BW177" s="1190">
        <f>'2019'!R\Max</f>
        <v>0.88686540527191748</v>
      </c>
      <c r="BX177" s="1190">
        <f>'2020'!R\Max</f>
        <v>0.4491890064218968</v>
      </c>
      <c r="BY177" s="1190">
        <f>'2021'!R\Max</f>
        <v>0.78198618427501065</v>
      </c>
      <c r="BZ177" s="1190">
        <f>'2022'!R\Max</f>
        <v>0.73769898114816601</v>
      </c>
      <c r="CA177" s="1190">
        <f>'2023'!R\Max</f>
        <v>0.73768635176041053</v>
      </c>
      <c r="CB177" s="1190">
        <f>'2024'!R\Max</f>
        <v>0.7376707810445744</v>
      </c>
      <c r="CC177" s="1190">
        <f>'2025'!R\Max</f>
        <v>0.73765247567312042</v>
      </c>
      <c r="CD177" s="1190">
        <f>'2026'!R\Max</f>
        <v>0.73772265369201573</v>
      </c>
      <c r="CE177" s="1191">
        <f>'2027'!R\Max</f>
        <v>0.73771715716110786</v>
      </c>
      <c r="CF177" s="1193">
        <f>'2028'!R\Max</f>
        <v>0.73770956381299357</v>
      </c>
    </row>
    <row r="178" spans="1:84" s="6" customFormat="1" ht="11.25" x14ac:dyDescent="0.2">
      <c r="A178" s="11">
        <v>43264</v>
      </c>
      <c r="B178" s="379">
        <f>'2022'!Maxi_hp</f>
        <v>64.279104061315721</v>
      </c>
      <c r="C178" s="13">
        <f>'2022'!An_max</f>
        <v>2018</v>
      </c>
      <c r="D178" s="1045">
        <f t="shared" si="78"/>
        <v>1.0111285981565341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63.571640816517174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63.64540408173842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63.584483527325631</v>
      </c>
      <c r="AZ178" s="735">
        <f t="shared" si="96"/>
        <v>63.614943804532025</v>
      </c>
      <c r="BA178" s="633">
        <f t="shared" si="93"/>
        <v>1.0111285981565341</v>
      </c>
      <c r="BC178" s="11">
        <v>43264</v>
      </c>
      <c r="BD178" s="289">
        <f>[3]!FeuilCaduc*(1-Persistant)+Persistant</f>
        <v>0.89816160567750636</v>
      </c>
      <c r="BE178" s="290">
        <f>[3]!CroissVégét</f>
        <v>0.53030539801316789</v>
      </c>
      <c r="BF178" s="804">
        <f>1+[3]!Salcycl*Ksac</f>
        <v>1.0398161605677507</v>
      </c>
      <c r="BH178" s="1036">
        <f t="shared" si="94"/>
        <v>3.0717208226600909E-4</v>
      </c>
      <c r="BI178" s="11">
        <v>44360</v>
      </c>
      <c r="BJ178" s="715">
        <v>1.1130945897328216E-7</v>
      </c>
      <c r="BK178" s="715">
        <v>1.1130945897328219E-7</v>
      </c>
      <c r="BL178" s="715">
        <v>2.0323868635874453E-5</v>
      </c>
      <c r="BM178" s="715">
        <v>1.3666830667668763E-4</v>
      </c>
      <c r="BN178" s="715">
        <v>4.7828219667243616E-4</v>
      </c>
      <c r="BO178" s="716">
        <v>1.1931142833941045E-3</v>
      </c>
      <c r="BP178" s="715">
        <v>2.3870370213534501E-3</v>
      </c>
      <c r="BQ178" s="715">
        <v>4.1193861435955461E-3</v>
      </c>
      <c r="BR178" s="715">
        <v>6.468907027161898E-3</v>
      </c>
      <c r="BS178" s="715">
        <v>9.5143598476003666E-3</v>
      </c>
      <c r="BT178" s="715">
        <v>1.3067271298774856E-2</v>
      </c>
      <c r="BW178" s="1190">
        <f>'2019'!R\Max</f>
        <v>1.0111285981565341</v>
      </c>
      <c r="BX178" s="1190">
        <f>'2020'!R\Max</f>
        <v>0.91957328642921243</v>
      </c>
      <c r="BY178" s="1190">
        <f>'2021'!R\Max</f>
        <v>0.94380070168548624</v>
      </c>
      <c r="BZ178" s="1190">
        <f>'2022'!R\Max</f>
        <v>0.92846291643052414</v>
      </c>
      <c r="CA178" s="1190">
        <f>'2023'!R\Max</f>
        <v>0.92845859458491431</v>
      </c>
      <c r="CB178" s="1190">
        <f>'2024'!R\Max</f>
        <v>0.92845324212699465</v>
      </c>
      <c r="CC178" s="1190">
        <f>'2025'!R\Max</f>
        <v>0.92844696998377518</v>
      </c>
      <c r="CD178" s="1190">
        <f>'2026'!R\Max</f>
        <v>0.92847101972191859</v>
      </c>
      <c r="CE178" s="1191">
        <f>'2027'!R\Max</f>
        <v>0.92846913692871114</v>
      </c>
      <c r="CF178" s="1193">
        <f>'2028'!R\Max</f>
        <v>0.92846654967625053</v>
      </c>
    </row>
    <row r="179" spans="1:84" s="6" customFormat="1" ht="11.25" x14ac:dyDescent="0.2">
      <c r="A179" s="11">
        <v>43265</v>
      </c>
      <c r="B179" s="379">
        <f>'2022'!Maxi_hp</f>
        <v>56.161235442538548</v>
      </c>
      <c r="C179" s="13">
        <f>'2022'!An_max</f>
        <v>2021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63.528356122784317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63.594211607359888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63.546536242582704</v>
      </c>
      <c r="AZ179" s="735">
        <f t="shared" si="96"/>
        <v>63.570373924971292</v>
      </c>
      <c r="BA179" s="633">
        <f t="shared" si="93"/>
        <v>0.88403413640977924</v>
      </c>
      <c r="BC179" s="11">
        <v>43265</v>
      </c>
      <c r="BD179" s="289">
        <f>[3]!FeuilCaduc*(1-Persistant)+Persistant</f>
        <v>0.90371422657142475</v>
      </c>
      <c r="BE179" s="290">
        <f>[3]!CroissVégét</f>
        <v>0.54054367684881977</v>
      </c>
      <c r="BF179" s="804">
        <f>1+[3]!Salcycl*Ksac</f>
        <v>1.0403714226571426</v>
      </c>
      <c r="BH179" s="1036">
        <f t="shared" si="94"/>
        <v>3.0056267062558771E-4</v>
      </c>
      <c r="BI179" s="11">
        <v>44361</v>
      </c>
      <c r="BJ179" s="715">
        <v>1.0426428705473088E-7</v>
      </c>
      <c r="BK179" s="715">
        <v>1.0426428705473091E-7</v>
      </c>
      <c r="BL179" s="715">
        <v>1.9580143041936076E-5</v>
      </c>
      <c r="BM179" s="715">
        <v>1.3319566943688336E-4</v>
      </c>
      <c r="BN179" s="715">
        <v>4.6852485575771225E-4</v>
      </c>
      <c r="BO179" s="716">
        <v>1.1740790318549017E-3</v>
      </c>
      <c r="BP179" s="715">
        <v>2.3571071569105308E-3</v>
      </c>
      <c r="BQ179" s="715">
        <v>4.0755296882269091E-3</v>
      </c>
      <c r="BR179" s="715">
        <v>6.4088532884957186E-3</v>
      </c>
      <c r="BS179" s="715">
        <v>9.4328770430819105E-3</v>
      </c>
      <c r="BT179" s="715">
        <v>1.2962106482397354E-2</v>
      </c>
      <c r="BW179" s="1190">
        <f>'2019'!R\Max</f>
        <v>0.40914310772389823</v>
      </c>
      <c r="BX179" s="1190">
        <f>'2020'!R\Max</f>
        <v>0.68304345073138917</v>
      </c>
      <c r="BY179" s="1190">
        <f>'2021'!R\Max</f>
        <v>0.88403413640977924</v>
      </c>
      <c r="BZ179" s="1190">
        <f>'2022'!R\Max</f>
        <v>0.82602106665754749</v>
      </c>
      <c r="CA179" s="1190">
        <f>'2023'!R\Max</f>
        <v>0.82601173734643629</v>
      </c>
      <c r="CB179" s="1190">
        <f>'2024'!R\Max</f>
        <v>0.82600013241442527</v>
      </c>
      <c r="CC179" s="1190">
        <f>'2025'!R\Max</f>
        <v>0.82598657871858394</v>
      </c>
      <c r="CD179" s="1190">
        <f>'2026'!R\Max</f>
        <v>0.82603857105317824</v>
      </c>
      <c r="CE179" s="1191">
        <f>'2027'!R\Max</f>
        <v>0.82603450019290015</v>
      </c>
      <c r="CF179" s="1193">
        <f>'2028'!R\Max</f>
        <v>0.82602893684556955</v>
      </c>
    </row>
    <row r="180" spans="1:84" s="6" customFormat="1" ht="11.25" x14ac:dyDescent="0.2">
      <c r="A180" s="11">
        <v>43266</v>
      </c>
      <c r="B180" s="379">
        <f>'2022'!Maxi_hp</f>
        <v>59.165126104140107</v>
      </c>
      <c r="C180" s="13">
        <f>'2022'!An_max</f>
        <v>2022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63.483534693904218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63.541162245308179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63.506366180761589</v>
      </c>
      <c r="AZ180" s="735">
        <f t="shared" si="96"/>
        <v>63.52376421303488</v>
      </c>
      <c r="BA180" s="633">
        <f t="shared" si="93"/>
        <v>0.93197592713471311</v>
      </c>
      <c r="BC180" s="11">
        <v>43266</v>
      </c>
      <c r="BD180" s="289">
        <f>[3]!FeuilCaduc*(1-Persistant)+Persistant</f>
        <v>0.90911262107710678</v>
      </c>
      <c r="BE180" s="290">
        <f>[3]!CroissVégét</f>
        <v>0.55074751394309984</v>
      </c>
      <c r="BF180" s="804">
        <f>1+[3]!Salcycl*Ksac</f>
        <v>1.0409112621077106</v>
      </c>
      <c r="BH180" s="1036">
        <f t="shared" si="94"/>
        <v>2.9469223492365848E-4</v>
      </c>
      <c r="BI180" s="11">
        <v>44362</v>
      </c>
      <c r="BJ180" s="715">
        <v>9.717440968405041E-8</v>
      </c>
      <c r="BK180" s="715">
        <v>9.7174409684050396E-8</v>
      </c>
      <c r="BL180" s="715">
        <v>1.8919482918079362E-5</v>
      </c>
      <c r="BM180" s="715">
        <v>1.3011228041035153E-4</v>
      </c>
      <c r="BN180" s="715">
        <v>4.5985746219467401E-4</v>
      </c>
      <c r="BO180" s="716">
        <v>1.1572161251688065E-3</v>
      </c>
      <c r="BP180" s="715">
        <v>2.3305730516884602E-3</v>
      </c>
      <c r="BQ180" s="715">
        <v>4.0366159461179864E-3</v>
      </c>
      <c r="BR180" s="715">
        <v>6.3555266622527728E-3</v>
      </c>
      <c r="BS180" s="715">
        <v>9.3604255410494591E-3</v>
      </c>
      <c r="BT180" s="715">
        <v>1.2868442982835526E-2</v>
      </c>
      <c r="BW180" s="1190">
        <f>'2019'!R\Max</f>
        <v>0.40452972299341117</v>
      </c>
      <c r="BX180" s="1190">
        <f>'2020'!R\Max</f>
        <v>0.78037991253569805</v>
      </c>
      <c r="BY180" s="1190">
        <f>'2021'!R\Max</f>
        <v>0.8567228182921639</v>
      </c>
      <c r="BZ180" s="1190">
        <f>'2022'!R\Max</f>
        <v>0.93197592713471311</v>
      </c>
      <c r="CA180" s="1190">
        <f>'2023'!R\Max</f>
        <v>0.93197181790672401</v>
      </c>
      <c r="CB180" s="1190">
        <f>'2024'!R\Max</f>
        <v>0.93196668408426586</v>
      </c>
      <c r="CC180" s="1190">
        <f>'2025'!R\Max</f>
        <v>0.93196070811777865</v>
      </c>
      <c r="CD180" s="1190">
        <f>'2026'!R\Max</f>
        <v>0.93198364509584675</v>
      </c>
      <c r="CE180" s="1191">
        <f>'2027'!R\Max</f>
        <v>0.93198184818938867</v>
      </c>
      <c r="CF180" s="1193">
        <f>'2028'!R\Max</f>
        <v>0.93197940628977083</v>
      </c>
    </row>
    <row r="181" spans="1:84" s="6" customFormat="1" ht="11.25" x14ac:dyDescent="0.2">
      <c r="A181" s="11">
        <v>43267</v>
      </c>
      <c r="B181" s="379">
        <f>'2022'!Maxi_hp</f>
        <v>63.760579589282713</v>
      </c>
      <c r="C181" s="13">
        <f>'2022'!An_max</f>
        <v>2018</v>
      </c>
      <c r="D181" s="1045">
        <f t="shared" si="78"/>
        <v>1.0050980052427825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63.437176530741681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63.486448087170722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63.464000783641154</v>
      </c>
      <c r="AZ181" s="735">
        <f t="shared" si="96"/>
        <v>63.475224435405934</v>
      </c>
      <c r="BA181" s="633">
        <f t="shared" si="93"/>
        <v>1.0050980052427825</v>
      </c>
      <c r="BC181" s="11">
        <v>43267</v>
      </c>
      <c r="BD181" s="289">
        <f>[3]!FeuilCaduc*(1-Persistant)+Persistant</f>
        <v>0.91435250979095462</v>
      </c>
      <c r="BE181" s="290">
        <f>[3]!CroissVégét</f>
        <v>0.56090851568364364</v>
      </c>
      <c r="BF181" s="804">
        <f>1+[3]!Salcycl*Ksac</f>
        <v>1.0414352509790954</v>
      </c>
      <c r="BH181" s="1036">
        <f t="shared" si="94"/>
        <v>2.8955969790170382E-4</v>
      </c>
      <c r="BI181" s="11">
        <v>44363</v>
      </c>
      <c r="BJ181" s="715">
        <v>9.003987220869885E-8</v>
      </c>
      <c r="BK181" s="715">
        <v>9.003987220869885E-8</v>
      </c>
      <c r="BL181" s="715">
        <v>1.8341747379843509E-5</v>
      </c>
      <c r="BM181" s="715">
        <v>1.2741753741517039E-4</v>
      </c>
      <c r="BN181" s="715">
        <v>4.5227846195875968E-4</v>
      </c>
      <c r="BO181" s="716">
        <v>1.1425228110478458E-3</v>
      </c>
      <c r="BP181" s="715">
        <v>2.3074311253013075E-3</v>
      </c>
      <c r="BQ181" s="715">
        <v>4.0026405957114186E-3</v>
      </c>
      <c r="BR181" s="715">
        <v>6.3089224573348182E-3</v>
      </c>
      <c r="BS181" s="715">
        <v>9.2970001754174303E-3</v>
      </c>
      <c r="BT181" s="715">
        <v>1.2786275506986411E-2</v>
      </c>
      <c r="BW181" s="1190">
        <f>'2019'!R\Max</f>
        <v>1.0050980052427825</v>
      </c>
      <c r="BX181" s="1190">
        <f>'2020'!R\Max</f>
        <v>0.71990471479323415</v>
      </c>
      <c r="BY181" s="1190">
        <f>'2021'!R\Max</f>
        <v>0.78591566722486272</v>
      </c>
      <c r="BZ181" s="1190">
        <f>'2022'!R\Max</f>
        <v>0.89588571847525689</v>
      </c>
      <c r="CA181" s="1190">
        <f>'2023'!R\Max</f>
        <v>0.89587967718547312</v>
      </c>
      <c r="CB181" s="1190">
        <f>'2024'!R\Max</f>
        <v>0.89587209752222885</v>
      </c>
      <c r="CC181" s="1190">
        <f>'2025'!R\Max</f>
        <v>0.8958633043716806</v>
      </c>
      <c r="CD181" s="1190">
        <f>'2026'!R\Max</f>
        <v>0.89589708134928403</v>
      </c>
      <c r="CE181" s="1191">
        <f>'2027'!R\Max</f>
        <v>0.89589443223841858</v>
      </c>
      <c r="CF181" s="1193">
        <f>'2028'!R\Max</f>
        <v>0.89589085304147287</v>
      </c>
    </row>
    <row r="182" spans="1:84" s="6" customFormat="1" ht="11.25" x14ac:dyDescent="0.2">
      <c r="A182" s="11">
        <v>43268</v>
      </c>
      <c r="B182" s="379">
        <f>'2022'!Maxi_hp</f>
        <v>62.238525909161851</v>
      </c>
      <c r="C182" s="13">
        <f>'2022'!An_max</f>
        <v>2018</v>
      </c>
      <c r="D182" s="1045">
        <f t="shared" si="78"/>
        <v>0.98184620974260184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63.38928163248513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63.430261224800986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63.419467493026914</v>
      </c>
      <c r="AZ182" s="735">
        <f t="shared" si="96"/>
        <v>63.42486435891395</v>
      </c>
      <c r="BA182" s="633">
        <f t="shared" si="93"/>
        <v>0.98184620974260184</v>
      </c>
      <c r="BC182" s="11">
        <v>43268</v>
      </c>
      <c r="BD182" s="289">
        <f>[3]!FeuilCaduc*(1-Persistant)+Persistant</f>
        <v>0.91943009553937594</v>
      </c>
      <c r="BE182" s="290">
        <f>[3]!CroissVégét</f>
        <v>0.57101843074296321</v>
      </c>
      <c r="BF182" s="804">
        <f>1+[3]!Salcycl*Ksac</f>
        <v>1.0419430095539377</v>
      </c>
      <c r="BH182" s="1036">
        <f t="shared" si="94"/>
        <v>2.8516399577072652E-4</v>
      </c>
      <c r="BI182" s="11">
        <v>44364</v>
      </c>
      <c r="BJ182" s="715">
        <v>8.2860678389110048E-8</v>
      </c>
      <c r="BK182" s="715">
        <v>8.2860678389110048E-8</v>
      </c>
      <c r="BL182" s="715">
        <v>1.7846797012155141E-5</v>
      </c>
      <c r="BM182" s="715">
        <v>1.2511084534166508E-4</v>
      </c>
      <c r="BN182" s="715">
        <v>4.4578632091495053E-4</v>
      </c>
      <c r="BO182" s="716">
        <v>1.1299963798021082E-3</v>
      </c>
      <c r="BP182" s="715">
        <v>2.2876778644695169E-3</v>
      </c>
      <c r="BQ182" s="715">
        <v>3.9735994133445933E-3</v>
      </c>
      <c r="BR182" s="715">
        <v>6.2690361163143206E-3</v>
      </c>
      <c r="BS182" s="715">
        <v>9.2425959571631588E-3</v>
      </c>
      <c r="BT182" s="715">
        <v>1.2715598982215666E-2</v>
      </c>
      <c r="BW182" s="1190">
        <f>'2019'!R\Max</f>
        <v>0.98184620974260184</v>
      </c>
      <c r="BX182" s="1190">
        <f>'2020'!R\Max</f>
        <v>0.49863439683507754</v>
      </c>
      <c r="BY182" s="1190">
        <f>'2021'!R\Max</f>
        <v>0.26602980042743141</v>
      </c>
      <c r="BZ182" s="1190">
        <f>'2022'!R\Max</f>
        <v>0.89908015267378005</v>
      </c>
      <c r="CA182" s="1190">
        <f>'2023'!R\Max</f>
        <v>0.89907427544892693</v>
      </c>
      <c r="CB182" s="1190">
        <f>'2024'!R\Max</f>
        <v>0.8990668710209806</v>
      </c>
      <c r="CC182" s="1190">
        <f>'2025'!R\Max</f>
        <v>0.89905831041630979</v>
      </c>
      <c r="CD182" s="1190">
        <f>'2026'!R\Max</f>
        <v>0.89909122671424824</v>
      </c>
      <c r="CE182" s="1191">
        <f>'2027'!R\Max</f>
        <v>0.89908864082849627</v>
      </c>
      <c r="CF182" s="1193">
        <f>'2028'!R\Max</f>
        <v>0.8990851677300139</v>
      </c>
    </row>
    <row r="183" spans="1:84" s="6" customFormat="1" ht="11.25" x14ac:dyDescent="0.2">
      <c r="A183" s="11">
        <v>43269</v>
      </c>
      <c r="B183" s="379">
        <f>'2022'!Maxi_hp</f>
        <v>59.600179801280198</v>
      </c>
      <c r="C183" s="13">
        <f>'2022'!An_max</f>
        <v>2022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63.339850000012667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63.372793750418353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63.372793749580161</v>
      </c>
      <c r="AZ183" s="735">
        <f t="shared" si="96"/>
        <v>63.372793749999261</v>
      </c>
      <c r="BA183" s="633">
        <f t="shared" si="93"/>
        <v>0.94095865085358232</v>
      </c>
      <c r="BC183" s="11">
        <v>43269</v>
      </c>
      <c r="BD183" s="289">
        <f>[3]!FeuilCaduc*(1-Persistant)+Persistant</f>
        <v>0.92434207469790586</v>
      </c>
      <c r="BE183" s="290">
        <f>[3]!CroissVégét</f>
        <v>0.5810691763075071</v>
      </c>
      <c r="BF183" s="804">
        <f>1+[3]!Salcycl*Ksac</f>
        <v>1.0424342074697905</v>
      </c>
      <c r="BH183" s="1036">
        <f t="shared" si="94"/>
        <v>2.8150408814051357E-4</v>
      </c>
      <c r="BI183" s="11">
        <v>44365</v>
      </c>
      <c r="BJ183" s="715">
        <v>7.5636789663129594E-8</v>
      </c>
      <c r="BK183" s="715">
        <v>7.5636789663129594E-8</v>
      </c>
      <c r="BL183" s="715">
        <v>1.7434494986667505E-5</v>
      </c>
      <c r="BM183" s="715">
        <v>1.2319162138489084E-4</v>
      </c>
      <c r="BN183" s="715">
        <v>4.4037953946051859E-4</v>
      </c>
      <c r="BO183" s="716">
        <v>1.1196341935096707E-3</v>
      </c>
      <c r="BP183" s="715">
        <v>2.2713098685691441E-3</v>
      </c>
      <c r="BQ183" s="715">
        <v>3.9494883394878355E-3</v>
      </c>
      <c r="BR183" s="715">
        <v>6.2358633055042715E-3</v>
      </c>
      <c r="BS183" s="715">
        <v>9.1972081951609431E-3</v>
      </c>
      <c r="BT183" s="715">
        <v>1.2656408710132771E-2</v>
      </c>
      <c r="BW183" s="1190">
        <f>'2019'!R\Max</f>
        <v>0.93616742908075534</v>
      </c>
      <c r="BX183" s="1190">
        <f>'2020'!R\Max</f>
        <v>0.86913018515360152</v>
      </c>
      <c r="BY183" s="1190">
        <f>'2021'!R\Max</f>
        <v>0.72674095638216585</v>
      </c>
      <c r="BZ183" s="1190">
        <f>'2022'!R\Max</f>
        <v>0.94095865085358232</v>
      </c>
      <c r="CA183" s="1190">
        <f>'2023'!R\Max</f>
        <v>0.94095504905586103</v>
      </c>
      <c r="CB183" s="1190">
        <f>'2024'!R\Max</f>
        <v>0.940950492960832</v>
      </c>
      <c r="CC183" s="1190">
        <f>'2025'!R\Max</f>
        <v>0.94094524346887409</v>
      </c>
      <c r="CD183" s="1190">
        <f>'2026'!R\Max</f>
        <v>0.94096545210513383</v>
      </c>
      <c r="CE183" s="1191">
        <f>'2027'!R\Max</f>
        <v>0.94096386103614016</v>
      </c>
      <c r="CF183" s="1193">
        <f>'2028'!R\Max</f>
        <v>0.94096173699889429</v>
      </c>
    </row>
    <row r="184" spans="1:84" s="6" customFormat="1" ht="11.25" x14ac:dyDescent="0.2">
      <c r="A184" s="11">
        <v>43270</v>
      </c>
      <c r="B184" s="379">
        <f>'2022'!Maxi_hp</f>
        <v>61.056703983579069</v>
      </c>
      <c r="C184" s="13">
        <f>'2022'!An_max</f>
        <v>2022</v>
      </c>
      <c r="D184" s="1045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63.288881632765495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63.314237755470515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63.324006996995635</v>
      </c>
      <c r="AZ184" s="735">
        <f t="shared" si="96"/>
        <v>63.319122376233075</v>
      </c>
      <c r="BA184" s="633">
        <f t="shared" si="93"/>
        <v>0.96473033506677108</v>
      </c>
      <c r="BC184" s="11">
        <v>43270</v>
      </c>
      <c r="BD184" s="289">
        <f>[3]!FeuilCaduc*(1-Persistant)+Persistant</f>
        <v>0.92908564583709452</v>
      </c>
      <c r="BE184" s="290">
        <f>[3]!CroissVégét</f>
        <v>0.5910528631363321</v>
      </c>
      <c r="BF184" s="804">
        <f>1+[3]!Salcycl*Ksac</f>
        <v>1.0429085645837095</v>
      </c>
      <c r="BH184" s="1036">
        <f t="shared" si="94"/>
        <v>2.7892482794237552E-4</v>
      </c>
      <c r="BI184" s="11">
        <v>44366</v>
      </c>
      <c r="BJ184" s="715">
        <v>6.9271392908478906E-8</v>
      </c>
      <c r="BK184" s="715">
        <v>6.9271392908478919E-8</v>
      </c>
      <c r="BL184" s="715">
        <v>1.7144706486216419E-5</v>
      </c>
      <c r="BM184" s="715">
        <v>1.2184218429251688E-4</v>
      </c>
      <c r="BN184" s="715">
        <v>4.3656608270808349E-4</v>
      </c>
      <c r="BO184" s="716">
        <v>1.112380103301042E-3</v>
      </c>
      <c r="BP184" s="715">
        <v>2.2597875470919161E-3</v>
      </c>
      <c r="BQ184" s="715">
        <v>3.9324241314551414E-3</v>
      </c>
      <c r="BR184" s="715">
        <v>6.2122697514279497E-3</v>
      </c>
      <c r="BS184" s="715">
        <v>9.1647333176949064E-3</v>
      </c>
      <c r="BT184" s="715">
        <v>1.2613774734985308E-2</v>
      </c>
      <c r="BW184" s="1190">
        <f>'2019'!R\Max</f>
        <v>0.81642237263465034</v>
      </c>
      <c r="BX184" s="1190">
        <f>'2020'!R\Max</f>
        <v>0.74323988030500876</v>
      </c>
      <c r="BY184" s="1190">
        <f>'2021'!R\Max</f>
        <v>0.54606198131528527</v>
      </c>
      <c r="BZ184" s="1190">
        <f>'2022'!R\Max</f>
        <v>0.96473033506677108</v>
      </c>
      <c r="CA184" s="1190">
        <f>'2023'!R\Max</f>
        <v>0.96472812420940357</v>
      </c>
      <c r="CB184" s="1190">
        <f>'2024'!R\Max</f>
        <v>0.96472531671262174</v>
      </c>
      <c r="CC184" s="1190">
        <f>'2025'!R\Max</f>
        <v>0.96472209313302448</v>
      </c>
      <c r="CD184" s="1190">
        <f>'2026'!R\Max</f>
        <v>0.96473452108428748</v>
      </c>
      <c r="CE184" s="1191">
        <f>'2027'!R\Max</f>
        <v>0.96473353962559982</v>
      </c>
      <c r="CF184" s="1193">
        <f>'2028'!R\Max</f>
        <v>0.96473223763404492</v>
      </c>
    </row>
    <row r="185" spans="1:84" s="6" customFormat="1" ht="11.25" x14ac:dyDescent="0.2">
      <c r="A185" s="11">
        <v>43271</v>
      </c>
      <c r="B185" s="379">
        <f>'2022'!Maxi_hp</f>
        <v>56.990075158502776</v>
      </c>
      <c r="C185" s="13">
        <f>'2022'!An_max</f>
        <v>2020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63.236376530557344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63.254785332296571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63.273134675562119</v>
      </c>
      <c r="AZ185" s="735">
        <f t="shared" si="96"/>
        <v>63.263960003929341</v>
      </c>
      <c r="BA185" s="633">
        <f t="shared" si="93"/>
        <v>0.90122297141683627</v>
      </c>
      <c r="BC185" s="11">
        <v>43271</v>
      </c>
      <c r="BD185" s="289">
        <f>[3]!FeuilCaduc*(1-Persistant)+Persistant</f>
        <v>0.933658515627666</v>
      </c>
      <c r="BE185" s="290">
        <f>[3]!CroissVégét</f>
        <v>0.60096181929049675</v>
      </c>
      <c r="BF185" s="804">
        <f>1+[3]!Salcycl*Ksac</f>
        <v>1.0433658515627666</v>
      </c>
      <c r="BH185" s="1036">
        <f t="shared" si="94"/>
        <v>2.7704383549676046E-4</v>
      </c>
      <c r="BI185" s="11">
        <v>44367</v>
      </c>
      <c r="BJ185" s="715">
        <v>6.4719613861710055E-8</v>
      </c>
      <c r="BK185" s="715">
        <v>6.4719613861710042E-8</v>
      </c>
      <c r="BL185" s="715">
        <v>1.6935442124867126E-5</v>
      </c>
      <c r="BM185" s="715">
        <v>1.2086158770672848E-4</v>
      </c>
      <c r="BN185" s="715">
        <v>4.3378149245031734E-4</v>
      </c>
      <c r="BO185" s="716">
        <v>1.1070420133603338E-3</v>
      </c>
      <c r="BP185" s="715">
        <v>2.2512366462728883E-3</v>
      </c>
      <c r="BQ185" s="715">
        <v>3.919675021710655E-3</v>
      </c>
      <c r="BR185" s="715">
        <v>6.1945292692134274E-3</v>
      </c>
      <c r="BS185" s="715">
        <v>9.1402251788627441E-3</v>
      </c>
      <c r="BT185" s="715">
        <v>1.2581514784045055E-2</v>
      </c>
      <c r="BW185" s="1190">
        <f>'2019'!R\Max</f>
        <v>0.50427466585731584</v>
      </c>
      <c r="BX185" s="1190">
        <f>'2020'!R\Max</f>
        <v>0.90122297141683627</v>
      </c>
      <c r="BY185" s="1190">
        <f>'2021'!R\Max</f>
        <v>0.58550509841317999</v>
      </c>
      <c r="BZ185" s="1190">
        <f>'2022'!R\Max</f>
        <v>0.54471544577887077</v>
      </c>
      <c r="CA185" s="1190">
        <f>'2023'!R\Max</f>
        <v>0.54469928473572538</v>
      </c>
      <c r="CB185" s="1190">
        <f>'2024'!R\Max</f>
        <v>0.54467868619952287</v>
      </c>
      <c r="CC185" s="1190">
        <f>'2025'!R\Max</f>
        <v>0.54465511865496596</v>
      </c>
      <c r="CD185" s="1190">
        <f>'2026'!R\Max</f>
        <v>0.54474613901983449</v>
      </c>
      <c r="CE185" s="1191">
        <f>'2027'!R\Max</f>
        <v>0.54473892446387129</v>
      </c>
      <c r="CF185" s="1193">
        <f>'2028'!R\Max</f>
        <v>0.54472941557754773</v>
      </c>
    </row>
    <row r="186" spans="1:84" s="6" customFormat="1" ht="11.25" x14ac:dyDescent="0.2">
      <c r="A186" s="11">
        <v>43272</v>
      </c>
      <c r="B186" s="379">
        <f>'2022'!Maxi_hp</f>
        <v>52.195932812822107</v>
      </c>
      <c r="C186" s="13">
        <f>'2022'!An_max</f>
        <v>2020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63.182334693893793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63.194628571825362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63.220204227643876</v>
      </c>
      <c r="AZ186" s="735">
        <f t="shared" si="96"/>
        <v>63.207416399734619</v>
      </c>
      <c r="BA186" s="633">
        <f t="shared" si="93"/>
        <v>0.82611592410602297</v>
      </c>
      <c r="BC186" s="11">
        <v>43272</v>
      </c>
      <c r="BD186" s="289">
        <f>[3]!FeuilCaduc*(1-Persistant)+Persistant</f>
        <v>0.93805890195828834</v>
      </c>
      <c r="BE186" s="290">
        <f>[3]!CroissVégét</f>
        <v>0.61078861238975013</v>
      </c>
      <c r="BF186" s="804">
        <f>1+[3]!Salcycl*Ksac</f>
        <v>1.0438058901958289</v>
      </c>
      <c r="BH186" s="1036">
        <f t="shared" si="94"/>
        <v>2.7586027337215608E-4</v>
      </c>
      <c r="BI186" s="11">
        <v>44368</v>
      </c>
      <c r="BJ186" s="715">
        <v>6.1978365456753267E-8</v>
      </c>
      <c r="BK186" s="715">
        <v>6.1978365456753267E-8</v>
      </c>
      <c r="BL186" s="715">
        <v>1.6806584421491993E-5</v>
      </c>
      <c r="BM186" s="715">
        <v>1.2024935379332371E-4</v>
      </c>
      <c r="BN186" s="715">
        <v>4.3202457037961158E-4</v>
      </c>
      <c r="BO186" s="716">
        <v>1.1036181088861703E-3</v>
      </c>
      <c r="BP186" s="715">
        <v>2.2456550958645139E-3</v>
      </c>
      <c r="BQ186" s="715">
        <v>3.9112389096802079E-3</v>
      </c>
      <c r="BR186" s="715">
        <v>6.1826402321259778E-3</v>
      </c>
      <c r="BS186" s="715">
        <v>9.1236825515062254E-3</v>
      </c>
      <c r="BT186" s="715">
        <v>1.2559628205556724E-2</v>
      </c>
      <c r="BW186" s="1190">
        <f>'2019'!R\Max</f>
        <v>0.18198463440656651</v>
      </c>
      <c r="BX186" s="1190">
        <f>'2020'!R\Max</f>
        <v>0.82611592410602297</v>
      </c>
      <c r="BY186" s="1190">
        <f>'2021'!R\Max</f>
        <v>0.57907493587019587</v>
      </c>
      <c r="BZ186" s="1190">
        <f>'2022'!R\Max</f>
        <v>0.39238201727289701</v>
      </c>
      <c r="CA186" s="1190">
        <f>'2023'!R\Max</f>
        <v>0.39236642368704888</v>
      </c>
      <c r="CB186" s="1190">
        <f>'2024'!R\Max</f>
        <v>0.3923464762324157</v>
      </c>
      <c r="CC186" s="1190">
        <f>'2025'!R\Max</f>
        <v>0.39232373335102899</v>
      </c>
      <c r="CD186" s="1190">
        <f>'2026'!R\Max</f>
        <v>0.39241173077610558</v>
      </c>
      <c r="CE186" s="1191">
        <f>'2027'!R\Max</f>
        <v>0.39240472735830834</v>
      </c>
      <c r="CF186" s="1193">
        <f>'2028'!R\Max</f>
        <v>0.39239555747924332</v>
      </c>
    </row>
    <row r="187" spans="1:84" s="6" customFormat="1" ht="11.25" x14ac:dyDescent="0.2">
      <c r="A187" s="11">
        <v>43273</v>
      </c>
      <c r="B187" s="379">
        <f>'2022'!Maxi_hp</f>
        <v>63.676809848065162</v>
      </c>
      <c r="C187" s="13">
        <f>'2022'!An_max</f>
        <v>2020</v>
      </c>
      <c r="D187" s="1045">
        <f t="shared" si="78"/>
        <v>1.0087134799825728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63.126756122229359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63.133959566908217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63.165243094141729</v>
      </c>
      <c r="AZ187" s="735">
        <f t="shared" si="96"/>
        <v>63.149601330524973</v>
      </c>
      <c r="BA187" s="633">
        <f t="shared" si="93"/>
        <v>1.0087134799825728</v>
      </c>
      <c r="BC187" s="11">
        <v>43273</v>
      </c>
      <c r="BD187" s="289">
        <f>[3]!FeuilCaduc*(1-Persistant)+Persistant</f>
        <v>0.94228553424070394</v>
      </c>
      <c r="BE187" s="290">
        <f>[3]!CroissVégét</f>
        <v>0.62052607026992535</v>
      </c>
      <c r="BF187" s="804">
        <f>1+[3]!Salcycl*Ksac</f>
        <v>1.0442285534240705</v>
      </c>
      <c r="BH187" s="1036">
        <f t="shared" si="94"/>
        <v>2.7537336533484786E-4</v>
      </c>
      <c r="BI187" s="11">
        <v>44369</v>
      </c>
      <c r="BJ187" s="715">
        <v>6.1044720453795074E-8</v>
      </c>
      <c r="BK187" s="715">
        <v>6.1044720453795074E-8</v>
      </c>
      <c r="BL187" s="715">
        <v>1.6758022972382305E-5</v>
      </c>
      <c r="BM187" s="715">
        <v>1.2000503707824148E-4</v>
      </c>
      <c r="BN187" s="715">
        <v>4.3129420832636374E-4</v>
      </c>
      <c r="BO187" s="716">
        <v>1.1021067425355483E-3</v>
      </c>
      <c r="BP187" s="715">
        <v>2.2430410846059783E-3</v>
      </c>
      <c r="BQ187" s="715">
        <v>3.9071140700195732E-3</v>
      </c>
      <c r="BR187" s="715">
        <v>6.176601521223981E-3</v>
      </c>
      <c r="BS187" s="715">
        <v>9.1151048986862337E-3</v>
      </c>
      <c r="BT187" s="715">
        <v>1.2548115245636076E-2</v>
      </c>
      <c r="BW187" s="1190">
        <f>'2019'!R\Max</f>
        <v>0.87985854677364961</v>
      </c>
      <c r="BX187" s="1190">
        <f>'2020'!R\Max</f>
        <v>1.0087134799825728</v>
      </c>
      <c r="BY187" s="1190">
        <f>'2021'!R\Max</f>
        <v>0.6520784438514321</v>
      </c>
      <c r="BZ187" s="1190">
        <f>'2022'!R\Max</f>
        <v>0.76078662162360633</v>
      </c>
      <c r="CA187" s="1190">
        <f>'2023'!R\Max</f>
        <v>0.76077466577409036</v>
      </c>
      <c r="CB187" s="1190">
        <f>'2024'!R\Max</f>
        <v>0.76075931689247278</v>
      </c>
      <c r="CC187" s="1190">
        <f>'2025'!R\Max</f>
        <v>0.76074187642032676</v>
      </c>
      <c r="CD187" s="1190">
        <f>'2026'!R\Max</f>
        <v>0.76080948284468286</v>
      </c>
      <c r="CE187" s="1191">
        <f>'2027'!R\Max</f>
        <v>0.76080407873328937</v>
      </c>
      <c r="CF187" s="1193">
        <f>'2028'!R\Max</f>
        <v>0.76079704999871078</v>
      </c>
    </row>
    <row r="188" spans="1:84" s="6" customFormat="1" ht="11.25" x14ac:dyDescent="0.2">
      <c r="A188" s="11">
        <v>43274</v>
      </c>
      <c r="B188" s="379">
        <f>'2022'!Maxi_hp</f>
        <v>54.409239843799597</v>
      </c>
      <c r="C188" s="13">
        <f>'2022'!An_max</f>
        <v>2018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63.069640816189349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63.072970408573745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63.108278717020788</v>
      </c>
      <c r="AZ188" s="735">
        <f t="shared" si="96"/>
        <v>63.090624562797267</v>
      </c>
      <c r="BA188" s="633">
        <f t="shared" si="93"/>
        <v>0.86268510712420743</v>
      </c>
      <c r="BC188" s="11">
        <v>43274</v>
      </c>
      <c r="BD188" s="289">
        <f>[3]!FeuilCaduc*(1-Persistant)+Persistant</f>
        <v>0.94633765089871835</v>
      </c>
      <c r="BE188" s="290">
        <f>[3]!CroissVégét</f>
        <v>0.6301672999323692</v>
      </c>
      <c r="BF188" s="804">
        <f>1+[3]!Salcycl*Ksac</f>
        <v>1.0446337650898718</v>
      </c>
      <c r="BH188" s="1036">
        <f t="shared" si="94"/>
        <v>2.7557958768152261E-4</v>
      </c>
      <c r="BI188" s="11">
        <v>44370</v>
      </c>
      <c r="BJ188" s="715">
        <v>6.1915302950144722E-8</v>
      </c>
      <c r="BK188" s="715">
        <v>6.1915302950144722E-8</v>
      </c>
      <c r="BL188" s="715">
        <v>1.6789483852070116E-5</v>
      </c>
      <c r="BM188" s="715">
        <v>1.2012700100759955E-4</v>
      </c>
      <c r="BN188" s="715">
        <v>4.3158498872682306E-4</v>
      </c>
      <c r="BO188" s="716">
        <v>1.1024951860118409E-3</v>
      </c>
      <c r="BP188" s="715">
        <v>2.2433701592050868E-3</v>
      </c>
      <c r="BQ188" s="715">
        <v>3.9072592543961159E-3</v>
      </c>
      <c r="BR188" s="715">
        <v>6.1763494435964099E-3</v>
      </c>
      <c r="BS188" s="715">
        <v>9.1143992752055585E-3</v>
      </c>
      <c r="BT188" s="715">
        <v>1.2546848881176725E-2</v>
      </c>
      <c r="BW188" s="1190">
        <f>'2019'!R\Max</f>
        <v>0.86268510712420743</v>
      </c>
      <c r="BX188" s="1190">
        <f>'2020'!R\Max</f>
        <v>0.81716306436961195</v>
      </c>
      <c r="BY188" s="1190">
        <f>'2021'!R\Max</f>
        <v>0.34875135119521528</v>
      </c>
      <c r="BZ188" s="1190">
        <f>'2022'!R\Max</f>
        <v>0.71834417404652529</v>
      </c>
      <c r="CA188" s="1190">
        <f>'2023'!R\Max</f>
        <v>0.71833081373391361</v>
      </c>
      <c r="CB188" s="1190">
        <f>'2024'!R\Max</f>
        <v>0.71831360355934881</v>
      </c>
      <c r="CC188" s="1190">
        <f>'2025'!R\Max</f>
        <v>0.71829411573533053</v>
      </c>
      <c r="CD188" s="1190">
        <f>'2026'!R\Max</f>
        <v>0.71836981866126082</v>
      </c>
      <c r="CE188" s="1191">
        <f>'2027'!R\Max</f>
        <v>0.71836373726073754</v>
      </c>
      <c r="CF188" s="1193">
        <f>'2028'!R\Max</f>
        <v>0.71835588123533534</v>
      </c>
    </row>
    <row r="189" spans="1:84" s="6" customFormat="1" ht="11.25" x14ac:dyDescent="0.2">
      <c r="A189" s="11">
        <v>43275</v>
      </c>
      <c r="B189" s="379">
        <f>'2022'!Maxi_hp</f>
        <v>62.441537989908561</v>
      </c>
      <c r="C189" s="13">
        <f>'2022'!An_max</f>
        <v>2020</v>
      </c>
      <c r="D189" s="1045">
        <f t="shared" si="78"/>
        <v>0.99096267497489066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63.010988775627425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63.011853189440444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63.049338538632057</v>
      </c>
      <c r="AZ189" s="735">
        <f t="shared" si="96"/>
        <v>63.03059586403625</v>
      </c>
      <c r="BA189" s="633">
        <f t="shared" si="93"/>
        <v>0.99096267497489066</v>
      </c>
      <c r="BC189" s="11">
        <v>43275</v>
      </c>
      <c r="BD189" s="289">
        <f>[3]!FeuilCaduc*(1-Persistant)+Persistant</f>
        <v>0.95021499405944543</v>
      </c>
      <c r="BE189" s="290">
        <f>[3]!CroissVégét</f>
        <v>0.63970570469545396</v>
      </c>
      <c r="BF189" s="804">
        <f>1+[3]!Salcycl*Ksac</f>
        <v>1.0450214994059446</v>
      </c>
      <c r="BH189" s="1036">
        <f t="shared" si="94"/>
        <v>2.7647531017817447E-4</v>
      </c>
      <c r="BI189" s="11">
        <v>44371</v>
      </c>
      <c r="BJ189" s="715">
        <v>6.4586801886220636E-8</v>
      </c>
      <c r="BK189" s="715">
        <v>6.4586801886220649E-8</v>
      </c>
      <c r="BL189" s="715">
        <v>1.6900688680120107E-5</v>
      </c>
      <c r="BM189" s="715">
        <v>1.2061356604426278E-4</v>
      </c>
      <c r="BN189" s="715">
        <v>4.328913237131216E-4</v>
      </c>
      <c r="BO189" s="716">
        <v>1.1047702378046526E-3</v>
      </c>
      <c r="BP189" s="715">
        <v>2.2466168537796168E-3</v>
      </c>
      <c r="BQ189" s="715">
        <v>3.9116314047629025E-3</v>
      </c>
      <c r="BR189" s="715">
        <v>6.1818173937805906E-3</v>
      </c>
      <c r="BS189" s="715">
        <v>9.1214684018983902E-3</v>
      </c>
      <c r="BT189" s="715">
        <v>1.2555696091172611E-2</v>
      </c>
      <c r="BW189" s="1190">
        <f>'2019'!R\Max</f>
        <v>0.62594684707954173</v>
      </c>
      <c r="BX189" s="1190">
        <f>'2020'!R\Max</f>
        <v>0.99096267497489066</v>
      </c>
      <c r="BY189" s="1190">
        <f>'2021'!R\Max</f>
        <v>0.6379856248210718</v>
      </c>
      <c r="BZ189" s="1190">
        <f>'2022'!R\Max</f>
        <v>0.67827053475104337</v>
      </c>
      <c r="CA189" s="1190">
        <f>'2023'!R\Max</f>
        <v>0.67825604009837581</v>
      </c>
      <c r="CB189" s="1190">
        <f>'2024'!R\Max</f>
        <v>0.67823730779800939</v>
      </c>
      <c r="CC189" s="1190">
        <f>'2025'!R\Max</f>
        <v>0.67821616934949924</v>
      </c>
      <c r="CD189" s="1190">
        <f>'2026'!R\Max</f>
        <v>0.67829847037766478</v>
      </c>
      <c r="CE189" s="1191">
        <f>'2027'!R\Max</f>
        <v>0.67829182315317826</v>
      </c>
      <c r="CF189" s="1193">
        <f>'2028'!R\Max</f>
        <v>0.67828329500951501</v>
      </c>
    </row>
    <row r="190" spans="1:84" s="6" customFormat="1" ht="11.25" x14ac:dyDescent="0.2">
      <c r="A190" s="11">
        <v>43276</v>
      </c>
      <c r="B190" s="379">
        <f>'2022'!Maxi_hp</f>
        <v>58.359170518097258</v>
      </c>
      <c r="C190" s="13">
        <f>'2022'!An_max</f>
        <v>2020</v>
      </c>
      <c r="D190" s="1045" t="str">
        <f t="shared" si="78"/>
        <v/>
      </c>
      <c r="E190" s="1040">
        <f>Z$13/10</f>
        <v>62.950800000000001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62.950799999758601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62.950800000689924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62.988450000155716</v>
      </c>
      <c r="AZ190" s="735">
        <f t="shared" si="96"/>
        <v>62.969625000422823</v>
      </c>
      <c r="BA190" s="633">
        <f t="shared" si="93"/>
        <v>0.92706002971083845</v>
      </c>
      <c r="BC190" s="11">
        <v>43276</v>
      </c>
      <c r="BD190" s="289">
        <f>[3]!FeuilCaduc*(1-Persistant)+Persistant</f>
        <v>0.95391780148704419</v>
      </c>
      <c r="BE190" s="290">
        <f>[3]!CroissVégét</f>
        <v>0.64913499947740572</v>
      </c>
      <c r="BF190" s="804">
        <f>1+[3]!Salcycl*Ksac</f>
        <v>1.0453917801487045</v>
      </c>
      <c r="BH190" s="1036">
        <f t="shared" si="94"/>
        <v>2.7805964933961901E-4</v>
      </c>
      <c r="BI190" s="11">
        <v>44372</v>
      </c>
      <c r="BJ190" s="715">
        <v>6.9056524524872914E-8</v>
      </c>
      <c r="BK190" s="715">
        <v>6.9056524524872914E-8</v>
      </c>
      <c r="BL190" s="715">
        <v>1.7091526447308296E-5</v>
      </c>
      <c r="BM190" s="715">
        <v>1.2146425002420289E-4</v>
      </c>
      <c r="BN190" s="715">
        <v>4.3521192705175634E-4</v>
      </c>
      <c r="BO190" s="716">
        <v>1.1089296845247438E-3</v>
      </c>
      <c r="BP190" s="715">
        <v>2.2527780605326067E-3</v>
      </c>
      <c r="BQ190" s="715">
        <v>3.9202264033410929E-3</v>
      </c>
      <c r="BR190" s="715">
        <v>6.1930003199358284E-3</v>
      </c>
      <c r="BS190" s="715">
        <v>9.1363058333976763E-3</v>
      </c>
      <c r="BT190" s="715">
        <v>1.2574648895664346E-2</v>
      </c>
      <c r="BW190" s="1190">
        <f>'2019'!R\Max</f>
        <v>0.89063836350837122</v>
      </c>
      <c r="BX190" s="1190">
        <f>'2020'!R\Max</f>
        <v>0.92706002971083845</v>
      </c>
      <c r="BY190" s="1190">
        <f>'2021'!R\Max</f>
        <v>0.90408256810247745</v>
      </c>
      <c r="BZ190" s="1190">
        <f>'2022'!R\Max</f>
        <v>0.58923523130159094</v>
      </c>
      <c r="CA190" s="1190">
        <f>'2023'!R\Max</f>
        <v>0.58921904832138905</v>
      </c>
      <c r="CB190" s="1190">
        <f>'2024'!R\Max</f>
        <v>0.58919806889602055</v>
      </c>
      <c r="CC190" s="1190">
        <f>'2025'!R\Max</f>
        <v>0.5891744758044527</v>
      </c>
      <c r="CD190" s="1190">
        <f>'2026'!R\Max</f>
        <v>0.58926655618644819</v>
      </c>
      <c r="CE190" s="1191">
        <f>'2027'!R\Max</f>
        <v>0.58925907561846635</v>
      </c>
      <c r="CF190" s="1193">
        <f>'2028'!R\Max</f>
        <v>0.58924954458855738</v>
      </c>
    </row>
    <row r="191" spans="1:84" s="6" customFormat="1" ht="11.25" x14ac:dyDescent="0.2">
      <c r="A191" s="11">
        <v>43277</v>
      </c>
      <c r="B191" s="379">
        <f>'2022'!Maxi_hp</f>
        <v>60.460509614669505</v>
      </c>
      <c r="C191" s="13">
        <f>'2022'!An_max</f>
        <v>2021</v>
      </c>
      <c r="D191" s="1045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62.889074489833526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62.889444953209861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62.925640543104556</v>
      </c>
      <c r="AZ191" s="735">
        <f t="shared" si="96"/>
        <v>62.907542748157212</v>
      </c>
      <c r="BA191" s="633">
        <f t="shared" si="93"/>
        <v>0.96138335800192742</v>
      </c>
      <c r="BC191" s="11">
        <v>43277</v>
      </c>
      <c r="BD191" s="289">
        <f>[3]!FeuilCaduc*(1-Persistant)+Persistant</f>
        <v>0.95744679582076797</v>
      </c>
      <c r="BE191" s="290">
        <f>[3]!CroissVégét</f>
        <v>0.65844922415907026</v>
      </c>
      <c r="BF191" s="804">
        <f>1+[3]!Salcycl*Ksac</f>
        <v>1.0457446795820768</v>
      </c>
      <c r="BH191" s="1036">
        <f t="shared" si="94"/>
        <v>2.8033172623075168E-4</v>
      </c>
      <c r="BI191" s="11">
        <v>44373</v>
      </c>
      <c r="BJ191" s="715">
        <v>7.5321790006238381E-8</v>
      </c>
      <c r="BK191" s="715">
        <v>7.5321790006238381E-8</v>
      </c>
      <c r="BL191" s="715">
        <v>1.7361886670485235E-5</v>
      </c>
      <c r="BM191" s="715">
        <v>1.2267857318915245E-4</v>
      </c>
      <c r="BN191" s="715">
        <v>4.3854551921124852E-4</v>
      </c>
      <c r="BO191" s="716">
        <v>1.114971325236572E-3</v>
      </c>
      <c r="BP191" s="715">
        <v>2.261850690932449E-3</v>
      </c>
      <c r="BQ191" s="715">
        <v>3.9330401602700816E-3</v>
      </c>
      <c r="BR191" s="715">
        <v>6.2098932080106731E-3</v>
      </c>
      <c r="BS191" s="715">
        <v>9.1589051757078998E-3</v>
      </c>
      <c r="BT191" s="715">
        <v>1.2603699381525314E-2</v>
      </c>
      <c r="BW191" s="1190">
        <f>'2019'!R\Max</f>
        <v>0.94968532603512323</v>
      </c>
      <c r="BX191" s="1190">
        <f>'2020'!R\Max</f>
        <v>0.84848787361234135</v>
      </c>
      <c r="BY191" s="1190">
        <f>'2021'!R\Max</f>
        <v>0.96138335800192742</v>
      </c>
      <c r="BZ191" s="1190">
        <f>'2022'!R\Max</f>
        <v>0.20942111257243751</v>
      </c>
      <c r="CA191" s="1190">
        <f>'2023'!R\Max</f>
        <v>0.20941123876639059</v>
      </c>
      <c r="CB191" s="1190">
        <f>'2024'!R\Max</f>
        <v>0.20939840077978897</v>
      </c>
      <c r="CC191" s="1190">
        <f>'2025'!R\Max</f>
        <v>0.20938401304104201</v>
      </c>
      <c r="CD191" s="1190">
        <f>'2026'!R\Max</f>
        <v>0.20944031306453129</v>
      </c>
      <c r="CE191" s="1191">
        <f>'2027'!R\Max</f>
        <v>0.20943571039435074</v>
      </c>
      <c r="CF191" s="1193">
        <f>'2028'!R\Max</f>
        <v>0.20942988685491523</v>
      </c>
    </row>
    <row r="192" spans="1:84" s="6" customFormat="1" ht="11.25" x14ac:dyDescent="0.2">
      <c r="A192" s="11">
        <v>43278</v>
      </c>
      <c r="B192" s="379">
        <f>'2022'!Maxi_hp</f>
        <v>59.284461981263078</v>
      </c>
      <c r="C192" s="13">
        <f>'2022'!An_max</f>
        <v>2018</v>
      </c>
      <c r="D192" s="1045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62.825812244654763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62.827239213431518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62.860937609257441</v>
      </c>
      <c r="AZ192" s="735">
        <f t="shared" si="96"/>
        <v>62.84408841134448</v>
      </c>
      <c r="BA192" s="633">
        <f t="shared" si="93"/>
        <v>0.9436322406847516</v>
      </c>
      <c r="BC192" s="11">
        <v>43278</v>
      </c>
      <c r="BD192" s="289">
        <f>[3]!FeuilCaduc*(1-Persistant)+Persistant</f>
        <v>0.96080317120023606</v>
      </c>
      <c r="BE192" s="290">
        <f>[3]!CroissVégét</f>
        <v>0.66764275499450454</v>
      </c>
      <c r="BF192" s="804">
        <f>1+[3]!Salcycl*Ksac</f>
        <v>1.0460803171200237</v>
      </c>
      <c r="BH192" s="1036">
        <f t="shared" si="94"/>
        <v>2.8367016256168679E-4</v>
      </c>
      <c r="BI192" s="11">
        <v>44374</v>
      </c>
      <c r="BJ192" s="715">
        <v>8.2426612255457139E-8</v>
      </c>
      <c r="BK192" s="715">
        <v>8.2426612255457126E-8</v>
      </c>
      <c r="BL192" s="715">
        <v>1.7753306464795914E-5</v>
      </c>
      <c r="BM192" s="715">
        <v>1.2445545146882612E-4</v>
      </c>
      <c r="BN192" s="715">
        <v>4.4345106674473672E-4</v>
      </c>
      <c r="BO192" s="716">
        <v>1.1240768873581875E-3</v>
      </c>
      <c r="BP192" s="715">
        <v>2.2756938510028325E-3</v>
      </c>
      <c r="BQ192" s="715">
        <v>3.9527836902830899E-3</v>
      </c>
      <c r="BR192" s="715">
        <v>6.2361957350666464E-3</v>
      </c>
      <c r="BS192" s="715">
        <v>9.1941785658258314E-3</v>
      </c>
      <c r="BT192" s="715">
        <v>1.2648988244835837E-2</v>
      </c>
      <c r="BW192" s="1190">
        <f>'2019'!R\Max</f>
        <v>0.9436322406847516</v>
      </c>
      <c r="BX192" s="1190">
        <f>'2020'!R\Max</f>
        <v>0.79140444078158401</v>
      </c>
      <c r="BY192" s="1190">
        <f>'2021'!R\Max</f>
        <v>0.14879869744150165</v>
      </c>
      <c r="BZ192" s="1190">
        <f>'2022'!R\Max</f>
        <v>0.25475037749954194</v>
      </c>
      <c r="CA192" s="1190">
        <f>'2023'!R\Max</f>
        <v>0.25473826240529052</v>
      </c>
      <c r="CB192" s="1190">
        <f>'2024'!R\Max</f>
        <v>0.25472246638880663</v>
      </c>
      <c r="CC192" s="1190">
        <f>'2025'!R\Max</f>
        <v>0.25470482328166927</v>
      </c>
      <c r="CD192" s="1190">
        <f>'2026'!R\Max</f>
        <v>0.25477405402827064</v>
      </c>
      <c r="CE192" s="1191">
        <f>'2027'!R\Max</f>
        <v>0.2547683550881002</v>
      </c>
      <c r="CF192" s="1193">
        <f>'2028'!R\Max</f>
        <v>0.25476119485494375</v>
      </c>
    </row>
    <row r="193" spans="1:84" s="6" customFormat="1" ht="11.25" x14ac:dyDescent="0.2">
      <c r="A193" s="11">
        <v>43279</v>
      </c>
      <c r="B193" s="379">
        <f>'2022'!Maxi_hp</f>
        <v>63.507051622398635</v>
      </c>
      <c r="C193" s="13">
        <f>'2022'!An_max</f>
        <v>2022</v>
      </c>
      <c r="D193" s="1045">
        <f t="shared" si="78"/>
        <v>1.0118869712014775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62.761013265140356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62.764100455738877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62.794368640499712</v>
      </c>
      <c r="AZ193" s="735">
        <f t="shared" si="96"/>
        <v>62.779234548119291</v>
      </c>
      <c r="BA193" s="633">
        <f t="shared" si="93"/>
        <v>1.0118869712014775</v>
      </c>
      <c r="BC193" s="11">
        <v>43279</v>
      </c>
      <c r="BD193" s="289">
        <f>[3]!FeuilCaduc*(1-Persistant)+Persistant</f>
        <v>0.96398857738127686</v>
      </c>
      <c r="BE193" s="290">
        <f>[3]!CroissVégét</f>
        <v>0.67671031405616355</v>
      </c>
      <c r="BF193" s="804">
        <f>1+[3]!Salcycl*Ksac</f>
        <v>1.0463988577381278</v>
      </c>
      <c r="BH193" s="1036">
        <f t="shared" si="94"/>
        <v>2.8772926266437687E-4</v>
      </c>
      <c r="BI193" s="11">
        <v>44375</v>
      </c>
      <c r="BJ193" s="715">
        <v>8.9470690253994749E-8</v>
      </c>
      <c r="BK193" s="715">
        <v>8.9470690253994735E-8</v>
      </c>
      <c r="BL193" s="715">
        <v>1.8225801062170481E-5</v>
      </c>
      <c r="BM193" s="715">
        <v>1.2661207466594022E-4</v>
      </c>
      <c r="BN193" s="715">
        <v>4.4941940926650838E-4</v>
      </c>
      <c r="BO193" s="716">
        <v>1.1353004177799065E-3</v>
      </c>
      <c r="BP193" s="715">
        <v>2.2928448300742342E-3</v>
      </c>
      <c r="BQ193" s="715">
        <v>3.9773381297887158E-3</v>
      </c>
      <c r="BR193" s="715">
        <v>6.2690409611903183E-3</v>
      </c>
      <c r="BS193" s="715">
        <v>9.2382297151433045E-3</v>
      </c>
      <c r="BT193" s="715">
        <v>1.2705447790243509E-2</v>
      </c>
      <c r="BW193" s="1190">
        <f>'2019'!R\Max</f>
        <v>0.93638800455001625</v>
      </c>
      <c r="BX193" s="1190">
        <f>'2020'!R\Max</f>
        <v>0.71045296954131854</v>
      </c>
      <c r="BY193" s="1190">
        <f>'2021'!R\Max</f>
        <v>0.53774626850432361</v>
      </c>
      <c r="BZ193" s="1190">
        <f>'2022'!R\Max</f>
        <v>1.0118869712014775</v>
      </c>
      <c r="CA193" s="1190">
        <f>'2023'!R\Max</f>
        <v>1.0118869712014775</v>
      </c>
      <c r="CB193" s="1190">
        <f>'2024'!R\Max</f>
        <v>1.0118869712014775</v>
      </c>
      <c r="CC193" s="1190">
        <f>'2025'!R\Max</f>
        <v>1.0118869712014775</v>
      </c>
      <c r="CD193" s="1190">
        <f>'2026'!R\Max</f>
        <v>1.0118869712014775</v>
      </c>
      <c r="CE193" s="1191">
        <f>'2027'!R\Max</f>
        <v>1.0118869712014775</v>
      </c>
      <c r="CF193" s="1193">
        <f>'2028'!R\Max</f>
        <v>1.0118869712014775</v>
      </c>
    </row>
    <row r="194" spans="1:84" s="6" customFormat="1" ht="11.25" x14ac:dyDescent="0.2">
      <c r="A194" s="11">
        <v>43280</v>
      </c>
      <c r="B194" s="379">
        <f>'2022'!Maxi_hp</f>
        <v>61.692866587615413</v>
      </c>
      <c r="C194" s="13">
        <f>'2022'!An_max</f>
        <v>2022</v>
      </c>
      <c r="D194" s="1045">
        <f t="shared" si="78"/>
        <v>0.98402079725732827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62.69467755109072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62.699946356032569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62.725961078902969</v>
      </c>
      <c r="AZ194" s="735">
        <f t="shared" si="96"/>
        <v>62.712953717467769</v>
      </c>
      <c r="BA194" s="633">
        <f t="shared" si="93"/>
        <v>0.98402079725732827</v>
      </c>
      <c r="BC194" s="11">
        <v>43280</v>
      </c>
      <c r="BD194" s="289">
        <f>[3]!FeuilCaduc*(1-Persistant)+Persistant</f>
        <v>0.96700510146524432</v>
      </c>
      <c r="BE194" s="290">
        <f>[3]!CroissVégét</f>
        <v>0.6856469767197082</v>
      </c>
      <c r="BF194" s="804">
        <f>1+[3]!Salcycl*Ksac</f>
        <v>1.0467005101465245</v>
      </c>
      <c r="BH194" s="1036">
        <f t="shared" si="94"/>
        <v>2.9250813611908586E-4</v>
      </c>
      <c r="BI194" s="11">
        <v>44376</v>
      </c>
      <c r="BJ194" s="715">
        <v>9.645420573269426E-8</v>
      </c>
      <c r="BK194" s="715">
        <v>9.6454205732694286E-8</v>
      </c>
      <c r="BL194" s="715">
        <v>1.877926198543343E-5</v>
      </c>
      <c r="BM194" s="715">
        <v>1.2914795884898399E-4</v>
      </c>
      <c r="BN194" s="715">
        <v>4.5644924842306466E-4</v>
      </c>
      <c r="BO194" s="716">
        <v>1.1486394677069356E-3</v>
      </c>
      <c r="BP194" s="715">
        <v>2.3133001099108095E-3</v>
      </c>
      <c r="BQ194" s="715">
        <v>4.0066987409200982E-3</v>
      </c>
      <c r="BR194" s="715">
        <v>6.3084229501748079E-3</v>
      </c>
      <c r="BS194" s="715">
        <v>9.2910511503744089E-3</v>
      </c>
      <c r="BT194" s="715">
        <v>1.2773069072006812E-2</v>
      </c>
      <c r="BW194" s="1190">
        <f>'2019'!R\Max</f>
        <v>0.91080146391397221</v>
      </c>
      <c r="BX194" s="1190">
        <f>'2020'!R\Max</f>
        <v>0.79784137952970879</v>
      </c>
      <c r="BY194" s="1190">
        <f>'2021'!R\Max</f>
        <v>0.7003723206822875</v>
      </c>
      <c r="BZ194" s="1190">
        <f>'2022'!R\Max</f>
        <v>0.98402079725732827</v>
      </c>
      <c r="CA194" s="1190">
        <f>'2023'!R\Max</f>
        <v>0.98401970765242386</v>
      </c>
      <c r="CB194" s="1190">
        <f>'2024'!R\Max</f>
        <v>0.9840182796046808</v>
      </c>
      <c r="CC194" s="1190">
        <f>'2025'!R\Max</f>
        <v>0.98401669495475996</v>
      </c>
      <c r="CD194" s="1190">
        <f>'2026'!R\Max</f>
        <v>0.98402294937321266</v>
      </c>
      <c r="CE194" s="1191">
        <f>'2027'!R\Max</f>
        <v>0.98402242687988273</v>
      </c>
      <c r="CF194" s="1193">
        <f>'2028'!R\Max</f>
        <v>0.98402177940164615</v>
      </c>
    </row>
    <row r="195" spans="1:84" s="6" customFormat="1" ht="11.25" x14ac:dyDescent="0.2">
      <c r="A195" s="11">
        <v>43281</v>
      </c>
      <c r="B195" s="379">
        <f>'2022'!Maxi_hp</f>
        <v>52.702185547178217</v>
      </c>
      <c r="C195" s="13">
        <f>'2022'!An_max</f>
        <v>2018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62.626805101893844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62.634694588656671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62.655742364995447</v>
      </c>
      <c r="AZ195" s="735">
        <f t="shared" si="96"/>
        <v>62.645218476826059</v>
      </c>
      <c r="BA195" s="633">
        <f t="shared" si="93"/>
        <v>0.84152760884786848</v>
      </c>
      <c r="BC195" s="11">
        <v>43281</v>
      </c>
      <c r="BD195" s="289">
        <f>[3]!FeuilCaduc*(1-Persistant)+Persistant</f>
        <v>0.96985524738320317</v>
      </c>
      <c r="BE195" s="290">
        <f>[3]!CroissVégét</f>
        <v>0.69444817721081942</v>
      </c>
      <c r="BF195" s="804">
        <f>1+[3]!Salcycl*Ksac</f>
        <v>1.0469855247383204</v>
      </c>
      <c r="BH195" s="1036">
        <f t="shared" si="94"/>
        <v>2.9800591480572895E-4</v>
      </c>
      <c r="BI195" s="11">
        <v>44377</v>
      </c>
      <c r="BJ195" s="715">
        <v>1.0337735614552728E-7</v>
      </c>
      <c r="BK195" s="715">
        <v>1.0337735614552727E-7</v>
      </c>
      <c r="BL195" s="715">
        <v>1.9413583287286776E-5</v>
      </c>
      <c r="BM195" s="715">
        <v>1.3206263185006677E-4</v>
      </c>
      <c r="BN195" s="715">
        <v>4.6453931873405687E-4</v>
      </c>
      <c r="BO195" s="716">
        <v>1.1640916525458838E-3</v>
      </c>
      <c r="BP195" s="715">
        <v>2.3370562722517061E-3</v>
      </c>
      <c r="BQ195" s="715">
        <v>4.0408609310332985E-3</v>
      </c>
      <c r="BR195" s="715">
        <v>6.3543359630079017E-3</v>
      </c>
      <c r="BS195" s="715">
        <v>9.3526356637126263E-3</v>
      </c>
      <c r="BT195" s="715">
        <v>1.285184348427613E-2</v>
      </c>
      <c r="BW195" s="1190">
        <f>'2019'!R\Max</f>
        <v>0.84152760884786848</v>
      </c>
      <c r="BX195" s="1190">
        <f>'2020'!R\Max</f>
        <v>0.43433068193132529</v>
      </c>
      <c r="BY195" s="1190">
        <f>'2021'!R\Max</f>
        <v>0.82171382680076788</v>
      </c>
      <c r="BZ195" s="1190">
        <f>'2022'!R\Max</f>
        <v>0.24294070128931575</v>
      </c>
      <c r="CA195" s="1190">
        <f>'2023'!R\Max</f>
        <v>0.24292878498009277</v>
      </c>
      <c r="CB195" s="1190">
        <f>'2024'!R\Max</f>
        <v>0.24291313317273888</v>
      </c>
      <c r="CC195" s="1190">
        <f>'2025'!R\Max</f>
        <v>0.2428958239864015</v>
      </c>
      <c r="CD195" s="1190">
        <f>'2026'!R\Max</f>
        <v>0.24296437594707332</v>
      </c>
      <c r="CE195" s="1191">
        <f>'2027'!R\Max</f>
        <v>0.24295860154295712</v>
      </c>
      <c r="CF195" s="1193">
        <f>'2028'!R\Max</f>
        <v>0.24295149469438956</v>
      </c>
    </row>
    <row r="196" spans="1:84" s="6" customFormat="1" ht="11.25" x14ac:dyDescent="0.2">
      <c r="A196" s="11">
        <v>43282</v>
      </c>
      <c r="B196" s="379">
        <f>'2022'!Maxi_hp</f>
        <v>60.959454139649438</v>
      </c>
      <c r="C196" s="13">
        <f>'2022'!An_max</f>
        <v>2020</v>
      </c>
      <c r="D196" s="1045">
        <f t="shared" si="78"/>
        <v>0.97445638912571753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62.557395918294787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62.568262828141449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62.583739942072761</v>
      </c>
      <c r="AZ196" s="735">
        <f t="shared" si="96"/>
        <v>62.576001385107105</v>
      </c>
      <c r="BA196" s="633">
        <f t="shared" si="93"/>
        <v>0.97445638912571753</v>
      </c>
      <c r="BC196" s="11">
        <v>43282</v>
      </c>
      <c r="BD196" s="289">
        <f>[3]!FeuilCaduc*(1-Persistant)+Persistant</f>
        <v>0.97254191329364881</v>
      </c>
      <c r="BE196" s="290">
        <f>[3]!CroissVégét</f>
        <v>0.70310971225270513</v>
      </c>
      <c r="BF196" s="804">
        <f>1+[3]!Salcycl*Ksac</f>
        <v>1.0472541913293649</v>
      </c>
      <c r="BH196" s="1036">
        <f t="shared" si="94"/>
        <v>3.0422175715202416E-4</v>
      </c>
      <c r="BI196" s="11">
        <v>44378</v>
      </c>
      <c r="BJ196" s="715">
        <v>1.1024035435345361E-7</v>
      </c>
      <c r="BK196" s="715">
        <v>1.102403543534536E-7</v>
      </c>
      <c r="BL196" s="715">
        <v>2.0128662028531074E-5</v>
      </c>
      <c r="BM196" s="715">
        <v>1.3535563550390556E-4</v>
      </c>
      <c r="BN196" s="715">
        <v>4.7368839385674745E-4</v>
      </c>
      <c r="BO196" s="716">
        <v>1.181654664381256E-3</v>
      </c>
      <c r="BP196" s="715">
        <v>2.3641100182867714E-3</v>
      </c>
      <c r="BQ196" s="715">
        <v>4.0798202810210741E-3</v>
      </c>
      <c r="BR196" s="715">
        <v>6.4067744963619755E-3</v>
      </c>
      <c r="BS196" s="715">
        <v>9.422976364457011E-3</v>
      </c>
      <c r="BT196" s="715">
        <v>1.2941762826782135E-2</v>
      </c>
      <c r="BW196" s="1190">
        <f>'2019'!R\Max</f>
        <v>0.28707651921228838</v>
      </c>
      <c r="BX196" s="1190">
        <f>'2020'!R\Max</f>
        <v>0.97445638912571753</v>
      </c>
      <c r="BY196" s="1190">
        <f>'2021'!R\Max</f>
        <v>0.89206040414068688</v>
      </c>
      <c r="BZ196" s="1190">
        <f>'2022'!R\Max</f>
        <v>0.8774180932614164</v>
      </c>
      <c r="CA196" s="1190">
        <f>'2023'!R\Max</f>
        <v>0.87741046619132501</v>
      </c>
      <c r="CB196" s="1190">
        <f>'2024'!R\Max</f>
        <v>0.8774004258606326</v>
      </c>
      <c r="CC196" s="1190">
        <f>'2025'!R\Max</f>
        <v>0.87738935688727615</v>
      </c>
      <c r="CD196" s="1190">
        <f>'2026'!R\Max</f>
        <v>0.87743333440709737</v>
      </c>
      <c r="CE196" s="1191">
        <f>'2027'!R\Max</f>
        <v>0.87742959980859392</v>
      </c>
      <c r="CF196" s="1193">
        <f>'2028'!R\Max</f>
        <v>0.87742503392583771</v>
      </c>
    </row>
    <row r="197" spans="1:84" s="6" customFormat="1" ht="11.25" x14ac:dyDescent="0.2">
      <c r="A197" s="11">
        <v>43283</v>
      </c>
      <c r="B197" s="379">
        <f>'2022'!Maxi_hp</f>
        <v>60.641307786297681</v>
      </c>
      <c r="C197" s="13">
        <f>'2022'!An_max</f>
        <v>2022</v>
      </c>
      <c r="D197" s="1045">
        <f t="shared" si="78"/>
        <v>0.97047132276476467</v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62.486449999921021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62.500568750314415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62.509981250250711</v>
      </c>
      <c r="AZ197" s="735">
        <f t="shared" si="96"/>
        <v>62.505275000282566</v>
      </c>
      <c r="BA197" s="633">
        <f t="shared" si="93"/>
        <v>0.97047132276476467</v>
      </c>
      <c r="BC197" s="11">
        <v>43283</v>
      </c>
      <c r="BD197" s="289">
        <f>[3]!FeuilCaduc*(1-Persistant)+Persistant</f>
        <v>0.97506836706826228</v>
      </c>
      <c r="BE197" s="290">
        <f>[3]!CroissVégét</f>
        <v>0.71162774286802644</v>
      </c>
      <c r="BF197" s="804">
        <f>1+[3]!Salcycl*Ksac</f>
        <v>1.0475068367068263</v>
      </c>
      <c r="BH197" s="1036">
        <f t="shared" si="94"/>
        <v>3.1115485238416543E-4</v>
      </c>
      <c r="BI197" s="11">
        <v>44379</v>
      </c>
      <c r="BJ197" s="715">
        <v>1.1704342830907265E-7</v>
      </c>
      <c r="BK197" s="715">
        <v>1.1704342830907266E-7</v>
      </c>
      <c r="BL197" s="715">
        <v>2.0924398756446484E-5</v>
      </c>
      <c r="BM197" s="715">
        <v>1.3902652788792068E-4</v>
      </c>
      <c r="BN197" s="715">
        <v>4.8389529285440953E-4</v>
      </c>
      <c r="BO197" s="716">
        <v>1.2013262844618791E-3</v>
      </c>
      <c r="BP197" s="715">
        <v>2.3944581881523187E-3</v>
      </c>
      <c r="BQ197" s="715">
        <v>4.1235725736613969E-3</v>
      </c>
      <c r="BR197" s="715">
        <v>6.4657333211387107E-3</v>
      </c>
      <c r="BS197" s="715">
        <v>9.5020667307191067E-3</v>
      </c>
      <c r="BT197" s="715">
        <v>1.304281937063524E-2</v>
      </c>
      <c r="BW197" s="1190">
        <f>'2019'!R\Max</f>
        <v>0.50538034395637954</v>
      </c>
      <c r="BX197" s="1190">
        <f>'2020'!R\Max</f>
        <v>0.70939006176156083</v>
      </c>
      <c r="BY197" s="1190">
        <f>'2021'!R\Max</f>
        <v>0.8962565359901159</v>
      </c>
      <c r="BZ197" s="1190">
        <f>'2022'!R\Max</f>
        <v>0.97047132276476467</v>
      </c>
      <c r="CA197" s="1190">
        <f>'2023'!R\Max</f>
        <v>0.97046926460815885</v>
      </c>
      <c r="CB197" s="1190">
        <f>'2024'!R\Max</f>
        <v>0.9704665498392635</v>
      </c>
      <c r="CC197" s="1190">
        <f>'2025'!R\Max</f>
        <v>0.97046356638024744</v>
      </c>
      <c r="CD197" s="1190">
        <f>'2026'!R\Max</f>
        <v>0.9704754606339373</v>
      </c>
      <c r="CE197" s="1191">
        <f>'2027'!R\Max</f>
        <v>0.97047444187261922</v>
      </c>
      <c r="CF197" s="1193">
        <f>'2028'!R\Max</f>
        <v>0.97047320450609964</v>
      </c>
    </row>
    <row r="198" spans="1:84" s="6" customFormat="1" ht="11.25" x14ac:dyDescent="0.2">
      <c r="A198" s="11">
        <v>43284</v>
      </c>
      <c r="B198" s="379">
        <f>'2022'!Maxi_hp</f>
        <v>49.958829458254328</v>
      </c>
      <c r="C198" s="13">
        <f>'2022'!An_max</f>
        <v>2022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62.413967346852381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62.431530029433112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62.434493731853685</v>
      </c>
      <c r="AZ198" s="735">
        <f t="shared" si="96"/>
        <v>62.433011880643399</v>
      </c>
      <c r="BA198" s="633">
        <f t="shared" si="93"/>
        <v>0.80044309922839441</v>
      </c>
      <c r="BC198" s="11">
        <v>43284</v>
      </c>
      <c r="BD198" s="289">
        <f>[3]!FeuilCaduc*(1-Persistant)+Persistant</f>
        <v>0.97743822005450909</v>
      </c>
      <c r="BE198" s="290">
        <f>[3]!CroissVégét</f>
        <v>0.71999879440261938</v>
      </c>
      <c r="BF198" s="804">
        <f>1+[3]!Salcycl*Ksac</f>
        <v>1.0477438220054509</v>
      </c>
      <c r="BH198" s="1036">
        <f t="shared" si="94"/>
        <v>3.1911407673474915E-4</v>
      </c>
      <c r="BI198" s="11">
        <v>44380</v>
      </c>
      <c r="BJ198" s="715">
        <v>1.2294352833799458E-7</v>
      </c>
      <c r="BK198" s="715">
        <v>1.2294352833799458E-7</v>
      </c>
      <c r="BL198" s="715">
        <v>2.1862161899892894E-5</v>
      </c>
      <c r="BM198" s="715">
        <v>1.433371993618803E-4</v>
      </c>
      <c r="BN198" s="715">
        <v>4.9551604492177983E-4</v>
      </c>
      <c r="BO198" s="716">
        <v>1.2235604445487403E-3</v>
      </c>
      <c r="BP198" s="715">
        <v>2.428688171629367E-3</v>
      </c>
      <c r="BQ198" s="715">
        <v>4.1730359142095434E-3</v>
      </c>
      <c r="BR198" s="715">
        <v>6.5326314032211662E-3</v>
      </c>
      <c r="BS198" s="715">
        <v>9.5917349271178749E-3</v>
      </c>
      <c r="BT198" s="715">
        <v>1.3157241808846297E-2</v>
      </c>
      <c r="BW198" s="1190">
        <f>'2019'!R\Max</f>
        <v>0.79511163541387164</v>
      </c>
      <c r="BX198" s="1190">
        <f>'2020'!R\Max</f>
        <v>0.32188566136032876</v>
      </c>
      <c r="BY198" s="1190">
        <f>'2021'!R\Max</f>
        <v>0.56497426520531624</v>
      </c>
      <c r="BZ198" s="1190">
        <f>'2022'!R\Max</f>
        <v>0.80044309922839441</v>
      </c>
      <c r="CA198" s="1190">
        <f>'2023'!R\Max</f>
        <v>0.80043147009453863</v>
      </c>
      <c r="CB198" s="1190">
        <f>'2024'!R\Max</f>
        <v>0.80041610251780659</v>
      </c>
      <c r="CC198" s="1190">
        <f>'2025'!R\Max</f>
        <v>0.80039926694458685</v>
      </c>
      <c r="CD198" s="1190">
        <f>'2026'!R\Max</f>
        <v>0.80046662722697426</v>
      </c>
      <c r="CE198" s="1191">
        <f>'2027'!R\Max</f>
        <v>0.80046080603737213</v>
      </c>
      <c r="CF198" s="1193">
        <f>'2028'!R\Max</f>
        <v>0.80045378150041424</v>
      </c>
    </row>
    <row r="199" spans="1:84" s="6" customFormat="1" ht="11.25" x14ac:dyDescent="0.2">
      <c r="A199" s="11">
        <v>43285</v>
      </c>
      <c r="B199" s="379">
        <f>'2022'!Maxi_hp</f>
        <v>58.082093863284776</v>
      </c>
      <c r="C199" s="13">
        <f>'2022'!An_max</f>
        <v>2018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62.339947959221902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62.361064340792858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62.357304828713779</v>
      </c>
      <c r="AZ199" s="735">
        <f t="shared" si="96"/>
        <v>62.359184584753322</v>
      </c>
      <c r="BA199" s="633">
        <f t="shared" si="93"/>
        <v>0.93169942813038131</v>
      </c>
      <c r="BC199" s="11">
        <v>43285</v>
      </c>
      <c r="BD199" s="289">
        <f>[3]!FeuilCaduc*(1-Persistant)+Persistant</f>
        <v>0.97965539931646983</v>
      </c>
      <c r="BE199" s="290">
        <f>[3]!CroissVégét</f>
        <v>0.72821975485053358</v>
      </c>
      <c r="BF199" s="804">
        <f>1+[3]!Salcycl*Ksac</f>
        <v>1.047965539931647</v>
      </c>
      <c r="BH199" s="1036">
        <f t="shared" si="94"/>
        <v>3.2775499200721908E-4</v>
      </c>
      <c r="BI199" s="11">
        <v>44381</v>
      </c>
      <c r="BJ199" s="715">
        <v>1.270456477619177E-7</v>
      </c>
      <c r="BK199" s="715">
        <v>1.270456477619177E-7</v>
      </c>
      <c r="BL199" s="715">
        <v>2.2902074931100487E-5</v>
      </c>
      <c r="BM199" s="715">
        <v>1.4810536311595066E-4</v>
      </c>
      <c r="BN199" s="715">
        <v>5.0804348383919886E-4</v>
      </c>
      <c r="BO199" s="716">
        <v>1.2474152200205762E-3</v>
      </c>
      <c r="BP199" s="715">
        <v>2.4653436588370306E-3</v>
      </c>
      <c r="BQ199" s="715">
        <v>4.2261006202563229E-3</v>
      </c>
      <c r="BR199" s="715">
        <v>6.6046139806559762E-3</v>
      </c>
      <c r="BS199" s="715">
        <v>9.6881013413692534E-3</v>
      </c>
      <c r="BT199" s="715">
        <v>1.3279984308791503E-2</v>
      </c>
      <c r="BW199" s="1190">
        <f>'2019'!R\Max</f>
        <v>0.93169942813038131</v>
      </c>
      <c r="BX199" s="1190">
        <f>'2020'!R\Max</f>
        <v>0.7562150353858631</v>
      </c>
      <c r="BY199" s="1190">
        <f>'2021'!R\Max</f>
        <v>0.6161402007827288</v>
      </c>
      <c r="BZ199" s="1190">
        <f>'2022'!R\Max</f>
        <v>0.77541594059786778</v>
      </c>
      <c r="CA199" s="1190">
        <f>'2023'!R\Max</f>
        <v>0.77540308323462914</v>
      </c>
      <c r="CB199" s="1190">
        <f>'2024'!R\Max</f>
        <v>0.77538606159192969</v>
      </c>
      <c r="CC199" s="1190">
        <f>'2025'!R\Max</f>
        <v>0.77536747040125464</v>
      </c>
      <c r="CD199" s="1190">
        <f>'2026'!R\Max</f>
        <v>0.77544211803953944</v>
      </c>
      <c r="CE199" s="1191">
        <f>'2027'!R\Max</f>
        <v>0.77543560965454494</v>
      </c>
      <c r="CF199" s="1193">
        <f>'2028'!R\Max</f>
        <v>0.77542780523960309</v>
      </c>
    </row>
    <row r="200" spans="1:84" s="6" customFormat="1" ht="11.25" x14ac:dyDescent="0.2">
      <c r="A200" s="11">
        <v>43286</v>
      </c>
      <c r="B200" s="379">
        <f>'2022'!Maxi_hp</f>
        <v>61.390169549077257</v>
      </c>
      <c r="C200" s="13">
        <f>'2022'!An_max</f>
        <v>2020</v>
      </c>
      <c r="D200" s="1045">
        <f t="shared" si="78"/>
        <v>0.98595951455300423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62.264391836524013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62.289089359103571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62.278441982716323</v>
      </c>
      <c r="AZ200" s="735">
        <f t="shared" si="96"/>
        <v>62.283765670909943</v>
      </c>
      <c r="BA200" s="633">
        <f t="shared" si="93"/>
        <v>0.98595951455300423</v>
      </c>
      <c r="BC200" s="11">
        <v>43286</v>
      </c>
      <c r="BD200" s="289">
        <f>[3]!FeuilCaduc*(1-Persistant)+Persistant</f>
        <v>0.98172411856607344</v>
      </c>
      <c r="BE200" s="290">
        <f>[3]!CroissVégét</f>
        <v>0.73628787157048126</v>
      </c>
      <c r="BF200" s="804">
        <f>1+[3]!Salcycl*Ksac</f>
        <v>1.0481724118566074</v>
      </c>
      <c r="BH200" s="1036">
        <f t="shared" si="94"/>
        <v>3.3707695886671716E-4</v>
      </c>
      <c r="BI200" s="11">
        <v>44382</v>
      </c>
      <c r="BJ200" s="715">
        <v>1.2935250430246949E-7</v>
      </c>
      <c r="BK200" s="715">
        <v>1.2935250430246952E-7</v>
      </c>
      <c r="BL200" s="715">
        <v>2.4044022101914824E-5</v>
      </c>
      <c r="BM200" s="715">
        <v>1.5333053007396115E-4</v>
      </c>
      <c r="BN200" s="715">
        <v>5.2147681947877747E-4</v>
      </c>
      <c r="BO200" s="716">
        <v>1.2728894273203598E-3</v>
      </c>
      <c r="BP200" s="715">
        <v>2.5044232556018218E-3</v>
      </c>
      <c r="BQ200" s="715">
        <v>4.2827649419498459E-3</v>
      </c>
      <c r="BR200" s="715">
        <v>6.6816789217438131E-3</v>
      </c>
      <c r="BS200" s="715">
        <v>9.791163787019495E-3</v>
      </c>
      <c r="BT200" s="715">
        <v>1.3411044957091871E-2</v>
      </c>
      <c r="BW200" s="1190">
        <f>'2019'!R\Max</f>
        <v>0.90958307680189165</v>
      </c>
      <c r="BX200" s="1190">
        <f>'2020'!R\Max</f>
        <v>0.98595951455300423</v>
      </c>
      <c r="BY200" s="1190">
        <f>'2021'!R\Max</f>
        <v>0.97503361544681966</v>
      </c>
      <c r="BZ200" s="1190">
        <f>'2022'!R\Max</f>
        <v>0.97335099340474018</v>
      </c>
      <c r="CA200" s="1190">
        <f>'2023'!R\Max</f>
        <v>0.97334905044656306</v>
      </c>
      <c r="CB200" s="1190">
        <f>'2024'!R\Max</f>
        <v>0.97334647353389325</v>
      </c>
      <c r="CC200" s="1190">
        <f>'2025'!R\Max</f>
        <v>0.97334366717016518</v>
      </c>
      <c r="CD200" s="1190">
        <f>'2026'!R\Max</f>
        <v>0.97335497411323113</v>
      </c>
      <c r="CE200" s="1191">
        <f>'2027'!R\Max</f>
        <v>0.97335397961052095</v>
      </c>
      <c r="CF200" s="1193">
        <f>'2028'!R\Max</f>
        <v>0.97335279433393729</v>
      </c>
    </row>
    <row r="201" spans="1:84" s="6" customFormat="1" ht="11.25" x14ac:dyDescent="0.2">
      <c r="A201" s="11">
        <v>43287</v>
      </c>
      <c r="B201" s="379">
        <f>'2022'!Maxi_hp</f>
        <v>60.936475957669771</v>
      </c>
      <c r="C201" s="13">
        <f>'2022'!An_max</f>
        <v>2020</v>
      </c>
      <c r="D201" s="1045">
        <f t="shared" si="78"/>
        <v>0.97988619794613452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62.187298979610205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62.215522759048532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62.197932634775384</v>
      </c>
      <c r="AZ201" s="735">
        <f t="shared" si="96"/>
        <v>62.206727696911955</v>
      </c>
      <c r="BA201" s="633">
        <f t="shared" si="93"/>
        <v>0.97988619794613452</v>
      </c>
      <c r="BC201" s="11">
        <v>43287</v>
      </c>
      <c r="BD201" s="289">
        <f>[3]!FeuilCaduc*(1-Persistant)+Persistant</f>
        <v>0.98364884800573926</v>
      </c>
      <c r="BE201" s="290">
        <f>[3]!CroissVégét</f>
        <v>0.74420074649273349</v>
      </c>
      <c r="BF201" s="804">
        <f>1+[3]!Salcycl*Ksac</f>
        <v>1.048364884800574</v>
      </c>
      <c r="BH201" s="1036">
        <f t="shared" si="94"/>
        <v>3.4707938512630501E-4</v>
      </c>
      <c r="BI201" s="11">
        <v>44383</v>
      </c>
      <c r="BJ201" s="715">
        <v>1.2986675657562278E-7</v>
      </c>
      <c r="BK201" s="715">
        <v>1.2986675657562278E-7</v>
      </c>
      <c r="BL201" s="715">
        <v>2.5287894095218669E-5</v>
      </c>
      <c r="BM201" s="715">
        <v>1.5901224026900306E-4</v>
      </c>
      <c r="BN201" s="715">
        <v>5.3581532696335172E-4</v>
      </c>
      <c r="BO201" s="716">
        <v>1.2999820033336561E-3</v>
      </c>
      <c r="BP201" s="715">
        <v>2.5459257508432059E-3</v>
      </c>
      <c r="BQ201" s="715">
        <v>4.3430273985585908E-3</v>
      </c>
      <c r="BR201" s="715">
        <v>6.7638244683020975E-3</v>
      </c>
      <c r="BS201" s="715">
        <v>9.9009205742682672E-3</v>
      </c>
      <c r="BT201" s="715">
        <v>1.355042246570509E-2</v>
      </c>
      <c r="BW201" s="1190">
        <f>'2019'!R\Max</f>
        <v>0.89588285612071461</v>
      </c>
      <c r="BX201" s="1190">
        <f>'2020'!R\Max</f>
        <v>0.97988619794613452</v>
      </c>
      <c r="BY201" s="1190">
        <f>'2021'!R\Max</f>
        <v>0.34662232227767809</v>
      </c>
      <c r="BZ201" s="1190">
        <f>'2022'!R\Max</f>
        <v>0.8284573497719746</v>
      </c>
      <c r="CA201" s="1190">
        <f>'2023'!R\Max</f>
        <v>0.82844654558202013</v>
      </c>
      <c r="CB201" s="1190">
        <f>'2024'!R\Max</f>
        <v>0.82843219173161287</v>
      </c>
      <c r="CC201" s="1190">
        <f>'2025'!R\Max</f>
        <v>0.82841660498776915</v>
      </c>
      <c r="CD201" s="1190">
        <f>'2026'!R\Max</f>
        <v>0.8284796261721098</v>
      </c>
      <c r="CE201" s="1191">
        <f>'2027'!R\Max</f>
        <v>0.82847403381078599</v>
      </c>
      <c r="CF201" s="1193">
        <f>'2028'!R\Max</f>
        <v>0.82846740827153431</v>
      </c>
    </row>
    <row r="202" spans="1:84" s="6" customFormat="1" ht="11.25" x14ac:dyDescent="0.2">
      <c r="A202" s="11">
        <v>43288</v>
      </c>
      <c r="B202" s="379">
        <f>'2022'!Maxi_hp</f>
        <v>60.017344561452532</v>
      </c>
      <c r="C202" s="13">
        <f>'2022'!An_max</f>
        <v>2022</v>
      </c>
      <c r="D202" s="1045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62.10866938760239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62.140282216189163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62.115804227002492</v>
      </c>
      <c r="AZ202" s="735">
        <f t="shared" si="96"/>
        <v>62.128043221595831</v>
      </c>
      <c r="BA202" s="633">
        <f t="shared" si="93"/>
        <v>0.96632797245907009</v>
      </c>
      <c r="BC202" s="11">
        <v>43288</v>
      </c>
      <c r="BD202" s="289">
        <f>[3]!FeuilCaduc*(1-Persistant)+Persistant</f>
        <v>0.98543428331027694</v>
      </c>
      <c r="BE202" s="290">
        <f>[3]!CroissVégét</f>
        <v>0.75195632992281269</v>
      </c>
      <c r="BF202" s="804">
        <f>1+[3]!Salcycl*Ksac</f>
        <v>1.0485434283310278</v>
      </c>
      <c r="BH202" s="1036">
        <f t="shared" si="94"/>
        <v>3.5776172979917992E-4</v>
      </c>
      <c r="BI202" s="11">
        <v>44384</v>
      </c>
      <c r="BJ202" s="715">
        <v>1.2859099353069663E-7</v>
      </c>
      <c r="BK202" s="715">
        <v>1.2859099353069663E-7</v>
      </c>
      <c r="BL202" s="715">
        <v>2.6633588631382261E-5</v>
      </c>
      <c r="BM202" s="715">
        <v>1.6515006555894564E-4</v>
      </c>
      <c r="BN202" s="715">
        <v>5.5105835206015316E-4</v>
      </c>
      <c r="BO202" s="716">
        <v>1.3286920150287736E-3</v>
      </c>
      <c r="BP202" s="715">
        <v>2.5898501309914567E-3</v>
      </c>
      <c r="BQ202" s="715">
        <v>4.4068867998564819E-3</v>
      </c>
      <c r="BR202" s="715">
        <v>6.851049265823716E-3</v>
      </c>
      <c r="BS202" s="715">
        <v>1.0017370549682256E-2</v>
      </c>
      <c r="BT202" s="715">
        <v>1.3698116221239892E-2</v>
      </c>
      <c r="BW202" s="1190">
        <f>'2019'!R\Max</f>
        <v>0.84061471304727897</v>
      </c>
      <c r="BX202" s="1190">
        <f>'2020'!R\Max</f>
        <v>0.6800410587543595</v>
      </c>
      <c r="BY202" s="1190">
        <f>'2021'!R\Max</f>
        <v>0.73097228551112314</v>
      </c>
      <c r="BZ202" s="1190">
        <f>'2022'!R\Max</f>
        <v>0.96632797245907009</v>
      </c>
      <c r="CA202" s="1190">
        <f>'2023'!R\Max</f>
        <v>0.96632546081842652</v>
      </c>
      <c r="CB202" s="1190">
        <f>'2024'!R\Max</f>
        <v>0.96632211828826475</v>
      </c>
      <c r="CC202" s="1190">
        <f>'2025'!R\Max</f>
        <v>0.96631849864613639</v>
      </c>
      <c r="CD202" s="1190">
        <f>'2026'!R\Max</f>
        <v>0.96633318359727349</v>
      </c>
      <c r="CE202" s="1191">
        <f>'2027'!R\Max</f>
        <v>0.96633186910580093</v>
      </c>
      <c r="CF202" s="1193">
        <f>'2028'!R\Max</f>
        <v>0.96633032069877656</v>
      </c>
    </row>
    <row r="203" spans="1:84" s="6" customFormat="1" ht="11.25" x14ac:dyDescent="0.2">
      <c r="A203" s="11">
        <v>43289</v>
      </c>
      <c r="B203" s="379">
        <f>'2022'!Maxi_hp</f>
        <v>63.179240618782657</v>
      </c>
      <c r="C203" s="13">
        <f>'2022'!An_max</f>
        <v>2020</v>
      </c>
      <c r="D203" s="1045">
        <f t="shared" si="78"/>
        <v>1.0185517544472629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62.028503061258888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62.063285404723139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62.03208420202801</v>
      </c>
      <c r="AZ203" s="735">
        <f t="shared" si="96"/>
        <v>62.047684803375574</v>
      </c>
      <c r="BA203" s="633">
        <f t="shared" si="93"/>
        <v>1.0185517544472629</v>
      </c>
      <c r="BC203" s="11">
        <v>43289</v>
      </c>
      <c r="BD203" s="289">
        <f>[3]!FeuilCaduc*(1-Persistant)+Persistant</f>
        <v>0.98708531398064359</v>
      </c>
      <c r="BE203" s="290">
        <f>[3]!CroissVégét</f>
        <v>0.75955291305401751</v>
      </c>
      <c r="BF203" s="804">
        <f>1+[3]!Salcycl*Ksac</f>
        <v>1.0487085313980644</v>
      </c>
      <c r="BH203" s="1036">
        <f t="shared" si="94"/>
        <v>3.6912350715325956E-4</v>
      </c>
      <c r="BI203" s="11">
        <v>44385</v>
      </c>
      <c r="BJ203" s="715">
        <v>1.2552772389015329E-7</v>
      </c>
      <c r="BK203" s="715">
        <v>1.2552772389015329E-7</v>
      </c>
      <c r="BL203" s="715">
        <v>2.8081011074904764E-5</v>
      </c>
      <c r="BM203" s="715">
        <v>1.7174361234307625E-4</v>
      </c>
      <c r="BN203" s="715">
        <v>5.6720531657809576E-4</v>
      </c>
      <c r="BO203" s="716">
        <v>1.3590186691054117E-3</v>
      </c>
      <c r="BP203" s="715">
        <v>2.636195594421718E-3</v>
      </c>
      <c r="BQ203" s="715">
        <v>4.4743422675352197E-3</v>
      </c>
      <c r="BR203" s="715">
        <v>6.9433523936777942E-3</v>
      </c>
      <c r="BS203" s="715">
        <v>1.014051313596992E-2</v>
      </c>
      <c r="BT203" s="715">
        <v>1.3854126334353699E-2</v>
      </c>
      <c r="BW203" s="1190">
        <f>'2019'!R\Max</f>
        <v>0.58542571206081251</v>
      </c>
      <c r="BX203" s="1190">
        <f>'2020'!R\Max</f>
        <v>1.0185517544472629</v>
      </c>
      <c r="BY203" s="1190">
        <f>'2021'!R\Max</f>
        <v>0.82748862429028291</v>
      </c>
      <c r="BZ203" s="1190">
        <f>'2022'!R\Max</f>
        <v>1.0093784288127614</v>
      </c>
      <c r="CA203" s="1190">
        <f>'2023'!R\Max</f>
        <v>1.0093784288127614</v>
      </c>
      <c r="CB203" s="1190">
        <f>'2024'!R\Max</f>
        <v>1.0093784288127614</v>
      </c>
      <c r="CC203" s="1190">
        <f>'2025'!R\Max</f>
        <v>1.0093784288127614</v>
      </c>
      <c r="CD203" s="1190">
        <f>'2026'!R\Max</f>
        <v>1.0093784288127614</v>
      </c>
      <c r="CE203" s="1191">
        <f>'2027'!R\Max</f>
        <v>1.0093784288127614</v>
      </c>
      <c r="CF203" s="1193">
        <f>'2028'!R\Max</f>
        <v>1.0093784288127614</v>
      </c>
    </row>
    <row r="204" spans="1:84" s="6" customFormat="1" ht="11.25" x14ac:dyDescent="0.2">
      <c r="A204" s="11">
        <v>43290</v>
      </c>
      <c r="B204" s="379">
        <f>'2022'!Maxi_hp</f>
        <v>61.885240787846676</v>
      </c>
      <c r="C204" s="13">
        <f>'2022'!An_max</f>
        <v>2022</v>
      </c>
      <c r="D204" s="1045">
        <f t="shared" si="78"/>
        <v>0.99900625678505484</v>
      </c>
      <c r="E204" s="1040">
        <f>AA$13/10</f>
        <v>61.946799999999996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61.946800000034273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61.984450000245126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61.946800000034273</v>
      </c>
      <c r="AZ204" s="735">
        <f t="shared" si="96"/>
        <v>61.965625000139696</v>
      </c>
      <c r="BA204" s="633">
        <f t="shared" si="93"/>
        <v>0.99900625678505484</v>
      </c>
      <c r="BC204" s="11">
        <v>43290</v>
      </c>
      <c r="BD204" s="289">
        <f>[3]!FeuilCaduc*(1-Persistant)+Persistant</f>
        <v>0.98860699130480645</v>
      </c>
      <c r="BE204" s="290">
        <f>[3]!CroissVégét</f>
        <v>0.76698911930492164</v>
      </c>
      <c r="BF204" s="804">
        <f>1+[3]!Salcycl*Ksac</f>
        <v>1.0488606991304807</v>
      </c>
      <c r="BH204" s="1036">
        <f t="shared" si="94"/>
        <v>3.8116429075484953E-4</v>
      </c>
      <c r="BI204" s="11">
        <v>44386</v>
      </c>
      <c r="BJ204" s="715">
        <v>1.2067936558545058E-7</v>
      </c>
      <c r="BK204" s="715">
        <v>1.2067936558545056E-7</v>
      </c>
      <c r="BL204" s="715">
        <v>2.9630075040243414E-5</v>
      </c>
      <c r="BM204" s="715">
        <v>1.787925242737026E-4</v>
      </c>
      <c r="BN204" s="715">
        <v>5.8425572374824601E-4</v>
      </c>
      <c r="BO204" s="716">
        <v>1.3909613216027494E-3</v>
      </c>
      <c r="BP204" s="715">
        <v>2.6849615658090069E-3</v>
      </c>
      <c r="BQ204" s="715">
        <v>4.5453932564820995E-3</v>
      </c>
      <c r="BR204" s="715">
        <v>7.0407333951012958E-3</v>
      </c>
      <c r="BS204" s="715">
        <v>1.0270348371450432E-2</v>
      </c>
      <c r="BT204" s="715">
        <v>1.4018453688732148E-2</v>
      </c>
      <c r="BW204" s="1190">
        <f>'2019'!R\Max</f>
        <v>0.33427042850498606</v>
      </c>
      <c r="BX204" s="1190">
        <f>'2020'!R\Max</f>
        <v>0.98707995184646347</v>
      </c>
      <c r="BY204" s="1190">
        <f>'2021'!R\Max</f>
        <v>0.98258629062292124</v>
      </c>
      <c r="BZ204" s="1190">
        <f>'2022'!R\Max</f>
        <v>0.99900625678505484</v>
      </c>
      <c r="CA204" s="1190">
        <f>'2023'!R\Max</f>
        <v>0.99900617769833344</v>
      </c>
      <c r="CB204" s="1190">
        <f>'2024'!R\Max</f>
        <v>0.99900607210682935</v>
      </c>
      <c r="CC204" s="1190">
        <f>'2025'!R\Max</f>
        <v>0.99900595836859563</v>
      </c>
      <c r="CD204" s="1190">
        <f>'2026'!R\Max</f>
        <v>0.99900642293983155</v>
      </c>
      <c r="CE204" s="1191">
        <f>'2027'!R\Max</f>
        <v>0.99900638062984681</v>
      </c>
      <c r="CF204" s="1193">
        <f>'2028'!R\Max</f>
        <v>0.99900633133523764</v>
      </c>
    </row>
    <row r="205" spans="1:84" s="6" customFormat="1" ht="11.25" x14ac:dyDescent="0.2">
      <c r="A205" s="11">
        <v>43291</v>
      </c>
      <c r="B205" s="379">
        <f>'2022'!Maxi_hp</f>
        <v>61.303585673539317</v>
      </c>
      <c r="C205" s="13">
        <f>'2022'!An_max</f>
        <v>2022</v>
      </c>
      <c r="D205" s="1045">
        <f t="shared" si="78"/>
        <v>0.99094061389824784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61.864035860209597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61.903693677378556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61.860340378679595</v>
      </c>
      <c r="AZ205" s="735">
        <f t="shared" si="96"/>
        <v>61.882017028029075</v>
      </c>
      <c r="BA205" s="633">
        <f t="shared" si="93"/>
        <v>0.99094061389824784</v>
      </c>
      <c r="BC205" s="11">
        <v>43291</v>
      </c>
      <c r="BD205" s="289">
        <f>[3]!FeuilCaduc*(1-Persistant)+Persistant</f>
        <v>0.99000449616144037</v>
      </c>
      <c r="BE205" s="290">
        <f>[3]!CroissVégét</f>
        <v>0.77426389460057909</v>
      </c>
      <c r="BF205" s="804">
        <f>1+[3]!Salcycl*Ksac</f>
        <v>1.049000449616144</v>
      </c>
      <c r="BH205" s="1036">
        <f t="shared" si="94"/>
        <v>3.9388371752764563E-4</v>
      </c>
      <c r="BI205" s="11">
        <v>44387</v>
      </c>
      <c r="BJ205" s="715">
        <v>1.1404823519833493E-7</v>
      </c>
      <c r="BK205" s="715">
        <v>1.1404823519833493E-7</v>
      </c>
      <c r="BL205" s="715">
        <v>3.1280702998788474E-5</v>
      </c>
      <c r="BM205" s="715">
        <v>1.8629648497484316E-4</v>
      </c>
      <c r="BN205" s="715">
        <v>6.0220916362790325E-4</v>
      </c>
      <c r="BO205" s="716">
        <v>1.4245194875644124E-3</v>
      </c>
      <c r="BP205" s="715">
        <v>2.7361477105940068E-3</v>
      </c>
      <c r="BQ205" s="715">
        <v>4.6200395762462454E-3</v>
      </c>
      <c r="BR205" s="715">
        <v>7.1431923074835105E-3</v>
      </c>
      <c r="BS205" s="715">
        <v>1.0406876949950759E-2</v>
      </c>
      <c r="BT205" s="715">
        <v>1.4191099990653891E-2</v>
      </c>
      <c r="BW205" s="1190">
        <f>'2019'!R\Max</f>
        <v>0.97199724265309939</v>
      </c>
      <c r="BX205" s="1190">
        <f>'2020'!R\Max</f>
        <v>0.92711133606255647</v>
      </c>
      <c r="BY205" s="1190">
        <f>'2021'!R\Max</f>
        <v>0.87433650985433009</v>
      </c>
      <c r="BZ205" s="1190">
        <f>'2022'!R\Max</f>
        <v>0.99094061389824784</v>
      </c>
      <c r="CA205" s="1190">
        <f>'2023'!R\Max</f>
        <v>0.99093988699100655</v>
      </c>
      <c r="CB205" s="1190">
        <f>'2024'!R\Max</f>
        <v>0.99093891496218356</v>
      </c>
      <c r="CC205" s="1190">
        <f>'2025'!R\Max</f>
        <v>0.99093787060659688</v>
      </c>
      <c r="CD205" s="1190">
        <f>'2026'!R\Max</f>
        <v>0.9909421505713204</v>
      </c>
      <c r="CE205" s="1191">
        <f>'2027'!R\Max</f>
        <v>0.99094175744572788</v>
      </c>
      <c r="CF205" s="1193">
        <f>'2028'!R\Max</f>
        <v>0.99094130180927342</v>
      </c>
    </row>
    <row r="206" spans="1:84" s="6" customFormat="1" ht="11.25" x14ac:dyDescent="0.2">
      <c r="A206" s="11">
        <v>43292</v>
      </c>
      <c r="B206" s="379">
        <f>'2022'!Maxi_hp</f>
        <v>60.983970970198122</v>
      </c>
      <c r="C206" s="13">
        <f>'2022'!An_max</f>
        <v>2018</v>
      </c>
      <c r="D206" s="1045">
        <f t="shared" si="78"/>
        <v>0.98710647442972987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61.780539941681283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61.820934110986329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61.773002623992838</v>
      </c>
      <c r="AZ206" s="735">
        <f t="shared" si="96"/>
        <v>61.796968367489583</v>
      </c>
      <c r="BA206" s="633">
        <f t="shared" si="93"/>
        <v>0.98710647442972987</v>
      </c>
      <c r="BC206" s="11">
        <v>43292</v>
      </c>
      <c r="BD206" s="289">
        <f>[3]!FeuilCaduc*(1-Persistant)+Persistant</f>
        <v>0.99128310690055033</v>
      </c>
      <c r="BE206" s="290">
        <f>[3]!CroissVégét</f>
        <v>0.78137649671730769</v>
      </c>
      <c r="BF206" s="804">
        <f>1+[3]!Salcycl*Ksac</f>
        <v>1.0491283106900551</v>
      </c>
      <c r="BH206" s="1036">
        <f t="shared" si="94"/>
        <v>4.0789207422587954E-4</v>
      </c>
      <c r="BI206" s="11">
        <v>44388</v>
      </c>
      <c r="BJ206" s="715">
        <v>1.0611007401272711E-7</v>
      </c>
      <c r="BK206" s="715">
        <v>1.0730677268745787E-7</v>
      </c>
      <c r="BL206" s="715">
        <v>3.3121913390798885E-5</v>
      </c>
      <c r="BM206" s="715">
        <v>1.9461449162390808E-4</v>
      </c>
      <c r="BN206" s="715">
        <v>6.2192810617422501E-4</v>
      </c>
      <c r="BO206" s="716">
        <v>1.4610170353969393E-3</v>
      </c>
      <c r="BP206" s="715">
        <v>2.7917451192629767E-3</v>
      </c>
      <c r="BQ206" s="715">
        <v>4.7009725626604047E-3</v>
      </c>
      <c r="BR206" s="715">
        <v>7.2544223160361113E-3</v>
      </c>
      <c r="BS206" s="715">
        <v>1.055478698999532E-2</v>
      </c>
      <c r="BT206" s="715">
        <v>1.4377862118249082E-2</v>
      </c>
      <c r="BW206" s="1190">
        <f>'2019'!R\Max</f>
        <v>0.98710647442972987</v>
      </c>
      <c r="BX206" s="1190">
        <f>'2020'!R\Max</f>
        <v>0.78501980415190287</v>
      </c>
      <c r="BY206" s="1190">
        <f>'2021'!R\Max</f>
        <v>0.87729970752885345</v>
      </c>
      <c r="BZ206" s="1190">
        <f>'2022'!R\Max</f>
        <v>0.96631701279143178</v>
      </c>
      <c r="CA206" s="1190">
        <f>'2023'!R\Max</f>
        <v>0.96631433184059345</v>
      </c>
      <c r="CB206" s="1190">
        <f>'2024'!R\Max</f>
        <v>0.96631074182468735</v>
      </c>
      <c r="CC206" s="1190">
        <f>'2025'!R\Max</f>
        <v>0.96630689432078376</v>
      </c>
      <c r="CD206" s="1190">
        <f>'2026'!R\Max</f>
        <v>0.96632271558809568</v>
      </c>
      <c r="CE206" s="1191">
        <f>'2027'!R\Max</f>
        <v>0.96632124979493439</v>
      </c>
      <c r="CF206" s="1193">
        <f>'2028'!R\Max</f>
        <v>0.96631955965227467</v>
      </c>
    </row>
    <row r="207" spans="1:84" s="6" customFormat="1" ht="11.25" x14ac:dyDescent="0.2">
      <c r="A207" s="11">
        <v>43293</v>
      </c>
      <c r="B207" s="379">
        <f>'2022'!Maxi_hp</f>
        <v>61.397076269848142</v>
      </c>
      <c r="C207" s="13">
        <f>'2022'!An_max</f>
        <v>2018</v>
      </c>
      <c r="D207" s="1045">
        <f t="shared" ref="D207:D270" si="97">IF($BA207&gt;$D$11,BA207,"")</f>
        <v>0.9951533974279515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61.696092711468893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61.736088976250699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61.684676967833994</v>
      </c>
      <c r="AZ207" s="735">
        <f t="shared" si="96"/>
        <v>61.710382972042346</v>
      </c>
      <c r="BA207" s="633">
        <f t="shared" ref="BA207:BA270" si="112">+B207/J207</f>
        <v>0.9951533974279515</v>
      </c>
      <c r="BC207" s="11">
        <v>43293</v>
      </c>
      <c r="BD207" s="289">
        <f>[3]!FeuilCaduc*(1-Persistant)+Persistant</f>
        <v>0.9924481675313197</v>
      </c>
      <c r="BE207" s="290">
        <f>[3]!CroissVégét</f>
        <v>0.78832648381074411</v>
      </c>
      <c r="BF207" s="804">
        <f>1+[3]!Salcycl*Ksac</f>
        <v>1.0492448167531321</v>
      </c>
      <c r="BH207" s="1036">
        <f t="shared" ref="BH207:BH270" si="113">INDEX($BJ207:$BT207,,$BH$10)*(1-Ratini)+INDEX($BJ207:$BT207,,$BH$10+1)*Ratini</f>
        <v>4.2281153321123649E-4</v>
      </c>
      <c r="BI207" s="11">
        <v>44389</v>
      </c>
      <c r="BJ207" s="715">
        <v>9.7813059182873546E-8</v>
      </c>
      <c r="BK207" s="715">
        <v>1.0140167186382434E-7</v>
      </c>
      <c r="BL207" s="715">
        <v>3.5112181511714478E-5</v>
      </c>
      <c r="BM207" s="715">
        <v>2.0354786942835811E-4</v>
      </c>
      <c r="BN207" s="715">
        <v>6.4285493380682093E-4</v>
      </c>
      <c r="BO207" s="716">
        <v>1.4992765339029242E-3</v>
      </c>
      <c r="BP207" s="715">
        <v>2.8499023368727268E-3</v>
      </c>
      <c r="BQ207" s="715">
        <v>4.7854933377255724E-3</v>
      </c>
      <c r="BR207" s="715">
        <v>7.3707411648816822E-3</v>
      </c>
      <c r="BS207" s="715">
        <v>1.0709190658476924E-2</v>
      </c>
      <c r="BT207" s="715">
        <v>1.457263076650424E-2</v>
      </c>
      <c r="BW207" s="1190">
        <f>'2019'!R\Max</f>
        <v>0.9951533974279515</v>
      </c>
      <c r="BX207" s="1190">
        <f>'2020'!R\Max</f>
        <v>0.80651980535833423</v>
      </c>
      <c r="BY207" s="1190">
        <f>'2021'!R\Max</f>
        <v>0.22518947433040065</v>
      </c>
      <c r="BZ207" s="1190">
        <f>'2022'!R\Max</f>
        <v>0.96355407013386363</v>
      </c>
      <c r="CA207" s="1190">
        <f>'2023'!R\Max</f>
        <v>0.96355112683194877</v>
      </c>
      <c r="CB207" s="1190">
        <f>'2024'!R\Max</f>
        <v>0.96354718034950027</v>
      </c>
      <c r="CC207" s="1190">
        <f>'2025'!R\Max</f>
        <v>0.96354296108349113</v>
      </c>
      <c r="CD207" s="1190">
        <f>'2026'!R\Max</f>
        <v>0.96356036893093422</v>
      </c>
      <c r="CE207" s="1191">
        <f>'2027'!R\Max</f>
        <v>0.96355874248139006</v>
      </c>
      <c r="CF207" s="1193">
        <f>'2028'!R\Max</f>
        <v>0.96355687652344357</v>
      </c>
    </row>
    <row r="208" spans="1:84" s="6" customFormat="1" ht="11.25" x14ac:dyDescent="0.2">
      <c r="A208" s="11">
        <v>43294</v>
      </c>
      <c r="B208" s="379">
        <f>'2022'!Maxi_hp</f>
        <v>59.151654034195076</v>
      </c>
      <c r="C208" s="13">
        <f>'2022'!An_max</f>
        <v>2022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61.610474635740481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61.649075947635403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61.595253644138573</v>
      </c>
      <c r="AZ208" s="735">
        <f t="shared" ref="AZ208:AZ271" si="115">(AY208+AT208)/2</f>
        <v>61.622164795886988</v>
      </c>
      <c r="BA208" s="633">
        <f t="shared" si="112"/>
        <v>0.96009086740391647</v>
      </c>
      <c r="BC208" s="11">
        <v>43294</v>
      </c>
      <c r="BD208" s="289">
        <f>[3]!FeuilCaduc*(1-Persistant)+Persistant</f>
        <v>0.99350505644163523</v>
      </c>
      <c r="BE208" s="290">
        <f>[3]!CroissVégét</f>
        <v>0.79511370224543498</v>
      </c>
      <c r="BF208" s="804">
        <f>1+[3]!Salcycl*Ksac</f>
        <v>1.0493505056441634</v>
      </c>
      <c r="BH208" s="1036">
        <f t="shared" si="113"/>
        <v>4.3864168399086826E-4</v>
      </c>
      <c r="BI208" s="11">
        <v>44390</v>
      </c>
      <c r="BJ208" s="715">
        <v>8.9157441237841141E-8</v>
      </c>
      <c r="BK208" s="715">
        <v>9.6331778580082832E-8</v>
      </c>
      <c r="BL208" s="715">
        <v>3.7251405395644063E-5</v>
      </c>
      <c r="BM208" s="715">
        <v>2.1309625552141725E-4</v>
      </c>
      <c r="BN208" s="715">
        <v>6.6498918823740434E-4</v>
      </c>
      <c r="BO208" s="716">
        <v>1.5392978977899149E-3</v>
      </c>
      <c r="BP208" s="715">
        <v>2.9106197325583449E-3</v>
      </c>
      <c r="BQ208" s="715">
        <v>4.8736029988464546E-3</v>
      </c>
      <c r="BR208" s="715">
        <v>7.4921506609598029E-3</v>
      </c>
      <c r="BS208" s="715">
        <v>1.0870091248171456E-2</v>
      </c>
      <c r="BT208" s="715">
        <v>1.4775410973758819E-2</v>
      </c>
      <c r="BW208" s="1190">
        <f>'2019'!R\Max</f>
        <v>0.87125929789853196</v>
      </c>
      <c r="BX208" s="1190">
        <f>'2020'!R\Max</f>
        <v>0.66061634715252793</v>
      </c>
      <c r="BY208" s="1190">
        <f>'2021'!R\Max</f>
        <v>0.41171744561633333</v>
      </c>
      <c r="BZ208" s="1190">
        <f>'2022'!R\Max</f>
        <v>0.96009086740391647</v>
      </c>
      <c r="CA208" s="1190">
        <f>'2023'!R\Max</f>
        <v>0.96008759877811956</v>
      </c>
      <c r="CB208" s="1190">
        <f>'2024'!R\Max</f>
        <v>0.96008321076083658</v>
      </c>
      <c r="CC208" s="1190">
        <f>'2025'!R\Max</f>
        <v>0.9600785305271623</v>
      </c>
      <c r="CD208" s="1190">
        <f>'2026'!R\Max</f>
        <v>0.96009790364120828</v>
      </c>
      <c r="CE208" s="1191">
        <f>'2027'!R\Max</f>
        <v>0.96009607855936607</v>
      </c>
      <c r="CF208" s="1193">
        <f>'2028'!R\Max</f>
        <v>0.96009399501013504</v>
      </c>
    </row>
    <row r="209" spans="1:84" s="6" customFormat="1" ht="11.25" x14ac:dyDescent="0.2">
      <c r="A209" s="11">
        <v>43295</v>
      </c>
      <c r="B209" s="379">
        <f>'2022'!Maxi_hp</f>
        <v>61.162094530225126</v>
      </c>
      <c r="C209" s="13">
        <f>'2022'!An_max</f>
        <v>2018</v>
      </c>
      <c r="D209" s="1045">
        <f t="shared" si="97"/>
        <v>0.99412627939890086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61.523466180983391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61.559812700495662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61.504622886442974</v>
      </c>
      <c r="AZ209" s="735">
        <f t="shared" si="115"/>
        <v>61.532217793469314</v>
      </c>
      <c r="BA209" s="633">
        <f t="shared" si="112"/>
        <v>0.99412627939890086</v>
      </c>
      <c r="BC209" s="11">
        <v>43295</v>
      </c>
      <c r="BD209" s="289">
        <f>[3]!FeuilCaduc*(1-Persistant)+Persistant</f>
        <v>0.99445915586584843</v>
      </c>
      <c r="BE209" s="290">
        <f>[3]!CroissVégét</f>
        <v>0.80173827384170082</v>
      </c>
      <c r="BF209" s="804">
        <f>1+[3]!Salcycl*Ksac</f>
        <v>1.0494459155865847</v>
      </c>
      <c r="BH209" s="1036">
        <f t="shared" si="113"/>
        <v>4.5538221325020314E-4</v>
      </c>
      <c r="BI209" s="11">
        <v>44391</v>
      </c>
      <c r="BJ209" s="715">
        <v>8.014342665035751E-8</v>
      </c>
      <c r="BK209" s="715">
        <v>9.2095980370774511E-8</v>
      </c>
      <c r="BL209" s="715">
        <v>3.953949787461985E-5</v>
      </c>
      <c r="BM209" s="715">
        <v>2.2325934988019902E-4</v>
      </c>
      <c r="BN209" s="715">
        <v>6.8833054281245126E-4</v>
      </c>
      <c r="BO209" s="716">
        <v>1.581081252664958E-3</v>
      </c>
      <c r="BP209" s="715">
        <v>2.9738979882804645E-3</v>
      </c>
      <c r="BQ209" s="715">
        <v>4.9653030893941283E-3</v>
      </c>
      <c r="BR209" s="715">
        <v>7.6186532353059383E-3</v>
      </c>
      <c r="BS209" s="715">
        <v>1.10374928630793E-2</v>
      </c>
      <c r="BT209" s="715">
        <v>1.4986208789609998E-2</v>
      </c>
      <c r="BW209" s="1190">
        <f>'2019'!R\Max</f>
        <v>0.99412627939890086</v>
      </c>
      <c r="BX209" s="1190">
        <f>'2020'!R\Max</f>
        <v>0.99082397558762647</v>
      </c>
      <c r="BY209" s="1190">
        <f>'2021'!R\Max</f>
        <v>0.46907205457667911</v>
      </c>
      <c r="BZ209" s="1190">
        <f>'2022'!R\Max</f>
        <v>0.95149297424656265</v>
      </c>
      <c r="CA209" s="1190">
        <f>'2023'!R\Max</f>
        <v>0.95148896579119557</v>
      </c>
      <c r="CB209" s="1190">
        <f>'2024'!R\Max</f>
        <v>0.95148357852026744</v>
      </c>
      <c r="CC209" s="1190">
        <f>'2025'!R\Max</f>
        <v>0.95147784569829652</v>
      </c>
      <c r="CD209" s="1190">
        <f>'2026'!R\Max</f>
        <v>0.95150165252083596</v>
      </c>
      <c r="CE209" s="1191">
        <f>'2027'!R\Max</f>
        <v>0.95149939156560981</v>
      </c>
      <c r="CF209" s="1193">
        <f>'2028'!R\Max</f>
        <v>0.95149682279238357</v>
      </c>
    </row>
    <row r="210" spans="1:84" s="6" customFormat="1" ht="11.25" x14ac:dyDescent="0.2">
      <c r="A210" s="11">
        <v>43296</v>
      </c>
      <c r="B210" s="379">
        <f>'2022'!Maxi_hp</f>
        <v>62.506291921724774</v>
      </c>
      <c r="C210" s="13">
        <f>'2022'!An_max</f>
        <v>2018</v>
      </c>
      <c r="D210" s="1045">
        <f t="shared" si="97"/>
        <v>1.0174403314450691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61.434847813578585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61.468216909893918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61.412674927192612</v>
      </c>
      <c r="AZ210" s="735">
        <f t="shared" si="115"/>
        <v>61.440445918543261</v>
      </c>
      <c r="BA210" s="633">
        <f t="shared" si="112"/>
        <v>1.0174403314450691</v>
      </c>
      <c r="BC210" s="11">
        <v>43296</v>
      </c>
      <c r="BD210" s="289">
        <f>[3]!FeuilCaduc*(1-Persistant)+Persistant</f>
        <v>0.99531582230751603</v>
      </c>
      <c r="BE210" s="290">
        <f>[3]!CroissVégét</f>
        <v>0.80820058265200556</v>
      </c>
      <c r="BF210" s="804">
        <f>1+[3]!Salcycl*Ksac</f>
        <v>1.0495315822307516</v>
      </c>
      <c r="BH210" s="1036">
        <f t="shared" si="113"/>
        <v>4.7303291029377462E-4</v>
      </c>
      <c r="BI210" s="11">
        <v>44392</v>
      </c>
      <c r="BJ210" s="715">
        <v>7.077117567200929E-8</v>
      </c>
      <c r="BK210" s="715">
        <v>8.8693211359130902E-8</v>
      </c>
      <c r="BL210" s="715">
        <v>4.1976387467717598E-5</v>
      </c>
      <c r="BM210" s="715">
        <v>2.3403691899779862E-4</v>
      </c>
      <c r="BN210" s="715">
        <v>7.1287880972905444E-4</v>
      </c>
      <c r="BO210" s="716">
        <v>1.6246269455785589E-3</v>
      </c>
      <c r="BP210" s="715">
        <v>3.0397381141320391E-3</v>
      </c>
      <c r="BQ210" s="715">
        <v>5.0605956201458238E-3</v>
      </c>
      <c r="BR210" s="715">
        <v>7.7502519734219113E-3</v>
      </c>
      <c r="BS210" s="715">
        <v>1.1211400457161668E-2</v>
      </c>
      <c r="BT210" s="715">
        <v>1.5205031322645631E-2</v>
      </c>
      <c r="BW210" s="1190">
        <f>'2019'!R\Max</f>
        <v>1.0174403314450691</v>
      </c>
      <c r="BX210" s="1190">
        <f>'2020'!R\Max</f>
        <v>0.80760012583045815</v>
      </c>
      <c r="BY210" s="1190">
        <f>'2021'!R\Max</f>
        <v>0.62978057824717004</v>
      </c>
      <c r="BZ210" s="1190">
        <f>'2022'!R\Max</f>
        <v>0.92151662484699259</v>
      </c>
      <c r="CA210" s="1190">
        <f>'2023'!R\Max</f>
        <v>0.92151022831681484</v>
      </c>
      <c r="CB210" s="1190">
        <f>'2024'!R\Max</f>
        <v>0.92150162262837865</v>
      </c>
      <c r="CC210" s="1190">
        <f>'2025'!R\Max</f>
        <v>0.92149248545655893</v>
      </c>
      <c r="CD210" s="1190">
        <f>'2026'!R\Max</f>
        <v>0.92153055038754506</v>
      </c>
      <c r="CE210" s="1191">
        <f>'2027'!R\Max</f>
        <v>0.92152690667902071</v>
      </c>
      <c r="CF210" s="1193">
        <f>'2028'!R\Max</f>
        <v>0.92152278623963346</v>
      </c>
    </row>
    <row r="211" spans="1:84" s="6" customFormat="1" ht="11.25" x14ac:dyDescent="0.2">
      <c r="A211" s="11">
        <v>43297</v>
      </c>
      <c r="B211" s="379">
        <f>'2022'!Maxi_hp</f>
        <v>60.8270261955942</v>
      </c>
      <c r="C211" s="13">
        <f>'2022'!An_max</f>
        <v>2018</v>
      </c>
      <c r="D211" s="1045">
        <f t="shared" si="97"/>
        <v>0.99156607931230223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61.344399999827147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61.3742062502075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61.319300000136721</v>
      </c>
      <c r="AZ211" s="735">
        <f t="shared" si="115"/>
        <v>61.346753125172114</v>
      </c>
      <c r="BA211" s="633">
        <f t="shared" si="112"/>
        <v>0.99156607931230223</v>
      </c>
      <c r="BC211" s="11">
        <v>43297</v>
      </c>
      <c r="BD211" s="289">
        <f>[3]!FeuilCaduc*(1-Persistant)+Persistant</f>
        <v>0.9960803581122053</v>
      </c>
      <c r="BE211" s="290">
        <f>[3]!CroissVégét</f>
        <v>0.81450126137468837</v>
      </c>
      <c r="BF211" s="804">
        <f>1+[3]!Salcycl*Ksac</f>
        <v>1.0496080358112205</v>
      </c>
      <c r="BH211" s="1036">
        <f t="shared" si="113"/>
        <v>4.9159367246943649E-4</v>
      </c>
      <c r="BI211" s="11">
        <v>44393</v>
      </c>
      <c r="BJ211" s="715">
        <v>6.1040800164839348E-8</v>
      </c>
      <c r="BK211" s="715">
        <v>8.6122457160056138E-8</v>
      </c>
      <c r="BL211" s="715">
        <v>4.4562019268780762E-5</v>
      </c>
      <c r="BM211" s="715">
        <v>2.4542879954734875E-4</v>
      </c>
      <c r="BN211" s="715">
        <v>7.3863394722555791E-4</v>
      </c>
      <c r="BO211" s="716">
        <v>1.6699355555100518E-3</v>
      </c>
      <c r="BP211" s="715">
        <v>3.108141463534064E-3</v>
      </c>
      <c r="BQ211" s="715">
        <v>5.1594830905384824E-3</v>
      </c>
      <c r="BR211" s="715">
        <v>7.8869506453597797E-3</v>
      </c>
      <c r="BS211" s="715">
        <v>1.1391819872660969E-2</v>
      </c>
      <c r="BT211" s="715">
        <v>1.5431886787611475E-2</v>
      </c>
      <c r="BW211" s="1190">
        <f>'2019'!R\Max</f>
        <v>0.99156607931230223</v>
      </c>
      <c r="BX211" s="1190">
        <f>'2020'!R\Max</f>
        <v>0.33683319752341589</v>
      </c>
      <c r="BY211" s="1190">
        <f>'2021'!R\Max</f>
        <v>0.70125202558356059</v>
      </c>
      <c r="BZ211" s="1190">
        <f>'2022'!R\Max</f>
        <v>0.94982894109236315</v>
      </c>
      <c r="CA211" s="1190">
        <f>'2023'!R\Max</f>
        <v>0.94982464801579869</v>
      </c>
      <c r="CB211" s="1190">
        <f>'2024'!R\Max</f>
        <v>0.9498188666752102</v>
      </c>
      <c r="CC211" s="1190">
        <f>'2025'!R\Max</f>
        <v>0.94981274153930118</v>
      </c>
      <c r="CD211" s="1190">
        <f>'2026'!R\Max</f>
        <v>0.94983833763168746</v>
      </c>
      <c r="CE211" s="1191">
        <f>'2027'!R\Max</f>
        <v>0.94983586862831182</v>
      </c>
      <c r="CF211" s="1193">
        <f>'2028'!R\Max</f>
        <v>0.94983308925493781</v>
      </c>
    </row>
    <row r="212" spans="1:84" s="6" customFormat="1" ht="11.25" x14ac:dyDescent="0.2">
      <c r="A212" s="11">
        <v>43298</v>
      </c>
      <c r="B212" s="379">
        <f>'2022'!Maxi_hp</f>
        <v>61.26677577265081</v>
      </c>
      <c r="C212" s="13">
        <f>'2022'!An_max</f>
        <v>2021</v>
      </c>
      <c r="D212" s="1045">
        <f t="shared" si="97"/>
        <v>1.000242809849021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61.251903207280805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61.277698396518829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61.22438833838595</v>
      </c>
      <c r="AZ212" s="735">
        <f t="shared" si="115"/>
        <v>61.25104336745239</v>
      </c>
      <c r="BA212" s="633">
        <f t="shared" si="112"/>
        <v>1.000242809849021</v>
      </c>
      <c r="BC212" s="11">
        <v>43298</v>
      </c>
      <c r="BD212" s="289">
        <f>[3]!FeuilCaduc*(1-Persistant)+Persistant</f>
        <v>0.9967579843720783</v>
      </c>
      <c r="BE212" s="290">
        <f>[3]!CroissVégét</f>
        <v>0.82064117750784105</v>
      </c>
      <c r="BF212" s="804">
        <f>1+[3]!Salcycl*Ksac</f>
        <v>1.0496757984372078</v>
      </c>
      <c r="BH212" s="1036">
        <f t="shared" si="113"/>
        <v>5.1060657474509411E-4</v>
      </c>
      <c r="BI212" s="11">
        <v>44394</v>
      </c>
      <c r="BJ212" s="715">
        <v>5.1371515550159327E-8</v>
      </c>
      <c r="BK212" s="715">
        <v>1.1921372364437568E-7</v>
      </c>
      <c r="BL212" s="715">
        <v>4.7319859936290286E-5</v>
      </c>
      <c r="BM212" s="715">
        <v>2.5712311398377375E-4</v>
      </c>
      <c r="BN212" s="715">
        <v>7.6499146341452162E-4</v>
      </c>
      <c r="BO212" s="716">
        <v>1.7161601311411455E-3</v>
      </c>
      <c r="BP212" s="715">
        <v>3.1783788851197079E-3</v>
      </c>
      <c r="BQ212" s="715">
        <v>5.2614176344659078E-3</v>
      </c>
      <c r="BR212" s="715">
        <v>8.0289224259758978E-3</v>
      </c>
      <c r="BS212" s="715">
        <v>1.1580465050186306E-2</v>
      </c>
      <c r="BT212" s="715">
        <v>1.5670745268224914E-2</v>
      </c>
      <c r="BW212" s="1190">
        <f>'2019'!R\Max</f>
        <v>0.87016240423870816</v>
      </c>
      <c r="BX212" s="1190">
        <f>'2020'!R\Max</f>
        <v>0.40875238470447012</v>
      </c>
      <c r="BY212" s="1190">
        <f>'2021'!R\Max</f>
        <v>1.000242809849021</v>
      </c>
      <c r="BZ212" s="1190">
        <f>'2022'!R\Max</f>
        <v>0.94299225211823645</v>
      </c>
      <c r="CA212" s="1190">
        <f>'2023'!R\Max</f>
        <v>0.94298731748206299</v>
      </c>
      <c r="CB212" s="1190">
        <f>'2024'!R\Max</f>
        <v>0.94298066630419675</v>
      </c>
      <c r="CC212" s="1190">
        <f>'2025'!R\Max</f>
        <v>0.9429736344251306</v>
      </c>
      <c r="CD212" s="1190">
        <f>'2026'!R\Max</f>
        <v>0.94300310691173295</v>
      </c>
      <c r="CE212" s="1191">
        <f>'2027'!R\Max</f>
        <v>0.94300024350912359</v>
      </c>
      <c r="CF212" s="1193">
        <f>'2028'!R\Max</f>
        <v>0.94299703422380332</v>
      </c>
    </row>
    <row r="213" spans="1:84" s="6" customFormat="1" ht="11.25" x14ac:dyDescent="0.2">
      <c r="A213" s="11">
        <v>43299</v>
      </c>
      <c r="B213" s="379">
        <f>'2022'!Maxi_hp</f>
        <v>58.807726124673266</v>
      </c>
      <c r="C213" s="13">
        <f>'2022'!An_max</f>
        <v>2022</v>
      </c>
      <c r="D213" s="1045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61.157137900817077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61.178611024183091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61.12783017506424</v>
      </c>
      <c r="AZ213" s="735">
        <f t="shared" si="115"/>
        <v>61.153220599623666</v>
      </c>
      <c r="BA213" s="633">
        <f t="shared" si="112"/>
        <v>0.96158401362807366</v>
      </c>
      <c r="BC213" s="11">
        <v>43299</v>
      </c>
      <c r="BD213" s="289">
        <f>[3]!FeuilCaduc*(1-Persistant)+Persistant</f>
        <v>0.99735381532902678</v>
      </c>
      <c r="BE213" s="290">
        <f>[3]!CroissVégét</f>
        <v>0.82662141934042188</v>
      </c>
      <c r="BF213" s="804">
        <f>1+[3]!Salcycl*Ksac</f>
        <v>1.0497353815329027</v>
      </c>
      <c r="BH213" s="1036">
        <f t="shared" si="113"/>
        <v>5.2976449573132627E-4</v>
      </c>
      <c r="BI213" s="11">
        <v>44395</v>
      </c>
      <c r="BJ213" s="715">
        <v>4.26009274268487E-8</v>
      </c>
      <c r="BK213" s="715">
        <v>1.8876867739900711E-7</v>
      </c>
      <c r="BL213" s="715">
        <v>5.0188786543213814E-5</v>
      </c>
      <c r="BM213" s="715">
        <v>2.6885949283410126E-4</v>
      </c>
      <c r="BN213" s="715">
        <v>7.9159731873275037E-4</v>
      </c>
      <c r="BO213" s="716">
        <v>1.7628494103652107E-3</v>
      </c>
      <c r="BP213" s="715">
        <v>3.2498665062121166E-3</v>
      </c>
      <c r="BQ213" s="715">
        <v>5.3654870223248767E-3</v>
      </c>
      <c r="BR213" s="715">
        <v>8.1747573872333161E-3</v>
      </c>
      <c r="BS213" s="715">
        <v>1.1775519180176164E-2</v>
      </c>
      <c r="BT213" s="715">
        <v>1.5919391386169341E-2</v>
      </c>
      <c r="BW213" s="1190">
        <f>'2019'!R\Max</f>
        <v>0.67614199065450609</v>
      </c>
      <c r="BX213" s="1190">
        <f>'2020'!R\Max</f>
        <v>0.46566459194213883</v>
      </c>
      <c r="BY213" s="1190">
        <f>'2021'!R\Max</f>
        <v>0.90262113317678061</v>
      </c>
      <c r="BZ213" s="1190">
        <f>'2022'!R\Max</f>
        <v>0.96158401362807366</v>
      </c>
      <c r="CA213" s="1190">
        <f>'2023'!R\Max</f>
        <v>0.96158055781549434</v>
      </c>
      <c r="CB213" s="1190">
        <f>'2024'!R\Max</f>
        <v>0.96157589633443186</v>
      </c>
      <c r="CC213" s="1190">
        <f>'2025'!R\Max</f>
        <v>0.96157097809539904</v>
      </c>
      <c r="CD213" s="1190">
        <f>'2026'!R\Max</f>
        <v>0.96159165048098061</v>
      </c>
      <c r="CE213" s="1191">
        <f>'2027'!R\Max</f>
        <v>0.96158962856852004</v>
      </c>
      <c r="CF213" s="1193">
        <f>'2028'!R\Max</f>
        <v>0.96158737189099286</v>
      </c>
    </row>
    <row r="214" spans="1:84" s="6" customFormat="1" ht="11.25" x14ac:dyDescent="0.2">
      <c r="A214" s="11">
        <v>43300</v>
      </c>
      <c r="B214" s="379">
        <f>'2022'!Maxi_hp</f>
        <v>60.996282625351171</v>
      </c>
      <c r="C214" s="13">
        <f>'2022'!An_max</f>
        <v>2020</v>
      </c>
      <c r="D214" s="1045">
        <f t="shared" si="97"/>
        <v>0.99895836811613903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61.059884547921158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61.076861807491106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61.029515743215697</v>
      </c>
      <c r="AZ214" s="735">
        <f t="shared" si="115"/>
        <v>61.053188775353405</v>
      </c>
      <c r="BA214" s="633">
        <f t="shared" si="112"/>
        <v>0.99895836811613903</v>
      </c>
      <c r="BC214" s="11">
        <v>43300</v>
      </c>
      <c r="BD214" s="289">
        <f>[3]!FeuilCaduc*(1-Persistant)+Persistant</f>
        <v>0.99787283442676245</v>
      </c>
      <c r="BE214" s="290">
        <f>[3]!CroissVégét</f>
        <v>0.83244328187154937</v>
      </c>
      <c r="BF214" s="804">
        <f>1+[3]!Salcycl*Ksac</f>
        <v>1.0497872834426762</v>
      </c>
      <c r="BH214" s="1036">
        <f t="shared" si="113"/>
        <v>5.4906841573589243E-4</v>
      </c>
      <c r="BI214" s="11">
        <v>44396</v>
      </c>
      <c r="BJ214" s="715">
        <v>3.4727782408584456E-8</v>
      </c>
      <c r="BK214" s="715">
        <v>2.9475324818498754E-7</v>
      </c>
      <c r="BL214" s="715">
        <v>5.3168836899470219E-5</v>
      </c>
      <c r="BM214" s="715">
        <v>2.806385496560069E-4</v>
      </c>
      <c r="BN214" s="715">
        <v>8.1845286154230972E-4</v>
      </c>
      <c r="BO214" s="716">
        <v>1.8100059619637898E-3</v>
      </c>
      <c r="BP214" s="715">
        <v>3.3226080539540581E-3</v>
      </c>
      <c r="BQ214" s="715">
        <v>5.4716967536057037E-3</v>
      </c>
      <c r="BR214" s="715">
        <v>8.3244627564452757E-3</v>
      </c>
      <c r="BS214" s="715">
        <v>1.197699118853761E-2</v>
      </c>
      <c r="BT214" s="715">
        <v>1.6177835438299835E-2</v>
      </c>
      <c r="BW214" s="1190">
        <f>'2019'!R\Max</f>
        <v>0.96949626661256205</v>
      </c>
      <c r="BX214" s="1190">
        <f>'2020'!R\Max</f>
        <v>0.99895836811613903</v>
      </c>
      <c r="BY214" s="1190">
        <f>'2021'!R\Max</f>
        <v>0.97475808051914004</v>
      </c>
      <c r="BZ214" s="1190">
        <f>'2022'!R\Max</f>
        <v>0.79593526420657035</v>
      </c>
      <c r="CA214" s="1190">
        <f>'2023'!R\Max</f>
        <v>0.79591977542680614</v>
      </c>
      <c r="CB214" s="1190">
        <f>'2024'!R\Max</f>
        <v>0.79589887043802143</v>
      </c>
      <c r="CC214" s="1190">
        <f>'2025'!R\Max</f>
        <v>0.79587685881733128</v>
      </c>
      <c r="CD214" s="1190">
        <f>'2026'!R\Max</f>
        <v>0.79596963942393784</v>
      </c>
      <c r="CE214" s="1191">
        <f>'2027'!R\Max</f>
        <v>0.79596050713870159</v>
      </c>
      <c r="CF214" s="1193">
        <f>'2028'!R\Max</f>
        <v>0.79595035553977445</v>
      </c>
    </row>
    <row r="215" spans="1:84" s="6" customFormat="1" ht="11.25" x14ac:dyDescent="0.2">
      <c r="A215" s="11">
        <v>43301</v>
      </c>
      <c r="B215" s="379">
        <f>'2022'!Maxi_hp</f>
        <v>59.776097909915435</v>
      </c>
      <c r="C215" s="13">
        <f>'2022'!An_max</f>
        <v>2020</v>
      </c>
      <c r="D215" s="1045">
        <f t="shared" si="97"/>
        <v>0.98058026264812004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60.959923615519486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60.972368421798045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60.929335276882298</v>
      </c>
      <c r="AZ215" s="735">
        <f t="shared" si="115"/>
        <v>60.950851849340168</v>
      </c>
      <c r="BA215" s="633">
        <f t="shared" si="112"/>
        <v>0.98058026264812004</v>
      </c>
      <c r="BC215" s="11">
        <v>43301</v>
      </c>
      <c r="BD215" s="289">
        <f>[3]!FeuilCaduc*(1-Persistant)+Persistant</f>
        <v>0.9983198721446559</v>
      </c>
      <c r="BE215" s="290">
        <f>[3]!CroissVégét</f>
        <v>0.83810825274241962</v>
      </c>
      <c r="BF215" s="804">
        <f>1+[3]!Salcycl*Ksac</f>
        <v>1.0498319872144657</v>
      </c>
      <c r="BH215" s="1036">
        <f t="shared" si="113"/>
        <v>5.6851937425258733E-4</v>
      </c>
      <c r="BI215" s="11">
        <v>44397</v>
      </c>
      <c r="BJ215" s="715">
        <v>2.7750885177974789E-8</v>
      </c>
      <c r="BK215" s="715">
        <v>4.3713675687865035E-7</v>
      </c>
      <c r="BL215" s="715">
        <v>5.626006558681243E-5</v>
      </c>
      <c r="BM215" s="715">
        <v>2.9246093015424142E-4</v>
      </c>
      <c r="BN215" s="715">
        <v>8.4555952652641553E-4</v>
      </c>
      <c r="BO215" s="716">
        <v>1.8576325086038716E-3</v>
      </c>
      <c r="BP215" s="715">
        <v>3.3966075384869198E-3</v>
      </c>
      <c r="BQ215" s="715">
        <v>5.5800527673460698E-3</v>
      </c>
      <c r="BR215" s="715">
        <v>8.4780464536264293E-3</v>
      </c>
      <c r="BS215" s="715">
        <v>1.2184891037072099E-2</v>
      </c>
      <c r="BT215" s="715">
        <v>1.6446089184573614E-2</v>
      </c>
      <c r="BW215" s="1190">
        <f>'2019'!R\Max</f>
        <v>0.46752805232670025</v>
      </c>
      <c r="BX215" s="1190">
        <f>'2020'!R\Max</f>
        <v>0.98058026264812004</v>
      </c>
      <c r="BY215" s="1190">
        <f>'2021'!R\Max</f>
        <v>0.80506076405964844</v>
      </c>
      <c r="BZ215" s="1190">
        <f>'2022'!R\Max</f>
        <v>0.78953970630749681</v>
      </c>
      <c r="CA215" s="1190">
        <f>'2023'!R\Max</f>
        <v>0.78952355045887812</v>
      </c>
      <c r="CB215" s="1190">
        <f>'2024'!R\Max</f>
        <v>0.78950173394601653</v>
      </c>
      <c r="CC215" s="1190">
        <f>'2025'!R\Max</f>
        <v>0.78947880699316886</v>
      </c>
      <c r="CD215" s="1190">
        <f>'2026'!R\Max</f>
        <v>0.78957570200193461</v>
      </c>
      <c r="CE215" s="1191">
        <f>'2027'!R\Max</f>
        <v>0.78956610906374114</v>
      </c>
      <c r="CF215" s="1193">
        <f>'2028'!R\Max</f>
        <v>0.78955548635236439</v>
      </c>
    </row>
    <row r="216" spans="1:84" s="6" customFormat="1" ht="11.25" x14ac:dyDescent="0.2">
      <c r="A216" s="11">
        <v>43302</v>
      </c>
      <c r="B216" s="379">
        <f>'2022'!Maxi_hp</f>
        <v>56.925596291857346</v>
      </c>
      <c r="C216" s="13">
        <f>'2022'!An_max</f>
        <v>2022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60.857035568516167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60.86504854265867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60.82717900888197</v>
      </c>
      <c r="AZ216" s="735">
        <f t="shared" si="115"/>
        <v>60.84611377577032</v>
      </c>
      <c r="BA216" s="633">
        <f t="shared" si="112"/>
        <v>0.93539877123602921</v>
      </c>
      <c r="BC216" s="11">
        <v>43302</v>
      </c>
      <c r="BD216" s="289">
        <f>[3]!FeuilCaduc*(1-Persistant)+Persistant</f>
        <v>0.99869958572743278</v>
      </c>
      <c r="BE216" s="290">
        <f>[3]!CroissVégét</f>
        <v>0.84361799825853956</v>
      </c>
      <c r="BF216" s="804">
        <f>1+[3]!Salcycl*Ksac</f>
        <v>1.0498699585727433</v>
      </c>
      <c r="BH216" s="1036">
        <f t="shared" si="113"/>
        <v>5.8811847085215967E-4</v>
      </c>
      <c r="BI216" s="11">
        <v>44398</v>
      </c>
      <c r="BJ216" s="715">
        <v>2.166910376685927E-8</v>
      </c>
      <c r="BK216" s="715">
        <v>6.1589213163684918E-7</v>
      </c>
      <c r="BL216" s="715">
        <v>5.9462544624012109E-5</v>
      </c>
      <c r="BM216" s="715">
        <v>3.0432731245451529E-4</v>
      </c>
      <c r="BN216" s="715">
        <v>8.7291883619958037E-4</v>
      </c>
      <c r="BO216" s="716">
        <v>1.9057319296252606E-3</v>
      </c>
      <c r="BP216" s="715">
        <v>3.4718692603580028E-3</v>
      </c>
      <c r="BQ216" s="715">
        <v>5.690561454720979E-3</v>
      </c>
      <c r="BR216" s="715">
        <v>8.6355171142363431E-3</v>
      </c>
      <c r="BS216" s="715">
        <v>1.2399229761171774E-2</v>
      </c>
      <c r="BT216" s="715">
        <v>1.6724165905599796E-2</v>
      </c>
      <c r="BW216" s="1190">
        <f>'2019'!R\Max</f>
        <v>0.78348504585530465</v>
      </c>
      <c r="BX216" s="1190">
        <f>'2020'!R\Max</f>
        <v>0.85076530381116477</v>
      </c>
      <c r="BY216" s="1190">
        <f>'2021'!R\Max</f>
        <v>0.76026292842711996</v>
      </c>
      <c r="BZ216" s="1190">
        <f>'2022'!R\Max</f>
        <v>0.93539877123602921</v>
      </c>
      <c r="CA216" s="1190">
        <f>'2023'!R\Max</f>
        <v>0.93539277984047953</v>
      </c>
      <c r="CB216" s="1190">
        <f>'2024'!R\Max</f>
        <v>0.93538468566586541</v>
      </c>
      <c r="CC216" s="1190">
        <f>'2025'!R\Max</f>
        <v>0.93537619512687331</v>
      </c>
      <c r="CD216" s="1190">
        <f>'2026'!R\Max</f>
        <v>0.93541216728310284</v>
      </c>
      <c r="CE216" s="1191">
        <f>'2027'!R\Max</f>
        <v>0.93540858689380901</v>
      </c>
      <c r="CF216" s="1193">
        <f>'2028'!R\Max</f>
        <v>0.93540463667724427</v>
      </c>
    </row>
    <row r="217" spans="1:84" s="6" customFormat="1" ht="11.25" x14ac:dyDescent="0.2">
      <c r="A217" s="11">
        <v>43303</v>
      </c>
      <c r="B217" s="379">
        <f>'2022'!Maxi_hp</f>
        <v>55.348148280408218</v>
      </c>
      <c r="C217" s="13">
        <f>'2022'!An_max</f>
        <v>2020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60.751000874396411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60.754819843705221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60.722937171939499</v>
      </c>
      <c r="AZ217" s="735">
        <f t="shared" si="115"/>
        <v>60.738878507822363</v>
      </c>
      <c r="BA217" s="633">
        <f t="shared" si="112"/>
        <v>0.91106562005194502</v>
      </c>
      <c r="BC217" s="11">
        <v>43303</v>
      </c>
      <c r="BD217" s="289">
        <f>[3]!FeuilCaduc*(1-Persistant)+Persistant</f>
        <v>0.99901644090528263</v>
      </c>
      <c r="BE217" s="290">
        <f>[3]!CroissVégét</f>
        <v>0.84897434957309781</v>
      </c>
      <c r="BF217" s="804">
        <f>1+[3]!Salcycl*Ksac</f>
        <v>1.0499016440905282</v>
      </c>
      <c r="BH217" s="1036">
        <f t="shared" si="113"/>
        <v>6.078668660756322E-4</v>
      </c>
      <c r="BI217" s="11">
        <v>44399</v>
      </c>
      <c r="BJ217" s="715">
        <v>1.6481374837093876E-8</v>
      </c>
      <c r="BK217" s="715">
        <v>8.3099612405871927E-7</v>
      </c>
      <c r="BL217" s="715">
        <v>6.2776364132231498E-5</v>
      </c>
      <c r="BM217" s="715">
        <v>3.162384073785385E-4</v>
      </c>
      <c r="BN217" s="715">
        <v>9.0053240242141477E-4</v>
      </c>
      <c r="BO217" s="716">
        <v>1.9543072638365101E-3</v>
      </c>
      <c r="BP217" s="715">
        <v>3.5483978179440671E-3</v>
      </c>
      <c r="BQ217" s="715">
        <v>5.8032296716599638E-3</v>
      </c>
      <c r="BR217" s="715">
        <v>8.7968841119649335E-3</v>
      </c>
      <c r="BS217" s="715">
        <v>1.2620019507576789E-2</v>
      </c>
      <c r="BT217" s="715">
        <v>1.7012080460272E-2</v>
      </c>
      <c r="BW217" s="1190">
        <f>'2019'!R\Max</f>
        <v>0.85118145965769199</v>
      </c>
      <c r="BX217" s="1190">
        <f>'2020'!R\Max</f>
        <v>0.91106562005194502</v>
      </c>
      <c r="BY217" s="1190">
        <f>'2021'!R\Max</f>
        <v>0.90611328092670995</v>
      </c>
      <c r="BZ217" s="1190">
        <f>'2022'!R\Max</f>
        <v>0.75663623761496734</v>
      </c>
      <c r="CA217" s="1190">
        <f>'2023'!R\Max</f>
        <v>0.75661761650738957</v>
      </c>
      <c r="CB217" s="1190">
        <f>'2024'!R\Max</f>
        <v>0.75659245369838934</v>
      </c>
      <c r="CC217" s="1190">
        <f>'2025'!R\Max</f>
        <v>0.75656610802432911</v>
      </c>
      <c r="CD217" s="1190">
        <f>'2026'!R\Max</f>
        <v>0.75667801016301495</v>
      </c>
      <c r="CE217" s="1191">
        <f>'2027'!R\Max</f>
        <v>0.75666681525217128</v>
      </c>
      <c r="CF217" s="1193">
        <f>'2028'!R\Max</f>
        <v>0.75665450781346577</v>
      </c>
    </row>
    <row r="218" spans="1:84" s="6" customFormat="1" ht="11.25" x14ac:dyDescent="0.2">
      <c r="A218" s="11">
        <v>43304</v>
      </c>
      <c r="B218" s="379">
        <f>'2022'!Maxi_hp</f>
        <v>56.109961045476417</v>
      </c>
      <c r="C218" s="13">
        <f>'2022'!An_max</f>
        <v>2018</v>
      </c>
      <c r="D218" s="1045" t="str">
        <f t="shared" si="97"/>
        <v/>
      </c>
      <c r="E218" s="1040">
        <f>AB$13/10</f>
        <v>60.641600000000004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60.64159999974072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60.64160000011325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60.616500000003725</v>
      </c>
      <c r="AZ218" s="735">
        <f t="shared" si="115"/>
        <v>60.629050000058484</v>
      </c>
      <c r="BA218" s="633">
        <f t="shared" si="112"/>
        <v>0.92527177788376824</v>
      </c>
      <c r="BC218" s="11">
        <v>43304</v>
      </c>
      <c r="BD218" s="289">
        <f>[3]!FeuilCaduc*(1-Persistant)+Persistant</f>
        <v>0.99927469567870597</v>
      </c>
      <c r="BE218" s="290">
        <f>[3]!CroissVégét</f>
        <v>0.854179289095362</v>
      </c>
      <c r="BF218" s="804">
        <f>1+[3]!Salcycl*Ksac</f>
        <v>1.0499274695678706</v>
      </c>
      <c r="BH218" s="1036">
        <f t="shared" si="113"/>
        <v>6.2776578234115927E-4</v>
      </c>
      <c r="BI218" s="11">
        <v>44400</v>
      </c>
      <c r="BJ218" s="715">
        <v>1.2186708961671581E-8</v>
      </c>
      <c r="BK218" s="715">
        <v>1.0824295253647879E-6</v>
      </c>
      <c r="BL218" s="715">
        <v>6.6201633001789777E-5</v>
      </c>
      <c r="BM218" s="715">
        <v>3.2819495872610347E-4</v>
      </c>
      <c r="BN218" s="715">
        <v>9.2840192793047815E-4</v>
      </c>
      <c r="BO218" s="716">
        <v>2.0033617123543716E-3</v>
      </c>
      <c r="BP218" s="715">
        <v>3.6261981149538765E-3</v>
      </c>
      <c r="BQ218" s="715">
        <v>5.918064751593499E-3</v>
      </c>
      <c r="BR218" s="715">
        <v>8.9621575817137155E-3</v>
      </c>
      <c r="BS218" s="715">
        <v>1.2847273572413415E-2</v>
      </c>
      <c r="BT218" s="715">
        <v>1.7309849343779521E-2</v>
      </c>
      <c r="BW218" s="1190">
        <f>'2019'!R\Max</f>
        <v>0.92527177788376824</v>
      </c>
      <c r="BX218" s="1190">
        <f>'2020'!R\Max</f>
        <v>0.89880091008576024</v>
      </c>
      <c r="BY218" s="1190">
        <f>'2021'!R\Max</f>
        <v>0.75905981205884432</v>
      </c>
      <c r="BZ218" s="1190">
        <f>'2022'!R\Max</f>
        <v>0.87114532980399106</v>
      </c>
      <c r="CA218" s="1190">
        <f>'2023'!R\Max</f>
        <v>0.87113374958791012</v>
      </c>
      <c r="CB218" s="1190">
        <f>'2024'!R\Max</f>
        <v>0.87111809777863836</v>
      </c>
      <c r="CC218" s="1190">
        <f>'2025'!R\Max</f>
        <v>0.87110173857439233</v>
      </c>
      <c r="CD218" s="1190">
        <f>'2026'!R\Max</f>
        <v>0.8711713833993131</v>
      </c>
      <c r="CE218" s="1191">
        <f>'2027'!R\Max</f>
        <v>0.8711643840551494</v>
      </c>
      <c r="CF218" s="1193">
        <f>'2028'!R\Max</f>
        <v>0.87115671501032932</v>
      </c>
    </row>
    <row r="219" spans="1:84" s="6" customFormat="1" ht="11.25" x14ac:dyDescent="0.2">
      <c r="A219" s="11">
        <v>43305</v>
      </c>
      <c r="B219" s="379">
        <f>'2022'!Maxi_hp</f>
        <v>57.196015224186993</v>
      </c>
      <c r="C219" s="13">
        <f>'2022'!An_max</f>
        <v>2022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60.52916224516396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60.526198542543817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60.507757726291722</v>
      </c>
      <c r="AZ219" s="735">
        <f t="shared" si="115"/>
        <v>60.516978134417769</v>
      </c>
      <c r="BA219" s="633">
        <f t="shared" si="112"/>
        <v>0.94493320413924498</v>
      </c>
      <c r="BC219" s="11">
        <v>43305</v>
      </c>
      <c r="BD219" s="289">
        <f>[3]!FeuilCaduc*(1-Persistant)+Persistant</f>
        <v>0.99947838622173213</v>
      </c>
      <c r="BE219" s="290">
        <f>[3]!CroissVégét</f>
        <v>0.85923493718111654</v>
      </c>
      <c r="BF219" s="804">
        <f>1+[3]!Salcycl*Ksac</f>
        <v>1.0499478386221732</v>
      </c>
      <c r="BH219" s="1036">
        <f t="shared" si="113"/>
        <v>6.4781545871654374E-4</v>
      </c>
      <c r="BI219" s="11">
        <v>44401</v>
      </c>
      <c r="BJ219" s="715">
        <v>8.7841817200886729E-9</v>
      </c>
      <c r="BK219" s="715">
        <v>1.3701751699527171E-6</v>
      </c>
      <c r="BL219" s="715">
        <v>6.9738366941045368E-5</v>
      </c>
      <c r="BM219" s="715">
        <v>3.4019719418488219E-4</v>
      </c>
      <c r="BN219" s="715">
        <v>9.5652766321517406E-4</v>
      </c>
      <c r="BO219" s="716">
        <v>2.0528953262934136E-3</v>
      </c>
      <c r="BP219" s="715">
        <v>3.705269384417858E-3</v>
      </c>
      <c r="BQ219" s="715">
        <v>6.0350647723782687E-3</v>
      </c>
      <c r="BR219" s="715">
        <v>9.1313336966954584E-3</v>
      </c>
      <c r="BS219" s="715">
        <v>1.3080985315190877E-2</v>
      </c>
      <c r="BT219" s="715">
        <v>1.7617462295772816E-2</v>
      </c>
      <c r="BW219" s="1190">
        <f>'2019'!R\Max</f>
        <v>0.9308288932456803</v>
      </c>
      <c r="BX219" s="1190">
        <f>'2020'!R\Max</f>
        <v>0.82975945698667053</v>
      </c>
      <c r="BY219" s="1190">
        <f>'2021'!R\Max</f>
        <v>0.48355395925355038</v>
      </c>
      <c r="BZ219" s="1190">
        <f>'2022'!R\Max</f>
        <v>0.94493320413924498</v>
      </c>
      <c r="CA219" s="1190">
        <f>'2023'!R\Max</f>
        <v>0.9449277270483678</v>
      </c>
      <c r="CB219" s="1190">
        <f>'2024'!R\Max</f>
        <v>0.94492032340650089</v>
      </c>
      <c r="CC219" s="1190">
        <f>'2025'!R\Max</f>
        <v>0.94491259819951579</v>
      </c>
      <c r="CD219" s="1190">
        <f>'2026'!R\Max</f>
        <v>0.94494555930778301</v>
      </c>
      <c r="CE219" s="1191">
        <f>'2027'!R\Max</f>
        <v>0.94494223263389299</v>
      </c>
      <c r="CF219" s="1193">
        <f>'2028'!R\Max</f>
        <v>0.94493859942254377</v>
      </c>
    </row>
    <row r="220" spans="1:84" s="6" customFormat="1" ht="11.25" x14ac:dyDescent="0.2">
      <c r="A220" s="11">
        <v>43306</v>
      </c>
      <c r="B220" s="379">
        <f>'2022'!Maxi_hp</f>
        <v>59.315557328001788</v>
      </c>
      <c r="C220" s="13">
        <f>'2022'!An_max</f>
        <v>2020</v>
      </c>
      <c r="D220" s="1045">
        <f t="shared" si="97"/>
        <v>0.98181542410018208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60.414163265324063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60.409406705653033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60.396600583062629</v>
      </c>
      <c r="AZ220" s="735">
        <f t="shared" si="115"/>
        <v>60.403003644357831</v>
      </c>
      <c r="BA220" s="633">
        <f t="shared" si="112"/>
        <v>0.98181542410018208</v>
      </c>
      <c r="BC220" s="11">
        <v>43306</v>
      </c>
      <c r="BD220" s="289">
        <f>[3]!FeuilCaduc*(1-Persistant)+Persistant</f>
        <v>0.99963131493620416</v>
      </c>
      <c r="BE220" s="290">
        <f>[3]!CroissVégét</f>
        <v>0.86414353915538655</v>
      </c>
      <c r="BF220" s="804">
        <f>1+[3]!Salcycl*Ksac</f>
        <v>1.0499631314936204</v>
      </c>
      <c r="BH220" s="1036">
        <f t="shared" si="113"/>
        <v>6.6815932549982846E-4</v>
      </c>
      <c r="BI220" s="11">
        <v>44402</v>
      </c>
      <c r="BJ220" s="715">
        <v>6.2729655960521622E-9</v>
      </c>
      <c r="BK220" s="715">
        <v>1.7464097002049133E-6</v>
      </c>
      <c r="BL220" s="715">
        <v>7.3596705078233813E-5</v>
      </c>
      <c r="BM220" s="715">
        <v>3.5249717145243234E-4</v>
      </c>
      <c r="BN220" s="715">
        <v>9.8494402487754704E-4</v>
      </c>
      <c r="BO220" s="716">
        <v>2.1027887833103198E-3</v>
      </c>
      <c r="BP220" s="715">
        <v>3.7854135314832247E-3</v>
      </c>
      <c r="BQ220" s="715">
        <v>6.1542516126943799E-3</v>
      </c>
      <c r="BR220" s="715">
        <v>9.3047802192817927E-3</v>
      </c>
      <c r="BS220" s="715">
        <v>1.3322613754726853E-2</v>
      </c>
      <c r="BT220" s="715">
        <v>1.793808252294208E-2</v>
      </c>
      <c r="BW220" s="1190">
        <f>'2019'!R\Max</f>
        <v>0.94188766148540914</v>
      </c>
      <c r="BX220" s="1190">
        <f>'2020'!R\Max</f>
        <v>0.98181542410018208</v>
      </c>
      <c r="BY220" s="1190">
        <f>'2021'!R\Max</f>
        <v>0.62003676035228561</v>
      </c>
      <c r="BZ220" s="1190">
        <f>'2022'!R\Max</f>
        <v>0.48244490835893089</v>
      </c>
      <c r="CA220" s="1190">
        <f>'2023'!R\Max</f>
        <v>0.48241809107744871</v>
      </c>
      <c r="CB220" s="1190">
        <f>'2024'!R\Max</f>
        <v>0.48238184065800921</v>
      </c>
      <c r="CC220" s="1190">
        <f>'2025'!R\Max</f>
        <v>0.48234408288554792</v>
      </c>
      <c r="CD220" s="1190">
        <f>'2026'!R\Max</f>
        <v>0.48250555380503241</v>
      </c>
      <c r="CE220" s="1191">
        <f>'2027'!R\Max</f>
        <v>0.48248919079372976</v>
      </c>
      <c r="CF220" s="1193">
        <f>'2028'!R\Max</f>
        <v>0.48247137611470764</v>
      </c>
    </row>
    <row r="221" spans="1:84" s="6" customFormat="1" ht="11.25" x14ac:dyDescent="0.2">
      <c r="A221" s="11">
        <v>43307</v>
      </c>
      <c r="B221" s="379">
        <f>'2022'!Maxi_hp</f>
        <v>61.823821811123068</v>
      </c>
      <c r="C221" s="13">
        <f>'2022'!An_max</f>
        <v>2022</v>
      </c>
      <c r="D221" s="1045">
        <f t="shared" si="97"/>
        <v>1.0253284376351128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60.296603060886262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60.291114723416321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60.282918804371732</v>
      </c>
      <c r="AZ221" s="735">
        <f t="shared" si="115"/>
        <v>60.28701676389403</v>
      </c>
      <c r="BA221" s="633">
        <f t="shared" si="112"/>
        <v>1.0253284376351128</v>
      </c>
      <c r="BC221" s="11">
        <v>43307</v>
      </c>
      <c r="BD221" s="289">
        <f>[3]!FeuilCaduc*(1-Persistant)+Persistant</f>
        <v>0.99973704066884461</v>
      </c>
      <c r="BE221" s="290">
        <f>[3]!CroissVégét</f>
        <v>0.86890745271110437</v>
      </c>
      <c r="BF221" s="804">
        <f>1+[3]!Salcycl*Ksac</f>
        <v>1.0499737040668844</v>
      </c>
      <c r="BH221" s="1036">
        <f t="shared" si="113"/>
        <v>6.8819018940454346E-4</v>
      </c>
      <c r="BI221" s="11">
        <v>44403</v>
      </c>
      <c r="BJ221" s="715">
        <v>4.1810689451379523E-9</v>
      </c>
      <c r="BK221" s="715">
        <v>2.2094249145207164E-6</v>
      </c>
      <c r="BL221" s="715">
        <v>7.768790669161681E-5</v>
      </c>
      <c r="BM221" s="715">
        <v>3.6473755315521127E-4</v>
      </c>
      <c r="BN221" s="715">
        <v>1.0127930751904345E-3</v>
      </c>
      <c r="BO221" s="716">
        <v>2.151725495556808E-3</v>
      </c>
      <c r="BP221" s="715">
        <v>3.8646504760078827E-3</v>
      </c>
      <c r="BQ221" s="715">
        <v>6.2729487570599663E-3</v>
      </c>
      <c r="BR221" s="715">
        <v>9.4788238947710376E-3</v>
      </c>
      <c r="BS221" s="715">
        <v>1.3567495481499915E-2</v>
      </c>
      <c r="BT221" s="715">
        <v>1.826594282199959E-2</v>
      </c>
      <c r="BW221" s="1190">
        <f>'2019'!R\Max</f>
        <v>0.3843636945366829</v>
      </c>
      <c r="BX221" s="1190">
        <f>'2020'!R\Max</f>
        <v>0.96820319332882476</v>
      </c>
      <c r="BY221" s="1190">
        <f>'2021'!R\Max</f>
        <v>0.60818711498412625</v>
      </c>
      <c r="BZ221" s="1190">
        <f>'2022'!R\Max</f>
        <v>1.0253284376351128</v>
      </c>
      <c r="CA221" s="1190">
        <f>'2023'!R\Max</f>
        <v>1.0253284376351124</v>
      </c>
      <c r="CB221" s="1190">
        <f>'2024'!R\Max</f>
        <v>1.0253284376351126</v>
      </c>
      <c r="CC221" s="1190">
        <f>'2025'!R\Max</f>
        <v>1.0253284376351128</v>
      </c>
      <c r="CD221" s="1190">
        <f>'2026'!R\Max</f>
        <v>1.0253284376351126</v>
      </c>
      <c r="CE221" s="1191">
        <f>'2027'!R\Max</f>
        <v>1.0253284376351128</v>
      </c>
      <c r="CF221" s="1193">
        <f>'2028'!R\Max</f>
        <v>1.0253284376351126</v>
      </c>
    </row>
    <row r="222" spans="1:84" s="6" customFormat="1" ht="11.25" x14ac:dyDescent="0.2">
      <c r="A222" s="11">
        <v>43308</v>
      </c>
      <c r="B222" s="379">
        <f>'2022'!Maxi_hp</f>
        <v>61.872791150508753</v>
      </c>
      <c r="C222" s="13">
        <f>'2022'!An_max</f>
        <v>2022</v>
      </c>
      <c r="D222" s="1045">
        <f t="shared" si="97"/>
        <v>1.0281889115450082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60.176481632675447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60.171212828318993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60.166602624300864</v>
      </c>
      <c r="AZ222" s="735">
        <f t="shared" si="115"/>
        <v>60.168907726309925</v>
      </c>
      <c r="BA222" s="633">
        <f t="shared" si="112"/>
        <v>1.0281889115450082</v>
      </c>
      <c r="BC222" s="11">
        <v>43308</v>
      </c>
      <c r="BD222" s="289">
        <f>[3]!FeuilCaduc*(1-Persistant)+Persistant</f>
        <v>0.99979887108202736</v>
      </c>
      <c r="BE222" s="290">
        <f>[3]!CroissVégét</f>
        <v>0.87352913572103608</v>
      </c>
      <c r="BF222" s="804">
        <f>1+[3]!Salcycl*Ksac</f>
        <v>1.0499798871082027</v>
      </c>
      <c r="BH222" s="1036">
        <f t="shared" si="113"/>
        <v>7.0790888160565744E-4</v>
      </c>
      <c r="BI222" s="11">
        <v>44404</v>
      </c>
      <c r="BJ222" s="715">
        <v>2.5081308134461674E-9</v>
      </c>
      <c r="BK222" s="715">
        <v>2.7591827656419005E-6</v>
      </c>
      <c r="BL222" s="715">
        <v>8.2011966518312309E-5</v>
      </c>
      <c r="BM222" s="715">
        <v>3.7691877770596876E-4</v>
      </c>
      <c r="BN222" s="715">
        <v>1.0400760394877492E-3</v>
      </c>
      <c r="BO222" s="716">
        <v>2.1997074813621142E-3</v>
      </c>
      <c r="BP222" s="715">
        <v>3.9429829565234545E-3</v>
      </c>
      <c r="BQ222" s="715">
        <v>6.3911596000523234E-3</v>
      </c>
      <c r="BR222" s="715">
        <v>9.6534687615226263E-3</v>
      </c>
      <c r="BS222" s="715">
        <v>1.3815634537753302E-2</v>
      </c>
      <c r="BT222" s="715">
        <v>1.8601046695869834E-2</v>
      </c>
      <c r="BW222" s="1190">
        <f>'2019'!R\Max</f>
        <v>0.21765095535446735</v>
      </c>
      <c r="BX222" s="1190">
        <f>'2020'!R\Max</f>
        <v>0.79762255314916974</v>
      </c>
      <c r="BY222" s="1190">
        <f>'2021'!R\Max</f>
        <v>0.82027775305448292</v>
      </c>
      <c r="BZ222" s="1190">
        <f>'2022'!R\Max</f>
        <v>1.0281889115450082</v>
      </c>
      <c r="CA222" s="1190">
        <f>'2023'!R\Max</f>
        <v>1.0281889115450085</v>
      </c>
      <c r="CB222" s="1190">
        <f>'2024'!R\Max</f>
        <v>1.0281889115450087</v>
      </c>
      <c r="CC222" s="1190">
        <f>'2025'!R\Max</f>
        <v>1.0281889115450082</v>
      </c>
      <c r="CD222" s="1190">
        <f>'2026'!R\Max</f>
        <v>1.0281889115450085</v>
      </c>
      <c r="CE222" s="1191">
        <f>'2027'!R\Max</f>
        <v>1.0281889115450082</v>
      </c>
      <c r="CF222" s="1193">
        <f>'2028'!R\Max</f>
        <v>1.0281889115450082</v>
      </c>
    </row>
    <row r="223" spans="1:84" s="6" customFormat="1" ht="11.25" x14ac:dyDescent="0.2">
      <c r="A223" s="11">
        <v>43309</v>
      </c>
      <c r="B223" s="379">
        <f>'2022'!Maxi_hp</f>
        <v>56.218409152668862</v>
      </c>
      <c r="C223" s="13">
        <f>'2022'!An_max</f>
        <v>2020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60.053798979494182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60.049591253724472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60.047542274058131</v>
      </c>
      <c r="AZ223" s="735">
        <f t="shared" si="115"/>
        <v>60.048566763891301</v>
      </c>
      <c r="BA223" s="633">
        <f t="shared" si="112"/>
        <v>0.93613410155559118</v>
      </c>
      <c r="BC223" s="11">
        <v>43309</v>
      </c>
      <c r="BD223" s="289">
        <f>[3]!FeuilCaduc*(1-Persistant)+Persistant</f>
        <v>0.99981985714877841</v>
      </c>
      <c r="BE223" s="290">
        <f>[3]!CroissVégét</f>
        <v>0.8780111344941991</v>
      </c>
      <c r="BF223" s="804">
        <f>1+[3]!Salcycl*Ksac</f>
        <v>1.0499819857148778</v>
      </c>
      <c r="BH223" s="1036">
        <f t="shared" si="113"/>
        <v>7.2731618273457583E-4</v>
      </c>
      <c r="BI223" s="11">
        <v>44405</v>
      </c>
      <c r="BJ223" s="715">
        <v>1.2538268996220248E-9</v>
      </c>
      <c r="BK223" s="715">
        <v>3.3956517120413116E-6</v>
      </c>
      <c r="BL223" s="715">
        <v>8.656889322531106E-5</v>
      </c>
      <c r="BM223" s="715">
        <v>3.8904126343041585E-4</v>
      </c>
      <c r="BN223" s="715">
        <v>1.0667940619950092E-3</v>
      </c>
      <c r="BO223" s="716">
        <v>2.2467366192800062E-3</v>
      </c>
      <c r="BP223" s="715">
        <v>4.0204135369771047E-3</v>
      </c>
      <c r="BQ223" s="715">
        <v>6.5088873448253927E-3</v>
      </c>
      <c r="BR223" s="715">
        <v>9.828718683907868E-3</v>
      </c>
      <c r="BS223" s="715">
        <v>1.4067034917082534E-2</v>
      </c>
      <c r="BT223" s="715">
        <v>1.8943397817057492E-2</v>
      </c>
      <c r="BW223" s="1190">
        <f>'2019'!R\Max</f>
        <v>0.91049101793703624</v>
      </c>
      <c r="BX223" s="1190">
        <f>'2020'!R\Max</f>
        <v>0.93613410155559118</v>
      </c>
      <c r="BY223" s="1190">
        <f>'2021'!R\Max</f>
        <v>0.43985534620235178</v>
      </c>
      <c r="BZ223" s="1190">
        <f>'2022'!R\Max</f>
        <v>0.80333226765893684</v>
      </c>
      <c r="CA223" s="1190">
        <f>'2023'!R\Max</f>
        <v>0.80331426958971075</v>
      </c>
      <c r="CB223" s="1190">
        <f>'2024'!R\Max</f>
        <v>0.80328991265756478</v>
      </c>
      <c r="CC223" s="1190">
        <f>'2025'!R\Max</f>
        <v>0.80326465391476365</v>
      </c>
      <c r="CD223" s="1190">
        <f>'2026'!R\Max</f>
        <v>0.80337317192633462</v>
      </c>
      <c r="CE223" s="1191">
        <f>'2027'!R\Max</f>
        <v>0.80336208716293556</v>
      </c>
      <c r="CF223" s="1193">
        <f>'2028'!R\Max</f>
        <v>0.80335011641186593</v>
      </c>
    </row>
    <row r="224" spans="1:84" s="6" customFormat="1" ht="11.25" x14ac:dyDescent="0.2">
      <c r="A224" s="11">
        <v>43310</v>
      </c>
      <c r="B224" s="379">
        <f>'2022'!Maxi_hp</f>
        <v>59.204840320642759</v>
      </c>
      <c r="C224" s="13">
        <f>'2022'!An_max</f>
        <v>2018</v>
      </c>
      <c r="D224" s="1045">
        <f t="shared" si="97"/>
        <v>0.9879237071538276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59.928555101901296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59.926140233368741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59.925627988151142</v>
      </c>
      <c r="AZ224" s="735">
        <f t="shared" si="115"/>
        <v>59.925884110759938</v>
      </c>
      <c r="BA224" s="633">
        <f t="shared" si="112"/>
        <v>0.9879237071538276</v>
      </c>
      <c r="BC224" s="11">
        <v>43310</v>
      </c>
      <c r="BD224" s="289">
        <f>[3]!FeuilCaduc*(1-Persistant)+Persistant</f>
        <v>0.99980278972274117</v>
      </c>
      <c r="BE224" s="290">
        <f>[3]!CroissVégét</f>
        <v>0.88235607250226589</v>
      </c>
      <c r="BF224" s="804">
        <f>1+[3]!Salcycl*Ksac</f>
        <v>1.0499802789722741</v>
      </c>
      <c r="BH224" s="1036">
        <f t="shared" si="113"/>
        <v>7.4641282384169301E-4</v>
      </c>
      <c r="BI224" s="11">
        <v>44406</v>
      </c>
      <c r="BJ224" s="715">
        <v>4.1786825769829718E-10</v>
      </c>
      <c r="BK224" s="715">
        <v>4.1188064482124816E-6</v>
      </c>
      <c r="BL224" s="715">
        <v>9.1358708683806058E-5</v>
      </c>
      <c r="BM224" s="715">
        <v>4.0110540874540245E-4</v>
      </c>
      <c r="BN224" s="715">
        <v>1.092948207579051E-3</v>
      </c>
      <c r="BO224" s="716">
        <v>2.2928146510502322E-3</v>
      </c>
      <c r="BP224" s="715">
        <v>4.096944609547553E-3</v>
      </c>
      <c r="BQ224" s="715">
        <v>6.6261350046472002E-3</v>
      </c>
      <c r="BR224" s="715">
        <v>1.0004577350494414E-2</v>
      </c>
      <c r="BS224" s="715">
        <v>1.432170055440494E-2</v>
      </c>
      <c r="BT224" s="715">
        <v>1.9293000005276586E-2</v>
      </c>
      <c r="BW224" s="1190">
        <f>'2019'!R\Max</f>
        <v>0.9879237071538276</v>
      </c>
      <c r="BX224" s="1190">
        <f>'2020'!R\Max</f>
        <v>0.60979893205306812</v>
      </c>
      <c r="BY224" s="1190">
        <f>'2021'!R\Max</f>
        <v>0.94547974433307447</v>
      </c>
      <c r="BZ224" s="1190">
        <f>'2022'!R\Max</f>
        <v>0.5749877330140879</v>
      </c>
      <c r="CA224" s="1190">
        <f>'2023'!R\Max</f>
        <v>0.57495935772655316</v>
      </c>
      <c r="CB224" s="1190">
        <f>'2024'!R\Max</f>
        <v>0.5749209376545944</v>
      </c>
      <c r="CC224" s="1190">
        <f>'2025'!R\Max</f>
        <v>0.57488115215188018</v>
      </c>
      <c r="CD224" s="1190">
        <f>'2026'!R\Max</f>
        <v>0.5750522991421142</v>
      </c>
      <c r="CE224" s="1191">
        <f>'2027'!R\Max</f>
        <v>0.57503478394500052</v>
      </c>
      <c r="CF224" s="1193">
        <f>'2028'!R\Max</f>
        <v>0.57501591469165336</v>
      </c>
    </row>
    <row r="225" spans="1:84" s="6" customFormat="1" ht="11.25" x14ac:dyDescent="0.2">
      <c r="A225" s="11">
        <v>43311</v>
      </c>
      <c r="B225" s="379">
        <f>'2022'!Maxi_hp</f>
        <v>53.305021788323607</v>
      </c>
      <c r="C225" s="13">
        <f>'2022'!An_max</f>
        <v>2022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59.80074999965727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59.800750000309201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59.800750000262632</v>
      </c>
      <c r="AZ225" s="735">
        <f t="shared" si="115"/>
        <v>59.800750000285916</v>
      </c>
      <c r="BA225" s="633">
        <f t="shared" si="112"/>
        <v>0.89137714474532692</v>
      </c>
      <c r="BC225" s="11">
        <v>43311</v>
      </c>
      <c r="BD225" s="289">
        <f>[3]!FeuilCaduc*(1-Persistant)+Persistant</f>
        <v>0.99975019811484467</v>
      </c>
      <c r="BE225" s="290">
        <f>[3]!CroissVégét</f>
        <v>0.88656663959603077</v>
      </c>
      <c r="BF225" s="804">
        <f>1+[3]!Salcycl*Ksac</f>
        <v>1.0499750198114846</v>
      </c>
      <c r="BH225" s="1036">
        <f t="shared" si="113"/>
        <v>7.6519948738314756E-4</v>
      </c>
      <c r="BI225" s="11">
        <v>44407</v>
      </c>
      <c r="BJ225" s="715">
        <v>0</v>
      </c>
      <c r="BK225" s="715">
        <v>4.9286276350692112E-6</v>
      </c>
      <c r="BL225" s="715">
        <v>9.6381447246387763E-5</v>
      </c>
      <c r="BM225" s="715">
        <v>4.1311159235002723E-4</v>
      </c>
      <c r="BN225" s="715">
        <v>1.1185394635332619E-3</v>
      </c>
      <c r="BO225" s="716">
        <v>2.3379431846348516E-3</v>
      </c>
      <c r="BP225" s="715">
        <v>4.1725783975952004E-3</v>
      </c>
      <c r="BQ225" s="715">
        <v>6.7429054046544189E-3</v>
      </c>
      <c r="BR225" s="715">
        <v>1.0181048272558642E-2</v>
      </c>
      <c r="BS225" s="715">
        <v>1.4579635316398602E-2</v>
      </c>
      <c r="BT225" s="715">
        <v>1.9649857205711864E-2</v>
      </c>
      <c r="BW225" s="1190">
        <f>'2019'!R\Max</f>
        <v>0.48269362720222336</v>
      </c>
      <c r="BX225" s="1190">
        <f>'2020'!R\Max</f>
        <v>0.87551692002406112</v>
      </c>
      <c r="BY225" s="1190">
        <f>'2021'!R\Max</f>
        <v>0.31557917453776907</v>
      </c>
      <c r="BZ225" s="1190">
        <f>'2022'!R\Max</f>
        <v>0.89137714474532692</v>
      </c>
      <c r="CA225" s="1190">
        <f>'2023'!R\Max</f>
        <v>0.89136568785429582</v>
      </c>
      <c r="CB225" s="1190">
        <f>'2024'!R\Max</f>
        <v>0.89135016346914431</v>
      </c>
      <c r="CC225" s="1190">
        <f>'2025'!R\Max</f>
        <v>0.89133410660343648</v>
      </c>
      <c r="CD225" s="1190">
        <f>'2026'!R\Max</f>
        <v>0.8914032332126357</v>
      </c>
      <c r="CE225" s="1191">
        <f>'2027'!R\Max</f>
        <v>0.89139615094029312</v>
      </c>
      <c r="CF225" s="1193">
        <f>'2028'!R\Max</f>
        <v>0.89138853798057449</v>
      </c>
    </row>
    <row r="226" spans="1:84" s="6" customFormat="1" ht="11.25" x14ac:dyDescent="0.2">
      <c r="A226" s="11">
        <v>43312</v>
      </c>
      <c r="B226" s="379">
        <f>'2022'!Maxi_hp</f>
        <v>59.194470240108124</v>
      </c>
      <c r="C226" s="13">
        <f>'2022'!An_max</f>
        <v>2022</v>
      </c>
      <c r="D226" s="1045">
        <f t="shared" si="97"/>
        <v>0.99202429406578818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59.6703836732677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59.673310787337165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59.672798542478787</v>
      </c>
      <c r="AZ226" s="735">
        <f t="shared" si="115"/>
        <v>59.67305466490798</v>
      </c>
      <c r="BA226" s="633">
        <f t="shared" si="112"/>
        <v>0.99202429406578818</v>
      </c>
      <c r="BC226" s="11">
        <v>43312</v>
      </c>
      <c r="BD226" s="289">
        <f>[3]!FeuilCaduc*(1-Persistant)+Persistant</f>
        <v>0.99966435059044079</v>
      </c>
      <c r="BE226" s="290">
        <f>[3]!CroissVégét</f>
        <v>0.89064558172697694</v>
      </c>
      <c r="BF226" s="804">
        <f>1+[3]!Salcycl*Ksac</f>
        <v>1.0499664350590441</v>
      </c>
      <c r="BH226" s="1036">
        <f t="shared" si="113"/>
        <v>7.8401116590751671E-4</v>
      </c>
      <c r="BI226" s="11">
        <v>44408</v>
      </c>
      <c r="BJ226" s="715">
        <v>0</v>
      </c>
      <c r="BK226" s="715">
        <v>5.7856000277353977E-6</v>
      </c>
      <c r="BL226" s="715">
        <v>1.014973070758615E-4</v>
      </c>
      <c r="BM226" s="715">
        <v>4.2513364252694469E-4</v>
      </c>
      <c r="BN226" s="715">
        <v>1.1441649154142273E-3</v>
      </c>
      <c r="BO226" s="716">
        <v>2.3836224804816325E-3</v>
      </c>
      <c r="BP226" s="715">
        <v>4.2500476931784823E-3</v>
      </c>
      <c r="BQ226" s="715">
        <v>6.8637648076447831E-3</v>
      </c>
      <c r="BR226" s="715">
        <v>1.0364758405151196E-2</v>
      </c>
      <c r="BS226" s="715">
        <v>1.4849622631736678E-2</v>
      </c>
      <c r="BT226" s="715">
        <v>2.0024777324200244E-2</v>
      </c>
      <c r="BW226" s="1190">
        <f>'2019'!R\Max</f>
        <v>0.95383379994248441</v>
      </c>
      <c r="BX226" s="1190">
        <f>'2020'!R\Max</f>
        <v>0.94140510575007863</v>
      </c>
      <c r="BY226" s="1190">
        <f>'2021'!R\Max</f>
        <v>0.22468566952886815</v>
      </c>
      <c r="BZ226" s="1190">
        <f>'2022'!R\Max</f>
        <v>0.99202429406578818</v>
      </c>
      <c r="CA226" s="1190">
        <f>'2023'!R\Max</f>
        <v>0.99202333961427613</v>
      </c>
      <c r="CB226" s="1190">
        <f>'2024'!R\Max</f>
        <v>0.99202204522675819</v>
      </c>
      <c r="CC226" s="1190">
        <f>'2025'!R\Max</f>
        <v>0.99202070805488896</v>
      </c>
      <c r="CD226" s="1190">
        <f>'2026'!R\Max</f>
        <v>0.99202646875870437</v>
      </c>
      <c r="CE226" s="1191">
        <f>'2027'!R\Max</f>
        <v>0.99202587804505071</v>
      </c>
      <c r="CF226" s="1193">
        <f>'2028'!R\Max</f>
        <v>0.99202524440531814</v>
      </c>
    </row>
    <row r="227" spans="1:84" s="6" customFormat="1" ht="11.25" x14ac:dyDescent="0.2">
      <c r="A227" s="11">
        <v>43313</v>
      </c>
      <c r="B227" s="379">
        <f>'2022'!Maxi_hp</f>
        <v>58.799612686809596</v>
      </c>
      <c r="C227" s="13">
        <f>'2022'!An_max</f>
        <v>2022</v>
      </c>
      <c r="D227" s="1045">
        <f t="shared" si="97"/>
        <v>0.98760707152798755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59.537456121934305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59.543712828175309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59.541663847936846</v>
      </c>
      <c r="AZ227" s="735">
        <f t="shared" si="115"/>
        <v>59.542688338056081</v>
      </c>
      <c r="BA227" s="633">
        <f t="shared" si="112"/>
        <v>0.98760707152798755</v>
      </c>
      <c r="BC227" s="11">
        <v>43313</v>
      </c>
      <c r="BD227" s="289">
        <f>[3]!FeuilCaduc*(1-Persistant)+Persistant</f>
        <v>0.99954725668386502</v>
      </c>
      <c r="BE227" s="290">
        <f>[3]!CroissVégét</f>
        <v>0.89459569118431537</v>
      </c>
      <c r="BF227" s="804">
        <f>1+[3]!Salcycl*Ksac</f>
        <v>1.0499547256683865</v>
      </c>
      <c r="BH227" s="1036">
        <f t="shared" si="113"/>
        <v>8.0330462996454789E-4</v>
      </c>
      <c r="BI227" s="11">
        <v>44409</v>
      </c>
      <c r="BJ227" s="715">
        <v>0</v>
      </c>
      <c r="BK227" s="715">
        <v>6.6550237215901556E-6</v>
      </c>
      <c r="BL227" s="715">
        <v>1.0668298269769961E-4</v>
      </c>
      <c r="BM227" s="715">
        <v>4.3748255799506996E-4</v>
      </c>
      <c r="BN227" s="715">
        <v>1.1704276239905751E-3</v>
      </c>
      <c r="BO227" s="716">
        <v>2.4306980452148195E-3</v>
      </c>
      <c r="BP227" s="715">
        <v>4.3300815332156508E-3</v>
      </c>
      <c r="BQ227" s="715">
        <v>6.9892626868133237E-3</v>
      </c>
      <c r="BR227" s="715">
        <v>1.0555540023841833E-2</v>
      </c>
      <c r="BS227" s="715">
        <v>1.5129961357939188E-2</v>
      </c>
      <c r="BT227" s="715">
        <v>2.0413813192186679E-2</v>
      </c>
      <c r="BW227" s="1190">
        <f>'2019'!R\Max</f>
        <v>0.86191768288677073</v>
      </c>
      <c r="BX227" s="1190">
        <f>'2020'!R\Max</f>
        <v>0.91291273688764285</v>
      </c>
      <c r="BY227" s="1190">
        <f>'2021'!R\Max</f>
        <v>0.81745794413824047</v>
      </c>
      <c r="BZ227" s="1190">
        <f>'2022'!R\Max</f>
        <v>0.98760707152798755</v>
      </c>
      <c r="CA227" s="1190">
        <f>'2023'!R\Max</f>
        <v>0.98760556581585812</v>
      </c>
      <c r="CB227" s="1190">
        <f>'2024'!R\Max</f>
        <v>0.98760352193281298</v>
      </c>
      <c r="CC227" s="1190">
        <f>'2025'!R\Max</f>
        <v>0.98760141298839799</v>
      </c>
      <c r="CD227" s="1190">
        <f>'2026'!R\Max</f>
        <v>0.98761050434539266</v>
      </c>
      <c r="CE227" s="1191">
        <f>'2027'!R\Max</f>
        <v>0.9876095713678289</v>
      </c>
      <c r="CF227" s="1193">
        <f>'2028'!R\Max</f>
        <v>0.98760857261352919</v>
      </c>
    </row>
    <row r="228" spans="1:84" s="6" customFormat="1" ht="11.25" x14ac:dyDescent="0.2">
      <c r="A228" s="11">
        <v>43314</v>
      </c>
      <c r="B228" s="379">
        <f>'2022'!Maxi_hp</f>
        <v>58.793989724542534</v>
      </c>
      <c r="C228" s="13">
        <f>'2022'!An_max</f>
        <v>2022</v>
      </c>
      <c r="D228" s="1045">
        <f t="shared" si="97"/>
        <v>0.98976502548177292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59.401967346668243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59.411846355827791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59.407236151317406</v>
      </c>
      <c r="AZ228" s="735">
        <f t="shared" si="115"/>
        <v>59.409541253572598</v>
      </c>
      <c r="BA228" s="633">
        <f t="shared" si="112"/>
        <v>0.98976502548177292</v>
      </c>
      <c r="BC228" s="11">
        <v>43314</v>
      </c>
      <c r="BD228" s="289">
        <f>[3]!FeuilCaduc*(1-Persistant)+Persistant</f>
        <v>0.9994006712119361</v>
      </c>
      <c r="BE228" s="290">
        <f>[3]!CroissVégét</f>
        <v>0.89841979735358901</v>
      </c>
      <c r="BF228" s="804">
        <f>1+[3]!Salcycl*Ksac</f>
        <v>1.0499400671211936</v>
      </c>
      <c r="BH228" s="1036">
        <f t="shared" si="113"/>
        <v>8.2308013008302206E-4</v>
      </c>
      <c r="BI228" s="11">
        <v>44410</v>
      </c>
      <c r="BJ228" s="715">
        <v>0</v>
      </c>
      <c r="BK228" s="715">
        <v>7.5369227703693182E-6</v>
      </c>
      <c r="BL228" s="715">
        <v>1.1193859932415259E-4</v>
      </c>
      <c r="BM228" s="715">
        <v>4.5015851437599772E-4</v>
      </c>
      <c r="BN228" s="715">
        <v>1.1973279149646548E-3</v>
      </c>
      <c r="BO228" s="716">
        <v>2.4791702560336176E-3</v>
      </c>
      <c r="BP228" s="715">
        <v>4.4126804195266621E-3</v>
      </c>
      <c r="BQ228" s="715">
        <v>7.119399509980179E-3</v>
      </c>
      <c r="BR228" s="715">
        <v>1.0753393852261782E-2</v>
      </c>
      <c r="BS228" s="715">
        <v>1.5420652689284685E-2</v>
      </c>
      <c r="BT228" s="715">
        <v>2.0816966746703375E-2</v>
      </c>
      <c r="BW228" s="1190">
        <f>'2019'!R\Max</f>
        <v>0.94958394608510044</v>
      </c>
      <c r="BX228" s="1190">
        <f>'2020'!R\Max</f>
        <v>0.81573364891445066</v>
      </c>
      <c r="BY228" s="1190">
        <f>'2021'!R\Max</f>
        <v>0.9099389501121139</v>
      </c>
      <c r="BZ228" s="1190">
        <f>'2022'!R\Max</f>
        <v>0.98976502548177292</v>
      </c>
      <c r="CA228" s="1190">
        <f>'2023'!R\Max</f>
        <v>0.98976375413423279</v>
      </c>
      <c r="CB228" s="1190">
        <f>'2024'!R\Max</f>
        <v>0.98976202657043932</v>
      </c>
      <c r="CC228" s="1190">
        <f>'2025'!R\Max</f>
        <v>0.98976024602352086</v>
      </c>
      <c r="CD228" s="1190">
        <f>'2026'!R\Max</f>
        <v>0.98976792564320959</v>
      </c>
      <c r="CE228" s="1191">
        <f>'2027'!R\Max</f>
        <v>0.98976713703253427</v>
      </c>
      <c r="CF228" s="1193">
        <f>'2028'!R\Max</f>
        <v>0.98976629444532482</v>
      </c>
    </row>
    <row r="229" spans="1:84" s="6" customFormat="1" ht="11.25" x14ac:dyDescent="0.2">
      <c r="A229" s="11">
        <v>43315</v>
      </c>
      <c r="B229" s="379">
        <f>'2022'!Maxi_hp</f>
        <v>56.932913500318811</v>
      </c>
      <c r="C229" s="13">
        <f>'2022'!An_max</f>
        <v>2018</v>
      </c>
      <c r="D229" s="1045" t="str">
        <f t="shared" si="97"/>
        <v/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59.263917346830873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59.277601603777818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59.26940568527872</v>
      </c>
      <c r="AZ229" s="735">
        <f t="shared" si="115"/>
        <v>59.273503644528269</v>
      </c>
      <c r="BA229" s="633">
        <f t="shared" si="112"/>
        <v>0.9606674018379463</v>
      </c>
      <c r="BC229" s="11">
        <v>43315</v>
      </c>
      <c r="BD229" s="289">
        <f>[3]!FeuilCaduc*(1-Persistant)+Persistant</f>
        <v>0.99922609985397437</v>
      </c>
      <c r="BE229" s="290">
        <f>[3]!CroissVégét</f>
        <v>0.90212075799903491</v>
      </c>
      <c r="BF229" s="804">
        <f>1+[3]!Salcycl*Ksac</f>
        <v>1.0499226099853973</v>
      </c>
      <c r="BH229" s="1036">
        <f t="shared" si="113"/>
        <v>8.4333792630432967E-4</v>
      </c>
      <c r="BI229" s="11">
        <v>44411</v>
      </c>
      <c r="BJ229" s="715">
        <v>0</v>
      </c>
      <c r="BK229" s="715">
        <v>8.4313210355384354E-6</v>
      </c>
      <c r="BL229" s="715">
        <v>1.1726428063876148E-4</v>
      </c>
      <c r="BM229" s="715">
        <v>4.631616947597704E-4</v>
      </c>
      <c r="BN229" s="715">
        <v>1.2248661256028563E-3</v>
      </c>
      <c r="BO229" s="716">
        <v>2.5290395283897814E-3</v>
      </c>
      <c r="BP229" s="715">
        <v>4.4978449321779962E-3</v>
      </c>
      <c r="BQ229" s="715">
        <v>7.2541759108644792E-3</v>
      </c>
      <c r="BR229" s="715">
        <v>1.0958320867725841E-2</v>
      </c>
      <c r="BS229" s="715">
        <v>1.572169819042676E-2</v>
      </c>
      <c r="BT229" s="715">
        <v>2.1234240421830433E-2</v>
      </c>
      <c r="BW229" s="1190">
        <f>'2019'!R\Max</f>
        <v>0.9606674018379463</v>
      </c>
      <c r="BX229" s="1190">
        <f>'2020'!R\Max</f>
        <v>0.61677646070667047</v>
      </c>
      <c r="BY229" s="1190">
        <f>'2021'!R\Max</f>
        <v>0.63545062735516866</v>
      </c>
      <c r="BZ229" s="1190">
        <f>'2022'!R\Max</f>
        <v>0.93693087280025322</v>
      </c>
      <c r="CA229" s="1190">
        <f>'2023'!R\Max</f>
        <v>0.93692330517198663</v>
      </c>
      <c r="CB229" s="1190">
        <f>'2024'!R\Max</f>
        <v>0.9369130101587948</v>
      </c>
      <c r="CC229" s="1190">
        <f>'2025'!R\Max</f>
        <v>0.93690241103942495</v>
      </c>
      <c r="CD229" s="1190">
        <f>'2026'!R\Max</f>
        <v>0.93694814562186202</v>
      </c>
      <c r="CE229" s="1191">
        <f>'2027'!R\Max</f>
        <v>0.93694344657750583</v>
      </c>
      <c r="CF229" s="1193">
        <f>'2028'!R\Max</f>
        <v>0.93693843513637087</v>
      </c>
    </row>
    <row r="230" spans="1:84" s="6" customFormat="1" ht="11.25" x14ac:dyDescent="0.2">
      <c r="A230" s="11">
        <v>43316</v>
      </c>
      <c r="B230" s="379">
        <f>'2022'!Maxi_hp</f>
        <v>54.708974263466324</v>
      </c>
      <c r="C230" s="13">
        <f>'2022'!An_max</f>
        <v>2022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59.123306121836819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59.140868804763464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59.128062682159779</v>
      </c>
      <c r="AZ230" s="735">
        <f t="shared" si="115"/>
        <v>59.134465743461618</v>
      </c>
      <c r="BA230" s="633">
        <f t="shared" si="112"/>
        <v>0.92533685702092205</v>
      </c>
      <c r="BC230" s="11">
        <v>43316</v>
      </c>
      <c r="BD230" s="289">
        <f>[3]!FeuilCaduc*(1-Persistant)+Persistant</f>
        <v>0.99902480615362221</v>
      </c>
      <c r="BE230" s="290">
        <f>[3]!CroissVégét</f>
        <v>0.90570145106838851</v>
      </c>
      <c r="BF230" s="804">
        <f>1+[3]!Salcycl*Ksac</f>
        <v>1.0499024806153623</v>
      </c>
      <c r="BH230" s="1036">
        <f t="shared" si="113"/>
        <v>8.640782867011305E-4</v>
      </c>
      <c r="BI230" s="11">
        <v>44412</v>
      </c>
      <c r="BJ230" s="715">
        <v>0</v>
      </c>
      <c r="BK230" s="715">
        <v>9.3382421470794427E-6</v>
      </c>
      <c r="BL230" s="715">
        <v>1.2266014857902229E-4</v>
      </c>
      <c r="BM230" s="715">
        <v>4.7649228869618086E-4</v>
      </c>
      <c r="BN230" s="715">
        <v>1.2530426027799453E-3</v>
      </c>
      <c r="BO230" s="716">
        <v>2.5803063117071216E-3</v>
      </c>
      <c r="BP230" s="715">
        <v>4.5855757216212772E-3</v>
      </c>
      <c r="BQ230" s="715">
        <v>7.3935926748494541E-3</v>
      </c>
      <c r="BR230" s="715">
        <v>1.1170322279527285E-2</v>
      </c>
      <c r="BS230" s="715">
        <v>1.6033099764607494E-2</v>
      </c>
      <c r="BT230" s="715">
        <v>2.1665637105334562E-2</v>
      </c>
      <c r="BW230" s="1190">
        <f>'2019'!R\Max</f>
        <v>0.91603991873171631</v>
      </c>
      <c r="BX230" s="1190">
        <f>'2020'!R\Max</f>
        <v>0.85326207887937122</v>
      </c>
      <c r="BY230" s="1190">
        <f>'2021'!R\Max</f>
        <v>0.62579515166335264</v>
      </c>
      <c r="BZ230" s="1190">
        <f>'2022'!R\Max</f>
        <v>0.92533685702092205</v>
      </c>
      <c r="CA230" s="1190">
        <f>'2023'!R\Max</f>
        <v>0.92532782558137638</v>
      </c>
      <c r="CB230" s="1190">
        <f>'2024'!R\Max</f>
        <v>0.925315523661144</v>
      </c>
      <c r="CC230" s="1190">
        <f>'2025'!R\Max</f>
        <v>0.92530287146485168</v>
      </c>
      <c r="CD230" s="1190">
        <f>'2026'!R\Max</f>
        <v>0.92535748164658838</v>
      </c>
      <c r="CE230" s="1191">
        <f>'2027'!R\Max</f>
        <v>0.92535186836747096</v>
      </c>
      <c r="CF230" s="1193">
        <f>'2028'!R\Max</f>
        <v>0.9253458923559732</v>
      </c>
    </row>
    <row r="231" spans="1:84" s="6" customFormat="1" ht="11.25" x14ac:dyDescent="0.2">
      <c r="A231" s="11">
        <v>43317</v>
      </c>
      <c r="B231" s="379">
        <f>'2022'!Maxi_hp</f>
        <v>57.498472641811972</v>
      </c>
      <c r="C231" s="13">
        <f>'2022'!An_max</f>
        <v>2020</v>
      </c>
      <c r="D231" s="1045">
        <f t="shared" si="97"/>
        <v>0.97487864237027377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58.980133672856866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59.001538192414287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58.983097375550173</v>
      </c>
      <c r="AZ231" s="735">
        <f t="shared" si="115"/>
        <v>58.99231778398223</v>
      </c>
      <c r="BA231" s="633">
        <f t="shared" si="112"/>
        <v>0.97487864237027377</v>
      </c>
      <c r="BC231" s="11">
        <v>43317</v>
      </c>
      <c r="BD231" s="289">
        <f>[3]!FeuilCaduc*(1-Persistant)+Persistant</f>
        <v>0.99879781978725124</v>
      </c>
      <c r="BE231" s="290">
        <f>[3]!CroissVégét</f>
        <v>0.90916476701567317</v>
      </c>
      <c r="BF231" s="804">
        <f>1+[3]!Salcycl*Ksac</f>
        <v>1.0498797819787251</v>
      </c>
      <c r="BH231" s="1036">
        <f t="shared" si="113"/>
        <v>8.8530148589318247E-4</v>
      </c>
      <c r="BI231" s="11">
        <v>44413</v>
      </c>
      <c r="BJ231" s="715">
        <v>0</v>
      </c>
      <c r="BK231" s="715">
        <v>1.0257709464257518E-5</v>
      </c>
      <c r="BL231" s="715">
        <v>1.2812632311868862E-4</v>
      </c>
      <c r="BM231" s="715">
        <v>4.9015049118454634E-4</v>
      </c>
      <c r="BN231" s="715">
        <v>1.2818577010192647E-3</v>
      </c>
      <c r="BO231" s="716">
        <v>2.6329710850924218E-3</v>
      </c>
      <c r="BP231" s="715">
        <v>4.6758735008165268E-3</v>
      </c>
      <c r="BQ231" s="715">
        <v>7.5376507247226837E-3</v>
      </c>
      <c r="BR231" s="715">
        <v>1.1389399507195357E-2</v>
      </c>
      <c r="BS231" s="715">
        <v>1.6354859621817219E-2</v>
      </c>
      <c r="BT231" s="715">
        <v>2.211116009523546E-2</v>
      </c>
      <c r="BW231" s="1190">
        <f>'2019'!R\Max</f>
        <v>0.92126708151362335</v>
      </c>
      <c r="BX231" s="1190">
        <f>'2020'!R\Max</f>
        <v>0.97487864237027377</v>
      </c>
      <c r="BY231" s="1190">
        <f>'2021'!R\Max</f>
        <v>0.88827590983812155</v>
      </c>
      <c r="BZ231" s="1190">
        <f>'2022'!R\Max</f>
        <v>0.84243634197578343</v>
      </c>
      <c r="CA231" s="1190">
        <f>'2023'!R\Max</f>
        <v>0.84241862578221416</v>
      </c>
      <c r="CB231" s="1190">
        <f>'2024'!R\Max</f>
        <v>0.84239446177397759</v>
      </c>
      <c r="CC231" s="1190">
        <f>'2025'!R\Max</f>
        <v>0.84236963502275175</v>
      </c>
      <c r="CD231" s="1190">
        <f>'2026'!R\Max</f>
        <v>0.84247682070038665</v>
      </c>
      <c r="CE231" s="1191">
        <f>'2027'!R\Max</f>
        <v>0.84246579941573074</v>
      </c>
      <c r="CF231" s="1193">
        <f>'2028'!R\Max</f>
        <v>0.84245408557379098</v>
      </c>
    </row>
    <row r="232" spans="1:84" s="6" customFormat="1" ht="11.25" x14ac:dyDescent="0.2">
      <c r="A232" s="11">
        <v>43318</v>
      </c>
      <c r="B232" s="379">
        <f>'2022'!Maxi_hp</f>
        <v>58.413322100606401</v>
      </c>
      <c r="C232" s="13">
        <f>'2022'!An_max</f>
        <v>2020</v>
      </c>
      <c r="D232" s="1045">
        <f t="shared" si="97"/>
        <v>0.99284299832965006</v>
      </c>
      <c r="E232" s="1040">
        <f>AC$13/10</f>
        <v>58.834400000000002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58.834399999678133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58.859500000067058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58.834400000423194</v>
      </c>
      <c r="AZ232" s="735">
        <f t="shared" si="115"/>
        <v>58.84695000024513</v>
      </c>
      <c r="BA232" s="633">
        <f t="shared" si="112"/>
        <v>0.99284299832965006</v>
      </c>
      <c r="BC232" s="11">
        <v>43318</v>
      </c>
      <c r="BD232" s="289">
        <f>[3]!FeuilCaduc*(1-Persistant)+Persistant</f>
        <v>0.9985459459350885</v>
      </c>
      <c r="BE232" s="290">
        <f>[3]!CroissVégét</f>
        <v>0.91251360163473627</v>
      </c>
      <c r="BF232" s="804">
        <f>1+[3]!Salcycl*Ksac</f>
        <v>1.0498545945935089</v>
      </c>
      <c r="BH232" s="1036">
        <f t="shared" si="113"/>
        <v>9.0700780356660143E-4</v>
      </c>
      <c r="BI232" s="11">
        <v>44414</v>
      </c>
      <c r="BJ232" s="715">
        <v>0</v>
      </c>
      <c r="BK232" s="715">
        <v>1.1189746036428722E-5</v>
      </c>
      <c r="BL232" s="715">
        <v>1.3366292205057404E-4</v>
      </c>
      <c r="BM232" s="715">
        <v>5.0413650166537967E-4</v>
      </c>
      <c r="BN232" s="715">
        <v>1.3113117805378988E-3</v>
      </c>
      <c r="BO232" s="716">
        <v>2.6870343530564986E-3</v>
      </c>
      <c r="BP232" s="715">
        <v>4.7687390373734699E-3</v>
      </c>
      <c r="BQ232" s="715">
        <v>7.6863511064454689E-3</v>
      </c>
      <c r="BR232" s="715">
        <v>1.1615554158796606E-2</v>
      </c>
      <c r="BS232" s="715">
        <v>1.6686980247017352E-2</v>
      </c>
      <c r="BT232" s="715">
        <v>2.2570813056457566E-2</v>
      </c>
      <c r="BW232" s="1190">
        <f>'2019'!R\Max</f>
        <v>0.68376487343079362</v>
      </c>
      <c r="BX232" s="1190">
        <f>'2020'!R\Max</f>
        <v>0.99284299832965006</v>
      </c>
      <c r="BY232" s="1190">
        <f>'2021'!R\Max</f>
        <v>0.36199284070490301</v>
      </c>
      <c r="BZ232" s="1190">
        <f>'2022'!R\Max</f>
        <v>0.92747136744089587</v>
      </c>
      <c r="CA232" s="1190">
        <f>'2023'!R\Max</f>
        <v>0.92746219825640897</v>
      </c>
      <c r="CB232" s="1190">
        <f>'2024'!R\Max</f>
        <v>0.92744967330843431</v>
      </c>
      <c r="CC232" s="1190">
        <f>'2025'!R\Max</f>
        <v>0.92743681659873112</v>
      </c>
      <c r="CD232" s="1190">
        <f>'2026'!R\Max</f>
        <v>0.9274923264717414</v>
      </c>
      <c r="CE232" s="1191">
        <f>'2027'!R\Max</f>
        <v>0.92748661799605414</v>
      </c>
      <c r="CF232" s="1193">
        <f>'2028'!R\Max</f>
        <v>0.92748056031689707</v>
      </c>
    </row>
    <row r="233" spans="1:84" s="6" customFormat="1" ht="11.25" x14ac:dyDescent="0.2">
      <c r="A233" s="11">
        <v>43319</v>
      </c>
      <c r="B233" s="379">
        <f>'2022'!Maxi_hp</f>
        <v>57.429006468910806</v>
      </c>
      <c r="C233" s="13">
        <f>'2022'!An_max</f>
        <v>2022</v>
      </c>
      <c r="D233" s="1045">
        <f t="shared" si="97"/>
        <v>0.97857134846775717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58.686580757583897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58.71464446064617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58.682761789339466</v>
      </c>
      <c r="AZ233" s="735">
        <f t="shared" si="115"/>
        <v>58.698703124992818</v>
      </c>
      <c r="BA233" s="633">
        <f t="shared" si="112"/>
        <v>0.97857134846775717</v>
      </c>
      <c r="BC233" s="11">
        <v>43319</v>
      </c>
      <c r="BD233" s="289">
        <f>[3]!FeuilCaduc*(1-Persistant)+Persistant</f>
        <v>0.99826977558451058</v>
      </c>
      <c r="BE233" s="290">
        <f>[3]!CroissVégét</f>
        <v>0.91575084939386342</v>
      </c>
      <c r="BF233" s="804">
        <f>1+[3]!Salcycl*Ksac</f>
        <v>1.049826977558451</v>
      </c>
      <c r="BH233" s="1036">
        <f t="shared" si="113"/>
        <v>9.2919752298835508E-4</v>
      </c>
      <c r="BI233" s="11">
        <v>44415</v>
      </c>
      <c r="BJ233" s="715">
        <v>0</v>
      </c>
      <c r="BK233" s="715">
        <v>1.2134374563799142E-5</v>
      </c>
      <c r="BL233" s="715">
        <v>1.3927006076868881E-4</v>
      </c>
      <c r="BM233" s="715">
        <v>5.184505230094457E-4</v>
      </c>
      <c r="BN233" s="715">
        <v>1.3414052052849205E-3</v>
      </c>
      <c r="BO233" s="716">
        <v>2.7424966412210299E-3</v>
      </c>
      <c r="BP233" s="715">
        <v>4.864173145667494E-3</v>
      </c>
      <c r="BQ233" s="715">
        <v>7.839694974881321E-3</v>
      </c>
      <c r="BR233" s="715">
        <v>1.184878800917461E-2</v>
      </c>
      <c r="BS233" s="715">
        <v>1.7029464368274783E-2</v>
      </c>
      <c r="BT233" s="715">
        <v>2.304459997736218E-2</v>
      </c>
      <c r="BW233" s="1190">
        <f>'2019'!R\Max</f>
        <v>0.75518695286175819</v>
      </c>
      <c r="BX233" s="1190">
        <f>'2020'!R\Max</f>
        <v>0.96359096227409013</v>
      </c>
      <c r="BY233" s="1190">
        <f>'2021'!R\Max</f>
        <v>0.4384735872252653</v>
      </c>
      <c r="BZ233" s="1190">
        <f>'2022'!R\Max</f>
        <v>0.97857134846775717</v>
      </c>
      <c r="CA233" s="1190">
        <f>'2023'!R\Max</f>
        <v>0.97856842871708194</v>
      </c>
      <c r="CB233" s="1190">
        <f>'2024'!R\Max</f>
        <v>0.97856443413212812</v>
      </c>
      <c r="CC233" s="1190">
        <f>'2025'!R\Max</f>
        <v>0.97856033737125703</v>
      </c>
      <c r="CD233" s="1190">
        <f>'2026'!R\Max</f>
        <v>0.97857802522831061</v>
      </c>
      <c r="CE233" s="1191">
        <f>'2027'!R\Max</f>
        <v>0.97857620616630936</v>
      </c>
      <c r="CF233" s="1193">
        <f>'2028'!R\Max</f>
        <v>0.97857427871873992</v>
      </c>
    </row>
    <row r="234" spans="1:84" s="6" customFormat="1" ht="11.25" x14ac:dyDescent="0.2">
      <c r="A234" s="11">
        <v>43320</v>
      </c>
      <c r="B234" s="379">
        <f>'2022'!Maxi_hp</f>
        <v>57.919390552745952</v>
      </c>
      <c r="C234" s="13">
        <f>'2022'!An_max</f>
        <v>2022</v>
      </c>
      <c r="D234" s="1045">
        <f t="shared" si="97"/>
        <v>0.98944915798439248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58.537005247175692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58.566861808087154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58.528992274004437</v>
      </c>
      <c r="AZ234" s="735">
        <f t="shared" si="115"/>
        <v>58.547927041045796</v>
      </c>
      <c r="BA234" s="633">
        <f t="shared" si="112"/>
        <v>0.98944915798439248</v>
      </c>
      <c r="BC234" s="11">
        <v>43320</v>
      </c>
      <c r="BD234" s="289">
        <f>[3]!FeuilCaduc*(1-Persistant)+Persistant</f>
        <v>0.99796969659029156</v>
      </c>
      <c r="BE234" s="290">
        <f>[3]!CroissVégét</f>
        <v>0.91887939725970647</v>
      </c>
      <c r="BF234" s="804">
        <f>1+[3]!Salcycl*Ksac</f>
        <v>1.0497969696590292</v>
      </c>
      <c r="BH234" s="1036">
        <f t="shared" si="113"/>
        <v>9.5154196454323324E-4</v>
      </c>
      <c r="BI234" s="11">
        <v>44416</v>
      </c>
      <c r="BJ234" s="715">
        <v>0</v>
      </c>
      <c r="BK234" s="715">
        <v>1.3038553442156307E-5</v>
      </c>
      <c r="BL234" s="715">
        <v>1.4460345306150258E-4</v>
      </c>
      <c r="BM234" s="715">
        <v>5.3265258622329343E-4</v>
      </c>
      <c r="BN234" s="715">
        <v>1.3719209807862675E-3</v>
      </c>
      <c r="BO234" s="716">
        <v>2.7999320506525093E-3</v>
      </c>
      <c r="BP234" s="715">
        <v>4.9639835214866897E-3</v>
      </c>
      <c r="BQ234" s="715">
        <v>8.0014303767767404E-3</v>
      </c>
      <c r="BR234" s="715">
        <v>1.2095444397672543E-2</v>
      </c>
      <c r="BS234" s="715">
        <v>1.7391820844772008E-2</v>
      </c>
      <c r="BT234" s="715">
        <v>2.3545431153286313E-2</v>
      </c>
      <c r="BW234" s="1190">
        <f>'2019'!R\Max</f>
        <v>0.94092040994313997</v>
      </c>
      <c r="BX234" s="1190">
        <f>'2020'!R\Max</f>
        <v>0.9376240711460978</v>
      </c>
      <c r="BY234" s="1190">
        <f>'2021'!R\Max</f>
        <v>0.73264634424744279</v>
      </c>
      <c r="BZ234" s="1190">
        <f>'2022'!R\Max</f>
        <v>0.98944915798439248</v>
      </c>
      <c r="CA234" s="1190">
        <f>'2023'!R\Max</f>
        <v>0.9894476720205494</v>
      </c>
      <c r="CB234" s="1190">
        <f>'2024'!R\Max</f>
        <v>0.98944563557369392</v>
      </c>
      <c r="CC234" s="1190">
        <f>'2025'!R\Max</f>
        <v>0.98944354883235797</v>
      </c>
      <c r="CD234" s="1190">
        <f>'2026'!R\Max</f>
        <v>0.98945255735513959</v>
      </c>
      <c r="CE234" s="1191">
        <f>'2027'!R\Max</f>
        <v>0.98945163096531419</v>
      </c>
      <c r="CF234" s="1193">
        <f>'2028'!R\Max</f>
        <v>0.98945065076273386</v>
      </c>
    </row>
    <row r="235" spans="1:84" s="6" customFormat="1" ht="11.25" x14ac:dyDescent="0.2">
      <c r="A235" s="11">
        <v>43321</v>
      </c>
      <c r="B235" s="379">
        <f>'2022'!Maxi_hp</f>
        <v>56.144783633335642</v>
      </c>
      <c r="C235" s="13">
        <f>'2022'!An_max</f>
        <v>2021</v>
      </c>
      <c r="D235" s="1045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58.385453934967515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58.41604227431651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58.373009128655703</v>
      </c>
      <c r="AZ235" s="735">
        <f t="shared" si="115"/>
        <v>58.394525701486103</v>
      </c>
      <c r="BA235" s="633">
        <f t="shared" si="112"/>
        <v>0.96162279899154957</v>
      </c>
      <c r="BC235" s="11">
        <v>43321</v>
      </c>
      <c r="BD235" s="289">
        <f>[3]!FeuilCaduc*(1-Persistant)+Persistant</f>
        <v>0.99764590531397745</v>
      </c>
      <c r="BE235" s="290">
        <f>[3]!CroissVégét</f>
        <v>0.92190211899696306</v>
      </c>
      <c r="BF235" s="804">
        <f>1+[3]!Salcycl*Ksac</f>
        <v>1.0497645905313977</v>
      </c>
      <c r="BH235" s="1036">
        <f t="shared" si="113"/>
        <v>9.7389808786825711E-4</v>
      </c>
      <c r="BI235" s="11">
        <v>44417</v>
      </c>
      <c r="BJ235" s="715">
        <v>0</v>
      </c>
      <c r="BK235" s="715">
        <v>1.3850223118379783E-5</v>
      </c>
      <c r="BL235" s="715">
        <v>1.4945350587959729E-4</v>
      </c>
      <c r="BM235" s="715">
        <v>5.4649137692772327E-4</v>
      </c>
      <c r="BN235" s="715">
        <v>1.4028247257349778E-3</v>
      </c>
      <c r="BO235" s="716">
        <v>2.8594587600607973E-3</v>
      </c>
      <c r="BP235" s="715">
        <v>5.0683652165580727E-3</v>
      </c>
      <c r="BQ235" s="715">
        <v>8.1715303044373831E-3</v>
      </c>
      <c r="BR235" s="715">
        <v>1.2355147560513187E-2</v>
      </c>
      <c r="BS235" s="715">
        <v>1.777258011577048E-2</v>
      </c>
      <c r="BT235" s="715">
        <v>2.4070130648408086E-2</v>
      </c>
      <c r="BW235" s="1190">
        <f>'2019'!R\Max</f>
        <v>0.88057859109189307</v>
      </c>
      <c r="BX235" s="1190">
        <f>'2020'!R\Max</f>
        <v>0.91129716782412284</v>
      </c>
      <c r="BY235" s="1190">
        <f>'2021'!R\Max</f>
        <v>0.96162279899154957</v>
      </c>
      <c r="BZ235" s="1190">
        <f>'2022'!R\Max</f>
        <v>0.95488157562848097</v>
      </c>
      <c r="CA235" s="1190">
        <f>'2023'!R\Max</f>
        <v>0.95487530189495273</v>
      </c>
      <c r="CB235" s="1190">
        <f>'2024'!R\Max</f>
        <v>0.95486668920875017</v>
      </c>
      <c r="CC235" s="1190">
        <f>'2025'!R\Max</f>
        <v>0.95485787127250077</v>
      </c>
      <c r="CD235" s="1190">
        <f>'2026'!R\Max</f>
        <v>0.95489593382987381</v>
      </c>
      <c r="CE235" s="1191">
        <f>'2027'!R\Max</f>
        <v>0.95489201993836736</v>
      </c>
      <c r="CF235" s="1193">
        <f>'2028'!R\Max</f>
        <v>0.95488788425613758</v>
      </c>
    </row>
    <row r="236" spans="1:84" s="6" customFormat="1" ht="11.25" x14ac:dyDescent="0.2">
      <c r="A236" s="11">
        <v>43322</v>
      </c>
      <c r="B236" s="379">
        <f>'2022'!Maxi_hp</f>
        <v>53.37794367209424</v>
      </c>
      <c r="C236" s="13">
        <f>'2022'!An_max</f>
        <v>2021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58.231707288218402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58.262076093655608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58.214730029340309</v>
      </c>
      <c r="AZ236" s="735">
        <f t="shared" si="115"/>
        <v>58.238403061497962</v>
      </c>
      <c r="BA236" s="633">
        <f t="shared" si="112"/>
        <v>0.91664741011112016</v>
      </c>
      <c r="BC236" s="11">
        <v>43322</v>
      </c>
      <c r="BD236" s="289">
        <f>[3]!FeuilCaduc*(1-Persistant)+Persistant</f>
        <v>0.99729841866402535</v>
      </c>
      <c r="BE236" s="290">
        <f>[3]!CroissVégét</f>
        <v>0.92482186992875737</v>
      </c>
      <c r="BF236" s="804">
        <f>1+[3]!Salcycl*Ksac</f>
        <v>1.0497298418664025</v>
      </c>
      <c r="BH236" s="1036">
        <f t="shared" si="113"/>
        <v>9.9626623211648249E-4</v>
      </c>
      <c r="BI236" s="11">
        <v>44418</v>
      </c>
      <c r="BJ236" s="715">
        <v>0</v>
      </c>
      <c r="BK236" s="715">
        <v>1.4569417607241895E-5</v>
      </c>
      <c r="BL236" s="715">
        <v>1.5382039068546774E-4</v>
      </c>
      <c r="BM236" s="715">
        <v>5.5996718254234081E-4</v>
      </c>
      <c r="BN236" s="715">
        <v>1.4341168312015293E-3</v>
      </c>
      <c r="BO236" s="716">
        <v>2.921077256172197E-3</v>
      </c>
      <c r="BP236" s="715">
        <v>5.1773189209294483E-3</v>
      </c>
      <c r="BQ236" s="715">
        <v>8.3499957608558859E-3</v>
      </c>
      <c r="BR236" s="715">
        <v>1.2627899021413742E-2</v>
      </c>
      <c r="BS236" s="715">
        <v>1.8171744638127256E-2</v>
      </c>
      <c r="BT236" s="715">
        <v>2.4618702219982917E-2</v>
      </c>
      <c r="BW236" s="1190">
        <f>'2019'!R\Max</f>
        <v>0.70897511416100756</v>
      </c>
      <c r="BX236" s="1190">
        <f>'2020'!R\Max</f>
        <v>0.73376533892466589</v>
      </c>
      <c r="BY236" s="1190">
        <f>'2021'!R\Max</f>
        <v>0.91664741011112016</v>
      </c>
      <c r="BZ236" s="1190">
        <f>'2022'!R\Max</f>
        <v>0.90480263552584483</v>
      </c>
      <c r="CA236" s="1190">
        <f>'2023'!R\Max</f>
        <v>0.90478979440544716</v>
      </c>
      <c r="CB236" s="1190">
        <f>'2024'!R\Max</f>
        <v>0.90477213509925047</v>
      </c>
      <c r="CC236" s="1190">
        <f>'2025'!R\Max</f>
        <v>0.90475406980315121</v>
      </c>
      <c r="CD236" s="1190">
        <f>'2026'!R\Max</f>
        <v>0.90483203694806791</v>
      </c>
      <c r="CE236" s="1191">
        <f>'2027'!R\Max</f>
        <v>0.90482402037570342</v>
      </c>
      <c r="CF236" s="1193">
        <f>'2028'!R\Max</f>
        <v>0.90481556032617638</v>
      </c>
    </row>
    <row r="237" spans="1:84" s="6" customFormat="1" ht="11.25" x14ac:dyDescent="0.2">
      <c r="A237" s="11">
        <v>43323</v>
      </c>
      <c r="B237" s="379">
        <f>'2022'!Maxi_hp</f>
        <v>51.914944304147305</v>
      </c>
      <c r="C237" s="13">
        <f>'2022'!An_max</f>
        <v>2021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58.075545772138447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58.104853498563173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58.054072649284663</v>
      </c>
      <c r="AZ237" s="735">
        <f t="shared" si="115"/>
        <v>58.079463073923918</v>
      </c>
      <c r="BA237" s="633">
        <f t="shared" si="112"/>
        <v>0.8939209027468723</v>
      </c>
      <c r="BC237" s="11">
        <v>43323</v>
      </c>
      <c r="BD237" s="289">
        <f>[3]!FeuilCaduc*(1-Persistant)+Persistant</f>
        <v>0.99692708635987759</v>
      </c>
      <c r="BE237" s="290">
        <f>[3]!CroissVégét</f>
        <v>0.92764148214144238</v>
      </c>
      <c r="BF237" s="804">
        <f>1+[3]!Salcycl*Ksac</f>
        <v>1.0496927086359877</v>
      </c>
      <c r="BH237" s="1036">
        <f t="shared" si="113"/>
        <v>1.0186467088589039E-3</v>
      </c>
      <c r="BI237" s="11">
        <v>44419</v>
      </c>
      <c r="BJ237" s="715">
        <v>0</v>
      </c>
      <c r="BK237" s="715">
        <v>1.5196164778579165E-5</v>
      </c>
      <c r="BL237" s="715">
        <v>1.5770424603530909E-4</v>
      </c>
      <c r="BM237" s="715">
        <v>5.7308025288889668E-4</v>
      </c>
      <c r="BN237" s="715">
        <v>1.4657976707257512E-3</v>
      </c>
      <c r="BO237" s="716">
        <v>2.98478806642532E-3</v>
      </c>
      <c r="BP237" s="715">
        <v>5.2908454461765521E-3</v>
      </c>
      <c r="BQ237" s="715">
        <v>8.5368279978993069E-3</v>
      </c>
      <c r="BR237" s="715">
        <v>1.2913700699458691E-2</v>
      </c>
      <c r="BS237" s="715">
        <v>1.8589317408312826E-2</v>
      </c>
      <c r="BT237" s="715">
        <v>2.5191150286376869E-2</v>
      </c>
      <c r="BW237" s="1190">
        <f>'2019'!R\Max</f>
        <v>0.42634308983078789</v>
      </c>
      <c r="BX237" s="1190">
        <f>'2020'!R\Max</f>
        <v>0.6686626386372545</v>
      </c>
      <c r="BY237" s="1190">
        <f>'2021'!R\Max</f>
        <v>0.8939209027468723</v>
      </c>
      <c r="BZ237" s="1190">
        <f>'2022'!R\Max</f>
        <v>0.87736795855840677</v>
      </c>
      <c r="CA237" s="1190">
        <f>'2023'!R\Max</f>
        <v>0.87735152620758916</v>
      </c>
      <c r="CB237" s="1190">
        <f>'2024'!R\Max</f>
        <v>0.87732888797880415</v>
      </c>
      <c r="CC237" s="1190">
        <f>'2025'!R\Max</f>
        <v>0.87730574743774592</v>
      </c>
      <c r="CD237" s="1190">
        <f>'2026'!R\Max</f>
        <v>0.87740559913165039</v>
      </c>
      <c r="CE237" s="1191">
        <f>'2027'!R\Max</f>
        <v>0.8773953335578436</v>
      </c>
      <c r="CF237" s="1193">
        <f>'2028'!R\Max</f>
        <v>0.87738451314285359</v>
      </c>
    </row>
    <row r="238" spans="1:84" s="6" customFormat="1" ht="11.25" x14ac:dyDescent="0.2">
      <c r="A238" s="11">
        <v>43324</v>
      </c>
      <c r="B238" s="379">
        <f>'2022'!Maxi_hp</f>
        <v>51.973251161233648</v>
      </c>
      <c r="C238" s="13">
        <f>'2022'!An_max</f>
        <v>2022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57.916749853747227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57.944264723254108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57.890954664509209</v>
      </c>
      <c r="AZ238" s="735">
        <f t="shared" si="115"/>
        <v>57.917609693881658</v>
      </c>
      <c r="BA238" s="633">
        <f t="shared" si="112"/>
        <v>0.89737858723905872</v>
      </c>
      <c r="BC238" s="11">
        <v>43324</v>
      </c>
      <c r="BD238" s="289">
        <f>[3]!FeuilCaduc*(1-Persistant)+Persistant</f>
        <v>0.99653160324671708</v>
      </c>
      <c r="BE238" s="290">
        <f>[3]!CroissVégét</f>
        <v>0.93036376011657451</v>
      </c>
      <c r="BF238" s="804">
        <f>1+[3]!Salcycl*Ksac</f>
        <v>1.0496531603246717</v>
      </c>
      <c r="BH238" s="1036">
        <f t="shared" si="113"/>
        <v>1.0410398020857163E-3</v>
      </c>
      <c r="BI238" s="11">
        <v>44420</v>
      </c>
      <c r="BJ238" s="715">
        <v>0</v>
      </c>
      <c r="BK238" s="715">
        <v>1.5730486645095098E-5</v>
      </c>
      <c r="BL238" s="715">
        <v>1.6110517908615819E-4</v>
      </c>
      <c r="BM238" s="715">
        <v>5.8583080134068973E-4</v>
      </c>
      <c r="BN238" s="715">
        <v>1.4978675991658599E-3</v>
      </c>
      <c r="BO238" s="716">
        <v>3.050591752585236E-3</v>
      </c>
      <c r="BP238" s="715">
        <v>5.4089457113982156E-3</v>
      </c>
      <c r="BQ238" s="715">
        <v>8.7320284906390409E-3</v>
      </c>
      <c r="BR238" s="715">
        <v>1.3212554869043871E-2</v>
      </c>
      <c r="BS238" s="715">
        <v>1.902530190592196E-2</v>
      </c>
      <c r="BT238" s="715">
        <v>2.5787479853836792E-2</v>
      </c>
      <c r="BW238" s="1190">
        <f>'2019'!R\Max</f>
        <v>0.50024584519396775</v>
      </c>
      <c r="BX238" s="1190">
        <f>'2020'!R\Max</f>
        <v>0.7702484353133191</v>
      </c>
      <c r="BY238" s="1190">
        <f>'2021'!R\Max</f>
        <v>0.85556030502630631</v>
      </c>
      <c r="BZ238" s="1190">
        <f>'2022'!R\Max</f>
        <v>0.89737858723905872</v>
      </c>
      <c r="CA238" s="1190">
        <f>'2023'!R\Max</f>
        <v>0.8973641698221474</v>
      </c>
      <c r="CB238" s="1190">
        <f>'2024'!R\Max</f>
        <v>0.8973442714283163</v>
      </c>
      <c r="CC238" s="1190">
        <f>'2025'!R\Max</f>
        <v>0.89732394647219871</v>
      </c>
      <c r="CD238" s="1190">
        <f>'2026'!R\Max</f>
        <v>0.89741162637937022</v>
      </c>
      <c r="CE238" s="1191">
        <f>'2027'!R\Max</f>
        <v>0.89740261367427521</v>
      </c>
      <c r="CF238" s="1193">
        <f>'2028'!R\Max</f>
        <v>0.89739312460774212</v>
      </c>
    </row>
    <row r="239" spans="1:84" s="6" customFormat="1" ht="11.25" x14ac:dyDescent="0.2">
      <c r="A239" s="11">
        <v>43325</v>
      </c>
      <c r="B239" s="379">
        <f>'2022'!Maxi_hp</f>
        <v>49.870847104426645</v>
      </c>
      <c r="C239" s="13">
        <f>'2022'!An_max</f>
        <v>2018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57.755099999532106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57.780200000200423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57.725293750222775</v>
      </c>
      <c r="AZ239" s="735">
        <f t="shared" si="115"/>
        <v>57.752746875211599</v>
      </c>
      <c r="BA239" s="633">
        <f t="shared" si="112"/>
        <v>0.8634881959312799</v>
      </c>
      <c r="BC239" s="11">
        <v>43325</v>
      </c>
      <c r="BD239" s="289">
        <f>[3]!FeuilCaduc*(1-Persistant)+Persistant</f>
        <v>0.99611152149321724</v>
      </c>
      <c r="BE239" s="290">
        <f>[3]!CroissVégét</f>
        <v>0.93299147677206173</v>
      </c>
      <c r="BF239" s="804">
        <f>1+[3]!Salcycl*Ksac</f>
        <v>1.0496111521493217</v>
      </c>
      <c r="BH239" s="1036">
        <f t="shared" si="113"/>
        <v>1.0634457681840193E-3</v>
      </c>
      <c r="BI239" s="11">
        <v>44421</v>
      </c>
      <c r="BJ239" s="715">
        <v>0</v>
      </c>
      <c r="BK239" s="715">
        <v>1.6172399649831587E-5</v>
      </c>
      <c r="BL239" s="715">
        <v>1.6402326709942831E-4</v>
      </c>
      <c r="BM239" s="715">
        <v>5.9821900595876244E-4</v>
      </c>
      <c r="BN239" s="715">
        <v>1.5303269515135514E-3</v>
      </c>
      <c r="BO239" s="716">
        <v>3.1184889042884349E-3</v>
      </c>
      <c r="BP239" s="715">
        <v>5.531620729088923E-3</v>
      </c>
      <c r="BQ239" s="715">
        <v>8.9355989114830604E-3</v>
      </c>
      <c r="BR239" s="715">
        <v>1.352446411952163E-2</v>
      </c>
      <c r="BS239" s="715">
        <v>1.9479702036754615E-2</v>
      </c>
      <c r="BT239" s="715">
        <v>2.6407696442678416E-2</v>
      </c>
      <c r="BW239" s="1190">
        <f>'2019'!R\Max</f>
        <v>0.8634881959312799</v>
      </c>
      <c r="BX239" s="1190">
        <f>'2020'!R\Max</f>
        <v>0.52488168765240806</v>
      </c>
      <c r="BY239" s="1190">
        <f>'2021'!R\Max</f>
        <v>0.57236649089013025</v>
      </c>
      <c r="BZ239" s="1190">
        <f>'2022'!R\Max</f>
        <v>0.67725324066685277</v>
      </c>
      <c r="CA239" s="1190">
        <f>'2023'!R\Max</f>
        <v>0.67721814309171413</v>
      </c>
      <c r="CB239" s="1190">
        <f>'2024'!R\Max</f>
        <v>0.6771696185046161</v>
      </c>
      <c r="CC239" s="1190">
        <f>'2025'!R\Max</f>
        <v>0.67712009412742069</v>
      </c>
      <c r="CD239" s="1190">
        <f>'2026'!R\Max</f>
        <v>0.67733371582007362</v>
      </c>
      <c r="CE239" s="1191">
        <f>'2027'!R\Max</f>
        <v>0.67731175673962152</v>
      </c>
      <c r="CF239" s="1193">
        <f>'2028'!R\Max</f>
        <v>0.67728866300834301</v>
      </c>
    </row>
    <row r="240" spans="1:84" s="6" customFormat="1" ht="11.25" x14ac:dyDescent="0.2">
      <c r="A240" s="11">
        <v>43326</v>
      </c>
      <c r="B240" s="379">
        <f>'2022'!Maxi_hp</f>
        <v>56.99494858795164</v>
      </c>
      <c r="C240" s="13">
        <f>'2022'!An_max</f>
        <v>2018</v>
      </c>
      <c r="D240" s="1045">
        <f t="shared" si="97"/>
        <v>0.98966097943922959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57.590376676512619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57.612549562885292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57.557007580356938</v>
      </c>
      <c r="AZ240" s="735">
        <f t="shared" si="115"/>
        <v>57.584778571621115</v>
      </c>
      <c r="BA240" s="633">
        <f t="shared" si="112"/>
        <v>0.98966097943922959</v>
      </c>
      <c r="BC240" s="11">
        <v>43326</v>
      </c>
      <c r="BD240" s="289">
        <f>[3]!FeuilCaduc*(1-Persistant)+Persistant</f>
        <v>0.99566626251208401</v>
      </c>
      <c r="BE240" s="290">
        <f>[3]!CroissVégét</f>
        <v>0.93552736989395957</v>
      </c>
      <c r="BF240" s="804">
        <f>1+[3]!Salcycl*Ksac</f>
        <v>1.0495666262512084</v>
      </c>
      <c r="BH240" s="1036">
        <f t="shared" si="113"/>
        <v>1.0874560204986541E-3</v>
      </c>
      <c r="BI240" s="11">
        <v>44422</v>
      </c>
      <c r="BJ240" s="715">
        <v>0</v>
      </c>
      <c r="BK240" s="715">
        <v>1.6635263037967935E-5</v>
      </c>
      <c r="BL240" s="715">
        <v>1.6707711165181219E-4</v>
      </c>
      <c r="BM240" s="715">
        <v>6.1151050873295431E-4</v>
      </c>
      <c r="BN240" s="715">
        <v>1.5650940709639419E-3</v>
      </c>
      <c r="BO240" s="716">
        <v>3.1910815898397887E-3</v>
      </c>
      <c r="BP240" s="715">
        <v>5.6621899848902845E-3</v>
      </c>
      <c r="BQ240" s="715">
        <v>9.1519688828038161E-3</v>
      </c>
      <c r="BR240" s="715">
        <v>1.3855495691551693E-2</v>
      </c>
      <c r="BS240" s="715">
        <v>1.9961361360668329E-2</v>
      </c>
      <c r="BT240" s="715">
        <v>2.706422238374482E-2</v>
      </c>
      <c r="BW240" s="1190">
        <f>'2019'!R\Max</f>
        <v>0.98966097943922959</v>
      </c>
      <c r="BX240" s="1190">
        <f>'2020'!R\Max</f>
        <v>0.3117013374006074</v>
      </c>
      <c r="BY240" s="1190">
        <f>'2021'!R\Max</f>
        <v>0.88302073497252986</v>
      </c>
      <c r="BZ240" s="1190">
        <f>'2022'!R\Max</f>
        <v>0.64475393178444385</v>
      </c>
      <c r="CA240" s="1190">
        <f>'2023'!R\Max</f>
        <v>0.64471617936575298</v>
      </c>
      <c r="CB240" s="1190">
        <f>'2024'!R\Max</f>
        <v>0.64466388810046338</v>
      </c>
      <c r="CC240" s="1190">
        <f>'2025'!R\Max</f>
        <v>0.64461055721164451</v>
      </c>
      <c r="CD240" s="1190">
        <f>'2026'!R\Max</f>
        <v>0.64484054229658039</v>
      </c>
      <c r="CE240" s="1191">
        <f>'2027'!R\Max</f>
        <v>0.6448169018298886</v>
      </c>
      <c r="CF240" s="1193">
        <f>'2028'!R\Max</f>
        <v>0.64479206595876815</v>
      </c>
    </row>
    <row r="241" spans="1:84" s="6" customFormat="1" ht="11.25" x14ac:dyDescent="0.2">
      <c r="A241" s="11">
        <v>43327</v>
      </c>
      <c r="B241" s="379">
        <f>'2022'!Maxi_hp</f>
        <v>50.673625731633024</v>
      </c>
      <c r="C241" s="13">
        <f>'2022'!An_max</f>
        <v>2020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57.422360349845675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57.441203644539101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57.386013830200376</v>
      </c>
      <c r="AZ241" s="735">
        <f t="shared" si="115"/>
        <v>57.413608737369742</v>
      </c>
      <c r="BA241" s="633">
        <f t="shared" si="112"/>
        <v>0.88247200956045702</v>
      </c>
      <c r="BC241" s="11">
        <v>43327</v>
      </c>
      <c r="BD241" s="289">
        <f>[3]!FeuilCaduc*(1-Persistant)+Persistant</f>
        <v>0.99519512845250613</v>
      </c>
      <c r="BE241" s="290">
        <f>[3]!CroissVégét</f>
        <v>0.93797413894004</v>
      </c>
      <c r="BF241" s="804">
        <f>1+[3]!Salcycl*Ksac</f>
        <v>1.0495195128452506</v>
      </c>
      <c r="BH241" s="1036">
        <f t="shared" si="113"/>
        <v>1.1127367238352405E-3</v>
      </c>
      <c r="BI241" s="11">
        <v>44423</v>
      </c>
      <c r="BJ241" s="715">
        <v>0</v>
      </c>
      <c r="BK241" s="715">
        <v>1.7158544299765796E-5</v>
      </c>
      <c r="BL241" s="715">
        <v>1.7040643840917594E-4</v>
      </c>
      <c r="BM241" s="715">
        <v>6.2563201500208962E-4</v>
      </c>
      <c r="BN241" s="715">
        <v>1.6015736552654552E-3</v>
      </c>
      <c r="BO241" s="716">
        <v>3.2668731273962329E-3</v>
      </c>
      <c r="BP241" s="715">
        <v>5.797926600097556E-3</v>
      </c>
      <c r="BQ241" s="715">
        <v>9.3765812891230278E-3</v>
      </c>
      <c r="BR241" s="715">
        <v>1.4199035622518572E-2</v>
      </c>
      <c r="BS241" s="715">
        <v>2.0461513516775262E-2</v>
      </c>
      <c r="BT241" s="715">
        <v>2.7746270830652786E-2</v>
      </c>
      <c r="BW241" s="1190">
        <f>'2019'!R\Max</f>
        <v>0.50703694450668646</v>
      </c>
      <c r="BX241" s="1190">
        <f>'2020'!R\Max</f>
        <v>0.88247200956045702</v>
      </c>
      <c r="BY241" s="1190">
        <f>'2021'!R\Max</f>
        <v>0.40036793388716024</v>
      </c>
      <c r="BZ241" s="1190">
        <f>'2022'!R\Max</f>
        <v>0.73262928313079001</v>
      </c>
      <c r="CA241" s="1190">
        <f>'2023'!R\Max</f>
        <v>0.73259613174633598</v>
      </c>
      <c r="CB241" s="1190">
        <f>'2024'!R\Max</f>
        <v>0.73255012642493789</v>
      </c>
      <c r="CC241" s="1190">
        <f>'2025'!R\Max</f>
        <v>0.73250323588996502</v>
      </c>
      <c r="CD241" s="1190">
        <f>'2026'!R\Max</f>
        <v>0.73270537916132272</v>
      </c>
      <c r="CE241" s="1191">
        <f>'2027'!R\Max</f>
        <v>0.73268460216228237</v>
      </c>
      <c r="CF241" s="1193">
        <f>'2028'!R\Max</f>
        <v>0.73266279617971175</v>
      </c>
    </row>
    <row r="242" spans="1:84" s="6" customFormat="1" ht="11.25" x14ac:dyDescent="0.2">
      <c r="A242" s="11">
        <v>43328</v>
      </c>
      <c r="B242" s="379">
        <f>'2022'!Maxi_hp</f>
        <v>55.891220971481495</v>
      </c>
      <c r="C242" s="13">
        <f>'2022'!An_max</f>
        <v>2018</v>
      </c>
      <c r="D242" s="1045">
        <f t="shared" si="97"/>
        <v>0.97625168962570441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57.250831486816921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57.266052478338999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57.212230175121547</v>
      </c>
      <c r="AZ242" s="735">
        <f t="shared" si="115"/>
        <v>57.239141326730277</v>
      </c>
      <c r="BA242" s="633">
        <f t="shared" si="112"/>
        <v>0.97625168962570441</v>
      </c>
      <c r="BC242" s="11">
        <v>43328</v>
      </c>
      <c r="BD242" s="289">
        <f>[3]!FeuilCaduc*(1-Persistant)+Persistant</f>
        <v>0.99469731312465792</v>
      </c>
      <c r="BE242" s="290">
        <f>[3]!CroissVégét</f>
        <v>0.94033444219607754</v>
      </c>
      <c r="BF242" s="804">
        <f>1+[3]!Salcycl*Ksac</f>
        <v>1.0494697313124659</v>
      </c>
      <c r="BH242" s="1036">
        <f t="shared" si="113"/>
        <v>1.1392881060450725E-3</v>
      </c>
      <c r="BI242" s="11">
        <v>44424</v>
      </c>
      <c r="BJ242" s="715">
        <v>0</v>
      </c>
      <c r="BK242" s="715">
        <v>1.7742249704688632E-5</v>
      </c>
      <c r="BL242" s="715">
        <v>1.7401126910153694E-4</v>
      </c>
      <c r="BM242" s="715">
        <v>6.4058364981793244E-4</v>
      </c>
      <c r="BN242" s="715">
        <v>1.6397660354344867E-3</v>
      </c>
      <c r="BO242" s="716">
        <v>3.3458642263878937E-3</v>
      </c>
      <c r="BP242" s="715">
        <v>5.9388318661168131E-3</v>
      </c>
      <c r="BQ242" s="715">
        <v>9.609438337492027E-3</v>
      </c>
      <c r="BR242" s="715">
        <v>1.4555087333040275E-2</v>
      </c>
      <c r="BS242" s="715">
        <v>2.0980163548247027E-2</v>
      </c>
      <c r="BT242" s="715">
        <v>2.8453848706956213E-2</v>
      </c>
      <c r="BW242" s="1190">
        <f>'2019'!R\Max</f>
        <v>0.97625168962570441</v>
      </c>
      <c r="BX242" s="1190">
        <f>'2020'!R\Max</f>
        <v>0.85029859247472128</v>
      </c>
      <c r="BY242" s="1190">
        <f>'2021'!R\Max</f>
        <v>0.58013323827917906</v>
      </c>
      <c r="BZ242" s="1190">
        <f>'2022'!R\Max</f>
        <v>0.67971158635968232</v>
      </c>
      <c r="CA242" s="1190">
        <f>'2023'!R\Max</f>
        <v>0.67967374678852044</v>
      </c>
      <c r="CB242" s="1190">
        <f>'2024'!R\Max</f>
        <v>0.67962113900200916</v>
      </c>
      <c r="CC242" s="1190">
        <f>'2025'!R\Max</f>
        <v>0.67956755490637422</v>
      </c>
      <c r="CD242" s="1190">
        <f>'2026'!R\Max</f>
        <v>0.67979850141774389</v>
      </c>
      <c r="CE242" s="1191">
        <f>'2027'!R\Max</f>
        <v>0.67977476124185221</v>
      </c>
      <c r="CF242" s="1193">
        <f>'2028'!R\Max</f>
        <v>0.67974986994143793</v>
      </c>
    </row>
    <row r="243" spans="1:84" s="6" customFormat="1" ht="11.25" x14ac:dyDescent="0.2">
      <c r="A243" s="11">
        <v>43329</v>
      </c>
      <c r="B243" s="379">
        <f>'2022'!Maxi_hp</f>
        <v>54.973908818601828</v>
      </c>
      <c r="C243" s="13">
        <f>'2022'!An_max</f>
        <v>2018</v>
      </c>
      <c r="D243" s="1045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57.075570553966926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57.0869862976351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57.035574289278273</v>
      </c>
      <c r="AZ243" s="735">
        <f t="shared" si="115"/>
        <v>57.06128029345669</v>
      </c>
      <c r="BA243" s="633">
        <f t="shared" si="112"/>
        <v>0.96317756064518167</v>
      </c>
      <c r="BC243" s="11">
        <v>43329</v>
      </c>
      <c r="BD243" s="289">
        <f>[3]!FeuilCaduc*(1-Persistant)+Persistant</f>
        <v>0.99417191222901158</v>
      </c>
      <c r="BE243" s="290">
        <f>[3]!CroissVégét</f>
        <v>0.94261089426578282</v>
      </c>
      <c r="BF243" s="804">
        <f>1+[3]!Salcycl*Ksac</f>
        <v>1.0494171912229011</v>
      </c>
      <c r="BH243" s="1036">
        <f t="shared" si="113"/>
        <v>1.1671104194868798E-3</v>
      </c>
      <c r="BI243" s="11">
        <v>44425</v>
      </c>
      <c r="BJ243" s="715">
        <v>0</v>
      </c>
      <c r="BK243" s="715">
        <v>1.8386387543485048E-5</v>
      </c>
      <c r="BL243" s="715">
        <v>1.7789163347156316E-4</v>
      </c>
      <c r="BM243" s="715">
        <v>6.5636555725320431E-4</v>
      </c>
      <c r="BN243" s="715">
        <v>1.679671572500857E-3</v>
      </c>
      <c r="BO243" s="716">
        <v>3.4280556427129295E-3</v>
      </c>
      <c r="BP243" s="715">
        <v>6.0849071327098948E-3</v>
      </c>
      <c r="BQ243" s="715">
        <v>9.8505423179386428E-3</v>
      </c>
      <c r="BR243" s="715">
        <v>1.4923654366339764E-2</v>
      </c>
      <c r="BS243" s="715">
        <v>2.151731668932989E-2</v>
      </c>
      <c r="BT243" s="715">
        <v>2.9186963210306199E-2</v>
      </c>
      <c r="BW243" s="1190">
        <f>'2019'!R\Max</f>
        <v>0.96317756064518167</v>
      </c>
      <c r="BX243" s="1190">
        <f>'2020'!R\Max</f>
        <v>0.34639156358177448</v>
      </c>
      <c r="BY243" s="1190">
        <f>'2021'!R\Max</f>
        <v>0.77640811405382093</v>
      </c>
      <c r="BZ243" s="1190">
        <f>'2022'!R\Max</f>
        <v>0.54703455156321312</v>
      </c>
      <c r="CA243" s="1190">
        <f>'2023'!R\Max</f>
        <v>0.54699031054242908</v>
      </c>
      <c r="CB243" s="1190">
        <f>'2024'!R\Max</f>
        <v>0.54692869227696417</v>
      </c>
      <c r="CC243" s="1190">
        <f>'2025'!R\Max</f>
        <v>0.54686597375664325</v>
      </c>
      <c r="CD243" s="1190">
        <f>'2026'!R\Max</f>
        <v>0.54713624705969965</v>
      </c>
      <c r="CE243" s="1191">
        <f>'2027'!R\Max</f>
        <v>0.54710845736852987</v>
      </c>
      <c r="CF243" s="1193">
        <f>'2028'!R\Max</f>
        <v>0.54707934858070062</v>
      </c>
    </row>
    <row r="244" spans="1:84" s="6" customFormat="1" ht="11.25" x14ac:dyDescent="0.2">
      <c r="A244" s="11">
        <v>43330</v>
      </c>
      <c r="B244" s="379">
        <f>'2022'!Maxi_hp</f>
        <v>54.287330596628593</v>
      </c>
      <c r="C244" s="13">
        <f>'2022'!An_max</f>
        <v>2021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56.896358016718715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56.903895335218728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56.855963847892625</v>
      </c>
      <c r="AZ244" s="735">
        <f t="shared" si="115"/>
        <v>56.87992959155568</v>
      </c>
      <c r="BA244" s="633">
        <f t="shared" si="112"/>
        <v>0.95414421043745068</v>
      </c>
      <c r="BC244" s="11">
        <v>43330</v>
      </c>
      <c r="BD244" s="289">
        <f>[3]!FeuilCaduc*(1-Persistant)+Persistant</f>
        <v>0.99361793277727073</v>
      </c>
      <c r="BE244" s="290">
        <f>[3]!CroissVégét</f>
        <v>0.94480606387541</v>
      </c>
      <c r="BF244" s="804">
        <f>1+[3]!Salcycl*Ksac</f>
        <v>1.0493617932777271</v>
      </c>
      <c r="BH244" s="1036">
        <f t="shared" si="113"/>
        <v>1.1962039370904574E-3</v>
      </c>
      <c r="BI244" s="11">
        <v>44426</v>
      </c>
      <c r="BJ244" s="715">
        <v>0</v>
      </c>
      <c r="BK244" s="715">
        <v>1.9090967940580876E-5</v>
      </c>
      <c r="BL244" s="715">
        <v>1.820475684202637E-4</v>
      </c>
      <c r="BM244" s="715">
        <v>6.7297789782876907E-4</v>
      </c>
      <c r="BN244" s="715">
        <v>1.7212906522030367E-3</v>
      </c>
      <c r="BO244" s="716">
        <v>3.5134481688312864E-3</v>
      </c>
      <c r="BP244" s="715">
        <v>6.2361537919977368E-3</v>
      </c>
      <c r="BQ244" s="715">
        <v>1.0099895577952092E-2</v>
      </c>
      <c r="BR244" s="715">
        <v>1.5304740349523713E-2</v>
      </c>
      <c r="BS244" s="715">
        <v>2.2072978308091625E-2</v>
      </c>
      <c r="BT244" s="715">
        <v>2.9945621733428612E-2</v>
      </c>
      <c r="BW244" s="1190">
        <f>'2019'!R\Max</f>
        <v>0.66894982507945588</v>
      </c>
      <c r="BX244" s="1190">
        <f>'2020'!R\Max</f>
        <v>0.7888548464068329</v>
      </c>
      <c r="BY244" s="1190">
        <f>'2021'!R\Max</f>
        <v>0.95414421043745068</v>
      </c>
      <c r="BZ244" s="1190">
        <f>'2022'!R\Max</f>
        <v>0.69636177494572682</v>
      </c>
      <c r="CA244" s="1190">
        <f>'2023'!R\Max</f>
        <v>0.69632298594807629</v>
      </c>
      <c r="CB244" s="1190">
        <f>'2024'!R\Max</f>
        <v>0.69626885784405323</v>
      </c>
      <c r="CC244" s="1190">
        <f>'2025'!R\Max</f>
        <v>0.69621379222514812</v>
      </c>
      <c r="CD244" s="1190">
        <f>'2026'!R\Max</f>
        <v>0.69645099386433518</v>
      </c>
      <c r="CE244" s="1191">
        <f>'2027'!R\Max</f>
        <v>0.69642660404767065</v>
      </c>
      <c r="CF244" s="1193">
        <f>'2028'!R\Max</f>
        <v>0.69640107893551495</v>
      </c>
    </row>
    <row r="245" spans="1:84" s="6" customFormat="1" ht="11.25" x14ac:dyDescent="0.2">
      <c r="A245" s="11">
        <v>43331</v>
      </c>
      <c r="B245" s="379">
        <f>'2022'!Maxi_hp</f>
        <v>46.197672752985881</v>
      </c>
      <c r="C245" s="13">
        <f>'2022'!An_max</f>
        <v>2021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56.712974343688359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56.716669825052051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56.673316526692361</v>
      </c>
      <c r="AZ245" s="735">
        <f t="shared" si="115"/>
        <v>56.694993175872206</v>
      </c>
      <c r="BA245" s="633">
        <f t="shared" si="112"/>
        <v>0.81458737242419488</v>
      </c>
      <c r="BC245" s="11">
        <v>43331</v>
      </c>
      <c r="BD245" s="289">
        <f>[3]!FeuilCaduc*(1-Persistant)+Persistant</f>
        <v>0.99303430160705308</v>
      </c>
      <c r="BE245" s="290">
        <f>[3]!CroissVégét</f>
        <v>0.94692247197428869</v>
      </c>
      <c r="BF245" s="804">
        <f>1+[3]!Salcycl*Ksac</f>
        <v>1.0493034301607054</v>
      </c>
      <c r="BH245" s="1036">
        <f t="shared" si="113"/>
        <v>1.2265689484378469E-3</v>
      </c>
      <c r="BI245" s="11">
        <v>44427</v>
      </c>
      <c r="BJ245" s="715">
        <v>0</v>
      </c>
      <c r="BK245" s="715">
        <v>1.9856002666740009E-5</v>
      </c>
      <c r="BL245" s="715">
        <v>1.8647911715536855E-4</v>
      </c>
      <c r="BM245" s="715">
        <v>6.9042084595068848E-4</v>
      </c>
      <c r="BN245" s="715">
        <v>1.7646236797086313E-3</v>
      </c>
      <c r="BO245" s="716">
        <v>3.6020426239099777E-3</v>
      </c>
      <c r="BP245" s="715">
        <v>6.3925732625552184E-3</v>
      </c>
      <c r="BQ245" s="715">
        <v>1.0357500497115783E-2</v>
      </c>
      <c r="BR245" s="715">
        <v>1.5698348955085366E-2</v>
      </c>
      <c r="BS245" s="715">
        <v>2.2647153849491227E-2</v>
      </c>
      <c r="BT245" s="715">
        <v>3.0729831785539265E-2</v>
      </c>
      <c r="BW245" s="1190">
        <f>'2019'!R\Max</f>
        <v>0.62803582322084772</v>
      </c>
      <c r="BX245" s="1190">
        <f>'2020'!R\Max</f>
        <v>0.77810436738945743</v>
      </c>
      <c r="BY245" s="1190">
        <f>'2021'!R\Max</f>
        <v>0.81458737242419488</v>
      </c>
      <c r="BZ245" s="1190">
        <f>'2022'!R\Max</f>
        <v>0.79591049951766224</v>
      </c>
      <c r="CA245" s="1190">
        <f>'2023'!R\Max</f>
        <v>0.7958798766047589</v>
      </c>
      <c r="CB245" s="1190">
        <f>'2024'!R\Max</f>
        <v>0.79583706334955517</v>
      </c>
      <c r="CC245" s="1190">
        <f>'2025'!R\Max</f>
        <v>0.79579353153369503</v>
      </c>
      <c r="CD245" s="1190">
        <f>'2026'!R\Max</f>
        <v>0.79598098383977212</v>
      </c>
      <c r="CE245" s="1191">
        <f>'2027'!R\Max</f>
        <v>0.79596170720206716</v>
      </c>
      <c r="CF245" s="1193">
        <f>'2028'!R\Max</f>
        <v>0.79594155055972982</v>
      </c>
    </row>
    <row r="246" spans="1:84" s="6" customFormat="1" ht="11.25" x14ac:dyDescent="0.2">
      <c r="A246" s="11">
        <v>43332</v>
      </c>
      <c r="B246" s="379">
        <f>'2022'!Maxi_hp</f>
        <v>54.217324757132701</v>
      </c>
      <c r="C246" s="13">
        <f>'2022'!An_max</f>
        <v>2022</v>
      </c>
      <c r="D246" s="1045" t="str">
        <f t="shared" si="97"/>
        <v/>
      </c>
      <c r="E246" s="1040">
        <f>AD$13/10</f>
        <v>56.525199999999998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56.525199998915198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56.525199999660252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56.487549999915061</v>
      </c>
      <c r="AZ246" s="735">
        <f t="shared" si="115"/>
        <v>56.506374999787653</v>
      </c>
      <c r="BA246" s="633">
        <f t="shared" si="112"/>
        <v>0.95917086110572292</v>
      </c>
      <c r="BC246" s="11">
        <v>43332</v>
      </c>
      <c r="BD246" s="289">
        <f>[3]!FeuilCaduc*(1-Persistant)+Persistant</f>
        <v>0.9924198729088658</v>
      </c>
      <c r="BE246" s="290">
        <f>[3]!CroissVégét</f>
        <v>0.94896259011285922</v>
      </c>
      <c r="BF246" s="804">
        <f>1+[3]!Salcycl*Ksac</f>
        <v>1.0492419872908867</v>
      </c>
      <c r="BH246" s="1036">
        <f t="shared" si="113"/>
        <v>1.2582057558495163E-3</v>
      </c>
      <c r="BI246" s="11">
        <v>44428</v>
      </c>
      <c r="BJ246" s="715">
        <v>0</v>
      </c>
      <c r="BK246" s="715">
        <v>2.0681504951812125E-5</v>
      </c>
      <c r="BL246" s="715">
        <v>1.9118632834045726E-4</v>
      </c>
      <c r="BM246" s="715">
        <v>7.0869458735009364E-4</v>
      </c>
      <c r="BN246" s="715">
        <v>1.8096710743420558E-3</v>
      </c>
      <c r="BO246" s="716">
        <v>3.693839843983077E-3</v>
      </c>
      <c r="BP246" s="715">
        <v>6.5541669735320893E-3</v>
      </c>
      <c r="BQ246" s="715">
        <v>1.0623359461782547E-2</v>
      </c>
      <c r="BR246" s="715">
        <v>1.6104483862471635E-2</v>
      </c>
      <c r="BS246" s="715">
        <v>2.3239848778541437E-2</v>
      </c>
      <c r="BT246" s="715">
        <v>3.153960091388535E-2</v>
      </c>
      <c r="BW246" s="1190">
        <f>'2019'!R\Max</f>
        <v>0.56679603558162928</v>
      </c>
      <c r="BX246" s="1190">
        <f>'2020'!R\Max</f>
        <v>0.95795512919223502</v>
      </c>
      <c r="BY246" s="1190">
        <f>'2021'!R\Max</f>
        <v>0.94971412621633855</v>
      </c>
      <c r="BZ246" s="1190">
        <f>'2022'!R\Max</f>
        <v>0.95917086110572292</v>
      </c>
      <c r="CA246" s="1190">
        <f>'2023'!R\Max</f>
        <v>0.9591632727865006</v>
      </c>
      <c r="CB246" s="1190">
        <f>'2024'!R\Max</f>
        <v>0.95915264351763385</v>
      </c>
      <c r="CC246" s="1190">
        <f>'2025'!R\Max</f>
        <v>0.95914184092655841</v>
      </c>
      <c r="CD246" s="1190">
        <f>'2026'!R\Max</f>
        <v>0.95918833874899601</v>
      </c>
      <c r="CE246" s="1191">
        <f>'2027'!R\Max</f>
        <v>0.95918355674657141</v>
      </c>
      <c r="CF246" s="1193">
        <f>'2028'!R\Max</f>
        <v>0.95917856048592198</v>
      </c>
    </row>
    <row r="247" spans="1:84" s="6" customFormat="1" ht="11.25" x14ac:dyDescent="0.2">
      <c r="A247" s="11">
        <v>43333</v>
      </c>
      <c r="B247" s="379">
        <f>'2022'!Maxi_hp</f>
        <v>54.553633144965026</v>
      </c>
      <c r="C247" s="13">
        <f>'2022'!An_max</f>
        <v>2020</v>
      </c>
      <c r="D247" s="1045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56.333364284836819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56.329968376537522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56.298581942436954</v>
      </c>
      <c r="AZ247" s="735">
        <f t="shared" si="115"/>
        <v>56.314275159487238</v>
      </c>
      <c r="BA247" s="633">
        <f t="shared" si="112"/>
        <v>0.96840715688711598</v>
      </c>
      <c r="BC247" s="11">
        <v>43333</v>
      </c>
      <c r="BD247" s="289">
        <f>[3]!FeuilCaduc*(1-Persistant)+Persistant</f>
        <v>0.99177343470123258</v>
      </c>
      <c r="BE247" s="290">
        <f>[3]!CroissVégét</f>
        <v>0.95092883908018766</v>
      </c>
      <c r="BF247" s="804">
        <f>1+[3]!Salcycl*Ksac</f>
        <v>1.0491773434701233</v>
      </c>
      <c r="BH247" s="1036">
        <f t="shared" si="113"/>
        <v>1.2911146704443724E-3</v>
      </c>
      <c r="BI247" s="11">
        <v>44429</v>
      </c>
      <c r="BJ247" s="715">
        <v>0</v>
      </c>
      <c r="BK247" s="715">
        <v>2.1567489297058317E-5</v>
      </c>
      <c r="BL247" s="715">
        <v>1.9616925524010973E-4</v>
      </c>
      <c r="BM247" s="715">
        <v>7.2779931650832769E-4</v>
      </c>
      <c r="BN247" s="715">
        <v>1.8564332642745632E-3</v>
      </c>
      <c r="BO247" s="716">
        <v>3.7888406720348322E-3</v>
      </c>
      <c r="BP247" s="715">
        <v>6.7209363486374898E-3</v>
      </c>
      <c r="BQ247" s="715">
        <v>1.0897474839528827E-2</v>
      </c>
      <c r="BR247" s="715">
        <v>1.6523148719315317E-2</v>
      </c>
      <c r="BS247" s="715">
        <v>2.3851068522988253E-2</v>
      </c>
      <c r="BT247" s="715">
        <v>3.2374936624631388E-2</v>
      </c>
      <c r="BW247" s="1190">
        <f>'2019'!R\Max</f>
        <v>0.89950672550704802</v>
      </c>
      <c r="BX247" s="1190">
        <f>'2020'!R\Max</f>
        <v>0.96840715688711598</v>
      </c>
      <c r="BY247" s="1190">
        <f>'2021'!R\Max</f>
        <v>0.90254050849320644</v>
      </c>
      <c r="BZ247" s="1190">
        <f>'2022'!R\Max</f>
        <v>0.65009068174939355</v>
      </c>
      <c r="CA247" s="1190">
        <f>'2023'!R\Max</f>
        <v>0.65004537716916411</v>
      </c>
      <c r="CB247" s="1190">
        <f>'2024'!R\Max</f>
        <v>0.64998181141522937</v>
      </c>
      <c r="CC247" s="1190">
        <f>'2025'!R\Max</f>
        <v>0.64991725507578946</v>
      </c>
      <c r="CD247" s="1190">
        <f>'2026'!R\Max</f>
        <v>0.65019513316913491</v>
      </c>
      <c r="CE247" s="1191">
        <f>'2027'!R\Max</f>
        <v>0.65016653711362959</v>
      </c>
      <c r="CF247" s="1193">
        <f>'2028'!R\Max</f>
        <v>0.65013668666272328</v>
      </c>
    </row>
    <row r="248" spans="1:84" s="6" customFormat="1" ht="11.25" x14ac:dyDescent="0.2">
      <c r="A248" s="11">
        <v>43334</v>
      </c>
      <c r="B248" s="379">
        <f>'2022'!Maxi_hp</f>
        <v>56.59830554422004</v>
      </c>
      <c r="C248" s="13">
        <f>'2022'!An_max</f>
        <v>2018</v>
      </c>
      <c r="D248" s="1045">
        <f t="shared" si="97"/>
        <v>1.0082005621178334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56.13794285665665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56.131521501232463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56.106330029081015</v>
      </c>
      <c r="AZ248" s="735">
        <f t="shared" si="115"/>
        <v>56.118925765156739</v>
      </c>
      <c r="BA248" s="633">
        <f t="shared" si="112"/>
        <v>1.0082005621178334</v>
      </c>
      <c r="BC248" s="11">
        <v>43334</v>
      </c>
      <c r="BD248" s="289">
        <f>[3]!FeuilCaduc*(1-Persistant)+Persistant</f>
        <v>0.99109371420784087</v>
      </c>
      <c r="BE248" s="290">
        <f>[3]!CroissVégét</f>
        <v>0.95282358778342446</v>
      </c>
      <c r="BF248" s="804">
        <f>1+[3]!Salcycl*Ksac</f>
        <v>1.049109371420784</v>
      </c>
      <c r="BH248" s="1036">
        <f t="shared" si="113"/>
        <v>1.326350478761764E-3</v>
      </c>
      <c r="BI248" s="11">
        <v>44430</v>
      </c>
      <c r="BJ248" s="715">
        <v>0</v>
      </c>
      <c r="BK248" s="715">
        <v>2.2700767329693759E-5</v>
      </c>
      <c r="BL248" s="715">
        <v>2.0202362482747951E-4</v>
      </c>
      <c r="BM248" s="715">
        <v>7.4863930641582116E-4</v>
      </c>
      <c r="BN248" s="715">
        <v>1.9061160848447792E-3</v>
      </c>
      <c r="BO248" s="716">
        <v>3.8883304604454866E-3</v>
      </c>
      <c r="BP248" s="715">
        <v>6.8948989898144249E-3</v>
      </c>
      <c r="BQ248" s="715">
        <v>1.1182909531463331E-2</v>
      </c>
      <c r="BR248" s="715">
        <v>1.6959597102454042E-2</v>
      </c>
      <c r="BS248" s="715">
        <v>2.4489195947094113E-2</v>
      </c>
      <c r="BT248" s="715">
        <v>3.3248349166792049E-2</v>
      </c>
      <c r="BW248" s="1190">
        <f>'2019'!R\Max</f>
        <v>1.0082005621178334</v>
      </c>
      <c r="BX248" s="1190">
        <f>'2020'!R\Max</f>
        <v>0.87498786457150635</v>
      </c>
      <c r="BY248" s="1190">
        <f>'2021'!R\Max</f>
        <v>0.38363363954846474</v>
      </c>
      <c r="BZ248" s="1190">
        <f>'2022'!R\Max</f>
        <v>0.51993108267085375</v>
      </c>
      <c r="CA248" s="1190">
        <f>'2023'!R\Max</f>
        <v>0.51987996648884682</v>
      </c>
      <c r="CB248" s="1190">
        <f>'2024'!R\Max</f>
        <v>0.51980812256943421</v>
      </c>
      <c r="CC248" s="1190">
        <f>'2025'!R\Max</f>
        <v>0.51973520274090534</v>
      </c>
      <c r="CD248" s="1190">
        <f>'2026'!R\Max</f>
        <v>0.52004902708637868</v>
      </c>
      <c r="CE248" s="1191">
        <f>'2027'!R\Max</f>
        <v>0.52001672085942208</v>
      </c>
      <c r="CF248" s="1193">
        <f>'2028'!R\Max</f>
        <v>0.51998302584280587</v>
      </c>
    </row>
    <row r="249" spans="1:84" s="6" customFormat="1" ht="11.25" x14ac:dyDescent="0.2">
      <c r="A249" s="11">
        <v>43335</v>
      </c>
      <c r="B249" s="379">
        <f>'2022'!Maxi_hp</f>
        <v>53.920594526150673</v>
      </c>
      <c r="C249" s="13">
        <f>'2022'!An_max</f>
        <v>2018</v>
      </c>
      <c r="D249" s="1045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55.938935714215042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55.929845654339125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55.910711935747955</v>
      </c>
      <c r="AZ249" s="735">
        <f t="shared" si="115"/>
        <v>55.920278795043544</v>
      </c>
      <c r="BA249" s="633">
        <f t="shared" si="112"/>
        <v>0.96391884896817093</v>
      </c>
      <c r="BC249" s="11">
        <v>43335</v>
      </c>
      <c r="BD249" s="289">
        <f>[3]!FeuilCaduc*(1-Persistant)+Persistant</f>
        <v>0.9903793821090876</v>
      </c>
      <c r="BE249" s="290">
        <f>[3]!CroissVégét</f>
        <v>0.95464915235219705</v>
      </c>
      <c r="BF249" s="804">
        <f>1+[3]!Salcycl*Ksac</f>
        <v>1.0490379382109087</v>
      </c>
      <c r="BH249" s="1036">
        <f t="shared" si="113"/>
        <v>1.3642426266822296E-3</v>
      </c>
      <c r="BI249" s="11">
        <v>44431</v>
      </c>
      <c r="BJ249" s="715">
        <v>0</v>
      </c>
      <c r="BK249" s="715">
        <v>2.4134448331159832E-5</v>
      </c>
      <c r="BL249" s="715">
        <v>2.0909399345835837E-4</v>
      </c>
      <c r="BM249" s="715">
        <v>7.7165508103945E-4</v>
      </c>
      <c r="BN249" s="715">
        <v>1.9589375088353866E-3</v>
      </c>
      <c r="BO249" s="716">
        <v>3.9917366478594936E-3</v>
      </c>
      <c r="BP249" s="715">
        <v>7.0742496587158201E-3</v>
      </c>
      <c r="BQ249" s="715">
        <v>1.1475919326501891E-2</v>
      </c>
      <c r="BR249" s="715">
        <v>1.7407491633461294E-2</v>
      </c>
      <c r="BS249" s="715">
        <v>2.5144731245755777E-2</v>
      </c>
      <c r="BT249" s="715">
        <v>3.4146941132195685E-2</v>
      </c>
      <c r="BW249" s="1190">
        <f>'2019'!R\Max</f>
        <v>0.96391884896817093</v>
      </c>
      <c r="BX249" s="1190">
        <f>'2020'!R\Max</f>
        <v>0.70464566819116914</v>
      </c>
      <c r="BY249" s="1190">
        <f>'2021'!R\Max</f>
        <v>0.93009531159498515</v>
      </c>
      <c r="BZ249" s="1190">
        <f>'2022'!R\Max</f>
        <v>0.94659906600951726</v>
      </c>
      <c r="CA249" s="1190">
        <f>'2023'!R\Max</f>
        <v>0.94658842141173472</v>
      </c>
      <c r="CB249" s="1190">
        <f>'2024'!R\Max</f>
        <v>0.94657343123693716</v>
      </c>
      <c r="CC249" s="1190">
        <f>'2025'!R\Max</f>
        <v>0.94655822044085247</v>
      </c>
      <c r="CD249" s="1190">
        <f>'2026'!R\Max</f>
        <v>0.94662363542009687</v>
      </c>
      <c r="CE249" s="1191">
        <f>'2027'!R\Max</f>
        <v>0.9466169038011174</v>
      </c>
      <c r="CF249" s="1193">
        <f>'2028'!R\Max</f>
        <v>0.94660988762615672</v>
      </c>
    </row>
    <row r="250" spans="1:84" s="6" customFormat="1" ht="11.25" x14ac:dyDescent="0.2">
      <c r="A250" s="11">
        <v>43336</v>
      </c>
      <c r="B250" s="379">
        <f>'2022'!Maxi_hp</f>
        <v>53.710943273979339</v>
      </c>
      <c r="C250" s="13">
        <f>'2022'!An_max</f>
        <v>2018</v>
      </c>
      <c r="D250" s="1045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55.73634285724588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55.72492711368416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55.711645334719549</v>
      </c>
      <c r="AZ250" s="735">
        <f t="shared" si="115"/>
        <v>55.718286224201854</v>
      </c>
      <c r="BA250" s="633">
        <f t="shared" si="112"/>
        <v>0.9636610606394812</v>
      </c>
      <c r="BC250" s="11">
        <v>43336</v>
      </c>
      <c r="BD250" s="289">
        <f>[3]!FeuilCaduc*(1-Persistant)+Persistant</f>
        <v>0.98962905565918069</v>
      </c>
      <c r="BE250" s="290">
        <f>[3]!CroissVégét</f>
        <v>0.95640779545152554</v>
      </c>
      <c r="BF250" s="804">
        <f>1+[3]!Salcycl*Ksac</f>
        <v>1.048962905565918</v>
      </c>
      <c r="BH250" s="1036">
        <f t="shared" si="113"/>
        <v>1.4047928003516536E-3</v>
      </c>
      <c r="BI250" s="11">
        <v>44432</v>
      </c>
      <c r="BJ250" s="715">
        <v>0</v>
      </c>
      <c r="BK250" s="715">
        <v>2.5868611777983619E-5</v>
      </c>
      <c r="BL250" s="715">
        <v>2.1738075876014237E-4</v>
      </c>
      <c r="BM250" s="715">
        <v>7.9684771870833226E-4</v>
      </c>
      <c r="BN250" s="715">
        <v>2.0148998323705298E-3</v>
      </c>
      <c r="BO250" s="716">
        <v>4.0990634805904329E-3</v>
      </c>
      <c r="BP250" s="715">
        <v>7.2589955891842568E-3</v>
      </c>
      <c r="BQ250" s="715">
        <v>1.1776515822694745E-2</v>
      </c>
      <c r="BR250" s="715">
        <v>1.7866849955025823E-2</v>
      </c>
      <c r="BS250" s="715">
        <v>2.5817700172057322E-2</v>
      </c>
      <c r="BT250" s="715">
        <v>3.5070747856720534E-2</v>
      </c>
      <c r="BW250" s="1190">
        <f>'2019'!R\Max</f>
        <v>0.9636610606394812</v>
      </c>
      <c r="BX250" s="1190">
        <f>'2020'!R\Max</f>
        <v>0.80142205925313914</v>
      </c>
      <c r="BY250" s="1190">
        <f>'2021'!R\Max</f>
        <v>0.85247842113525563</v>
      </c>
      <c r="BZ250" s="1190">
        <f>'2022'!R\Max</f>
        <v>0.90579834078371213</v>
      </c>
      <c r="CA250" s="1190">
        <f>'2023'!R\Max</f>
        <v>0.90577986833565871</v>
      </c>
      <c r="CB250" s="1190">
        <f>'2024'!R\Max</f>
        <v>0.9057538114613114</v>
      </c>
      <c r="CC250" s="1190">
        <f>'2025'!R\Max</f>
        <v>0.90572738457964663</v>
      </c>
      <c r="CD250" s="1190">
        <f>'2026'!R\Max</f>
        <v>0.90584100291919678</v>
      </c>
      <c r="CE250" s="1191">
        <f>'2027'!R\Max</f>
        <v>0.90582930962669539</v>
      </c>
      <c r="CF250" s="1193">
        <f>'2028'!R\Max</f>
        <v>0.90581713184786661</v>
      </c>
    </row>
    <row r="251" spans="1:84" s="6" customFormat="1" ht="11.25" x14ac:dyDescent="0.2">
      <c r="A251" s="11">
        <v>43337</v>
      </c>
      <c r="B251" s="379">
        <f>'2022'!Maxi_hp</f>
        <v>50.59926404911738</v>
      </c>
      <c r="C251" s="13">
        <f>'2022'!An_max</f>
        <v>2021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55.530164285483103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55.516752159249577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55.509047903985312</v>
      </c>
      <c r="AZ251" s="735">
        <f t="shared" si="115"/>
        <v>55.512900031617448</v>
      </c>
      <c r="BA251" s="633">
        <f t="shared" si="112"/>
        <v>0.91120321180726671</v>
      </c>
      <c r="BC251" s="11">
        <v>43337</v>
      </c>
      <c r="BD251" s="289">
        <f>[3]!FeuilCaduc*(1-Persistant)+Persistant</f>
        <v>0.98884130067878195</v>
      </c>
      <c r="BE251" s="290">
        <f>[3]!CroissVégét</f>
        <v>0.95810172578745478</v>
      </c>
      <c r="BF251" s="804">
        <f>1+[3]!Salcycl*Ksac</f>
        <v>1.0488841300678782</v>
      </c>
      <c r="BH251" s="1036">
        <f t="shared" si="113"/>
        <v>1.4480033261852535E-3</v>
      </c>
      <c r="BI251" s="11">
        <v>44433</v>
      </c>
      <c r="BJ251" s="715">
        <v>0</v>
      </c>
      <c r="BK251" s="715">
        <v>2.7903359813371393E-5</v>
      </c>
      <c r="BL251" s="715">
        <v>2.2688444959955117E-4</v>
      </c>
      <c r="BM251" s="715">
        <v>8.2421868886337079E-4</v>
      </c>
      <c r="BN251" s="715">
        <v>2.0740062418872786E-3</v>
      </c>
      <c r="BO251" s="716">
        <v>4.2103169167334352E-3</v>
      </c>
      <c r="BP251" s="715">
        <v>7.4491469812636079E-3</v>
      </c>
      <c r="BQ251" s="715">
        <v>1.2084715392417284E-2</v>
      </c>
      <c r="BR251" s="715">
        <v>1.8337696959285023E-2</v>
      </c>
      <c r="BS251" s="715">
        <v>2.6508139005469281E-2</v>
      </c>
      <c r="BT251" s="715">
        <v>3.6019819049934766E-2</v>
      </c>
      <c r="BW251" s="1190">
        <f>'2019'!R\Max</f>
        <v>0.85870268332126787</v>
      </c>
      <c r="BX251" s="1190">
        <f>'2020'!R\Max</f>
        <v>0.91080975912360407</v>
      </c>
      <c r="BY251" s="1190">
        <f>'2021'!R\Max</f>
        <v>0.91120321180726671</v>
      </c>
      <c r="BZ251" s="1190">
        <f>'2022'!R\Max</f>
        <v>0.63739097587423521</v>
      </c>
      <c r="CA251" s="1190">
        <f>'2023'!R\Max</f>
        <v>0.63733954409908533</v>
      </c>
      <c r="CB251" s="1190">
        <f>'2024'!R\Max</f>
        <v>0.63726688799889886</v>
      </c>
      <c r="CC251" s="1190">
        <f>'2025'!R\Max</f>
        <v>0.63719324731661753</v>
      </c>
      <c r="CD251" s="1190">
        <f>'2026'!R\Max</f>
        <v>0.63750983859429744</v>
      </c>
      <c r="CE251" s="1191">
        <f>'2027'!R\Max</f>
        <v>0.63747724512738901</v>
      </c>
      <c r="CF251" s="1193">
        <f>'2028'!R\Max</f>
        <v>0.63744333048640867</v>
      </c>
    </row>
    <row r="252" spans="1:84" s="6" customFormat="1" ht="11.25" x14ac:dyDescent="0.2">
      <c r="A252" s="11">
        <v>43338</v>
      </c>
      <c r="B252" s="379">
        <f>'2022'!Maxi_hp</f>
        <v>53.844483293966427</v>
      </c>
      <c r="C252" s="13">
        <f>'2022'!An_max</f>
        <v>2020</v>
      </c>
      <c r="D252" s="1045">
        <f t="shared" si="97"/>
        <v>0.97332057060186361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55.320400000044273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55.305307069793344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55.302837317436932</v>
      </c>
      <c r="AZ252" s="735">
        <f t="shared" si="115"/>
        <v>55.304072193615141</v>
      </c>
      <c r="BA252" s="633">
        <f t="shared" si="112"/>
        <v>0.97332057060186361</v>
      </c>
      <c r="BC252" s="11">
        <v>43338</v>
      </c>
      <c r="BD252" s="289">
        <f>[3]!FeuilCaduc*(1-Persistant)+Persistant</f>
        <v>0.98801463245186594</v>
      </c>
      <c r="BE252" s="290">
        <f>[3]!CroissVégét</f>
        <v>0.95973309779026206</v>
      </c>
      <c r="BF252" s="804">
        <f>1+[3]!Salcycl*Ksac</f>
        <v>1.0488014632451865</v>
      </c>
      <c r="BH252" s="1036">
        <f t="shared" si="113"/>
        <v>1.4938758103785869E-3</v>
      </c>
      <c r="BI252" s="11">
        <v>44434</v>
      </c>
      <c r="BJ252" s="715">
        <v>0</v>
      </c>
      <c r="BK252" s="715">
        <v>3.0238793217211926E-5</v>
      </c>
      <c r="BL252" s="715">
        <v>2.376055191930904E-4</v>
      </c>
      <c r="BM252" s="715">
        <v>8.5376908319830414E-4</v>
      </c>
      <c r="BN252" s="715">
        <v>2.1362588599126613E-3</v>
      </c>
      <c r="BO252" s="716">
        <v>4.3255006395020107E-3</v>
      </c>
      <c r="BP252" s="715">
        <v>7.644709934719906E-3</v>
      </c>
      <c r="BQ252" s="715">
        <v>1.2400527711719142E-2</v>
      </c>
      <c r="BR252" s="715">
        <v>1.8820047383732823E-2</v>
      </c>
      <c r="BS252" s="715">
        <v>2.7216069404544251E-2</v>
      </c>
      <c r="BT252" s="715">
        <v>3.6994184640103595E-2</v>
      </c>
      <c r="BW252" s="1190">
        <f>'2019'!R\Max</f>
        <v>0.80391652736889652</v>
      </c>
      <c r="BX252" s="1190">
        <f>'2020'!R\Max</f>
        <v>0.97332057060186361</v>
      </c>
      <c r="BY252" s="1190">
        <f>'2021'!R\Max</f>
        <v>0.95656109091421138</v>
      </c>
      <c r="BZ252" s="1190">
        <f>'2022'!R\Max</f>
        <v>0.84986722044065155</v>
      </c>
      <c r="CA252" s="1190">
        <f>'2023'!R\Max</f>
        <v>0.84983803505293398</v>
      </c>
      <c r="CB252" s="1190">
        <f>'2024'!R\Max</f>
        <v>0.84979673628142804</v>
      </c>
      <c r="CC252" s="1190">
        <f>'2025'!R\Max</f>
        <v>0.84975489128201454</v>
      </c>
      <c r="CD252" s="1190">
        <f>'2026'!R\Max</f>
        <v>0.84993468782017512</v>
      </c>
      <c r="CE252" s="1191">
        <f>'2027'!R\Max</f>
        <v>0.84991618336950969</v>
      </c>
      <c r="CF252" s="1193">
        <f>'2028'!R\Max</f>
        <v>0.84989694259240867</v>
      </c>
    </row>
    <row r="253" spans="1:84" s="6" customFormat="1" ht="11.25" x14ac:dyDescent="0.2">
      <c r="A253" s="11">
        <v>43339</v>
      </c>
      <c r="B253" s="379">
        <f>'2022'!Maxi_hp</f>
        <v>53.476850706483603</v>
      </c>
      <c r="C253" s="13">
        <f>'2022'!An_max</f>
        <v>2022</v>
      </c>
      <c r="D253" s="1045">
        <f t="shared" si="97"/>
        <v>0.97041759096805857</v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55.107050000131132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55.090578125044701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55.092931250203399</v>
      </c>
      <c r="AZ253" s="735">
        <f t="shared" si="115"/>
        <v>55.091754687624046</v>
      </c>
      <c r="BA253" s="633">
        <f t="shared" si="112"/>
        <v>0.97041759096805857</v>
      </c>
      <c r="BC253" s="11">
        <v>43339</v>
      </c>
      <c r="BD253" s="289">
        <f>[3]!FeuilCaduc*(1-Persistant)+Persistant</f>
        <v>0.98714751557373748</v>
      </c>
      <c r="BE253" s="290">
        <f>[3]!CroissVégét</f>
        <v>0.9613040114607565</v>
      </c>
      <c r="BF253" s="804">
        <f>1+[3]!Salcycl*Ksac</f>
        <v>1.0487147515573738</v>
      </c>
      <c r="BH253" s="1036">
        <f t="shared" si="113"/>
        <v>1.5424119985520412E-3</v>
      </c>
      <c r="BI253" s="11">
        <v>44435</v>
      </c>
      <c r="BJ253" s="715">
        <v>0</v>
      </c>
      <c r="BK253" s="715">
        <v>3.2875026568996751E-5</v>
      </c>
      <c r="BL253" s="715">
        <v>2.4954447747639602E-4</v>
      </c>
      <c r="BM253" s="715">
        <v>8.855001020675017E-4</v>
      </c>
      <c r="BN253" s="715">
        <v>2.2016599792721368E-3</v>
      </c>
      <c r="BO253" s="716">
        <v>4.4446185705303036E-3</v>
      </c>
      <c r="BP253" s="715">
        <v>7.8456909029535147E-3</v>
      </c>
      <c r="BQ253" s="715">
        <v>1.2723962982116329E-2</v>
      </c>
      <c r="BR253" s="715">
        <v>1.9313916763454161E-2</v>
      </c>
      <c r="BS253" s="715">
        <v>2.7941514223196531E-2</v>
      </c>
      <c r="BT253" s="715">
        <v>3.7993876250270051E-2</v>
      </c>
      <c r="BW253" s="1190">
        <f>'2019'!R\Max</f>
        <v>0.58921716139473668</v>
      </c>
      <c r="BX253" s="1190">
        <f>'2020'!R\Max</f>
        <v>0.52428940655441492</v>
      </c>
      <c r="BY253" s="1190">
        <f>'2021'!R\Max</f>
        <v>0.84584060892830282</v>
      </c>
      <c r="BZ253" s="1190">
        <f>'2022'!R\Max</f>
        <v>0.97041759096805857</v>
      </c>
      <c r="CA253" s="1190">
        <f>'2023'!R\Max</f>
        <v>0.97041084217730156</v>
      </c>
      <c r="CB253" s="1190">
        <f>'2024'!R\Max</f>
        <v>0.97040127714820712</v>
      </c>
      <c r="CC253" s="1190">
        <f>'2025'!R\Max</f>
        <v>0.97039158908843826</v>
      </c>
      <c r="CD253" s="1190">
        <f>'2026'!R\Max</f>
        <v>0.97043319615757573</v>
      </c>
      <c r="CE253" s="1191">
        <f>'2027'!R\Max</f>
        <v>0.97042891513352669</v>
      </c>
      <c r="CF253" s="1193">
        <f>'2028'!R\Max</f>
        <v>0.97042446699560336</v>
      </c>
    </row>
    <row r="254" spans="1:84" s="6" customFormat="1" ht="11.25" x14ac:dyDescent="0.2">
      <c r="A254" s="11">
        <v>43340</v>
      </c>
      <c r="B254" s="379">
        <f>'2022'!Maxi_hp</f>
        <v>54.734917062438733</v>
      </c>
      <c r="C254" s="13">
        <f>'2022'!An_max</f>
        <v>2021</v>
      </c>
      <c r="D254" s="1045">
        <f t="shared" si="97"/>
        <v>0.997172583357959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54.890114285051823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54.872551603402407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54.879247376163086</v>
      </c>
      <c r="AZ254" s="735">
        <f t="shared" si="115"/>
        <v>54.875899489782746</v>
      </c>
      <c r="BA254" s="633">
        <f t="shared" si="112"/>
        <v>0.997172583357959</v>
      </c>
      <c r="BC254" s="11">
        <v>43340</v>
      </c>
      <c r="BD254" s="289">
        <f>[3]!FeuilCaduc*(1-Persistant)+Persistant</f>
        <v>0.98623836281486477</v>
      </c>
      <c r="BE254" s="290">
        <f>[3]!CroissVégét</f>
        <v>0.96281651236587618</v>
      </c>
      <c r="BF254" s="804">
        <f>1+[3]!Salcycl*Ksac</f>
        <v>1.0486238362814864</v>
      </c>
      <c r="BH254" s="1036">
        <f t="shared" si="113"/>
        <v>1.5930108432442337E-3</v>
      </c>
      <c r="BI254" s="11">
        <v>44436</v>
      </c>
      <c r="BJ254" s="715">
        <v>4.3537689615883029E-9</v>
      </c>
      <c r="BK254" s="715">
        <v>3.5890142261385184E-5</v>
      </c>
      <c r="BL254" s="715">
        <v>2.625091731962564E-4</v>
      </c>
      <c r="BM254" s="715">
        <v>9.1891828025296516E-4</v>
      </c>
      <c r="BN254" s="715">
        <v>2.2695005876811982E-3</v>
      </c>
      <c r="BO254" s="716">
        <v>4.5672792772256214E-3</v>
      </c>
      <c r="BP254" s="715">
        <v>8.0531125091242786E-3</v>
      </c>
      <c r="BQ254" s="715">
        <v>1.3058337257021295E-2</v>
      </c>
      <c r="BR254" s="715">
        <v>1.982640014865961E-2</v>
      </c>
      <c r="BS254" s="715">
        <v>2.8696987145109227E-2</v>
      </c>
      <c r="BT254" s="715">
        <v>3.9038517486990318E-2</v>
      </c>
      <c r="BW254" s="1190">
        <f>'2019'!R\Max</f>
        <v>0.72603247546182448</v>
      </c>
      <c r="BX254" s="1190">
        <f>'2020'!R\Max</f>
        <v>0.93766457173425699</v>
      </c>
      <c r="BY254" s="1190">
        <f>'2021'!R\Max</f>
        <v>0.997172583357959</v>
      </c>
      <c r="BZ254" s="1190">
        <f>'2022'!R\Max</f>
        <v>0.95315494511457233</v>
      </c>
      <c r="CA254" s="1190">
        <f>'2023'!R\Max</f>
        <v>0.95314415396180607</v>
      </c>
      <c r="CB254" s="1190">
        <f>'2024'!R\Max</f>
        <v>0.95312883660208014</v>
      </c>
      <c r="CC254" s="1190">
        <f>'2025'!R\Max</f>
        <v>0.95311332893459266</v>
      </c>
      <c r="CD254" s="1190">
        <f>'2026'!R\Max</f>
        <v>0.9531799011846791</v>
      </c>
      <c r="CE254" s="1191">
        <f>'2027'!R\Max</f>
        <v>0.95317305408928832</v>
      </c>
      <c r="CF254" s="1193">
        <f>'2028'!R\Max</f>
        <v>0.95316594496867024</v>
      </c>
    </row>
    <row r="255" spans="1:84" s="6" customFormat="1" ht="11.25" x14ac:dyDescent="0.2">
      <c r="A255" s="11">
        <v>43341</v>
      </c>
      <c r="B255" s="379">
        <f>'2022'!Maxi_hp</f>
        <v>54.247939934538053</v>
      </c>
      <c r="C255" s="13">
        <f>'2022'!An_max</f>
        <v>2021</v>
      </c>
      <c r="D255" s="1045">
        <f t="shared" si="97"/>
        <v>0.99228724962962722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54.669592857094742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54.651213784901685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54.661703371176756</v>
      </c>
      <c r="AZ255" s="735">
        <f t="shared" si="115"/>
        <v>54.656458578039221</v>
      </c>
      <c r="BA255" s="633">
        <f t="shared" si="112"/>
        <v>0.99228724962962722</v>
      </c>
      <c r="BC255" s="11">
        <v>43341</v>
      </c>
      <c r="BD255" s="289">
        <f>[3]!FeuilCaduc*(1-Persistant)+Persistant</f>
        <v>0.98528553308204958</v>
      </c>
      <c r="BE255" s="290">
        <f>[3]!CroissVégét</f>
        <v>0.96427259177046543</v>
      </c>
      <c r="BF255" s="804">
        <f>1+[3]!Salcycl*Ksac</f>
        <v>1.0485285533082049</v>
      </c>
      <c r="BH255" s="1036">
        <f t="shared" si="113"/>
        <v>1.6440820019886751E-3</v>
      </c>
      <c r="BI255" s="11">
        <v>44437</v>
      </c>
      <c r="BJ255" s="715">
        <v>1.3062473769765242E-8</v>
      </c>
      <c r="BK255" s="715">
        <v>3.9170883157412747E-5</v>
      </c>
      <c r="BL255" s="715">
        <v>2.7588122953548265E-4</v>
      </c>
      <c r="BM255" s="715">
        <v>9.5275859322800627E-4</v>
      </c>
      <c r="BN255" s="715">
        <v>2.3378638678506988E-3</v>
      </c>
      <c r="BO255" s="716">
        <v>4.6908839236554862E-3</v>
      </c>
      <c r="BP255" s="715">
        <v>8.2636616626594883E-3</v>
      </c>
      <c r="BQ255" s="715">
        <v>1.3399232056712923E-2</v>
      </c>
      <c r="BR255" s="715">
        <v>2.0351448306664605E-2</v>
      </c>
      <c r="BS255" s="715">
        <v>2.9473671820979427E-2</v>
      </c>
      <c r="BT255" s="715">
        <v>4.011572430126157E-2</v>
      </c>
      <c r="BW255" s="1190">
        <f>'2019'!R\Max</f>
        <v>0.93771808698252879</v>
      </c>
      <c r="BX255" s="1190">
        <f>'2020'!R\Max</f>
        <v>0.18460582346869511</v>
      </c>
      <c r="BY255" s="1190">
        <f>'2021'!R\Max</f>
        <v>0.99228724962962722</v>
      </c>
      <c r="BZ255" s="1190">
        <f>'2022'!R\Max</f>
        <v>0.65478908513332901</v>
      </c>
      <c r="CA255" s="1190">
        <f>'2023'!R\Max</f>
        <v>0.65473292510243042</v>
      </c>
      <c r="CB255" s="1190">
        <f>'2024'!R\Max</f>
        <v>0.65465310396923682</v>
      </c>
      <c r="CC255" s="1190">
        <f>'2025'!R\Max</f>
        <v>0.65457234100920691</v>
      </c>
      <c r="CD255" s="1190">
        <f>'2026'!R\Max</f>
        <v>0.65491897931469134</v>
      </c>
      <c r="CE255" s="1191">
        <f>'2027'!R\Max</f>
        <v>0.65488333913305419</v>
      </c>
      <c r="CF255" s="1193">
        <f>'2028'!R\Max</f>
        <v>0.6548463643758935</v>
      </c>
    </row>
    <row r="256" spans="1:84" s="6" customFormat="1" ht="11.25" x14ac:dyDescent="0.2">
      <c r="A256" s="11">
        <v>43342</v>
      </c>
      <c r="B256" s="379">
        <f>'2022'!Maxi_hp</f>
        <v>52.905760781813107</v>
      </c>
      <c r="C256" s="13">
        <f>'2022'!An_max</f>
        <v>2021</v>
      </c>
      <c r="D256" s="1045">
        <f t="shared" si="97"/>
        <v>0.97171987884632438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54.445485714077947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54.426550947715135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54.440216910094023</v>
      </c>
      <c r="AZ256" s="735">
        <f t="shared" si="115"/>
        <v>54.433383928904576</v>
      </c>
      <c r="BA256" s="633">
        <f t="shared" si="112"/>
        <v>0.97171987884632438</v>
      </c>
      <c r="BC256" s="11">
        <v>43342</v>
      </c>
      <c r="BD256" s="289">
        <f>[3]!FeuilCaduc*(1-Persistant)+Persistant</f>
        <v>0.98428732857434864</v>
      </c>
      <c r="BE256" s="290">
        <f>[3]!CroissVégét</f>
        <v>0.96567418689281481</v>
      </c>
      <c r="BF256" s="804">
        <f>1+[3]!Salcycl*Ksac</f>
        <v>1.0484287328574349</v>
      </c>
      <c r="BH256" s="1036">
        <f t="shared" si="113"/>
        <v>1.6956270154314978E-3</v>
      </c>
      <c r="BI256" s="11">
        <v>44438</v>
      </c>
      <c r="BJ256" s="715">
        <v>2.612747748390842E-8</v>
      </c>
      <c r="BK256" s="715">
        <v>4.2717399870151406E-5</v>
      </c>
      <c r="BL256" s="715">
        <v>2.8966109930480855E-4</v>
      </c>
      <c r="BM256" s="715">
        <v>9.8702206755250151E-4</v>
      </c>
      <c r="BN256" s="715">
        <v>2.4067518763412001E-3</v>
      </c>
      <c r="BO256" s="716">
        <v>4.8154363079395404E-3</v>
      </c>
      <c r="BP256" s="715">
        <v>8.477345288024617E-3</v>
      </c>
      <c r="BQ256" s="715">
        <v>1.3746658986559072E-2</v>
      </c>
      <c r="BR256" s="715">
        <v>2.0889079739153268E-2</v>
      </c>
      <c r="BS256" s="715">
        <v>3.0271596214835012E-2</v>
      </c>
      <c r="BT256" s="715">
        <v>4.122553618962968E-2</v>
      </c>
      <c r="BW256" s="1190">
        <f>'2019'!R\Max</f>
        <v>0.92701225721692226</v>
      </c>
      <c r="BX256" s="1190">
        <f>'2020'!R\Max</f>
        <v>0.44121231613293055</v>
      </c>
      <c r="BY256" s="1190">
        <f>'2021'!R\Max</f>
        <v>0.97171987884632438</v>
      </c>
      <c r="BZ256" s="1190">
        <f>'2022'!R\Max</f>
        <v>0.95480412093558087</v>
      </c>
      <c r="CA256" s="1190">
        <f>'2023'!R\Max</f>
        <v>0.95479309698141546</v>
      </c>
      <c r="CB256" s="1190">
        <f>'2024'!R\Max</f>
        <v>0.95477740236562259</v>
      </c>
      <c r="CC256" s="1190">
        <f>'2025'!R\Max</f>
        <v>0.95476152538184278</v>
      </c>
      <c r="CD256" s="1190">
        <f>'2026'!R\Max</f>
        <v>0.95482960308116149</v>
      </c>
      <c r="CE256" s="1191">
        <f>'2027'!R\Max</f>
        <v>0.95482261398772261</v>
      </c>
      <c r="CF256" s="1193">
        <f>'2028'!R\Max</f>
        <v>0.95481536727484584</v>
      </c>
    </row>
    <row r="257" spans="1:84" s="6" customFormat="1" ht="11.25" x14ac:dyDescent="0.2">
      <c r="A257" s="11">
        <v>43343</v>
      </c>
      <c r="B257" s="379">
        <f>'2022'!Maxi_hp</f>
        <v>52.429420207764473</v>
      </c>
      <c r="C257" s="13">
        <f>'2022'!An_max</f>
        <v>2021</v>
      </c>
      <c r="D257" s="1045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54.217792857278667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54.198549371917863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54.214705666527152</v>
      </c>
      <c r="AZ257" s="735">
        <f t="shared" si="115"/>
        <v>54.206627519222508</v>
      </c>
      <c r="BA257" s="633">
        <f t="shared" si="112"/>
        <v>0.96701502301611841</v>
      </c>
      <c r="BC257" s="11">
        <v>43343</v>
      </c>
      <c r="BD257" s="289">
        <f>[3]!FeuilCaduc*(1-Persistant)+Persistant</f>
        <v>0.98324199124582012</v>
      </c>
      <c r="BE257" s="290">
        <f>[3]!CroissVégét</f>
        <v>0.9670231812722152</v>
      </c>
      <c r="BF257" s="804">
        <f>1+[3]!Salcycl*Ksac</f>
        <v>1.048324199124582</v>
      </c>
      <c r="BH257" s="1036">
        <f t="shared" si="113"/>
        <v>1.7476474806779759E-3</v>
      </c>
      <c r="BI257" s="11">
        <v>44439</v>
      </c>
      <c r="BJ257" s="715">
        <v>4.3550347021079855E-8</v>
      </c>
      <c r="BK257" s="715">
        <v>4.6529857351790902E-5</v>
      </c>
      <c r="BL257" s="715">
        <v>3.0384926304407244E-4</v>
      </c>
      <c r="BM257" s="715">
        <v>1.0217097722100075E-3</v>
      </c>
      <c r="BN257" s="715">
        <v>2.4761667402577801E-3</v>
      </c>
      <c r="BO257" s="716">
        <v>4.940940355509872E-3</v>
      </c>
      <c r="BP257" s="715">
        <v>8.6941705954544906E-3</v>
      </c>
      <c r="BQ257" s="715">
        <v>1.4100630180762056E-2</v>
      </c>
      <c r="BR257" s="715">
        <v>2.1439313876968E-2</v>
      </c>
      <c r="BS257" s="715">
        <v>3.1090789784649745E-2</v>
      </c>
      <c r="BT257" s="715">
        <v>4.2367994863838111E-2</v>
      </c>
      <c r="BW257" s="1190">
        <f>'2019'!R\Max</f>
        <v>0.88660527157392177</v>
      </c>
      <c r="BX257" s="1190">
        <f>'2020'!R\Max</f>
        <v>0.64113352591835149</v>
      </c>
      <c r="BY257" s="1190">
        <f>'2021'!R\Max</f>
        <v>0.96701502301611841</v>
      </c>
      <c r="BZ257" s="1190">
        <f>'2022'!R\Max</f>
        <v>0.49514933116555759</v>
      </c>
      <c r="CA257" s="1190">
        <f>'2023'!R\Max</f>
        <v>0.49508368149598864</v>
      </c>
      <c r="CB257" s="1190">
        <f>'2024'!R\Max</f>
        <v>0.49499010765873808</v>
      </c>
      <c r="CC257" s="1190">
        <f>'2025'!R\Max</f>
        <v>0.49489551484251049</v>
      </c>
      <c r="CD257" s="1190">
        <f>'2026'!R\Max</f>
        <v>0.49530105438438615</v>
      </c>
      <c r="CE257" s="1191">
        <f>'2027'!R\Max</f>
        <v>0.49525944972492431</v>
      </c>
      <c r="CF257" s="1193">
        <f>'2028'!R\Max</f>
        <v>0.49521634528591846</v>
      </c>
    </row>
    <row r="258" spans="1:84" s="6" customFormat="1" ht="11.25" x14ac:dyDescent="0.2">
      <c r="A258" s="11">
        <v>43344</v>
      </c>
      <c r="B258" s="379">
        <f>'2022'!Maxi_hp</f>
        <v>47.872949450269061</v>
      </c>
      <c r="C258" s="13">
        <f>'2022'!An_max</f>
        <v>2020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53.986514285951856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53.967195335509516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53.98508731730815</v>
      </c>
      <c r="AZ258" s="735">
        <f t="shared" si="115"/>
        <v>53.976141326408836</v>
      </c>
      <c r="BA258" s="633">
        <f t="shared" si="112"/>
        <v>0.8867575557239924</v>
      </c>
      <c r="BC258" s="11">
        <v>43344</v>
      </c>
      <c r="BD258" s="289">
        <f>[3]!FeuilCaduc*(1-Persistant)+Persistant</f>
        <v>0.9821476987004818</v>
      </c>
      <c r="BE258" s="290">
        <f>[3]!CroissVégét</f>
        <v>0.96832140523745813</v>
      </c>
      <c r="BF258" s="804">
        <f>1+[3]!Salcycl*Ksac</f>
        <v>1.0482147698700481</v>
      </c>
      <c r="BH258" s="1036">
        <f t="shared" si="113"/>
        <v>1.8001450521051858E-3</v>
      </c>
      <c r="BI258" s="11">
        <v>44440</v>
      </c>
      <c r="BJ258" s="715">
        <v>6.533286083945612E-8</v>
      </c>
      <c r="BK258" s="715">
        <v>5.0608435361328105E-5</v>
      </c>
      <c r="BL258" s="715">
        <v>3.1844622973622652E-4</v>
      </c>
      <c r="BM258" s="715">
        <v>1.0568228193393932E-3</v>
      </c>
      <c r="BN258" s="715">
        <v>2.5461106581440083E-3</v>
      </c>
      <c r="BO258" s="716">
        <v>5.0674001207238585E-3</v>
      </c>
      <c r="BP258" s="715">
        <v>8.9141450863817213E-3</v>
      </c>
      <c r="BQ258" s="715">
        <v>1.4461158313718714E-2</v>
      </c>
      <c r="BR258" s="715">
        <v>2.2002171102058071E-2</v>
      </c>
      <c r="BS258" s="715">
        <v>3.1931283519446269E-2</v>
      </c>
      <c r="BT258" s="715">
        <v>4.3543144307843111E-2</v>
      </c>
      <c r="BW258" s="1190">
        <f>'2019'!R\Max</f>
        <v>0.32452794531655421</v>
      </c>
      <c r="BX258" s="1190">
        <f>'2020'!R\Max</f>
        <v>0.8867575557239924</v>
      </c>
      <c r="BY258" s="1190">
        <f>'2021'!R\Max</f>
        <v>0.68975466626805548</v>
      </c>
      <c r="BZ258" s="1190">
        <f>'2022'!R\Max</f>
        <v>0.8142616869246776</v>
      </c>
      <c r="CA258" s="1190">
        <f>'2023'!R\Max</f>
        <v>0.81422084544828455</v>
      </c>
      <c r="CB258" s="1190">
        <f>'2024'!R\Max</f>
        <v>0.81416253622188217</v>
      </c>
      <c r="CC258" s="1190">
        <f>'2025'!R\Max</f>
        <v>0.81410359938656718</v>
      </c>
      <c r="CD258" s="1190">
        <f>'2026'!R\Max</f>
        <v>0.81435597577268992</v>
      </c>
      <c r="CE258" s="1191">
        <f>'2027'!R\Max</f>
        <v>0.8143301388905626</v>
      </c>
      <c r="CF258" s="1193">
        <f>'2028'!R\Max</f>
        <v>0.81430338372162303</v>
      </c>
    </row>
    <row r="259" spans="1:84" s="6" customFormat="1" ht="11.25" x14ac:dyDescent="0.2">
      <c r="A259" s="11">
        <v>43345</v>
      </c>
      <c r="B259" s="379">
        <f>'2022'!Maxi_hp</f>
        <v>52.448101483562709</v>
      </c>
      <c r="C259" s="13">
        <f>'2022'!An_max</f>
        <v>2018</v>
      </c>
      <c r="D259" s="1045">
        <f t="shared" si="97"/>
        <v>0.9757486790304658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53.75165000036359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53.732475118551939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53.751279536794343</v>
      </c>
      <c r="AZ259" s="735">
        <f t="shared" si="115"/>
        <v>53.741877327673137</v>
      </c>
      <c r="BA259" s="633">
        <f t="shared" si="112"/>
        <v>0.9757486790304658</v>
      </c>
      <c r="BC259" s="11">
        <v>43345</v>
      </c>
      <c r="BD259" s="289">
        <f>[3]!FeuilCaduc*(1-Persistant)+Persistant</f>
        <v>0.98100255965661098</v>
      </c>
      <c r="BE259" s="290">
        <f>[3]!CroissVégét</f>
        <v>0.96957063646587138</v>
      </c>
      <c r="BF259" s="804">
        <f>1+[3]!Salcycl*Ksac</f>
        <v>1.0481002559656611</v>
      </c>
      <c r="BH259" s="1036">
        <f t="shared" si="113"/>
        <v>1.8531214421666652E-3</v>
      </c>
      <c r="BI259" s="11">
        <v>44441</v>
      </c>
      <c r="BJ259" s="715">
        <v>9.1477016622207226E-8</v>
      </c>
      <c r="BK259" s="715">
        <v>5.4953328932148223E-5</v>
      </c>
      <c r="BL259" s="715">
        <v>3.33452537520177E-4</v>
      </c>
      <c r="BM259" s="715">
        <v>1.0923623649619829E-3</v>
      </c>
      <c r="BN259" s="715">
        <v>2.6165859008643981E-3</v>
      </c>
      <c r="BO259" s="716">
        <v>5.194819788453456E-3</v>
      </c>
      <c r="BP259" s="715">
        <v>9.1372765588234369E-3</v>
      </c>
      <c r="BQ259" s="715">
        <v>1.4828256611312922E-2</v>
      </c>
      <c r="BR259" s="715">
        <v>2.2577672769326044E-2</v>
      </c>
      <c r="BS259" s="715">
        <v>3.2793109976252101E-2</v>
      </c>
      <c r="BT259" s="715">
        <v>4.4751030834629175E-2</v>
      </c>
      <c r="BW259" s="1190">
        <f>'2019'!R\Max</f>
        <v>0.9757486790304658</v>
      </c>
      <c r="BX259" s="1190">
        <f>'2020'!R\Max</f>
        <v>0.92102282033040161</v>
      </c>
      <c r="BY259" s="1190">
        <f>'2021'!R\Max</f>
        <v>0.3760692290212207</v>
      </c>
      <c r="BZ259" s="1190">
        <f>'2022'!R\Max</f>
        <v>0.78715764863716287</v>
      </c>
      <c r="CA259" s="1190">
        <f>'2023'!R\Max</f>
        <v>0.78711113097063201</v>
      </c>
      <c r="CB259" s="1190">
        <f>'2024'!R\Max</f>
        <v>0.78704462476977788</v>
      </c>
      <c r="CC259" s="1190">
        <f>'2025'!R\Max</f>
        <v>0.78697742780897362</v>
      </c>
      <c r="CD259" s="1190">
        <f>'2026'!R\Max</f>
        <v>0.78726494016865767</v>
      </c>
      <c r="CE259" s="1191">
        <f>'2027'!R\Max</f>
        <v>0.78723556102461389</v>
      </c>
      <c r="CF259" s="1193">
        <f>'2028'!R\Max</f>
        <v>0.78720515524862156</v>
      </c>
    </row>
    <row r="260" spans="1:84" s="6" customFormat="1" ht="11.25" x14ac:dyDescent="0.2">
      <c r="A260" s="11">
        <v>43346</v>
      </c>
      <c r="B260" s="379">
        <f>'2022'!Maxi_hp</f>
        <v>55.043508007448153</v>
      </c>
      <c r="C260" s="13">
        <f>'2022'!An_max</f>
        <v>2020</v>
      </c>
      <c r="D260" s="1045">
        <f t="shared" si="97"/>
        <v>1.0285968323383408</v>
      </c>
      <c r="E260" s="1040">
        <f>AE$13/10</f>
        <v>53.513199999999998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53.513199999183414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53.494375000149013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53.513199999928474</v>
      </c>
      <c r="AZ260" s="735">
        <f t="shared" si="115"/>
        <v>53.50378750003874</v>
      </c>
      <c r="BA260" s="633">
        <f t="shared" si="112"/>
        <v>1.0285968323383408</v>
      </c>
      <c r="BC260" s="11">
        <v>43346</v>
      </c>
      <c r="BD260" s="289">
        <f>[3]!FeuilCaduc*(1-Persistant)+Persistant</f>
        <v>0.97980460912758693</v>
      </c>
      <c r="BE260" s="290">
        <f>[3]!CroissVégét</f>
        <v>0.97077260062312232</v>
      </c>
      <c r="BF260" s="804">
        <f>1+[3]!Salcycl*Ksac</f>
        <v>1.0479804609127588</v>
      </c>
      <c r="BH260" s="1036">
        <f t="shared" si="113"/>
        <v>1.906578422178075E-3</v>
      </c>
      <c r="BI260" s="11">
        <v>44442</v>
      </c>
      <c r="BJ260" s="715">
        <v>1.2198503896086072E-7</v>
      </c>
      <c r="BK260" s="715">
        <v>5.9564748839081816E-5</v>
      </c>
      <c r="BL260" s="715">
        <v>3.4886875440028075E-4</v>
      </c>
      <c r="BM260" s="715">
        <v>1.1283296096975537E-3</v>
      </c>
      <c r="BN260" s="715">
        <v>2.687594812459981E-3</v>
      </c>
      <c r="BO260" s="716">
        <v>5.3232036756209666E-3</v>
      </c>
      <c r="BP260" s="715">
        <v>9.3635731126739605E-3</v>
      </c>
      <c r="BQ260" s="715">
        <v>1.5201938862055604E-2</v>
      </c>
      <c r="BR260" s="715">
        <v>2.3165841228242248E-2</v>
      </c>
      <c r="BS260" s="715">
        <v>3.3676303316718781E-2</v>
      </c>
      <c r="BT260" s="715">
        <v>4.5991703142565746E-2</v>
      </c>
      <c r="BW260" s="1190">
        <f>'2019'!R\Max</f>
        <v>1.0028892328082124</v>
      </c>
      <c r="BX260" s="1190">
        <f>'2020'!R\Max</f>
        <v>1.0285968323383408</v>
      </c>
      <c r="BY260" s="1190">
        <f>'2021'!R\Max</f>
        <v>0.67133606513677313</v>
      </c>
      <c r="BZ260" s="1190">
        <f>'2022'!R\Max</f>
        <v>0.7720194311652453</v>
      </c>
      <c r="CA260" s="1190">
        <f>'2023'!R\Max</f>
        <v>0.77196918744049114</v>
      </c>
      <c r="CB260" s="1190">
        <f>'2024'!R\Max</f>
        <v>0.7718972544820718</v>
      </c>
      <c r="CC260" s="1190">
        <f>'2025'!R\Max</f>
        <v>0.77182459993860941</v>
      </c>
      <c r="CD260" s="1190">
        <f>'2026'!R\Max</f>
        <v>0.77213518568217165</v>
      </c>
      <c r="CE260" s="1191">
        <f>'2027'!R\Max</f>
        <v>0.77210351589500215</v>
      </c>
      <c r="CF260" s="1193">
        <f>'2028'!R\Max</f>
        <v>0.77207075729058128</v>
      </c>
    </row>
    <row r="261" spans="1:84" s="6" customFormat="1" ht="11.25" x14ac:dyDescent="0.2">
      <c r="A261" s="11">
        <v>43347</v>
      </c>
      <c r="B261" s="379">
        <f>'2022'!Maxi_hp</f>
        <v>53.392231312994895</v>
      </c>
      <c r="C261" s="13">
        <f>'2022'!An_max</f>
        <v>2018</v>
      </c>
      <c r="D261" s="1045">
        <f t="shared" si="97"/>
        <v>1.0022726559456219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53.271164284752956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53.25288125945788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53.270608591900341</v>
      </c>
      <c r="AZ261" s="735">
        <f t="shared" si="115"/>
        <v>53.26174492567911</v>
      </c>
      <c r="BA261" s="633">
        <f t="shared" si="112"/>
        <v>1.0022726559456219</v>
      </c>
      <c r="BC261" s="11">
        <v>43347</v>
      </c>
      <c r="BD261" s="289">
        <f>[3]!FeuilCaduc*(1-Persistant)+Persistant</f>
        <v>0.9785518034747176</v>
      </c>
      <c r="BE261" s="290">
        <f>[3]!CroissVégét</f>
        <v>0.97192897207465079</v>
      </c>
      <c r="BF261" s="804">
        <f>1+[3]!Salcycl*Ksac</f>
        <v>1.0478551803474718</v>
      </c>
      <c r="BH261" s="1036">
        <f t="shared" si="113"/>
        <v>1.9605178230976696E-3</v>
      </c>
      <c r="BI261" s="11">
        <v>44443</v>
      </c>
      <c r="BJ261" s="715">
        <v>1.5685938703731817E-7</v>
      </c>
      <c r="BK261" s="715">
        <v>6.4442922065181645E-5</v>
      </c>
      <c r="BL261" s="715">
        <v>3.64695478954656E-4</v>
      </c>
      <c r="BM261" s="715">
        <v>1.1647257994770769E-3</v>
      </c>
      <c r="BN261" s="715">
        <v>2.7591398109967449E-3</v>
      </c>
      <c r="BO261" s="716">
        <v>5.4525562327212085E-3</v>
      </c>
      <c r="BP261" s="715">
        <v>9.5930431549735816E-3</v>
      </c>
      <c r="BQ261" s="715">
        <v>1.5582219428185724E-2</v>
      </c>
      <c r="BR261" s="715">
        <v>2.3766699844399056E-2</v>
      </c>
      <c r="BS261" s="715">
        <v>3.4580899343652688E-2</v>
      </c>
      <c r="BT261" s="715">
        <v>4.7265212371641656E-2</v>
      </c>
      <c r="BW261" s="1190">
        <f>'2019'!R\Max</f>
        <v>1.0022726559456219</v>
      </c>
      <c r="BX261" s="1190">
        <f>'2020'!R\Max</f>
        <v>0.99637963446374755</v>
      </c>
      <c r="BY261" s="1190">
        <f>'2021'!R\Max</f>
        <v>0.8374369173641969</v>
      </c>
      <c r="BZ261" s="1190">
        <f>'2022'!R\Max</f>
        <v>0.93752568800121583</v>
      </c>
      <c r="CA261" s="1190">
        <f>'2023'!R\Max</f>
        <v>0.93750849664555147</v>
      </c>
      <c r="CB261" s="1190">
        <f>'2024'!R\Max</f>
        <v>0.93748384737992274</v>
      </c>
      <c r="CC261" s="1190">
        <f>'2025'!R\Max</f>
        <v>0.9374589554977999</v>
      </c>
      <c r="CD261" s="1190">
        <f>'2026'!R\Max</f>
        <v>0.93756523644624379</v>
      </c>
      <c r="CE261" s="1191">
        <f>'2027'!R\Max</f>
        <v>0.93755442764578378</v>
      </c>
      <c r="CF261" s="1193">
        <f>'2028'!R\Max</f>
        <v>0.93754325227444724</v>
      </c>
    </row>
    <row r="262" spans="1:84" s="6" customFormat="1" ht="11.25" x14ac:dyDescent="0.2">
      <c r="A262" s="11">
        <v>43348</v>
      </c>
      <c r="B262" s="379">
        <f>'2022'!Maxi_hp</f>
        <v>53.427461866974461</v>
      </c>
      <c r="C262" s="13">
        <f>'2022'!An_max</f>
        <v>2020</v>
      </c>
      <c r="D262" s="1045">
        <f t="shared" si="97"/>
        <v>1.0075797245837459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53.025542856220696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53.007980175422766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53.023402405636645</v>
      </c>
      <c r="AZ262" s="735">
        <f t="shared" si="115"/>
        <v>53.015691290529702</v>
      </c>
      <c r="BA262" s="633">
        <f t="shared" si="112"/>
        <v>1.0075797245837459</v>
      </c>
      <c r="BC262" s="11">
        <v>43348</v>
      </c>
      <c r="BD262" s="289">
        <f>[3]!FeuilCaduc*(1-Persistant)+Persistant</f>
        <v>0.97724201549381062</v>
      </c>
      <c r="BE262" s="290">
        <f>[3]!CroissVégét</f>
        <v>0.97304137466019458</v>
      </c>
      <c r="BF262" s="804">
        <f>1+[3]!Salcycl*Ksac</f>
        <v>1.0477242015493811</v>
      </c>
      <c r="BH262" s="1036">
        <f t="shared" si="113"/>
        <v>2.0156323392150639E-3</v>
      </c>
      <c r="BI262" s="11">
        <v>44444</v>
      </c>
      <c r="BJ262" s="715">
        <v>1.9857844498019713E-7</v>
      </c>
      <c r="BK262" s="715">
        <v>6.9484397323568632E-5</v>
      </c>
      <c r="BL262" s="715">
        <v>3.8085631135717626E-4</v>
      </c>
      <c r="BM262" s="715">
        <v>1.2018006059584926E-3</v>
      </c>
      <c r="BN262" s="715">
        <v>2.8323581888556287E-3</v>
      </c>
      <c r="BO262" s="716">
        <v>5.5857188322175969E-3</v>
      </c>
      <c r="BP262" s="715">
        <v>9.8305627582942201E-3</v>
      </c>
      <c r="BQ262" s="715">
        <v>1.5977795181322689E-2</v>
      </c>
      <c r="BR262" s="715">
        <v>2.4394055619059104E-2</v>
      </c>
      <c r="BS262" s="715">
        <v>3.5528942455910435E-2</v>
      </c>
      <c r="BT262" s="715">
        <v>4.8603395761438774E-2</v>
      </c>
      <c r="BW262" s="1190">
        <f>'2019'!R\Max</f>
        <v>0.72363627265820074</v>
      </c>
      <c r="BX262" s="1190">
        <f>'2020'!R\Max</f>
        <v>1.0075797245837459</v>
      </c>
      <c r="BY262" s="1190">
        <f>'2021'!R\Max</f>
        <v>0.88065219651535631</v>
      </c>
      <c r="BZ262" s="1190">
        <f>'2022'!R\Max</f>
        <v>0.82328582843806031</v>
      </c>
      <c r="CA262" s="1190">
        <f>'2023'!R\Max</f>
        <v>0.82324190723766777</v>
      </c>
      <c r="CB262" s="1190">
        <f>'2024'!R\Max</f>
        <v>0.82317884344864656</v>
      </c>
      <c r="CC262" s="1190">
        <f>'2025'!R\Max</f>
        <v>0.82311518483375046</v>
      </c>
      <c r="CD262" s="1190">
        <f>'2026'!R\Max</f>
        <v>0.82338674073903395</v>
      </c>
      <c r="CE262" s="1191">
        <f>'2027'!R\Max</f>
        <v>0.82335918790526097</v>
      </c>
      <c r="CF262" s="1193">
        <f>'2028'!R\Max</f>
        <v>0.82333071563090166</v>
      </c>
    </row>
    <row r="263" spans="1:84" s="6" customFormat="1" ht="11.25" x14ac:dyDescent="0.2">
      <c r="A263" s="11">
        <v>43349</v>
      </c>
      <c r="B263" s="379">
        <f>'2022'!Maxi_hp</f>
        <v>54.427802265876565</v>
      </c>
      <c r="C263" s="13">
        <f>'2022'!An_max</f>
        <v>2018</v>
      </c>
      <c r="D263" s="1045">
        <f t="shared" si="97"/>
        <v>1.0312918001857614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52.776335714172035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52.759658026362636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52.771704929388534</v>
      </c>
      <c r="AZ263" s="735">
        <f t="shared" si="115"/>
        <v>52.765681477875589</v>
      </c>
      <c r="BA263" s="633">
        <f t="shared" si="112"/>
        <v>1.0312918001857614</v>
      </c>
      <c r="BC263" s="11">
        <v>43349</v>
      </c>
      <c r="BD263" s="289">
        <f>[3]!FeuilCaduc*(1-Persistant)+Persistant</f>
        <v>0.975873029701537</v>
      </c>
      <c r="BE263" s="290">
        <f>[3]!CroissVégét</f>
        <v>0.97411138252345786</v>
      </c>
      <c r="BF263" s="804">
        <f>1+[3]!Salcycl*Ksac</f>
        <v>1.0475873029701537</v>
      </c>
      <c r="BH263" s="1036">
        <f t="shared" si="113"/>
        <v>2.0708682130842889E-3</v>
      </c>
      <c r="BI263" s="11">
        <v>44445</v>
      </c>
      <c r="BJ263" s="715">
        <v>2.4714630956263104E-7</v>
      </c>
      <c r="BK263" s="715">
        <v>7.4502315194429624E-5</v>
      </c>
      <c r="BL263" s="715">
        <v>3.9675532709060953E-4</v>
      </c>
      <c r="BM263" s="715">
        <v>1.238650073677278E-3</v>
      </c>
      <c r="BN263" s="715">
        <v>2.9060458538893059E-3</v>
      </c>
      <c r="BO263" s="716">
        <v>5.7214110974077642E-3</v>
      </c>
      <c r="BP263" s="715">
        <v>1.0074124031347239E-2</v>
      </c>
      <c r="BQ263" s="715">
        <v>1.6385620578806635E-2</v>
      </c>
      <c r="BR263" s="715">
        <v>2.5042682630096944E-2</v>
      </c>
      <c r="BS263" s="715">
        <v>3.6512092113397031E-2</v>
      </c>
      <c r="BT263" s="715">
        <v>4.999380286119387E-2</v>
      </c>
      <c r="BW263" s="1190">
        <f>'2019'!R\Max</f>
        <v>1.0312918001857614</v>
      </c>
      <c r="BX263" s="1190">
        <f>'2020'!R\Max</f>
        <v>0.90854653982856659</v>
      </c>
      <c r="BY263" s="1190">
        <f>'2021'!R\Max</f>
        <v>0.94698894774780773</v>
      </c>
      <c r="BZ263" s="1190">
        <f>'2022'!R\Max</f>
        <v>0.93625668330744571</v>
      </c>
      <c r="CA263" s="1190">
        <f>'2023'!R\Max</f>
        <v>0.93623814636182223</v>
      </c>
      <c r="CB263" s="1190">
        <f>'2024'!R\Max</f>
        <v>0.93621148545064892</v>
      </c>
      <c r="CC263" s="1190">
        <f>'2025'!R\Max</f>
        <v>0.93618457829781576</v>
      </c>
      <c r="CD263" s="1190">
        <f>'2026'!R\Max</f>
        <v>0.93629921071678579</v>
      </c>
      <c r="CE263" s="1191">
        <f>'2027'!R\Max</f>
        <v>0.93628761184696907</v>
      </c>
      <c r="CF263" s="1193">
        <f>'2028'!R\Max</f>
        <v>0.93627563076530118</v>
      </c>
    </row>
    <row r="264" spans="1:84" s="6" customFormat="1" ht="11.25" x14ac:dyDescent="0.2">
      <c r="A264" s="11">
        <v>43350</v>
      </c>
      <c r="B264" s="379">
        <f>'2022'!Maxi_hp</f>
        <v>49.351657913110358</v>
      </c>
      <c r="C264" s="13">
        <f>'2022'!An_max</f>
        <v>2018</v>
      </c>
      <c r="D264" s="1045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52.523542856850796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52.507901093283934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52.515639649544447</v>
      </c>
      <c r="AZ264" s="735">
        <f t="shared" si="115"/>
        <v>52.511770371414187</v>
      </c>
      <c r="BA264" s="633">
        <f t="shared" si="112"/>
        <v>0.93961022483983636</v>
      </c>
      <c r="BC264" s="11">
        <v>43350</v>
      </c>
      <c r="BD264" s="289">
        <f>[3]!FeuilCaduc*(1-Persistant)+Persistant</f>
        <v>0.97444253798984359</v>
      </c>
      <c r="BE264" s="290">
        <f>[3]!CroissVégét</f>
        <v>0.97514052098953308</v>
      </c>
      <c r="BF264" s="804">
        <f>1+[3]!Salcycl*Ksac</f>
        <v>1.0474442537989843</v>
      </c>
      <c r="BH264" s="1036">
        <f t="shared" si="113"/>
        <v>2.126227299276588E-3</v>
      </c>
      <c r="BI264" s="11">
        <v>44446</v>
      </c>
      <c r="BJ264" s="715">
        <v>3.0256746759969833E-7</v>
      </c>
      <c r="BK264" s="715">
        <v>7.949680903721492E-5</v>
      </c>
      <c r="BL264" s="715">
        <v>4.1239288908567637E-4</v>
      </c>
      <c r="BM264" s="715">
        <v>1.2752752740564292E-3</v>
      </c>
      <c r="BN264" s="715">
        <v>2.9802054466022674E-3</v>
      </c>
      <c r="BO264" s="716">
        <v>5.8596387238341223E-3</v>
      </c>
      <c r="BP264" s="715">
        <v>1.0323737859285248E-2</v>
      </c>
      <c r="BQ264" s="715">
        <v>1.6805714753305542E-2</v>
      </c>
      <c r="BR264" s="715">
        <v>2.5712611963901316E-2</v>
      </c>
      <c r="BS264" s="715">
        <v>3.7530396517869026E-2</v>
      </c>
      <c r="BT264" s="715">
        <v>5.1436502755092962E-2</v>
      </c>
      <c r="BW264" s="1190">
        <f>'2019'!R\Max</f>
        <v>0.93961022483983636</v>
      </c>
      <c r="BX264" s="1190">
        <f>'2020'!R\Max</f>
        <v>0.56449699513495155</v>
      </c>
      <c r="BY264" s="1190">
        <f>'2021'!R\Max</f>
        <v>0.73833618718784777</v>
      </c>
      <c r="BZ264" s="1190">
        <f>'2022'!R\Max</f>
        <v>0.74887471129934091</v>
      </c>
      <c r="CA264" s="1190">
        <f>'2023'!R\Max</f>
        <v>0.74881460630298291</v>
      </c>
      <c r="CB264" s="1190">
        <f>'2024'!R\Max</f>
        <v>0.74872802576420905</v>
      </c>
      <c r="CC264" s="1190">
        <f>'2025'!R\Max</f>
        <v>0.74864068507701154</v>
      </c>
      <c r="CD264" s="1190">
        <f>'2026'!R\Max</f>
        <v>0.74901244681256152</v>
      </c>
      <c r="CE264" s="1191">
        <f>'2027'!R\Max</f>
        <v>0.74897491609923439</v>
      </c>
      <c r="CF264" s="1193">
        <f>'2028'!R\Max</f>
        <v>0.74893616769886862</v>
      </c>
    </row>
    <row r="265" spans="1:84" s="6" customFormat="1" ht="11.25" x14ac:dyDescent="0.2">
      <c r="A265" s="11">
        <v>43351</v>
      </c>
      <c r="B265" s="379">
        <f>'2022'!Maxi_hp</f>
        <v>48.219770599083176</v>
      </c>
      <c r="C265" s="13">
        <f>'2022'!An_max</f>
        <v>2020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52.267164285480973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52.252695654079858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52.255330056404432</v>
      </c>
      <c r="AZ265" s="735">
        <f t="shared" si="115"/>
        <v>52.254012855242145</v>
      </c>
      <c r="BA265" s="633">
        <f t="shared" si="112"/>
        <v>0.9225633580522733</v>
      </c>
      <c r="BC265" s="11">
        <v>43351</v>
      </c>
      <c r="BD265" s="289">
        <f>[3]!FeuilCaduc*(1-Persistant)+Persistant</f>
        <v>0.97294813581674267</v>
      </c>
      <c r="BE265" s="290">
        <f>[3]!CroissVégét</f>
        <v>0.97613026748322473</v>
      </c>
      <c r="BF265" s="804">
        <f>1+[3]!Salcycl*Ksac</f>
        <v>1.0472948135816742</v>
      </c>
      <c r="BH265" s="1036">
        <f t="shared" si="113"/>
        <v>2.181711495764055E-3</v>
      </c>
      <c r="BI265" s="11">
        <v>44447</v>
      </c>
      <c r="BJ265" s="715">
        <v>3.6484680799134746E-7</v>
      </c>
      <c r="BK265" s="715">
        <v>8.4468014359326301E-5</v>
      </c>
      <c r="BL265" s="715">
        <v>4.2776935690632978E-4</v>
      </c>
      <c r="BM265" s="715">
        <v>1.3116772910661109E-3</v>
      </c>
      <c r="BN265" s="715">
        <v>3.0548396818632592E-3</v>
      </c>
      <c r="BO265" s="716">
        <v>6.0004076334289266E-3</v>
      </c>
      <c r="BP265" s="715">
        <v>1.0579415614551285E-2</v>
      </c>
      <c r="BQ265" s="715">
        <v>1.7238097768561816E-2</v>
      </c>
      <c r="BR265" s="715">
        <v>2.6403876284598268E-2</v>
      </c>
      <c r="BS265" s="715">
        <v>3.8583906417621223E-2</v>
      </c>
      <c r="BT265" s="715">
        <v>5.2931568268324534E-2</v>
      </c>
      <c r="BW265" s="1190">
        <f>'2019'!R\Max</f>
        <v>0.8980097815656195</v>
      </c>
      <c r="BX265" s="1190">
        <f>'2020'!R\Max</f>
        <v>0.9225633580522733</v>
      </c>
      <c r="BY265" s="1190">
        <f>'2021'!R\Max</f>
        <v>0.62835647056647925</v>
      </c>
      <c r="BZ265" s="1190">
        <f>'2022'!R\Max</f>
        <v>0.73145373370307165</v>
      </c>
      <c r="CA265" s="1190">
        <f>'2023'!R\Max</f>
        <v>0.7313891212170448</v>
      </c>
      <c r="CB265" s="1190">
        <f>'2024'!R\Max</f>
        <v>0.73129588355187969</v>
      </c>
      <c r="CC265" s="1190">
        <f>'2025'!R\Max</f>
        <v>0.73120185438224039</v>
      </c>
      <c r="CD265" s="1190">
        <f>'2026'!R\Max</f>
        <v>0.73160160757902015</v>
      </c>
      <c r="CE265" s="1191">
        <f>'2027'!R\Max</f>
        <v>0.7315613552486292</v>
      </c>
      <c r="CF265" s="1193">
        <f>'2028'!R\Max</f>
        <v>0.73151981331995031</v>
      </c>
    </row>
    <row r="266" spans="1:84" s="6" customFormat="1" ht="11.25" x14ac:dyDescent="0.2">
      <c r="A266" s="11">
        <v>43352</v>
      </c>
      <c r="B266" s="379">
        <f>'2022'!Maxi_hp</f>
        <v>50.375328728188094</v>
      </c>
      <c r="C266" s="13">
        <f>'2022'!An_max</f>
        <v>2020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52.007199999690059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51.994027988133688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51.990899635478854</v>
      </c>
      <c r="AZ266" s="735">
        <f t="shared" si="115"/>
        <v>51.992463811806275</v>
      </c>
      <c r="BA266" s="633">
        <f t="shared" si="112"/>
        <v>0.96862220478103633</v>
      </c>
      <c r="BC266" s="11">
        <v>43352</v>
      </c>
      <c r="BD266" s="289">
        <f>[3]!FeuilCaduc*(1-Persistant)+Persistant</f>
        <v>0.97138731909971887</v>
      </c>
      <c r="BE266" s="290">
        <f>[3]!CroissVégét</f>
        <v>0.97708205248193514</v>
      </c>
      <c r="BF266" s="804">
        <f>1+[3]!Salcycl*Ksac</f>
        <v>1.0471387319099719</v>
      </c>
      <c r="BH266" s="1036">
        <f t="shared" si="113"/>
        <v>2.2373227441295071E-3</v>
      </c>
      <c r="BI266" s="11">
        <v>44448</v>
      </c>
      <c r="BJ266" s="715">
        <v>4.3398963377800747E-7</v>
      </c>
      <c r="BK266" s="715">
        <v>8.9416068772905704E-5</v>
      </c>
      <c r="BL266" s="715">
        <v>4.4288508628460735E-4</v>
      </c>
      <c r="BM266" s="715">
        <v>1.3478572208219164E-3</v>
      </c>
      <c r="BN266" s="715">
        <v>3.1299513497289378E-3</v>
      </c>
      <c r="BO266" s="716">
        <v>6.143723978972164E-3</v>
      </c>
      <c r="BP266" s="715">
        <v>1.0841169167525207E-2</v>
      </c>
      <c r="BQ266" s="715">
        <v>1.7682790640975218E-2</v>
      </c>
      <c r="BR266" s="715">
        <v>2.7116509871520558E-2</v>
      </c>
      <c r="BS266" s="715">
        <v>3.9672675169315968E-2</v>
      </c>
      <c r="BT266" s="715">
        <v>5.4479076059042494E-2</v>
      </c>
      <c r="BW266" s="1190">
        <f>'2019'!R\Max</f>
        <v>0.78226132501244006</v>
      </c>
      <c r="BX266" s="1190">
        <f>'2020'!R\Max</f>
        <v>0.96862220478103633</v>
      </c>
      <c r="BY266" s="1190">
        <f>'2021'!R\Max</f>
        <v>0.35714123216408278</v>
      </c>
      <c r="BZ266" s="1190">
        <f>'2022'!R\Max</f>
        <v>0.49228790319639493</v>
      </c>
      <c r="CA266" s="1190">
        <f>'2023'!R\Max</f>
        <v>0.49220328251310469</v>
      </c>
      <c r="CB266" s="1190">
        <f>'2024'!R\Max</f>
        <v>0.49208097053803967</v>
      </c>
      <c r="CC266" s="1190">
        <f>'2025'!R\Max</f>
        <v>0.49195768129752571</v>
      </c>
      <c r="CD266" s="1190">
        <f>'2026'!R\Max</f>
        <v>0.49248137136810105</v>
      </c>
      <c r="CE266" s="1191">
        <f>'2027'!R\Max</f>
        <v>0.4924287544008587</v>
      </c>
      <c r="CF266" s="1193">
        <f>'2028'!R\Max</f>
        <v>0.49237447676455137</v>
      </c>
    </row>
    <row r="267" spans="1:84" s="6" customFormat="1" ht="11.25" x14ac:dyDescent="0.2">
      <c r="A267" s="11">
        <v>43353</v>
      </c>
      <c r="B267" s="379">
        <f>'2022'!Maxi_hp</f>
        <v>50.671626429813287</v>
      </c>
      <c r="C267" s="13">
        <f>'2022'!An_max</f>
        <v>2022</v>
      </c>
      <c r="D267" s="1045">
        <f t="shared" si="97"/>
        <v>0.9792820264974843</v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51.743649999424818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51.731884375028315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51.722471874952319</v>
      </c>
      <c r="AZ267" s="735">
        <f t="shared" si="115"/>
        <v>51.727178124990317</v>
      </c>
      <c r="BA267" s="633">
        <f t="shared" si="112"/>
        <v>0.9792820264974843</v>
      </c>
      <c r="BC267" s="11">
        <v>43353</v>
      </c>
      <c r="BD267" s="289">
        <f>[3]!FeuilCaduc*(1-Persistant)+Persistant</f>
        <v>0.96975748197375844</v>
      </c>
      <c r="BE267" s="290">
        <f>[3]!CroissVégét</f>
        <v>0.97799726049726488</v>
      </c>
      <c r="BF267" s="804">
        <f>1+[3]!Salcycl*Ksac</f>
        <v>1.0469757481973758</v>
      </c>
      <c r="BH267" s="1036">
        <f t="shared" si="113"/>
        <v>2.2930630296872203E-3</v>
      </c>
      <c r="BI267" s="11">
        <v>44449</v>
      </c>
      <c r="BJ267" s="715">
        <v>5.1000167418515698E-7</v>
      </c>
      <c r="BK267" s="715">
        <v>9.4341111948385752E-5</v>
      </c>
      <c r="BL267" s="715">
        <v>4.5774042863834871E-4</v>
      </c>
      <c r="BM267" s="715">
        <v>1.3838161711297629E-3</v>
      </c>
      <c r="BN267" s="715">
        <v>3.2055433161425006E-3</v>
      </c>
      <c r="BO267" s="716">
        <v>6.2895941483033652E-3</v>
      </c>
      <c r="BP267" s="715">
        <v>1.1109010896736786E-2</v>
      </c>
      <c r="BQ267" s="715">
        <v>1.8139815360481017E-2</v>
      </c>
      <c r="BR267" s="715">
        <v>2.7850548655599525E-2</v>
      </c>
      <c r="BS267" s="715">
        <v>4.0796758798241017E-2</v>
      </c>
      <c r="BT267" s="715">
        <v>5.6079106708176896E-2</v>
      </c>
      <c r="BW267" s="1190">
        <f>'2019'!R\Max</f>
        <v>0.26680746798116117</v>
      </c>
      <c r="BX267" s="1190">
        <f>'2020'!R\Max</f>
        <v>0.50225248296757052</v>
      </c>
      <c r="BY267" s="1190">
        <f>'2021'!R\Max</f>
        <v>0.76969225579233347</v>
      </c>
      <c r="BZ267" s="1190">
        <f>'2022'!R\Max</f>
        <v>0.9792820264974843</v>
      </c>
      <c r="CA267" s="1190">
        <f>'2023'!R\Max</f>
        <v>0.97927495382257501</v>
      </c>
      <c r="CB267" s="1190">
        <f>'2024'!R\Max</f>
        <v>0.97926470708077751</v>
      </c>
      <c r="CC267" s="1190">
        <f>'2025'!R\Max</f>
        <v>0.9792543760135467</v>
      </c>
      <c r="CD267" s="1190">
        <f>'2026'!R\Max</f>
        <v>0.97929816754271237</v>
      </c>
      <c r="CE267" s="1191">
        <f>'2027'!R\Max</f>
        <v>0.97929378335054451</v>
      </c>
      <c r="CF267" s="1193">
        <f>'2028'!R\Max</f>
        <v>0.97928926133958316</v>
      </c>
    </row>
    <row r="268" spans="1:84" s="6" customFormat="1" ht="11.25" x14ac:dyDescent="0.2">
      <c r="A268" s="11">
        <v>43354</v>
      </c>
      <c r="B268" s="379">
        <f>'2022'!Maxi_hp</f>
        <v>50.053661459050645</v>
      </c>
      <c r="C268" s="13">
        <f>'2022'!An_max</f>
        <v>2022</v>
      </c>
      <c r="D268" s="1045">
        <f t="shared" si="97"/>
        <v>0.97235918464800486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51.476514285377093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51.466251093601542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51.450170262477229</v>
      </c>
      <c r="AZ268" s="735">
        <f t="shared" si="115"/>
        <v>51.458210678039386</v>
      </c>
      <c r="BA268" s="633">
        <f t="shared" si="112"/>
        <v>0.97235918464800486</v>
      </c>
      <c r="BC268" s="11">
        <v>43354</v>
      </c>
      <c r="BD268" s="289">
        <f>[3]!FeuilCaduc*(1-Persistant)+Persistant</f>
        <v>0.96805591556963244</v>
      </c>
      <c r="BE268" s="290">
        <f>[3]!CroissVégét</f>
        <v>0.97887723107993829</v>
      </c>
      <c r="BF268" s="804">
        <f>1+[3]!Salcycl*Ksac</f>
        <v>1.0468055915569632</v>
      </c>
      <c r="BH268" s="1036">
        <f t="shared" si="113"/>
        <v>2.3490631332211648E-3</v>
      </c>
      <c r="BI268" s="11">
        <v>44450</v>
      </c>
      <c r="BJ268" s="715">
        <v>5.8689381550365686E-7</v>
      </c>
      <c r="BK268" s="715">
        <v>9.8967607179421897E-5</v>
      </c>
      <c r="BL268" s="715">
        <v>4.7197391219348236E-4</v>
      </c>
      <c r="BM268" s="715">
        <v>1.4192715331419132E-3</v>
      </c>
      <c r="BN268" s="715">
        <v>3.2821612215995651E-3</v>
      </c>
      <c r="BO268" s="716">
        <v>6.4402076965700402E-3</v>
      </c>
      <c r="BP268" s="715">
        <v>1.1387543265138286E-2</v>
      </c>
      <c r="BQ268" s="715">
        <v>1.8617589191548736E-2</v>
      </c>
      <c r="BR268" s="715">
        <v>2.8620117951542106E-2</v>
      </c>
      <c r="BS268" s="715">
        <v>4.198013429727903E-2</v>
      </c>
      <c r="BT268" s="715">
        <v>5.776866704193856E-2</v>
      </c>
      <c r="BW268" s="1190">
        <f>'2019'!R\Max</f>
        <v>0.9241242483382176</v>
      </c>
      <c r="BX268" s="1190">
        <f>'2020'!R\Max</f>
        <v>0.89687030266440115</v>
      </c>
      <c r="BY268" s="1190">
        <f>'2021'!R\Max</f>
        <v>0.8312981808485389</v>
      </c>
      <c r="BZ268" s="1190">
        <f>'2022'!R\Max</f>
        <v>0.97235918464800486</v>
      </c>
      <c r="CA268" s="1190">
        <f>'2023'!R\Max</f>
        <v>0.9723495335903577</v>
      </c>
      <c r="CB268" s="1190">
        <f>'2024'!R\Max</f>
        <v>0.97233552319171834</v>
      </c>
      <c r="CC268" s="1190">
        <f>'2025'!R\Max</f>
        <v>0.97232140083355656</v>
      </c>
      <c r="CD268" s="1190">
        <f>'2026'!R\Max</f>
        <v>0.97238118328550638</v>
      </c>
      <c r="CE268" s="1191">
        <f>'2027'!R\Max</f>
        <v>0.97237521394530702</v>
      </c>
      <c r="CF268" s="1193">
        <f>'2028'!R\Max</f>
        <v>0.97236905883801594</v>
      </c>
    </row>
    <row r="269" spans="1:84" s="6" customFormat="1" ht="11.25" x14ac:dyDescent="0.2">
      <c r="A269" s="11">
        <v>43355</v>
      </c>
      <c r="B269" s="379">
        <f>'2022'!Maxi_hp</f>
        <v>50.716513586551613</v>
      </c>
      <c r="C269" s="13">
        <f>'2022'!An_max</f>
        <v>2018</v>
      </c>
      <c r="D269" s="1045">
        <f t="shared" si="97"/>
        <v>0.99044484534175503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51.205792856695396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51.197114422757707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51.174118285878954</v>
      </c>
      <c r="AZ269" s="735">
        <f t="shared" si="115"/>
        <v>51.185616354318327</v>
      </c>
      <c r="BA269" s="633">
        <f t="shared" si="112"/>
        <v>0.99044484534175503</v>
      </c>
      <c r="BC269" s="11">
        <v>43355</v>
      </c>
      <c r="BD269" s="289">
        <f>[3]!FeuilCaduc*(1-Persistant)+Persistant</f>
        <v>0.96627980795962354</v>
      </c>
      <c r="BE269" s="290">
        <f>[3]!CroissVégét</f>
        <v>0.97972325984311226</v>
      </c>
      <c r="BF269" s="804">
        <f>1+[3]!Salcycl*Ksac</f>
        <v>1.0466279807959624</v>
      </c>
      <c r="BH269" s="1036">
        <f t="shared" si="113"/>
        <v>2.4059294781723327E-3</v>
      </c>
      <c r="BI269" s="11">
        <v>44451</v>
      </c>
      <c r="BJ269" s="715">
        <v>6.6030551033985178E-7</v>
      </c>
      <c r="BK269" s="715">
        <v>1.0321739866961132E-4</v>
      </c>
      <c r="BL269" s="715">
        <v>4.8577879599906036E-4</v>
      </c>
      <c r="BM269" s="715">
        <v>1.4547201288945039E-3</v>
      </c>
      <c r="BN269" s="715">
        <v>3.3605214807061819E-3</v>
      </c>
      <c r="BO269" s="716">
        <v>6.595969344089043E-3</v>
      </c>
      <c r="BP269" s="715">
        <v>1.167576454133786E-2</v>
      </c>
      <c r="BQ269" s="715">
        <v>1.9112828811842428E-2</v>
      </c>
      <c r="BR269" s="715">
        <v>2.941817165064875E-2</v>
      </c>
      <c r="BS269" s="715">
        <v>4.3210361096474581E-2</v>
      </c>
      <c r="BT269" s="715">
        <v>5.9528235515464323E-2</v>
      </c>
      <c r="BW269" s="1190">
        <f>'2019'!R\Max</f>
        <v>0.99044484534175503</v>
      </c>
      <c r="BX269" s="1190">
        <f>'2020'!R\Max</f>
        <v>0.89599273120057943</v>
      </c>
      <c r="BY269" s="1190">
        <f>'2021'!R\Max</f>
        <v>0.93997362337839385</v>
      </c>
      <c r="BZ269" s="1190">
        <f>'2022'!R\Max</f>
        <v>0.70941838207200769</v>
      </c>
      <c r="CA269" s="1190">
        <f>'2023'!R\Max</f>
        <v>0.70934212134466401</v>
      </c>
      <c r="CB269" s="1190">
        <f>'2024'!R\Max</f>
        <v>0.7092312111412008</v>
      </c>
      <c r="CC269" s="1190">
        <f>'2025'!R\Max</f>
        <v>0.70911947083992066</v>
      </c>
      <c r="CD269" s="1190">
        <f>'2026'!R\Max</f>
        <v>0.70959208030491605</v>
      </c>
      <c r="CE269" s="1191">
        <f>'2027'!R\Max</f>
        <v>0.70954498098781815</v>
      </c>
      <c r="CF269" s="1193">
        <f>'2028'!R\Max</f>
        <v>0.70949643574126442</v>
      </c>
    </row>
    <row r="270" spans="1:84" s="6" customFormat="1" ht="11.25" x14ac:dyDescent="0.2">
      <c r="A270" s="11">
        <v>43356</v>
      </c>
      <c r="B270" s="379">
        <f>'2022'!Maxi_hp</f>
        <v>48.946025733501244</v>
      </c>
      <c r="C270" s="13">
        <f>'2022'!An_max</f>
        <v>2020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50.931485713805472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50.924460640975404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50.894439431945123</v>
      </c>
      <c r="AZ270" s="735">
        <f t="shared" si="115"/>
        <v>50.909450036460264</v>
      </c>
      <c r="BA270" s="633">
        <f t="shared" si="112"/>
        <v>0.96101704176742586</v>
      </c>
      <c r="BC270" s="11">
        <v>43356</v>
      </c>
      <c r="BD270" s="289">
        <f>[3]!FeuilCaduc*(1-Persistant)+Persistant</f>
        <v>0.96442624540742083</v>
      </c>
      <c r="BE270" s="290">
        <f>[3]!CroissVégét</f>
        <v>0.98053659949953242</v>
      </c>
      <c r="BF270" s="804">
        <f>1+[3]!Salcycl*Ksac</f>
        <v>1.0464426245407421</v>
      </c>
      <c r="BH270" s="1036">
        <f t="shared" si="113"/>
        <v>2.4636646697119256E-3</v>
      </c>
      <c r="BI270" s="11">
        <v>44452</v>
      </c>
      <c r="BJ270" s="715">
        <v>7.3023682114687918E-7</v>
      </c>
      <c r="BK270" s="715">
        <v>1.0709039017521006E-4</v>
      </c>
      <c r="BL270" s="715">
        <v>4.9915529347681635E-4</v>
      </c>
      <c r="BM270" s="715">
        <v>1.490163230177626E-3</v>
      </c>
      <c r="BN270" s="715">
        <v>3.4406280367563799E-3</v>
      </c>
      <c r="BO270" s="716">
        <v>6.7568879779075948E-3</v>
      </c>
      <c r="BP270" s="715">
        <v>1.1973691185933326E-2</v>
      </c>
      <c r="BQ270" s="715">
        <v>1.9625562865216589E-2</v>
      </c>
      <c r="BR270" s="715">
        <v>3.0244755898743699E-2</v>
      </c>
      <c r="BS270" s="715">
        <v>4.4487511836048245E-2</v>
      </c>
      <c r="BT270" s="715">
        <v>6.1357917542545722E-2</v>
      </c>
      <c r="BW270" s="1190">
        <f>'2019'!R\Max</f>
        <v>0.77635020765143947</v>
      </c>
      <c r="BX270" s="1190">
        <f>'2020'!R\Max</f>
        <v>0.96101704176742586</v>
      </c>
      <c r="BY270" s="1190">
        <f>'2021'!R\Max</f>
        <v>0.67162487234832802</v>
      </c>
      <c r="BZ270" s="1190">
        <f>'2022'!R\Max</f>
        <v>0.30266882066894812</v>
      </c>
      <c r="CA270" s="1190">
        <f>'2023'!R\Max</f>
        <v>0.30258836921684973</v>
      </c>
      <c r="CB270" s="1190">
        <f>'2024'!R\Max</f>
        <v>0.30247116237577798</v>
      </c>
      <c r="CC270" s="1190">
        <f>'2025'!R\Max</f>
        <v>0.30235315757513148</v>
      </c>
      <c r="CD270" s="1190">
        <f>'2026'!R\Max</f>
        <v>0.3028519889503648</v>
      </c>
      <c r="CE270" s="1191">
        <f>'2027'!R\Max</f>
        <v>0.30280234715920895</v>
      </c>
      <c r="CF270" s="1193">
        <f>'2028'!R\Max</f>
        <v>0.30275120533179573</v>
      </c>
    </row>
    <row r="271" spans="1:84" s="6" customFormat="1" ht="11.25" x14ac:dyDescent="0.2">
      <c r="A271" s="11">
        <v>43357</v>
      </c>
      <c r="B271" s="379">
        <f>'2022'!Maxi_hp</f>
        <v>48.424336454195235</v>
      </c>
      <c r="C271" s="13">
        <f>'2022'!An_max</f>
        <v>2020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50.653592856813759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50.648276029034918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50.611257187995527</v>
      </c>
      <c r="AZ271" s="735">
        <f t="shared" si="115"/>
        <v>50.629766608515226</v>
      </c>
      <c r="BA271" s="633">
        <f t="shared" ref="BA271:BA334" si="131">+B271/J271</f>
        <v>0.95599016225916833</v>
      </c>
      <c r="BC271" s="11">
        <v>43357</v>
      </c>
      <c r="BD271" s="289">
        <f>[3]!FeuilCaduc*(1-Persistant)+Persistant</f>
        <v>0.96249221504654114</v>
      </c>
      <c r="BE271" s="290">
        <f>[3]!CroissVégét</f>
        <v>0.98131846090840358</v>
      </c>
      <c r="BF271" s="804">
        <f>1+[3]!Salcycl*Ksac</f>
        <v>1.0462492215046542</v>
      </c>
      <c r="BH271" s="1036">
        <f t="shared" ref="BH271:BH334" si="132">INDEX($BJ271:$BT271,,$BH$10)*(1-Ratini)+INDEX($BJ271:$BT271,,$BH$10+1)*Ratini</f>
        <v>2.5222714020389004E-3</v>
      </c>
      <c r="BI271" s="11">
        <v>44453</v>
      </c>
      <c r="BJ271" s="715">
        <v>7.966876505776443E-7</v>
      </c>
      <c r="BK271" s="715">
        <v>1.105864656187551E-4</v>
      </c>
      <c r="BL271" s="715">
        <v>5.1210360131756147E-4</v>
      </c>
      <c r="BM271" s="715">
        <v>1.5256021314362124E-3</v>
      </c>
      <c r="BN271" s="715">
        <v>3.5224849886808904E-3</v>
      </c>
      <c r="BO271" s="716">
        <v>6.9229728958005972E-3</v>
      </c>
      <c r="BP271" s="715">
        <v>1.2281340429710781E-2</v>
      </c>
      <c r="BQ271" s="715">
        <v>2.015582136876819E-2</v>
      </c>
      <c r="BR271" s="715">
        <v>3.1099919075960224E-2</v>
      </c>
      <c r="BS271" s="715">
        <v>4.58116627789125E-2</v>
      </c>
      <c r="BT271" s="715">
        <v>6.3257823900334686E-2</v>
      </c>
      <c r="BW271" s="1190">
        <f>'2019'!R\Max</f>
        <v>0.82761691101738488</v>
      </c>
      <c r="BX271" s="1190">
        <f>'2020'!R\Max</f>
        <v>0.95599016225916833</v>
      </c>
      <c r="BY271" s="1190">
        <f>'2021'!R\Max</f>
        <v>0.42025678732596256</v>
      </c>
      <c r="BZ271" s="1190">
        <f>'2022'!R\Max</f>
        <v>0.76358135854478304</v>
      </c>
      <c r="CA271" s="1190">
        <f>'2023'!R\Max</f>
        <v>0.76351042031861194</v>
      </c>
      <c r="CB271" s="1190">
        <f>'2024'!R\Max</f>
        <v>0.76340680681739803</v>
      </c>
      <c r="CC271" s="1190">
        <f>'2025'!R\Max</f>
        <v>0.76330245586548573</v>
      </c>
      <c r="CD271" s="1190">
        <f>'2026'!R\Max</f>
        <v>0.76374264791981905</v>
      </c>
      <c r="CE271" s="1191">
        <f>'2027'!R\Max</f>
        <v>0.76369897767819428</v>
      </c>
      <c r="CF271" s="1193">
        <f>'2028'!R\Max</f>
        <v>0.76365398958217134</v>
      </c>
    </row>
    <row r="272" spans="1:84" s="6" customFormat="1" ht="11.25" x14ac:dyDescent="0.2">
      <c r="A272" s="11">
        <v>43358</v>
      </c>
      <c r="B272" s="379">
        <f>'2022'!Maxi_hp</f>
        <v>49.537413864977964</v>
      </c>
      <c r="C272" s="13">
        <f>'2022'!An_max</f>
        <v>2020</v>
      </c>
      <c r="D272" s="1045">
        <f t="shared" si="116"/>
        <v>0.98342931535476741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50.372114285720251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50.368546865694228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50.32469504363835</v>
      </c>
      <c r="AZ272" s="735">
        <f t="shared" ref="AZ272:AZ335" si="134">(AY272+AT272)/2</f>
        <v>50.346620954666292</v>
      </c>
      <c r="BA272" s="633">
        <f t="shared" si="131"/>
        <v>0.98342931535476741</v>
      </c>
      <c r="BC272" s="11">
        <v>43358</v>
      </c>
      <c r="BD272" s="289">
        <f>[3]!FeuilCaduc*(1-Persistant)+Persistant</f>
        <v>0.96047460909746163</v>
      </c>
      <c r="BE272" s="290">
        <f>[3]!CroissVégét</f>
        <v>0.98207001412819972</v>
      </c>
      <c r="BF272" s="804">
        <f>1+[3]!Salcycl*Ksac</f>
        <v>1.0460474609097461</v>
      </c>
      <c r="BH272" s="1036">
        <f t="shared" si="132"/>
        <v>2.5817524598038817E-3</v>
      </c>
      <c r="BI272" s="11">
        <v>44454</v>
      </c>
      <c r="BJ272" s="715">
        <v>8.5965773528435711E-7</v>
      </c>
      <c r="BK272" s="715">
        <v>1.1370548841978538E-4</v>
      </c>
      <c r="BL272" s="715">
        <v>5.2462389870388767E-4</v>
      </c>
      <c r="BM272" s="715">
        <v>1.5610381496956344E-3</v>
      </c>
      <c r="BN272" s="715">
        <v>3.6060965939747028E-3</v>
      </c>
      <c r="BO272" s="716">
        <v>7.0942338150598539E-3</v>
      </c>
      <c r="BP272" s="715">
        <v>1.2598730290208608E-2</v>
      </c>
      <c r="BQ272" s="715">
        <v>2.0703635742762818E-2</v>
      </c>
      <c r="BR272" s="715">
        <v>3.1983711845597791E-2</v>
      </c>
      <c r="BS272" s="715">
        <v>4.7182893891223432E-2</v>
      </c>
      <c r="BT272" s="715">
        <v>6.5228070849894251E-2</v>
      </c>
      <c r="BW272" s="1190">
        <f>'2019'!R\Max</f>
        <v>0.84287392157150653</v>
      </c>
      <c r="BX272" s="1190">
        <f>'2020'!R\Max</f>
        <v>0.98342931535476741</v>
      </c>
      <c r="BY272" s="1190">
        <f>'2021'!R\Max</f>
        <v>0.62786740711462918</v>
      </c>
      <c r="BZ272" s="1190">
        <f>'2022'!R\Max</f>
        <v>0.8796134273689763</v>
      </c>
      <c r="CA272" s="1190">
        <f>'2023'!R\Max</f>
        <v>0.87957052954590953</v>
      </c>
      <c r="CB272" s="1190">
        <f>'2024'!R\Max</f>
        <v>0.87950772914863307</v>
      </c>
      <c r="CC272" s="1190">
        <f>'2025'!R\Max</f>
        <v>0.87944448556728516</v>
      </c>
      <c r="CD272" s="1190">
        <f>'2026'!R\Max</f>
        <v>0.87971088323466151</v>
      </c>
      <c r="CE272" s="1191">
        <f>'2027'!R\Max</f>
        <v>0.87968451357304789</v>
      </c>
      <c r="CF272" s="1193">
        <f>'2028'!R\Max</f>
        <v>0.87965735320397032</v>
      </c>
    </row>
    <row r="273" spans="1:84" s="6" customFormat="1" ht="11.25" x14ac:dyDescent="0.2">
      <c r="A273" s="11">
        <v>43359</v>
      </c>
      <c r="B273" s="379">
        <f>'2022'!Maxi_hp</f>
        <v>43.865326468567289</v>
      </c>
      <c r="C273" s="13">
        <f>'2022'!An_max</f>
        <v>2018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50.087049999141264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50.085259429658102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50.0348764853685</v>
      </c>
      <c r="AZ273" s="735">
        <f t="shared" si="134"/>
        <v>50.060067957513297</v>
      </c>
      <c r="BA273" s="633">
        <f t="shared" si="131"/>
        <v>0.87578179328427919</v>
      </c>
      <c r="BC273" s="11">
        <v>43359</v>
      </c>
      <c r="BD273" s="289">
        <f>[3]!FeuilCaduc*(1-Persistant)+Persistant</f>
        <v>0.95837023071782013</v>
      </c>
      <c r="BE273" s="290">
        <f>[3]!CroissVégét</f>
        <v>0.98279238947199099</v>
      </c>
      <c r="BF273" s="804">
        <f>1+[3]!Salcycl*Ksac</f>
        <v>1.0458370230717819</v>
      </c>
      <c r="BH273" s="1036">
        <f t="shared" si="132"/>
        <v>2.6421107195554959E-3</v>
      </c>
      <c r="BI273" s="11">
        <v>44455</v>
      </c>
      <c r="BJ273" s="715">
        <v>9.1914663972370697E-7</v>
      </c>
      <c r="BK273" s="715">
        <v>1.1644730082652494E-4</v>
      </c>
      <c r="BL273" s="715">
        <v>5.3671634653740176E-4</v>
      </c>
      <c r="BM273" s="715">
        <v>1.5964726245008803E-3</v>
      </c>
      <c r="BN273" s="715">
        <v>3.6914672716559138E-3</v>
      </c>
      <c r="BO273" s="716">
        <v>7.2706808813446716E-3</v>
      </c>
      <c r="BP273" s="715">
        <v>1.2925879588389984E-2</v>
      </c>
      <c r="BQ273" s="715">
        <v>2.126903884073789E-2</v>
      </c>
      <c r="BR273" s="715">
        <v>3.2896187203251402E-2</v>
      </c>
      <c r="BS273" s="715">
        <v>4.8601288923331216E-2</v>
      </c>
      <c r="BT273" s="715">
        <v>6.7268780257296948E-2</v>
      </c>
      <c r="BW273" s="1190">
        <f>'2019'!R\Max</f>
        <v>0.87578179328427919</v>
      </c>
      <c r="BX273" s="1190">
        <f>'2020'!R\Max</f>
        <v>0.85597582805061434</v>
      </c>
      <c r="BY273" s="1190">
        <f>'2021'!R\Max</f>
        <v>0.44182934038522059</v>
      </c>
      <c r="BZ273" s="1190">
        <f>'2022'!R\Max</f>
        <v>0.7067514003359423</v>
      </c>
      <c r="CA273" s="1190">
        <f>'2023'!R\Max</f>
        <v>0.7066648462081967</v>
      </c>
      <c r="CB273" s="1190">
        <f>'2024'!R\Max</f>
        <v>0.70653787997249229</v>
      </c>
      <c r="CC273" s="1190">
        <f>'2025'!R\Max</f>
        <v>0.706410068543329</v>
      </c>
      <c r="CD273" s="1190">
        <f>'2026'!R\Max</f>
        <v>0.70694797461304393</v>
      </c>
      <c r="CE273" s="1191">
        <f>'2027'!R\Max</f>
        <v>0.70689480496526469</v>
      </c>
      <c r="CF273" s="1193">
        <f>'2028'!R\Max</f>
        <v>0.70684005853661547</v>
      </c>
    </row>
    <row r="274" spans="1:84" s="6" customFormat="1" ht="11.25" x14ac:dyDescent="0.2">
      <c r="A274" s="11">
        <v>43360</v>
      </c>
      <c r="B274" s="379">
        <f>'2022'!Maxi_hp</f>
        <v>49.488032874572205</v>
      </c>
      <c r="C274" s="13">
        <f>'2022'!An_max</f>
        <v>2022</v>
      </c>
      <c r="D274" s="1045">
        <f t="shared" si="116"/>
        <v>0.99376752818510727</v>
      </c>
      <c r="E274" s="1040">
        <f>AF$13/10</f>
        <v>49.798400000000001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49.798399998992679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49.79839999973774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49.741925000026825</v>
      </c>
      <c r="AZ274" s="735">
        <f t="shared" si="134"/>
        <v>49.770162499882282</v>
      </c>
      <c r="BA274" s="633">
        <f t="shared" si="131"/>
        <v>0.99376752818510727</v>
      </c>
      <c r="BC274" s="11">
        <v>43360</v>
      </c>
      <c r="BD274" s="289">
        <f>[3]!FeuilCaduc*(1-Persistant)+Persistant</f>
        <v>0.95617580156270332</v>
      </c>
      <c r="BE274" s="290">
        <f>[3]!CroissVégét</f>
        <v>0.98348667856218763</v>
      </c>
      <c r="BF274" s="804">
        <f>1+[3]!Salcycl*Ksac</f>
        <v>1.0456175801562704</v>
      </c>
      <c r="BH274" s="1036">
        <f t="shared" si="132"/>
        <v>2.7033491512243406E-3</v>
      </c>
      <c r="BI274" s="11">
        <v>44456</v>
      </c>
      <c r="BJ274" s="715">
        <v>9.7515374997612123E-7</v>
      </c>
      <c r="BK274" s="715">
        <v>1.1881172324924767E-4</v>
      </c>
      <c r="BL274" s="715">
        <v>5.4838108667363259E-4</v>
      </c>
      <c r="BM274" s="715">
        <v>1.6319069178784736E-3</v>
      </c>
      <c r="BN274" s="715">
        <v>3.7786016052771599E-3</v>
      </c>
      <c r="BO274" s="716">
        <v>7.4523246776360477E-3</v>
      </c>
      <c r="BP274" s="715">
        <v>1.3262807965499753E-2</v>
      </c>
      <c r="BQ274" s="715">
        <v>2.1852064979909862E-2</v>
      </c>
      <c r="BR274" s="715">
        <v>3.3837400526411765E-2</v>
      </c>
      <c r="BS274" s="715">
        <v>5.0066935491427496E-2</v>
      </c>
      <c r="BT274" s="715">
        <v>6.9380079715689519E-2</v>
      </c>
      <c r="BW274" s="1190">
        <f>'2019'!R\Max</f>
        <v>0.85666413866788582</v>
      </c>
      <c r="BX274" s="1190">
        <f>'2020'!R\Max</f>
        <v>0.87555692763313864</v>
      </c>
      <c r="BY274" s="1190">
        <f>'2021'!R\Max</f>
        <v>0.94174659785288461</v>
      </c>
      <c r="BZ274" s="1190">
        <f>'2022'!R\Max</f>
        <v>0.99376752818510727</v>
      </c>
      <c r="CA274" s="1190">
        <f>'2023'!R\Max</f>
        <v>0.99376486089089189</v>
      </c>
      <c r="CB274" s="1190">
        <f>'2024'!R\Max</f>
        <v>0.99376093843946756</v>
      </c>
      <c r="CC274" s="1190">
        <f>'2025'!R\Max</f>
        <v>0.99375698916237787</v>
      </c>
      <c r="CD274" s="1190">
        <f>'2026'!R\Max</f>
        <v>0.99377358088606671</v>
      </c>
      <c r="CE274" s="1191">
        <f>'2027'!R\Max</f>
        <v>0.9937719447313258</v>
      </c>
      <c r="CF274" s="1193">
        <f>'2028'!R\Max</f>
        <v>0.99377026016793435</v>
      </c>
    </row>
    <row r="275" spans="1:84" s="6" customFormat="1" ht="11.25" x14ac:dyDescent="0.2">
      <c r="A275" s="11">
        <v>43361</v>
      </c>
      <c r="B275" s="379">
        <f>'2022'!Maxi_hp</f>
        <v>49.486707580546806</v>
      </c>
      <c r="C275" s="13">
        <f>'2022'!An_max</f>
        <v>2022</v>
      </c>
      <c r="D275" s="1045">
        <f t="shared" si="116"/>
        <v>0.99961178635239689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49.505926456834587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49.506415834698629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49.445964076143824</v>
      </c>
      <c r="AZ275" s="735">
        <f t="shared" si="134"/>
        <v>49.476189955421226</v>
      </c>
      <c r="BA275" s="633">
        <f t="shared" si="131"/>
        <v>0.99961178635239689</v>
      </c>
      <c r="BC275" s="11">
        <v>43361</v>
      </c>
      <c r="BD275" s="289">
        <f>[3]!FeuilCaduc*(1-Persistant)+Persistant</f>
        <v>0.95388797111337031</v>
      </c>
      <c r="BE275" s="290">
        <f>[3]!CroissVégét</f>
        <v>0.98415393538190332</v>
      </c>
      <c r="BF275" s="804">
        <f>1+[3]!Salcycl*Ksac</f>
        <v>1.0453887971113371</v>
      </c>
      <c r="BH275" s="1036">
        <f t="shared" si="132"/>
        <v>2.7654708195279766E-3</v>
      </c>
      <c r="BI275" s="11">
        <v>44457</v>
      </c>
      <c r="BJ275" s="715">
        <v>1.0276782675385276E-6</v>
      </c>
      <c r="BK275" s="715">
        <v>1.2079855359015015E-4</v>
      </c>
      <c r="BL275" s="715">
        <v>5.5961824114087236E-4</v>
      </c>
      <c r="BM275" s="715">
        <v>1.6673424142506276E-3</v>
      </c>
      <c r="BN275" s="715">
        <v>3.8675043458267495E-3</v>
      </c>
      <c r="BO275" s="716">
        <v>7.6391762329739458E-3</v>
      </c>
      <c r="BP275" s="715">
        <v>1.3609535899536071E-2</v>
      </c>
      <c r="BQ275" s="715">
        <v>2.245274997094834E-2</v>
      </c>
      <c r="BR275" s="715">
        <v>3.4807409623087412E-2</v>
      </c>
      <c r="BS275" s="715">
        <v>5.1579925157749722E-2</v>
      </c>
      <c r="BT275" s="715">
        <v>7.1562102665362629E-2</v>
      </c>
      <c r="BW275" s="1190">
        <f>'2019'!R\Max</f>
        <v>0.55885938818932879</v>
      </c>
      <c r="BX275" s="1190">
        <f>'2020'!R\Max</f>
        <v>0.88878091863813979</v>
      </c>
      <c r="BY275" s="1190">
        <f>'2021'!R\Max</f>
        <v>0.21167241011228696</v>
      </c>
      <c r="BZ275" s="1190">
        <f>'2022'!R\Max</f>
        <v>0.99961178635239689</v>
      </c>
      <c r="CA275" s="1190">
        <f>'2023'!R\Max</f>
        <v>0.99961161402862719</v>
      </c>
      <c r="CB275" s="1190">
        <f>'2024'!R\Max</f>
        <v>0.99961136005111439</v>
      </c>
      <c r="CC275" s="1190">
        <f>'2025'!R\Max</f>
        <v>0.99961110437658618</v>
      </c>
      <c r="CD275" s="1190">
        <f>'2026'!R\Max</f>
        <v>0.99961217726010343</v>
      </c>
      <c r="CE275" s="1191">
        <f>'2027'!R\Max</f>
        <v>0.99961207162546628</v>
      </c>
      <c r="CF275" s="1193">
        <f>'2028'!R\Max</f>
        <v>0.99961196288733523</v>
      </c>
    </row>
    <row r="276" spans="1:84" s="6" customFormat="1" ht="11.25" x14ac:dyDescent="0.2">
      <c r="A276" s="11">
        <v>43362</v>
      </c>
      <c r="B276" s="379">
        <f>'2022'!Maxi_hp</f>
        <v>48.820863149439049</v>
      </c>
      <c r="C276" s="13">
        <f>'2022'!An_max</f>
        <v>2022</v>
      </c>
      <c r="D276" s="1045">
        <f t="shared" si="116"/>
        <v>0.99210311318662803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49.209464722499249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49.208001166286081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49.147117201345303</v>
      </c>
      <c r="AZ276" s="735">
        <f t="shared" si="134"/>
        <v>49.177559183815688</v>
      </c>
      <c r="BA276" s="633">
        <f t="shared" si="131"/>
        <v>0.99210311318662803</v>
      </c>
      <c r="BC276" s="11">
        <v>43362</v>
      </c>
      <c r="BD276" s="289">
        <f>[3]!FeuilCaduc*(1-Persistant)+Persistant</f>
        <v>0.95150332781295988</v>
      </c>
      <c r="BE276" s="290">
        <f>[3]!CroissVégét</f>
        <v>0.98479517732042654</v>
      </c>
      <c r="BF276" s="804">
        <f>1+[3]!Salcycl*Ksac</f>
        <v>1.0451503327812959</v>
      </c>
      <c r="BH276" s="1036">
        <f t="shared" si="132"/>
        <v>2.8278577673100454E-3</v>
      </c>
      <c r="BI276" s="11">
        <v>44458</v>
      </c>
      <c r="BJ276" s="715">
        <v>1.0717528139373238E-6</v>
      </c>
      <c r="BK276" s="715">
        <v>1.223355328162182E-4</v>
      </c>
      <c r="BL276" s="715">
        <v>5.7009386143563087E-4</v>
      </c>
      <c r="BM276" s="715">
        <v>1.7021630261510976E-3</v>
      </c>
      <c r="BN276" s="715">
        <v>3.9575556598092912E-3</v>
      </c>
      <c r="BO276" s="716">
        <v>7.8314419799706009E-3</v>
      </c>
      <c r="BP276" s="715">
        <v>1.3968634404277218E-2</v>
      </c>
      <c r="BQ276" s="715">
        <v>2.3077316208676462E-2</v>
      </c>
      <c r="BR276" s="715">
        <v>3.5825655767169888E-2</v>
      </c>
      <c r="BS276" s="715">
        <v>5.3172689755863235E-2</v>
      </c>
      <c r="BT276" s="715">
        <v>7.3860086509163592E-2</v>
      </c>
      <c r="BW276" s="1190">
        <f>'2019'!R\Max</f>
        <v>0.86729134705651123</v>
      </c>
      <c r="BX276" s="1190">
        <f>'2020'!R\Max</f>
        <v>0.41489131005833002</v>
      </c>
      <c r="BY276" s="1190">
        <f>'2021'!R\Max</f>
        <v>0.75723679777658126</v>
      </c>
      <c r="BZ276" s="1190">
        <f>'2022'!R\Max</f>
        <v>0.99210311318662803</v>
      </c>
      <c r="CA276" s="1190">
        <f>'2023'!R\Max</f>
        <v>0.9920995243349755</v>
      </c>
      <c r="CB276" s="1190">
        <f>'2024'!R\Max</f>
        <v>0.99209422318706186</v>
      </c>
      <c r="CC276" s="1190">
        <f>'2025'!R\Max</f>
        <v>0.99208888750093793</v>
      </c>
      <c r="CD276" s="1190">
        <f>'2026'!R\Max</f>
        <v>0.99211125163912783</v>
      </c>
      <c r="CE276" s="1191">
        <f>'2027'!R\Max</f>
        <v>0.992109053109407</v>
      </c>
      <c r="CF276" s="1193">
        <f>'2028'!R\Max</f>
        <v>0.99210679041586558</v>
      </c>
    </row>
    <row r="277" spans="1:84" s="6" customFormat="1" ht="11.25" x14ac:dyDescent="0.2">
      <c r="A277" s="11">
        <v>43363</v>
      </c>
      <c r="B277" s="379">
        <f>'2022'!Maxi_hp</f>
        <v>50.686359696372008</v>
      </c>
      <c r="C277" s="13">
        <f>'2022'!An_max</f>
        <v>2022</v>
      </c>
      <c r="D277" s="1045">
        <f t="shared" si="116"/>
        <v>1.0363374963227205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48.909124562436979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48.903512736866418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48.845507863257083</v>
      </c>
      <c r="AZ277" s="735">
        <f t="shared" si="134"/>
        <v>48.87451030006175</v>
      </c>
      <c r="BA277" s="633">
        <f t="shared" si="131"/>
        <v>1.0363374963227205</v>
      </c>
      <c r="BC277" s="11">
        <v>43363</v>
      </c>
      <c r="BD277" s="289">
        <f>[3]!FeuilCaduc*(1-Persistant)+Persistant</f>
        <v>0.94901841202696879</v>
      </c>
      <c r="BE277" s="290">
        <f>[3]!CroissVégét</f>
        <v>0.98541138621054403</v>
      </c>
      <c r="BF277" s="804">
        <f>1+[3]!Salcycl*Ksac</f>
        <v>1.0449018412026969</v>
      </c>
      <c r="BH277" s="1036">
        <f t="shared" si="132"/>
        <v>2.8898196023468799E-3</v>
      </c>
      <c r="BI277" s="11">
        <v>44459</v>
      </c>
      <c r="BJ277" s="715">
        <v>1.1048878952777455E-6</v>
      </c>
      <c r="BK277" s="715">
        <v>1.2352638842388244E-4</v>
      </c>
      <c r="BL277" s="715">
        <v>5.7988501898636286E-4</v>
      </c>
      <c r="BM277" s="715">
        <v>1.7361204311026259E-3</v>
      </c>
      <c r="BN277" s="715">
        <v>4.0476215131836748E-3</v>
      </c>
      <c r="BO277" s="716">
        <v>8.0262878071028047E-3</v>
      </c>
      <c r="BP277" s="715">
        <v>1.4335244373449152E-2</v>
      </c>
      <c r="BQ277" s="715">
        <v>2.3717097210070995E-2</v>
      </c>
      <c r="BR277" s="715">
        <v>3.6878390394043802E-2</v>
      </c>
      <c r="BS277" s="715">
        <v>5.4823277332910363E-2</v>
      </c>
      <c r="BT277" s="715">
        <v>7.6242327123917569E-2</v>
      </c>
      <c r="BW277" s="1190">
        <f>'2019'!R\Max</f>
        <v>0.9665952095782564</v>
      </c>
      <c r="BX277" s="1190">
        <f>'2020'!R\Max</f>
        <v>0.70393683854248212</v>
      </c>
      <c r="BY277" s="1190">
        <f>'2021'!R\Max</f>
        <v>0.62997752371618576</v>
      </c>
      <c r="BZ277" s="1190">
        <f>'2022'!R\Max</f>
        <v>1.0363374963227205</v>
      </c>
      <c r="CA277" s="1190">
        <f>'2023'!R\Max</f>
        <v>1.0363374963227205</v>
      </c>
      <c r="CB277" s="1190">
        <f>'2024'!R\Max</f>
        <v>1.0363374963227205</v>
      </c>
      <c r="CC277" s="1190">
        <f>'2025'!R\Max</f>
        <v>1.0363374963227203</v>
      </c>
      <c r="CD277" s="1190">
        <f>'2026'!R\Max</f>
        <v>1.0363374963227203</v>
      </c>
      <c r="CE277" s="1191">
        <f>'2027'!R\Max</f>
        <v>1.0363374963227203</v>
      </c>
      <c r="CF277" s="1193">
        <f>'2028'!R\Max</f>
        <v>1.0363374963227205</v>
      </c>
    </row>
    <row r="278" spans="1:84" s="6" customFormat="1" ht="11.25" x14ac:dyDescent="0.2">
      <c r="A278" s="11">
        <v>43364</v>
      </c>
      <c r="B278" s="379">
        <f>'2022'!Maxi_hp</f>
        <v>49.387982440515245</v>
      </c>
      <c r="C278" s="13">
        <f>'2022'!An_max</f>
        <v>2022</v>
      </c>
      <c r="D278" s="1045">
        <f t="shared" si="116"/>
        <v>1.0161087633722283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48.605015743204525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48.593307288107461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48.5412595482277</v>
      </c>
      <c r="AZ278" s="735">
        <f t="shared" si="134"/>
        <v>48.567283418167577</v>
      </c>
      <c r="BA278" s="633">
        <f t="shared" si="131"/>
        <v>1.0161087633722283</v>
      </c>
      <c r="BC278" s="11">
        <v>43364</v>
      </c>
      <c r="BD278" s="289">
        <f>[3]!FeuilCaduc*(1-Persistant)+Persistant</f>
        <v>0.94642973082482862</v>
      </c>
      <c r="BE278" s="290">
        <f>[3]!CroissVégét</f>
        <v>0.98600350935571934</v>
      </c>
      <c r="BF278" s="804">
        <f>1+[3]!Salcycl*Ksac</f>
        <v>1.0446429730824829</v>
      </c>
      <c r="BH278" s="1036">
        <f t="shared" si="132"/>
        <v>2.9513584569962354E-3</v>
      </c>
      <c r="BI278" s="11">
        <v>44460</v>
      </c>
      <c r="BJ278" s="715">
        <v>1.1270751255718151E-6</v>
      </c>
      <c r="BK278" s="715">
        <v>1.2437087363654806E-4</v>
      </c>
      <c r="BL278" s="715">
        <v>5.8899152499517057E-4</v>
      </c>
      <c r="BM278" s="715">
        <v>1.7692152650903585E-3</v>
      </c>
      <c r="BN278" s="715">
        <v>4.1377055400016044E-3</v>
      </c>
      <c r="BO278" s="716">
        <v>8.2237237123063255E-3</v>
      </c>
      <c r="BP278" s="715">
        <v>1.4709386844653243E-2</v>
      </c>
      <c r="BQ278" s="715">
        <v>2.4372131345128323E-2</v>
      </c>
      <c r="BR278" s="715">
        <v>3.7965684650867394E-2</v>
      </c>
      <c r="BS278" s="715">
        <v>5.6531802282063615E-2</v>
      </c>
      <c r="BT278" s="715">
        <v>7.8708989868365289E-2</v>
      </c>
      <c r="BW278" s="1190">
        <f>'2019'!R\Max</f>
        <v>0.70462719264221951</v>
      </c>
      <c r="BX278" s="1190">
        <f>'2020'!R\Max</f>
        <v>0.68652254845351102</v>
      </c>
      <c r="BY278" s="1190">
        <f>'2021'!R\Max</f>
        <v>0.25151209574786121</v>
      </c>
      <c r="BZ278" s="1190">
        <f>'2022'!R\Max</f>
        <v>1.0161087633722283</v>
      </c>
      <c r="CA278" s="1190">
        <f>'2023'!R\Max</f>
        <v>1.0161087633722288</v>
      </c>
      <c r="CB278" s="1190">
        <f>'2024'!R\Max</f>
        <v>1.0161087633722288</v>
      </c>
      <c r="CC278" s="1190">
        <f>'2025'!R\Max</f>
        <v>1.0161087633722288</v>
      </c>
      <c r="CD278" s="1190">
        <f>'2026'!R\Max</f>
        <v>1.0161087633722286</v>
      </c>
      <c r="CE278" s="1191">
        <f>'2027'!R\Max</f>
        <v>1.0161087633722286</v>
      </c>
      <c r="CF278" s="1193">
        <f>'2028'!R\Max</f>
        <v>1.0161087633722283</v>
      </c>
    </row>
    <row r="279" spans="1:84" s="6" customFormat="1" ht="11.25" x14ac:dyDescent="0.2">
      <c r="A279" s="11">
        <v>43365</v>
      </c>
      <c r="B279" s="379">
        <f>'2022'!Maxi_hp</f>
        <v>47.796779205155985</v>
      </c>
      <c r="C279" s="13">
        <f>'2022'!An_max</f>
        <v>2022</v>
      </c>
      <c r="D279" s="1045">
        <f t="shared" si="116"/>
        <v>0.98963773615370987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48.297248032316567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48.277741563270261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48.234495745226738</v>
      </c>
      <c r="AZ279" s="735">
        <f t="shared" si="134"/>
        <v>48.256118654248496</v>
      </c>
      <c r="BA279" s="633">
        <f t="shared" si="131"/>
        <v>0.98963773615370987</v>
      </c>
      <c r="BC279" s="11">
        <v>43365</v>
      </c>
      <c r="BD279" s="289">
        <f>[3]!FeuilCaduc*(1-Persistant)+Persistant</f>
        <v>0.94373377455694141</v>
      </c>
      <c r="BE279" s="290">
        <f>[3]!CroissVégét</f>
        <v>0.98657246054533965</v>
      </c>
      <c r="BF279" s="804">
        <f>1+[3]!Salcycl*Ksac</f>
        <v>1.0443733774556943</v>
      </c>
      <c r="BH279" s="1036">
        <f t="shared" si="132"/>
        <v>3.0124766175389809E-3</v>
      </c>
      <c r="BI279" s="11">
        <v>44461</v>
      </c>
      <c r="BJ279" s="715">
        <v>1.1383054455842267E-6</v>
      </c>
      <c r="BK279" s="715">
        <v>1.2486872465163163E-4</v>
      </c>
      <c r="BL279" s="715">
        <v>5.9741317844048156E-4</v>
      </c>
      <c r="BM279" s="715">
        <v>1.8014482123924144E-3</v>
      </c>
      <c r="BN279" s="715">
        <v>4.2278116342436781E-3</v>
      </c>
      <c r="BO279" s="716">
        <v>8.4237603963140586E-3</v>
      </c>
      <c r="BP279" s="715">
        <v>1.5091084324027525E-2</v>
      </c>
      <c r="BQ279" s="715">
        <v>2.5042459629964337E-2</v>
      </c>
      <c r="BR279" s="715">
        <v>3.9087614586333357E-2</v>
      </c>
      <c r="BS279" s="715">
        <v>5.8298386797681574E-2</v>
      </c>
      <c r="BT279" s="715">
        <v>8.1260251279899012E-2</v>
      </c>
      <c r="BW279" s="1190">
        <f>'2019'!R\Max</f>
        <v>0.18354272092811388</v>
      </c>
      <c r="BX279" s="1190">
        <f>'2020'!R\Max</f>
        <v>0.60880974723265491</v>
      </c>
      <c r="BY279" s="1190">
        <f>'2021'!R\Max</f>
        <v>0.94211883355906978</v>
      </c>
      <c r="BZ279" s="1190">
        <f>'2022'!R\Max</f>
        <v>0.98963773615370987</v>
      </c>
      <c r="CA279" s="1190">
        <f>'2023'!R\Max</f>
        <v>0.98963257848109887</v>
      </c>
      <c r="CB279" s="1190">
        <f>'2024'!R\Max</f>
        <v>0.9896249123643257</v>
      </c>
      <c r="CC279" s="1190">
        <f>'2025'!R\Max</f>
        <v>0.98961719962254679</v>
      </c>
      <c r="CD279" s="1190">
        <f>'2026'!R\Max</f>
        <v>0.98964941627252612</v>
      </c>
      <c r="CE279" s="1191">
        <f>'2027'!R\Max</f>
        <v>0.98964626500034747</v>
      </c>
      <c r="CF279" s="1193">
        <f>'2028'!R\Max</f>
        <v>0.98964302326205356</v>
      </c>
    </row>
    <row r="280" spans="1:84" s="6" customFormat="1" ht="11.25" x14ac:dyDescent="0.2">
      <c r="A280" s="11">
        <v>43366</v>
      </c>
      <c r="B280" s="379">
        <f>'2022'!Maxi_hp</f>
        <v>41.863369362780062</v>
      </c>
      <c r="C280" s="13">
        <f>'2022'!An_max</f>
        <v>2018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47.985931195425138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47.957172303048097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47.925339941999745</v>
      </c>
      <c r="AZ280" s="735">
        <f t="shared" si="134"/>
        <v>47.941256122523924</v>
      </c>
      <c r="BA280" s="633">
        <f t="shared" si="131"/>
        <v>0.87240923162018813</v>
      </c>
      <c r="BC280" s="11">
        <v>43366</v>
      </c>
      <c r="BD280" s="289">
        <f>[3]!FeuilCaduc*(1-Persistant)+Persistant</f>
        <v>0.94092703517929532</v>
      </c>
      <c r="BE280" s="290">
        <f>[3]!CroissVégét</f>
        <v>0.98711912105647015</v>
      </c>
      <c r="BF280" s="804">
        <f>1+[3]!Salcycl*Ksac</f>
        <v>1.0440927035179295</v>
      </c>
      <c r="BH280" s="1036">
        <f t="shared" si="132"/>
        <v>3.0731928580360317E-3</v>
      </c>
      <c r="BI280" s="11">
        <v>44462</v>
      </c>
      <c r="BJ280" s="715">
        <v>1.1385751499942561E-6</v>
      </c>
      <c r="BK280" s="715">
        <v>1.2502032398341718E-4</v>
      </c>
      <c r="BL280" s="715">
        <v>6.0515298036679607E-4</v>
      </c>
      <c r="BM280" s="715">
        <v>1.8328297447441641E-3</v>
      </c>
      <c r="BN280" s="715">
        <v>4.3179669018207608E-3</v>
      </c>
      <c r="BO280" s="716">
        <v>8.6264551261680637E-3</v>
      </c>
      <c r="BP280" s="715">
        <v>1.5480443100951645E-2</v>
      </c>
      <c r="BQ280" s="715">
        <v>2.5728262546672587E-2</v>
      </c>
      <c r="BR280" s="715">
        <v>4.0244475204970785E-2</v>
      </c>
      <c r="BS280" s="715">
        <v>6.0123480697285757E-2</v>
      </c>
      <c r="BT280" s="715">
        <v>8.3896745384239108E-2</v>
      </c>
      <c r="BW280" s="1190">
        <f>'2019'!R\Max</f>
        <v>0.87240923162018813</v>
      </c>
      <c r="BX280" s="1190">
        <f>'2020'!R\Max</f>
        <v>0.55917552355124012</v>
      </c>
      <c r="BY280" s="1190">
        <f>'2021'!R\Max</f>
        <v>0.8239706220106533</v>
      </c>
      <c r="BZ280" s="1190">
        <f>'2022'!R\Max</f>
        <v>0.63197364131972755</v>
      </c>
      <c r="CA280" s="1190">
        <f>'2023'!R\Max</f>
        <v>0.63185298817646629</v>
      </c>
      <c r="CB280" s="1190">
        <f>'2024'!R\Max</f>
        <v>0.63167339084827623</v>
      </c>
      <c r="CC280" s="1190">
        <f>'2025'!R\Max</f>
        <v>0.63149282468872525</v>
      </c>
      <c r="CD280" s="1190">
        <f>'2026'!R\Max</f>
        <v>0.632246887448073</v>
      </c>
      <c r="CE280" s="1191">
        <f>'2027'!R\Max</f>
        <v>0.63217318064509975</v>
      </c>
      <c r="CF280" s="1193">
        <f>'2028'!R\Max</f>
        <v>0.63209738490968637</v>
      </c>
    </row>
    <row r="281" spans="1:84" s="6" customFormat="1" ht="11.25" x14ac:dyDescent="0.2">
      <c r="A281" s="11">
        <v>43367</v>
      </c>
      <c r="B281" s="379">
        <f>'2022'!Maxi_hp</f>
        <v>40.4343470381435</v>
      </c>
      <c r="C281" s="13">
        <f>'2022'!An_max</f>
        <v>2021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47.671174999326468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47.631956249766517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47.613915625214574</v>
      </c>
      <c r="AZ281" s="735">
        <f t="shared" si="134"/>
        <v>47.622935937490546</v>
      </c>
      <c r="BA281" s="633">
        <f t="shared" si="131"/>
        <v>0.84819279236802503</v>
      </c>
      <c r="BC281" s="11">
        <v>43367</v>
      </c>
      <c r="BD281" s="289">
        <f>[3]!FeuilCaduc*(1-Persistant)+Persistant</f>
        <v>0.93800602625553786</v>
      </c>
      <c r="BE281" s="290">
        <f>[3]!CroissVégét</f>
        <v>0.98764434064074225</v>
      </c>
      <c r="BF281" s="804">
        <f>1+[3]!Salcycl*Ksac</f>
        <v>1.0438006026255537</v>
      </c>
      <c r="BH281" s="1036">
        <f t="shared" si="132"/>
        <v>3.1335190215199312E-3</v>
      </c>
      <c r="BI281" s="11">
        <v>44463</v>
      </c>
      <c r="BJ281" s="715">
        <v>1.1278765654627452E-6</v>
      </c>
      <c r="BK281" s="715">
        <v>1.2482569722326853E-4</v>
      </c>
      <c r="BL281" s="715">
        <v>6.1221243043825264E-4</v>
      </c>
      <c r="BM281" s="715">
        <v>1.8633660508450443E-3</v>
      </c>
      <c r="BN281" s="715">
        <v>4.4081888602062183E-3</v>
      </c>
      <c r="BO281" s="716">
        <v>8.8318466850129309E-3</v>
      </c>
      <c r="BP281" s="715">
        <v>1.5877537055989863E-2</v>
      </c>
      <c r="BQ281" s="715">
        <v>2.6429667719203898E-2</v>
      </c>
      <c r="BR281" s="715">
        <v>4.1436481438891982E-2</v>
      </c>
      <c r="BS281" s="715">
        <v>6.2007416639720363E-2</v>
      </c>
      <c r="BT281" s="715">
        <v>8.6618944806659465E-2</v>
      </c>
      <c r="BW281" s="1190">
        <f>'2019'!R\Max</f>
        <v>0.60391648508310358</v>
      </c>
      <c r="BX281" s="1190">
        <f>'2020'!R\Max</f>
        <v>0.84000269455018195</v>
      </c>
      <c r="BY281" s="1190">
        <f>'2021'!R\Max</f>
        <v>0.84819279236802503</v>
      </c>
      <c r="BZ281" s="1190">
        <f>'2022'!R\Max</f>
        <v>0.38526228773516419</v>
      </c>
      <c r="CA281" s="1190">
        <f>'2023'!R\Max</f>
        <v>0.38513556711170827</v>
      </c>
      <c r="CB281" s="1190">
        <f>'2024'!R\Max</f>
        <v>0.38494665087780777</v>
      </c>
      <c r="CC281" s="1190">
        <f>'2025'!R\Max</f>
        <v>0.38475681738581652</v>
      </c>
      <c r="CD281" s="1190">
        <f>'2026'!R\Max</f>
        <v>0.38554923284195197</v>
      </c>
      <c r="CE281" s="1191">
        <f>'2027'!R\Max</f>
        <v>0.38547185463168682</v>
      </c>
      <c r="CF281" s="1193">
        <f>'2028'!R\Max</f>
        <v>0.3853923061095178</v>
      </c>
    </row>
    <row r="282" spans="1:84" s="6" customFormat="1" ht="11.25" x14ac:dyDescent="0.2">
      <c r="A282" s="11">
        <v>43368</v>
      </c>
      <c r="B282" s="379">
        <f>'2022'!Maxi_hp</f>
        <v>38.705104282673666</v>
      </c>
      <c r="C282" s="13">
        <f>'2022'!An_max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47.353089212732655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47.302450145667954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47.300346283401758</v>
      </c>
      <c r="AZ282" s="735">
        <f t="shared" si="134"/>
        <v>47.301398214534856</v>
      </c>
      <c r="BA282" s="633">
        <f t="shared" si="131"/>
        <v>0.81737231775506525</v>
      </c>
      <c r="BC282" s="11">
        <v>43368</v>
      </c>
      <c r="BD282" s="289">
        <f>[3]!FeuilCaduc*(1-Persistant)+Persistant</f>
        <v>0.93496730454433918</v>
      </c>
      <c r="BE282" s="290">
        <f>[3]!CroissVégét</f>
        <v>0.98814893849517882</v>
      </c>
      <c r="BF282" s="804">
        <f>1+[3]!Salcycl*Ksac</f>
        <v>1.043496730454434</v>
      </c>
      <c r="BH282" s="1036">
        <f t="shared" si="132"/>
        <v>3.195191101379571E-3</v>
      </c>
      <c r="BI282" s="11">
        <v>44464</v>
      </c>
      <c r="BJ282" s="715">
        <v>1.1054538611452359E-6</v>
      </c>
      <c r="BK282" s="715">
        <v>1.2471615691328939E-4</v>
      </c>
      <c r="BL282" s="715">
        <v>6.1943353509304254E-4</v>
      </c>
      <c r="BM282" s="715">
        <v>1.8945554093078229E-3</v>
      </c>
      <c r="BN282" s="715">
        <v>4.5004520629169974E-3</v>
      </c>
      <c r="BO282" s="716">
        <v>9.0492532341093241E-3</v>
      </c>
      <c r="BP282" s="715">
        <v>1.6307385768640357E-2</v>
      </c>
      <c r="BQ282" s="715">
        <v>2.7194094909176011E-2</v>
      </c>
      <c r="BR282" s="715">
        <v>4.2727668847203061E-2</v>
      </c>
      <c r="BS282" s="715">
        <v>6.4017812182859304E-2</v>
      </c>
      <c r="BT282" s="715">
        <v>8.94867598901571E-2</v>
      </c>
      <c r="BW282" s="1190">
        <f>'2019'!R\Max</f>
        <v>0.64995520795180994</v>
      </c>
      <c r="BX282" s="1190">
        <f>'2020'!R\Max</f>
        <v>0.46714088435266587</v>
      </c>
      <c r="BY282" s="1190">
        <f>'2021'!R\Max</f>
        <v>0.74068389940229507</v>
      </c>
      <c r="BZ282" s="1190">
        <f>'2022'!R\Max</f>
        <v>0.81737231775506525</v>
      </c>
      <c r="CA282" s="1190">
        <f>'2023'!R\Max</f>
        <v>0.81728973308684583</v>
      </c>
      <c r="CB282" s="1190">
        <f>'2024'!R\Max</f>
        <v>0.81716633617146239</v>
      </c>
      <c r="CC282" s="1190">
        <f>'2025'!R\Max</f>
        <v>0.81704226990568551</v>
      </c>
      <c r="CD282" s="1190">
        <f>'2026'!R\Max</f>
        <v>0.81755900308126506</v>
      </c>
      <c r="CE282" s="1191">
        <f>'2027'!R\Max</f>
        <v>0.81750872263883978</v>
      </c>
      <c r="CF282" s="1193">
        <f>'2028'!R\Max</f>
        <v>0.81745701984060615</v>
      </c>
    </row>
    <row r="283" spans="1:84" s="6" customFormat="1" ht="11.25" x14ac:dyDescent="0.2">
      <c r="A283" s="11">
        <v>43369</v>
      </c>
      <c r="B283" s="379">
        <f>'2022'!Maxi_hp</f>
        <v>39.693686966189702</v>
      </c>
      <c r="C283" s="13">
        <f>'2022'!An_max</f>
        <v>2021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47.031783600257974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46.969010732470949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46.984755403229165</v>
      </c>
      <c r="AZ283" s="735">
        <f t="shared" si="134"/>
        <v>46.976883067850054</v>
      </c>
      <c r="BA283" s="633">
        <f t="shared" si="131"/>
        <v>0.84397579525289312</v>
      </c>
      <c r="BC283" s="11">
        <v>43369</v>
      </c>
      <c r="BD283" s="289">
        <f>[3]!FeuilCaduc*(1-Persistant)+Persistant</f>
        <v>0.93180749305828814</v>
      </c>
      <c r="BE283" s="290">
        <f>[3]!CroissVégét</f>
        <v>0.98863370421593466</v>
      </c>
      <c r="BF283" s="804">
        <f>1+[3]!Salcycl*Ksac</f>
        <v>1.0431807493058287</v>
      </c>
      <c r="BH283" s="1036">
        <f t="shared" si="132"/>
        <v>3.2580810336047903E-3</v>
      </c>
      <c r="BI283" s="11">
        <v>44465</v>
      </c>
      <c r="BJ283" s="715">
        <v>1.0773127616936351E-6</v>
      </c>
      <c r="BK283" s="715">
        <v>1.2496852552710056E-4</v>
      </c>
      <c r="BL283" s="715">
        <v>6.2717955461641113E-4</v>
      </c>
      <c r="BM283" s="715">
        <v>1.9266830617446593E-3</v>
      </c>
      <c r="BN283" s="715">
        <v>4.5942136705394284E-3</v>
      </c>
      <c r="BO283" s="716">
        <v>9.2764974153758343E-3</v>
      </c>
      <c r="BP283" s="715">
        <v>1.6765421366451715E-2</v>
      </c>
      <c r="BQ283" s="715">
        <v>2.8013194805017388E-2</v>
      </c>
      <c r="BR283" s="715">
        <v>4.4104021627335115E-2</v>
      </c>
      <c r="BS283" s="715">
        <v>6.6130824023484067E-2</v>
      </c>
      <c r="BT283" s="715">
        <v>9.2463326348771149E-2</v>
      </c>
      <c r="BW283" s="1190">
        <f>'2019'!R\Max</f>
        <v>0.80710002156806127</v>
      </c>
      <c r="BX283" s="1190">
        <f>'2020'!R\Max</f>
        <v>0.46517986808582545</v>
      </c>
      <c r="BY283" s="1190">
        <f>'2021'!R\Max</f>
        <v>0.84397579525289312</v>
      </c>
      <c r="BZ283" s="1190">
        <f>'2022'!R\Max</f>
        <v>0.75352362313279064</v>
      </c>
      <c r="CA283" s="1190">
        <f>'2023'!R\Max</f>
        <v>0.75341724237932628</v>
      </c>
      <c r="CB283" s="1190">
        <f>'2024'!R\Max</f>
        <v>0.75325806535406026</v>
      </c>
      <c r="CC283" s="1190">
        <f>'2025'!R\Max</f>
        <v>0.75309806150372438</v>
      </c>
      <c r="CD283" s="1190">
        <f>'2026'!R\Max</f>
        <v>0.75376381845749085</v>
      </c>
      <c r="CE283" s="1191">
        <f>'2027'!R\Max</f>
        <v>0.7536991951739288</v>
      </c>
      <c r="CF283" s="1193">
        <f>'2028'!R\Max</f>
        <v>0.75363274650184597</v>
      </c>
    </row>
    <row r="284" spans="1:84" s="6" customFormat="1" ht="11.25" x14ac:dyDescent="0.2">
      <c r="A284" s="11">
        <v>43370</v>
      </c>
      <c r="B284" s="379">
        <f>'2022'!Maxi_hp</f>
        <v>37.960845399345402</v>
      </c>
      <c r="C284" s="13">
        <f>'2022'!An_max</f>
        <v>2018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46.707367930135561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46.631994752394633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46.667266472429041</v>
      </c>
      <c r="AZ284" s="735">
        <f t="shared" si="134"/>
        <v>46.649630612411841</v>
      </c>
      <c r="BA284" s="633">
        <f t="shared" si="131"/>
        <v>0.81273784162119511</v>
      </c>
      <c r="BC284" s="11">
        <v>43370</v>
      </c>
      <c r="BD284" s="289">
        <f>[3]!FeuilCaduc*(1-Persistant)+Persistant</f>
        <v>0.92852330545969419</v>
      </c>
      <c r="BE284" s="290">
        <f>[3]!CroissVégét</f>
        <v>0.98909939873407315</v>
      </c>
      <c r="BF284" s="804">
        <f>1+[3]!Salcycl*Ksac</f>
        <v>1.0428523305459694</v>
      </c>
      <c r="BH284" s="1036">
        <f t="shared" si="132"/>
        <v>3.322189771113729E-3</v>
      </c>
      <c r="BI284" s="11">
        <v>44466</v>
      </c>
      <c r="BJ284" s="715">
        <v>1.0434438870413912E-6</v>
      </c>
      <c r="BK284" s="715">
        <v>1.2558309708572327E-4</v>
      </c>
      <c r="BL284" s="715">
        <v>6.3545078729608767E-4</v>
      </c>
      <c r="BM284" s="715">
        <v>1.9597495655007571E-3</v>
      </c>
      <c r="BN284" s="715">
        <v>4.6894750329713108E-3</v>
      </c>
      <c r="BO284" s="716">
        <v>9.5135918897880072E-3</v>
      </c>
      <c r="BP284" s="715">
        <v>1.7251681362781227E-2</v>
      </c>
      <c r="BQ284" s="715">
        <v>2.8887041735377789E-2</v>
      </c>
      <c r="BR284" s="715">
        <v>4.5565660217520704E-2</v>
      </c>
      <c r="BS284" s="715">
        <v>6.8346605926432394E-2</v>
      </c>
      <c r="BT284" s="715">
        <v>9.5548819661389256E-2</v>
      </c>
      <c r="BW284" s="1190">
        <f>'2019'!R\Max</f>
        <v>0.81273784162119511</v>
      </c>
      <c r="BX284" s="1190">
        <f>'2020'!R\Max</f>
        <v>0.32295407027453954</v>
      </c>
      <c r="BY284" s="1190">
        <f>'2021'!R\Max</f>
        <v>0.50174630073468784</v>
      </c>
      <c r="BZ284" s="1190">
        <f>'2022'!R\Max</f>
        <v>0.40217472363814871</v>
      </c>
      <c r="CA284" s="1190">
        <f>'2023'!R\Max</f>
        <v>0.40203196930437213</v>
      </c>
      <c r="CB284" s="1190">
        <f>'2024'!R\Max</f>
        <v>0.40181819598169688</v>
      </c>
      <c r="CC284" s="1190">
        <f>'2025'!R\Max</f>
        <v>0.40160347191777918</v>
      </c>
      <c r="CD284" s="1190">
        <f>'2026'!R\Max</f>
        <v>0.40249675289693582</v>
      </c>
      <c r="CE284" s="1191">
        <f>'2027'!R\Max</f>
        <v>0.40241020287943924</v>
      </c>
      <c r="CF284" s="1193">
        <f>'2028'!R\Max</f>
        <v>0.40232122619458366</v>
      </c>
    </row>
    <row r="285" spans="1:84" s="6" customFormat="1" ht="11.25" x14ac:dyDescent="0.2">
      <c r="A285" s="11">
        <v>43371</v>
      </c>
      <c r="B285" s="379">
        <f>'2022'!Maxi_hp</f>
        <v>38.326040675068562</v>
      </c>
      <c r="C285" s="13">
        <f>'2022'!An_max</f>
        <v>2018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46.379951967671516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46.291758946919749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46.348002979385534</v>
      </c>
      <c r="AZ285" s="735">
        <f t="shared" si="134"/>
        <v>46.319880963152642</v>
      </c>
      <c r="BA285" s="633">
        <f t="shared" si="131"/>
        <v>0.82634929638959487</v>
      </c>
      <c r="BC285" s="11">
        <v>43371</v>
      </c>
      <c r="BD285" s="289">
        <f>[3]!FeuilCaduc*(1-Persistant)+Persistant</f>
        <v>0.92511157163868418</v>
      </c>
      <c r="BE285" s="290">
        <f>[3]!CroissVégét</f>
        <v>0.98954675523264646</v>
      </c>
      <c r="BF285" s="804">
        <f>1+[3]!Salcycl*Ksac</f>
        <v>1.0425111571638683</v>
      </c>
      <c r="BH285" s="1036">
        <f t="shared" si="132"/>
        <v>3.3875181050217712E-3</v>
      </c>
      <c r="BI285" s="11">
        <v>44467</v>
      </c>
      <c r="BJ285" s="715">
        <v>1.0038374199696513E-6</v>
      </c>
      <c r="BK285" s="715">
        <v>1.2656020012659106E-4</v>
      </c>
      <c r="BL285" s="715">
        <v>6.4424754841944292E-4</v>
      </c>
      <c r="BM285" s="715">
        <v>1.9937554264039194E-3</v>
      </c>
      <c r="BN285" s="715">
        <v>4.786237227630134E-3</v>
      </c>
      <c r="BO285" s="716">
        <v>9.7605492691905035E-3</v>
      </c>
      <c r="BP285" s="715">
        <v>1.7766203995184946E-2</v>
      </c>
      <c r="BQ285" s="715">
        <v>2.981571174420047E-2</v>
      </c>
      <c r="BR285" s="715">
        <v>4.7112707278062278E-2</v>
      </c>
      <c r="BS285" s="715">
        <v>7.0665312297047825E-2</v>
      </c>
      <c r="BT285" s="715">
        <v>9.874341268275362E-2</v>
      </c>
      <c r="BW285" s="1190">
        <f>'2019'!R\Max</f>
        <v>0.82634929638959487</v>
      </c>
      <c r="BX285" s="1190">
        <f>'2020'!R\Max</f>
        <v>0.2810601415645998</v>
      </c>
      <c r="BY285" s="1190">
        <f>'2021'!R\Max</f>
        <v>0.58918642185185333</v>
      </c>
      <c r="BZ285" s="1190">
        <f>'2022'!R\Max</f>
        <v>0.45914382597825804</v>
      </c>
      <c r="CA285" s="1190">
        <f>'2023'!R\Max</f>
        <v>0.45899076096994396</v>
      </c>
      <c r="CB285" s="1190">
        <f>'2024'!R\Max</f>
        <v>0.45876126818757046</v>
      </c>
      <c r="CC285" s="1190">
        <f>'2025'!R\Max</f>
        <v>0.45853076161338818</v>
      </c>
      <c r="CD285" s="1190">
        <f>'2026'!R\Max</f>
        <v>0.45948844408832346</v>
      </c>
      <c r="CE285" s="1191">
        <f>'2027'!R\Max</f>
        <v>0.45939597661808035</v>
      </c>
      <c r="CF285" s="1193">
        <f>'2028'!R\Max</f>
        <v>0.45930090404281981</v>
      </c>
    </row>
    <row r="286" spans="1:84" s="6" customFormat="1" ht="11.25" x14ac:dyDescent="0.2">
      <c r="A286" s="11">
        <v>43372</v>
      </c>
      <c r="B286" s="379">
        <f>'2022'!Maxi_hp</f>
        <v>44.025423023353014</v>
      </c>
      <c r="C286" s="13">
        <f>'2022'!An_max</f>
        <v>2018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46.049645481045758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45.948660058112409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46.027088411737772</v>
      </c>
      <c r="AZ286" s="735">
        <f t="shared" si="134"/>
        <v>45.987874234925087</v>
      </c>
      <c r="BA286" s="633">
        <f t="shared" si="131"/>
        <v>0.95604260496368154</v>
      </c>
      <c r="BC286" s="11">
        <v>43372</v>
      </c>
      <c r="BD286" s="289">
        <f>[3]!FeuilCaduc*(1-Persistant)+Persistant</f>
        <v>0.92156926430020425</v>
      </c>
      <c r="BE286" s="290">
        <f>[3]!CroissVégét</f>
        <v>0.98997648004446692</v>
      </c>
      <c r="BF286" s="804">
        <f>1+[3]!Salcycl*Ksac</f>
        <v>1.0421569264300203</v>
      </c>
      <c r="BH286" s="1036">
        <f t="shared" si="132"/>
        <v>3.454066652299971E-3</v>
      </c>
      <c r="BI286" s="11">
        <v>44468</v>
      </c>
      <c r="BJ286" s="715">
        <v>9.584831690871716E-7</v>
      </c>
      <c r="BK286" s="715">
        <v>1.2790019373846669E-4</v>
      </c>
      <c r="BL286" s="715">
        <v>6.5357016466035308E-4</v>
      </c>
      <c r="BM286" s="715">
        <v>2.0287010890207356E-3</v>
      </c>
      <c r="BN286" s="715">
        <v>4.8845010445045167E-3</v>
      </c>
      <c r="BO286" s="716">
        <v>1.0017382011346108E-2</v>
      </c>
      <c r="BP286" s="715">
        <v>1.8309027921425101E-2</v>
      </c>
      <c r="BQ286" s="715">
        <v>3.0799281999732964E-2</v>
      </c>
      <c r="BR286" s="715">
        <v>4.8745286771636996E-2</v>
      </c>
      <c r="BS286" s="715">
        <v>7.3087097079020655E-2</v>
      </c>
      <c r="BT286" s="715">
        <v>0.10204727448534473</v>
      </c>
      <c r="BW286" s="1190">
        <f>'2019'!R\Max</f>
        <v>0.95604260496368154</v>
      </c>
      <c r="BX286" s="1190">
        <f>'2020'!R\Max</f>
        <v>0.70690768528685866</v>
      </c>
      <c r="BY286" s="1190">
        <f>'2021'!R\Max</f>
        <v>0.75430964509665466</v>
      </c>
      <c r="BZ286" s="1190">
        <f>'2022'!R\Max</f>
        <v>0.55577874627949431</v>
      </c>
      <c r="CA286" s="1190">
        <f>'2023'!R\Max</f>
        <v>0.55562059713481304</v>
      </c>
      <c r="CB286" s="1190">
        <f>'2024'!R\Max</f>
        <v>0.55538321414929948</v>
      </c>
      <c r="CC286" s="1190">
        <f>'2025'!R\Max</f>
        <v>0.55514476826440251</v>
      </c>
      <c r="CD286" s="1190">
        <f>'2026'!R\Max</f>
        <v>0.55613400711780403</v>
      </c>
      <c r="CE286" s="1191">
        <f>'2027'!R\Max</f>
        <v>0.55603886543295611</v>
      </c>
      <c r="CF286" s="1193">
        <f>'2028'!R\Max</f>
        <v>0.55594102334375717</v>
      </c>
    </row>
    <row r="287" spans="1:84" s="6" customFormat="1" ht="11.25" x14ac:dyDescent="0.2">
      <c r="A287" s="11">
        <v>43373</v>
      </c>
      <c r="B287" s="379">
        <f>'2022'!Maxi_hp</f>
        <v>36.159220038545989</v>
      </c>
      <c r="C287" s="13">
        <f>'2022'!An_max</f>
        <v>2020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45.71655823580388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45.603054828575111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45.704646255927429</v>
      </c>
      <c r="AZ287" s="735">
        <f t="shared" si="134"/>
        <v>45.65385054225127</v>
      </c>
      <c r="BA287" s="633">
        <f t="shared" si="131"/>
        <v>0.79094361942205738</v>
      </c>
      <c r="BC287" s="11">
        <v>43373</v>
      </c>
      <c r="BD287" s="289">
        <f>[3]!FeuilCaduc*(1-Persistant)+Persistant</f>
        <v>0.91789352636908417</v>
      </c>
      <c r="BE287" s="290">
        <f>[3]!CroissVégét</f>
        <v>0.99038925353008489</v>
      </c>
      <c r="BF287" s="804">
        <f>1+[3]!Salcycl*Ksac</f>
        <v>1.0417893526369084</v>
      </c>
      <c r="BH287" s="1036">
        <f t="shared" si="132"/>
        <v>3.5218358435226771E-3</v>
      </c>
      <c r="BI287" s="11">
        <v>44469</v>
      </c>
      <c r="BJ287" s="715">
        <v>9.0737063184036115E-7</v>
      </c>
      <c r="BK287" s="715">
        <v>1.2960346359981243E-4</v>
      </c>
      <c r="BL287" s="715">
        <v>6.6341896848330195E-4</v>
      </c>
      <c r="BM287" s="715">
        <v>2.0645869269655857E-3</v>
      </c>
      <c r="BN287" s="715">
        <v>4.9842669713313368E-3</v>
      </c>
      <c r="BO287" s="716">
        <v>1.0284102315238007E-2</v>
      </c>
      <c r="BP287" s="715">
        <v>1.8880191915934673E-2</v>
      </c>
      <c r="BQ287" s="715">
        <v>3.1837830204301108E-2</v>
      </c>
      <c r="BR287" s="715">
        <v>5.0463523044801929E-2</v>
      </c>
      <c r="BS287" s="715">
        <v>7.5612112654028077E-2</v>
      </c>
      <c r="BT287" s="715">
        <v>0.1054605692037795</v>
      </c>
      <c r="BW287" s="1190">
        <f>'2019'!R\Max</f>
        <v>0.60059543097002899</v>
      </c>
      <c r="BX287" s="1190">
        <f>'2020'!R\Max</f>
        <v>0.79094361942205738</v>
      </c>
      <c r="BY287" s="1190">
        <f>'2021'!R\Max</f>
        <v>0.41270326063611734</v>
      </c>
      <c r="BZ287" s="1190">
        <f>'2022'!R\Max</f>
        <v>0.66453560136739465</v>
      </c>
      <c r="CA287" s="1190">
        <f>'2023'!R\Max</f>
        <v>0.6643870583348086</v>
      </c>
      <c r="CB287" s="1190">
        <f>'2024'!R\Max</f>
        <v>0.66416386887233614</v>
      </c>
      <c r="CC287" s="1190">
        <f>'2025'!R\Max</f>
        <v>0.6639396566810527</v>
      </c>
      <c r="CD287" s="1190">
        <f>'2026'!R\Max</f>
        <v>0.66486845211504686</v>
      </c>
      <c r="CE287" s="1191">
        <f>'2027'!R\Max</f>
        <v>0.66477949884092846</v>
      </c>
      <c r="CF287" s="1193">
        <f>'2028'!R\Max</f>
        <v>0.66468799772521681</v>
      </c>
    </row>
    <row r="288" spans="1:84" s="6" customFormat="1" ht="11.25" x14ac:dyDescent="0.2">
      <c r="A288" s="11">
        <v>43374</v>
      </c>
      <c r="B288" s="379">
        <f>'2022'!Maxi_hp</f>
        <v>44.503895100671492</v>
      </c>
      <c r="C288" s="13">
        <f>'2022'!An_max</f>
        <v>2020</v>
      </c>
      <c r="D288" s="1045">
        <f t="shared" si="116"/>
        <v>0.98067674216486178</v>
      </c>
      <c r="E288" s="1040">
        <f>AG$13/10</f>
        <v>45.380800000000001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45.380799999833108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45.255299999692944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45.380800000578162</v>
      </c>
      <c r="AZ288" s="735">
        <f t="shared" si="134"/>
        <v>45.318050000135557</v>
      </c>
      <c r="BA288" s="633">
        <f t="shared" si="131"/>
        <v>0.98067674216486178</v>
      </c>
      <c r="BC288" s="11">
        <v>43374</v>
      </c>
      <c r="BD288" s="289">
        <f>[3]!FeuilCaduc*(1-Persistant)+Persistant</f>
        <v>0.91408169900647795</v>
      </c>
      <c r="BE288" s="290">
        <f>[3]!CroissVégét</f>
        <v>0.99078573093558142</v>
      </c>
      <c r="BF288" s="804">
        <f>1+[3]!Salcycl*Ksac</f>
        <v>1.0414081699006479</v>
      </c>
      <c r="BH288" s="1036">
        <f t="shared" si="132"/>
        <v>3.59082591057249E-3</v>
      </c>
      <c r="BI288" s="11">
        <v>44470</v>
      </c>
      <c r="BJ288" s="715">
        <v>8.5048905751070958E-7</v>
      </c>
      <c r="BK288" s="715">
        <v>1.3167041801555361E-4</v>
      </c>
      <c r="BL288" s="715">
        <v>6.7379429253934563E-4</v>
      </c>
      <c r="BM288" s="715">
        <v>2.1014132331845124E-3</v>
      </c>
      <c r="BN288" s="715">
        <v>5.0855351787125972E-3</v>
      </c>
      <c r="BO288" s="716">
        <v>1.0560722016249129E-2</v>
      </c>
      <c r="BP288" s="715">
        <v>1.9479734566058025E-2</v>
      </c>
      <c r="BQ288" s="715">
        <v>3.2931434003707294E-2</v>
      </c>
      <c r="BR288" s="715">
        <v>5.2267539908905848E-2</v>
      </c>
      <c r="BS288" s="715">
        <v>7.8240508740484591E-2</v>
      </c>
      <c r="BT288" s="715">
        <v>0.10898345487796744</v>
      </c>
      <c r="BW288" s="1190">
        <f>'2019'!R\Max</f>
        <v>0.7475786261115811</v>
      </c>
      <c r="BX288" s="1190">
        <f>'2020'!R\Max</f>
        <v>0.98067674216486178</v>
      </c>
      <c r="BY288" s="1190">
        <f>'2021'!R\Max</f>
        <v>0.74436065707601695</v>
      </c>
      <c r="BZ288" s="1190">
        <f>'2022'!R\Max</f>
        <v>0.87516441614302021</v>
      </c>
      <c r="CA288" s="1190">
        <f>'2023'!R\Max</f>
        <v>0.87508862747206828</v>
      </c>
      <c r="CB288" s="1190">
        <f>'2024'!R\Max</f>
        <v>0.87497463204793569</v>
      </c>
      <c r="CC288" s="1190">
        <f>'2025'!R\Max</f>
        <v>0.87486007520816711</v>
      </c>
      <c r="CD288" s="1190">
        <f>'2026'!R\Max</f>
        <v>0.87533374903336059</v>
      </c>
      <c r="CE288" s="1191">
        <f>'2027'!R\Max</f>
        <v>0.87528860246197682</v>
      </c>
      <c r="CF288" s="1193">
        <f>'2028'!R\Max</f>
        <v>0.87524214547733181</v>
      </c>
    </row>
    <row r="289" spans="1:84" s="6" customFormat="1" ht="11.25" x14ac:dyDescent="0.2">
      <c r="A289" s="11">
        <v>43375</v>
      </c>
      <c r="B289" s="379">
        <f>'2022'!Maxi_hp</f>
        <v>42.359955312979814</v>
      </c>
      <c r="C289" s="13">
        <f>'2022'!An_max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45.040779154084575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44.905752313983555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45.052791755712988</v>
      </c>
      <c r="AZ289" s="735">
        <f t="shared" si="134"/>
        <v>44.979272034848272</v>
      </c>
      <c r="BA289" s="633">
        <f t="shared" si="131"/>
        <v>0.9404800740250594</v>
      </c>
      <c r="BC289" s="11">
        <v>43375</v>
      </c>
      <c r="BD289" s="289">
        <f>[3]!FeuilCaduc*(1-Persistant)+Persistant</f>
        <v>0.91013135001690548</v>
      </c>
      <c r="BE289" s="290">
        <f>[3]!CroissVégét</f>
        <v>0.99116654322989417</v>
      </c>
      <c r="BF289" s="804">
        <f>1+[3]!Salcycl*Ksac</f>
        <v>1.0410131350016905</v>
      </c>
      <c r="BH289" s="1036">
        <f t="shared" si="132"/>
        <v>3.6610368743907476E-3</v>
      </c>
      <c r="BI289" s="11">
        <v>44471</v>
      </c>
      <c r="BJ289" s="715">
        <v>7.8782751022459253E-7</v>
      </c>
      <c r="BK289" s="715">
        <v>1.34101483955521E-4</v>
      </c>
      <c r="BL289" s="715">
        <v>6.8469646407067917E-4</v>
      </c>
      <c r="BM289" s="715">
        <v>2.1391802102658166E-3</v>
      </c>
      <c r="BN289" s="715">
        <v>5.1883055052967097E-3</v>
      </c>
      <c r="BO289" s="716">
        <v>1.0847252481473805E-2</v>
      </c>
      <c r="BP289" s="715">
        <v>2.0107693968533655E-2</v>
      </c>
      <c r="BQ289" s="715">
        <v>3.4080170397036154E-2</v>
      </c>
      <c r="BR289" s="715">
        <v>5.4157459721646005E-2</v>
      </c>
      <c r="BS289" s="715">
        <v>8.0972431293260219E-2</v>
      </c>
      <c r="BT289" s="715">
        <v>0.11261608229761781</v>
      </c>
      <c r="BW289" s="1190">
        <f>'2019'!R\Max</f>
        <v>0.5370892442072972</v>
      </c>
      <c r="BX289" s="1190">
        <f>'2020'!R\Max</f>
        <v>0.18765550808118761</v>
      </c>
      <c r="BY289" s="1190">
        <f>'2021'!R\Max</f>
        <v>0.92317211320753245</v>
      </c>
      <c r="BZ289" s="1190">
        <f>'2022'!R\Max</f>
        <v>0.9404800740250594</v>
      </c>
      <c r="CA289" s="1190">
        <f>'2023'!R\Max</f>
        <v>0.94043962317401031</v>
      </c>
      <c r="CB289" s="1190">
        <f>'2024'!R\Max</f>
        <v>0.9403787373289878</v>
      </c>
      <c r="CC289" s="1190">
        <f>'2025'!R\Max</f>
        <v>0.94031754750737262</v>
      </c>
      <c r="CD289" s="1190">
        <f>'2026'!R\Max</f>
        <v>0.9405702058722708</v>
      </c>
      <c r="CE289" s="1191">
        <f>'2027'!R\Max</f>
        <v>0.94054623157815775</v>
      </c>
      <c r="CF289" s="1193">
        <f>'2028'!R\Max</f>
        <v>0.94052155441924246</v>
      </c>
    </row>
    <row r="290" spans="1:84" s="6" customFormat="1" ht="11.25" x14ac:dyDescent="0.2">
      <c r="A290" s="11">
        <v>43376</v>
      </c>
      <c r="B290" s="379">
        <f>'2022'!Maxi_hp</f>
        <v>40.896316490611177</v>
      </c>
      <c r="C290" s="13">
        <f>'2022'!An_max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44.695269971005786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44.55476851306323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44.718119752460296</v>
      </c>
      <c r="AZ290" s="735">
        <f t="shared" si="134"/>
        <v>44.636444132761767</v>
      </c>
      <c r="BA290" s="633">
        <f t="shared" si="131"/>
        <v>0.91500323226911884</v>
      </c>
      <c r="BC290" s="11">
        <v>43376</v>
      </c>
      <c r="BD290" s="289">
        <f>[3]!FeuilCaduc*(1-Persistant)+Persistant</f>
        <v>0.90604030241295674</v>
      </c>
      <c r="BE290" s="290">
        <f>[3]!CroissVégét</f>
        <v>0.99153229792147035</v>
      </c>
      <c r="BF290" s="804">
        <f>1+[3]!Salcycl*Ksac</f>
        <v>1.0406040302412958</v>
      </c>
      <c r="BH290" s="1036">
        <f t="shared" si="132"/>
        <v>3.7463143897478353E-3</v>
      </c>
      <c r="BI290" s="11">
        <v>44472</v>
      </c>
      <c r="BJ290" s="715">
        <v>7.3749260825378865E-7</v>
      </c>
      <c r="BK290" s="715">
        <v>1.371544596705985E-4</v>
      </c>
      <c r="BL290" s="715">
        <v>6.9887184207716039E-4</v>
      </c>
      <c r="BM290" s="715">
        <v>2.1875450848682127E-3</v>
      </c>
      <c r="BN290" s="715">
        <v>5.3106269286889588E-3</v>
      </c>
      <c r="BO290" s="716">
        <v>1.1170055114074999E-2</v>
      </c>
      <c r="BP290" s="715">
        <v>2.0798699572681222E-2</v>
      </c>
      <c r="BQ290" s="715">
        <v>3.5325950829081187E-2</v>
      </c>
      <c r="BR290" s="715">
        <v>5.6179849205128023E-2</v>
      </c>
      <c r="BS290" s="715">
        <v>8.386601684330873E-2</v>
      </c>
      <c r="BT290" s="715">
        <v>0.116438752311463</v>
      </c>
      <c r="BW290" s="1190">
        <f>'2019'!R\Max</f>
        <v>0.79188702002145872</v>
      </c>
      <c r="BX290" s="1190">
        <f>'2020'!R\Max</f>
        <v>0.14203926162069425</v>
      </c>
      <c r="BY290" s="1190">
        <f>'2021'!R\Max</f>
        <v>0.15545072775750249</v>
      </c>
      <c r="BZ290" s="1190">
        <f>'2022'!R\Max</f>
        <v>0.91500323226911884</v>
      </c>
      <c r="CA290" s="1190">
        <f>'2023'!R\Max</f>
        <v>0.91494460835775748</v>
      </c>
      <c r="CB290" s="1190">
        <f>'2024'!R\Max</f>
        <v>0.91485636239374768</v>
      </c>
      <c r="CC290" s="1190">
        <f>'2025'!R\Max</f>
        <v>0.91476768665691455</v>
      </c>
      <c r="CD290" s="1190">
        <f>'2026'!R\Max</f>
        <v>0.91513355585958656</v>
      </c>
      <c r="CE290" s="1191">
        <f>'2027'!R\Max</f>
        <v>0.91509896208451502</v>
      </c>
      <c r="CF290" s="1193">
        <f>'2028'!R\Max</f>
        <v>0.91506334751316132</v>
      </c>
    </row>
    <row r="291" spans="1:84" s="6" customFormat="1" ht="11.25" x14ac:dyDescent="0.2">
      <c r="A291" s="11">
        <v>43377</v>
      </c>
      <c r="B291" s="379">
        <f>'2022'!Maxi_hp</f>
        <v>45.063870180118194</v>
      </c>
      <c r="C291" s="13">
        <f>'2022'!An_max</f>
        <v>2022</v>
      </c>
      <c r="D291" s="1045">
        <f t="shared" si="116"/>
        <v>1.0162124309112455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44.344931049218786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44.202705338925753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44.377291663882453</v>
      </c>
      <c r="AZ291" s="735">
        <f t="shared" si="134"/>
        <v>44.289998501404099</v>
      </c>
      <c r="BA291" s="633">
        <f t="shared" si="131"/>
        <v>1.0162124309112455</v>
      </c>
      <c r="BC291" s="11">
        <v>43377</v>
      </c>
      <c r="BD291" s="289">
        <f>[3]!FeuilCaduc*(1-Persistant)+Persistant</f>
        <v>0.90180666289468681</v>
      </c>
      <c r="BE291" s="290">
        <f>[3]!CroissVégét</f>
        <v>0.99188357985413123</v>
      </c>
      <c r="BF291" s="804">
        <f>1+[3]!Salcycl*Ksac</f>
        <v>1.0401806662894686</v>
      </c>
      <c r="BH291" s="1036">
        <f t="shared" si="132"/>
        <v>3.8473033139150388E-3</v>
      </c>
      <c r="BI291" s="11">
        <v>44473</v>
      </c>
      <c r="BJ291" s="715">
        <v>7.0449623431316374E-7</v>
      </c>
      <c r="BK291" s="715">
        <v>1.4090264441403463E-4</v>
      </c>
      <c r="BL291" s="715">
        <v>7.16660838970898E-4</v>
      </c>
      <c r="BM291" s="715">
        <v>2.2471433147765651E-3</v>
      </c>
      <c r="BN291" s="715">
        <v>5.4531537390731348E-3</v>
      </c>
      <c r="BO291" s="716">
        <v>1.1528982814075946E-2</v>
      </c>
      <c r="BP291" s="715">
        <v>2.1550273642850004E-2</v>
      </c>
      <c r="BQ291" s="715">
        <v>3.6662688751818759E-2</v>
      </c>
      <c r="BR291" s="715">
        <v>5.8315396110131333E-2</v>
      </c>
      <c r="BS291" s="715">
        <v>8.6888955469400217E-2</v>
      </c>
      <c r="BT291" s="715">
        <v>0.12040634693301301</v>
      </c>
      <c r="BW291" s="1190">
        <f>'2019'!R\Max</f>
        <v>0.23531700028192107</v>
      </c>
      <c r="BX291" s="1190">
        <f>'2020'!R\Max</f>
        <v>0.40384043265618552</v>
      </c>
      <c r="BY291" s="1190">
        <f>'2021'!R\Max</f>
        <v>0.77851157437189478</v>
      </c>
      <c r="BZ291" s="1190">
        <f>'2022'!R\Max</f>
        <v>1.0162124309112455</v>
      </c>
      <c r="CA291" s="1190">
        <f>'2023'!R\Max</f>
        <v>1.0162124309112455</v>
      </c>
      <c r="CB291" s="1190">
        <f>'2024'!R\Max</f>
        <v>1.0162124309112455</v>
      </c>
      <c r="CC291" s="1190">
        <f>'2025'!R\Max</f>
        <v>1.0162124309112455</v>
      </c>
      <c r="CD291" s="1190">
        <f>'2026'!R\Max</f>
        <v>1.0162124309112452</v>
      </c>
      <c r="CE291" s="1191">
        <f>'2027'!R\Max</f>
        <v>1.0162124309112455</v>
      </c>
      <c r="CF291" s="1193">
        <f>'2028'!R\Max</f>
        <v>1.0162124309112455</v>
      </c>
    </row>
    <row r="292" spans="1:84" s="6" customFormat="1" ht="11.25" x14ac:dyDescent="0.2">
      <c r="A292" s="11">
        <v>43378</v>
      </c>
      <c r="B292" s="379">
        <f>'2022'!Maxi_hp</f>
        <v>45.951050325579978</v>
      </c>
      <c r="C292" s="13">
        <f>'2022'!An_max</f>
        <v>2022</v>
      </c>
      <c r="D292" s="1045">
        <f t="shared" si="116"/>
        <v>1.0445694605831346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43.990420991178169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43.849919533534973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44.030815160859909</v>
      </c>
      <c r="AZ292" s="735">
        <f t="shared" si="134"/>
        <v>43.940367347197437</v>
      </c>
      <c r="BA292" s="633">
        <f t="shared" si="131"/>
        <v>1.0445694605831346</v>
      </c>
      <c r="BC292" s="11">
        <v>43378</v>
      </c>
      <c r="BD292" s="289">
        <f>[3]!FeuilCaduc*(1-Persistant)+Persistant</f>
        <v>0.89742884999288841</v>
      </c>
      <c r="BE292" s="290">
        <f>[3]!CroissVégét</f>
        <v>0.99222095198209459</v>
      </c>
      <c r="BF292" s="804">
        <f>1+[3]!Salcycl*Ksac</f>
        <v>1.0397428849992889</v>
      </c>
      <c r="BH292" s="1036">
        <f t="shared" si="132"/>
        <v>3.9640249998943045E-3</v>
      </c>
      <c r="BI292" s="11">
        <v>44474</v>
      </c>
      <c r="BJ292" s="715">
        <v>6.8886237893332272E-7</v>
      </c>
      <c r="BK292" s="715">
        <v>1.4534699825886863E-4</v>
      </c>
      <c r="BL292" s="715">
        <v>7.3806842114931359E-4</v>
      </c>
      <c r="BM292" s="715">
        <v>2.3179904225751218E-3</v>
      </c>
      <c r="BN292" s="715">
        <v>5.6159131406027856E-3</v>
      </c>
      <c r="BO292" s="716">
        <v>1.1924084780270348E-2</v>
      </c>
      <c r="BP292" s="715">
        <v>2.2362499855382578E-2</v>
      </c>
      <c r="BQ292" s="715">
        <v>3.8090510110288585E-2</v>
      </c>
      <c r="BR292" s="715">
        <v>6.0564254470291672E-2</v>
      </c>
      <c r="BS292" s="715">
        <v>9.0041414837850386E-2</v>
      </c>
      <c r="BT292" s="715">
        <v>0.12451904239669245</v>
      </c>
      <c r="BW292" s="1190">
        <f>'2019'!R\Max</f>
        <v>0.90253500743060455</v>
      </c>
      <c r="BX292" s="1190">
        <f>'2020'!R\Max</f>
        <v>0.50927603765415297</v>
      </c>
      <c r="BY292" s="1190">
        <f>'2021'!R\Max</f>
        <v>0.32931814583415592</v>
      </c>
      <c r="BZ292" s="1190">
        <f>'2022'!R\Max</f>
        <v>1.0445694605831346</v>
      </c>
      <c r="CA292" s="1190">
        <f>'2023'!R\Max</f>
        <v>1.0445694605831346</v>
      </c>
      <c r="CB292" s="1190">
        <f>'2024'!R\Max</f>
        <v>1.0445694605831346</v>
      </c>
      <c r="CC292" s="1190">
        <f>'2025'!R\Max</f>
        <v>1.0445694605831346</v>
      </c>
      <c r="CD292" s="1190">
        <f>'2026'!R\Max</f>
        <v>1.0445694605831346</v>
      </c>
      <c r="CE292" s="1191">
        <f>'2027'!R\Max</f>
        <v>1.0445694605831346</v>
      </c>
      <c r="CF292" s="1193">
        <f>'2028'!R\Max</f>
        <v>1.0445694605831346</v>
      </c>
    </row>
    <row r="293" spans="1:84" s="6" customFormat="1" ht="11.25" x14ac:dyDescent="0.2">
      <c r="A293" s="11">
        <v>43379</v>
      </c>
      <c r="B293" s="379">
        <f>'2022'!Maxi_hp</f>
        <v>29.938480404074163</v>
      </c>
      <c r="C293" s="13">
        <f>'2022'!An_max</f>
        <v>2020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43.632398396302804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43.496767838911289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43.679197914326295</v>
      </c>
      <c r="AZ293" s="735">
        <f t="shared" si="134"/>
        <v>43.587982876618796</v>
      </c>
      <c r="BA293" s="633">
        <f t="shared" si="131"/>
        <v>0.68615252666493354</v>
      </c>
      <c r="BC293" s="11">
        <v>43379</v>
      </c>
      <c r="BD293" s="289">
        <f>[3]!FeuilCaduc*(1-Persistant)+Persistant</f>
        <v>0.89290562161996168</v>
      </c>
      <c r="BE293" s="290">
        <f>[3]!CroissVégét</f>
        <v>0.99254495612417293</v>
      </c>
      <c r="BF293" s="804">
        <f>1+[3]!Salcycl*Ksac</f>
        <v>1.0392905621619961</v>
      </c>
      <c r="BH293" s="1036">
        <f t="shared" si="132"/>
        <v>4.0965010734762448E-3</v>
      </c>
      <c r="BI293" s="11">
        <v>44475</v>
      </c>
      <c r="BJ293" s="715">
        <v>6.9061596806304806E-7</v>
      </c>
      <c r="BK293" s="715">
        <v>1.5048849649205897E-4</v>
      </c>
      <c r="BL293" s="715">
        <v>7.6309964157408872E-4</v>
      </c>
      <c r="BM293" s="715">
        <v>2.4001021809096717E-3</v>
      </c>
      <c r="BN293" s="715">
        <v>5.798932633028068E-3</v>
      </c>
      <c r="BO293" s="716">
        <v>1.235541028136093E-2</v>
      </c>
      <c r="BP293" s="715">
        <v>2.3235461343426651E-2</v>
      </c>
      <c r="BQ293" s="715">
        <v>3.9609539118533231E-2</v>
      </c>
      <c r="BR293" s="715">
        <v>6.2926574092362617E-2</v>
      </c>
      <c r="BS293" s="715">
        <v>9.3323555238767467E-2</v>
      </c>
      <c r="BT293" s="715">
        <v>0.12877700413781459</v>
      </c>
      <c r="BW293" s="1190">
        <f>'2019'!R\Max</f>
        <v>0.4292289396493742</v>
      </c>
      <c r="BX293" s="1190">
        <f>'2020'!R\Max</f>
        <v>0.68615252666493354</v>
      </c>
      <c r="BY293" s="1190">
        <f>'2021'!R\Max</f>
        <v>0.67000543411480018</v>
      </c>
      <c r="BZ293" s="1190">
        <f>'2022'!R\Max</f>
        <v>0.29052779417810293</v>
      </c>
      <c r="CA293" s="1190">
        <f>'2023'!R\Max</f>
        <v>0.29035287625147965</v>
      </c>
      <c r="CB293" s="1190">
        <f>'2024'!R\Max</f>
        <v>0.29009044649937532</v>
      </c>
      <c r="CC293" s="1190">
        <f>'2025'!R\Max</f>
        <v>0.28982720143568491</v>
      </c>
      <c r="CD293" s="1190">
        <f>'2026'!R\Max</f>
        <v>0.29091514898161369</v>
      </c>
      <c r="CE293" s="1191">
        <f>'2027'!R\Max</f>
        <v>0.29081274650528138</v>
      </c>
      <c r="CF293" s="1193">
        <f>'2028'!R\Max</f>
        <v>0.29070733840842089</v>
      </c>
    </row>
    <row r="294" spans="1:84" s="6" customFormat="1" ht="11.25" x14ac:dyDescent="0.2">
      <c r="A294" s="11">
        <v>43380</v>
      </c>
      <c r="B294" s="379">
        <f>'2022'!Maxi_hp</f>
        <v>43.826307821277801</v>
      </c>
      <c r="C294" s="13">
        <f>'2022'!An_max</f>
        <v>2021</v>
      </c>
      <c r="D294" s="1045">
        <f t="shared" si="116"/>
        <v>1.012821040985477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43.271521865930744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43.143606996908787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43.322947595641018</v>
      </c>
      <c r="AZ294" s="735">
        <f t="shared" si="134"/>
        <v>43.233277296274906</v>
      </c>
      <c r="BA294" s="633">
        <f t="shared" si="131"/>
        <v>1.012821040985477</v>
      </c>
      <c r="BC294" s="11">
        <v>43380</v>
      </c>
      <c r="BD294" s="289">
        <f>[3]!FeuilCaduc*(1-Persistant)+Persistant</f>
        <v>0.88823610176906076</v>
      </c>
      <c r="BE294" s="290">
        <f>[3]!CroissVégét</f>
        <v>0.9928561136972186</v>
      </c>
      <c r="BF294" s="804">
        <f>1+[3]!Salcycl*Ksac</f>
        <v>1.0388236101769062</v>
      </c>
      <c r="BH294" s="1036">
        <f t="shared" si="132"/>
        <v>4.2447532620872135E-3</v>
      </c>
      <c r="BI294" s="11">
        <v>44476</v>
      </c>
      <c r="BJ294" s="715">
        <v>7.09782672338077E-7</v>
      </c>
      <c r="BK294" s="715">
        <v>1.563281220308934E-4</v>
      </c>
      <c r="BL294" s="715">
        <v>7.9175960033311737E-4</v>
      </c>
      <c r="BM294" s="715">
        <v>2.4934944899371466E-3</v>
      </c>
      <c r="BN294" s="715">
        <v>6.0022397917674662E-3</v>
      </c>
      <c r="BO294" s="716">
        <v>1.2823008264016897E-2</v>
      </c>
      <c r="BP294" s="715">
        <v>2.4169240041581847E-2</v>
      </c>
      <c r="BQ294" s="715">
        <v>4.1219897278031513E-2</v>
      </c>
      <c r="BR294" s="715">
        <v>6.5402499341243009E-2</v>
      </c>
      <c r="BS294" s="715">
        <v>9.6735528205189547E-2</v>
      </c>
      <c r="BT294" s="715">
        <v>0.13318038525373999</v>
      </c>
      <c r="BW294" s="1190">
        <f>'2019'!R\Max</f>
        <v>0.71137680558105099</v>
      </c>
      <c r="BX294" s="1190">
        <f>'2020'!R\Max</f>
        <v>0.15747703481800129</v>
      </c>
      <c r="BY294" s="1190">
        <f>'2021'!R\Max</f>
        <v>1.012821040985477</v>
      </c>
      <c r="BZ294" s="1190">
        <f>'2022'!R\Max</f>
        <v>0.73665265415905457</v>
      </c>
      <c r="CA294" s="1190">
        <f>'2023'!R\Max</f>
        <v>0.73647815341973377</v>
      </c>
      <c r="CB294" s="1190">
        <f>'2024'!R\Max</f>
        <v>0.73621644632207106</v>
      </c>
      <c r="CC294" s="1190">
        <f>'2025'!R\Max</f>
        <v>0.73595364583189027</v>
      </c>
      <c r="CD294" s="1190">
        <f>'2026'!R\Max</f>
        <v>0.73703809163558087</v>
      </c>
      <c r="CE294" s="1191">
        <f>'2027'!R\Max</f>
        <v>0.73693638436246589</v>
      </c>
      <c r="CF294" s="1193">
        <f>'2028'!R\Max</f>
        <v>0.73683163406298857</v>
      </c>
    </row>
    <row r="295" spans="1:84" s="6" customFormat="1" ht="11.25" x14ac:dyDescent="0.2">
      <c r="A295" s="11">
        <v>43381</v>
      </c>
      <c r="B295" s="379">
        <f>'2022'!Maxi_hp</f>
        <v>40.63677888339361</v>
      </c>
      <c r="C295" s="13">
        <f>'2022'!An_max</f>
        <v>2021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42.908449999772714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42.790793749998556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42.962571874819695</v>
      </c>
      <c r="AZ295" s="735">
        <f t="shared" si="134"/>
        <v>42.876682812409129</v>
      </c>
      <c r="BA295" s="633">
        <f t="shared" si="131"/>
        <v>0.94705772134879873</v>
      </c>
      <c r="BC295" s="11">
        <v>43381</v>
      </c>
      <c r="BD295" s="289">
        <f>[3]!FeuilCaduc*(1-Persistant)+Persistant</f>
        <v>0.88341980610164639</v>
      </c>
      <c r="BE295" s="290">
        <f>[3]!CroissVégét</f>
        <v>0.99315492642894099</v>
      </c>
      <c r="BF295" s="804">
        <f>1+[3]!Salcycl*Ksac</f>
        <v>1.0383419806101646</v>
      </c>
      <c r="BH295" s="1036">
        <f t="shared" si="132"/>
        <v>4.4088032236749217E-3</v>
      </c>
      <c r="BI295" s="11">
        <v>44477</v>
      </c>
      <c r="BJ295" s="715">
        <v>7.4638871635663158E-7</v>
      </c>
      <c r="BK295" s="715">
        <v>1.6286685784081673E-4</v>
      </c>
      <c r="BL295" s="715">
        <v>8.2405340520964648E-4</v>
      </c>
      <c r="BM295" s="715">
        <v>2.5981832547978265E-3</v>
      </c>
      <c r="BN295" s="715">
        <v>6.2258620480340268E-3</v>
      </c>
      <c r="BO295" s="716">
        <v>1.3326926961047468E-2</v>
      </c>
      <c r="BP295" s="715">
        <v>2.5163916030764382E-2</v>
      </c>
      <c r="BQ295" s="715">
        <v>4.2921702396503177E-2</v>
      </c>
      <c r="BR295" s="715">
        <v>6.7992167925593386E-2</v>
      </c>
      <c r="BS295" s="715">
        <v>0.10027747513309671</v>
      </c>
      <c r="BT295" s="715">
        <v>0.13772932496624091</v>
      </c>
      <c r="BW295" s="1190">
        <f>'2019'!R\Max</f>
        <v>0.93298241609057453</v>
      </c>
      <c r="BX295" s="1190">
        <f>'2020'!R\Max</f>
        <v>0.73094831809975391</v>
      </c>
      <c r="BY295" s="1190">
        <f>'2021'!R\Max</f>
        <v>0.94705772134879873</v>
      </c>
      <c r="BZ295" s="1190">
        <f>'2022'!R\Max</f>
        <v>0.42848319058084627</v>
      </c>
      <c r="CA295" s="1190">
        <f>'2023'!R\Max</f>
        <v>0.42825275191409135</v>
      </c>
      <c r="CB295" s="1190">
        <f>'2024'!R\Max</f>
        <v>0.42790793829507195</v>
      </c>
      <c r="CC295" s="1190">
        <f>'2025'!R\Max</f>
        <v>0.42756200493594998</v>
      </c>
      <c r="CD295" s="1190">
        <f>'2026'!R\Max</f>
        <v>0.42899206530900225</v>
      </c>
      <c r="CE295" s="1191">
        <f>'2027'!R\Max</f>
        <v>0.42885786504955004</v>
      </c>
      <c r="CF295" s="1193">
        <f>'2028'!R\Max</f>
        <v>0.42871968508507585</v>
      </c>
    </row>
    <row r="296" spans="1:84" s="6" customFormat="1" ht="11.25" x14ac:dyDescent="0.2">
      <c r="A296" s="11">
        <v>43382</v>
      </c>
      <c r="B296" s="379">
        <f>'2022'!Maxi_hp</f>
        <v>42.04123090982015</v>
      </c>
      <c r="C296" s="13">
        <f>'2022'!An_max</f>
        <v>2022</v>
      </c>
      <c r="D296" s="1045">
        <f t="shared" si="116"/>
        <v>0.98818605765128931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42.543841399405416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42.438684839550739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42.598578425869349</v>
      </c>
      <c r="AZ296" s="735">
        <f t="shared" si="134"/>
        <v>42.51863163271004</v>
      </c>
      <c r="BA296" s="633">
        <f t="shared" si="131"/>
        <v>0.98818605765128931</v>
      </c>
      <c r="BC296" s="11">
        <v>43382</v>
      </c>
      <c r="BD296" s="289">
        <f>[3]!FeuilCaduc*(1-Persistant)+Persistant</f>
        <v>0.87845666616559814</v>
      </c>
      <c r="BE296" s="290">
        <f>[3]!CroissVégét</f>
        <v>0.9934418770502661</v>
      </c>
      <c r="BF296" s="804">
        <f>1+[3]!Salcycl*Ksac</f>
        <v>1.0378456666165599</v>
      </c>
      <c r="BH296" s="1036">
        <f t="shared" si="132"/>
        <v>4.5982449734384692E-3</v>
      </c>
      <c r="BI296" s="11">
        <v>44478</v>
      </c>
      <c r="BJ296" s="715">
        <v>5.3876887452349672E-6</v>
      </c>
      <c r="BK296" s="715">
        <v>1.7573882969975813E-4</v>
      </c>
      <c r="BL296" s="715">
        <v>8.6680772165132565E-4</v>
      </c>
      <c r="BM296" s="715">
        <v>2.7224173384869238E-3</v>
      </c>
      <c r="BN296" s="715">
        <v>6.4807433528080742E-3</v>
      </c>
      <c r="BO296" s="716">
        <v>1.388404609248845E-2</v>
      </c>
      <c r="BP296" s="715">
        <v>2.6230555887370291E-2</v>
      </c>
      <c r="BQ296" s="715">
        <v>4.4709708536005789E-2</v>
      </c>
      <c r="BR296" s="715">
        <v>7.0668964850149299E-2</v>
      </c>
      <c r="BS296" s="715">
        <v>0.10391429359390847</v>
      </c>
      <c r="BT296" s="715">
        <v>0.14239114804981143</v>
      </c>
      <c r="BW296" s="1190">
        <f>'2019'!R\Max</f>
        <v>0.22810484329026459</v>
      </c>
      <c r="BX296" s="1190">
        <f>'2020'!R\Max</f>
        <v>0.88261981808138534</v>
      </c>
      <c r="BY296" s="1190">
        <f>'2021'!R\Max</f>
        <v>0.39403418617559166</v>
      </c>
      <c r="BZ296" s="1190">
        <f>'2022'!R\Max</f>
        <v>0.98818605765128931</v>
      </c>
      <c r="CA296" s="1190">
        <f>'2023'!R\Max</f>
        <v>0.98817455895312967</v>
      </c>
      <c r="CB296" s="1190">
        <f>'2024'!R\Max</f>
        <v>0.98815736727907155</v>
      </c>
      <c r="CC296" s="1190">
        <f>'2025'!R\Max</f>
        <v>0.98814009289847915</v>
      </c>
      <c r="CD296" s="1190">
        <f>'2026'!R\Max</f>
        <v>0.98821139933171021</v>
      </c>
      <c r="CE296" s="1191">
        <f>'2027'!R\Max</f>
        <v>0.9882047242447779</v>
      </c>
      <c r="CF296" s="1193">
        <f>'2028'!R\Max</f>
        <v>0.98819784636086916</v>
      </c>
    </row>
    <row r="297" spans="1:84" s="6" customFormat="1" ht="11.25" x14ac:dyDescent="0.2">
      <c r="A297" s="11">
        <v>43383</v>
      </c>
      <c r="B297" s="379">
        <f>'2022'!Maxi_hp</f>
        <v>33.740851067404463</v>
      </c>
      <c r="C297" s="13">
        <f>'2022'!An_max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42.178354664543754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42.087637008009814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42.231474918273406</v>
      </c>
      <c r="AZ297" s="735">
        <f t="shared" si="134"/>
        <v>42.159555963141614</v>
      </c>
      <c r="BA297" s="633">
        <f t="shared" si="131"/>
        <v>0.79995654965099716</v>
      </c>
      <c r="BC297" s="11">
        <v>43383</v>
      </c>
      <c r="BD297" s="289">
        <f>[3]!FeuilCaduc*(1-Persistant)+Persistant</f>
        <v>0.8733470519905957</v>
      </c>
      <c r="BE297" s="290">
        <f>[3]!CroissVégét</f>
        <v>0.99371742996744827</v>
      </c>
      <c r="BF297" s="804">
        <f>1+[3]!Salcycl*Ksac</f>
        <v>1.0373347051990596</v>
      </c>
      <c r="BH297" s="1036">
        <f t="shared" si="132"/>
        <v>4.8113656740652972E-3</v>
      </c>
      <c r="BI297" s="11">
        <v>44479</v>
      </c>
      <c r="BJ297" s="715">
        <v>1.4641636471938141E-5</v>
      </c>
      <c r="BK297" s="715">
        <v>1.9451890639239178E-4</v>
      </c>
      <c r="BL297" s="715">
        <v>9.1918921438432913E-4</v>
      </c>
      <c r="BM297" s="715">
        <v>2.8647149787260746E-3</v>
      </c>
      <c r="BN297" s="715">
        <v>6.7649389720029094E-3</v>
      </c>
      <c r="BO297" s="716">
        <v>1.4485057945673617E-2</v>
      </c>
      <c r="BP297" s="715">
        <v>2.7344066905948077E-2</v>
      </c>
      <c r="BQ297" s="715">
        <v>4.6536285016441074E-2</v>
      </c>
      <c r="BR297" s="715">
        <v>7.3368537656446797E-2</v>
      </c>
      <c r="BS297" s="715">
        <v>0.1075780489467178</v>
      </c>
      <c r="BT297" s="715">
        <v>0.14710572533629815</v>
      </c>
      <c r="BW297" s="1190">
        <f>'2019'!R\Max</f>
        <v>0.71211353733830252</v>
      </c>
      <c r="BX297" s="1190">
        <f>'2020'!R\Max</f>
        <v>0.61984343719405299</v>
      </c>
      <c r="BY297" s="1190">
        <f>'2021'!R\Max</f>
        <v>0.76874951644121292</v>
      </c>
      <c r="BZ297" s="1190">
        <f>'2022'!R\Max</f>
        <v>0.79995654965099716</v>
      </c>
      <c r="CA297" s="1190">
        <f>'2023'!R\Max</f>
        <v>0.79979194926039732</v>
      </c>
      <c r="CB297" s="1190">
        <f>'2024'!R\Max</f>
        <v>0.79954662041420865</v>
      </c>
      <c r="CC297" s="1190">
        <f>'2025'!R\Max</f>
        <v>0.79930025940030236</v>
      </c>
      <c r="CD297" s="1190">
        <f>'2026'!R\Max</f>
        <v>0.80031976192902832</v>
      </c>
      <c r="CE297" s="1191">
        <f>'2027'!R\Max</f>
        <v>0.80022401751012251</v>
      </c>
      <c r="CF297" s="1193">
        <f>'2028'!R\Max</f>
        <v>0.800125382520956</v>
      </c>
    </row>
    <row r="298" spans="1:84" s="6" customFormat="1" ht="11.25" x14ac:dyDescent="0.2">
      <c r="A298" s="11">
        <v>43384</v>
      </c>
      <c r="B298" s="379">
        <f>'2022'!Maxi_hp</f>
        <v>42.372842429013986</v>
      </c>
      <c r="C298" s="13">
        <f>'2022'!An_max</f>
        <v>2021</v>
      </c>
      <c r="D298" s="1045">
        <f t="shared" si="116"/>
        <v>1.0133977170546129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41.812648396493749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41.738006997088505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41.861769023590853</v>
      </c>
      <c r="AZ298" s="735">
        <f t="shared" si="134"/>
        <v>41.799888010339679</v>
      </c>
      <c r="BA298" s="633">
        <f t="shared" si="131"/>
        <v>1.0133977170546129</v>
      </c>
      <c r="BC298" s="11">
        <v>43384</v>
      </c>
      <c r="BD298" s="289">
        <f>[3]!FeuilCaduc*(1-Persistant)+Persistant</f>
        <v>0.86809179281460946</v>
      </c>
      <c r="BE298" s="290">
        <f>[3]!CroissVégét</f>
        <v>0.99398203191418089</v>
      </c>
      <c r="BF298" s="804">
        <f>1+[3]!Salcycl*Ksac</f>
        <v>1.0368091792814609</v>
      </c>
      <c r="BH298" s="1036">
        <f t="shared" si="132"/>
        <v>5.0481980645838012E-3</v>
      </c>
      <c r="BI298" s="11">
        <v>44480</v>
      </c>
      <c r="BJ298" s="715">
        <v>2.8515476192412807E-5</v>
      </c>
      <c r="BK298" s="715">
        <v>2.1921620523341191E-4</v>
      </c>
      <c r="BL298" s="715">
        <v>9.8121217750132784E-4</v>
      </c>
      <c r="BM298" s="715">
        <v>3.0251019437092688E-3</v>
      </c>
      <c r="BN298" s="715">
        <v>7.0784886402707409E-3</v>
      </c>
      <c r="BO298" s="716">
        <v>1.5130018030215501E-2</v>
      </c>
      <c r="BP298" s="715">
        <v>2.8504497465150935E-2</v>
      </c>
      <c r="BQ298" s="715">
        <v>4.8401449389923988E-2</v>
      </c>
      <c r="BR298" s="715">
        <v>7.609085367375841E-2</v>
      </c>
      <c r="BS298" s="715">
        <v>0.11126868182719322</v>
      </c>
      <c r="BT298" s="715">
        <v>0.1518729992029039</v>
      </c>
      <c r="BW298" s="1190">
        <f>'2019'!R\Max</f>
        <v>0.99631107630652926</v>
      </c>
      <c r="BX298" s="1190">
        <f>'2020'!R\Max</f>
        <v>0.5801739248838701</v>
      </c>
      <c r="BY298" s="1190">
        <f>'2021'!R\Max</f>
        <v>1.0133977170546129</v>
      </c>
      <c r="BZ298" s="1190">
        <f>'2022'!R\Max</f>
        <v>0.58669317384393171</v>
      </c>
      <c r="CA298" s="1190">
        <f>'2023'!R\Max</f>
        <v>0.58643310763759415</v>
      </c>
      <c r="CB298" s="1190">
        <f>'2024'!R\Max</f>
        <v>0.58604690521782432</v>
      </c>
      <c r="CC298" s="1190">
        <f>'2025'!R\Max</f>
        <v>0.58565935880163955</v>
      </c>
      <c r="CD298" s="1190">
        <f>'2026'!R\Max</f>
        <v>0.58726832046207689</v>
      </c>
      <c r="CE298" s="1191">
        <f>'2027'!R\Max</f>
        <v>0.58711647658563126</v>
      </c>
      <c r="CF298" s="1193">
        <f>'2028'!R\Max</f>
        <v>0.58696009109451397</v>
      </c>
    </row>
    <row r="299" spans="1:84" s="6" customFormat="1" ht="11.25" x14ac:dyDescent="0.2">
      <c r="A299" s="11">
        <v>43385</v>
      </c>
      <c r="B299" s="379">
        <f>'2022'!Maxi_hp</f>
        <v>40.061070375868503</v>
      </c>
      <c r="C299" s="13">
        <f>'2022'!An_max</f>
        <v>2021</v>
      </c>
      <c r="D299" s="1045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41.447381195238478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41.390151548856267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41.489968413247595</v>
      </c>
      <c r="AZ299" s="735">
        <f t="shared" si="134"/>
        <v>41.440059981051931</v>
      </c>
      <c r="BA299" s="633">
        <f t="shared" si="131"/>
        <v>0.96655251117459662</v>
      </c>
      <c r="BC299" s="11">
        <v>43385</v>
      </c>
      <c r="BD299" s="289">
        <f>[3]!FeuilCaduc*(1-Persistant)+Persistant</f>
        <v>0.86269219570498645</v>
      </c>
      <c r="BE299" s="290">
        <f>[3]!CroissVégét</f>
        <v>0.99423611258398381</v>
      </c>
      <c r="BF299" s="804">
        <f>1+[3]!Salcycl*Ksac</f>
        <v>1.0362692195704986</v>
      </c>
      <c r="BH299" s="1036">
        <f t="shared" si="132"/>
        <v>5.3087740997692159E-3</v>
      </c>
      <c r="BI299" s="11">
        <v>44481</v>
      </c>
      <c r="BJ299" s="715">
        <v>4.7016438776507483E-5</v>
      </c>
      <c r="BK299" s="715">
        <v>2.4983979637001335E-4</v>
      </c>
      <c r="BL299" s="715">
        <v>1.0528907341184307E-3</v>
      </c>
      <c r="BM299" s="715">
        <v>3.2036034904509383E-3</v>
      </c>
      <c r="BN299" s="715">
        <v>7.4214310339659187E-3</v>
      </c>
      <c r="BO299" s="716">
        <v>1.5818979511672954E-2</v>
      </c>
      <c r="BP299" s="715">
        <v>2.9711891399405613E-2</v>
      </c>
      <c r="BQ299" s="715">
        <v>5.030521153294195E-2</v>
      </c>
      <c r="BR299" s="715">
        <v>7.8835868696473077E-2</v>
      </c>
      <c r="BS299" s="715">
        <v>0.11498611721113818</v>
      </c>
      <c r="BT299" s="715">
        <v>0.15669289200151207</v>
      </c>
      <c r="BW299" s="1190">
        <f>'2019'!R\Max</f>
        <v>0.50455617883842152</v>
      </c>
      <c r="BX299" s="1190">
        <f>'2020'!R\Max</f>
        <v>0.40276156120261669</v>
      </c>
      <c r="BY299" s="1190">
        <f>'2021'!R\Max</f>
        <v>0.96655251117459662</v>
      </c>
      <c r="BZ299" s="1190">
        <f>'2022'!R\Max</f>
        <v>0.7350050426560788</v>
      </c>
      <c r="CA299" s="1190">
        <f>'2023'!R\Max</f>
        <v>0.73478745043046023</v>
      </c>
      <c r="CB299" s="1190">
        <f>'2024'!R\Max</f>
        <v>0.73446531856438568</v>
      </c>
      <c r="CC299" s="1190">
        <f>'2025'!R\Max</f>
        <v>0.73414192857291249</v>
      </c>
      <c r="CD299" s="1190">
        <f>'2026'!R\Max</f>
        <v>0.735487085410367</v>
      </c>
      <c r="CE299" s="1191">
        <f>'2027'!R\Max</f>
        <v>0.73535962821182954</v>
      </c>
      <c r="CF299" s="1193">
        <f>'2028'!R\Max</f>
        <v>0.73522833875241855</v>
      </c>
    </row>
    <row r="300" spans="1:84" s="6" customFormat="1" ht="11.25" x14ac:dyDescent="0.2">
      <c r="A300" s="11">
        <v>43386</v>
      </c>
      <c r="B300" s="379">
        <f>'2022'!Maxi_hp</f>
        <v>39.39832701671196</v>
      </c>
      <c r="C300" s="13">
        <f>'2022'!An_max</f>
        <v>2018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41.0832116617106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41.044427405261175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41.116580758243799</v>
      </c>
      <c r="AZ300" s="735">
        <f t="shared" si="134"/>
        <v>41.080504081752487</v>
      </c>
      <c r="BA300" s="633">
        <f t="shared" si="131"/>
        <v>0.958988487587767</v>
      </c>
      <c r="BC300" s="11">
        <v>43386</v>
      </c>
      <c r="BD300" s="289">
        <f>[3]!FeuilCaduc*(1-Persistant)+Persistant</f>
        <v>0.85715006184970932</v>
      </c>
      <c r="BE300" s="290">
        <f>[3]!CroissVégét</f>
        <v>0.99448008524317211</v>
      </c>
      <c r="BF300" s="804">
        <f>1+[3]!Salcycl*Ksac</f>
        <v>1.0357150061849709</v>
      </c>
      <c r="BH300" s="1036">
        <f t="shared" si="132"/>
        <v>5.5931246933437016E-3</v>
      </c>
      <c r="BI300" s="11">
        <v>44482</v>
      </c>
      <c r="BJ300" s="715">
        <v>7.0151691260670232E-5</v>
      </c>
      <c r="BK300" s="715">
        <v>2.8639863829955746E-4</v>
      </c>
      <c r="BL300" s="715">
        <v>1.1342387315601673E-3</v>
      </c>
      <c r="BM300" s="715">
        <v>3.4002441686407769E-3</v>
      </c>
      <c r="BN300" s="715">
        <v>7.7938034534745905E-3</v>
      </c>
      <c r="BO300" s="716">
        <v>1.6551992737969697E-2</v>
      </c>
      <c r="BP300" s="715">
        <v>3.0966287498763956E-2</v>
      </c>
      <c r="BQ300" s="715">
        <v>5.2247573245548101E-2</v>
      </c>
      <c r="BR300" s="715">
        <v>8.1603526766644535E-2</v>
      </c>
      <c r="BS300" s="715">
        <v>0.11873026416302969</v>
      </c>
      <c r="BT300" s="715">
        <v>0.16156530553713808</v>
      </c>
      <c r="BW300" s="1190">
        <f>'2019'!R\Max</f>
        <v>0.958988487587767</v>
      </c>
      <c r="BX300" s="1190">
        <f>'2020'!R\Max</f>
        <v>0.64166788825001109</v>
      </c>
      <c r="BY300" s="1190">
        <f>'2021'!R\Max</f>
        <v>0.9400146792557097</v>
      </c>
      <c r="BZ300" s="1190">
        <f>'2022'!R\Max</f>
        <v>0.62074788253996294</v>
      </c>
      <c r="CA300" s="1190">
        <f>'2023'!R\Max</f>
        <v>0.62047437807494688</v>
      </c>
      <c r="CB300" s="1190">
        <f>'2024'!R\Max</f>
        <v>0.62007115412665093</v>
      </c>
      <c r="CC300" s="1190">
        <f>'2025'!R\Max</f>
        <v>0.61966653317916476</v>
      </c>
      <c r="CD300" s="1190">
        <f>'2026'!R\Max</f>
        <v>0.62135579924729767</v>
      </c>
      <c r="CE300" s="1191">
        <f>'2027'!R\Max</f>
        <v>0.62119465223716519</v>
      </c>
      <c r="CF300" s="1193">
        <f>'2028'!R\Max</f>
        <v>0.62102869668469429</v>
      </c>
    </row>
    <row r="301" spans="1:84" s="6" customFormat="1" ht="11.25" x14ac:dyDescent="0.2">
      <c r="A301" s="11">
        <v>43387</v>
      </c>
      <c r="B301" s="379">
        <f>'2022'!Maxi_hp</f>
        <v>42.332847154201126</v>
      </c>
      <c r="C301" s="13">
        <f>'2022'!An_max</f>
        <v>2021</v>
      </c>
      <c r="D301" s="1045">
        <f t="shared" si="116"/>
        <v>1.0395878475177704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40.720798396479431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40.701191308282851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40.742113729965475</v>
      </c>
      <c r="AZ301" s="735">
        <f t="shared" si="134"/>
        <v>40.721652519124163</v>
      </c>
      <c r="BA301" s="633">
        <f t="shared" si="131"/>
        <v>1.0395878475177704</v>
      </c>
      <c r="BC301" s="11">
        <v>43387</v>
      </c>
      <c r="BD301" s="289">
        <f>[3]!FeuilCaduc*(1-Persistant)+Persistant</f>
        <v>0.85146770030889862</v>
      </c>
      <c r="BE301" s="290">
        <f>[3]!CroissVégét</f>
        <v>0.99471434732473374</v>
      </c>
      <c r="BF301" s="804">
        <f>1+[3]!Salcycl*Ksac</f>
        <v>1.0351467700308898</v>
      </c>
      <c r="BH301" s="1036">
        <f t="shared" si="132"/>
        <v>5.9012794612269548E-3</v>
      </c>
      <c r="BI301" s="11">
        <v>44483</v>
      </c>
      <c r="BJ301" s="715">
        <v>9.7928286441059919E-5</v>
      </c>
      <c r="BK301" s="715">
        <v>3.289015133895765E-4</v>
      </c>
      <c r="BL301" s="715">
        <v>1.225269636554451E-3</v>
      </c>
      <c r="BM301" s="715">
        <v>3.6150476245290185E-3</v>
      </c>
      <c r="BN301" s="715">
        <v>8.1956415056150221E-3</v>
      </c>
      <c r="BO301" s="716">
        <v>1.732910476596344E-2</v>
      </c>
      <c r="BP301" s="715">
        <v>3.2267719009037535E-2</v>
      </c>
      <c r="BQ301" s="715">
        <v>5.4228527851034138E-2</v>
      </c>
      <c r="BR301" s="715">
        <v>8.4393759957292105E-2</v>
      </c>
      <c r="BS301" s="715">
        <v>0.12250101558565453</v>
      </c>
      <c r="BT301" s="715">
        <v>0.16649012054787485</v>
      </c>
      <c r="BW301" s="1190">
        <f>'2019'!R\Max</f>
        <v>0.30118351906882257</v>
      </c>
      <c r="BX301" s="1190">
        <f>'2020'!R\Max</f>
        <v>0.58362354274662354</v>
      </c>
      <c r="BY301" s="1190">
        <f>'2021'!R\Max</f>
        <v>1.0395878475177704</v>
      </c>
      <c r="BZ301" s="1190">
        <f>'2022'!R\Max</f>
        <v>0.48668418550680093</v>
      </c>
      <c r="CA301" s="1190">
        <f>'2023'!R\Max</f>
        <v>0.48638275506964945</v>
      </c>
      <c r="CB301" s="1190">
        <f>'2024'!R\Max</f>
        <v>0.48594038516808402</v>
      </c>
      <c r="CC301" s="1190">
        <f>'2025'!R\Max</f>
        <v>0.48549671968797026</v>
      </c>
      <c r="CD301" s="1190">
        <f>'2026'!R\Max</f>
        <v>0.48735685672004098</v>
      </c>
      <c r="CE301" s="1191">
        <f>'2027'!R\Max</f>
        <v>0.48717799909409559</v>
      </c>
      <c r="CF301" s="1193">
        <f>'2028'!R\Max</f>
        <v>0.48699385727133582</v>
      </c>
    </row>
    <row r="302" spans="1:84" s="6" customFormat="1" ht="11.25" x14ac:dyDescent="0.2">
      <c r="A302" s="11">
        <v>43388</v>
      </c>
      <c r="B302" s="379">
        <f>'2022'!Maxi_hp</f>
        <v>40.793609711418071</v>
      </c>
      <c r="C302" s="13">
        <f>'2022'!An_max</f>
        <v>2022</v>
      </c>
      <c r="D302" s="1045">
        <f t="shared" si="116"/>
        <v>1.0107235166651864</v>
      </c>
      <c r="E302" s="1040">
        <f>AH$13/10</f>
        <v>40.360799999999998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40.360799999997838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40.360800000000744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40.367074999772015</v>
      </c>
      <c r="AZ302" s="735">
        <f t="shared" si="134"/>
        <v>40.363937499886376</v>
      </c>
      <c r="BA302" s="633">
        <f t="shared" si="131"/>
        <v>1.0107235166651864</v>
      </c>
      <c r="BC302" s="11">
        <v>43388</v>
      </c>
      <c r="BD302" s="289">
        <f>[3]!FeuilCaduc*(1-Persistant)+Persistant</f>
        <v>0.84564793903334845</v>
      </c>
      <c r="BE302" s="290">
        <f>[3]!CroissVégét</f>
        <v>0.99493928100346574</v>
      </c>
      <c r="BF302" s="804">
        <f>1+[3]!Salcycl*Ksac</f>
        <v>1.0345647939033349</v>
      </c>
      <c r="BH302" s="1036">
        <f t="shared" si="132"/>
        <v>6.2332664647365785E-3</v>
      </c>
      <c r="BI302" s="11">
        <v>44484</v>
      </c>
      <c r="BJ302" s="715">
        <v>1.3035311246638889E-4</v>
      </c>
      <c r="BK302" s="715">
        <v>3.7735696339561363E-4</v>
      </c>
      <c r="BL302" s="715">
        <v>1.3259964304177944E-3</v>
      </c>
      <c r="BM302" s="715">
        <v>3.8480364047816123E-3</v>
      </c>
      <c r="BN302" s="715">
        <v>8.6269787859674565E-3</v>
      </c>
      <c r="BO302" s="716">
        <v>1.8150358887864475E-2</v>
      </c>
      <c r="BP302" s="715">
        <v>3.3616213131648635E-2</v>
      </c>
      <c r="BQ302" s="715">
        <v>5.6248059795121187E-2</v>
      </c>
      <c r="BR302" s="715">
        <v>8.7206488154943376E-2</v>
      </c>
      <c r="BS302" s="715">
        <v>0.12629824796863742</v>
      </c>
      <c r="BT302" s="715">
        <v>0.17146719618332701</v>
      </c>
      <c r="BW302" s="1190">
        <f>'2019'!R\Max</f>
        <v>0.80077001000664627</v>
      </c>
      <c r="BX302" s="1190">
        <f>'2020'!R\Max</f>
        <v>0.36192846844285276</v>
      </c>
      <c r="BY302" s="1190">
        <f>'2021'!R\Max</f>
        <v>0.87643060637529246</v>
      </c>
      <c r="BZ302" s="1190">
        <f>'2022'!R\Max</f>
        <v>1.0107235166651864</v>
      </c>
      <c r="CA302" s="1190">
        <f>'2023'!R\Max</f>
        <v>1.0107235166651864</v>
      </c>
      <c r="CB302" s="1190">
        <f>'2024'!R\Max</f>
        <v>1.0107235166651864</v>
      </c>
      <c r="CC302" s="1190">
        <f>'2025'!R\Max</f>
        <v>1.0107235166651864</v>
      </c>
      <c r="CD302" s="1190">
        <f>'2026'!R\Max</f>
        <v>1.0107235166651864</v>
      </c>
      <c r="CE302" s="1191">
        <f>'2027'!R\Max</f>
        <v>1.0107235166651867</v>
      </c>
      <c r="CF302" s="1193">
        <f>'2028'!R\Max</f>
        <v>1.0107235166651864</v>
      </c>
    </row>
    <row r="303" spans="1:84" s="6" customFormat="1" ht="11.25" x14ac:dyDescent="0.2">
      <c r="A303" s="11">
        <v>43389</v>
      </c>
      <c r="B303" s="379">
        <f>'2022'!Maxi_hp</f>
        <v>38.803370286376357</v>
      </c>
      <c r="C303" s="13">
        <f>'2022'!An_max</f>
        <v>2021</v>
      </c>
      <c r="D303" s="1045">
        <f t="shared" si="116"/>
        <v>0.97005904941195453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40.001039431464285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40.019724936245311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39.991972239288899</v>
      </c>
      <c r="AZ303" s="735">
        <f t="shared" si="134"/>
        <v>40.005848587767105</v>
      </c>
      <c r="BA303" s="633">
        <f t="shared" si="131"/>
        <v>0.97005904941195453</v>
      </c>
      <c r="BC303" s="11">
        <v>43389</v>
      </c>
      <c r="BD303" s="289">
        <f>[3]!FeuilCaduc*(1-Persistant)+Persistant</f>
        <v>0.839694132975772</v>
      </c>
      <c r="BE303" s="290">
        <f>[3]!CroissVégét</f>
        <v>0.99515525375273173</v>
      </c>
      <c r="BF303" s="804">
        <f>1+[3]!Salcycl*Ksac</f>
        <v>1.0339694132975772</v>
      </c>
      <c r="BH303" s="1036">
        <f t="shared" si="132"/>
        <v>6.5891119538071564E-3</v>
      </c>
      <c r="BI303" s="11">
        <v>44485</v>
      </c>
      <c r="BJ303" s="715">
        <v>1.6743284243084057E-4</v>
      </c>
      <c r="BK303" s="715">
        <v>4.3177322497983846E-4</v>
      </c>
      <c r="BL303" s="715">
        <v>1.4364315042441104E-3</v>
      </c>
      <c r="BM303" s="715">
        <v>4.0992317603465557E-3</v>
      </c>
      <c r="BN303" s="715">
        <v>9.0878465612302603E-3</v>
      </c>
      <c r="BO303" s="716">
        <v>1.9015794157710368E-2</v>
      </c>
      <c r="BP303" s="715">
        <v>3.5011790523586918E-2</v>
      </c>
      <c r="BQ303" s="715">
        <v>5.8306144245330503E-2</v>
      </c>
      <c r="BR303" s="715">
        <v>9.004161884246048E-2</v>
      </c>
      <c r="BS303" s="715">
        <v>0.13012182113738402</v>
      </c>
      <c r="BT303" s="715">
        <v>0.17649636948361258</v>
      </c>
      <c r="BW303" s="1190">
        <f>'2019'!R\Max</f>
        <v>0.83727763475080708</v>
      </c>
      <c r="BX303" s="1190">
        <f>'2020'!R\Max</f>
        <v>0.50955923970372397</v>
      </c>
      <c r="BY303" s="1190">
        <f>'2021'!R\Max</f>
        <v>0.97005904941195453</v>
      </c>
      <c r="BZ303" s="1190">
        <f>'2022'!R\Max</f>
        <v>0.89997576119481615</v>
      </c>
      <c r="CA303" s="1190">
        <f>'2023'!R\Max</f>
        <v>0.89985892544085455</v>
      </c>
      <c r="CB303" s="1190">
        <f>'2024'!R\Max</f>
        <v>0.89968880983972188</v>
      </c>
      <c r="CC303" s="1190">
        <f>'2025'!R\Max</f>
        <v>0.89951795310268523</v>
      </c>
      <c r="CD303" s="1190">
        <f>'2026'!R\Max</f>
        <v>0.90023824886258907</v>
      </c>
      <c r="CE303" s="1191">
        <f>'2027'!R\Max</f>
        <v>0.90016804476033907</v>
      </c>
      <c r="CF303" s="1193">
        <f>'2028'!R\Max</f>
        <v>0.9000957378002552</v>
      </c>
    </row>
    <row r="304" spans="1:84" s="6" customFormat="1" ht="11.25" x14ac:dyDescent="0.2">
      <c r="A304" s="11">
        <v>43390</v>
      </c>
      <c r="B304" s="379">
        <f>'2022'!Maxi_hp</f>
        <v>35.6425652403491</v>
      </c>
      <c r="C304" s="13">
        <f>'2022'!An_max</f>
        <v>2021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39.639266472363047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39.674519897957467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39.617313120035192</v>
      </c>
      <c r="AZ304" s="735">
        <f t="shared" si="134"/>
        <v>39.645916508996329</v>
      </c>
      <c r="BA304" s="633">
        <f t="shared" si="131"/>
        <v>0.89917317882760284</v>
      </c>
      <c r="BC304" s="11">
        <v>43390</v>
      </c>
      <c r="BD304" s="289">
        <f>[3]!FeuilCaduc*(1-Persistant)+Persistant</f>
        <v>0.83361016914127317</v>
      </c>
      <c r="BE304" s="290">
        <f>[3]!CroissVégét</f>
        <v>0.99536261888322142</v>
      </c>
      <c r="BF304" s="804">
        <f>1+[3]!Salcycl*Ksac</f>
        <v>1.0333610169141274</v>
      </c>
      <c r="BH304" s="1036">
        <f t="shared" si="132"/>
        <v>6.9704676020288844E-3</v>
      </c>
      <c r="BI304" s="11">
        <v>44486</v>
      </c>
      <c r="BJ304" s="715">
        <v>2.1192824719493602E-4</v>
      </c>
      <c r="BK304" s="715">
        <v>4.9546493277787581E-4</v>
      </c>
      <c r="BL304" s="715">
        <v>1.5632499613539837E-3</v>
      </c>
      <c r="BM304" s="715">
        <v>4.3720331607554706E-3</v>
      </c>
      <c r="BN304" s="715">
        <v>9.5781424936090594E-3</v>
      </c>
      <c r="BO304" s="716">
        <v>1.9918790655581036E-2</v>
      </c>
      <c r="BP304" s="715">
        <v>3.644222454326148E-2</v>
      </c>
      <c r="BQ304" s="715">
        <v>6.0384025887932152E-2</v>
      </c>
      <c r="BR304" s="715">
        <v>9.2867281961072204E-2</v>
      </c>
      <c r="BS304" s="715">
        <v>0.13391753973608503</v>
      </c>
      <c r="BT304" s="715">
        <v>0.18148743106479684</v>
      </c>
      <c r="BW304" s="1190">
        <f>'2019'!R\Max</f>
        <v>0.51237899880720661</v>
      </c>
      <c r="BX304" s="1190">
        <f>'2020'!R\Max</f>
        <v>0.25623565156666145</v>
      </c>
      <c r="BY304" s="1190">
        <f>'2021'!R\Max</f>
        <v>0.89917317882760284</v>
      </c>
      <c r="BZ304" s="1190">
        <f>'2022'!R\Max</f>
        <v>0.53858008402561108</v>
      </c>
      <c r="CA304" s="1190">
        <f>'2023'!R\Max</f>
        <v>0.53824643701829644</v>
      </c>
      <c r="CB304" s="1190">
        <f>'2024'!R\Max</f>
        <v>0.53776357698981869</v>
      </c>
      <c r="CC304" s="1190">
        <f>'2025'!R\Max</f>
        <v>0.53727930515455546</v>
      </c>
      <c r="CD304" s="1190">
        <f>'2026'!R\Max</f>
        <v>0.53933433263956454</v>
      </c>
      <c r="CE304" s="1191">
        <f>'2027'!R\Max</f>
        <v>0.53913169713088616</v>
      </c>
      <c r="CF304" s="1193">
        <f>'2028'!R\Max</f>
        <v>0.53892314196799807</v>
      </c>
    </row>
    <row r="305" spans="1:84" s="6" customFormat="1" ht="11.25" x14ac:dyDescent="0.2">
      <c r="A305" s="11">
        <v>43391</v>
      </c>
      <c r="B305" s="379">
        <f>'2022'!Maxi_hp</f>
        <v>38.775386152374139</v>
      </c>
      <c r="C305" s="13">
        <f>'2022'!An_max</f>
        <v>2020</v>
      </c>
      <c r="D305" s="1045">
        <f t="shared" si="116"/>
        <v>0.98725319731957417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39.276029956297556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39.325665114765954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39.243605312053113</v>
      </c>
      <c r="AZ305" s="735">
        <f t="shared" si="134"/>
        <v>39.28463521340953</v>
      </c>
      <c r="BA305" s="633">
        <f t="shared" si="131"/>
        <v>0.98725319731957417</v>
      </c>
      <c r="BC305" s="11">
        <v>43391</v>
      </c>
      <c r="BD305" s="289">
        <f>[3]!FeuilCaduc*(1-Persistant)+Persistant</f>
        <v>0.82740046844619153</v>
      </c>
      <c r="BE305" s="290">
        <f>[3]!CroissVégét</f>
        <v>0.99556171606410238</v>
      </c>
      <c r="BF305" s="804">
        <f>1+[3]!Salcycl*Ksac</f>
        <v>1.0327400468446191</v>
      </c>
      <c r="BH305" s="1036">
        <f t="shared" si="132"/>
        <v>7.3634050171934116E-3</v>
      </c>
      <c r="BI305" s="11">
        <v>44487</v>
      </c>
      <c r="BJ305" s="715">
        <v>2.6383129032928477E-4</v>
      </c>
      <c r="BK305" s="715">
        <v>5.6818513495666436E-4</v>
      </c>
      <c r="BL305" s="715">
        <v>1.7037054568958241E-3</v>
      </c>
      <c r="BM305" s="715">
        <v>4.6567321073151145E-3</v>
      </c>
      <c r="BN305" s="715">
        <v>1.0079703290761133E-2</v>
      </c>
      <c r="BO305" s="716">
        <v>2.0832813637483395E-2</v>
      </c>
      <c r="BP305" s="715">
        <v>3.7872643855370314E-2</v>
      </c>
      <c r="BQ305" s="715">
        <v>6.243947358766521E-2</v>
      </c>
      <c r="BR305" s="715">
        <v>9.5636506802840707E-2</v>
      </c>
      <c r="BS305" s="715">
        <v>0.13762670557379406</v>
      </c>
      <c r="BT305" s="715">
        <v>0.18635926027107724</v>
      </c>
      <c r="BW305" s="1190">
        <f>'2019'!R\Max</f>
        <v>0.39146549637735761</v>
      </c>
      <c r="BX305" s="1190">
        <f>'2020'!R\Max</f>
        <v>0.98725319731957417</v>
      </c>
      <c r="BY305" s="1190">
        <f>'2021'!R\Max</f>
        <v>0.92737345298794382</v>
      </c>
      <c r="BZ305" s="1190">
        <f>'2022'!R\Max</f>
        <v>0.96037755542292724</v>
      </c>
      <c r="CA305" s="1190">
        <f>'2023'!R\Max</f>
        <v>0.96032474476750951</v>
      </c>
      <c r="CB305" s="1190">
        <f>'2024'!R\Max</f>
        <v>0.96024858074452202</v>
      </c>
      <c r="CC305" s="1190">
        <f>'2025'!R\Max</f>
        <v>0.96017206920830511</v>
      </c>
      <c r="CD305" s="1190">
        <f>'2026'!R\Max</f>
        <v>0.96049727582041344</v>
      </c>
      <c r="CE305" s="1191">
        <f>'2027'!R\Max</f>
        <v>0.96046502359895625</v>
      </c>
      <c r="CF305" s="1193">
        <f>'2028'!R\Max</f>
        <v>0.9604318095329123</v>
      </c>
    </row>
    <row r="306" spans="1:84" s="6" customFormat="1" ht="11.25" x14ac:dyDescent="0.2">
      <c r="A306" s="11">
        <v>43392</v>
      </c>
      <c r="B306" s="379">
        <f>'2022'!Maxi_hp</f>
        <v>38.555741543850147</v>
      </c>
      <c r="C306" s="13">
        <f>'2022'!An_max</f>
        <v>2020</v>
      </c>
      <c r="D306" s="1045">
        <f t="shared" si="116"/>
        <v>0.99084759756940388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38.911878717200516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38.973640816259596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38.871356487061291</v>
      </c>
      <c r="AZ306" s="735">
        <f t="shared" si="134"/>
        <v>38.922498651660447</v>
      </c>
      <c r="BA306" s="633">
        <f t="shared" si="131"/>
        <v>0.99084759756940388</v>
      </c>
      <c r="BC306" s="11">
        <v>43392</v>
      </c>
      <c r="BD306" s="289">
        <f>[3]!FeuilCaduc*(1-Persistant)+Persistant</f>
        <v>0.82106998427873479</v>
      </c>
      <c r="BE306" s="290">
        <f>[3]!CroissVégét</f>
        <v>0.99575287182696259</v>
      </c>
      <c r="BF306" s="804">
        <f>1+[3]!Salcycl*Ksac</f>
        <v>1.0321069984278735</v>
      </c>
      <c r="BH306" s="1036">
        <f t="shared" si="132"/>
        <v>7.7679252439442036E-3</v>
      </c>
      <c r="BI306" s="11">
        <v>44488</v>
      </c>
      <c r="BJ306" s="715">
        <v>3.2315167765457008E-4</v>
      </c>
      <c r="BK306" s="715">
        <v>6.4994519411593738E-4</v>
      </c>
      <c r="BL306" s="715">
        <v>1.8578135916841217E-3</v>
      </c>
      <c r="BM306" s="715">
        <v>4.9533353373557272E-3</v>
      </c>
      <c r="BN306" s="715">
        <v>1.0592524284399071E-2</v>
      </c>
      <c r="BO306" s="716">
        <v>2.1757837719179232E-2</v>
      </c>
      <c r="BP306" s="715">
        <v>3.9302977212934055E-2</v>
      </c>
      <c r="BQ306" s="715">
        <v>6.4472342798686758E-2</v>
      </c>
      <c r="BR306" s="715">
        <v>9.8349047024066993E-2</v>
      </c>
      <c r="BS306" s="715">
        <v>0.14124896207834592</v>
      </c>
      <c r="BT306" s="715">
        <v>0.19111137446305573</v>
      </c>
      <c r="BW306" s="1190">
        <f>'2019'!R\Max</f>
        <v>0.7830315199440343</v>
      </c>
      <c r="BX306" s="1190">
        <f>'2020'!R\Max</f>
        <v>0.99084759756940388</v>
      </c>
      <c r="BY306" s="1190">
        <f>'2021'!R\Max</f>
        <v>0.94829573060059646</v>
      </c>
      <c r="BZ306" s="1190">
        <f>'2022'!R\Max</f>
        <v>0.44979705044816093</v>
      </c>
      <c r="CA306" s="1190">
        <f>'2023'!R\Max</f>
        <v>0.44944305523004058</v>
      </c>
      <c r="CB306" s="1190">
        <f>'2024'!R\Max</f>
        <v>0.44893589254611876</v>
      </c>
      <c r="CC306" s="1190">
        <f>'2025'!R\Max</f>
        <v>0.44842748903893614</v>
      </c>
      <c r="CD306" s="1190">
        <f>'2026'!R\Max</f>
        <v>0.45060526185696814</v>
      </c>
      <c r="CE306" s="1191">
        <f>'2027'!R\Max</f>
        <v>0.45038646459134368</v>
      </c>
      <c r="CF306" s="1193">
        <f>'2028'!R\Max</f>
        <v>0.45016136955877939</v>
      </c>
    </row>
    <row r="307" spans="1:84" s="6" customFormat="1" ht="11.25" x14ac:dyDescent="0.2">
      <c r="A307" s="11">
        <v>43393</v>
      </c>
      <c r="B307" s="379">
        <f>'2022'!Maxi_hp</f>
        <v>31.702695928532638</v>
      </c>
      <c r="C307" s="13">
        <f>'2022'!An_max</f>
        <v>2020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38.547361589048727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38.618927232085426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38.501074316711829</v>
      </c>
      <c r="AZ307" s="735">
        <f t="shared" si="134"/>
        <v>38.560000774398631</v>
      </c>
      <c r="BA307" s="633">
        <f t="shared" si="131"/>
        <v>0.82243491179794126</v>
      </c>
      <c r="BC307" s="11">
        <v>43393</v>
      </c>
      <c r="BD307" s="289">
        <f>[3]!FeuilCaduc*(1-Persistant)+Persistant</f>
        <v>0.81462419768042005</v>
      </c>
      <c r="BE307" s="290">
        <f>[3]!CroissVégét</f>
        <v>0.99593640005294937</v>
      </c>
      <c r="BF307" s="804">
        <f>1+[3]!Salcycl*Ksac</f>
        <v>1.031462419768042</v>
      </c>
      <c r="BH307" s="1036">
        <f t="shared" si="132"/>
        <v>8.1840271074276345E-3</v>
      </c>
      <c r="BI307" s="11">
        <v>44489</v>
      </c>
      <c r="BJ307" s="715">
        <v>3.8989854722318572E-4</v>
      </c>
      <c r="BK307" s="715">
        <v>7.4075574051123355E-4</v>
      </c>
      <c r="BL307" s="715">
        <v>2.0255887298966627E-3</v>
      </c>
      <c r="BM307" s="715">
        <v>5.2618478158224097E-3</v>
      </c>
      <c r="BN307" s="715">
        <v>1.1116598138036398E-2</v>
      </c>
      <c r="BO307" s="716">
        <v>2.2693833100382949E-2</v>
      </c>
      <c r="BP307" s="715">
        <v>4.0733147270761098E-2</v>
      </c>
      <c r="BQ307" s="715">
        <v>6.6482481269249064E-2</v>
      </c>
      <c r="BR307" s="715">
        <v>0.10100464713936014</v>
      </c>
      <c r="BS307" s="715">
        <v>0.14478394096016339</v>
      </c>
      <c r="BT307" s="715">
        <v>0.1957432758794109</v>
      </c>
      <c r="BW307" s="1190">
        <f>'2019'!R\Max</f>
        <v>0.32435576293562196</v>
      </c>
      <c r="BX307" s="1190">
        <f>'2020'!R\Max</f>
        <v>0.82243491179794126</v>
      </c>
      <c r="BY307" s="1190">
        <f>'2021'!R\Max</f>
        <v>0.745124329599543</v>
      </c>
      <c r="BZ307" s="1190">
        <f>'2022'!R\Max</f>
        <v>0.19111070953134468</v>
      </c>
      <c r="CA307" s="1190">
        <f>'2023'!R\Max</f>
        <v>0.19091346885218952</v>
      </c>
      <c r="CB307" s="1190">
        <f>'2024'!R\Max</f>
        <v>0.1906324195663549</v>
      </c>
      <c r="CC307" s="1190">
        <f>'2025'!R\Max</f>
        <v>0.1903508780355801</v>
      </c>
      <c r="CD307" s="1190">
        <f>'2026'!R\Max</f>
        <v>0.19156354105769594</v>
      </c>
      <c r="CE307" s="1191">
        <f>'2027'!R\Max</f>
        <v>0.19144044861754689</v>
      </c>
      <c r="CF307" s="1193">
        <f>'2028'!R\Max</f>
        <v>0.19131386388903976</v>
      </c>
    </row>
    <row r="308" spans="1:84" s="6" customFormat="1" ht="11.25" x14ac:dyDescent="0.2">
      <c r="A308" s="11">
        <v>43394</v>
      </c>
      <c r="B308" s="379">
        <f>'2022'!Maxi_hp</f>
        <v>24.418087613545492</v>
      </c>
      <c r="C308" s="13">
        <f>'2022'!An_max</f>
        <v>2018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38.183027405293458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38.26200459202186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38.133266472443935</v>
      </c>
      <c r="AZ308" s="735">
        <f t="shared" si="134"/>
        <v>38.197635532232894</v>
      </c>
      <c r="BA308" s="633">
        <f t="shared" si="131"/>
        <v>0.6395010891713715</v>
      </c>
      <c r="BC308" s="11">
        <v>43394</v>
      </c>
      <c r="BD308" s="289">
        <f>[3]!FeuilCaduc*(1-Persistant)+Persistant</f>
        <v>0.80806910909415341</v>
      </c>
      <c r="BE308" s="290">
        <f>[3]!CroissVégét</f>
        <v>0.99611260244351996</v>
      </c>
      <c r="BF308" s="804">
        <f>1+[3]!Salcycl*Ksac</f>
        <v>1.0308069109094153</v>
      </c>
      <c r="BH308" s="1036">
        <f t="shared" si="132"/>
        <v>8.6117070908051339E-3</v>
      </c>
      <c r="BI308" s="11">
        <v>44490</v>
      </c>
      <c r="BJ308" s="715">
        <v>4.6408038908935309E-4</v>
      </c>
      <c r="BK308" s="715">
        <v>8.4062657435603162E-4</v>
      </c>
      <c r="BL308" s="715">
        <v>2.2070438517856014E-3</v>
      </c>
      <c r="BM308" s="715">
        <v>5.5822726083398664E-3</v>
      </c>
      <c r="BN308" s="715">
        <v>1.1651914728962987E-2</v>
      </c>
      <c r="BO308" s="716">
        <v>2.3640765453130343E-2</v>
      </c>
      <c r="BP308" s="715">
        <v>4.2163070598723894E-2</v>
      </c>
      <c r="BQ308" s="715">
        <v>6.846972930463481E-2</v>
      </c>
      <c r="BR308" s="715">
        <v>0.10360304316094406</v>
      </c>
      <c r="BS308" s="715">
        <v>0.14823126318739091</v>
      </c>
      <c r="BT308" s="715">
        <v>0.20025445297781513</v>
      </c>
      <c r="BW308" s="1190">
        <f>'2019'!R\Max</f>
        <v>0.6395010891713715</v>
      </c>
      <c r="BX308" s="1190">
        <f>'2020'!R\Max</f>
        <v>0.15582651830011754</v>
      </c>
      <c r="BY308" s="1190">
        <f>'2021'!R\Max</f>
        <v>0.41948301210793315</v>
      </c>
      <c r="BZ308" s="1190">
        <f>'2022'!R\Max</f>
        <v>0.46990033586214502</v>
      </c>
      <c r="CA308" s="1190">
        <f>'2023'!R\Max</f>
        <v>0.46952302109818256</v>
      </c>
      <c r="CB308" s="1190">
        <f>'2024'!R\Max</f>
        <v>0.46898769591723766</v>
      </c>
      <c r="CC308" s="1190">
        <f>'2025'!R\Max</f>
        <v>0.46845107830829941</v>
      </c>
      <c r="CD308" s="1190">
        <f>'2026'!R\Max</f>
        <v>0.47077009530983821</v>
      </c>
      <c r="CE308" s="1191">
        <f>'2027'!R\Max</f>
        <v>0.47053288715108638</v>
      </c>
      <c r="CF308" s="1193">
        <f>'2028'!R\Max</f>
        <v>0.47028889828650428</v>
      </c>
    </row>
    <row r="309" spans="1:84" s="6" customFormat="1" ht="11.25" x14ac:dyDescent="0.2">
      <c r="A309" s="11">
        <v>43395</v>
      </c>
      <c r="B309" s="379">
        <f>'2022'!Maxi_hp</f>
        <v>36.326275641473238</v>
      </c>
      <c r="C309" s="13">
        <f>'2022'!An_max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37.81942499981087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37.903353125113064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37.76844062535092</v>
      </c>
      <c r="AZ309" s="735">
        <f t="shared" si="134"/>
        <v>37.835896875231995</v>
      </c>
      <c r="BA309" s="633">
        <f t="shared" si="131"/>
        <v>0.96051898307959205</v>
      </c>
      <c r="BC309" s="11">
        <v>43395</v>
      </c>
      <c r="BD309" s="289">
        <f>[3]!FeuilCaduc*(1-Persistant)+Persistant</f>
        <v>0.80141122665248798</v>
      </c>
      <c r="BE309" s="290">
        <f>[3]!CroissVégét</f>
        <v>0.99628176897521181</v>
      </c>
      <c r="BF309" s="804">
        <f>1+[3]!Salcycl*Ksac</f>
        <v>1.0301411226652488</v>
      </c>
      <c r="BH309" s="1036">
        <f t="shared" si="132"/>
        <v>9.0509592127393894E-3</v>
      </c>
      <c r="BI309" s="11">
        <v>44491</v>
      </c>
      <c r="BJ309" s="715">
        <v>5.4570496507861635E-4</v>
      </c>
      <c r="BK309" s="715">
        <v>9.4956656812222818E-4</v>
      </c>
      <c r="BL309" s="715">
        <v>2.4021904063829436E-3</v>
      </c>
      <c r="BM309" s="715">
        <v>5.9146107542610042E-3</v>
      </c>
      <c r="BN309" s="715">
        <v>1.219846103018459E-2</v>
      </c>
      <c r="BO309" s="716">
        <v>2.4598595810072555E-2</v>
      </c>
      <c r="BP309" s="715">
        <v>4.3592657694897306E-2</v>
      </c>
      <c r="BQ309" s="715">
        <v>7.0433920029863026E-2</v>
      </c>
      <c r="BR309" s="715">
        <v>0.10614396323761066</v>
      </c>
      <c r="BS309" s="715">
        <v>0.15159053996051716</v>
      </c>
      <c r="BT309" s="715">
        <v>0.2046443817751587</v>
      </c>
      <c r="BW309" s="1190">
        <f>'2019'!R\Max</f>
        <v>0.12951025015001025</v>
      </c>
      <c r="BX309" s="1190">
        <f>'2020'!R\Max</f>
        <v>0.68971645119090863</v>
      </c>
      <c r="BY309" s="1190">
        <f>'2021'!R\Max</f>
        <v>0.34993202705015392</v>
      </c>
      <c r="BZ309" s="1190">
        <f>'2022'!R\Max</f>
        <v>0.96051898307959205</v>
      </c>
      <c r="CA309" s="1190">
        <f>'2023'!R\Max</f>
        <v>0.96045995250634431</v>
      </c>
      <c r="CB309" s="1190">
        <f>'2024'!R\Max</f>
        <v>0.96037646102856289</v>
      </c>
      <c r="CC309" s="1190">
        <f>'2025'!R\Max</f>
        <v>0.96029259139751422</v>
      </c>
      <c r="CD309" s="1190">
        <f>'2026'!R\Max</f>
        <v>0.96065538201017542</v>
      </c>
      <c r="CE309" s="1191">
        <f>'2027'!R\Max</f>
        <v>0.9606180909114973</v>
      </c>
      <c r="CF309" s="1193">
        <f>'2028'!R\Max</f>
        <v>0.96057970010542371</v>
      </c>
    </row>
    <row r="310" spans="1:84" s="6" customFormat="1" ht="11.25" x14ac:dyDescent="0.2">
      <c r="A310" s="11">
        <v>43396</v>
      </c>
      <c r="B310" s="379">
        <f>'2022'!Maxi_hp</f>
        <v>37.404529448025627</v>
      </c>
      <c r="C310" s="13">
        <f>'2022'!An_max</f>
        <v>2021</v>
      </c>
      <c r="D310" s="1045">
        <f t="shared" si="116"/>
        <v>0.99859642752130628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37.457103207218871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37.543453061287963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37.407104446206773</v>
      </c>
      <c r="AZ310" s="735">
        <f t="shared" si="134"/>
        <v>37.475278753747368</v>
      </c>
      <c r="BA310" s="633">
        <f t="shared" si="131"/>
        <v>0.99859642752130628</v>
      </c>
      <c r="BC310" s="11">
        <v>43396</v>
      </c>
      <c r="BD310" s="289">
        <f>[3]!FeuilCaduc*(1-Persistant)+Persistant</f>
        <v>0.79465755100796143</v>
      </c>
      <c r="BE310" s="290">
        <f>[3]!CroissVégét</f>
        <v>0.99644417833885535</v>
      </c>
      <c r="BF310" s="804">
        <f>1+[3]!Salcycl*Ksac</f>
        <v>1.0294657551007962</v>
      </c>
      <c r="BH310" s="1036">
        <f t="shared" si="132"/>
        <v>9.5005790906852808E-3</v>
      </c>
      <c r="BI310" s="11">
        <v>44492</v>
      </c>
      <c r="BJ310" s="715">
        <v>6.3377225475930805E-4</v>
      </c>
      <c r="BK310" s="715">
        <v>1.0667006732855298E-3</v>
      </c>
      <c r="BL310" s="715">
        <v>2.6100555083699152E-3</v>
      </c>
      <c r="BM310" s="715">
        <v>6.257798660608424E-3</v>
      </c>
      <c r="BN310" s="715">
        <v>1.2754891368918053E-2</v>
      </c>
      <c r="BO310" s="716">
        <v>2.5549518871476256E-2</v>
      </c>
      <c r="BP310" s="715">
        <v>4.5001683871197636E-2</v>
      </c>
      <c r="BQ310" s="715">
        <v>7.2355157753512075E-2</v>
      </c>
      <c r="BR310" s="715">
        <v>0.10863158309096044</v>
      </c>
      <c r="BS310" s="715">
        <v>0.15484849587390526</v>
      </c>
      <c r="BT310" s="715">
        <v>0.2088522164219552</v>
      </c>
      <c r="BW310" s="1190">
        <f>'2019'!R\Max</f>
        <v>0.48142586563930195</v>
      </c>
      <c r="BX310" s="1190">
        <f>'2020'!R\Max</f>
        <v>0.14149532500728981</v>
      </c>
      <c r="BY310" s="1190">
        <f>'2021'!R\Max</f>
        <v>0.99859642752130628</v>
      </c>
      <c r="BZ310" s="1190">
        <f>'2022'!R\Max</f>
        <v>0.49754739338925291</v>
      </c>
      <c r="CA310" s="1190">
        <f>'2023'!R\Max</f>
        <v>0.49714866241288502</v>
      </c>
      <c r="CB310" s="1190">
        <f>'2024'!R\Max</f>
        <v>0.49658840754334238</v>
      </c>
      <c r="CC310" s="1190">
        <f>'2025'!R\Max</f>
        <v>0.49602678903383973</v>
      </c>
      <c r="CD310" s="1190">
        <f>'2026'!R\Max</f>
        <v>0.49847491651237069</v>
      </c>
      <c r="CE310" s="1191">
        <f>'2027'!R\Max</f>
        <v>0.49822019591223499</v>
      </c>
      <c r="CF310" s="1193">
        <f>'2028'!R\Max</f>
        <v>0.49795823975549824</v>
      </c>
    </row>
    <row r="311" spans="1:84" s="6" customFormat="1" ht="11.25" x14ac:dyDescent="0.2">
      <c r="A311" s="11">
        <v>43397</v>
      </c>
      <c r="B311" s="379">
        <f>'2022'!Maxi_hp</f>
        <v>38.420312161688102</v>
      </c>
      <c r="C311" s="13">
        <f>'2022'!An_max</f>
        <v>2021</v>
      </c>
      <c r="D311" s="1045">
        <f t="shared" si="116"/>
        <v>1.0356825400171863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37.096610860168163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37.182784630285873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37.049765606663591</v>
      </c>
      <c r="AZ311" s="735">
        <f t="shared" si="134"/>
        <v>37.116275118474732</v>
      </c>
      <c r="BA311" s="633">
        <f t="shared" si="131"/>
        <v>1.0356825400171863</v>
      </c>
      <c r="BC311" s="11">
        <v>43397</v>
      </c>
      <c r="BD311" s="289">
        <f>[3]!FeuilCaduc*(1-Persistant)+Persistant</f>
        <v>0.7878155567362094</v>
      </c>
      <c r="BE311" s="290">
        <f>[3]!CroissVégét</f>
        <v>0.99660009836364072</v>
      </c>
      <c r="BF311" s="804">
        <f>1+[3]!Salcycl*Ksac</f>
        <v>1.0287815556736208</v>
      </c>
      <c r="BH311" s="1036">
        <f t="shared" si="132"/>
        <v>9.9510304210661538E-3</v>
      </c>
      <c r="BI311" s="11">
        <v>44493</v>
      </c>
      <c r="BJ311" s="715">
        <v>7.2367430293378146E-4</v>
      </c>
      <c r="BK311" s="715">
        <v>1.1863736350566497E-3</v>
      </c>
      <c r="BL311" s="715">
        <v>2.8238075344920841E-3</v>
      </c>
      <c r="BM311" s="715">
        <v>6.6036170433128247E-3</v>
      </c>
      <c r="BN311" s="715">
        <v>1.331034773854642E-2</v>
      </c>
      <c r="BO311" s="716">
        <v>2.6476825313129459E-2</v>
      </c>
      <c r="BP311" s="715">
        <v>4.6379512041451881E-2</v>
      </c>
      <c r="BQ311" s="715">
        <v>7.4239534768023682E-2</v>
      </c>
      <c r="BR311" s="715">
        <v>0.11109391348722865</v>
      </c>
      <c r="BS311" s="715">
        <v>0.15804211876370269</v>
      </c>
      <c r="BT311" s="715">
        <v>0.21291295627214485</v>
      </c>
      <c r="BW311" s="1190">
        <f>'2019'!R\Max</f>
        <v>0.47942730456455424</v>
      </c>
      <c r="BX311" s="1190">
        <f>'2020'!R\Max</f>
        <v>0.27451129844470179</v>
      </c>
      <c r="BY311" s="1190">
        <f>'2021'!R\Max</f>
        <v>1.0356825400171863</v>
      </c>
      <c r="BZ311" s="1190">
        <f>'2022'!R\Max</f>
        <v>0.74417515201084539</v>
      </c>
      <c r="CA311" s="1190">
        <f>'2023'!R\Max</f>
        <v>0.74386401204651764</v>
      </c>
      <c r="CB311" s="1190">
        <f>'2024'!R\Max</f>
        <v>0.74342835906654858</v>
      </c>
      <c r="CC311" s="1190">
        <f>'2025'!R\Max</f>
        <v>0.74299117148437333</v>
      </c>
      <c r="CD311" s="1190">
        <f>'2026'!R\Max</f>
        <v>0.74490036890902633</v>
      </c>
      <c r="CE311" s="1191">
        <f>'2027'!R\Max</f>
        <v>0.74470083638191753</v>
      </c>
      <c r="CF311" s="1193">
        <f>'2028'!R\Max</f>
        <v>0.74449556028482333</v>
      </c>
    </row>
    <row r="312" spans="1:84" s="6" customFormat="1" ht="11.25" x14ac:dyDescent="0.2">
      <c r="A312" s="11">
        <v>43398</v>
      </c>
      <c r="B312" s="379">
        <f>'2022'!Maxi_hp</f>
        <v>35.228620832517834</v>
      </c>
      <c r="C312" s="13">
        <f>'2022'!An_max</f>
        <v>2021</v>
      </c>
      <c r="D312" s="1045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36.738496792798728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36.821828061129366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36.696931778426681</v>
      </c>
      <c r="AZ312" s="735">
        <f t="shared" si="134"/>
        <v>36.759379919778027</v>
      </c>
      <c r="BA312" s="633">
        <f t="shared" si="131"/>
        <v>0.95890207569470154</v>
      </c>
      <c r="BC312" s="11">
        <v>43398</v>
      </c>
      <c r="BD312" s="289">
        <f>[3]!FeuilCaduc*(1-Persistant)+Persistant</f>
        <v>0.78089317037145478</v>
      </c>
      <c r="BE312" s="290">
        <f>[3]!CroissVégét</f>
        <v>0.99674978642645717</v>
      </c>
      <c r="BF312" s="804">
        <f>1+[3]!Salcycl*Ksac</f>
        <v>1.0280893170371455</v>
      </c>
      <c r="BH312" s="1036">
        <f t="shared" si="132"/>
        <v>1.0402389380596094E-2</v>
      </c>
      <c r="BI312" s="11">
        <v>44494</v>
      </c>
      <c r="BJ312" s="715">
        <v>8.1541931050451994E-4</v>
      </c>
      <c r="BK312" s="715">
        <v>1.3085981390560471E-3</v>
      </c>
      <c r="BL312" s="715">
        <v>3.0434761549962865E-3</v>
      </c>
      <c r="BM312" s="715">
        <v>6.952119483707519E-3</v>
      </c>
      <c r="BN312" s="715">
        <v>1.3864928991517358E-2</v>
      </c>
      <c r="BO312" s="716">
        <v>2.7380681542536423E-2</v>
      </c>
      <c r="BP312" s="715">
        <v>4.7726446436611038E-2</v>
      </c>
      <c r="BQ312" s="715">
        <v>7.6087554410423641E-2</v>
      </c>
      <c r="BR312" s="715">
        <v>0.11353174663887496</v>
      </c>
      <c r="BS312" s="715">
        <v>0.1611724957536261</v>
      </c>
      <c r="BT312" s="715">
        <v>0.21682798274510592</v>
      </c>
      <c r="BW312" s="1190">
        <f>'2019'!R\Max</f>
        <v>0.83031435486593541</v>
      </c>
      <c r="BX312" s="1190">
        <f>'2020'!R\Max</f>
        <v>0.87984665286173136</v>
      </c>
      <c r="BY312" s="1190">
        <f>'2021'!R\Max</f>
        <v>0.95890207569470154</v>
      </c>
      <c r="BZ312" s="1190">
        <f>'2022'!R\Max</f>
        <v>0.66423654651157416</v>
      </c>
      <c r="CA312" s="1190">
        <f>'2023'!R\Max</f>
        <v>0.66386363513964519</v>
      </c>
      <c r="CB312" s="1190">
        <f>'2024'!R\Max</f>
        <v>0.66334379254065501</v>
      </c>
      <c r="CC312" s="1190">
        <f>'2025'!R\Max</f>
        <v>0.66282232348383319</v>
      </c>
      <c r="CD312" s="1190">
        <f>'2026'!R\Max</f>
        <v>0.66510822615969833</v>
      </c>
      <c r="CE312" s="1191">
        <f>'2027'!R\Max</f>
        <v>0.66486789611814323</v>
      </c>
      <c r="CF312" s="1193">
        <f>'2028'!R\Max</f>
        <v>0.66462073264260901</v>
      </c>
    </row>
    <row r="313" spans="1:84" s="6" customFormat="1" ht="11.25" x14ac:dyDescent="0.2">
      <c r="A313" s="11">
        <v>43399</v>
      </c>
      <c r="B313" s="379">
        <f>'2022'!Maxi_hp</f>
        <v>35.899581400046522</v>
      </c>
      <c r="C313" s="13">
        <f>'2022'!An_max</f>
        <v>2018</v>
      </c>
      <c r="D313" s="1045">
        <f t="shared" si="116"/>
        <v>0.98670466096012843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36.383309839758809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36.4610635839569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36.34911063232326</v>
      </c>
      <c r="AZ313" s="735">
        <f t="shared" si="134"/>
        <v>36.40508710814008</v>
      </c>
      <c r="BA313" s="633">
        <f t="shared" si="131"/>
        <v>0.98670466096012843</v>
      </c>
      <c r="BC313" s="11">
        <v>43399</v>
      </c>
      <c r="BD313" s="289">
        <f>[3]!FeuilCaduc*(1-Persistant)+Persistant</f>
        <v>0.77389874516275903</v>
      </c>
      <c r="BE313" s="290">
        <f>[3]!CroissVégét</f>
        <v>0.99689348984691617</v>
      </c>
      <c r="BF313" s="804">
        <f>1+[3]!Salcycl*Ksac</f>
        <v>1.0273898745162759</v>
      </c>
      <c r="BH313" s="1036">
        <f t="shared" si="132"/>
        <v>1.0854655614792534E-2</v>
      </c>
      <c r="BI313" s="11">
        <v>44495</v>
      </c>
      <c r="BJ313" s="715">
        <v>9.0901069942173713E-4</v>
      </c>
      <c r="BK313" s="715">
        <v>1.4333786668780232E-3</v>
      </c>
      <c r="BL313" s="715">
        <v>3.2690705967793922E-3</v>
      </c>
      <c r="BM313" s="715">
        <v>7.3033094407153202E-3</v>
      </c>
      <c r="BN313" s="715">
        <v>1.4418630946381834E-2</v>
      </c>
      <c r="BO313" s="716">
        <v>2.8261046074905097E-2</v>
      </c>
      <c r="BP313" s="715">
        <v>4.9042424272208611E-2</v>
      </c>
      <c r="BQ313" s="715">
        <v>7.789912882005702E-2</v>
      </c>
      <c r="BR313" s="715">
        <v>0.11594498640380028</v>
      </c>
      <c r="BS313" s="715">
        <v>0.16423944536486682</v>
      </c>
      <c r="BT313" s="715">
        <v>0.22059696326816125</v>
      </c>
      <c r="BW313" s="1190">
        <f>'2019'!R\Max</f>
        <v>0.98670466096012843</v>
      </c>
      <c r="BX313" s="1190">
        <f>'2020'!R\Max</f>
        <v>0.65075873270924034</v>
      </c>
      <c r="BY313" s="1190">
        <f>'2021'!R\Max</f>
        <v>0.74457551785376141</v>
      </c>
      <c r="BZ313" s="1190">
        <f>'2022'!R\Max</f>
        <v>0.37344844205583883</v>
      </c>
      <c r="CA313" s="1190">
        <f>'2023'!R\Max</f>
        <v>0.37304871998235095</v>
      </c>
      <c r="CB313" s="1190">
        <f>'2024'!R\Max</f>
        <v>0.37249426214050291</v>
      </c>
      <c r="CC313" s="1190">
        <f>'2025'!R\Max</f>
        <v>0.37193884983329584</v>
      </c>
      <c r="CD313" s="1190">
        <f>'2026'!R\Max</f>
        <v>0.37438582944191179</v>
      </c>
      <c r="CE313" s="1191">
        <f>'2027'!R\Max</f>
        <v>0.37412684000239005</v>
      </c>
      <c r="CF313" s="1193">
        <f>'2028'!R\Max</f>
        <v>0.373860712461831</v>
      </c>
    </row>
    <row r="314" spans="1:84" s="6" customFormat="1" ht="11.25" x14ac:dyDescent="0.2">
      <c r="A314" s="11">
        <v>43400</v>
      </c>
      <c r="B314" s="379">
        <f>'2022'!Maxi_hp</f>
        <v>30.879725572368368</v>
      </c>
      <c r="C314" s="13">
        <f>'2022'!An_max</f>
        <v>2021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36.031598833777494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36.100971428983442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36.006809839579674</v>
      </c>
      <c r="AZ314" s="735">
        <f t="shared" si="134"/>
        <v>36.053890634281558</v>
      </c>
      <c r="BA314" s="633">
        <f t="shared" si="131"/>
        <v>0.85701791127349169</v>
      </c>
      <c r="BC314" s="11">
        <v>43400</v>
      </c>
      <c r="BD314" s="289">
        <f>[3]!FeuilCaduc*(1-Persistant)+Persistant</f>
        <v>0.76684103266780501</v>
      </c>
      <c r="BE314" s="290">
        <f>[3]!CroissVégét</f>
        <v>0.99703144626847073</v>
      </c>
      <c r="BF314" s="804">
        <f>1+[3]!Salcycl*Ksac</f>
        <v>1.0266841032667804</v>
      </c>
      <c r="BH314" s="1036">
        <f t="shared" si="132"/>
        <v>1.1307827133457134E-2</v>
      </c>
      <c r="BI314" s="11">
        <v>44496</v>
      </c>
      <c r="BJ314" s="715">
        <v>1.0044516123408924E-3</v>
      </c>
      <c r="BK314" s="715">
        <v>1.5607193315628036E-3</v>
      </c>
      <c r="BL314" s="715">
        <v>3.5005994695892066E-3</v>
      </c>
      <c r="BM314" s="715">
        <v>7.6571891745950416E-3</v>
      </c>
      <c r="BN314" s="715">
        <v>1.4971447347369044E-2</v>
      </c>
      <c r="BO314" s="716">
        <v>2.9117873320020356E-2</v>
      </c>
      <c r="BP314" s="715">
        <v>5.0327376790677052E-2</v>
      </c>
      <c r="BQ314" s="715">
        <v>7.9674162157031575E-2</v>
      </c>
      <c r="BR314" s="715">
        <v>0.11833352691301657</v>
      </c>
      <c r="BS314" s="715">
        <v>0.1672427725949803</v>
      </c>
      <c r="BT314" s="715">
        <v>0.22421954616443271</v>
      </c>
      <c r="BW314" s="1190">
        <f>'2019'!R\Max</f>
        <v>0.68581846965358451</v>
      </c>
      <c r="BX314" s="1190">
        <f>'2020'!R\Max</f>
        <v>0.69064542722207078</v>
      </c>
      <c r="BY314" s="1190">
        <f>'2021'!R\Max</f>
        <v>0.85701791127349169</v>
      </c>
      <c r="BZ314" s="1190">
        <f>'2022'!R\Max</f>
        <v>0.4364154215107392</v>
      </c>
      <c r="CA314" s="1190">
        <f>'2023'!R\Max</f>
        <v>0.43598628746869794</v>
      </c>
      <c r="CB314" s="1190">
        <f>'2024'!R\Max</f>
        <v>0.43539295335997474</v>
      </c>
      <c r="CC314" s="1190">
        <f>'2025'!R\Max</f>
        <v>0.43479844360108555</v>
      </c>
      <c r="CD314" s="1190">
        <f>'2026'!R\Max</f>
        <v>0.43742226196171657</v>
      </c>
      <c r="CE314" s="1191">
        <f>'2027'!R\Max</f>
        <v>0.43714393690107334</v>
      </c>
      <c r="CF314" s="1193">
        <f>'2028'!R\Max</f>
        <v>0.43685796658652687</v>
      </c>
    </row>
    <row r="315" spans="1:84" s="6" customFormat="1" ht="11.25" x14ac:dyDescent="0.2">
      <c r="A315" s="11">
        <v>43401</v>
      </c>
      <c r="B315" s="379">
        <f>'2022'!Maxi_hp</f>
        <v>35.461193234664123</v>
      </c>
      <c r="C315" s="13">
        <f>'2022'!An_max</f>
        <v>2021</v>
      </c>
      <c r="D315" s="1045">
        <f t="shared" si="116"/>
        <v>0.99375854949912756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35.683912608889969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35.742031824278612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35.670537071608535</v>
      </c>
      <c r="AZ315" s="735">
        <f t="shared" si="134"/>
        <v>35.706284447943574</v>
      </c>
      <c r="BA315" s="633">
        <f t="shared" si="131"/>
        <v>0.99375854949912756</v>
      </c>
      <c r="BC315" s="11">
        <v>43401</v>
      </c>
      <c r="BD315" s="289">
        <f>[3]!FeuilCaduc*(1-Persistant)+Persistant</f>
        <v>0.75972915132866659</v>
      </c>
      <c r="BE315" s="290">
        <f>[3]!CroissVégét</f>
        <v>0.99716388402603495</v>
      </c>
      <c r="BF315" s="804">
        <f>1+[3]!Salcycl*Ksac</f>
        <v>1.0259729151328667</v>
      </c>
      <c r="BH315" s="1036">
        <f t="shared" si="132"/>
        <v>1.1761900306671208E-2</v>
      </c>
      <c r="BI315" s="11">
        <v>44497</v>
      </c>
      <c r="BJ315" s="715">
        <v>1.1017448964035996E-3</v>
      </c>
      <c r="BK315" s="715">
        <v>1.6906238551125106E-3</v>
      </c>
      <c r="BL315" s="715">
        <v>3.7380707133581621E-3</v>
      </c>
      <c r="BM315" s="715">
        <v>8.0137597254561679E-3</v>
      </c>
      <c r="BN315" s="715">
        <v>1.5523369877924765E-2</v>
      </c>
      <c r="BO315" s="716">
        <v>2.9951113808129402E-2</v>
      </c>
      <c r="BP315" s="715">
        <v>5.1581229560937865E-2</v>
      </c>
      <c r="BQ315" s="715">
        <v>8.1412550958181701E-2</v>
      </c>
      <c r="BR315" s="715">
        <v>0.12069725282417791</v>
      </c>
      <c r="BS315" s="715">
        <v>0.17018226953814908</v>
      </c>
      <c r="BT315" s="715">
        <v>0.22769536204510846</v>
      </c>
      <c r="BW315" s="1190">
        <f>'2019'!R\Max</f>
        <v>0.26962812968974503</v>
      </c>
      <c r="BX315" s="1190">
        <f>'2020'!R\Max</f>
        <v>0.72820691977137275</v>
      </c>
      <c r="BY315" s="1190">
        <f>'2021'!R\Max</f>
        <v>0.99375854949912756</v>
      </c>
      <c r="BZ315" s="1190">
        <f>'2022'!R\Max</f>
        <v>0.53039399564894973</v>
      </c>
      <c r="CA315" s="1190">
        <f>'2023'!R\Max</f>
        <v>0.52995053926259994</v>
      </c>
      <c r="CB315" s="1190">
        <f>'2024'!R\Max</f>
        <v>0.52933912017714502</v>
      </c>
      <c r="CC315" s="1190">
        <f>'2025'!R\Max</f>
        <v>0.5287262289122252</v>
      </c>
      <c r="CD315" s="1190">
        <f>'2026'!R\Max</f>
        <v>0.53143396644733176</v>
      </c>
      <c r="CE315" s="1191">
        <f>'2027'!R\Max</f>
        <v>0.53114651191785511</v>
      </c>
      <c r="CF315" s="1193">
        <f>'2028'!R\Max</f>
        <v>0.530851171145443</v>
      </c>
    </row>
    <row r="316" spans="1:84" s="6" customFormat="1" ht="11.25" x14ac:dyDescent="0.2">
      <c r="A316" s="11">
        <v>43402</v>
      </c>
      <c r="B316" s="379">
        <f>'2022'!Maxi_hp</f>
        <v>29.777598995663187</v>
      </c>
      <c r="C316" s="13">
        <f>'2022'!An_max</f>
        <v>2018</v>
      </c>
      <c r="D316" s="1045" t="str">
        <f t="shared" si="116"/>
        <v/>
      </c>
      <c r="E316" s="1040">
        <f>AI$13/10</f>
        <v>35.340800000000002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35.340799999982117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35.384725000034088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35.340799999609587</v>
      </c>
      <c r="AZ316" s="735">
        <f t="shared" si="134"/>
        <v>35.362762499821841</v>
      </c>
      <c r="BA316" s="633">
        <f t="shared" si="131"/>
        <v>0.8425841802018702</v>
      </c>
      <c r="BC316" s="11">
        <v>43402</v>
      </c>
      <c r="BD316" s="289">
        <f>[3]!FeuilCaduc*(1-Persistant)+Persistant</f>
        <v>0.7525725522008142</v>
      </c>
      <c r="BE316" s="290">
        <f>[3]!CroissVégét</f>
        <v>0.99729102250050727</v>
      </c>
      <c r="BF316" s="804">
        <f>1+[3]!Salcycl*Ksac</f>
        <v>1.0252572552200814</v>
      </c>
      <c r="BH316" s="1036">
        <f t="shared" si="132"/>
        <v>1.2216869860758909E-2</v>
      </c>
      <c r="BI316" s="11">
        <v>44498</v>
      </c>
      <c r="BJ316" s="715">
        <v>1.2008930870159239E-3</v>
      </c>
      <c r="BK316" s="715">
        <v>1.8230955460029708E-3</v>
      </c>
      <c r="BL316" s="715">
        <v>3.9814915455274463E-3</v>
      </c>
      <c r="BM316" s="715">
        <v>8.3730208917518791E-3</v>
      </c>
      <c r="BN316" s="715">
        <v>1.6074388174206814E-2</v>
      </c>
      <c r="BO316" s="716">
        <v>3.0760714415742556E-2</v>
      </c>
      <c r="BP316" s="715">
        <v>5.2803902777844254E-2</v>
      </c>
      <c r="BQ316" s="715">
        <v>8.3114184492798435E-2</v>
      </c>
      <c r="BR316" s="715">
        <v>0.12303603957476257</v>
      </c>
      <c r="BS316" s="715">
        <v>0.1730577160049516</v>
      </c>
      <c r="BT316" s="715">
        <v>0.23102402520104498</v>
      </c>
      <c r="BW316" s="1190">
        <f>'2019'!R\Max</f>
        <v>0.8425841802018702</v>
      </c>
      <c r="BX316" s="1190">
        <f>'2020'!R\Max</f>
        <v>0.39344453993139666</v>
      </c>
      <c r="BY316" s="1190">
        <f>'2021'!R\Max</f>
        <v>0.52407925980264258</v>
      </c>
      <c r="BZ316" s="1190">
        <f>'2022'!R\Max</f>
        <v>0.83304800813889635</v>
      </c>
      <c r="CA316" s="1190">
        <f>'2023'!R\Max</f>
        <v>0.83279546246105396</v>
      </c>
      <c r="CB316" s="1190">
        <f>'2024'!R\Max</f>
        <v>0.83244782726536515</v>
      </c>
      <c r="CC316" s="1190">
        <f>'2025'!R\Max</f>
        <v>0.83209883615813174</v>
      </c>
      <c r="CD316" s="1190">
        <f>'2026'!R\Max</f>
        <v>0.83363882717328397</v>
      </c>
      <c r="CE316" s="1191">
        <f>'2027'!R\Max</f>
        <v>0.83347572484037513</v>
      </c>
      <c r="CF316" s="1193">
        <f>'2028'!R\Max</f>
        <v>0.83330807238490656</v>
      </c>
    </row>
    <row r="317" spans="1:84" s="6" customFormat="1" ht="11.25" x14ac:dyDescent="0.2">
      <c r="A317" s="11">
        <v>43403</v>
      </c>
      <c r="B317" s="379">
        <f>'2022'!Maxi_hp</f>
        <v>28.491037803008169</v>
      </c>
      <c r="C317" s="13">
        <f>'2022'!An_max</f>
        <v>2020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35.000724270993047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35.029531186533028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35.013491517598069</v>
      </c>
      <c r="AZ317" s="735">
        <f t="shared" si="134"/>
        <v>35.021511352065545</v>
      </c>
      <c r="BA317" s="633">
        <f t="shared" si="131"/>
        <v>0.8140128067755501</v>
      </c>
      <c r="BC317" s="11">
        <v>43403</v>
      </c>
      <c r="BD317" s="289">
        <f>[3]!FeuilCaduc*(1-Persistant)+Persistant</f>
        <v>0.74538098203215064</v>
      </c>
      <c r="BE317" s="290">
        <f>[3]!CroissVégét</f>
        <v>0.99741307246059263</v>
      </c>
      <c r="BF317" s="804">
        <f>1+[3]!Salcycl*Ksac</f>
        <v>1.0245380982032151</v>
      </c>
      <c r="BH317" s="1036">
        <f t="shared" si="132"/>
        <v>1.2672728874275386E-2</v>
      </c>
      <c r="BI317" s="11">
        <v>44499</v>
      </c>
      <c r="BJ317" s="715">
        <v>1.3018983916288605E-3</v>
      </c>
      <c r="BK317" s="715">
        <v>1.9581372766989446E-3</v>
      </c>
      <c r="BL317" s="715">
        <v>4.23086840837882E-3</v>
      </c>
      <c r="BM317" s="715">
        <v>8.7349712087889889E-3</v>
      </c>
      <c r="BN317" s="715">
        <v>1.6624489838613594E-2</v>
      </c>
      <c r="BO317" s="716">
        <v>3.1546618591498772E-2</v>
      </c>
      <c r="BP317" s="715">
        <v>5.3995311561735919E-2</v>
      </c>
      <c r="BQ317" s="715">
        <v>8.4778945118537105E-2</v>
      </c>
      <c r="BR317" s="715">
        <v>0.12534975363551934</v>
      </c>
      <c r="BS317" s="715">
        <v>0.17586888014250313</v>
      </c>
      <c r="BT317" s="715">
        <v>0.23420513499486972</v>
      </c>
      <c r="BW317" s="1190">
        <f>'2019'!R\Max</f>
        <v>0.66271319183532462</v>
      </c>
      <c r="BX317" s="1190">
        <f>'2020'!R\Max</f>
        <v>0.8140128067755501</v>
      </c>
      <c r="BY317" s="1190">
        <f>'2021'!R\Max</f>
        <v>0.31564027748023321</v>
      </c>
      <c r="BZ317" s="1190">
        <f>'2022'!R\Max</f>
        <v>0.72287607097031437</v>
      </c>
      <c r="CA317" s="1190">
        <f>'2023'!R\Max</f>
        <v>0.7225056489327677</v>
      </c>
      <c r="CB317" s="1190">
        <f>'2024'!R\Max</f>
        <v>0.7219973500409238</v>
      </c>
      <c r="CC317" s="1190">
        <f>'2025'!R\Max</f>
        <v>0.7214873543158935</v>
      </c>
      <c r="CD317" s="1190">
        <f>'2026'!R\Max</f>
        <v>0.72374213589240033</v>
      </c>
      <c r="CE317" s="1191">
        <f>'2027'!R\Max</f>
        <v>0.72350315881983607</v>
      </c>
      <c r="CF317" s="1193">
        <f>'2028'!R\Max</f>
        <v>0.72325764906958023</v>
      </c>
    </row>
    <row r="318" spans="1:84" s="6" customFormat="1" ht="11.25" x14ac:dyDescent="0.2">
      <c r="A318" s="11">
        <v>43404</v>
      </c>
      <c r="B318" s="379">
        <f>'2022'!Maxi_hp</f>
        <v>34.120858369867321</v>
      </c>
      <c r="C318" s="13">
        <f>'2022'!An_max</f>
        <v>2020</v>
      </c>
      <c r="D318" s="1045">
        <f t="shared" si="116"/>
        <v>0.98438797742065753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34.662002332934314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34.676930612282426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34.684486224236231</v>
      </c>
      <c r="AZ318" s="735">
        <f t="shared" si="134"/>
        <v>34.680708418259329</v>
      </c>
      <c r="BA318" s="633">
        <f t="shared" si="131"/>
        <v>0.98438797742065753</v>
      </c>
      <c r="BC318" s="11">
        <v>43404</v>
      </c>
      <c r="BD318" s="289">
        <f>[3]!FeuilCaduc*(1-Persistant)+Persistant</f>
        <v>0.73816444391302316</v>
      </c>
      <c r="BE318" s="290">
        <f>[3]!CroissVégét</f>
        <v>0.99753023639231442</v>
      </c>
      <c r="BF318" s="804">
        <f>1+[3]!Salcycl*Ksac</f>
        <v>1.0238164443913023</v>
      </c>
      <c r="BH318" s="1036">
        <f t="shared" si="132"/>
        <v>1.3112719309655244E-2</v>
      </c>
      <c r="BI318" s="11">
        <v>44500</v>
      </c>
      <c r="BJ318" s="715">
        <v>1.4048830031591459E-3</v>
      </c>
      <c r="BK318" s="715">
        <v>2.0959735710416338E-3</v>
      </c>
      <c r="BL318" s="715">
        <v>4.4744238703533267E-3</v>
      </c>
      <c r="BM318" s="715">
        <v>9.0821089563735535E-3</v>
      </c>
      <c r="BN318" s="715">
        <v>1.7157663160863156E-2</v>
      </c>
      <c r="BO318" s="716">
        <v>3.230445856380499E-2</v>
      </c>
      <c r="BP318" s="715">
        <v>5.5172244366171082E-2</v>
      </c>
      <c r="BQ318" s="715">
        <v>8.6423894931161968E-2</v>
      </c>
      <c r="BR318" s="715">
        <v>0.12764515163616053</v>
      </c>
      <c r="BS318" s="715">
        <v>0.17857930934582436</v>
      </c>
      <c r="BT318" s="715">
        <v>0.23715563793908367</v>
      </c>
      <c r="BW318" s="1190">
        <f>'2019'!R\Max</f>
        <v>0.5195523603293889</v>
      </c>
      <c r="BX318" s="1190">
        <f>'2020'!R\Max</f>
        <v>0.98438797742065753</v>
      </c>
      <c r="BY318" s="1190">
        <f>'2021'!R\Max</f>
        <v>0.57625463982084923</v>
      </c>
      <c r="BZ318" s="1190">
        <f>'2022'!R\Max</f>
        <v>0.69425982655287577</v>
      </c>
      <c r="CA318" s="1190">
        <f>'2023'!R\Max</f>
        <v>0.69386000806060999</v>
      </c>
      <c r="CB318" s="1190">
        <f>'2024'!R\Max</f>
        <v>0.69331326692454831</v>
      </c>
      <c r="CC318" s="1190">
        <f>'2025'!R\Max</f>
        <v>0.69276478676312891</v>
      </c>
      <c r="CD318" s="1190">
        <f>'2026'!R\Max</f>
        <v>0.69519293374194602</v>
      </c>
      <c r="CE318" s="1191">
        <f>'2027'!R\Max</f>
        <v>0.69493577633330095</v>
      </c>
      <c r="CF318" s="1193">
        <f>'2028'!R\Max</f>
        <v>0.69467168390800493</v>
      </c>
    </row>
    <row r="319" spans="1:84" s="6" customFormat="1" ht="11.25" x14ac:dyDescent="0.2">
      <c r="A319" s="11">
        <v>43405</v>
      </c>
      <c r="B319" s="379">
        <f>'2022'!Maxi_hp</f>
        <v>32.848992554762482</v>
      </c>
      <c r="C319" s="13">
        <f>'2022'!An_max</f>
        <v>2020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34.324963483879614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34.32740350761118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34.354264349290837</v>
      </c>
      <c r="AZ319" s="735">
        <f t="shared" si="134"/>
        <v>34.340833928451005</v>
      </c>
      <c r="BA319" s="633">
        <f t="shared" si="131"/>
        <v>0.9570000728533824</v>
      </c>
      <c r="BC319" s="11">
        <v>43405</v>
      </c>
      <c r="BD319" s="289">
        <f>[3]!FeuilCaduc*(1-Persistant)+Persistant</f>
        <v>0.73093315574060769</v>
      </c>
      <c r="BE319" s="290">
        <f>[3]!CroissVégét</f>
        <v>0.99764270881659778</v>
      </c>
      <c r="BF319" s="804">
        <f>1+[3]!Salcycl*Ksac</f>
        <v>1.0230933155740607</v>
      </c>
      <c r="BH319" s="1036">
        <f t="shared" si="132"/>
        <v>1.3535167947300142E-2</v>
      </c>
      <c r="BI319" s="11">
        <v>44501</v>
      </c>
      <c r="BJ319" s="715">
        <v>1.5070746898605898E-3</v>
      </c>
      <c r="BK319" s="715">
        <v>2.2332764490484067E-3</v>
      </c>
      <c r="BL319" s="715">
        <v>4.7054351290464732E-3</v>
      </c>
      <c r="BM319" s="715">
        <v>9.4110013653251282E-3</v>
      </c>
      <c r="BN319" s="715">
        <v>1.7674000728180244E-2</v>
      </c>
      <c r="BO319" s="716">
        <v>3.3040866920037652E-2</v>
      </c>
      <c r="BP319" s="715">
        <v>5.634695830002126E-2</v>
      </c>
      <c r="BQ319" s="715">
        <v>8.8067781742970253E-2</v>
      </c>
      <c r="BR319" s="715">
        <v>0.12995408304612677</v>
      </c>
      <c r="BS319" s="715">
        <v>0.18124312020860903</v>
      </c>
      <c r="BT319" s="715">
        <v>0.23996565209823129</v>
      </c>
      <c r="BW319" s="1190">
        <f>'2019'!R\Max</f>
        <v>0.20999093154093537</v>
      </c>
      <c r="BX319" s="1190">
        <f>'2020'!R\Max</f>
        <v>0.9570000728533824</v>
      </c>
      <c r="BY319" s="1190">
        <f>'2021'!R\Max</f>
        <v>0.53374887242612101</v>
      </c>
      <c r="BZ319" s="1190">
        <f>'2022'!R\Max</f>
        <v>0.62133364697558879</v>
      </c>
      <c r="CA319" s="1190">
        <f>'2023'!R\Max</f>
        <v>0.62088205726814982</v>
      </c>
      <c r="CB319" s="1190">
        <f>'2024'!R\Max</f>
        <v>0.62026719639875172</v>
      </c>
      <c r="CC319" s="1190">
        <f>'2025'!R\Max</f>
        <v>0.61965062264391713</v>
      </c>
      <c r="CD319" s="1190">
        <f>'2026'!R\Max</f>
        <v>0.62238537517771297</v>
      </c>
      <c r="CE319" s="1191">
        <f>'2027'!R\Max</f>
        <v>0.62209596782527843</v>
      </c>
      <c r="CF319" s="1193">
        <f>'2028'!R\Max</f>
        <v>0.62179889676257349</v>
      </c>
    </row>
    <row r="320" spans="1:84" s="6" customFormat="1" ht="11.25" x14ac:dyDescent="0.2">
      <c r="A320" s="11">
        <v>43406</v>
      </c>
      <c r="B320" s="379">
        <f>'2022'!Maxi_hp</f>
        <v>31.694440919259218</v>
      </c>
      <c r="C320" s="13">
        <f>'2022'!An_max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33.989937026106887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33.981430101723944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34.023306122102909</v>
      </c>
      <c r="AZ320" s="735">
        <f t="shared" si="134"/>
        <v>34.002368111913427</v>
      </c>
      <c r="BA320" s="633">
        <f t="shared" si="131"/>
        <v>0.93246542042474068</v>
      </c>
      <c r="BC320" s="11">
        <v>43406</v>
      </c>
      <c r="BD320" s="289">
        <f>[3]!FeuilCaduc*(1-Persistant)+Persistant</f>
        <v>0.72369750676161737</v>
      </c>
      <c r="BE320" s="290">
        <f>[3]!CroissVégét</f>
        <v>0.99775067659530603</v>
      </c>
      <c r="BF320" s="804">
        <f>1+[3]!Salcycl*Ksac</f>
        <v>1.0223697506761618</v>
      </c>
      <c r="BH320" s="1036">
        <f t="shared" si="132"/>
        <v>1.3940036670209953E-2</v>
      </c>
      <c r="BI320" s="11">
        <v>44502</v>
      </c>
      <c r="BJ320" s="715">
        <v>1.6084707901144598E-3</v>
      </c>
      <c r="BK320" s="715">
        <v>2.3700429034101901E-3</v>
      </c>
      <c r="BL320" s="715">
        <v>4.9238796010669531E-3</v>
      </c>
      <c r="BM320" s="715">
        <v>9.7216132365859909E-3</v>
      </c>
      <c r="BN320" s="715">
        <v>1.8173461495245652E-2</v>
      </c>
      <c r="BO320" s="716">
        <v>3.3755781601685672E-2</v>
      </c>
      <c r="BP320" s="715">
        <v>5.7519396724726383E-2</v>
      </c>
      <c r="BQ320" s="715">
        <v>8.9710520734762711E-2</v>
      </c>
      <c r="BR320" s="715">
        <v>0.13227644445812389</v>
      </c>
      <c r="BS320" s="715">
        <v>0.1838600756456735</v>
      </c>
      <c r="BT320" s="715">
        <v>0.24263475195103115</v>
      </c>
      <c r="BW320" s="1190">
        <f>'2019'!R\Max</f>
        <v>0.16522467852950817</v>
      </c>
      <c r="BX320" s="1190">
        <f>'2020'!R\Max</f>
        <v>0.85549978083134526</v>
      </c>
      <c r="BY320" s="1190">
        <f>'2021'!R\Max</f>
        <v>0.8260309832550119</v>
      </c>
      <c r="BZ320" s="1190">
        <f>'2022'!R\Max</f>
        <v>0.93246542042474068</v>
      </c>
      <c r="CA320" s="1190">
        <f>'2023'!R\Max</f>
        <v>0.93234211314381998</v>
      </c>
      <c r="CB320" s="1190">
        <f>'2024'!R\Max</f>
        <v>0.93217476434265367</v>
      </c>
      <c r="CC320" s="1190">
        <f>'2025'!R\Max</f>
        <v>0.93200667436732654</v>
      </c>
      <c r="CD320" s="1190">
        <f>'2026'!R\Max</f>
        <v>0.93275113116522368</v>
      </c>
      <c r="CE320" s="1191">
        <f>'2027'!R\Max</f>
        <v>0.93267276179411596</v>
      </c>
      <c r="CF320" s="1193">
        <f>'2028'!R\Max</f>
        <v>0.93259227800988564</v>
      </c>
    </row>
    <row r="321" spans="1:84" s="6" customFormat="1" ht="11.25" x14ac:dyDescent="0.2">
      <c r="A321" s="11">
        <v>43407</v>
      </c>
      <c r="B321" s="379">
        <f>'2022'!Maxi_hp</f>
        <v>29.614967506581426</v>
      </c>
      <c r="C321" s="13">
        <f>'2022'!An_max</f>
        <v>2020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33.657252259472649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33.639490625649763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33.692091772386007</v>
      </c>
      <c r="AZ321" s="735">
        <f t="shared" si="134"/>
        <v>33.665791199017889</v>
      </c>
      <c r="BA321" s="633">
        <f t="shared" si="131"/>
        <v>0.87989855138119466</v>
      </c>
      <c r="BC321" s="11">
        <v>43407</v>
      </c>
      <c r="BD321" s="289">
        <f>[3]!FeuilCaduc*(1-Persistant)+Persistant</f>
        <v>0.7164680124757643</v>
      </c>
      <c r="BE321" s="290">
        <f>[3]!CroissVégét</f>
        <v>0.99785431922609247</v>
      </c>
      <c r="BF321" s="804">
        <f>1+[3]!Salcycl*Ksac</f>
        <v>1.0216468012475763</v>
      </c>
      <c r="BH321" s="1036">
        <f t="shared" si="132"/>
        <v>1.4327285929299861E-2</v>
      </c>
      <c r="BI321" s="11">
        <v>44503</v>
      </c>
      <c r="BJ321" s="715">
        <v>1.7090682735558323E-3</v>
      </c>
      <c r="BK321" s="715">
        <v>2.506269428779712E-3</v>
      </c>
      <c r="BL321" s="715">
        <v>5.1297339316167959E-3</v>
      </c>
      <c r="BM321" s="715">
        <v>1.0013908279748537E-2</v>
      </c>
      <c r="BN321" s="715">
        <v>1.8656002642708974E-2</v>
      </c>
      <c r="BO321" s="716">
        <v>3.4449138019459341E-2</v>
      </c>
      <c r="BP321" s="715">
        <v>5.8689498792951968E-2</v>
      </c>
      <c r="BQ321" s="715">
        <v>9.1352021202400699E-2</v>
      </c>
      <c r="BR321" s="715">
        <v>0.13461212412640364</v>
      </c>
      <c r="BS321" s="715">
        <v>0.18642992935335675</v>
      </c>
      <c r="BT321" s="715">
        <v>0.24516250284596672</v>
      </c>
      <c r="BW321" s="1190">
        <f>'2019'!R\Max</f>
        <v>0.42008883458076707</v>
      </c>
      <c r="BX321" s="1190">
        <f>'2020'!R\Max</f>
        <v>0.87989855138119466</v>
      </c>
      <c r="BY321" s="1190">
        <f>'2021'!R\Max</f>
        <v>0.52813486831321899</v>
      </c>
      <c r="BZ321" s="1190">
        <f>'2022'!R\Max</f>
        <v>0.32955159110484122</v>
      </c>
      <c r="CA321" s="1190">
        <f>'2023'!R\Max</f>
        <v>0.32911087373657605</v>
      </c>
      <c r="CB321" s="1190">
        <f>'2024'!R\Max</f>
        <v>0.32851754718337517</v>
      </c>
      <c r="CC321" s="1190">
        <f>'2025'!R\Max</f>
        <v>0.32792352225054561</v>
      </c>
      <c r="CD321" s="1190">
        <f>'2026'!R\Max</f>
        <v>0.33057311604429424</v>
      </c>
      <c r="CE321" s="1191">
        <f>'2027'!R\Max</f>
        <v>0.33029307186154988</v>
      </c>
      <c r="CF321" s="1193">
        <f>'2028'!R\Max</f>
        <v>0.33000599988074175</v>
      </c>
    </row>
    <row r="322" spans="1:84" s="6" customFormat="1" ht="11.25" x14ac:dyDescent="0.2">
      <c r="A322" s="11">
        <v>43408</v>
      </c>
      <c r="B322" s="379">
        <f>'2022'!Maxi_hp</f>
        <v>19.183080529065357</v>
      </c>
      <c r="C322" s="13">
        <f>'2022'!An_max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33.32723848372698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33.30206530655601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33.361101530651965</v>
      </c>
      <c r="AZ322" s="735">
        <f t="shared" si="134"/>
        <v>33.331583418603984</v>
      </c>
      <c r="BA322" s="633">
        <f t="shared" si="131"/>
        <v>0.5755976613073438</v>
      </c>
      <c r="BC322" s="11">
        <v>43408</v>
      </c>
      <c r="BD322" s="289">
        <f>[3]!FeuilCaduc*(1-Persistant)+Persistant</f>
        <v>0.7092552681985711</v>
      </c>
      <c r="BE322" s="290">
        <f>[3]!CroissVégét</f>
        <v>0.99795380912643716</v>
      </c>
      <c r="BF322" s="804">
        <f>1+[3]!Salcycl*Ksac</f>
        <v>1.0209255268198572</v>
      </c>
      <c r="BH322" s="1036">
        <f t="shared" si="132"/>
        <v>1.469687490870043E-2</v>
      </c>
      <c r="BI322" s="11">
        <v>44504</v>
      </c>
      <c r="BJ322" s="715">
        <v>1.8088637492757931E-3</v>
      </c>
      <c r="BK322" s="715">
        <v>2.6419520278920376E-3</v>
      </c>
      <c r="BL322" s="715">
        <v>5.3229741120712762E-3</v>
      </c>
      <c r="BM322" s="715">
        <v>1.0287849284012116E-2</v>
      </c>
      <c r="BN322" s="715">
        <v>1.9121579736811785E-2</v>
      </c>
      <c r="BO322" s="716">
        <v>3.5120869257187812E-2</v>
      </c>
      <c r="BP322" s="715">
        <v>5.9857199479373395E-2</v>
      </c>
      <c r="BQ322" s="715">
        <v>9.2992186581079481E-2</v>
      </c>
      <c r="BR322" s="715">
        <v>0.13696100186244639</v>
      </c>
      <c r="BS322" s="715">
        <v>0.18895242626242184</v>
      </c>
      <c r="BT322" s="715">
        <v>0.24754846232016967</v>
      </c>
      <c r="BW322" s="1190">
        <f>'2019'!R\Max</f>
        <v>0.37362951780802217</v>
      </c>
      <c r="BX322" s="1190">
        <f>'2020'!R\Max</f>
        <v>0.16474333188962775</v>
      </c>
      <c r="BY322" s="1190">
        <f>'2021'!R\Max</f>
        <v>0.50562707718804611</v>
      </c>
      <c r="BZ322" s="1190">
        <f>'2022'!R\Max</f>
        <v>0.5755976613073438</v>
      </c>
      <c r="CA322" s="1190">
        <f>'2023'!R\Max</f>
        <v>0.57510028728462681</v>
      </c>
      <c r="CB322" s="1190">
        <f>'2024'!R\Max</f>
        <v>0.57443380910063158</v>
      </c>
      <c r="CC322" s="1190">
        <f>'2025'!R\Max</f>
        <v>0.57376567665748901</v>
      </c>
      <c r="CD322" s="1190">
        <f>'2026'!R\Max</f>
        <v>0.57674394938365992</v>
      </c>
      <c r="CE322" s="1191">
        <f>'2027'!R\Max</f>
        <v>0.576430882276876</v>
      </c>
      <c r="CF322" s="1193">
        <f>'2028'!R\Max</f>
        <v>0.57610985514990265</v>
      </c>
    </row>
    <row r="323" spans="1:84" s="6" customFormat="1" ht="11.25" x14ac:dyDescent="0.2">
      <c r="A323" s="11">
        <v>43409</v>
      </c>
      <c r="B323" s="379">
        <f>'2022'!Maxi_hp</f>
        <v>32.754929856109037</v>
      </c>
      <c r="C323" s="13">
        <f>'2022'!An_max</f>
        <v>2022</v>
      </c>
      <c r="D323" s="1045">
        <f t="shared" si="116"/>
        <v>0.99256686448824061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33.000225000455977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32.969634375500029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33.030815624818203</v>
      </c>
      <c r="AZ323" s="735">
        <f t="shared" si="134"/>
        <v>33.000225000159119</v>
      </c>
      <c r="BA323" s="633">
        <f t="shared" si="131"/>
        <v>0.99256686448824061</v>
      </c>
      <c r="BC323" s="11">
        <v>43409</v>
      </c>
      <c r="BD323" s="289">
        <f>[3]!FeuilCaduc*(1-Persistant)+Persistant</f>
        <v>0.70206990159587879</v>
      </c>
      <c r="BE323" s="290">
        <f>[3]!CroissVégét</f>
        <v>0.99804931190721602</v>
      </c>
      <c r="BF323" s="804">
        <f>1+[3]!Salcycl*Ksac</f>
        <v>1.0202069901595878</v>
      </c>
      <c r="BH323" s="1036">
        <f t="shared" si="132"/>
        <v>1.5048761690935109E-2</v>
      </c>
      <c r="BI323" s="11">
        <v>44505</v>
      </c>
      <c r="BJ323" s="715">
        <v>1.9078534740087363E-3</v>
      </c>
      <c r="BK323" s="715">
        <v>2.777086217663319E-3</v>
      </c>
      <c r="BL323" s="715">
        <v>5.5035755975145354E-3</v>
      </c>
      <c r="BM323" s="715">
        <v>1.0543398289054082E-2</v>
      </c>
      <c r="BN323" s="715">
        <v>1.9570146888851357E-2</v>
      </c>
      <c r="BO323" s="716">
        <v>3.5770906275423321E-2</v>
      </c>
      <c r="BP323" s="715">
        <v>6.1022429610960487E-2</v>
      </c>
      <c r="BQ323" s="715">
        <v>9.4630914468825336E-2</v>
      </c>
      <c r="BR323" s="715">
        <v>0.13932294892950117</v>
      </c>
      <c r="BS323" s="715">
        <v>0.19142730298937738</v>
      </c>
      <c r="BT323" s="715">
        <v>0.24979218141623055</v>
      </c>
      <c r="BW323" s="1190">
        <f>'2019'!R\Max</f>
        <v>0.40353448120965657</v>
      </c>
      <c r="BX323" s="1190">
        <f>'2020'!R\Max</f>
        <v>0.50383124647228494</v>
      </c>
      <c r="BY323" s="1190">
        <f>'2021'!R\Max</f>
        <v>0.32749076865776011</v>
      </c>
      <c r="BZ323" s="1190">
        <f>'2022'!R\Max</f>
        <v>0.99256686448824061</v>
      </c>
      <c r="CA323" s="1190">
        <f>'2023'!R\Max</f>
        <v>0.99255152086897558</v>
      </c>
      <c r="CB323" s="1190">
        <f>'2024'!R\Max</f>
        <v>0.99253104951197246</v>
      </c>
      <c r="CC323" s="1190">
        <f>'2025'!R\Max</f>
        <v>0.99251048021338528</v>
      </c>
      <c r="CD323" s="1190">
        <f>'2026'!R\Max</f>
        <v>0.99260196662515199</v>
      </c>
      <c r="CE323" s="1191">
        <f>'2027'!R\Max</f>
        <v>0.99259242513283719</v>
      </c>
      <c r="CF323" s="1193">
        <f>'2028'!R\Max</f>
        <v>0.9925826333884572</v>
      </c>
    </row>
    <row r="324" spans="1:84" s="6" customFormat="1" ht="11.25" x14ac:dyDescent="0.2">
      <c r="A324" s="11">
        <v>43410</v>
      </c>
      <c r="B324" s="379">
        <f>'2022'!Maxi_hp</f>
        <v>32.714436469052195</v>
      </c>
      <c r="C324" s="13">
        <f>'2022'!An_max</f>
        <v>2022</v>
      </c>
      <c r="D324" s="1045">
        <f t="shared" si="116"/>
        <v>1.0011597115070361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32.676541108318737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32.642678060943055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32.701714285835621</v>
      </c>
      <c r="AZ324" s="735">
        <f t="shared" si="134"/>
        <v>32.672196173389338</v>
      </c>
      <c r="BA324" s="633">
        <f t="shared" si="131"/>
        <v>1.0011597115070361</v>
      </c>
      <c r="BC324" s="11">
        <v>43410</v>
      </c>
      <c r="BD324" s="289">
        <f>[3]!FeuilCaduc*(1-Persistant)+Persistant</f>
        <v>0.69492252451354586</v>
      </c>
      <c r="BE324" s="290">
        <f>[3]!CroissVégét</f>
        <v>0.99814098663615436</v>
      </c>
      <c r="BF324" s="804">
        <f>1+[3]!Salcycl*Ksac</f>
        <v>1.0194922524513546</v>
      </c>
      <c r="BH324" s="1036">
        <f t="shared" si="132"/>
        <v>1.5385762082759007E-2</v>
      </c>
      <c r="BI324" s="11">
        <v>44506</v>
      </c>
      <c r="BJ324" s="715">
        <v>1.998028153121435E-3</v>
      </c>
      <c r="BK324" s="715">
        <v>2.9002084929461245E-3</v>
      </c>
      <c r="BL324" s="715">
        <v>5.6650307971531462E-3</v>
      </c>
      <c r="BM324" s="715">
        <v>1.078012551437272E-2</v>
      </c>
      <c r="BN324" s="715">
        <v>2.0007777034669303E-2</v>
      </c>
      <c r="BO324" s="716">
        <v>3.6403143366330666E-2</v>
      </c>
      <c r="BP324" s="715">
        <v>6.2168755135741292E-2</v>
      </c>
      <c r="BQ324" s="715">
        <v>9.6250211906769467E-2</v>
      </c>
      <c r="BR324" s="715">
        <v>0.1416401919232177</v>
      </c>
      <c r="BS324" s="715">
        <v>0.19378992062140232</v>
      </c>
      <c r="BT324" s="715">
        <v>0.2518188431202612</v>
      </c>
      <c r="BW324" s="1190">
        <f>'2019'!R\Max</f>
        <v>0.41560830777777913</v>
      </c>
      <c r="BX324" s="1190">
        <f>'2020'!R\Max</f>
        <v>0.74868432937360219</v>
      </c>
      <c r="BY324" s="1190">
        <f>'2021'!R\Max</f>
        <v>0.40106728744329789</v>
      </c>
      <c r="BZ324" s="1190">
        <f>'2022'!R\Max</f>
        <v>1.0011597115070361</v>
      </c>
      <c r="CA324" s="1190">
        <f>'2023'!R\Max</f>
        <v>1.0011597115070361</v>
      </c>
      <c r="CB324" s="1190">
        <f>'2024'!R\Max</f>
        <v>1.0011597115070363</v>
      </c>
      <c r="CC324" s="1190">
        <f>'2025'!R\Max</f>
        <v>1.0011597115070363</v>
      </c>
      <c r="CD324" s="1190">
        <f>'2026'!R\Max</f>
        <v>1.0011597115070361</v>
      </c>
      <c r="CE324" s="1191">
        <f>'2027'!R\Max</f>
        <v>1.0011597115070363</v>
      </c>
      <c r="CF324" s="1193">
        <f>'2028'!R\Max</f>
        <v>1.0011597115070363</v>
      </c>
    </row>
    <row r="325" spans="1:84" s="6" customFormat="1" ht="11.25" x14ac:dyDescent="0.2">
      <c r="A325" s="11">
        <v>43411</v>
      </c>
      <c r="B325" s="379">
        <f>'2022'!Maxi_hp</f>
        <v>30.682125298124948</v>
      </c>
      <c r="C325" s="13">
        <f>'2022'!An_max</f>
        <v>2022</v>
      </c>
      <c r="D325" s="1045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32.356516108103094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32.321676594209364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32.374277742113918</v>
      </c>
      <c r="AZ325" s="735">
        <f t="shared" si="134"/>
        <v>32.347977168161641</v>
      </c>
      <c r="BA325" s="633">
        <f t="shared" si="131"/>
        <v>0.94825182030154276</v>
      </c>
      <c r="BC325" s="11">
        <v>43411</v>
      </c>
      <c r="BD325" s="289">
        <f>[3]!FeuilCaduc*(1-Persistant)+Persistant</f>
        <v>0.68782368443427799</v>
      </c>
      <c r="BE325" s="290">
        <f>[3]!CroissVégét</f>
        <v>0.99822898609149657</v>
      </c>
      <c r="BF325" s="804">
        <f>1+[3]!Salcycl*Ksac</f>
        <v>1.0187823684434278</v>
      </c>
      <c r="BH325" s="1036">
        <f t="shared" si="132"/>
        <v>1.5709041601207327E-2</v>
      </c>
      <c r="BI325" s="11">
        <v>44507</v>
      </c>
      <c r="BJ325" s="715">
        <v>2.0803864994480689E-3</v>
      </c>
      <c r="BK325" s="715">
        <v>3.0121869031535741E-3</v>
      </c>
      <c r="BL325" s="715">
        <v>5.8082953881811146E-3</v>
      </c>
      <c r="BM325" s="715">
        <v>1.0999062083216072E-2</v>
      </c>
      <c r="BN325" s="715">
        <v>2.0435770563013884E-2</v>
      </c>
      <c r="BO325" s="716">
        <v>3.7035402606955557E-2</v>
      </c>
      <c r="BP325" s="715">
        <v>6.331635173810074E-2</v>
      </c>
      <c r="BQ325" s="715">
        <v>9.7869808582675202E-2</v>
      </c>
      <c r="BR325" s="715">
        <v>0.14390803056746118</v>
      </c>
      <c r="BS325" s="715">
        <v>0.19605289657395278</v>
      </c>
      <c r="BT325" s="715">
        <v>0.25368864436049748</v>
      </c>
      <c r="BW325" s="1190">
        <f>'2019'!R\Max</f>
        <v>0.13356695998118967</v>
      </c>
      <c r="BX325" s="1190">
        <f>'2020'!R\Max</f>
        <v>0.54582492826267126</v>
      </c>
      <c r="BY325" s="1190">
        <f>'2021'!R\Max</f>
        <v>0.27324245831825955</v>
      </c>
      <c r="BZ325" s="1190">
        <f>'2022'!R\Max</f>
        <v>0.94825182030154276</v>
      </c>
      <c r="CA325" s="1190">
        <f>'2023'!R\Max</f>
        <v>0.94814569107726199</v>
      </c>
      <c r="CB325" s="1190">
        <f>'2024'!R\Max</f>
        <v>0.94800581990875643</v>
      </c>
      <c r="CC325" s="1190">
        <f>'2025'!R\Max</f>
        <v>0.94786531113262562</v>
      </c>
      <c r="CD325" s="1190">
        <f>'2026'!R\Max</f>
        <v>0.94849257116233432</v>
      </c>
      <c r="CE325" s="1191">
        <f>'2027'!R\Max</f>
        <v>0.94842753756021847</v>
      </c>
      <c r="CF325" s="1193">
        <f>'2028'!R\Max</f>
        <v>0.94836085004727577</v>
      </c>
    </row>
    <row r="326" spans="1:84" s="6" customFormat="1" ht="11.25" x14ac:dyDescent="0.2">
      <c r="A326" s="11">
        <v>43412</v>
      </c>
      <c r="B326" s="379">
        <f>'2022'!Maxi_hp</f>
        <v>24.301685975957074</v>
      </c>
      <c r="C326" s="13">
        <f>'2022'!An_max</f>
        <v>2021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32.040479300384007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32.007110203732736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32.048986224617281</v>
      </c>
      <c r="AZ326" s="735">
        <f t="shared" si="134"/>
        <v>32.028048214175008</v>
      </c>
      <c r="BA326" s="633">
        <f t="shared" si="131"/>
        <v>0.75846824100617671</v>
      </c>
      <c r="BC326" s="11">
        <v>43412</v>
      </c>
      <c r="BD326" s="289">
        <f>[3]!FeuilCaduc*(1-Persistant)+Persistant</f>
        <v>0.68078381589920012</v>
      </c>
      <c r="BE326" s="290">
        <f>[3]!CroissVégét</f>
        <v>0.99831345700622864</v>
      </c>
      <c r="BF326" s="804">
        <f>1+[3]!Salcycl*Ksac</f>
        <v>1.0180783815899199</v>
      </c>
      <c r="BH326" s="1036">
        <f t="shared" si="132"/>
        <v>1.6018561469371324E-2</v>
      </c>
      <c r="BI326" s="11">
        <v>44508</v>
      </c>
      <c r="BJ326" s="715">
        <v>2.1549144350305159E-3</v>
      </c>
      <c r="BK326" s="715">
        <v>3.1130014324390457E-3</v>
      </c>
      <c r="BL326" s="715">
        <v>5.933336597781988E-3</v>
      </c>
      <c r="BM326" s="715">
        <v>1.1200169739594701E-2</v>
      </c>
      <c r="BN326" s="715">
        <v>2.0854088174204574E-2</v>
      </c>
      <c r="BO326" s="716">
        <v>3.7667639341964869E-2</v>
      </c>
      <c r="BP326" s="715">
        <v>6.4465143579837778E-2</v>
      </c>
      <c r="BQ326" s="715">
        <v>9.9489587733380111E-2</v>
      </c>
      <c r="BR326" s="715">
        <v>0.14612622675328246</v>
      </c>
      <c r="BS326" s="715">
        <v>0.19821587678663075</v>
      </c>
      <c r="BT326" s="715">
        <v>0.25540110750293327</v>
      </c>
      <c r="BW326" s="1190">
        <f>'2019'!R\Max</f>
        <v>0.4228006261834068</v>
      </c>
      <c r="BX326" s="1190">
        <f>'2020'!R\Max</f>
        <v>0.17745028121699605</v>
      </c>
      <c r="BY326" s="1190">
        <f>'2021'!R\Max</f>
        <v>0.75846824100617671</v>
      </c>
      <c r="BZ326" s="1190">
        <f>'2022'!R\Max</f>
        <v>0.68963869057480831</v>
      </c>
      <c r="CA326" s="1190">
        <f>'2023'!R\Max</f>
        <v>0.68916713377466365</v>
      </c>
      <c r="CB326" s="1190">
        <f>'2024'!R\Max</f>
        <v>0.68855008420423791</v>
      </c>
      <c r="CC326" s="1190">
        <f>'2025'!R\Max</f>
        <v>0.68793113982139198</v>
      </c>
      <c r="CD326" s="1190">
        <f>'2026'!R\Max</f>
        <v>0.6907064235065673</v>
      </c>
      <c r="CE326" s="1191">
        <f>'2027'!R\Max</f>
        <v>0.69041850985643127</v>
      </c>
      <c r="CF326" s="1193">
        <f>'2028'!R\Max</f>
        <v>0.69012357797049961</v>
      </c>
    </row>
    <row r="327" spans="1:84" s="6" customFormat="1" ht="11.25" x14ac:dyDescent="0.2">
      <c r="A327" s="11">
        <v>43413</v>
      </c>
      <c r="B327" s="379">
        <f>'2022'!Maxi_hp</f>
        <v>24.305673600704964</v>
      </c>
      <c r="C327" s="13">
        <f>'2022'!An_max</f>
        <v>2020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31.728759985204256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31.69945912106861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31.726319962021496</v>
      </c>
      <c r="AZ327" s="735">
        <f t="shared" si="134"/>
        <v>31.712889541545053</v>
      </c>
      <c r="BA327" s="633">
        <f t="shared" si="131"/>
        <v>0.7660454934904225</v>
      </c>
      <c r="BC327" s="11">
        <v>43413</v>
      </c>
      <c r="BD327" s="289">
        <f>[3]!FeuilCaduc*(1-Persistant)+Persistant</f>
        <v>0.6738131922345636</v>
      </c>
      <c r="BE327" s="290">
        <f>[3]!CroissVégét</f>
        <v>0.99839454030316765</v>
      </c>
      <c r="BF327" s="804">
        <f>1+[3]!Salcycl*Ksac</f>
        <v>1.0173813192234564</v>
      </c>
      <c r="BH327" s="1036">
        <f t="shared" si="132"/>
        <v>1.6314282287564957E-2</v>
      </c>
      <c r="BI327" s="11">
        <v>44509</v>
      </c>
      <c r="BJ327" s="715">
        <v>2.2215978873210253E-3</v>
      </c>
      <c r="BK327" s="715">
        <v>3.2026320925242564E-3</v>
      </c>
      <c r="BL327" s="715">
        <v>6.0401218431702375E-3</v>
      </c>
      <c r="BM327" s="715">
        <v>1.13834101344963E-2</v>
      </c>
      <c r="BN327" s="715">
        <v>2.1262689414145237E-2</v>
      </c>
      <c r="BO327" s="716">
        <v>3.8299806669989146E-2</v>
      </c>
      <c r="BP327" s="715">
        <v>6.561505069278907E-2</v>
      </c>
      <c r="BQ327" s="715">
        <v>0.10110942683728628</v>
      </c>
      <c r="BR327" s="715">
        <v>0.14829453624275693</v>
      </c>
      <c r="BS327" s="715">
        <v>0.20027850310414017</v>
      </c>
      <c r="BT327" s="715">
        <v>0.25695575454253111</v>
      </c>
      <c r="BW327" s="1190">
        <f>'2019'!R\Max</f>
        <v>0.63490490007191436</v>
      </c>
      <c r="BX327" s="1190">
        <f>'2020'!R\Max</f>
        <v>0.7660454934904225</v>
      </c>
      <c r="BY327" s="1190">
        <f>'2021'!R\Max</f>
        <v>0.56270429867918292</v>
      </c>
      <c r="BZ327" s="1190">
        <f>'2022'!R\Max</f>
        <v>0.34237895576290583</v>
      </c>
      <c r="CA327" s="1190">
        <f>'2023'!R\Max</f>
        <v>0.34187394602629334</v>
      </c>
      <c r="CB327" s="1190">
        <f>'2024'!R\Max</f>
        <v>0.34121808269901838</v>
      </c>
      <c r="CC327" s="1190">
        <f>'2025'!R\Max</f>
        <v>0.34056154118187887</v>
      </c>
      <c r="CD327" s="1190">
        <f>'2026'!R\Max</f>
        <v>0.34352161053257146</v>
      </c>
      <c r="CE327" s="1191">
        <f>'2027'!R\Max</f>
        <v>0.34321383386668808</v>
      </c>
      <c r="CF327" s="1193">
        <f>'2028'!R\Max</f>
        <v>0.34289896164666345</v>
      </c>
    </row>
    <row r="328" spans="1:84" s="6" customFormat="1" ht="11.25" x14ac:dyDescent="0.2">
      <c r="A328" s="11">
        <v>43414</v>
      </c>
      <c r="B328" s="379">
        <f>'2022'!Maxi_hp</f>
        <v>21.982513703587411</v>
      </c>
      <c r="C328" s="13">
        <f>'2022'!An_max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31.421687463617751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31.399203571855157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31.406759183534554</v>
      </c>
      <c r="AZ328" s="735">
        <f t="shared" si="134"/>
        <v>31.402981377694857</v>
      </c>
      <c r="BA328" s="633">
        <f t="shared" si="131"/>
        <v>0.69959685421224815</v>
      </c>
      <c r="BC328" s="11">
        <v>43414</v>
      </c>
      <c r="BD328" s="289">
        <f>[3]!FeuilCaduc*(1-Persistant)+Persistant</f>
        <v>0.66692187792389579</v>
      </c>
      <c r="BE328" s="290">
        <f>[3]!CroissVégét</f>
        <v>0.99847237132123801</v>
      </c>
      <c r="BF328" s="804">
        <f>1+[3]!Salcycl*Ksac</f>
        <v>1.0166921877923896</v>
      </c>
      <c r="BH328" s="1036">
        <f t="shared" si="132"/>
        <v>1.6596164161356664E-2</v>
      </c>
      <c r="BI328" s="11">
        <v>44510</v>
      </c>
      <c r="BJ328" s="715">
        <v>2.2804228615782894E-3</v>
      </c>
      <c r="BK328" s="715">
        <v>3.2810590258669642E-3</v>
      </c>
      <c r="BL328" s="715">
        <v>6.1286188996177611E-3</v>
      </c>
      <c r="BM328" s="715">
        <v>1.1548744990635478E-2</v>
      </c>
      <c r="BN328" s="715">
        <v>2.1661532765507304E-2</v>
      </c>
      <c r="BO328" s="716">
        <v>3.893185544703661E-2</v>
      </c>
      <c r="BP328" s="715">
        <v>6.6765988973905566E-2</v>
      </c>
      <c r="BQ328" s="715">
        <v>0.1027291976207353</v>
      </c>
      <c r="BR328" s="715">
        <v>0.15041270913522117</v>
      </c>
      <c r="BS328" s="715">
        <v>0.20224041420144082</v>
      </c>
      <c r="BT328" s="715">
        <v>0.25835210854785645</v>
      </c>
      <c r="BW328" s="1190">
        <f>'2019'!R\Max</f>
        <v>0.60948611849269485</v>
      </c>
      <c r="BX328" s="1190">
        <f>'2020'!R\Max</f>
        <v>0.50093014226342669</v>
      </c>
      <c r="BY328" s="1190">
        <f>'2021'!R\Max</f>
        <v>0.21143185845209769</v>
      </c>
      <c r="BZ328" s="1190">
        <f>'2022'!R\Max</f>
        <v>0.69959685421224815</v>
      </c>
      <c r="CA328" s="1190">
        <f>'2023'!R\Max</f>
        <v>0.6991163764967101</v>
      </c>
      <c r="CB328" s="1190">
        <f>'2024'!R\Max</f>
        <v>0.69849473276783591</v>
      </c>
      <c r="CC328" s="1190">
        <f>'2025'!R\Max</f>
        <v>0.69787114837038855</v>
      </c>
      <c r="CD328" s="1190">
        <f>'2026'!R\Max</f>
        <v>0.70067806540736122</v>
      </c>
      <c r="CE328" s="1191">
        <f>'2027'!R\Max</f>
        <v>0.70038783100822666</v>
      </c>
      <c r="CF328" s="1193">
        <f>'2028'!R\Max</f>
        <v>0.7000907100920597</v>
      </c>
    </row>
    <row r="329" spans="1:84" s="6" customFormat="1" ht="11.25" x14ac:dyDescent="0.2">
      <c r="A329" s="11">
        <v>43415</v>
      </c>
      <c r="B329" s="379">
        <f>'2022'!Maxi_hp</f>
        <v>30.122601545435955</v>
      </c>
      <c r="C329" s="13">
        <f>'2022'!An_max</f>
        <v>2022</v>
      </c>
      <c r="D329" s="1045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31.119591034948826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31.106823789011525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31.090784119495321</v>
      </c>
      <c r="AZ329" s="735">
        <f t="shared" si="134"/>
        <v>31.098803954253423</v>
      </c>
      <c r="BA329" s="633">
        <f t="shared" si="131"/>
        <v>0.96796264165575951</v>
      </c>
      <c r="BC329" s="11">
        <v>43415</v>
      </c>
      <c r="BD329" s="289">
        <f>[3]!FeuilCaduc*(1-Persistant)+Persistant</f>
        <v>0.66011968196288662</v>
      </c>
      <c r="BE329" s="290">
        <f>[3]!CroissVégét</f>
        <v>0.99854708003323223</v>
      </c>
      <c r="BF329" s="804">
        <f>1+[3]!Salcycl*Ksac</f>
        <v>1.0160119681962887</v>
      </c>
      <c r="BH329" s="1036">
        <f t="shared" si="132"/>
        <v>1.6864166829454134E-2</v>
      </c>
      <c r="BI329" s="11">
        <v>44511</v>
      </c>
      <c r="BJ329" s="715">
        <v>2.3313755132437657E-3</v>
      </c>
      <c r="BK329" s="715">
        <v>3.3482626088001672E-3</v>
      </c>
      <c r="BL329" s="715">
        <v>6.1987960684260837E-3</v>
      </c>
      <c r="BM329" s="715">
        <v>1.1696136267100929E-2</v>
      </c>
      <c r="BN329" s="715">
        <v>2.2050575738721431E-2</v>
      </c>
      <c r="BO329" s="716">
        <v>3.9563734289561329E-2</v>
      </c>
      <c r="BP329" s="715">
        <v>6.7917870179737036E-2</v>
      </c>
      <c r="BQ329" s="715">
        <v>0.10434876606347086</v>
      </c>
      <c r="BR329" s="715">
        <v>0.15248049033216979</v>
      </c>
      <c r="BS329" s="715">
        <v>0.2041012465070888</v>
      </c>
      <c r="BT329" s="715">
        <v>0.25958969510337593</v>
      </c>
      <c r="BW329" s="1190">
        <f>'2019'!R\Max</f>
        <v>0.77857140526509849</v>
      </c>
      <c r="BX329" s="1190">
        <f>'2020'!R\Max</f>
        <v>0.34948270843455664</v>
      </c>
      <c r="BY329" s="1190">
        <f>'2021'!R\Max</f>
        <v>0.36438687802229902</v>
      </c>
      <c r="BZ329" s="1190">
        <f>'2022'!R\Max</f>
        <v>0.96796264165575951</v>
      </c>
      <c r="CA329" s="1190">
        <f>'2023'!R\Max</f>
        <v>0.96789041222968675</v>
      </c>
      <c r="CB329" s="1190">
        <f>'2024'!R\Max</f>
        <v>0.96779734364802417</v>
      </c>
      <c r="CC329" s="1190">
        <f>'2025'!R\Max</f>
        <v>0.96770383398570492</v>
      </c>
      <c r="CD329" s="1190">
        <f>'2026'!R\Max</f>
        <v>0.968124447378231</v>
      </c>
      <c r="CE329" s="1191">
        <f>'2027'!R\Max</f>
        <v>0.9680811356497544</v>
      </c>
      <c r="CF329" s="1193">
        <f>'2028'!R\Max</f>
        <v>0.96803677698590274</v>
      </c>
    </row>
    <row r="330" spans="1:84" s="6" customFormat="1" ht="11.25" x14ac:dyDescent="0.2">
      <c r="A330" s="11">
        <v>43416</v>
      </c>
      <c r="B330" s="379">
        <f>'2022'!Maxi_hp</f>
        <v>29.666919468360309</v>
      </c>
      <c r="C330" s="13">
        <f>'2022'!An_max</f>
        <v>2022</v>
      </c>
      <c r="D330" s="1045" t="str">
        <f t="shared" si="116"/>
        <v/>
      </c>
      <c r="E330" s="1040">
        <f>AJ$13/10</f>
        <v>30.822800000000001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30.822799999266863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30.82280000001192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30.778875000029803</v>
      </c>
      <c r="AZ330" s="735">
        <f t="shared" si="134"/>
        <v>30.800837500020862</v>
      </c>
      <c r="BA330" s="633">
        <f t="shared" si="131"/>
        <v>0.96249917168673682</v>
      </c>
      <c r="BC330" s="11">
        <v>43416</v>
      </c>
      <c r="BD330" s="289">
        <f>[3]!FeuilCaduc*(1-Persistant)+Persistant</f>
        <v>0.65341611252840293</v>
      </c>
      <c r="BE330" s="290">
        <f>[3]!CroissVégét</f>
        <v>0.99861879125535868</v>
      </c>
      <c r="BF330" s="804">
        <f>1+[3]!Salcycl*Ksac</f>
        <v>1.0153416112528404</v>
      </c>
      <c r="BH330" s="1036">
        <f t="shared" si="132"/>
        <v>1.711824979179636E-2</v>
      </c>
      <c r="BI330" s="11">
        <v>44512</v>
      </c>
      <c r="BJ330" s="715">
        <v>2.3744422203463506E-3</v>
      </c>
      <c r="BK330" s="715">
        <v>3.404223554712101E-3</v>
      </c>
      <c r="BL330" s="715">
        <v>6.2506223449751716E-3</v>
      </c>
      <c r="BM330" s="715">
        <v>1.1825546324146924E-2</v>
      </c>
      <c r="BN330" s="715">
        <v>2.2429774963239585E-2</v>
      </c>
      <c r="BO330" s="716">
        <v>4.0195389578017895E-2</v>
      </c>
      <c r="BP330" s="715">
        <v>6.9070601921750754E-2</v>
      </c>
      <c r="BQ330" s="715">
        <v>0.10596799240538395</v>
      </c>
      <c r="BR330" s="715">
        <v>0.15449762000403272</v>
      </c>
      <c r="BS330" s="715">
        <v>0.20586063512910746</v>
      </c>
      <c r="BT330" s="715">
        <v>0.26066804375499586</v>
      </c>
      <c r="BW330" s="1190">
        <f>'2019'!R\Max</f>
        <v>0.61902568164730987</v>
      </c>
      <c r="BX330" s="1190">
        <f>'2020'!R\Max</f>
        <v>0.83985130156378418</v>
      </c>
      <c r="BY330" s="1190">
        <f>'2021'!R\Max</f>
        <v>0.24166267624029247</v>
      </c>
      <c r="BZ330" s="1190">
        <f>'2022'!R\Max</f>
        <v>0.96249917168673682</v>
      </c>
      <c r="CA330" s="1190">
        <f>'2023'!R\Max</f>
        <v>0.96241360555773647</v>
      </c>
      <c r="CB330" s="1190">
        <f>'2024'!R\Max</f>
        <v>0.96230395001864688</v>
      </c>
      <c r="CC330" s="1190">
        <f>'2025'!R\Max</f>
        <v>0.96219377625434055</v>
      </c>
      <c r="CD330" s="1190">
        <f>'2026'!R\Max</f>
        <v>0.9626904500298602</v>
      </c>
      <c r="CE330" s="1191">
        <f>'2027'!R\Max</f>
        <v>0.96263932658100781</v>
      </c>
      <c r="CF330" s="1193">
        <f>'2028'!R\Max</f>
        <v>0.96258698445746116</v>
      </c>
    </row>
    <row r="331" spans="1:84" s="6" customFormat="1" ht="11.25" x14ac:dyDescent="0.2">
      <c r="A331" s="11">
        <v>43417</v>
      </c>
      <c r="B331" s="379">
        <f>'2022'!Maxi_hp</f>
        <v>29.071978311267806</v>
      </c>
      <c r="C331" s="13">
        <f>'2022'!An_max</f>
        <v>2020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30.529631268392716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30.542753218779602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30.47151205330821</v>
      </c>
      <c r="AZ331" s="735">
        <f t="shared" si="134"/>
        <v>30.507132636043906</v>
      </c>
      <c r="BA331" s="633">
        <f t="shared" si="131"/>
        <v>0.95225448534538915</v>
      </c>
      <c r="BC331" s="11">
        <v>43417</v>
      </c>
      <c r="BD331" s="289">
        <f>[3]!FeuilCaduc*(1-Persistant)+Persistant</f>
        <v>0.64682033328426958</v>
      </c>
      <c r="BE331" s="290">
        <f>[3]!CroissVégét</f>
        <v>0.99868762484886009</v>
      </c>
      <c r="BF331" s="804">
        <f>1+[3]!Salcycl*Ksac</f>
        <v>1.014682033328427</v>
      </c>
      <c r="BH331" s="1036">
        <f t="shared" si="132"/>
        <v>1.7358372437388799E-2</v>
      </c>
      <c r="BI331" s="11">
        <v>44513</v>
      </c>
      <c r="BJ331" s="715">
        <v>2.4096096558717506E-3</v>
      </c>
      <c r="BK331" s="715">
        <v>3.4489230171754789E-3</v>
      </c>
      <c r="BL331" s="715">
        <v>6.2840675866773429E-3</v>
      </c>
      <c r="BM331" s="715">
        <v>1.1936938087806102E-2</v>
      </c>
      <c r="BN331" s="715">
        <v>2.2799086278461816E-2</v>
      </c>
      <c r="BO331" s="716">
        <v>4.0826765459813369E-2</v>
      </c>
      <c r="BP331" s="715">
        <v>7.0224087660616108E-2</v>
      </c>
      <c r="BQ331" s="715">
        <v>0.10758673115166907</v>
      </c>
      <c r="BR331" s="715">
        <v>0.15646383405462452</v>
      </c>
      <c r="BS331" s="715">
        <v>0.20751821477773116</v>
      </c>
      <c r="BT331" s="715">
        <v>0.26158668945160435</v>
      </c>
      <c r="BW331" s="1190">
        <f>'2019'!R\Max</f>
        <v>0.63529868023134728</v>
      </c>
      <c r="BX331" s="1190">
        <f>'2020'!R\Max</f>
        <v>0.95225448534538915</v>
      </c>
      <c r="BY331" s="1190">
        <f>'2021'!R\Max</f>
        <v>0.18521583548872295</v>
      </c>
      <c r="BZ331" s="1190">
        <f>'2022'!R\Max</f>
        <v>0.93453632154910715</v>
      </c>
      <c r="CA331" s="1190">
        <f>'2023'!R\Max</f>
        <v>0.93438875600755067</v>
      </c>
      <c r="CB331" s="1190">
        <f>'2024'!R\Max</f>
        <v>0.9342006766340204</v>
      </c>
      <c r="CC331" s="1190">
        <f>'2025'!R\Max</f>
        <v>0.934011737022449</v>
      </c>
      <c r="CD331" s="1190">
        <f>'2026'!R\Max</f>
        <v>0.93486567348004024</v>
      </c>
      <c r="CE331" s="1191">
        <f>'2027'!R\Max</f>
        <v>0.93477774828932036</v>
      </c>
      <c r="CF331" s="1193">
        <f>'2028'!R\Max</f>
        <v>0.93468776202540704</v>
      </c>
    </row>
    <row r="332" spans="1:84" s="6" customFormat="1" ht="11.25" x14ac:dyDescent="0.2">
      <c r="A332" s="11">
        <v>43418</v>
      </c>
      <c r="B332" s="379">
        <f>'2022'!Maxi_hp</f>
        <v>19.875209801097167</v>
      </c>
      <c r="C332" s="13">
        <f>'2022'!An_max</f>
        <v>2020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30.238548105635811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30.262360320666005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30.169175510055254</v>
      </c>
      <c r="AZ332" s="735">
        <f t="shared" si="134"/>
        <v>30.21576791536063</v>
      </c>
      <c r="BA332" s="633">
        <f t="shared" si="131"/>
        <v>0.65728055896284443</v>
      </c>
      <c r="BC332" s="11">
        <v>43418</v>
      </c>
      <c r="BD332" s="289">
        <f>[3]!FeuilCaduc*(1-Persistant)+Persistant</f>
        <v>0.64034112163493384</v>
      </c>
      <c r="BE332" s="290">
        <f>[3]!CroissVégét</f>
        <v>0.99875369591398344</v>
      </c>
      <c r="BF332" s="804">
        <f>1+[3]!Salcycl*Ksac</f>
        <v>1.0140341121634935</v>
      </c>
      <c r="BH332" s="1036">
        <f t="shared" si="132"/>
        <v>1.7589030450589942E-2</v>
      </c>
      <c r="BI332" s="11">
        <v>44514</v>
      </c>
      <c r="BJ332" s="715">
        <v>2.4308535611656406E-3</v>
      </c>
      <c r="BK332" s="715">
        <v>3.4801117571096854E-3</v>
      </c>
      <c r="BL332" s="715">
        <v>6.3086356255004769E-3</v>
      </c>
      <c r="BM332" s="715">
        <v>1.2043838318262591E-2</v>
      </c>
      <c r="BN332" s="715">
        <v>2.3153942176964509E-2</v>
      </c>
      <c r="BO332" s="716">
        <v>4.1426933567147252E-2</v>
      </c>
      <c r="BP332" s="715">
        <v>7.1323825081650374E-2</v>
      </c>
      <c r="BQ332" s="715">
        <v>0.10915552533212015</v>
      </c>
      <c r="BR332" s="715">
        <v>0.15830525784210944</v>
      </c>
      <c r="BS332" s="715">
        <v>0.20897588882556131</v>
      </c>
      <c r="BT332" s="715">
        <v>0.26220650141414786</v>
      </c>
      <c r="BW332" s="1190">
        <f>'2019'!R\Max</f>
        <v>0.19799366433944557</v>
      </c>
      <c r="BX332" s="1190">
        <f>'2020'!R\Max</f>
        <v>0.65728055896284443</v>
      </c>
      <c r="BY332" s="1190">
        <f>'2021'!R\Max</f>
        <v>0.21740932407053212</v>
      </c>
      <c r="BZ332" s="1190">
        <f>'2022'!R\Max</f>
        <v>0.34812368447128944</v>
      </c>
      <c r="CA332" s="1190">
        <f>'2023'!R\Max</f>
        <v>0.34756803874022163</v>
      </c>
      <c r="CB332" s="1190">
        <f>'2024'!R\Max</f>
        <v>0.34686517433188452</v>
      </c>
      <c r="CC332" s="1190">
        <f>'2025'!R\Max</f>
        <v>0.34616164864239307</v>
      </c>
      <c r="CD332" s="1190">
        <f>'2026'!R\Max</f>
        <v>0.34936732862239517</v>
      </c>
      <c r="CE332" s="1191">
        <f>'2027'!R\Max</f>
        <v>0.34903496942776907</v>
      </c>
      <c r="CF332" s="1193">
        <f>'2028'!R\Max</f>
        <v>0.34869550940259475</v>
      </c>
    </row>
    <row r="333" spans="1:84" s="6" customFormat="1" ht="11.25" x14ac:dyDescent="0.2">
      <c r="A333" s="11">
        <v>43419</v>
      </c>
      <c r="B333" s="379">
        <f>'2022'!Maxi_hp</f>
        <v>26.911873928380832</v>
      </c>
      <c r="C333" s="13">
        <f>'2022'!An_max</f>
        <v>2020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29.950099344019378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29.982185330029047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29.872345599053165</v>
      </c>
      <c r="AZ333" s="735">
        <f t="shared" si="134"/>
        <v>29.927265464541108</v>
      </c>
      <c r="BA333" s="633">
        <f t="shared" si="131"/>
        <v>0.89855708387674382</v>
      </c>
      <c r="BC333" s="11">
        <v>43419</v>
      </c>
      <c r="BD333" s="289">
        <f>[3]!FeuilCaduc*(1-Persistant)+Persistant</f>
        <v>0.63398682922389349</v>
      </c>
      <c r="BE333" s="290">
        <f>[3]!CroissVégét</f>
        <v>0.99881711497657366</v>
      </c>
      <c r="BF333" s="804">
        <f>1+[3]!Salcycl*Ksac</f>
        <v>1.0133986829223893</v>
      </c>
      <c r="BH333" s="1036">
        <f t="shared" si="132"/>
        <v>1.7827049688075212E-2</v>
      </c>
      <c r="BI333" s="11">
        <v>44515</v>
      </c>
      <c r="BJ333" s="715">
        <v>2.4380333997133458E-3</v>
      </c>
      <c r="BK333" s="715">
        <v>3.4975459724272784E-3</v>
      </c>
      <c r="BL333" s="715">
        <v>6.3361710526784916E-3</v>
      </c>
      <c r="BM333" s="715">
        <v>1.2163842713911464E-2</v>
      </c>
      <c r="BN333" s="715">
        <v>2.351039593602261E-2</v>
      </c>
      <c r="BO333" s="716">
        <v>4.2000134968768171E-2</v>
      </c>
      <c r="BP333" s="715">
        <v>7.2352656409976651E-2</v>
      </c>
      <c r="BQ333" s="715">
        <v>0.11065686067876844</v>
      </c>
      <c r="BR333" s="715">
        <v>0.16001459097381132</v>
      </c>
      <c r="BS333" s="715">
        <v>0.21026963309610172</v>
      </c>
      <c r="BT333" s="715">
        <v>0.26261006106170159</v>
      </c>
      <c r="BW333" s="1190">
        <f>'2019'!R\Max</f>
        <v>0.39793948652358374</v>
      </c>
      <c r="BX333" s="1190">
        <f>'2020'!R\Max</f>
        <v>0.89855708387674382</v>
      </c>
      <c r="BY333" s="1190">
        <f>'2021'!R\Max</f>
        <v>0.17118631950096783</v>
      </c>
      <c r="BZ333" s="1190">
        <f>'2022'!R\Max</f>
        <v>0.45135157435789619</v>
      </c>
      <c r="CA333" s="1190">
        <f>'2023'!R\Max</f>
        <v>0.45073606242903669</v>
      </c>
      <c r="CB333" s="1190">
        <f>'2024'!R\Max</f>
        <v>0.44995911061635896</v>
      </c>
      <c r="CC333" s="1190">
        <f>'2025'!R\Max</f>
        <v>0.44918093611659454</v>
      </c>
      <c r="CD333" s="1190">
        <f>'2026'!R\Max</f>
        <v>0.45272565671723924</v>
      </c>
      <c r="CE333" s="1191">
        <f>'2027'!R\Max</f>
        <v>0.45235905355924322</v>
      </c>
      <c r="CF333" s="1193">
        <f>'2028'!R\Max</f>
        <v>0.45198462564002423</v>
      </c>
    </row>
    <row r="334" spans="1:84" s="6" customFormat="1" ht="11.25" x14ac:dyDescent="0.2">
      <c r="A334" s="11">
        <v>43420</v>
      </c>
      <c r="B334" s="379">
        <f>'2022'!Maxi_hp</f>
        <v>29.2085670452397</v>
      </c>
      <c r="C334" s="13">
        <f>'2022'!An_max</f>
        <v>2022</v>
      </c>
      <c r="D334" s="1045">
        <f t="shared" si="116"/>
        <v>0.98461927084834966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29.664833819546867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29.702792268352852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29.581502550441236</v>
      </c>
      <c r="AZ334" s="735">
        <f t="shared" si="134"/>
        <v>29.642147409397044</v>
      </c>
      <c r="BA334" s="633">
        <f t="shared" si="131"/>
        <v>0.98461927084834966</v>
      </c>
      <c r="BC334" s="11">
        <v>43420</v>
      </c>
      <c r="BD334" s="289">
        <f>[3]!FeuilCaduc*(1-Persistant)+Persistant</f>
        <v>0.62776534495701308</v>
      </c>
      <c r="BE334" s="290">
        <f>[3]!CroissVégét</f>
        <v>0.9988779881675528</v>
      </c>
      <c r="BF334" s="804">
        <f>1+[3]!Salcycl*Ksac</f>
        <v>1.0127765344957014</v>
      </c>
      <c r="BH334" s="1036">
        <f t="shared" si="132"/>
        <v>1.8072413429281765E-2</v>
      </c>
      <c r="BI334" s="11">
        <v>44516</v>
      </c>
      <c r="BJ334" s="715">
        <v>2.4311306293033075E-3</v>
      </c>
      <c r="BK334" s="715">
        <v>3.501206133823933E-3</v>
      </c>
      <c r="BL334" s="715">
        <v>6.3666705727231229E-3</v>
      </c>
      <c r="BM334" s="715">
        <v>1.2296950786594979E-2</v>
      </c>
      <c r="BN334" s="715">
        <v>2.3868414544943126E-2</v>
      </c>
      <c r="BO334" s="716">
        <v>4.2546279053874335E-2</v>
      </c>
      <c r="BP334" s="715">
        <v>7.3310395930505062E-2</v>
      </c>
      <c r="BQ334" s="715">
        <v>0.11209050291995155</v>
      </c>
      <c r="BR334" s="715">
        <v>0.16159147330418649</v>
      </c>
      <c r="BS334" s="715">
        <v>0.2113990228580985</v>
      </c>
      <c r="BT334" s="715">
        <v>0.26279687245694139</v>
      </c>
      <c r="BW334" s="1190">
        <f>'2019'!R\Max</f>
        <v>0.49594811990975357</v>
      </c>
      <c r="BX334" s="1190">
        <f>'2020'!R\Max</f>
        <v>0.70023988709401397</v>
      </c>
      <c r="BY334" s="1190">
        <f>'2021'!R\Max</f>
        <v>0.3240104128646108</v>
      </c>
      <c r="BZ334" s="1190">
        <f>'2022'!R\Max</f>
        <v>0.98461927084834966</v>
      </c>
      <c r="CA334" s="1190">
        <f>'2023'!R\Max</f>
        <v>0.98458107678626772</v>
      </c>
      <c r="CB334" s="1190">
        <f>'2024'!R\Max</f>
        <v>0.98453277107021142</v>
      </c>
      <c r="CC334" s="1190">
        <f>'2025'!R\Max</f>
        <v>0.98448422472195007</v>
      </c>
      <c r="CD334" s="1190">
        <f>'2026'!R\Max</f>
        <v>0.98470401771815474</v>
      </c>
      <c r="CE334" s="1191">
        <f>'2027'!R\Max</f>
        <v>0.98468148538056932</v>
      </c>
      <c r="CF334" s="1193">
        <f>'2028'!R\Max</f>
        <v>0.98465844280624271</v>
      </c>
    </row>
    <row r="335" spans="1:84" s="6" customFormat="1" ht="11.25" x14ac:dyDescent="0.2">
      <c r="A335" s="11">
        <v>43421</v>
      </c>
      <c r="B335" s="379">
        <f>'2022'!Maxi_hp</f>
        <v>23.200751935750731</v>
      </c>
      <c r="C335" s="13">
        <f>'2022'!An_max</f>
        <v>2020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29.38330036396427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29.424745161724939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29.297126594172529</v>
      </c>
      <c r="AZ335" s="735">
        <f t="shared" si="134"/>
        <v>29.360935877948734</v>
      </c>
      <c r="BA335" s="633">
        <f t="shared" ref="BA335:BA380" si="150">+B335/J335</f>
        <v>0.78958972097648272</v>
      </c>
      <c r="BC335" s="11">
        <v>43421</v>
      </c>
      <c r="BD335" s="289">
        <f>[3]!FeuilCaduc*(1-Persistant)+Persistant</f>
        <v>0.62168406081163563</v>
      </c>
      <c r="BE335" s="290">
        <f>[3]!CroissVégét</f>
        <v>0.99893641739554129</v>
      </c>
      <c r="BF335" s="804">
        <f>1+[3]!Salcycl*Ksac</f>
        <v>1.0121684060811635</v>
      </c>
      <c r="BH335" s="1036">
        <f t="shared" ref="BH335:BH380" si="151">INDEX($BJ335:$BT335,,$BH$10)*(1-Ratini)+INDEX($BJ335:$BT335,,$BH$10+1)*Ratini</f>
        <v>1.8325103497326078E-2</v>
      </c>
      <c r="BI335" s="11">
        <v>44517</v>
      </c>
      <c r="BJ335" s="715">
        <v>2.4101278419116092E-3</v>
      </c>
      <c r="BK335" s="715">
        <v>3.4910737841661169E-3</v>
      </c>
      <c r="BL335" s="715">
        <v>6.4001305487293237E-3</v>
      </c>
      <c r="BM335" s="715">
        <v>1.2443160540819976E-2</v>
      </c>
      <c r="BN335" s="715">
        <v>2.4227963587908557E-2</v>
      </c>
      <c r="BO335" s="716">
        <v>4.306527538794655E-2</v>
      </c>
      <c r="BP335" s="715">
        <v>7.4196860098321646E-2</v>
      </c>
      <c r="BQ335" s="715">
        <v>0.11345621798445486</v>
      </c>
      <c r="BR335" s="715">
        <v>0.16303554948413276</v>
      </c>
      <c r="BS335" s="715">
        <v>0.21236364231189322</v>
      </c>
      <c r="BT335" s="715">
        <v>0.26276645612433175</v>
      </c>
      <c r="BW335" s="1190">
        <f>'2019'!R\Max</f>
        <v>0.43956698429073099</v>
      </c>
      <c r="BX335" s="1190">
        <f>'2020'!R\Max</f>
        <v>0.78958972097648272</v>
      </c>
      <c r="BY335" s="1190">
        <f>'2021'!R\Max</f>
        <v>9.8752140551690237E-2</v>
      </c>
      <c r="BZ335" s="1190">
        <f>'2022'!R\Max</f>
        <v>0.50737236007301545</v>
      </c>
      <c r="CA335" s="1190">
        <f>'2023'!R\Max</f>
        <v>0.5067353304255664</v>
      </c>
      <c r="CB335" s="1190">
        <f>'2024'!R\Max</f>
        <v>0.50593149233727586</v>
      </c>
      <c r="CC335" s="1190">
        <f>'2025'!R\Max</f>
        <v>0.50512610106268774</v>
      </c>
      <c r="CD335" s="1190">
        <f>'2026'!R\Max</f>
        <v>0.50878880187370756</v>
      </c>
      <c r="CE335" s="1191">
        <f>'2027'!R\Max</f>
        <v>0.50841194057263817</v>
      </c>
      <c r="CF335" s="1193">
        <f>'2028'!R\Max</f>
        <v>0.50802723231978009</v>
      </c>
    </row>
    <row r="336" spans="1:84" s="6" customFormat="1" ht="11.25" x14ac:dyDescent="0.2">
      <c r="A336" s="11">
        <v>43422</v>
      </c>
      <c r="B336" s="379">
        <f>'2022'!Maxi_hp</f>
        <v>27.250192771666942</v>
      </c>
      <c r="C336" s="13">
        <f>'2022'!An_max</f>
        <v>2020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29.106047813381469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29.148608033518705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29.019697958230971</v>
      </c>
      <c r="AZ336" s="735">
        <f t="shared" ref="AZ336:AZ380" si="153">(AY336+AT336)/2</f>
        <v>29.084152995874838</v>
      </c>
      <c r="BA336" s="633">
        <f t="shared" si="150"/>
        <v>0.93623816419138495</v>
      </c>
      <c r="BC336" s="11">
        <v>43422</v>
      </c>
      <c r="BD336" s="289">
        <f>[3]!FeuilCaduc*(1-Persistant)+Persistant</f>
        <v>0.61574984067096328</v>
      </c>
      <c r="BE336" s="290">
        <f>[3]!CroissVégét</f>
        <v>0.99899250051286803</v>
      </c>
      <c r="BF336" s="804">
        <f>1+[3]!Salcycl*Ksac</f>
        <v>1.0115749840670962</v>
      </c>
      <c r="BH336" s="1036">
        <f t="shared" si="151"/>
        <v>1.8585100191300604E-2</v>
      </c>
      <c r="BI336" s="11">
        <v>44518</v>
      </c>
      <c r="BJ336" s="715">
        <v>2.3750088922040607E-3</v>
      </c>
      <c r="BK336" s="715">
        <v>3.4671316641124907E-3</v>
      </c>
      <c r="BL336" s="715">
        <v>6.4365469746874128E-3</v>
      </c>
      <c r="BM336" s="715">
        <v>1.2602468353286553E-2</v>
      </c>
      <c r="BN336" s="715">
        <v>2.4589007229229156E-2</v>
      </c>
      <c r="BO336" s="716">
        <v>4.3557033958899649E-2</v>
      </c>
      <c r="BP336" s="715">
        <v>7.5011868186829839E-2</v>
      </c>
      <c r="BQ336" s="715">
        <v>0.1147537726171199</v>
      </c>
      <c r="BR336" s="715">
        <v>0.16434647016402462</v>
      </c>
      <c r="BS336" s="715">
        <v>0.21316308607513235</v>
      </c>
      <c r="BT336" s="715">
        <v>0.26251835100233362</v>
      </c>
      <c r="BW336" s="1190">
        <f>'2019'!R\Max</f>
        <v>0.40798400405860058</v>
      </c>
      <c r="BX336" s="1190">
        <f>'2020'!R\Max</f>
        <v>0.93623816419138495</v>
      </c>
      <c r="BY336" s="1190">
        <f>'2021'!R\Max</f>
        <v>0.6232506623081171</v>
      </c>
      <c r="BZ336" s="1190">
        <f>'2022'!R\Max</f>
        <v>0.58669563112070444</v>
      </c>
      <c r="CA336" s="1190">
        <f>'2023'!R\Max</f>
        <v>0.58607112420439156</v>
      </c>
      <c r="CB336" s="1190">
        <f>'2024'!R\Max</f>
        <v>0.58528121784728515</v>
      </c>
      <c r="CC336" s="1190">
        <f>'2025'!R\Max</f>
        <v>0.58448936863284484</v>
      </c>
      <c r="CD336" s="1190">
        <f>'2026'!R\Max</f>
        <v>0.5880808286398489</v>
      </c>
      <c r="CE336" s="1191">
        <f>'2027'!R\Max</f>
        <v>0.58771287507917347</v>
      </c>
      <c r="CF336" s="1193">
        <f>'2028'!R\Max</f>
        <v>0.58733730283164509</v>
      </c>
    </row>
    <row r="337" spans="1:84" s="6" customFormat="1" ht="11.25" x14ac:dyDescent="0.2">
      <c r="A337" s="11">
        <v>43423</v>
      </c>
      <c r="B337" s="379">
        <f>'2022'!Maxi_hp</f>
        <v>28.562272949049884</v>
      </c>
      <c r="C337" s="13">
        <f>'2022'!An_max</f>
        <v>2020</v>
      </c>
      <c r="D337" s="1045">
        <f t="shared" si="135"/>
        <v>0.99058904142120285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28.833624999597667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28.874944906868041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28.749696874059737</v>
      </c>
      <c r="AZ337" s="735">
        <f t="shared" si="153"/>
        <v>28.812320890463887</v>
      </c>
      <c r="BA337" s="633">
        <f t="shared" si="150"/>
        <v>0.99058904142120285</v>
      </c>
      <c r="BC337" s="11">
        <v>43423</v>
      </c>
      <c r="BD337" s="289">
        <f>[3]!FeuilCaduc*(1-Persistant)+Persistant</f>
        <v>0.60996899239967906</v>
      </c>
      <c r="BE337" s="290">
        <f>[3]!CroissVégét</f>
        <v>0.99904633147520905</v>
      </c>
      <c r="BF337" s="804">
        <f>1+[3]!Salcycl*Ksac</f>
        <v>1.0109968992399678</v>
      </c>
      <c r="BH337" s="1036">
        <f t="shared" si="151"/>
        <v>1.8852382218654012E-2</v>
      </c>
      <c r="BI337" s="11">
        <v>44519</v>
      </c>
      <c r="BJ337" s="715">
        <v>2.3257590260479131E-3</v>
      </c>
      <c r="BK337" s="715">
        <v>3.4293638377497857E-3</v>
      </c>
      <c r="BL337" s="715">
        <v>6.4759154478229537E-3</v>
      </c>
      <c r="BM337" s="715">
        <v>1.2774868852472872E-2</v>
      </c>
      <c r="BN337" s="715">
        <v>2.4951508198706351E-2</v>
      </c>
      <c r="BO337" s="716">
        <v>4.4021465423428129E-2</v>
      </c>
      <c r="BP337" s="715">
        <v>7.5755242936226305E-2</v>
      </c>
      <c r="BQ337" s="715">
        <v>0.11598293499496476</v>
      </c>
      <c r="BR337" s="715">
        <v>0.16552389319747177</v>
      </c>
      <c r="BS337" s="715">
        <v>0.21379696066939446</v>
      </c>
      <c r="BT337" s="715">
        <v>0.26205211639671816</v>
      </c>
      <c r="BW337" s="1190">
        <f>'2019'!R\Max</f>
        <v>0.65604958033953431</v>
      </c>
      <c r="BX337" s="1190">
        <f>'2020'!R\Max</f>
        <v>0.99058904142120285</v>
      </c>
      <c r="BY337" s="1190">
        <f>'2021'!R\Max</f>
        <v>0.9632949998784065</v>
      </c>
      <c r="BZ337" s="1190">
        <f>'2022'!R\Max</f>
        <v>0.27016572103041442</v>
      </c>
      <c r="CA337" s="1190">
        <f>'2023'!R\Max</f>
        <v>0.26967372371783216</v>
      </c>
      <c r="CB337" s="1190">
        <f>'2024'!R\Max</f>
        <v>0.26905039701055178</v>
      </c>
      <c r="CC337" s="1190">
        <f>'2025'!R\Max</f>
        <v>0.26842671089640091</v>
      </c>
      <c r="CD337" s="1190">
        <f>'2026'!R\Max</f>
        <v>0.27125764314076201</v>
      </c>
      <c r="CE337" s="1191">
        <f>'2027'!R\Max</f>
        <v>0.27096761716985024</v>
      </c>
      <c r="CF337" s="1193">
        <f>'2028'!R\Max</f>
        <v>0.27067195846039349</v>
      </c>
    </row>
    <row r="338" spans="1:84" s="6" customFormat="1" ht="11.25" x14ac:dyDescent="0.2">
      <c r="A338" s="11">
        <v>43424</v>
      </c>
      <c r="B338" s="379">
        <f>'2022'!Maxi_hp</f>
        <v>28.66422438766487</v>
      </c>
      <c r="C338" s="13">
        <f>'2022'!An_max</f>
        <v>2018</v>
      </c>
      <c r="D338" s="1045">
        <f t="shared" si="135"/>
        <v>1.0034181070029984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28.566580757924488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28.604319805545469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28.487603570441053</v>
      </c>
      <c r="AZ338" s="735">
        <f t="shared" si="153"/>
        <v>28.545961687993263</v>
      </c>
      <c r="BA338" s="633">
        <f t="shared" si="150"/>
        <v>1.0034181070029984</v>
      </c>
      <c r="BC338" s="11">
        <v>43424</v>
      </c>
      <c r="BD338" s="289">
        <f>[3]!FeuilCaduc*(1-Persistant)+Persistant</f>
        <v>0.60434724335141232</v>
      </c>
      <c r="BE338" s="290">
        <f>[3]!CroissVégét</f>
        <v>0.99909800049508712</v>
      </c>
      <c r="BF338" s="804">
        <f>1+[3]!Salcycl*Ksac</f>
        <v>1.0104347243351413</v>
      </c>
      <c r="BH338" s="1036">
        <f t="shared" si="151"/>
        <v>1.9107939922704494E-2</v>
      </c>
      <c r="BI338" s="11">
        <v>44520</v>
      </c>
      <c r="BJ338" s="715">
        <v>2.2660832470075007E-3</v>
      </c>
      <c r="BK338" s="715">
        <v>3.39084425735766E-3</v>
      </c>
      <c r="BL338" s="715">
        <v>6.5212009892380123E-3</v>
      </c>
      <c r="BM338" s="715">
        <v>1.2947617184128337E-2</v>
      </c>
      <c r="BN338" s="715">
        <v>2.5290169758583253E-2</v>
      </c>
      <c r="BO338" s="716">
        <v>4.446517992139945E-2</v>
      </c>
      <c r="BP338" s="715">
        <v>7.6460062309511412E-2</v>
      </c>
      <c r="BQ338" s="715">
        <v>0.11713449806140415</v>
      </c>
      <c r="BR338" s="715">
        <v>0.16651398285774924</v>
      </c>
      <c r="BS338" s="715">
        <v>0.21418256347193196</v>
      </c>
      <c r="BT338" s="715">
        <v>0.26132898749639427</v>
      </c>
      <c r="BW338" s="1190">
        <f>'2019'!R\Max</f>
        <v>1.0034181070029984</v>
      </c>
      <c r="BX338" s="1190">
        <f>'2020'!R\Max</f>
        <v>0.32833568476600394</v>
      </c>
      <c r="BY338" s="1190">
        <f>'2021'!R\Max</f>
        <v>0.77441078208067549</v>
      </c>
      <c r="BZ338" s="1190">
        <f>'2022'!R\Max</f>
        <v>0.60135346267274381</v>
      </c>
      <c r="CA338" s="1190">
        <f>'2023'!R\Max</f>
        <v>0.60072538463409952</v>
      </c>
      <c r="CB338" s="1190">
        <f>'2024'!R\Max</f>
        <v>0.59992593941303829</v>
      </c>
      <c r="CC338" s="1190">
        <f>'2025'!R\Max</f>
        <v>0.59912442105761965</v>
      </c>
      <c r="CD338" s="1190">
        <f>'2026'!R\Max</f>
        <v>0.60274190747216794</v>
      </c>
      <c r="CE338" s="1191">
        <f>'2027'!R\Max</f>
        <v>0.60237396781546126</v>
      </c>
      <c r="CF338" s="1193">
        <f>'2028'!R\Max</f>
        <v>0.60199864048380813</v>
      </c>
    </row>
    <row r="339" spans="1:84" s="6" customFormat="1" ht="11.25" x14ac:dyDescent="0.2">
      <c r="A339" s="11">
        <v>43425</v>
      </c>
      <c r="B339" s="379">
        <f>'2022'!Maxi_hp</f>
        <v>27.981917732937102</v>
      </c>
      <c r="C339" s="13">
        <f>'2022'!An_max</f>
        <v>2018</v>
      </c>
      <c r="D339" s="1045">
        <f t="shared" si="135"/>
        <v>0.98856947941851248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28.305463920852965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28.337296755744944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28.233898277088468</v>
      </c>
      <c r="AZ339" s="735">
        <f t="shared" si="153"/>
        <v>28.285597516416708</v>
      </c>
      <c r="BA339" s="633">
        <f t="shared" si="150"/>
        <v>0.98856947941851248</v>
      </c>
      <c r="BC339" s="11">
        <v>43425</v>
      </c>
      <c r="BD339" s="289">
        <f>[3]!FeuilCaduc*(1-Persistant)+Persistant</f>
        <v>0.598889719471694</v>
      </c>
      <c r="BE339" s="290">
        <f>[3]!CroissVégét</f>
        <v>0.99914759418945731</v>
      </c>
      <c r="BF339" s="804">
        <f>1+[3]!Salcycl*Ksac</f>
        <v>1.0098889719471693</v>
      </c>
      <c r="BH339" s="1036">
        <f t="shared" si="151"/>
        <v>1.9348857024271637E-2</v>
      </c>
      <c r="BI339" s="11">
        <v>44521</v>
      </c>
      <c r="BJ339" s="715">
        <v>2.2040248552888204E-3</v>
      </c>
      <c r="BK339" s="715">
        <v>3.3630963475612188E-3</v>
      </c>
      <c r="BL339" s="715">
        <v>6.5789211414994586E-3</v>
      </c>
      <c r="BM339" s="715">
        <v>1.3121086668688104E-2</v>
      </c>
      <c r="BN339" s="715">
        <v>2.5598774331719188E-2</v>
      </c>
      <c r="BO339" s="716">
        <v>4.4884107676548525E-2</v>
      </c>
      <c r="BP339" s="715">
        <v>7.7142642296731442E-2</v>
      </c>
      <c r="BQ339" s="715">
        <v>0.11822621556050554</v>
      </c>
      <c r="BR339" s="715">
        <v>0.1673743396177326</v>
      </c>
      <c r="BS339" s="715">
        <v>0.21438419980410794</v>
      </c>
      <c r="BT339" s="715">
        <v>0.26042333182825039</v>
      </c>
      <c r="BW339" s="1190">
        <f>'2019'!R\Max</f>
        <v>0.98856947941851248</v>
      </c>
      <c r="BX339" s="1190">
        <f>'2020'!R\Max</f>
        <v>0.72385411931091592</v>
      </c>
      <c r="BY339" s="1190">
        <f>'2021'!R\Max</f>
        <v>0.35298369577232641</v>
      </c>
      <c r="BZ339" s="1190">
        <f>'2022'!R\Max</f>
        <v>0.12166374922998287</v>
      </c>
      <c r="CA339" s="1190">
        <f>'2023'!R\Max</f>
        <v>0.12143847250956334</v>
      </c>
      <c r="CB339" s="1190">
        <f>'2024'!R\Max</f>
        <v>0.1211517282977936</v>
      </c>
      <c r="CC339" s="1190">
        <f>'2025'!R\Max</f>
        <v>0.12086482212685459</v>
      </c>
      <c r="CD339" s="1190">
        <f>'2026'!R\Max</f>
        <v>0.12216237514240774</v>
      </c>
      <c r="CE339" s="1191">
        <f>'2027'!R\Max</f>
        <v>0.1220301972964951</v>
      </c>
      <c r="CF339" s="1193">
        <f>'2028'!R\Max</f>
        <v>0.12189551862310605</v>
      </c>
    </row>
    <row r="340" spans="1:84" s="6" customFormat="1" ht="11.25" x14ac:dyDescent="0.2">
      <c r="A340" s="11">
        <v>43426</v>
      </c>
      <c r="B340" s="379">
        <f>'2022'!Maxi_hp</f>
        <v>29.203443370360098</v>
      </c>
      <c r="C340" s="13">
        <f>'2022'!An_max</f>
        <v>2020</v>
      </c>
      <c r="D340" s="1045">
        <f t="shared" si="135"/>
        <v>1.0410904176789828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28.050823323747942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28.074439778604678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27.989061225046004</v>
      </c>
      <c r="AZ340" s="735">
        <f t="shared" si="153"/>
        <v>28.031750501825343</v>
      </c>
      <c r="BA340" s="633">
        <f t="shared" si="150"/>
        <v>1.0410904176789828</v>
      </c>
      <c r="BC340" s="11">
        <v>43426</v>
      </c>
      <c r="BD340" s="289">
        <f>[3]!FeuilCaduc*(1-Persistant)+Persistant</f>
        <v>0.59360092813166976</v>
      </c>
      <c r="BE340" s="290">
        <f>[3]!CroissVégét</f>
        <v>0.99919519572159454</v>
      </c>
      <c r="BF340" s="804">
        <f>1+[3]!Salcycl*Ksac</f>
        <v>1.009360092813167</v>
      </c>
      <c r="BH340" s="1036">
        <f t="shared" si="151"/>
        <v>1.9575089404485525E-2</v>
      </c>
      <c r="BI340" s="11">
        <v>44522</v>
      </c>
      <c r="BJ340" s="715">
        <v>2.1395831677732216E-3</v>
      </c>
      <c r="BK340" s="715">
        <v>3.3461277480118456E-3</v>
      </c>
      <c r="BL340" s="715">
        <v>6.6490772182012346E-3</v>
      </c>
      <c r="BM340" s="715">
        <v>1.3295255986855702E-2</v>
      </c>
      <c r="BN340" s="715">
        <v>2.5877254918591833E-2</v>
      </c>
      <c r="BO340" s="716">
        <v>4.5278161986460584E-2</v>
      </c>
      <c r="BP340" s="715">
        <v>7.7802853465982549E-2</v>
      </c>
      <c r="BQ340" s="715">
        <v>0.11925786444751375</v>
      </c>
      <c r="BR340" s="715">
        <v>0.16810464695504948</v>
      </c>
      <c r="BS340" s="715">
        <v>0.21440149880791606</v>
      </c>
      <c r="BT340" s="715">
        <v>0.25933479783433544</v>
      </c>
      <c r="BW340" s="1190">
        <f>'2019'!R\Max</f>
        <v>0.48886482416501664</v>
      </c>
      <c r="BX340" s="1190">
        <f>'2020'!R\Max</f>
        <v>1.0410904176789828</v>
      </c>
      <c r="BY340" s="1190">
        <f>'2021'!R\Max</f>
        <v>0.70484276827808456</v>
      </c>
      <c r="BZ340" s="1190">
        <f>'2022'!R\Max</f>
        <v>0.30376129275652763</v>
      </c>
      <c r="CA340" s="1190">
        <f>'2023'!R\Max</f>
        <v>0.30319827871847121</v>
      </c>
      <c r="CB340" s="1190">
        <f>'2024'!R\Max</f>
        <v>0.30248105397608005</v>
      </c>
      <c r="CC340" s="1190">
        <f>'2025'!R\Max</f>
        <v>0.30176340502260107</v>
      </c>
      <c r="CD340" s="1190">
        <f>'2026'!R\Max</f>
        <v>0.3050059189017178</v>
      </c>
      <c r="CE340" s="1191">
        <f>'2027'!R\Max</f>
        <v>0.3046763079097794</v>
      </c>
      <c r="CF340" s="1193">
        <f>'2028'!R\Max</f>
        <v>0.30434048825403709</v>
      </c>
    </row>
    <row r="341" spans="1:84" s="6" customFormat="1" ht="11.25" x14ac:dyDescent="0.2">
      <c r="A341" s="11">
        <v>43427</v>
      </c>
      <c r="B341" s="379">
        <f>'2022'!Maxi_hp</f>
        <v>29.107219927904186</v>
      </c>
      <c r="C341" s="13">
        <f>'2022'!An_max</f>
        <v>2020</v>
      </c>
      <c r="D341" s="1045">
        <f t="shared" si="135"/>
        <v>1.0469014992264492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27.803207798834354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27.816312898801907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27.75357264039506</v>
      </c>
      <c r="AZ341" s="735">
        <f t="shared" si="153"/>
        <v>27.784942769598484</v>
      </c>
      <c r="BA341" s="633">
        <f t="shared" si="150"/>
        <v>1.0469014992264492</v>
      </c>
      <c r="BC341" s="11">
        <v>43427</v>
      </c>
      <c r="BD341" s="289">
        <f>[3]!FeuilCaduc*(1-Persistant)+Persistant</f>
        <v>0.58848474479836355</v>
      </c>
      <c r="BE341" s="290">
        <f>[3]!CroissVégét</f>
        <v>0.99924088493749397</v>
      </c>
      <c r="BF341" s="804">
        <f>1+[3]!Salcycl*Ksac</f>
        <v>1.0088484744798363</v>
      </c>
      <c r="BH341" s="1036">
        <f t="shared" si="151"/>
        <v>1.9786470633600603E-2</v>
      </c>
      <c r="BI341" s="11">
        <v>44523</v>
      </c>
      <c r="BJ341" s="715">
        <v>2.0727451195904226E-3</v>
      </c>
      <c r="BK341" s="715">
        <v>3.3399241826434574E-3</v>
      </c>
      <c r="BL341" s="715">
        <v>6.7316270005385549E-3</v>
      </c>
      <c r="BM341" s="715">
        <v>1.3470019282384555E-2</v>
      </c>
      <c r="BN341" s="715">
        <v>2.6125384300547571E-2</v>
      </c>
      <c r="BO341" s="716">
        <v>4.5646973462991521E-2</v>
      </c>
      <c r="BP341" s="715">
        <v>7.8440078405790079E-2</v>
      </c>
      <c r="BQ341" s="715">
        <v>0.12022847653427106</v>
      </c>
      <c r="BR341" s="715">
        <v>0.16870355061838516</v>
      </c>
      <c r="BS341" s="715">
        <v>0.21423277745617231</v>
      </c>
      <c r="BT341" s="715">
        <v>0.25806145320118967</v>
      </c>
      <c r="BW341" s="1190">
        <f>'2019'!R\Max</f>
        <v>0.25292596417557645</v>
      </c>
      <c r="BX341" s="1190">
        <f>'2020'!R\Max</f>
        <v>1.0469014992264492</v>
      </c>
      <c r="BY341" s="1190">
        <f>'2021'!R\Max</f>
        <v>0.47720133765432332</v>
      </c>
      <c r="BZ341" s="1190">
        <f>'2022'!R\Max</f>
        <v>0.51476880550049675</v>
      </c>
      <c r="CA341" s="1190">
        <f>'2023'!R\Max</f>
        <v>0.514097832512319</v>
      </c>
      <c r="CB341" s="1190">
        <f>'2024'!R\Max</f>
        <v>0.51324214587892769</v>
      </c>
      <c r="CC341" s="1190">
        <f>'2025'!R\Max</f>
        <v>0.51238472326703643</v>
      </c>
      <c r="CD341" s="1190">
        <f>'2026'!R\Max</f>
        <v>0.51624777359835394</v>
      </c>
      <c r="CE341" s="1191">
        <f>'2027'!R\Max</f>
        <v>0.51585682119775833</v>
      </c>
      <c r="CF341" s="1193">
        <f>'2028'!R\Max</f>
        <v>0.51545823980188177</v>
      </c>
    </row>
    <row r="342" spans="1:84" s="6" customFormat="1" ht="11.25" x14ac:dyDescent="0.2">
      <c r="A342" s="11">
        <v>43428</v>
      </c>
      <c r="B342" s="379">
        <f>'2022'!Maxi_hp</f>
        <v>27.112988230859333</v>
      </c>
      <c r="C342" s="13">
        <f>'2022'!An_max</f>
        <v>2020</v>
      </c>
      <c r="D342" s="1045">
        <f t="shared" si="135"/>
        <v>0.98366740791809637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27.563166180572342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27.563480140268801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27.527912754804966</v>
      </c>
      <c r="AZ342" s="735">
        <f t="shared" si="153"/>
        <v>27.545696447536884</v>
      </c>
      <c r="BA342" s="633">
        <f t="shared" si="150"/>
        <v>0.98366740791809637</v>
      </c>
      <c r="BC342" s="11">
        <v>43428</v>
      </c>
      <c r="BD342" s="289">
        <f>[3]!FeuilCaduc*(1-Persistant)+Persistant</f>
        <v>0.58354440361693261</v>
      </c>
      <c r="BE342" s="290">
        <f>[3]!CroissVégét</f>
        <v>0.99928473849698995</v>
      </c>
      <c r="BF342" s="804">
        <f>1+[3]!Salcycl*Ksac</f>
        <v>1.0083544403616933</v>
      </c>
      <c r="BH342" s="1036">
        <f t="shared" si="151"/>
        <v>1.9982913184990687E-2</v>
      </c>
      <c r="BI342" s="11">
        <v>44524</v>
      </c>
      <c r="BJ342" s="715">
        <v>2.003508212025982E-3</v>
      </c>
      <c r="BK342" s="715">
        <v>3.3444838880368594E-3</v>
      </c>
      <c r="BL342" s="715">
        <v>6.8265524413019312E-3</v>
      </c>
      <c r="BM342" s="715">
        <v>1.3645322176794671E-2</v>
      </c>
      <c r="BN342" s="715">
        <v>2.6343041684933895E-2</v>
      </c>
      <c r="BO342" s="716">
        <v>4.5990356416848427E-2</v>
      </c>
      <c r="BP342" s="715">
        <v>7.9054012470948135E-2</v>
      </c>
      <c r="BQ342" s="715">
        <v>0.12113756673888465</v>
      </c>
      <c r="BR342" s="715">
        <v>0.16917039930333011</v>
      </c>
      <c r="BS342" s="715">
        <v>0.21387727083761554</v>
      </c>
      <c r="BT342" s="715">
        <v>0.2566024924066781</v>
      </c>
      <c r="BW342" s="1190">
        <f>'2019'!R\Max</f>
        <v>0.51584032825669512</v>
      </c>
      <c r="BX342" s="1190">
        <f>'2020'!R\Max</f>
        <v>0.98366740791809637</v>
      </c>
      <c r="BY342" s="1190">
        <f>'2021'!R\Max</f>
        <v>7.0780836952377746E-2</v>
      </c>
      <c r="BZ342" s="1190">
        <f>'2022'!R\Max</f>
        <v>0.54509098829284774</v>
      </c>
      <c r="CA342" s="1190">
        <f>'2023'!R\Max</f>
        <v>0.54441916244678501</v>
      </c>
      <c r="CB342" s="1190">
        <f>'2024'!R\Max</f>
        <v>0.54356321808276831</v>
      </c>
      <c r="CC342" s="1190">
        <f>'2025'!R\Max</f>
        <v>0.54270535818229204</v>
      </c>
      <c r="CD342" s="1190">
        <f>'2026'!R\Max</f>
        <v>0.54656994442614171</v>
      </c>
      <c r="CE342" s="1191">
        <f>'2027'!R\Max</f>
        <v>0.54617939661549531</v>
      </c>
      <c r="CF342" s="1193">
        <f>'2028'!R\Max</f>
        <v>0.54578115130716975</v>
      </c>
    </row>
    <row r="343" spans="1:84" s="6" customFormat="1" ht="11.25" x14ac:dyDescent="0.2">
      <c r="A343" s="11">
        <v>43429</v>
      </c>
      <c r="B343" s="379">
        <f>'2022'!Maxi_hp</f>
        <v>25.709723482797013</v>
      </c>
      <c r="C343" s="13">
        <f>'2022'!An_max</f>
        <v>2020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27.33124730267695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27.316505528720359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27.312561798548057</v>
      </c>
      <c r="AZ343" s="735">
        <f t="shared" si="153"/>
        <v>27.314533663634208</v>
      </c>
      <c r="BA343" s="633">
        <f t="shared" si="150"/>
        <v>0.94067142995990827</v>
      </c>
      <c r="BC343" s="11">
        <v>43429</v>
      </c>
      <c r="BD343" s="289">
        <f>[3]!FeuilCaduc*(1-Persistant)+Persistant</f>
        <v>0.57878249194941001</v>
      </c>
      <c r="BE343" s="290">
        <f>[3]!CroissVégét</f>
        <v>0.99932682999978462</v>
      </c>
      <c r="BF343" s="804">
        <f>1+[3]!Salcycl*Ksac</f>
        <v>1.007878249194941</v>
      </c>
      <c r="BH343" s="1036">
        <f t="shared" si="151"/>
        <v>2.0164432995401563E-2</v>
      </c>
      <c r="BI343" s="11">
        <v>44525</v>
      </c>
      <c r="BJ343" s="715">
        <v>1.9318810878658696E-3</v>
      </c>
      <c r="BK343" s="715">
        <v>3.3598204427163405E-3</v>
      </c>
      <c r="BL343" s="715">
        <v>6.9338677819024393E-3</v>
      </c>
      <c r="BM343" s="715">
        <v>1.3821178895413988E-2</v>
      </c>
      <c r="BN343" s="715">
        <v>2.6530244726000501E-2</v>
      </c>
      <c r="BO343" s="716">
        <v>4.6308362570672744E-2</v>
      </c>
      <c r="BP343" s="715">
        <v>7.9644755600682487E-2</v>
      </c>
      <c r="BQ343" s="715">
        <v>0.12198527439135692</v>
      </c>
      <c r="BR343" s="715">
        <v>0.16950542686308015</v>
      </c>
      <c r="BS343" s="715">
        <v>0.21333534296748113</v>
      </c>
      <c r="BT343" s="715">
        <v>0.25495846527798716</v>
      </c>
      <c r="BW343" s="1190">
        <f>'2019'!R\Max</f>
        <v>0.44118647775324571</v>
      </c>
      <c r="BX343" s="1190">
        <f>'2020'!R\Max</f>
        <v>0.94067142995990827</v>
      </c>
      <c r="BY343" s="1190">
        <f>'2021'!R\Max</f>
        <v>0.65164131858337626</v>
      </c>
      <c r="BZ343" s="1190">
        <f>'2022'!R\Max</f>
        <v>0.19018263561469823</v>
      </c>
      <c r="CA343" s="1190">
        <f>'2023'!R\Max</f>
        <v>0.18981835298056937</v>
      </c>
      <c r="CB343" s="1190">
        <f>'2024'!R\Max</f>
        <v>0.18935591891333303</v>
      </c>
      <c r="CC343" s="1190">
        <f>'2025'!R\Max</f>
        <v>0.18889324391122447</v>
      </c>
      <c r="CD343" s="1190">
        <f>'2026'!R\Max</f>
        <v>0.19098555680529661</v>
      </c>
      <c r="CE343" s="1191">
        <f>'2027'!R\Max</f>
        <v>0.190773481513659</v>
      </c>
      <c r="CF343" s="1193">
        <f>'2028'!R\Max</f>
        <v>0.19055735660596182</v>
      </c>
    </row>
    <row r="344" spans="1:84" s="6" customFormat="1" ht="11.25" x14ac:dyDescent="0.2">
      <c r="A344" s="11">
        <v>43430</v>
      </c>
      <c r="B344" s="379">
        <f>'2022'!Maxi_hp</f>
        <v>26.915508219914461</v>
      </c>
      <c r="C344" s="13">
        <f>'2022'!An_max</f>
        <v>2020</v>
      </c>
      <c r="D344" s="1045">
        <f t="shared" si="135"/>
        <v>0.99289907847691605</v>
      </c>
      <c r="E344" s="1040">
        <f>AK$13/10</f>
        <v>27.107999999999997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27.108000000566243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27.075953083857893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27.107999999821185</v>
      </c>
      <c r="AZ344" s="735">
        <f t="shared" si="153"/>
        <v>27.091976541839539</v>
      </c>
      <c r="BA344" s="633">
        <f t="shared" si="150"/>
        <v>0.99289907847691605</v>
      </c>
      <c r="BC344" s="11">
        <v>43430</v>
      </c>
      <c r="BD344" s="289">
        <f>[3]!FeuilCaduc*(1-Persistant)+Persistant</f>
        <v>0.57420094888319018</v>
      </c>
      <c r="BE344" s="290">
        <f>[3]!CroissVégét</f>
        <v>0.99936723010658135</v>
      </c>
      <c r="BF344" s="804">
        <f>1+[3]!Salcycl*Ksac</f>
        <v>1.007420094888319</v>
      </c>
      <c r="BH344" s="1036">
        <f t="shared" si="151"/>
        <v>2.0331049889729114E-2</v>
      </c>
      <c r="BI344" s="11">
        <v>44526</v>
      </c>
      <c r="BJ344" s="715">
        <v>1.8578721750378987E-3</v>
      </c>
      <c r="BK344" s="715">
        <v>3.3859457380198397E-3</v>
      </c>
      <c r="BL344" s="715">
        <v>7.0535860584015758E-3</v>
      </c>
      <c r="BM344" s="715">
        <v>1.399760496400851E-2</v>
      </c>
      <c r="BN344" s="715">
        <v>2.668701756306156E-2</v>
      </c>
      <c r="BO344" s="716">
        <v>4.6601050264495993E-2</v>
      </c>
      <c r="BP344" s="715">
        <v>8.0212416075217938E-2</v>
      </c>
      <c r="BQ344" s="715">
        <v>0.12277175542676226</v>
      </c>
      <c r="BR344" s="715">
        <v>0.16970889089935978</v>
      </c>
      <c r="BS344" s="715">
        <v>0.21260738307794505</v>
      </c>
      <c r="BT344" s="715">
        <v>0.25312993712776255</v>
      </c>
      <c r="BW344" s="1190">
        <f>'2019'!R\Max</f>
        <v>0.72872175716111287</v>
      </c>
      <c r="BX344" s="1190">
        <f>'2020'!R\Max</f>
        <v>0.99289907847691605</v>
      </c>
      <c r="BY344" s="1190">
        <f>'2021'!R\Max</f>
        <v>0.29478625293332122</v>
      </c>
      <c r="BZ344" s="1190">
        <f>'2022'!R\Max</f>
        <v>0.44109774303493071</v>
      </c>
      <c r="CA344" s="1190">
        <f>'2023'!R\Max</f>
        <v>0.44041855919279466</v>
      </c>
      <c r="CB344" s="1190">
        <f>'2024'!R\Max</f>
        <v>0.43955823407752981</v>
      </c>
      <c r="CC344" s="1190">
        <f>'2025'!R\Max</f>
        <v>0.43869661627947676</v>
      </c>
      <c r="CD344" s="1190">
        <f>'2026'!R\Max</f>
        <v>0.44259164893622432</v>
      </c>
      <c r="CE344" s="1191">
        <f>'2027'!R\Max</f>
        <v>0.44219764079291946</v>
      </c>
      <c r="CF344" s="1193">
        <f>'2028'!R\Max</f>
        <v>0.4417958146930413</v>
      </c>
    </row>
    <row r="345" spans="1:84" s="6" customFormat="1" ht="11.25" x14ac:dyDescent="0.2">
      <c r="A345" s="11">
        <v>43431</v>
      </c>
      <c r="B345" s="379">
        <f>'2022'!Maxi_hp</f>
        <v>23.300191289146664</v>
      </c>
      <c r="C345" s="13">
        <f>'2022'!An_max</f>
        <v>2020</v>
      </c>
      <c r="D345" s="1045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26.891174051484892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26.842386832647026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26.910385613356318</v>
      </c>
      <c r="AZ345" s="735">
        <f t="shared" si="153"/>
        <v>26.876386223001674</v>
      </c>
      <c r="BA345" s="633">
        <f t="shared" si="150"/>
        <v>0.86646240303740329</v>
      </c>
      <c r="BC345" s="11">
        <v>43431</v>
      </c>
      <c r="BD345" s="289">
        <f>[3]!FeuilCaduc*(1-Persistant)+Persistant</f>
        <v>0.56980106769121786</v>
      </c>
      <c r="BE345" s="290">
        <f>[3]!CroissVégét</f>
        <v>0.9994060066555025</v>
      </c>
      <c r="BF345" s="804">
        <f>1+[3]!Salcycl*Ksac</f>
        <v>1.0069801067691218</v>
      </c>
      <c r="BH345" s="1036">
        <f t="shared" si="151"/>
        <v>2.0482787279983965E-2</v>
      </c>
      <c r="BI345" s="11">
        <v>44527</v>
      </c>
      <c r="BJ345" s="715">
        <v>1.7814896385625466E-3</v>
      </c>
      <c r="BK345" s="715">
        <v>3.4228702041839087E-3</v>
      </c>
      <c r="BL345" s="715">
        <v>7.1857193623525197E-3</v>
      </c>
      <c r="BM345" s="715">
        <v>1.4174617226451925E-2</v>
      </c>
      <c r="BN345" s="715">
        <v>2.6813390199621989E-2</v>
      </c>
      <c r="BO345" s="716">
        <v>4.6868483950425151E-2</v>
      </c>
      <c r="BP345" s="715">
        <v>8.0757110072118804E-2</v>
      </c>
      <c r="BQ345" s="715">
        <v>0.12349718116782826</v>
      </c>
      <c r="BR345" s="715">
        <v>0.16978107010963164</v>
      </c>
      <c r="BS345" s="715">
        <v>0.21169380186085063</v>
      </c>
      <c r="BT345" s="715">
        <v>0.25111748505797499</v>
      </c>
      <c r="BW345" s="1190">
        <f>'2019'!R\Max</f>
        <v>0.72793438194132232</v>
      </c>
      <c r="BX345" s="1190">
        <f>'2020'!R\Max</f>
        <v>0.86646240303740329</v>
      </c>
      <c r="BY345" s="1190">
        <f>'2021'!R\Max</f>
        <v>0.60455057654731337</v>
      </c>
      <c r="BZ345" s="1190">
        <f>'2022'!R\Max</f>
        <v>0.58600069979268277</v>
      </c>
      <c r="CA345" s="1190">
        <f>'2023'!R\Max</f>
        <v>0.58532630631878479</v>
      </c>
      <c r="CB345" s="1190">
        <f>'2024'!R\Max</f>
        <v>0.58447464656771742</v>
      </c>
      <c r="CC345" s="1190">
        <f>'2025'!R\Max</f>
        <v>0.58362084802273251</v>
      </c>
      <c r="CD345" s="1190">
        <f>'2026'!R\Max</f>
        <v>0.58748107888184131</v>
      </c>
      <c r="CE345" s="1191">
        <f>'2027'!R\Max</f>
        <v>0.58709120518436364</v>
      </c>
      <c r="CF345" s="1193">
        <f>'2028'!R\Max</f>
        <v>0.58669326388710763</v>
      </c>
    </row>
    <row r="346" spans="1:84" s="6" customFormat="1" ht="11.25" x14ac:dyDescent="0.2">
      <c r="A346" s="11">
        <v>43432</v>
      </c>
      <c r="B346" s="379">
        <f>'2022'!Maxi_hp</f>
        <v>16.384266753107251</v>
      </c>
      <c r="C346" s="13">
        <f>'2022'!An_max</f>
        <v>2020</v>
      </c>
      <c r="D346" s="1045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26.678592419198583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26.616370798540963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26.715853167112385</v>
      </c>
      <c r="AZ346" s="735">
        <f t="shared" si="153"/>
        <v>26.666111982826674</v>
      </c>
      <c r="BA346" s="633">
        <f t="shared" si="150"/>
        <v>0.61413535225781712</v>
      </c>
      <c r="BC346" s="11">
        <v>43432</v>
      </c>
      <c r="BD346" s="289">
        <f>[3]!FeuilCaduc*(1-Persistant)+Persistant</f>
        <v>0.56558350219481845</v>
      </c>
      <c r="BE346" s="290">
        <f>[3]!CroissVégét</f>
        <v>0.99944322477397196</v>
      </c>
      <c r="BF346" s="804">
        <f>1+[3]!Salcycl*Ksac</f>
        <v>1.0065583502194819</v>
      </c>
      <c r="BH346" s="1036">
        <f t="shared" si="151"/>
        <v>2.061779893071642E-2</v>
      </c>
      <c r="BI346" s="11">
        <v>44528</v>
      </c>
      <c r="BJ346" s="715">
        <v>1.7123123510838351E-3</v>
      </c>
      <c r="BK346" s="715">
        <v>3.4722358771101716E-3</v>
      </c>
      <c r="BL346" s="715">
        <v>7.3220773139313078E-3</v>
      </c>
      <c r="BM346" s="715">
        <v>1.433660861391879E-2</v>
      </c>
      <c r="BN346" s="715">
        <v>2.6921326169341963E-2</v>
      </c>
      <c r="BO346" s="716">
        <v>4.7153321248178448E-2</v>
      </c>
      <c r="BP346" s="715">
        <v>8.1308747577466894E-2</v>
      </c>
      <c r="BQ346" s="715">
        <v>0.12413978858730684</v>
      </c>
      <c r="BR346" s="715">
        <v>0.1696889825381693</v>
      </c>
      <c r="BS346" s="715">
        <v>0.21061047317421097</v>
      </c>
      <c r="BT346" s="715">
        <v>0.24901965713336804</v>
      </c>
      <c r="BW346" s="1190">
        <f>'2019'!R\Max</f>
        <v>0.45294236470243937</v>
      </c>
      <c r="BX346" s="1190">
        <f>'2020'!R\Max</f>
        <v>0.61413535225781712</v>
      </c>
      <c r="BY346" s="1190">
        <f>'2021'!R\Max</f>
        <v>0.25288468791305602</v>
      </c>
      <c r="BZ346" s="1190">
        <f>'2022'!R\Max</f>
        <v>0.42808976812073674</v>
      </c>
      <c r="CA346" s="1190">
        <f>'2023'!R\Max</f>
        <v>0.42740376845525441</v>
      </c>
      <c r="CB346" s="1190">
        <f>'2024'!R\Max</f>
        <v>0.42654322469113615</v>
      </c>
      <c r="CC346" s="1190">
        <f>'2025'!R\Max</f>
        <v>0.4256814896461687</v>
      </c>
      <c r="CD346" s="1190">
        <f>'2026'!R\Max</f>
        <v>0.42959834070919117</v>
      </c>
      <c r="CE346" s="1191">
        <f>'2027'!R\Max</f>
        <v>0.42920071881739907</v>
      </c>
      <c r="CF346" s="1193">
        <f>'2028'!R\Max</f>
        <v>0.42879490421043132</v>
      </c>
    </row>
    <row r="347" spans="1:84" s="6" customFormat="1" ht="11.25" x14ac:dyDescent="0.2">
      <c r="A347" s="11">
        <v>43433</v>
      </c>
      <c r="B347" s="379">
        <f>'2022'!Maxi_hp</f>
        <v>16.659001140689998</v>
      </c>
      <c r="C347" s="13">
        <f>'2022'!An_max</f>
        <v>2022</v>
      </c>
      <c r="D347" s="1045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26.47091370208987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26.398469006908794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26.524847295747275</v>
      </c>
      <c r="AZ347" s="735">
        <f t="shared" si="153"/>
        <v>26.461658151328034</v>
      </c>
      <c r="BA347" s="633">
        <f t="shared" si="150"/>
        <v>0.62933230519257732</v>
      </c>
      <c r="BC347" s="11">
        <v>43433</v>
      </c>
      <c r="BD347" s="289">
        <f>[3]!FeuilCaduc*(1-Persistant)+Persistant</f>
        <v>0.56154827694959564</v>
      </c>
      <c r="BE347" s="290">
        <f>[3]!CroissVégét</f>
        <v>0.9994789469862303</v>
      </c>
      <c r="BF347" s="804">
        <f>1+[3]!Salcycl*Ksac</f>
        <v>1.0061548276949595</v>
      </c>
      <c r="BH347" s="1036">
        <f t="shared" si="151"/>
        <v>2.0731560540195697E-2</v>
      </c>
      <c r="BI347" s="11">
        <v>44529</v>
      </c>
      <c r="BJ347" s="715">
        <v>1.6563846526207473E-3</v>
      </c>
      <c r="BK347" s="715">
        <v>3.5362907965613539E-3</v>
      </c>
      <c r="BL347" s="715">
        <v>7.4530994900447768E-3</v>
      </c>
      <c r="BM347" s="715">
        <v>1.4469979670198503E-2</v>
      </c>
      <c r="BN347" s="715">
        <v>2.7015408597677759E-2</v>
      </c>
      <c r="BO347" s="716">
        <v>4.7486636866583921E-2</v>
      </c>
      <c r="BP347" s="715">
        <v>8.1922075361219565E-2</v>
      </c>
      <c r="BQ347" s="715">
        <v>0.12474926192874382</v>
      </c>
      <c r="BR347" s="715">
        <v>0.16950681650087529</v>
      </c>
      <c r="BS347" s="715">
        <v>0.20945594541444978</v>
      </c>
      <c r="BT347" s="715">
        <v>0.24697626878648374</v>
      </c>
      <c r="BW347" s="1190">
        <f>'2019'!R\Max</f>
        <v>0.61107048756855498</v>
      </c>
      <c r="BX347" s="1190">
        <f>'2020'!R\Max</f>
        <v>0.34799878537238516</v>
      </c>
      <c r="BY347" s="1190">
        <f>'2021'!R\Max</f>
        <v>0.29155838715101384</v>
      </c>
      <c r="BZ347" s="1190">
        <f>'2022'!R\Max</f>
        <v>0.62933230519257732</v>
      </c>
      <c r="CA347" s="1190">
        <f>'2023'!R\Max</f>
        <v>0.62867249972126094</v>
      </c>
      <c r="CB347" s="1190">
        <f>'2024'!R\Max</f>
        <v>0.6278505484318444</v>
      </c>
      <c r="CC347" s="1190">
        <f>'2025'!R\Max</f>
        <v>0.62702630899192979</v>
      </c>
      <c r="CD347" s="1190">
        <f>'2026'!R\Max</f>
        <v>0.63078329227402585</v>
      </c>
      <c r="CE347" s="1191">
        <f>'2027'!R\Max</f>
        <v>0.63040071840835288</v>
      </c>
      <c r="CF347" s="1193">
        <f>'2028'!R\Max</f>
        <v>0.63000981280428414</v>
      </c>
    </row>
    <row r="348" spans="1:84" s="6" customFormat="1" ht="11.25" x14ac:dyDescent="0.2">
      <c r="A348" s="11">
        <v>43434</v>
      </c>
      <c r="B348" s="379">
        <f>'2022'!Maxi_hp</f>
        <v>25.310170680267795</v>
      </c>
      <c r="C348" s="13">
        <f>'2022'!An_max</f>
        <v>2020</v>
      </c>
      <c r="D348" s="1045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26.268796501627993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26.189245477904166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26.337812636366912</v>
      </c>
      <c r="AZ348" s="735">
        <f t="shared" si="153"/>
        <v>26.263529057135539</v>
      </c>
      <c r="BA348" s="633">
        <f t="shared" si="150"/>
        <v>0.96350705212929011</v>
      </c>
      <c r="BC348" s="11">
        <v>43434</v>
      </c>
      <c r="BD348" s="289">
        <f>[3]!FeuilCaduc*(1-Persistant)+Persistant</f>
        <v>0.55769480114511016</v>
      </c>
      <c r="BE348" s="290">
        <f>[3]!CroissVégét</f>
        <v>0.99951323331664843</v>
      </c>
      <c r="BF348" s="804">
        <f>1+[3]!Salcycl*Ksac</f>
        <v>1.0057694801145109</v>
      </c>
      <c r="BH348" s="1036">
        <f t="shared" si="151"/>
        <v>2.0824103005488804E-2</v>
      </c>
      <c r="BI348" s="11">
        <v>44530</v>
      </c>
      <c r="BJ348" s="715">
        <v>1.6137169539707701E-3</v>
      </c>
      <c r="BK348" s="715">
        <v>3.6150432277689305E-3</v>
      </c>
      <c r="BL348" s="715">
        <v>7.5787927958133961E-3</v>
      </c>
      <c r="BM348" s="715">
        <v>1.4574744959541926E-2</v>
      </c>
      <c r="BN348" s="715">
        <v>2.7095684772594653E-2</v>
      </c>
      <c r="BO348" s="716">
        <v>4.786852635794208E-2</v>
      </c>
      <c r="BP348" s="715">
        <v>8.2597249703583647E-2</v>
      </c>
      <c r="BQ348" s="715">
        <v>0.12532581918675242</v>
      </c>
      <c r="BR348" s="715">
        <v>0.16923490962975282</v>
      </c>
      <c r="BS348" s="715">
        <v>0.20823069800765606</v>
      </c>
      <c r="BT348" s="715">
        <v>0.24498796319761929</v>
      </c>
      <c r="BW348" s="1190">
        <f>'2019'!R\Max</f>
        <v>0.45119797132590506</v>
      </c>
      <c r="BX348" s="1190">
        <f>'2020'!R\Max</f>
        <v>0.96350705212929011</v>
      </c>
      <c r="BY348" s="1190">
        <f>'2021'!R\Max</f>
        <v>0.82356539993644706</v>
      </c>
      <c r="BZ348" s="1190">
        <f>'2022'!R\Max</f>
        <v>0.16534009690511764</v>
      </c>
      <c r="CA348" s="1190">
        <f>'2023'!R\Max</f>
        <v>0.16500926919450803</v>
      </c>
      <c r="CB348" s="1190">
        <f>'2024'!R\Max</f>
        <v>0.16460240691768149</v>
      </c>
      <c r="CC348" s="1190">
        <f>'2025'!R\Max</f>
        <v>0.16419537223693459</v>
      </c>
      <c r="CD348" s="1190">
        <f>'2026'!R\Max</f>
        <v>0.16607217347128492</v>
      </c>
      <c r="CE348" s="1191">
        <f>'2027'!R\Max</f>
        <v>0.16587839657229247</v>
      </c>
      <c r="CF348" s="1193">
        <f>'2028'!R\Max</f>
        <v>0.16568051335164713</v>
      </c>
    </row>
    <row r="349" spans="1:84" s="6" customFormat="1" ht="11.25" x14ac:dyDescent="0.2">
      <c r="A349" s="11">
        <v>43435</v>
      </c>
      <c r="B349" s="379">
        <f>'2022'!Maxi_hp</f>
        <v>26.146261330818092</v>
      </c>
      <c r="C349" s="13">
        <f>'2022'!An_max</f>
        <v>2020</v>
      </c>
      <c r="D349" s="1045">
        <f t="shared" si="135"/>
        <v>1.0028137228871641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26.072899416993771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25.989264236949385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26.155193825651491</v>
      </c>
      <c r="AZ349" s="735">
        <f t="shared" si="153"/>
        <v>26.072229031300438</v>
      </c>
      <c r="BA349" s="633">
        <f t="shared" si="150"/>
        <v>1.0028137228871641</v>
      </c>
      <c r="BC349" s="11">
        <v>43435</v>
      </c>
      <c r="BD349" s="289">
        <f>[3]!FeuilCaduc*(1-Persistant)+Persistant</f>
        <v>0.55402188608041736</v>
      </c>
      <c r="BE349" s="290">
        <f>[3]!CroissVégét</f>
        <v>0.99954614138899944</v>
      </c>
      <c r="BF349" s="804">
        <f>1+[3]!Salcycl*Ksac</f>
        <v>1.0054021886080418</v>
      </c>
      <c r="BH349" s="1036">
        <f t="shared" si="151"/>
        <v>2.0895460153584712E-2</v>
      </c>
      <c r="BI349" s="11">
        <v>44531</v>
      </c>
      <c r="BJ349" s="715">
        <v>1.5843179261284385E-3</v>
      </c>
      <c r="BK349" s="715">
        <v>3.7085005543475292E-3</v>
      </c>
      <c r="BL349" s="715">
        <v>7.6991657209347026E-3</v>
      </c>
      <c r="BM349" s="715">
        <v>1.4650922861930924E-2</v>
      </c>
      <c r="BN349" s="715">
        <v>2.7162204023020765E-2</v>
      </c>
      <c r="BO349" s="716">
        <v>4.8299083288432181E-2</v>
      </c>
      <c r="BP349" s="715">
        <v>8.3334425879348029E-2</v>
      </c>
      <c r="BQ349" s="715">
        <v>0.12586968628747666</v>
      </c>
      <c r="BR349" s="715">
        <v>0.16887360622032122</v>
      </c>
      <c r="BS349" s="715">
        <v>0.20693520701881182</v>
      </c>
      <c r="BT349" s="715">
        <v>0.24305536064021777</v>
      </c>
      <c r="BW349" s="1190">
        <f>'2019'!R\Max</f>
        <v>0.31300496918263032</v>
      </c>
      <c r="BX349" s="1190">
        <f>'2020'!R\Max</f>
        <v>1.0028137228871641</v>
      </c>
      <c r="BY349" s="1190">
        <f>'2021'!R\Max</f>
        <v>0.16740436330657857</v>
      </c>
      <c r="BZ349" s="1190">
        <f>'2022'!R\Max</f>
        <v>0.15769201996871407</v>
      </c>
      <c r="CA349" s="1190">
        <f>'2023'!R\Max</f>
        <v>0.15737340970446226</v>
      </c>
      <c r="CB349" s="1190">
        <f>'2024'!R\Max</f>
        <v>0.15698674748615263</v>
      </c>
      <c r="CC349" s="1190">
        <f>'2025'!R\Max</f>
        <v>0.15659993321357948</v>
      </c>
      <c r="CD349" s="1190">
        <f>'2026'!R\Max</f>
        <v>0.15840029600246064</v>
      </c>
      <c r="CE349" s="1191">
        <f>'2027'!R\Max</f>
        <v>0.15821217291929629</v>
      </c>
      <c r="CF349" s="1193">
        <f>'2028'!R\Max</f>
        <v>0.15801995482778666</v>
      </c>
    </row>
    <row r="350" spans="1:84" s="6" customFormat="1" ht="11.25" x14ac:dyDescent="0.2">
      <c r="A350" s="11">
        <v>43436</v>
      </c>
      <c r="B350" s="379">
        <f>'2022'!Maxi_hp</f>
        <v>9.9498204075695913</v>
      </c>
      <c r="C350" s="13">
        <f>'2022'!An_max</f>
        <v>2021</v>
      </c>
      <c r="D350" s="1045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25.883881049071039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25.799089312340534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25.977435501505219</v>
      </c>
      <c r="AZ350" s="735">
        <f t="shared" si="153"/>
        <v>25.888262406922877</v>
      </c>
      <c r="BA350" s="633">
        <f t="shared" si="150"/>
        <v>0.38440218407380938</v>
      </c>
      <c r="BC350" s="11">
        <v>43436</v>
      </c>
      <c r="BD350" s="289">
        <f>[3]!FeuilCaduc*(1-Persistant)+Persistant</f>
        <v>0.55052776605019982</v>
      </c>
      <c r="BE350" s="290">
        <f>[3]!CroissVégét</f>
        <v>0.99957772652184329</v>
      </c>
      <c r="BF350" s="804">
        <f>1+[3]!Salcycl*Ksac</f>
        <v>1.0050527766050199</v>
      </c>
      <c r="BH350" s="1036">
        <f t="shared" si="151"/>
        <v>2.0945668307032289E-2</v>
      </c>
      <c r="BI350" s="11">
        <v>44532</v>
      </c>
      <c r="BJ350" s="715">
        <v>1.5681947768517047E-3</v>
      </c>
      <c r="BK350" s="715">
        <v>3.8166695849776895E-3</v>
      </c>
      <c r="BL350" s="715">
        <v>7.8142282310155464E-3</v>
      </c>
      <c r="BM350" s="715">
        <v>1.4698534982799929E-2</v>
      </c>
      <c r="BN350" s="715">
        <v>2.7215017440955804E-2</v>
      </c>
      <c r="BO350" s="716">
        <v>4.8778400263924215E-2</v>
      </c>
      <c r="BP350" s="715">
        <v>8.4133759470909897E-2</v>
      </c>
      <c r="BQ350" s="715">
        <v>0.12638109644604303</v>
      </c>
      <c r="BR350" s="715">
        <v>0.16842325542611278</v>
      </c>
      <c r="BS350" s="715">
        <v>0.20556994375967921</v>
      </c>
      <c r="BT350" s="715">
        <v>0.24117905972171516</v>
      </c>
      <c r="BW350" s="1190">
        <f>'2019'!R\Max</f>
        <v>0.16481572953539741</v>
      </c>
      <c r="BX350" s="1190">
        <f>'2020'!R\Max</f>
        <v>0.18815486456186903</v>
      </c>
      <c r="BY350" s="1190">
        <f>'2021'!R\Max</f>
        <v>0.38440218407380938</v>
      </c>
      <c r="BZ350" s="1190">
        <f>'2022'!R\Max</f>
        <v>0.2386527636044847</v>
      </c>
      <c r="CA350" s="1190">
        <f>'2023'!R\Max</f>
        <v>0.23816567348113071</v>
      </c>
      <c r="CB350" s="1190">
        <f>'2024'!R\Max</f>
        <v>0.23758384139309952</v>
      </c>
      <c r="CC350" s="1190">
        <f>'2025'!R\Max</f>
        <v>0.23700180062077644</v>
      </c>
      <c r="CD350" s="1190">
        <f>'2026'!R\Max</f>
        <v>0.23974193683116296</v>
      </c>
      <c r="CE350" s="1191">
        <f>'2027'!R\Max</f>
        <v>0.2394513613510543</v>
      </c>
      <c r="CF350" s="1193">
        <f>'2028'!R\Max</f>
        <v>0.23915428302870789</v>
      </c>
    </row>
    <row r="351" spans="1:84" s="6" customFormat="1" ht="11.25" x14ac:dyDescent="0.2">
      <c r="A351" s="11">
        <v>43437</v>
      </c>
      <c r="B351" s="379">
        <f>'2022'!Maxi_hp</f>
        <v>16.647333469246274</v>
      </c>
      <c r="C351" s="13">
        <f>'2022'!An_max</f>
        <v>2021</v>
      </c>
      <c r="D351" s="1045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25.70240000113845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25.619284720160067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25.804982299730181</v>
      </c>
      <c r="AZ351" s="735">
        <f t="shared" si="153"/>
        <v>25.712133509945126</v>
      </c>
      <c r="BA351" s="633">
        <f t="shared" si="150"/>
        <v>0.64769568089006879</v>
      </c>
      <c r="BC351" s="11">
        <v>43437</v>
      </c>
      <c r="BD351" s="289">
        <f>[3]!FeuilCaduc*(1-Persistant)+Persistant</f>
        <v>0.54721012245046285</v>
      </c>
      <c r="BE351" s="290">
        <f>[3]!CroissVégét</f>
        <v>0.99960804182016849</v>
      </c>
      <c r="BF351" s="804">
        <f>1+[3]!Salcycl*Ksac</f>
        <v>1.0047210122450463</v>
      </c>
      <c r="BH351" s="1036">
        <f t="shared" si="151"/>
        <v>2.0974765849305153E-2</v>
      </c>
      <c r="BI351" s="11">
        <v>44533</v>
      </c>
      <c r="BJ351" s="715">
        <v>1.5653535272064617E-3</v>
      </c>
      <c r="BK351" s="715">
        <v>3.9395568600416927E-3</v>
      </c>
      <c r="BL351" s="715">
        <v>7.9239916588059126E-3</v>
      </c>
      <c r="BM351" s="715">
        <v>1.4717605562566967E-2</v>
      </c>
      <c r="BN351" s="715">
        <v>2.7254177603223979E-2</v>
      </c>
      <c r="BO351" s="716">
        <v>4.9306569955164158E-2</v>
      </c>
      <c r="BP351" s="715">
        <v>8.4995407680219889E-2</v>
      </c>
      <c r="BQ351" s="715">
        <v>0.12686028952236841</v>
      </c>
      <c r="BR351" s="715">
        <v>0.1678842094509401</v>
      </c>
      <c r="BS351" s="715">
        <v>0.20413537339393459</v>
      </c>
      <c r="BT351" s="715">
        <v>0.23935963862114104</v>
      </c>
      <c r="BW351" s="1190">
        <f>'2019'!R\Max</f>
        <v>0.18527569537311228</v>
      </c>
      <c r="BX351" s="1190">
        <f>'2020'!R\Max</f>
        <v>5.0082254795531606E-2</v>
      </c>
      <c r="BY351" s="1190">
        <f>'2021'!R\Max</f>
        <v>0.64769568089006879</v>
      </c>
      <c r="BZ351" s="1190">
        <f>'2022'!R\Max</f>
        <v>0.40313577468550432</v>
      </c>
      <c r="CA351" s="1190">
        <f>'2023'!R\Max</f>
        <v>0.40242821556750663</v>
      </c>
      <c r="CB351" s="1190">
        <f>'2024'!R\Max</f>
        <v>0.40159792156727808</v>
      </c>
      <c r="CC351" s="1190">
        <f>'2025'!R\Max</f>
        <v>0.40076676156652064</v>
      </c>
      <c r="CD351" s="1190">
        <f>'2026'!R\Max</f>
        <v>0.40472757824865779</v>
      </c>
      <c r="CE351" s="1191">
        <f>'2027'!R\Max</f>
        <v>0.40430085363927731</v>
      </c>
      <c r="CF351" s="1193">
        <f>'2028'!R\Max</f>
        <v>0.40386414244022717</v>
      </c>
    </row>
    <row r="352" spans="1:84" s="6" customFormat="1" ht="11.25" x14ac:dyDescent="0.2">
      <c r="A352" s="11">
        <v>43438</v>
      </c>
      <c r="B352" s="379">
        <f>'2022'!Maxi_hp</f>
        <v>19.053523549254066</v>
      </c>
      <c r="C352" s="13">
        <f>'2022'!An_max</f>
        <v>2022</v>
      </c>
      <c r="D352" s="1045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25.529114868279017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25.450414488624251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25.638278856873512</v>
      </c>
      <c r="AZ352" s="735">
        <f t="shared" si="153"/>
        <v>25.54434667274888</v>
      </c>
      <c r="BA352" s="633">
        <f t="shared" si="150"/>
        <v>0.74634485557228858</v>
      </c>
      <c r="BC352" s="11">
        <v>43438</v>
      </c>
      <c r="BD352" s="289">
        <f>[3]!FeuilCaduc*(1-Persistant)+Persistant</f>
        <v>0.54406611088876966</v>
      </c>
      <c r="BE352" s="290">
        <f>[3]!CroissVégét</f>
        <v>0.99963713826343847</v>
      </c>
      <c r="BF352" s="804">
        <f>1+[3]!Salcycl*Ksac</f>
        <v>1.004406611088877</v>
      </c>
      <c r="BH352" s="1036">
        <f t="shared" si="151"/>
        <v>2.099194475514048E-2</v>
      </c>
      <c r="BI352" s="11">
        <v>44534</v>
      </c>
      <c r="BJ352" s="715">
        <v>1.5828330623634981E-3</v>
      </c>
      <c r="BK352" s="715">
        <v>4.0712764003978654E-3</v>
      </c>
      <c r="BL352" s="715">
        <v>8.0232659659710756E-3</v>
      </c>
      <c r="BM352" s="715">
        <v>1.470999819646731E-2</v>
      </c>
      <c r="BN352" s="715">
        <v>2.7296230924959159E-2</v>
      </c>
      <c r="BO352" s="716">
        <v>4.9863934498800284E-2</v>
      </c>
      <c r="BP352" s="715">
        <v>8.587557766601267E-2</v>
      </c>
      <c r="BQ352" s="715">
        <v>0.12727003699457956</v>
      </c>
      <c r="BR352" s="715">
        <v>0.16726931316655103</v>
      </c>
      <c r="BS352" s="715">
        <v>0.20268630814268937</v>
      </c>
      <c r="BT352" s="715">
        <v>0.23766087579400336</v>
      </c>
      <c r="BW352" s="1190">
        <f>'2019'!R\Max</f>
        <v>0.24653354837484387</v>
      </c>
      <c r="BX352" s="1190">
        <f>'2020'!R\Max</f>
        <v>0.51151706913007422</v>
      </c>
      <c r="BY352" s="1190">
        <f>'2021'!R\Max</f>
        <v>0.28067032093704392</v>
      </c>
      <c r="BZ352" s="1190">
        <f>'2022'!R\Max</f>
        <v>0.74634485557228858</v>
      </c>
      <c r="CA352" s="1190">
        <f>'2023'!R\Max</f>
        <v>0.74578195586974561</v>
      </c>
      <c r="CB352" s="1190">
        <f>'2024'!R\Max</f>
        <v>0.74513324251654456</v>
      </c>
      <c r="CC352" s="1190">
        <f>'2025'!R\Max</f>
        <v>0.74448235592654111</v>
      </c>
      <c r="CD352" s="1190">
        <f>'2026'!R\Max</f>
        <v>0.74761677935760773</v>
      </c>
      <c r="CE352" s="1191">
        <f>'2027'!R\Max</f>
        <v>0.74727440235824549</v>
      </c>
      <c r="CF352" s="1193">
        <f>'2028'!R\Max</f>
        <v>0.74692337079661586</v>
      </c>
    </row>
    <row r="353" spans="1:84" s="6" customFormat="1" ht="11.25" x14ac:dyDescent="0.2">
      <c r="A353" s="11">
        <v>43439</v>
      </c>
      <c r="B353" s="379">
        <f>'2022'!Maxi_hp</f>
        <v>25.311808746595222</v>
      </c>
      <c r="C353" s="13">
        <f>'2022'!An_max</f>
        <v>2022</v>
      </c>
      <c r="D353" s="1045">
        <f t="shared" si="135"/>
        <v>0.9979153885063744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25.364684258933579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25.29304264076054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25.477769808391379</v>
      </c>
      <c r="AZ353" s="735">
        <f t="shared" si="153"/>
        <v>25.385406224575959</v>
      </c>
      <c r="BA353" s="633">
        <f t="shared" si="150"/>
        <v>0.9979153885063744</v>
      </c>
      <c r="BC353" s="11">
        <v>43439</v>
      </c>
      <c r="BD353" s="289">
        <f>[3]!FeuilCaduc*(1-Persistant)+Persistant</f>
        <v>0.54109239106197982</v>
      </c>
      <c r="BE353" s="290">
        <f>[3]!CroissVégét</f>
        <v>0.99966506479017636</v>
      </c>
      <c r="BF353" s="804">
        <f>1+[3]!Salcycl*Ksac</f>
        <v>1.0041092391061979</v>
      </c>
      <c r="BH353" s="1036">
        <f t="shared" si="151"/>
        <v>2.1016272054228673E-2</v>
      </c>
      <c r="BI353" s="11">
        <v>44535</v>
      </c>
      <c r="BJ353" s="715">
        <v>1.6169127309087006E-3</v>
      </c>
      <c r="BK353" s="715">
        <v>4.1987197573542401E-3</v>
      </c>
      <c r="BL353" s="715">
        <v>8.1090885959772627E-3</v>
      </c>
      <c r="BM353" s="715">
        <v>1.4688504108484665E-2</v>
      </c>
      <c r="BN353" s="715">
        <v>2.7366542559331731E-2</v>
      </c>
      <c r="BO353" s="716">
        <v>5.0443875956713569E-2</v>
      </c>
      <c r="BP353" s="715">
        <v>8.6741111742198937E-2</v>
      </c>
      <c r="BQ353" s="715">
        <v>0.12761958220839578</v>
      </c>
      <c r="BR353" s="715">
        <v>0.16663253052413726</v>
      </c>
      <c r="BS353" s="715">
        <v>0.20130569013609553</v>
      </c>
      <c r="BT353" s="715">
        <v>0.23612174163500321</v>
      </c>
      <c r="BW353" s="1190">
        <f>'2019'!R\Max</f>
        <v>0.36457799517882439</v>
      </c>
      <c r="BX353" s="1190">
        <f>'2020'!R\Max</f>
        <v>0.35630664541261248</v>
      </c>
      <c r="BY353" s="1190">
        <f>'2021'!R\Max</f>
        <v>0.40362792801129593</v>
      </c>
      <c r="BZ353" s="1190">
        <f>'2022'!R\Max</f>
        <v>0.9979153885063744</v>
      </c>
      <c r="CA353" s="1190">
        <f>'2023'!R\Max</f>
        <v>0.99790914285185339</v>
      </c>
      <c r="CB353" s="1190">
        <f>'2024'!R\Max</f>
        <v>0.99790207909472517</v>
      </c>
      <c r="CC353" s="1190">
        <f>'2025'!R\Max</f>
        <v>0.99789498008650079</v>
      </c>
      <c r="CD353" s="1190">
        <f>'2026'!R\Max</f>
        <v>0.99792957844571539</v>
      </c>
      <c r="CE353" s="1191">
        <f>'2027'!R\Max</f>
        <v>0.997925740737998</v>
      </c>
      <c r="CF353" s="1193">
        <f>'2028'!R\Max</f>
        <v>0.99792180046017442</v>
      </c>
    </row>
    <row r="354" spans="1:84" s="6" customFormat="1" ht="11.25" x14ac:dyDescent="0.2">
      <c r="A354" s="11">
        <v>43440</v>
      </c>
      <c r="B354" s="379">
        <f>'2022'!Maxi_hp</f>
        <v>18.881092862283797</v>
      </c>
      <c r="C354" s="13">
        <f>'2022'!An_max</f>
        <v>2020</v>
      </c>
      <c r="D354" s="1045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25.209766764938831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25.147733202150892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25.323899795753615</v>
      </c>
      <c r="AZ354" s="735">
        <f t="shared" si="153"/>
        <v>25.235816498952254</v>
      </c>
      <c r="BA354" s="633">
        <f t="shared" si="150"/>
        <v>0.74895944251825408</v>
      </c>
      <c r="BC354" s="11">
        <v>43440</v>
      </c>
      <c r="BD354" s="289">
        <f>[3]!FeuilCaduc*(1-Persistant)+Persistant</f>
        <v>0.53828515914463693</v>
      </c>
      <c r="BE354" s="290">
        <f>[3]!CroissVégét</f>
        <v>0.9996918683792223</v>
      </c>
      <c r="BF354" s="804">
        <f>1+[3]!Salcycl*Ksac</f>
        <v>1.0038285159144638</v>
      </c>
      <c r="BH354" s="1036">
        <f t="shared" si="151"/>
        <v>2.1047791699946177E-2</v>
      </c>
      <c r="BI354" s="11">
        <v>44536</v>
      </c>
      <c r="BJ354" s="715">
        <v>1.6675968127266632E-3</v>
      </c>
      <c r="BK354" s="715">
        <v>4.3218931576231977E-3</v>
      </c>
      <c r="BL354" s="715">
        <v>8.1814737837288213E-3</v>
      </c>
      <c r="BM354" s="715">
        <v>1.4653152971385345E-2</v>
      </c>
      <c r="BN354" s="715">
        <v>2.7465170791112426E-2</v>
      </c>
      <c r="BO354" s="716">
        <v>5.1046491613820716E-2</v>
      </c>
      <c r="BP354" s="715">
        <v>8.7592174611306542E-2</v>
      </c>
      <c r="BQ354" s="715">
        <v>0.1279091794351539</v>
      </c>
      <c r="BR354" s="715">
        <v>0.16597421682873012</v>
      </c>
      <c r="BS354" s="715">
        <v>0.19999396729292598</v>
      </c>
      <c r="BT354" s="715">
        <v>0.23474276728833485</v>
      </c>
      <c r="BW354" s="1190">
        <f>'2019'!R\Max</f>
        <v>0.3597999638181944</v>
      </c>
      <c r="BX354" s="1190">
        <f>'2020'!R\Max</f>
        <v>0.74895944251825408</v>
      </c>
      <c r="BY354" s="1190">
        <f>'2021'!R\Max</f>
        <v>0.50169963633716552</v>
      </c>
      <c r="BZ354" s="1190">
        <f>'2022'!R\Max</f>
        <v>0.4916650001685936</v>
      </c>
      <c r="CA354" s="1190">
        <f>'2023'!R\Max</f>
        <v>0.49090989687069303</v>
      </c>
      <c r="CB354" s="1190">
        <f>'2024'!R\Max</f>
        <v>0.49007600953485592</v>
      </c>
      <c r="CC354" s="1190">
        <f>'2025'!R\Max</f>
        <v>0.48924088345133138</v>
      </c>
      <c r="CD354" s="1190">
        <f>'2026'!R\Max</f>
        <v>0.49340342377940821</v>
      </c>
      <c r="CE354" s="1191">
        <f>'2027'!R\Max</f>
        <v>0.49292915395349857</v>
      </c>
      <c r="CF354" s="1193">
        <f>'2028'!R\Max</f>
        <v>0.49244297240179447</v>
      </c>
    </row>
    <row r="355" spans="1:84" s="6" customFormat="1" ht="11.25" x14ac:dyDescent="0.2">
      <c r="A355" s="11">
        <v>43441</v>
      </c>
      <c r="B355" s="379">
        <f>'2022'!Maxi_hp</f>
        <v>22.409348727529608</v>
      </c>
      <c r="C355" s="13">
        <f>'2022'!An_max</f>
        <v>2022</v>
      </c>
      <c r="D355" s="1045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25.065020991276416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25.015050192975572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25.17711345026536</v>
      </c>
      <c r="AZ355" s="735">
        <f t="shared" si="153"/>
        <v>25.096081821620466</v>
      </c>
      <c r="BA355" s="633">
        <f t="shared" si="150"/>
        <v>0.89404867186542214</v>
      </c>
      <c r="BC355" s="11">
        <v>43441</v>
      </c>
      <c r="BD355" s="289">
        <f>[3]!FeuilCaduc*(1-Persistant)+Persistant</f>
        <v>0.53564018241365929</v>
      </c>
      <c r="BE355" s="290">
        <f>[3]!CroissVégét</f>
        <v>0.99971759412779237</v>
      </c>
      <c r="BF355" s="804">
        <f>1+[3]!Salcycl*Ksac</f>
        <v>1.0035640182413659</v>
      </c>
      <c r="BH355" s="1036">
        <f t="shared" si="151"/>
        <v>2.1086547690983337E-2</v>
      </c>
      <c r="BI355" s="11">
        <v>44537</v>
      </c>
      <c r="BJ355" s="715">
        <v>1.7348895242067046E-3</v>
      </c>
      <c r="BK355" s="715">
        <v>4.440803975726766E-3</v>
      </c>
      <c r="BL355" s="715">
        <v>8.2404367557014409E-3</v>
      </c>
      <c r="BM355" s="715">
        <v>1.460397456338134E-2</v>
      </c>
      <c r="BN355" s="715">
        <v>2.7592173890040237E-2</v>
      </c>
      <c r="BO355" s="716">
        <v>5.1671883089326492E-2</v>
      </c>
      <c r="BP355" s="715">
        <v>8.8428938448762096E-2</v>
      </c>
      <c r="BQ355" s="715">
        <v>0.12813908706220034</v>
      </c>
      <c r="BR355" s="715">
        <v>0.16529472248226912</v>
      </c>
      <c r="BS355" s="715">
        <v>0.19875157454318129</v>
      </c>
      <c r="BT355" s="715">
        <v>0.23352446767506932</v>
      </c>
      <c r="BW355" s="1190">
        <f>'2019'!R\Max</f>
        <v>0.6231499595984471</v>
      </c>
      <c r="BX355" s="1190">
        <f>'2020'!R\Max</f>
        <v>0.52561694065477582</v>
      </c>
      <c r="BY355" s="1190">
        <f>'2021'!R\Max</f>
        <v>0.23537398808186599</v>
      </c>
      <c r="BZ355" s="1190">
        <f>'2022'!R\Max</f>
        <v>0.89404867186542214</v>
      </c>
      <c r="CA355" s="1190">
        <f>'2023'!R\Max</f>
        <v>0.89376021855195786</v>
      </c>
      <c r="CB355" s="1190">
        <f>'2024'!R\Max</f>
        <v>0.89344746022835086</v>
      </c>
      <c r="CC355" s="1190">
        <f>'2025'!R\Max</f>
        <v>0.89313342318271871</v>
      </c>
      <c r="CD355" s="1190">
        <f>'2026'!R\Max</f>
        <v>0.89471574373031915</v>
      </c>
      <c r="CE355" s="1191">
        <f>'2027'!R\Max</f>
        <v>0.8945329705159023</v>
      </c>
      <c r="CF355" s="1193">
        <f>'2028'!R\Max</f>
        <v>0.89434527096307204</v>
      </c>
    </row>
    <row r="356" spans="1:84" s="6" customFormat="1" ht="11.25" x14ac:dyDescent="0.2">
      <c r="A356" s="11">
        <v>43442</v>
      </c>
      <c r="B356" s="379">
        <f>'2022'!Maxi_hp</f>
        <v>17.076709643331426</v>
      </c>
      <c r="C356" s="13">
        <f>'2022'!An_max</f>
        <v>2018</v>
      </c>
      <c r="D356" s="1045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24.931105540267058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24.895557640865444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25.03785541164023</v>
      </c>
      <c r="AZ356" s="735">
        <f t="shared" si="153"/>
        <v>24.966706526252835</v>
      </c>
      <c r="BA356" s="633">
        <f t="shared" si="150"/>
        <v>0.68495597260018271</v>
      </c>
      <c r="BC356" s="11">
        <v>43442</v>
      </c>
      <c r="BD356" s="289">
        <f>[3]!FeuilCaduc*(1-Persistant)+Persistant</f>
        <v>0.53315283581999529</v>
      </c>
      <c r="BE356" s="290">
        <f>[3]!CroissVégét</f>
        <v>0.99974228532646048</v>
      </c>
      <c r="BF356" s="804">
        <f>1+[3]!Salcycl*Ksac</f>
        <v>1.0033152835819996</v>
      </c>
      <c r="BH356" s="1036">
        <f t="shared" si="151"/>
        <v>2.1132584222764955E-2</v>
      </c>
      <c r="BI356" s="11">
        <v>44538</v>
      </c>
      <c r="BJ356" s="715">
        <v>1.8187953635873607E-3</v>
      </c>
      <c r="BK356" s="715">
        <v>4.5554606454534371E-3</v>
      </c>
      <c r="BL356" s="715">
        <v>8.2859934511916259E-3</v>
      </c>
      <c r="BM356" s="715">
        <v>1.4540998481373068E-2</v>
      </c>
      <c r="BN356" s="715">
        <v>2.7747610701979054E-2</v>
      </c>
      <c r="BO356" s="716">
        <v>5.2320156812082762E-2</v>
      </c>
      <c r="BP356" s="715">
        <v>8.9251582608898275E-2</v>
      </c>
      <c r="BQ356" s="715">
        <v>0.12830956635764126</v>
      </c>
      <c r="BR356" s="715">
        <v>0.16459439255176075</v>
      </c>
      <c r="BS356" s="715">
        <v>0.19757893528035941</v>
      </c>
      <c r="BT356" s="715">
        <v>0.23246734484631984</v>
      </c>
      <c r="BW356" s="1190">
        <f>'2019'!R\Max</f>
        <v>0.68495597260018271</v>
      </c>
      <c r="BX356" s="1190">
        <f>'2020'!R\Max</f>
        <v>0.11327212671559318</v>
      </c>
      <c r="BY356" s="1190">
        <f>'2021'!R\Max</f>
        <v>0.41613618787503243</v>
      </c>
      <c r="BZ356" s="1190">
        <f>'2022'!R\Max</f>
        <v>0.17966886004610769</v>
      </c>
      <c r="CA356" s="1190">
        <f>'2023'!R\Max</f>
        <v>0.17928352522629559</v>
      </c>
      <c r="CB356" s="1190">
        <f>'2024'!R\Max</f>
        <v>0.17887604745695637</v>
      </c>
      <c r="CC356" s="1190">
        <f>'2025'!R\Max</f>
        <v>0.17846852457352247</v>
      </c>
      <c r="CD356" s="1190">
        <f>'2026'!R\Max</f>
        <v>0.1805733478196512</v>
      </c>
      <c r="CE356" s="1191">
        <f>'2027'!R\Max</f>
        <v>0.18032313070194969</v>
      </c>
      <c r="CF356" s="1193">
        <f>'2028'!R\Max</f>
        <v>0.18006674586374299</v>
      </c>
    </row>
    <row r="357" spans="1:84" s="6" customFormat="1" ht="11.25" x14ac:dyDescent="0.2">
      <c r="A357" s="11">
        <v>43443</v>
      </c>
      <c r="B357" s="379">
        <f>'2022'!Maxi_hp</f>
        <v>11.827516861952027</v>
      </c>
      <c r="C357" s="13">
        <f>'2022'!An_max</f>
        <v>2018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24.808679008430669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24.789819567065152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24.90657031610608</v>
      </c>
      <c r="AZ357" s="735">
        <f t="shared" si="153"/>
        <v>24.848194941585618</v>
      </c>
      <c r="BA357" s="633">
        <f t="shared" si="150"/>
        <v>0.47674915935397899</v>
      </c>
      <c r="BC357" s="11">
        <v>43443</v>
      </c>
      <c r="BD357" s="289">
        <f>[3]!FeuilCaduc*(1-Persistant)+Persistant</f>
        <v>0.53081814020552298</v>
      </c>
      <c r="BE357" s="290">
        <f>[3]!CroissVégét</f>
        <v>0.99976598353118062</v>
      </c>
      <c r="BF357" s="804">
        <f>1+[3]!Salcycl*Ksac</f>
        <v>1.0030818140205524</v>
      </c>
      <c r="BH357" s="1036">
        <f t="shared" si="151"/>
        <v>2.1185945838854997E-2</v>
      </c>
      <c r="BI357" s="11">
        <v>44539</v>
      </c>
      <c r="BJ357" s="715">
        <v>1.919319456300958E-3</v>
      </c>
      <c r="BK357" s="715">
        <v>4.6658725713140748E-3</v>
      </c>
      <c r="BL357" s="715">
        <v>8.318160243560949E-3</v>
      </c>
      <c r="BM357" s="715">
        <v>1.4464253854179465E-2</v>
      </c>
      <c r="BN357" s="715">
        <v>2.7931541240055174E-2</v>
      </c>
      <c r="BO357" s="716">
        <v>5.2991424495920099E-2</v>
      </c>
      <c r="BP357" s="715">
        <v>9.0060293330909355E-2</v>
      </c>
      <c r="BQ357" s="715">
        <v>0.12842088023499648</v>
      </c>
      <c r="BR357" s="715">
        <v>0.16387356633729139</v>
      </c>
      <c r="BS357" s="715">
        <v>0.19647646281353989</v>
      </c>
      <c r="BT357" s="715">
        <v>0.23157189133619493</v>
      </c>
      <c r="BW357" s="1190">
        <f>'2019'!R\Max</f>
        <v>0.47674915935397899</v>
      </c>
      <c r="BX357" s="1190">
        <f>'2020'!R\Max</f>
        <v>0.37529251982155698</v>
      </c>
      <c r="BY357" s="1190">
        <f>'2021'!R\Max</f>
        <v>0.34592283217900027</v>
      </c>
      <c r="BZ357" s="1190">
        <f>'2022'!R\Max</f>
        <v>0.22037198815600889</v>
      </c>
      <c r="CA357" s="1190">
        <f>'2023'!R\Max</f>
        <v>0.21989730586786102</v>
      </c>
      <c r="CB357" s="1190">
        <f>'2024'!R\Max</f>
        <v>0.21940611583254196</v>
      </c>
      <c r="CC357" s="1190">
        <f>'2025'!R\Max</f>
        <v>0.21891489255709251</v>
      </c>
      <c r="CD357" s="1190">
        <f>'2026'!R\Max</f>
        <v>0.22149648631184013</v>
      </c>
      <c r="CE357" s="1191">
        <f>'2027'!R\Max</f>
        <v>0.22118330117522769</v>
      </c>
      <c r="CF357" s="1193">
        <f>'2028'!R\Max</f>
        <v>0.22086239894382789</v>
      </c>
    </row>
    <row r="358" spans="1:84" s="6" customFormat="1" ht="11.25" x14ac:dyDescent="0.2">
      <c r="A358" s="11">
        <v>43444</v>
      </c>
      <c r="B358" s="379">
        <f>'2022'!Maxi_hp</f>
        <v>21.581579026303849</v>
      </c>
      <c r="C358" s="13">
        <f>'2022'!An_max</f>
        <v>2018</v>
      </c>
      <c r="D358" s="1045" t="str">
        <f t="shared" si="135"/>
        <v/>
      </c>
      <c r="E358" s="1040">
        <f>AL$13/10</f>
        <v>24.698399999999999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24.698400001227856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24.698399998247623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24.78370279930532</v>
      </c>
      <c r="AZ358" s="735">
        <f t="shared" si="153"/>
        <v>24.74105139877647</v>
      </c>
      <c r="BA358" s="633">
        <f t="shared" si="150"/>
        <v>0.87380474140960318</v>
      </c>
      <c r="BC358" s="11">
        <v>43444</v>
      </c>
      <c r="BD358" s="289">
        <f>[3]!FeuilCaduc*(1-Persistant)+Persistant</f>
        <v>0.52863080185378175</v>
      </c>
      <c r="BE358" s="290">
        <f>[3]!CroissVégét</f>
        <v>0.9997887286324697</v>
      </c>
      <c r="BF358" s="804">
        <f>1+[3]!Salcycl*Ksac</f>
        <v>1.0028630801853782</v>
      </c>
      <c r="BH358" s="1036">
        <f t="shared" si="151"/>
        <v>2.1246677582106098E-2</v>
      </c>
      <c r="BI358" s="11">
        <v>44540</v>
      </c>
      <c r="BJ358" s="715">
        <v>2.0364679002960497E-3</v>
      </c>
      <c r="BK358" s="715">
        <v>4.7720500399422144E-3</v>
      </c>
      <c r="BL358" s="715">
        <v>8.3369536613798964E-3</v>
      </c>
      <c r="BM358" s="715">
        <v>1.4373769055592756E-2</v>
      </c>
      <c r="BN358" s="715">
        <v>2.8144027275459515E-2</v>
      </c>
      <c r="BO358" s="716">
        <v>5.3685803614345155E-2</v>
      </c>
      <c r="BP358" s="715">
        <v>9.0855263443725368E-2</v>
      </c>
      <c r="BQ358" s="715">
        <v>0.12847329201630323</v>
      </c>
      <c r="BR358" s="715">
        <v>0.16313257693805813</v>
      </c>
      <c r="BS358" s="715">
        <v>0.19544456181709155</v>
      </c>
      <c r="BT358" s="715">
        <v>0.23083859351195454</v>
      </c>
      <c r="BW358" s="1190">
        <f>'2019'!R\Max</f>
        <v>0.87380474140960318</v>
      </c>
      <c r="BX358" s="1190">
        <f>'2020'!R\Max</f>
        <v>0.3600932187473585</v>
      </c>
      <c r="BY358" s="1190">
        <f>'2021'!R\Max</f>
        <v>9.0830206074091549E-2</v>
      </c>
      <c r="BZ358" s="1190">
        <f>'2022'!R\Max</f>
        <v>0.53696583388300168</v>
      </c>
      <c r="CA358" s="1190">
        <f>'2023'!R\Max</f>
        <v>0.53619973293596568</v>
      </c>
      <c r="CB358" s="1190">
        <f>'2024'!R\Max</f>
        <v>0.53542325651054412</v>
      </c>
      <c r="CC358" s="1190">
        <f>'2025'!R\Max</f>
        <v>0.53464560381724757</v>
      </c>
      <c r="CD358" s="1190">
        <f>'2026'!R\Max</f>
        <v>0.5387934861023097</v>
      </c>
      <c r="CE358" s="1191">
        <f>'2027'!R\Max</f>
        <v>0.53828157729947768</v>
      </c>
      <c r="CF358" s="1193">
        <f>'2028'!R\Max</f>
        <v>0.53775658538660198</v>
      </c>
    </row>
    <row r="359" spans="1:84" s="6" customFormat="1" ht="11.25" x14ac:dyDescent="0.2">
      <c r="A359" s="11">
        <v>43445</v>
      </c>
      <c r="B359" s="379">
        <f>'2022'!Maxi_hp</f>
        <v>19.016268227893452</v>
      </c>
      <c r="C359" s="13">
        <f>'2022'!An_max</f>
        <v>2022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24.598150521836111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24.619312771024376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24.669697500020266</v>
      </c>
      <c r="AZ359" s="735">
        <f t="shared" si="153"/>
        <v>24.644505135522323</v>
      </c>
      <c r="BA359" s="633">
        <f t="shared" si="150"/>
        <v>0.77307715517117648</v>
      </c>
      <c r="BC359" s="11">
        <v>43445</v>
      </c>
      <c r="BD359" s="289">
        <f>[3]!FeuilCaduc*(1-Persistant)+Persistant</f>
        <v>0.52658525305622883</v>
      </c>
      <c r="BE359" s="290">
        <f>[3]!CroissVégét</f>
        <v>0.99981055892185233</v>
      </c>
      <c r="BF359" s="804">
        <f>1+[3]!Salcycl*Ksac</f>
        <v>1.0026585253056228</v>
      </c>
      <c r="BH359" s="1036">
        <f t="shared" si="151"/>
        <v>2.1314825146140769E-2</v>
      </c>
      <c r="BI359" s="11">
        <v>44541</v>
      </c>
      <c r="BJ359" s="715">
        <v>2.1702481113877771E-3</v>
      </c>
      <c r="BK359" s="715">
        <v>4.8740041315651688E-3</v>
      </c>
      <c r="BL359" s="715">
        <v>8.3423901097016365E-3</v>
      </c>
      <c r="BM359" s="715">
        <v>1.4269571417662113E-2</v>
      </c>
      <c r="BN359" s="715">
        <v>2.8385132928684619E-2</v>
      </c>
      <c r="BO359" s="716">
        <v>5.4403417876055384E-2</v>
      </c>
      <c r="BP359" s="715">
        <v>9.163669207228288E-2</v>
      </c>
      <c r="BQ359" s="715">
        <v>0.12846706419723461</v>
      </c>
      <c r="BR359" s="715">
        <v>0.16237175082098843</v>
      </c>
      <c r="BS359" s="715">
        <v>0.19448362978349013</v>
      </c>
      <c r="BT359" s="715">
        <v>0.23026793492782319</v>
      </c>
      <c r="BW359" s="1190">
        <f>'2019'!R\Max</f>
        <v>7.9680788552110887E-2</v>
      </c>
      <c r="BX359" s="1190">
        <f>'2020'!R\Max</f>
        <v>0.19744336930695591</v>
      </c>
      <c r="BY359" s="1190">
        <f>'2021'!R\Max</f>
        <v>0.55709708025384252</v>
      </c>
      <c r="BZ359" s="1190">
        <f>'2022'!R\Max</f>
        <v>0.77307715517117648</v>
      </c>
      <c r="CA359" s="1190">
        <f>'2023'!R\Max</f>
        <v>0.77253516380777887</v>
      </c>
      <c r="CB359" s="1190">
        <f>'2024'!R\Max</f>
        <v>0.77199745888530058</v>
      </c>
      <c r="CC359" s="1190">
        <f>'2025'!R\Max</f>
        <v>0.77145820031404844</v>
      </c>
      <c r="CD359" s="1190">
        <f>'2026'!R\Max</f>
        <v>0.77437970528339684</v>
      </c>
      <c r="CE359" s="1191">
        <f>'2027'!R\Max</f>
        <v>0.77401274101083972</v>
      </c>
      <c r="CF359" s="1193">
        <f>'2028'!R\Max</f>
        <v>0.7736360855460811</v>
      </c>
    </row>
    <row r="360" spans="1:84" s="6" customFormat="1" ht="11.25" x14ac:dyDescent="0.2">
      <c r="A360" s="11">
        <v>43446</v>
      </c>
      <c r="B360" s="379">
        <f>'2022'!Maxi_hp</f>
        <v>23.902821263615333</v>
      </c>
      <c r="C360" s="13">
        <f>'2022'!An_max</f>
        <v>2021</v>
      </c>
      <c r="D360" s="1045">
        <f t="shared" si="135"/>
        <v>0.97539758339048688</v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24.505721226547443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24.550170576007201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24.564999051924264</v>
      </c>
      <c r="AZ360" s="735">
        <f t="shared" si="153"/>
        <v>24.557584813965732</v>
      </c>
      <c r="BA360" s="633">
        <f t="shared" si="150"/>
        <v>0.97539758339048688</v>
      </c>
      <c r="BC360" s="11">
        <v>43446</v>
      </c>
      <c r="BD360" s="289">
        <f>[3]!FeuilCaduc*(1-Persistant)+Persistant</f>
        <v>0.52467569337161468</v>
      </c>
      <c r="BE360" s="290">
        <f>[3]!CroissVégét</f>
        <v>0.99983151115568181</v>
      </c>
      <c r="BF360" s="804">
        <f>1+[3]!Salcycl*Ksac</f>
        <v>1.0024675693371614</v>
      </c>
      <c r="BH360" s="1036">
        <f t="shared" si="151"/>
        <v>2.1390435026609218E-2</v>
      </c>
      <c r="BI360" s="11">
        <v>44542</v>
      </c>
      <c r="BJ360" s="715">
        <v>2.3206691685886366E-3</v>
      </c>
      <c r="BK360" s="715">
        <v>4.9717466314269767E-3</v>
      </c>
      <c r="BL360" s="715">
        <v>8.3344855912484573E-3</v>
      </c>
      <c r="BM360" s="715">
        <v>1.4151686943824087E-2</v>
      </c>
      <c r="BN360" s="715">
        <v>2.8654925260467961E-2</v>
      </c>
      <c r="BO360" s="716">
        <v>5.5144397699900281E-2</v>
      </c>
      <c r="BP360" s="715">
        <v>9.2404784342852375E-2</v>
      </c>
      <c r="BQ360" s="715">
        <v>0.12840245721086388</v>
      </c>
      <c r="BR360" s="715">
        <v>0.16159140738762431</v>
      </c>
      <c r="BS360" s="715">
        <v>0.19359405847405131</v>
      </c>
      <c r="BT360" s="715">
        <v>0.22986039967634786</v>
      </c>
      <c r="BW360" s="1190">
        <f>'2019'!R\Max</f>
        <v>0.19488909006228575</v>
      </c>
      <c r="BX360" s="1190">
        <f>'2020'!R\Max</f>
        <v>0.29380659647389717</v>
      </c>
      <c r="BY360" s="1190">
        <f>'2021'!R\Max</f>
        <v>0.97539758339048688</v>
      </c>
      <c r="BZ360" s="1190">
        <f>'2022'!R\Max</f>
        <v>0.23621646481230285</v>
      </c>
      <c r="CA360" s="1190">
        <f>'2023'!R\Max</f>
        <v>0.23570456953734412</v>
      </c>
      <c r="CB360" s="1190">
        <f>'2024'!R\Max</f>
        <v>0.23520998810944879</v>
      </c>
      <c r="CC360" s="1190">
        <f>'2025'!R\Max</f>
        <v>0.23471544040581857</v>
      </c>
      <c r="CD360" s="1190">
        <f>'2026'!R\Max</f>
        <v>0.23746555214069462</v>
      </c>
      <c r="CE360" s="1191">
        <f>'2027'!R\Max</f>
        <v>0.237110180825084</v>
      </c>
      <c r="CF360" s="1193">
        <f>'2028'!R\Max</f>
        <v>0.23674625986237821</v>
      </c>
    </row>
    <row r="361" spans="1:84" s="6" customFormat="1" ht="11.25" x14ac:dyDescent="0.2">
      <c r="A361" s="11">
        <v>43447</v>
      </c>
      <c r="B361" s="379">
        <f>'2022'!Maxi_hp</f>
        <v>25.0294040728553</v>
      </c>
      <c r="C361" s="13">
        <f>'2022'!An_max</f>
        <v>2021</v>
      </c>
      <c r="D361" s="1045">
        <f t="shared" si="135"/>
        <v>1.0248865565445491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24.421633704751731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24.490935715005314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24.470052094970431</v>
      </c>
      <c r="AZ361" s="735">
        <f t="shared" si="153"/>
        <v>24.480493904987874</v>
      </c>
      <c r="BA361" s="633">
        <f t="shared" si="150"/>
        <v>1.0248865565445491</v>
      </c>
      <c r="BC361" s="11">
        <v>43447</v>
      </c>
      <c r="BD361" s="289">
        <f>[3]!FeuilCaduc*(1-Persistant)+Persistant</f>
        <v>0.52289613125482126</v>
      </c>
      <c r="BE361" s="290">
        <f>[3]!CroissVégét</f>
        <v>0.99985162061643362</v>
      </c>
      <c r="BF361" s="804">
        <f>1+[3]!Salcycl*Ksac</f>
        <v>1.0022896131254821</v>
      </c>
      <c r="BH361" s="1036">
        <f t="shared" si="151"/>
        <v>2.1466788015946245E-2</v>
      </c>
      <c r="BI361" s="11">
        <v>44543</v>
      </c>
      <c r="BJ361" s="715">
        <v>2.4653281489152011E-3</v>
      </c>
      <c r="BK361" s="715">
        <v>5.0595113552722752E-3</v>
      </c>
      <c r="BL361" s="715">
        <v>8.3240955568233445E-3</v>
      </c>
      <c r="BM361" s="715">
        <v>1.4042941383620514E-2</v>
      </c>
      <c r="BN361" s="715">
        <v>2.8917035039523493E-2</v>
      </c>
      <c r="BO361" s="716">
        <v>5.5824924444662354E-2</v>
      </c>
      <c r="BP361" s="715">
        <v>9.3096588468731478E-2</v>
      </c>
      <c r="BQ361" s="715">
        <v>0.12832136598743735</v>
      </c>
      <c r="BR361" s="715">
        <v>0.16087265925001926</v>
      </c>
      <c r="BS361" s="715">
        <v>0.19279890457285778</v>
      </c>
      <c r="BT361" s="715">
        <v>0.22952099215366886</v>
      </c>
      <c r="BW361" s="1190">
        <f>'2019'!R\Max</f>
        <v>0.10083489420494873</v>
      </c>
      <c r="BX361" s="1190">
        <f>'2020'!R\Max</f>
        <v>0.45395053173594468</v>
      </c>
      <c r="BY361" s="1190">
        <f>'2021'!R\Max</f>
        <v>1.0248865565445491</v>
      </c>
      <c r="BZ361" s="1190">
        <f>'2022'!R\Max</f>
        <v>0.23999238308742638</v>
      </c>
      <c r="CA361" s="1190">
        <f>'2023'!R\Max</f>
        <v>0.2394720900313114</v>
      </c>
      <c r="CB361" s="1190">
        <f>'2024'!R\Max</f>
        <v>0.23898031547364998</v>
      </c>
      <c r="CC361" s="1190">
        <f>'2025'!R\Max</f>
        <v>0.23848859588918647</v>
      </c>
      <c r="CD361" s="1190">
        <f>'2026'!R\Max</f>
        <v>0.24127369185489128</v>
      </c>
      <c r="CE361" s="1191">
        <f>'2027'!R\Max</f>
        <v>0.24090679007565868</v>
      </c>
      <c r="CF361" s="1193">
        <f>'2028'!R\Max</f>
        <v>0.24053116992617568</v>
      </c>
    </row>
    <row r="362" spans="1:84" s="6" customFormat="1" ht="11.25" x14ac:dyDescent="0.2">
      <c r="A362" s="11">
        <v>43448</v>
      </c>
      <c r="B362" s="379">
        <f>'2022'!Maxi_hp</f>
        <v>24.68921870882129</v>
      </c>
      <c r="C362" s="13">
        <f>'2022'!An_max</f>
        <v>2021</v>
      </c>
      <c r="D362" s="1045">
        <f t="shared" si="135"/>
        <v>1.0140804818120215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24.346409532214913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24.441570491318046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24.385301263523953</v>
      </c>
      <c r="AZ362" s="735">
        <f t="shared" si="153"/>
        <v>24.413435877421001</v>
      </c>
      <c r="BA362" s="633">
        <f t="shared" si="150"/>
        <v>1.0140804818120215</v>
      </c>
      <c r="BC362" s="11">
        <v>43448</v>
      </c>
      <c r="BD362" s="289">
        <f>[3]!FeuilCaduc*(1-Persistant)+Persistant</f>
        <v>0.52124042573307883</v>
      </c>
      <c r="BE362" s="290">
        <f>[3]!CroissVégét</f>
        <v>0.99987092117157228</v>
      </c>
      <c r="BF362" s="804">
        <f>1+[3]!Salcycl*Ksac</f>
        <v>1.0021240425733078</v>
      </c>
      <c r="BH362" s="1036">
        <f t="shared" si="151"/>
        <v>2.1543931319671587E-2</v>
      </c>
      <c r="BI362" s="11">
        <v>44544</v>
      </c>
      <c r="BJ362" s="715">
        <v>2.6042340278431483E-3</v>
      </c>
      <c r="BK362" s="715">
        <v>5.1373100813381185E-3</v>
      </c>
      <c r="BL362" s="715">
        <v>8.3112365280338385E-3</v>
      </c>
      <c r="BM362" s="715">
        <v>1.3943361765976827E-2</v>
      </c>
      <c r="BN362" s="715">
        <v>2.9171529719716451E-2</v>
      </c>
      <c r="BO362" s="716">
        <v>5.6445126646965431E-2</v>
      </c>
      <c r="BP362" s="715">
        <v>9.3712308111017648E-2</v>
      </c>
      <c r="BQ362" s="715">
        <v>0.1282240514240971</v>
      </c>
      <c r="BR362" s="715">
        <v>0.1602158264811768</v>
      </c>
      <c r="BS362" s="715">
        <v>0.19209855725051986</v>
      </c>
      <c r="BT362" s="715">
        <v>0.22925018856121288</v>
      </c>
      <c r="BW362" s="1190">
        <f>'2019'!R\Max</f>
        <v>0.77655287239523463</v>
      </c>
      <c r="BX362" s="1190">
        <f>'2020'!R\Max</f>
        <v>0.43901438901744949</v>
      </c>
      <c r="BY362" s="1190">
        <f>'2021'!R\Max</f>
        <v>1.0140804818120215</v>
      </c>
      <c r="BZ362" s="1190">
        <f>'2022'!R\Max</f>
        <v>0.77197203844956164</v>
      </c>
      <c r="CA362" s="1190">
        <f>'2023'!R\Max</f>
        <v>0.7714275785985244</v>
      </c>
      <c r="CB362" s="1190">
        <f>'2024'!R\Max</f>
        <v>0.7709218725367688</v>
      </c>
      <c r="CC362" s="1190">
        <f>'2025'!R\Max</f>
        <v>0.77041486706605855</v>
      </c>
      <c r="CD362" s="1190">
        <f>'2026'!R\Max</f>
        <v>0.77331705277830687</v>
      </c>
      <c r="CE362" s="1191">
        <f>'2027'!R\Max</f>
        <v>0.77293070211901027</v>
      </c>
      <c r="CF362" s="1193">
        <f>'2028'!R\Max</f>
        <v>0.77253445544510946</v>
      </c>
    </row>
    <row r="363" spans="1:84" s="6" customFormat="1" ht="11.25" x14ac:dyDescent="0.2">
      <c r="A363" s="11">
        <v>43449</v>
      </c>
      <c r="B363" s="379">
        <f>'2022'!Maxi_hp</f>
        <v>24.850474320764231</v>
      </c>
      <c r="C363" s="13">
        <f>'2022'!An_max</f>
        <v>2018</v>
      </c>
      <c r="D363" s="1045">
        <f t="shared" si="135"/>
        <v>1.0234716081453485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24.280570289386169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24.402037199817855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24.31119119857571</v>
      </c>
      <c r="AZ363" s="735">
        <f t="shared" si="153"/>
        <v>24.356614199196784</v>
      </c>
      <c r="BA363" s="633">
        <f t="shared" si="150"/>
        <v>1.0234716081453485</v>
      </c>
      <c r="BC363" s="11">
        <v>43449</v>
      </c>
      <c r="BD363" s="289">
        <f>[3]!FeuilCaduc*(1-Persistant)+Persistant</f>
        <v>0.51970232781182812</v>
      </c>
      <c r="BE363" s="290">
        <f>[3]!CroissVégét</f>
        <v>0.99988944533008528</v>
      </c>
      <c r="BF363" s="804">
        <f>1+[3]!Salcycl*Ksac</f>
        <v>1.0019702327811828</v>
      </c>
      <c r="BH363" s="1036">
        <f t="shared" si="151"/>
        <v>2.1621912809198084E-2</v>
      </c>
      <c r="BI363" s="11">
        <v>44545</v>
      </c>
      <c r="BJ363" s="715">
        <v>2.7373965248373849E-3</v>
      </c>
      <c r="BK363" s="715">
        <v>5.2051545231471949E-3</v>
      </c>
      <c r="BL363" s="715">
        <v>8.2959247334735576E-3</v>
      </c>
      <c r="BM363" s="715">
        <v>1.3852974919870002E-2</v>
      </c>
      <c r="BN363" s="715">
        <v>2.9418478289725835E-2</v>
      </c>
      <c r="BO363" s="716">
        <v>5.7005133655658451E-2</v>
      </c>
      <c r="BP363" s="715">
        <v>9.4252146539839085E-2</v>
      </c>
      <c r="BQ363" s="715">
        <v>0.12811077228106879</v>
      </c>
      <c r="BR363" s="715">
        <v>0.15962122784064217</v>
      </c>
      <c r="BS363" s="715">
        <v>0.19149340627954692</v>
      </c>
      <c r="BT363" s="715">
        <v>0.22904846736748072</v>
      </c>
      <c r="BW363" s="1190">
        <f>'2019'!R\Max</f>
        <v>1.0234716081453485</v>
      </c>
      <c r="BX363" s="1190">
        <f>'2020'!R\Max</f>
        <v>0.16029664821201067</v>
      </c>
      <c r="BY363" s="1190">
        <f>'2021'!R\Max</f>
        <v>0.9629561900780349</v>
      </c>
      <c r="BZ363" s="1190">
        <f>'2022'!R\Max</f>
        <v>0.26344913774225864</v>
      </c>
      <c r="CA363" s="1190">
        <f>'2023'!R\Max</f>
        <v>0.26287849357808268</v>
      </c>
      <c r="CB363" s="1190">
        <f>'2024'!R\Max</f>
        <v>0.26235966340666833</v>
      </c>
      <c r="CC363" s="1190">
        <f>'2025'!R\Max</f>
        <v>0.26184093114627671</v>
      </c>
      <c r="CD363" s="1190">
        <f>'2026'!R\Max</f>
        <v>0.2648763581166052</v>
      </c>
      <c r="CE363" s="1191">
        <f>'2027'!R\Max</f>
        <v>0.26446326719296415</v>
      </c>
      <c r="CF363" s="1193">
        <f>'2028'!R\Max</f>
        <v>0.2640406248741653</v>
      </c>
    </row>
    <row r="364" spans="1:84" s="6" customFormat="1" ht="11.25" x14ac:dyDescent="0.2">
      <c r="A364" s="11">
        <v>43450</v>
      </c>
      <c r="B364" s="379">
        <f>'2022'!Maxi_hp</f>
        <v>24.489416018785828</v>
      </c>
      <c r="C364" s="13">
        <f>'2022'!An_max</f>
        <v>2021</v>
      </c>
      <c r="D364" s="1045">
        <f t="shared" si="135"/>
        <v>1.0109301306952165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24.224637564165249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24.37229814467759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24.248166530472893</v>
      </c>
      <c r="AZ364" s="735">
        <f t="shared" si="153"/>
        <v>24.310232337575243</v>
      </c>
      <c r="BA364" s="633">
        <f t="shared" si="150"/>
        <v>1.0109301306952165</v>
      </c>
      <c r="BC364" s="11">
        <v>43450</v>
      </c>
      <c r="BD364" s="289">
        <f>[3]!FeuilCaduc*(1-Persistant)+Persistant</f>
        <v>0.51827552129958876</v>
      </c>
      <c r="BE364" s="290">
        <f>[3]!CroissVégét</f>
        <v>0.9999072242967757</v>
      </c>
      <c r="BF364" s="804">
        <f>1+[3]!Salcycl*Ksac</f>
        <v>1.0018275521299589</v>
      </c>
      <c r="BH364" s="1036">
        <f t="shared" si="151"/>
        <v>2.1700781032330505E-2</v>
      </c>
      <c r="BI364" s="11">
        <v>44546</v>
      </c>
      <c r="BJ364" s="715">
        <v>2.8648259827487674E-3</v>
      </c>
      <c r="BK364" s="715">
        <v>5.2630561207862815E-3</v>
      </c>
      <c r="BL364" s="715">
        <v>8.2781760552041051E-3</v>
      </c>
      <c r="BM364" s="715">
        <v>1.3771807661367945E-2</v>
      </c>
      <c r="BN364" s="715">
        <v>2.9657951106374831E-2</v>
      </c>
      <c r="BO364" s="716">
        <v>5.7505074361307799E-2</v>
      </c>
      <c r="BP364" s="715">
        <v>9.4716305026277814E-2</v>
      </c>
      <c r="BQ364" s="715">
        <v>0.1279817848103588</v>
      </c>
      <c r="BR364" s="715">
        <v>0.15908918202025948</v>
      </c>
      <c r="BS364" s="715">
        <v>0.19098384395542764</v>
      </c>
      <c r="BT364" s="715">
        <v>0.22891631067353366</v>
      </c>
      <c r="BW364" s="1190">
        <f>'2019'!R\Max</f>
        <v>0.60020762053449994</v>
      </c>
      <c r="BX364" s="1190">
        <f>'2020'!R\Max</f>
        <v>0.1050393671438266</v>
      </c>
      <c r="BY364" s="1190">
        <f>'2021'!R\Max</f>
        <v>1.0109301306952165</v>
      </c>
      <c r="BZ364" s="1190">
        <f>'2022'!R\Max</f>
        <v>0.23324107643973635</v>
      </c>
      <c r="CA364" s="1190">
        <f>'2023'!R\Max</f>
        <v>0.23273655106006277</v>
      </c>
      <c r="CB364" s="1190">
        <f>'2024'!R\Max</f>
        <v>0.23228542386424522</v>
      </c>
      <c r="CC364" s="1190">
        <f>'2025'!R\Max</f>
        <v>0.23183439662009958</v>
      </c>
      <c r="CD364" s="1190">
        <f>'2026'!R\Max</f>
        <v>0.23451095200521865</v>
      </c>
      <c r="CE364" s="1191">
        <f>'2027'!R\Max</f>
        <v>0.23414179672864244</v>
      </c>
      <c r="CF364" s="1193">
        <f>'2028'!R\Max</f>
        <v>0.23376423382137107</v>
      </c>
    </row>
    <row r="365" spans="1:84" s="6" customFormat="1" ht="11.25" x14ac:dyDescent="0.2">
      <c r="A365" s="11">
        <v>43451</v>
      </c>
      <c r="B365" s="379">
        <f>'2022'!Maxi_hp</f>
        <v>24.995973707121568</v>
      </c>
      <c r="C365" s="13">
        <f>'2022'!An_max</f>
        <v>2021</v>
      </c>
      <c r="D365" s="1045">
        <f t="shared" si="135"/>
        <v>1.033782881203811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24.179132931679487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24.352315623749949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24.196671899221837</v>
      </c>
      <c r="AZ365" s="735">
        <f t="shared" si="153"/>
        <v>24.274493761485893</v>
      </c>
      <c r="BA365" s="633">
        <f t="shared" si="150"/>
        <v>1.033782881203811</v>
      </c>
      <c r="BC365" s="11">
        <v>43451</v>
      </c>
      <c r="BD365" s="289">
        <f>[3]!FeuilCaduc*(1-Persistant)+Persistant</f>
        <v>0.51695366275090715</v>
      </c>
      <c r="BE365" s="290">
        <f>[3]!CroissVégét</f>
        <v>0.99992428802440059</v>
      </c>
      <c r="BF365" s="804">
        <f>1+[3]!Salcycl*Ksac</f>
        <v>1.0016953662750907</v>
      </c>
      <c r="BH365" s="1036">
        <f t="shared" si="151"/>
        <v>2.1780585224270357E-2</v>
      </c>
      <c r="BI365" s="11">
        <v>44547</v>
      </c>
      <c r="BJ365" s="715">
        <v>2.9865332472742961E-3</v>
      </c>
      <c r="BK365" s="715">
        <v>5.3110258323060683E-3</v>
      </c>
      <c r="BL365" s="715">
        <v>8.2580059754312173E-3</v>
      </c>
      <c r="BM365" s="715">
        <v>1.3699886980993883E-2</v>
      </c>
      <c r="BN365" s="715">
        <v>2.9890019728648853E-2</v>
      </c>
      <c r="BO365" s="716">
        <v>5.7945075927020508E-2</v>
      </c>
      <c r="BP365" s="715">
        <v>9.51049812364958E-2</v>
      </c>
      <c r="BQ365" s="715">
        <v>0.12783734238745167</v>
      </c>
      <c r="BR365" s="715">
        <v>0.1586200088936717</v>
      </c>
      <c r="BS365" s="715">
        <v>0.1905702670222007</v>
      </c>
      <c r="BT365" s="715">
        <v>0.22885420558384612</v>
      </c>
      <c r="BW365" s="1190">
        <f>'2019'!R\Max</f>
        <v>0.53749158074598857</v>
      </c>
      <c r="BX365" s="1190">
        <f>'2020'!R\Max</f>
        <v>0.74977318168309592</v>
      </c>
      <c r="BY365" s="1190">
        <f>'2021'!R\Max</f>
        <v>1.033782881203811</v>
      </c>
      <c r="BZ365" s="1190">
        <f>'2022'!R\Max</f>
        <v>0.15843765261275852</v>
      </c>
      <c r="CA365" s="1190">
        <f>'2023'!R\Max</f>
        <v>0.15809562633023527</v>
      </c>
      <c r="CB365" s="1190">
        <f>'2024'!R\Max</f>
        <v>0.15779427649806271</v>
      </c>
      <c r="CC365" s="1190">
        <f>'2025'!R\Max</f>
        <v>0.15749300210811379</v>
      </c>
      <c r="CD365" s="1190">
        <f>'2026'!R\Max</f>
        <v>0.15930321628766975</v>
      </c>
      <c r="CE365" s="1191">
        <f>'2027'!R\Max</f>
        <v>0.15905065248008263</v>
      </c>
      <c r="CF365" s="1193">
        <f>'2028'!R\Max</f>
        <v>0.15879242882483921</v>
      </c>
    </row>
    <row r="366" spans="1:84" s="6" customFormat="1" ht="11.25" x14ac:dyDescent="0.2">
      <c r="A366" s="11">
        <v>43452</v>
      </c>
      <c r="B366" s="379">
        <f>'2022'!Maxi_hp</f>
        <v>25.161787004742354</v>
      </c>
      <c r="C366" s="13">
        <f>'2022'!An_max</f>
        <v>2021</v>
      </c>
      <c r="D366" s="1045">
        <f t="shared" si="135"/>
        <v>1.0421299155160051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24.144577974506785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24.342051942697886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24.157151943445207</v>
      </c>
      <c r="AZ366" s="735">
        <f t="shared" si="153"/>
        <v>24.249601943071546</v>
      </c>
      <c r="BA366" s="633">
        <f t="shared" si="150"/>
        <v>1.0421299155160051</v>
      </c>
      <c r="BC366" s="11">
        <v>43452</v>
      </c>
      <c r="BD366" s="289">
        <f>[3]!FeuilCaduc*(1-Persistant)+Persistant</f>
        <v>0.51573042023871185</v>
      </c>
      <c r="BE366" s="290">
        <f>[3]!CroissVégét</f>
        <v>0.99994066526373915</v>
      </c>
      <c r="BF366" s="804">
        <f>1+[3]!Salcycl*Ksac</f>
        <v>1.0015730420238711</v>
      </c>
      <c r="BH366" s="1036">
        <f t="shared" si="151"/>
        <v>2.1852730175203356E-2</v>
      </c>
      <c r="BI366" s="11">
        <v>44548</v>
      </c>
      <c r="BJ366" s="715">
        <v>3.0896865283321744E-3</v>
      </c>
      <c r="BK366" s="715">
        <v>5.3449272011691215E-3</v>
      </c>
      <c r="BL366" s="715">
        <v>8.2380637173211559E-3</v>
      </c>
      <c r="BM366" s="715">
        <v>1.3644409514252458E-2</v>
      </c>
      <c r="BN366" s="715">
        <v>3.009024094307583E-2</v>
      </c>
      <c r="BO366" s="716">
        <v>5.8283901577034357E-2</v>
      </c>
      <c r="BP366" s="715">
        <v>9.5384994558828221E-2</v>
      </c>
      <c r="BQ366" s="715">
        <v>0.1276973796050567</v>
      </c>
      <c r="BR366" s="715">
        <v>0.15826155388514507</v>
      </c>
      <c r="BS366" s="715">
        <v>0.19029122252638372</v>
      </c>
      <c r="BT366" s="715">
        <v>0.22886519131019745</v>
      </c>
      <c r="BW366" s="1190">
        <f>'2019'!R\Max</f>
        <v>0.79025894915555794</v>
      </c>
      <c r="BX366" s="1190">
        <f>'2020'!R\Max</f>
        <v>0.39018500049799798</v>
      </c>
      <c r="BY366" s="1190">
        <f>'2021'!R\Max</f>
        <v>1.0421299155160051</v>
      </c>
      <c r="BZ366" s="1190">
        <f>'2022'!R\Max</f>
        <v>0.95213829028243036</v>
      </c>
      <c r="CA366" s="1190">
        <f>'2023'!R\Max</f>
        <v>0.95199820282516723</v>
      </c>
      <c r="CB366" s="1190">
        <f>'2024'!R\Max</f>
        <v>0.95187570361649088</v>
      </c>
      <c r="CC366" s="1190">
        <f>'2025'!R\Max</f>
        <v>0.95175280725722045</v>
      </c>
      <c r="CD366" s="1190">
        <f>'2026'!R\Max</f>
        <v>0.952491730784922</v>
      </c>
      <c r="CE366" s="1191">
        <f>'2027'!R\Max</f>
        <v>0.95238868241933594</v>
      </c>
      <c r="CF366" s="1193">
        <f>'2028'!R\Max</f>
        <v>0.95228304324075264</v>
      </c>
    </row>
    <row r="367" spans="1:84" s="6" customFormat="1" ht="11.25" x14ac:dyDescent="0.2">
      <c r="A367" s="11">
        <v>43453</v>
      </c>
      <c r="B367" s="379">
        <f>'2022'!Maxi_hp</f>
        <v>24.884744497458982</v>
      </c>
      <c r="C367" s="13">
        <f>'2022'!An_max</f>
        <v>2021</v>
      </c>
      <c r="D367" s="1045">
        <f t="shared" si="135"/>
        <v>1.0316419128835221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24.121494276928047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24.341469395366211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24.130051295006915</v>
      </c>
      <c r="AZ367" s="735">
        <f t="shared" si="153"/>
        <v>24.235760345186563</v>
      </c>
      <c r="BA367" s="633">
        <f t="shared" si="150"/>
        <v>1.0316419128835221</v>
      </c>
      <c r="BC367" s="11">
        <v>43453</v>
      </c>
      <c r="BD367" s="289">
        <f>[3]!FeuilCaduc*(1-Persistant)+Persistant</f>
        <v>0.51459951068204202</v>
      </c>
      <c r="BE367" s="290">
        <f>[3]!CroissVégét</f>
        <v>0.99995638361167161</v>
      </c>
      <c r="BF367" s="804">
        <f>1+[3]!Salcycl*Ksac</f>
        <v>1.0014599510682043</v>
      </c>
      <c r="BH367" s="1036">
        <f t="shared" si="151"/>
        <v>2.1908101769020506E-2</v>
      </c>
      <c r="BI367" s="11">
        <v>44549</v>
      </c>
      <c r="BJ367" s="715">
        <v>3.1672507373637264E-3</v>
      </c>
      <c r="BK367" s="715">
        <v>5.3706657328233169E-3</v>
      </c>
      <c r="BL367" s="715">
        <v>8.2235726112766302E-3</v>
      </c>
      <c r="BM367" s="715">
        <v>1.3603567552693116E-2</v>
      </c>
      <c r="BN367" s="715">
        <v>3.024216824312892E-2</v>
      </c>
      <c r="BO367" s="716">
        <v>5.8541421665157932E-2</v>
      </c>
      <c r="BP367" s="715">
        <v>9.5600509131033393E-2</v>
      </c>
      <c r="BQ367" s="715">
        <v>0.12759966220214322</v>
      </c>
      <c r="BR367" s="715">
        <v>0.15800166252630085</v>
      </c>
      <c r="BS367" s="715">
        <v>0.19009273420091657</v>
      </c>
      <c r="BT367" s="715">
        <v>0.22888649107800468</v>
      </c>
      <c r="BW367" s="1190">
        <f>'2019'!R\Max</f>
        <v>0.45649846160290392</v>
      </c>
      <c r="BX367" s="1190">
        <f>'2020'!R\Max</f>
        <v>0.4978267952358521</v>
      </c>
      <c r="BY367" s="1190">
        <f>'2021'!R\Max</f>
        <v>1.0316419128835221</v>
      </c>
      <c r="BZ367" s="1190">
        <f>'2022'!R\Max</f>
        <v>0.81003302878664907</v>
      </c>
      <c r="CA367" s="1190">
        <f>'2023'!R\Max</f>
        <v>0.80956132008464088</v>
      </c>
      <c r="CB367" s="1190">
        <f>'2024'!R\Max</f>
        <v>0.80915270665970651</v>
      </c>
      <c r="CC367" s="1190">
        <f>'2025'!R\Max</f>
        <v>0.80874310051110965</v>
      </c>
      <c r="CD367" s="1190">
        <f>'2026'!R\Max</f>
        <v>0.81122860812100761</v>
      </c>
      <c r="CE367" s="1191">
        <f>'2027'!R\Max</f>
        <v>0.81087902602258466</v>
      </c>
      <c r="CF367" s="1193">
        <f>'2028'!R\Max</f>
        <v>0.81052097617359387</v>
      </c>
    </row>
    <row r="368" spans="1:84" s="6" customFormat="1" ht="11.25" x14ac:dyDescent="0.2">
      <c r="A368" s="11">
        <v>43454</v>
      </c>
      <c r="B368" s="379">
        <f>'2022'!Maxi_hp</f>
        <v>24.174700505084488</v>
      </c>
      <c r="C368" s="13">
        <f>'2022'!An_max</f>
        <v>2021</v>
      </c>
      <c r="D368" s="1045">
        <f t="shared" si="135"/>
        <v>1.0026667776975977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24.110403418966701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24.350530284643174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24.115814598117559</v>
      </c>
      <c r="AZ368" s="735">
        <f t="shared" si="153"/>
        <v>24.233172441380368</v>
      </c>
      <c r="BA368" s="633">
        <f t="shared" si="150"/>
        <v>1.0026667776975977</v>
      </c>
      <c r="BC368" s="11">
        <v>43454</v>
      </c>
      <c r="BD368" s="289">
        <f>[3]!FeuilCaduc*(1-Persistant)+Persistant</f>
        <v>0.51355473547198693</v>
      </c>
      <c r="BE368" s="290">
        <f>[3]!CroissVégét</f>
        <v>0.99997146955734828</v>
      </c>
      <c r="BF368" s="804">
        <f>1+[3]!Salcycl*Ksac</f>
        <v>1.0013554735471988</v>
      </c>
      <c r="BH368" s="1036">
        <f t="shared" si="151"/>
        <v>2.1946740852487302E-2</v>
      </c>
      <c r="BI368" s="11">
        <v>44550</v>
      </c>
      <c r="BJ368" s="715">
        <v>3.2192255258168272E-3</v>
      </c>
      <c r="BK368" s="715">
        <v>5.3882503470033503E-3</v>
      </c>
      <c r="BL368" s="715">
        <v>8.2145511613058511E-3</v>
      </c>
      <c r="BM368" s="715">
        <v>1.3577393222704391E-2</v>
      </c>
      <c r="BN368" s="715">
        <v>3.0345851226961634E-2</v>
      </c>
      <c r="BO368" s="716">
        <v>5.8717735489456052E-2</v>
      </c>
      <c r="BP368" s="715">
        <v>9.5751705543882196E-2</v>
      </c>
      <c r="BQ368" s="715">
        <v>0.12754446586316684</v>
      </c>
      <c r="BR368" s="715">
        <v>0.15784068867355475</v>
      </c>
      <c r="BS368" s="715">
        <v>0.18997521750634971</v>
      </c>
      <c r="BT368" s="715">
        <v>0.2289185817321846</v>
      </c>
      <c r="BW368" s="1190">
        <f>'2019'!R\Max</f>
        <v>0.36962654238960319</v>
      </c>
      <c r="BX368" s="1190">
        <f>'2020'!R\Max</f>
        <v>0.38619243017617116</v>
      </c>
      <c r="BY368" s="1190">
        <f>'2021'!R\Max</f>
        <v>1.0026667776975977</v>
      </c>
      <c r="BZ368" s="1190">
        <f>'2022'!R\Max</f>
        <v>0.20562541110397586</v>
      </c>
      <c r="CA368" s="1190">
        <f>'2023'!R\Max</f>
        <v>0.20518466148585079</v>
      </c>
      <c r="CB368" s="1190">
        <f>'2024'!R\Max</f>
        <v>0.20480617615268737</v>
      </c>
      <c r="CC368" s="1190">
        <f>'2025'!R\Max</f>
        <v>0.20442780335200539</v>
      </c>
      <c r="CD368" s="1190">
        <f>'2026'!R\Max</f>
        <v>0.20675101960876746</v>
      </c>
      <c r="CE368" s="1191">
        <f>'2027'!R\Max</f>
        <v>0.20642050993896216</v>
      </c>
      <c r="CF368" s="1193">
        <f>'2028'!R\Max</f>
        <v>0.20608284975465554</v>
      </c>
    </row>
    <row r="369" spans="1:84" s="6" customFormat="1" ht="11.25" x14ac:dyDescent="0.2">
      <c r="A369" s="11">
        <v>43455</v>
      </c>
      <c r="B369" s="379">
        <f>'2022'!Maxi_hp</f>
        <v>22.834906208285311</v>
      </c>
      <c r="C369" s="13">
        <f>'2022'!An_max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24.111826979368924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24.369196914855774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24.114886481527769</v>
      </c>
      <c r="AZ369" s="735">
        <f t="shared" si="153"/>
        <v>24.24204169819177</v>
      </c>
      <c r="BA369" s="633">
        <f t="shared" si="150"/>
        <v>0.94704172470314263</v>
      </c>
      <c r="BC369" s="11">
        <v>43455</v>
      </c>
      <c r="BD369" s="289">
        <f>[3]!FeuilCaduc*(1-Persistant)+Persistant</f>
        <v>0.51259001415760874</v>
      </c>
      <c r="BE369" s="290">
        <f>[3]!CroissVégét</f>
        <v>0.99998594852652212</v>
      </c>
      <c r="BF369" s="804">
        <f>1+[3]!Salcycl*Ksac</f>
        <v>1.001259001415761</v>
      </c>
      <c r="BH369" s="1036">
        <f t="shared" si="151"/>
        <v>2.1968686046884699E-2</v>
      </c>
      <c r="BI369" s="11">
        <v>44551</v>
      </c>
      <c r="BJ369" s="715">
        <v>3.2456072383249515E-3</v>
      </c>
      <c r="BK369" s="715">
        <v>5.3976888958491365E-3</v>
      </c>
      <c r="BL369" s="715">
        <v>8.211018549875871E-3</v>
      </c>
      <c r="BM369" s="715">
        <v>1.3565920496978447E-2</v>
      </c>
      <c r="BN369" s="715">
        <v>3.0401333180974859E-2</v>
      </c>
      <c r="BO369" s="716">
        <v>5.8812931699528941E-2</v>
      </c>
      <c r="BP369" s="715">
        <v>9.5838755797309202E-2</v>
      </c>
      <c r="BQ369" s="715">
        <v>0.12753207134403058</v>
      </c>
      <c r="BR369" s="715">
        <v>0.15777899842352708</v>
      </c>
      <c r="BS369" s="715">
        <v>0.18993909772918535</v>
      </c>
      <c r="BT369" s="715">
        <v>0.22896194077850168</v>
      </c>
      <c r="BW369" s="1190">
        <f>'2019'!R\Max</f>
        <v>0.81706733516379426</v>
      </c>
      <c r="BX369" s="1190">
        <f>'2020'!R\Max</f>
        <v>0.28266786957656909</v>
      </c>
      <c r="BY369" s="1190">
        <f>'2021'!R\Max</f>
        <v>0.7522635110011423</v>
      </c>
      <c r="BZ369" s="1190">
        <f>'2022'!R\Max</f>
        <v>0.94704172470314263</v>
      </c>
      <c r="CA369" s="1190">
        <f>'2023'!R\Max</f>
        <v>0.94688859496302813</v>
      </c>
      <c r="CB369" s="1190">
        <f>'2024'!R\Max</f>
        <v>0.94675699665712065</v>
      </c>
      <c r="CC369" s="1190">
        <f>'2025'!R\Max</f>
        <v>0.94662499012768009</v>
      </c>
      <c r="CD369" s="1190">
        <f>'2026'!R\Max</f>
        <v>0.94743045235716727</v>
      </c>
      <c r="CE369" s="1191">
        <f>'2027'!R\Max</f>
        <v>0.9473166384352415</v>
      </c>
      <c r="CF369" s="1193">
        <f>'2028'!R\Max</f>
        <v>0.947200023878224</v>
      </c>
    </row>
    <row r="370" spans="1:84" s="6" customFormat="1" ht="11.25" x14ac:dyDescent="0.2">
      <c r="A370" s="11">
        <v>43456</v>
      </c>
      <c r="B370" s="379">
        <f>'2022'!Maxi_hp</f>
        <v>24.5370383220707</v>
      </c>
      <c r="C370" s="13">
        <f>'2022'!An_max</f>
        <v>2021</v>
      </c>
      <c r="D370" s="1045">
        <f t="shared" si="135"/>
        <v>1.0170250725966241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24.126286542202745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24.397431581390315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24.12771158617522</v>
      </c>
      <c r="AZ370" s="735">
        <f t="shared" si="153"/>
        <v>24.262571583782766</v>
      </c>
      <c r="BA370" s="633">
        <f t="shared" si="150"/>
        <v>1.0170250725966241</v>
      </c>
      <c r="BC370" s="11">
        <v>43456</v>
      </c>
      <c r="BD370" s="289">
        <f>[3]!FeuilCaduc*(1-Persistant)+Persistant</f>
        <v>0.51169941597441659</v>
      </c>
      <c r="BE370" s="290">
        <f>[3]!CroissVégét</f>
        <v>0.99999984492411664</v>
      </c>
      <c r="BF370" s="804">
        <f>1+[3]!Salcycl*Ksac</f>
        <v>1.0011699415974418</v>
      </c>
      <c r="BH370" s="1036">
        <f t="shared" si="151"/>
        <v>2.1973973387676895E-2</v>
      </c>
      <c r="BI370" s="11">
        <v>44552</v>
      </c>
      <c r="BJ370" s="717">
        <v>3.2463883788770094E-3</v>
      </c>
      <c r="BK370" s="717">
        <v>5.3989879913262937E-3</v>
      </c>
      <c r="BL370" s="717">
        <v>8.2129947469607393E-3</v>
      </c>
      <c r="BM370" s="717">
        <v>1.3569185491738451E-2</v>
      </c>
      <c r="BN370" s="717">
        <v>3.0408650059586619E-2</v>
      </c>
      <c r="BO370" s="718">
        <v>5.8827086574891996E-2</v>
      </c>
      <c r="BP370" s="717">
        <v>9.5861821908860848E-2</v>
      </c>
      <c r="BQ370" s="717">
        <v>0.12756276528365409</v>
      </c>
      <c r="BR370" s="717">
        <v>0.15781697207988213</v>
      </c>
      <c r="BS370" s="717">
        <v>0.1899848115573731</v>
      </c>
      <c r="BT370" s="717">
        <v>0.22901704647789373</v>
      </c>
      <c r="BW370" s="1190">
        <f>'2019'!R\Max</f>
        <v>0.30653070233822127</v>
      </c>
      <c r="BX370" s="1190">
        <f>'2020'!R\Max</f>
        <v>0.35302901295655575</v>
      </c>
      <c r="BY370" s="1190">
        <f>'2021'!R\Max</f>
        <v>1.0170250725966241</v>
      </c>
      <c r="BZ370" s="1190">
        <f>'2022'!R\Max</f>
        <v>0.79921903937928707</v>
      </c>
      <c r="CA370" s="1190">
        <f>'2023'!R\Max</f>
        <v>0.79873034969919288</v>
      </c>
      <c r="CB370" s="1190">
        <f>'2024'!R\Max</f>
        <v>0.79831072988347207</v>
      </c>
      <c r="CC370" s="1190">
        <f>'2025'!R\Max</f>
        <v>0.79789013637490269</v>
      </c>
      <c r="CD370" s="1190">
        <f>'2026'!R\Max</f>
        <v>0.80046160447028292</v>
      </c>
      <c r="CE370" s="1191">
        <f>'2027'!R\Max</f>
        <v>0.80009750094372822</v>
      </c>
      <c r="CF370" s="1193">
        <f>'2028'!R\Max</f>
        <v>0.79972469532882007</v>
      </c>
    </row>
    <row r="371" spans="1:84" s="6" customFormat="1" ht="11.25" x14ac:dyDescent="0.2">
      <c r="A371" s="11">
        <v>43457</v>
      </c>
      <c r="B371" s="379">
        <f>'2022'!Maxi_hp</f>
        <v>20.621523847427799</v>
      </c>
      <c r="C371" s="13">
        <f>'2022'!An_max</f>
        <v>2020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24.154303688768827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24.435196587289202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24.154734545866294</v>
      </c>
      <c r="AZ371" s="735">
        <f t="shared" si="153"/>
        <v>24.294965566577748</v>
      </c>
      <c r="BA371" s="633">
        <f t="shared" si="150"/>
        <v>0.85374118472379368</v>
      </c>
      <c r="BC371" s="11">
        <v>43457</v>
      </c>
      <c r="BD371" s="289">
        <f>[3]!FeuilCaduc*(1-Persistant)+Persistant</f>
        <v>0.51087718902040757</v>
      </c>
      <c r="BE371" s="290">
        <f>[3]!CroissVégét</f>
        <v>0.99999984492411664</v>
      </c>
      <c r="BF371" s="804">
        <f>1+[3]!Salcycl*Ksac</f>
        <v>1.0010877189020408</v>
      </c>
      <c r="BH371" s="1036">
        <f t="shared" si="151"/>
        <v>2.1962651142741312E-2</v>
      </c>
      <c r="BI371" s="11">
        <v>44553</v>
      </c>
      <c r="BJ371" s="715">
        <v>3.2215593034311484E-3</v>
      </c>
      <c r="BK371" s="715">
        <v>5.3921565592085384E-3</v>
      </c>
      <c r="BL371" s="715">
        <v>8.2205063003472807E-3</v>
      </c>
      <c r="BM371" s="715">
        <v>1.3587236154213811E-2</v>
      </c>
      <c r="BN371" s="715">
        <v>3.0367850452462639E-2</v>
      </c>
      <c r="BO371" s="716">
        <v>5.8760302913064631E-2</v>
      </c>
      <c r="BP371" s="715">
        <v>9.5821120744879876E-2</v>
      </c>
      <c r="BQ371" s="715">
        <v>0.12763692922644321</v>
      </c>
      <c r="BR371" s="715">
        <v>0.15795511528421047</v>
      </c>
      <c r="BS371" s="715">
        <v>0.19011294004437532</v>
      </c>
      <c r="BT371" s="715">
        <v>0.22908453626294498</v>
      </c>
      <c r="BW371" s="1190">
        <f>'2019'!R\Max</f>
        <v>0.28496031086119317</v>
      </c>
      <c r="BX371" s="1190">
        <f>'2020'!R\Max</f>
        <v>0.85374118472379368</v>
      </c>
      <c r="BY371" s="1190">
        <f>'2021'!R\Max</f>
        <v>0.27370748466889461</v>
      </c>
      <c r="BZ371" s="1190">
        <f>'2022'!R\Max</f>
        <v>0.80915352123952011</v>
      </c>
      <c r="CA371" s="1190">
        <f>'2023'!R\Max</f>
        <v>0.80868420097752547</v>
      </c>
      <c r="CB371" s="1190">
        <f>'2024'!R\Max</f>
        <v>0.8082800180071803</v>
      </c>
      <c r="CC371" s="1190">
        <f>'2025'!R\Max</f>
        <v>0.80787487276166037</v>
      </c>
      <c r="CD371" s="1190">
        <f>'2026'!R\Max</f>
        <v>0.81034552266217974</v>
      </c>
      <c r="CE371" s="1191">
        <f>'2027'!R\Max</f>
        <v>0.80999649259854878</v>
      </c>
      <c r="CF371" s="1193">
        <f>'2028'!R\Max</f>
        <v>0.80963907862246376</v>
      </c>
    </row>
    <row r="372" spans="1:84" s="6" customFormat="1" ht="11.25" x14ac:dyDescent="0.2">
      <c r="A372" s="11">
        <v>43458</v>
      </c>
      <c r="B372" s="379">
        <f>'2022'!Maxi_hp</f>
        <v>23.261737833249224</v>
      </c>
      <c r="C372" s="13">
        <f>'2022'!An_max</f>
        <v>2022</v>
      </c>
      <c r="D372" s="1045" t="str">
        <f t="shared" si="135"/>
        <v/>
      </c>
      <c r="E372" s="1040">
        <f>AM$13/10</f>
        <v>24.196400000000001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24.196399998664855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24.482454231175883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24.196400003135203</v>
      </c>
      <c r="AZ372" s="735">
        <f t="shared" si="153"/>
        <v>24.339427117155545</v>
      </c>
      <c r="BA372" s="633">
        <f t="shared" si="150"/>
        <v>0.96137185013195325</v>
      </c>
      <c r="BC372" s="11">
        <v>43458</v>
      </c>
      <c r="BD372" s="289">
        <f>[3]!FeuilCaduc*(1-Persistant)+Persistant</f>
        <v>0.51011778690856846</v>
      </c>
      <c r="BE372" s="290">
        <f>[3]!CroissVégét</f>
        <v>0.99999984492411664</v>
      </c>
      <c r="BF372" s="804">
        <f>1+[3]!Salcycl*Ksac</f>
        <v>1.0010117786908568</v>
      </c>
      <c r="BH372" s="1036">
        <f t="shared" si="151"/>
        <v>2.1934700161882405E-2</v>
      </c>
      <c r="BI372" s="11">
        <v>44554</v>
      </c>
      <c r="BJ372" s="715">
        <v>3.1710960627275003E-3</v>
      </c>
      <c r="BK372" s="715">
        <v>5.3771862008491498E-3</v>
      </c>
      <c r="BL372" s="715">
        <v>8.2335567631374017E-3</v>
      </c>
      <c r="BM372" s="715">
        <v>1.3620083499072436E-2</v>
      </c>
      <c r="BN372" s="715">
        <v>3.0278884937272817E-2</v>
      </c>
      <c r="BO372" s="716">
        <v>5.8612496181268937E-2</v>
      </c>
      <c r="BP372" s="715">
        <v>9.5716576690262123E-2</v>
      </c>
      <c r="BQ372" s="715">
        <v>0.12775457959206962</v>
      </c>
      <c r="BR372" s="715">
        <v>0.15819349066079724</v>
      </c>
      <c r="BS372" s="715">
        <v>0.19032352376350747</v>
      </c>
      <c r="BT372" s="715">
        <v>0.22916437972735731</v>
      </c>
      <c r="BW372" s="1190">
        <f>'2019'!R\Max</f>
        <v>0.56477770048972176</v>
      </c>
      <c r="BX372" s="1190">
        <f>'2020'!R\Max</f>
        <v>0.41884937360200686</v>
      </c>
      <c r="BY372" s="1190">
        <f>'2021'!R\Max</f>
        <v>0.55962256734410998</v>
      </c>
      <c r="BZ372" s="1190">
        <f>'2022'!R\Max</f>
        <v>0.96137185013195325</v>
      </c>
      <c r="CA372" s="1190">
        <f>'2023'!R\Max</f>
        <v>0.96125917057642729</v>
      </c>
      <c r="CB372" s="1190">
        <f>'2024'!R\Max</f>
        <v>0.96116148296538806</v>
      </c>
      <c r="CC372" s="1190">
        <f>'2025'!R\Max</f>
        <v>0.96106348213560244</v>
      </c>
      <c r="CD372" s="1190">
        <f>'2026'!R\Max</f>
        <v>0.96165700120981301</v>
      </c>
      <c r="CE372" s="1191">
        <f>'2027'!R\Max</f>
        <v>0.96157368964114143</v>
      </c>
      <c r="CF372" s="1193">
        <f>'2028'!R\Max</f>
        <v>0.96148830503041138</v>
      </c>
    </row>
    <row r="373" spans="1:84" s="6" customFormat="1" ht="11.25" x14ac:dyDescent="0.2">
      <c r="A373" s="11">
        <v>43459</v>
      </c>
      <c r="B373" s="379">
        <f>'2022'!Maxi_hp</f>
        <v>13.093361004637606</v>
      </c>
      <c r="C373" s="13">
        <f>'2022'!An_max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24.252993285655975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24.539166817274584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24.253606869717096</v>
      </c>
      <c r="AZ373" s="735">
        <f t="shared" si="153"/>
        <v>24.39638684349584</v>
      </c>
      <c r="BA373" s="633">
        <f t="shared" si="150"/>
        <v>0.53986577452200313</v>
      </c>
      <c r="BC373" s="11">
        <v>43459</v>
      </c>
      <c r="BD373" s="289">
        <f>[3]!FeuilCaduc*(1-Persistant)+Persistant</f>
        <v>0.5094158927498017</v>
      </c>
      <c r="BE373" s="290">
        <f>[3]!CroissVégét</f>
        <v>0.99999984492411664</v>
      </c>
      <c r="BF373" s="804">
        <f>1+[3]!Salcycl*Ksac</f>
        <v>1.0009415892749802</v>
      </c>
      <c r="BH373" s="1036">
        <f t="shared" si="151"/>
        <v>2.1890045309891987E-2</v>
      </c>
      <c r="BI373" s="11">
        <v>44555</v>
      </c>
      <c r="BJ373" s="715">
        <v>3.0949623940032382E-3</v>
      </c>
      <c r="BK373" s="715">
        <v>5.3540540551966715E-3</v>
      </c>
      <c r="BL373" s="715">
        <v>8.2521308135018491E-3</v>
      </c>
      <c r="BM373" s="715">
        <v>1.3667708341204015E-2</v>
      </c>
      <c r="BN373" s="715">
        <v>3.014162222974354E-2</v>
      </c>
      <c r="BO373" s="716">
        <v>5.8383425600810279E-2</v>
      </c>
      <c r="BP373" s="715">
        <v>9.5547871411775231E-2</v>
      </c>
      <c r="BQ373" s="715">
        <v>0.12791543221821505</v>
      </c>
      <c r="BR373" s="715">
        <v>0.15853179706079901</v>
      </c>
      <c r="BS373" s="715">
        <v>0.19061615870331472</v>
      </c>
      <c r="BT373" s="715">
        <v>0.22925599535943106</v>
      </c>
      <c r="BW373" s="1190">
        <f>'2019'!R\Max</f>
        <v>0.47487121395044568</v>
      </c>
      <c r="BX373" s="1190">
        <f>'2020'!R\Max</f>
        <v>0.47806381635244627</v>
      </c>
      <c r="BY373" s="1190">
        <f>'2021'!R\Max</f>
        <v>0.41096578811072726</v>
      </c>
      <c r="BZ373" s="1190">
        <f>'2022'!R\Max</f>
        <v>0.53986577452200313</v>
      </c>
      <c r="CA373" s="1190">
        <f>'2023'!R\Max</f>
        <v>0.53911458842500748</v>
      </c>
      <c r="CB373" s="1190">
        <f>'2024'!R\Max</f>
        <v>0.53845929148223604</v>
      </c>
      <c r="CC373" s="1190">
        <f>'2025'!R\Max</f>
        <v>0.53780333158848481</v>
      </c>
      <c r="CD373" s="1190">
        <f>'2026'!R\Max</f>
        <v>0.54176960566776311</v>
      </c>
      <c r="CE373" s="1191">
        <f>'2027'!R\Max</f>
        <v>0.54121325041515411</v>
      </c>
      <c r="CF373" s="1193">
        <f>'2028'!R\Max</f>
        <v>0.54064400956260639</v>
      </c>
    </row>
    <row r="374" spans="1:84" s="6" customFormat="1" ht="11.25" x14ac:dyDescent="0.2">
      <c r="A374" s="11">
        <v>43460</v>
      </c>
      <c r="B374" s="379">
        <f>'2022'!Maxi_hp</f>
        <v>22.716928260345419</v>
      </c>
      <c r="C374" s="13">
        <f>'2022'!An_max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24.323810731669266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24.605296643232474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24.326585735020966</v>
      </c>
      <c r="AZ374" s="735">
        <f t="shared" si="153"/>
        <v>24.46594118912672</v>
      </c>
      <c r="BA374" s="633">
        <f t="shared" si="150"/>
        <v>0.93393788131924138</v>
      </c>
      <c r="BC374" s="11">
        <v>43460</v>
      </c>
      <c r="BD374" s="289">
        <f>[3]!FeuilCaduc*(1-Persistant)+Persistant</f>
        <v>0.50876644034625396</v>
      </c>
      <c r="BE374" s="290">
        <f>[3]!CroissVégét</f>
        <v>0.99999984492411664</v>
      </c>
      <c r="BF374" s="804">
        <f>1+[3]!Salcycl*Ksac</f>
        <v>1.0008766440346255</v>
      </c>
      <c r="BH374" s="1036">
        <f t="shared" si="151"/>
        <v>2.1828608873192944E-2</v>
      </c>
      <c r="BI374" s="11">
        <v>44556</v>
      </c>
      <c r="BJ374" s="715">
        <v>2.993118204596881E-3</v>
      </c>
      <c r="BK374" s="715">
        <v>5.3227360245421025E-3</v>
      </c>
      <c r="BL374" s="715">
        <v>8.2762139150104903E-3</v>
      </c>
      <c r="BM374" s="715">
        <v>1.3730093633197204E-2</v>
      </c>
      <c r="BN374" s="715">
        <v>2.9955923734393309E-2</v>
      </c>
      <c r="BO374" s="716">
        <v>5.8072838058040345E-2</v>
      </c>
      <c r="BP374" s="715">
        <v>9.5314676622669403E-2</v>
      </c>
      <c r="BQ374" s="715">
        <v>0.12811920881054348</v>
      </c>
      <c r="BR374" s="715">
        <v>0.15896974750449283</v>
      </c>
      <c r="BS374" s="715">
        <v>0.19099045222403632</v>
      </c>
      <c r="BT374" s="715">
        <v>0.22935880240299722</v>
      </c>
      <c r="BW374" s="1190">
        <f>'2019'!R\Max</f>
        <v>0.34746193166324379</v>
      </c>
      <c r="BX374" s="1190">
        <f>'2020'!R\Max</f>
        <v>0.17539862836235062</v>
      </c>
      <c r="BY374" s="1190">
        <f>'2021'!R\Max</f>
        <v>0.49878548408363221</v>
      </c>
      <c r="BZ374" s="1190">
        <f>'2022'!R\Max</f>
        <v>0.93393788131924138</v>
      </c>
      <c r="CA374" s="1190">
        <f>'2023'!R\Max</f>
        <v>0.93375148628480376</v>
      </c>
      <c r="CB374" s="1190">
        <f>'2024'!R\Max</f>
        <v>0.93358666611219843</v>
      </c>
      <c r="CC374" s="1190">
        <f>'2025'!R\Max</f>
        <v>0.93342132596072958</v>
      </c>
      <c r="CD374" s="1190">
        <f>'2026'!R\Max</f>
        <v>0.93440642040888255</v>
      </c>
      <c r="CE374" s="1191">
        <f>'2027'!R\Max</f>
        <v>0.93427017084668074</v>
      </c>
      <c r="CF374" s="1193">
        <f>'2028'!R\Max</f>
        <v>0.93413047450768949</v>
      </c>
    </row>
    <row r="375" spans="1:84" s="6" customFormat="1" ht="11.25" x14ac:dyDescent="0.2">
      <c r="A375" s="11">
        <v>43461</v>
      </c>
      <c r="B375" s="379">
        <f>'2022'!Maxi_hp</f>
        <v>21.290446008401918</v>
      </c>
      <c r="C375" s="13">
        <f>'2022'!An_max</f>
        <v>2018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24.408337970077991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24.680806010293551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24.414778733587468</v>
      </c>
      <c r="AZ375" s="735">
        <f t="shared" si="153"/>
        <v>24.54779237194051</v>
      </c>
      <c r="BA375" s="633">
        <f t="shared" si="150"/>
        <v>0.87226119347010544</v>
      </c>
      <c r="BC375" s="11">
        <v>43461</v>
      </c>
      <c r="BD375" s="289">
        <f>[3]!FeuilCaduc*(1-Persistant)+Persistant</f>
        <v>0.5081646325017376</v>
      </c>
      <c r="BE375" s="290">
        <f>[3]!CroissVégét</f>
        <v>0.99999984492411664</v>
      </c>
      <c r="BF375" s="804">
        <f>1+[3]!Salcycl*Ksac</f>
        <v>1.0008164632501737</v>
      </c>
      <c r="BH375" s="1036">
        <f t="shared" si="151"/>
        <v>2.1759492607775939E-2</v>
      </c>
      <c r="BI375" s="11">
        <v>44557</v>
      </c>
      <c r="BJ375" s="715">
        <v>2.8725767842786112E-3</v>
      </c>
      <c r="BK375" s="715">
        <v>5.2772953463721614E-3</v>
      </c>
      <c r="BL375" s="715">
        <v>8.3005727033842649E-3</v>
      </c>
      <c r="BM375" s="715">
        <v>1.3809067358303541E-2</v>
      </c>
      <c r="BN375" s="715">
        <v>2.9738190846656288E-2</v>
      </c>
      <c r="BO375" s="716">
        <v>5.7660654637742524E-2</v>
      </c>
      <c r="BP375" s="715">
        <v>9.4972560479949189E-2</v>
      </c>
      <c r="BQ375" s="715">
        <v>0.12832804019182825</v>
      </c>
      <c r="BR375" s="715">
        <v>0.15951959862594844</v>
      </c>
      <c r="BS375" s="715">
        <v>0.19150055173412658</v>
      </c>
      <c r="BT375" s="715">
        <v>0.22953564493734543</v>
      </c>
      <c r="BW375" s="1190">
        <f>'2019'!R\Max</f>
        <v>0.87226119347010544</v>
      </c>
      <c r="BX375" s="1190">
        <f>'2020'!R\Max</f>
        <v>0.63204556899059194</v>
      </c>
      <c r="BY375" s="1190">
        <f>'2021'!R\Max</f>
        <v>0.45435049204959149</v>
      </c>
      <c r="BZ375" s="1190">
        <f>'2022'!R\Max</f>
        <v>0.31366288508629719</v>
      </c>
      <c r="CA375" s="1190">
        <f>'2023'!R\Max</f>
        <v>0.31301554709866541</v>
      </c>
      <c r="CB375" s="1190">
        <f>'2024'!R\Max</f>
        <v>0.31243667760951499</v>
      </c>
      <c r="CC375" s="1190">
        <f>'2025'!R\Max</f>
        <v>0.31185788177482293</v>
      </c>
      <c r="CD375" s="1190">
        <f>'2026'!R\Max</f>
        <v>0.31529198307590223</v>
      </c>
      <c r="CE375" s="1191">
        <f>'2027'!R\Max</f>
        <v>0.31481843127254344</v>
      </c>
      <c r="CF375" s="1193">
        <f>'2028'!R\Max</f>
        <v>0.31433408046950034</v>
      </c>
    </row>
    <row r="376" spans="1:84" s="6" customFormat="1" ht="11.25" x14ac:dyDescent="0.2">
      <c r="A376" s="11">
        <v>43462</v>
      </c>
      <c r="B376" s="379">
        <f>'2022'!Maxi_hp</f>
        <v>23.906426698641567</v>
      </c>
      <c r="C376" s="13">
        <f>'2022'!An_max</f>
        <v>2022</v>
      </c>
      <c r="D376" s="1045">
        <f t="shared" si="135"/>
        <v>0.97553119834640423</v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24.506060635646186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24.765657218365835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24.517628001447381</v>
      </c>
      <c r="AZ376" s="735">
        <f t="shared" si="153"/>
        <v>24.641642609906608</v>
      </c>
      <c r="BA376" s="633">
        <f t="shared" si="150"/>
        <v>0.97553119834640423</v>
      </c>
      <c r="BC376" s="11">
        <v>43462</v>
      </c>
      <c r="BD376" s="289">
        <f>[3]!FeuilCaduc*(1-Persistant)+Persistant</f>
        <v>0.50760595638308248</v>
      </c>
      <c r="BE376" s="290">
        <f>[3]!CroissVégét</f>
        <v>0.99999984492411664</v>
      </c>
      <c r="BF376" s="804">
        <f>1+[3]!Salcycl*Ksac</f>
        <v>1.0007605956383083</v>
      </c>
      <c r="BH376" s="1036">
        <f t="shared" si="151"/>
        <v>2.1691295958327986E-2</v>
      </c>
      <c r="BI376" s="11">
        <v>44558</v>
      </c>
      <c r="BJ376" s="715">
        <v>2.7461806316361908E-3</v>
      </c>
      <c r="BK376" s="715">
        <v>5.2218574862805062E-3</v>
      </c>
      <c r="BL376" s="715">
        <v>8.3225457539185307E-3</v>
      </c>
      <c r="BM376" s="715">
        <v>1.3897428111095027E-2</v>
      </c>
      <c r="BN376" s="715">
        <v>2.9512880051695875E-2</v>
      </c>
      <c r="BO376" s="716">
        <v>5.7188058992769152E-2</v>
      </c>
      <c r="BP376" s="715">
        <v>9.4554594838326581E-2</v>
      </c>
      <c r="BQ376" s="715">
        <v>0.12852187045248237</v>
      </c>
      <c r="BR376" s="715">
        <v>0.16013344077727254</v>
      </c>
      <c r="BS376" s="715">
        <v>0.19210789472386414</v>
      </c>
      <c r="BT376" s="715">
        <v>0.22978346727750593</v>
      </c>
      <c r="BW376" s="1190">
        <f>'2019'!R\Max</f>
        <v>0.18235903545330487</v>
      </c>
      <c r="BX376" s="1190">
        <f>'2020'!R\Max</f>
        <v>0.26638910034539881</v>
      </c>
      <c r="BY376" s="1190">
        <f>'2021'!R\Max</f>
        <v>0.20803877618563271</v>
      </c>
      <c r="BZ376" s="1190">
        <f>'2022'!R\Max</f>
        <v>0.97553119834640423</v>
      </c>
      <c r="CA376" s="1190">
        <f>'2023'!R\Max</f>
        <v>0.97545954273337299</v>
      </c>
      <c r="CB376" s="1190">
        <f>'2024'!R\Max</f>
        <v>0.97539414073059383</v>
      </c>
      <c r="CC376" s="1190">
        <f>'2025'!R\Max</f>
        <v>0.97532850769956336</v>
      </c>
      <c r="CD376" s="1190">
        <f>'2026'!R\Max</f>
        <v>0.97570915173268902</v>
      </c>
      <c r="CE376" s="1191">
        <f>'2027'!R\Max</f>
        <v>0.97565782924337918</v>
      </c>
      <c r="CF376" s="1193">
        <f>'2028'!R\Max</f>
        <v>0.97560516695295374</v>
      </c>
    </row>
    <row r="377" spans="1:84" s="6" customFormat="1" ht="11.25" x14ac:dyDescent="0.2">
      <c r="A377" s="11">
        <v>43463</v>
      </c>
      <c r="B377" s="379">
        <f>'2022'!Maxi_hp</f>
        <v>25.022994124609578</v>
      </c>
      <c r="C377" s="13">
        <f>'2022'!An_max</f>
        <v>2018</v>
      </c>
      <c r="D377" s="1045">
        <f t="shared" si="135"/>
        <v>1.0165145469522567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24.616464368005595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24.859812570132057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24.634575679358736</v>
      </c>
      <c r="AZ377" s="735">
        <f t="shared" si="153"/>
        <v>24.747194124745398</v>
      </c>
      <c r="BA377" s="633">
        <f t="shared" si="150"/>
        <v>1.0165145469522567</v>
      </c>
      <c r="BC377" s="11">
        <v>43463</v>
      </c>
      <c r="BD377" s="289">
        <f>[3]!FeuilCaduc*(1-Persistant)+Persistant</f>
        <v>0.50708619589358506</v>
      </c>
      <c r="BE377" s="290">
        <f>[3]!CroissVégét</f>
        <v>0.99999984492411664</v>
      </c>
      <c r="BF377" s="804">
        <f>1+[3]!Salcycl*Ksac</f>
        <v>1.0007086195893584</v>
      </c>
      <c r="BH377" s="1036">
        <f t="shared" si="151"/>
        <v>2.1623959321634415E-2</v>
      </c>
      <c r="BI377" s="11">
        <v>44559</v>
      </c>
      <c r="BJ377" s="715">
        <v>2.6139078261299825E-3</v>
      </c>
      <c r="BK377" s="715">
        <v>5.1563933514791457E-3</v>
      </c>
      <c r="BL377" s="715">
        <v>8.3421098001079889E-3</v>
      </c>
      <c r="BM377" s="715">
        <v>1.3995156369580914E-2</v>
      </c>
      <c r="BN377" s="715">
        <v>2.9279891522538223E-2</v>
      </c>
      <c r="BO377" s="716">
        <v>5.6654800110878256E-2</v>
      </c>
      <c r="BP377" s="715">
        <v>9.4060415829435862E-2</v>
      </c>
      <c r="BQ377" s="715">
        <v>0.12870035792947851</v>
      </c>
      <c r="BR377" s="715">
        <v>0.16081097099244826</v>
      </c>
      <c r="BS377" s="715">
        <v>0.19281213470714054</v>
      </c>
      <c r="BT377" s="715">
        <v>0.23010177104483337</v>
      </c>
      <c r="BW377" s="1190">
        <f>'2019'!R\Max</f>
        <v>1.0165145469522567</v>
      </c>
      <c r="BX377" s="1190">
        <f>'2020'!R\Max</f>
        <v>0</v>
      </c>
      <c r="BY377" s="1190">
        <f>'2021'!R\Max</f>
        <v>0.17689301206727356</v>
      </c>
      <c r="BZ377" s="1190">
        <f>'2022'!R\Max</f>
        <v>0.45924060977466385</v>
      </c>
      <c r="CA377" s="1190">
        <f>'2023'!R\Max</f>
        <v>0.45849963541623823</v>
      </c>
      <c r="CB377" s="1190">
        <f>'2024'!R\Max</f>
        <v>0.45781271405027785</v>
      </c>
      <c r="CC377" s="1190">
        <f>'2025'!R\Max</f>
        <v>0.45712527826220661</v>
      </c>
      <c r="CD377" s="1190">
        <f>'2026'!R\Max</f>
        <v>0.46107741266744928</v>
      </c>
      <c r="CE377" s="1191">
        <f>'2027'!R\Max</f>
        <v>0.46054886662963251</v>
      </c>
      <c r="CF377" s="1193">
        <f>'2028'!R\Max</f>
        <v>0.46000758185979446</v>
      </c>
    </row>
    <row r="378" spans="1:84" s="6" customFormat="1" ht="11.25" x14ac:dyDescent="0.2">
      <c r="A378" s="11">
        <v>43464</v>
      </c>
      <c r="B378" s="379">
        <f>'2022'!Maxi_hp</f>
        <v>25.027651179472095</v>
      </c>
      <c r="C378" s="13">
        <f>'2022'!An_max</f>
        <v>2018</v>
      </c>
      <c r="D378" s="1045">
        <f t="shared" si="135"/>
        <v>1.0116664366368666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24.739034797549248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24.963234362828324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24.76506390288986</v>
      </c>
      <c r="AZ378" s="735">
        <f t="shared" si="153"/>
        <v>24.86414913285909</v>
      </c>
      <c r="BA378" s="633">
        <f t="shared" si="150"/>
        <v>1.0116664366368666</v>
      </c>
      <c r="BC378" s="11">
        <v>43464</v>
      </c>
      <c r="BD378" s="289">
        <f>[3]!FeuilCaduc*(1-Persistant)+Persistant</f>
        <v>0.50660144104696869</v>
      </c>
      <c r="BE378" s="290">
        <f>[3]!CroissVégét</f>
        <v>0.99999984492411664</v>
      </c>
      <c r="BF378" s="804">
        <f>1+[3]!Salcycl*Ksac</f>
        <v>1.0006601441046969</v>
      </c>
      <c r="BH378" s="1036">
        <f t="shared" si="151"/>
        <v>2.1557423937563533E-2</v>
      </c>
      <c r="BI378" s="11">
        <v>44560</v>
      </c>
      <c r="BJ378" s="715">
        <v>2.4757371252697434E-3</v>
      </c>
      <c r="BK378" s="715">
        <v>5.0808733528975173E-3</v>
      </c>
      <c r="BL378" s="715">
        <v>8.3592411068638319E-3</v>
      </c>
      <c r="BM378" s="715">
        <v>1.4102232737947785E-2</v>
      </c>
      <c r="BN378" s="715">
        <v>2.9039126994747519E-2</v>
      </c>
      <c r="BO378" s="716">
        <v>5.6060625448114694E-2</v>
      </c>
      <c r="BP378" s="715">
        <v>9.3489655894050061E-2</v>
      </c>
      <c r="BQ378" s="715">
        <v>0.12886315758014416</v>
      </c>
      <c r="BR378" s="715">
        <v>0.16155188716820226</v>
      </c>
      <c r="BS378" s="715">
        <v>0.19361292977261202</v>
      </c>
      <c r="BT378" s="715">
        <v>0.23049006338309111</v>
      </c>
      <c r="BW378" s="1190">
        <f>'2019'!R\Max</f>
        <v>1.0116664366368666</v>
      </c>
      <c r="BX378" s="1190">
        <f>'2020'!R\Max</f>
        <v>0.32389552751688094</v>
      </c>
      <c r="BY378" s="1190">
        <f>'2021'!R\Max</f>
        <v>0.73470395171227598</v>
      </c>
      <c r="BZ378" s="1190">
        <f>'2022'!R\Max</f>
        <v>0.6200172358132815</v>
      </c>
      <c r="CA378" s="1190">
        <f>'2023'!R\Max</f>
        <v>0.61931770195489955</v>
      </c>
      <c r="CB378" s="1190">
        <f>'2024'!R\Max</f>
        <v>0.61865528698215344</v>
      </c>
      <c r="CC378" s="1190">
        <f>'2025'!R\Max</f>
        <v>0.61799174197348838</v>
      </c>
      <c r="CD378" s="1190">
        <f>'2026'!R\Max</f>
        <v>0.62173433644011367</v>
      </c>
      <c r="CE378" s="1191">
        <f>'2027'!R\Max</f>
        <v>0.62124345391968139</v>
      </c>
      <c r="CF378" s="1193">
        <f>'2028'!R\Max</f>
        <v>0.62074025720199677</v>
      </c>
    </row>
    <row r="379" spans="1:84" s="6" customFormat="1" ht="11.25" x14ac:dyDescent="0.2">
      <c r="A379" s="11">
        <v>43465</v>
      </c>
      <c r="B379" s="379">
        <f>'2022'!Maxi_hp</f>
        <v>25.278911318099443</v>
      </c>
      <c r="C379" s="13">
        <f>'2022'!An_max</f>
        <v>2021</v>
      </c>
      <c r="D379" s="1045">
        <f t="shared" si="135"/>
        <v>1.0163088310105435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24.873257563809553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25.075884898623517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24.908534812028037</v>
      </c>
      <c r="AZ379" s="735">
        <f t="shared" si="153"/>
        <v>24.992209855325775</v>
      </c>
      <c r="BA379" s="633">
        <f t="shared" si="150"/>
        <v>1.0163088310105435</v>
      </c>
      <c r="BC379" s="11">
        <v>43465</v>
      </c>
      <c r="BD379" s="289">
        <f>[3]!FeuilCaduc*(1-Persistant)+Persistant</f>
        <v>0.50614809435719088</v>
      </c>
      <c r="BE379" s="290">
        <f>[3]!CroissVégét</f>
        <v>0.99999984492411664</v>
      </c>
      <c r="BF379" s="804">
        <f>1+[3]!Salcycl*Ksac</f>
        <v>1.000614809435719</v>
      </c>
      <c r="BH379" s="1036">
        <f t="shared" si="151"/>
        <v>2.1491631876247617E-2</v>
      </c>
      <c r="BI379" s="11">
        <v>44561</v>
      </c>
      <c r="BJ379" s="715">
        <v>2.3316481135526815E-3</v>
      </c>
      <c r="BK379" s="715">
        <v>4.9952676629382515E-3</v>
      </c>
      <c r="BL379" s="715">
        <v>8.3739155366488998E-3</v>
      </c>
      <c r="BM379" s="715">
        <v>1.4218637715699574E-2</v>
      </c>
      <c r="BN379" s="715">
        <v>2.8790489972423366E-2</v>
      </c>
      <c r="BO379" s="716">
        <v>5.5405282497965141E-2</v>
      </c>
      <c r="BP379" s="715">
        <v>9.2841945768292286E-2</v>
      </c>
      <c r="BQ379" s="715">
        <v>0.12900992144146062</v>
      </c>
      <c r="BR379" s="715">
        <v>0.16235588652682462</v>
      </c>
      <c r="BS379" s="715">
        <v>0.19450994021287124</v>
      </c>
      <c r="BT379" s="715">
        <v>0.23094785527390504</v>
      </c>
      <c r="BW379" s="1190">
        <f>'2019'!R\Max</f>
        <v>0.72165676703149995</v>
      </c>
      <c r="BX379" s="1190">
        <f>'2020'!R\Max</f>
        <v>0.51711999031532863</v>
      </c>
      <c r="BY379" s="1190">
        <f>'2021'!R\Max</f>
        <v>1.0163088310105435</v>
      </c>
      <c r="BZ379" s="1190">
        <f>'2022'!R\Max</f>
        <v>0.50976804798970898</v>
      </c>
      <c r="CA379" s="1190">
        <f>'2023'!R\Max</f>
        <v>0.50903083018035888</v>
      </c>
      <c r="CB379" s="1190">
        <f>'2024'!R\Max</f>
        <v>0.50831767719591803</v>
      </c>
      <c r="CC379" s="1190">
        <f>'2025'!R\Max</f>
        <v>0.50760370786095865</v>
      </c>
      <c r="CD379" s="1190">
        <f>'2026'!R\Max</f>
        <v>0.51156317259989337</v>
      </c>
      <c r="CE379" s="1191">
        <f>'2027'!R\Max</f>
        <v>0.51105298817140998</v>
      </c>
      <c r="CF379" s="1193">
        <f>'2028'!R\Max</f>
        <v>0.51053011284715255</v>
      </c>
    </row>
    <row r="380" spans="1:84" s="6" customFormat="1" ht="12" customHeight="1" thickBot="1" x14ac:dyDescent="0.25">
      <c r="A380" s="11">
        <v>43466</v>
      </c>
      <c r="B380" s="380">
        <f>'2022'!Maxi_hp</f>
        <v>14.71093936617153</v>
      </c>
      <c r="C380" s="14">
        <f>'2022'!An_max</f>
        <v>2020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25.018618300755818</v>
      </c>
      <c r="M380" s="794" t="s">
        <v>241</v>
      </c>
      <c r="N380" s="795">
        <f>$AZ22*10</f>
        <v>263.80767593982404</v>
      </c>
      <c r="O380" s="795">
        <f>$AZ36*10</f>
        <v>302.19580035656691</v>
      </c>
      <c r="P380" s="795">
        <f>$AZ50*10</f>
        <v>351.39071846450679</v>
      </c>
      <c r="Q380" s="795">
        <f>$AZ64*10</f>
        <v>404.39237499760929</v>
      </c>
      <c r="R380" s="795">
        <f>$AZ78*10</f>
        <v>458.51424999907607</v>
      </c>
      <c r="S380" s="795">
        <f>$AZ92*10</f>
        <v>512.35374999634223</v>
      </c>
      <c r="T380" s="795">
        <f>$AZ106*10</f>
        <v>561.42424999084324</v>
      </c>
      <c r="U380" s="795">
        <f>$AZ120*10</f>
        <v>599.92137499712408</v>
      </c>
      <c r="V380" s="795">
        <f>$AZ134*10</f>
        <v>625.02137499675155</v>
      </c>
      <c r="W380" s="795">
        <f>$AZ148*10</f>
        <v>637.60275000054389</v>
      </c>
      <c r="X380" s="795">
        <f>$AZ162*10</f>
        <v>640.48924999963504</v>
      </c>
      <c r="Y380" s="795">
        <f>$AZ176*10</f>
        <v>636.97525000199676</v>
      </c>
      <c r="Z380" s="795">
        <f>$AZ190*10</f>
        <v>629.6962500042282</v>
      </c>
      <c r="AA380" s="795">
        <f>$AZ204*10</f>
        <v>619.65625000139698</v>
      </c>
      <c r="AB380" s="795">
        <f>$AZ218*10</f>
        <v>606.29050000058487</v>
      </c>
      <c r="AC380" s="795">
        <f>$AZ232*10</f>
        <v>588.46950000245124</v>
      </c>
      <c r="AD380" s="795">
        <f>$AZ246*10</f>
        <v>565.06374999787658</v>
      </c>
      <c r="AE380" s="795">
        <f>$AZ260*10</f>
        <v>535.03787500038743</v>
      </c>
      <c r="AF380" s="795">
        <f>$AZ274*10</f>
        <v>497.70162499882281</v>
      </c>
      <c r="AG380" s="795">
        <f>$AZ288*10</f>
        <v>453.18050000135554</v>
      </c>
      <c r="AH380" s="795">
        <f>$AZ302*10</f>
        <v>403.63937499886379</v>
      </c>
      <c r="AI380" s="795">
        <f>$AZ316*10</f>
        <v>353.62762499821838</v>
      </c>
      <c r="AJ380" s="795">
        <f>$AZ330*10</f>
        <v>308.00837500020862</v>
      </c>
      <c r="AK380" s="795">
        <f>$AZ344*10</f>
        <v>270.9197654183954</v>
      </c>
      <c r="AL380" s="795">
        <f>$AZ358*10</f>
        <v>247.41051398776472</v>
      </c>
      <c r="AM380" s="795">
        <f>$AZ372*10</f>
        <v>243.39427117155543</v>
      </c>
      <c r="AO380" s="1038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25.197726475370342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25.064430541827761</v>
      </c>
      <c r="AZ380" s="736">
        <f t="shared" si="153"/>
        <v>25.131078508599053</v>
      </c>
      <c r="BA380" s="633">
        <f t="shared" si="150"/>
        <v>0.58799967245701612</v>
      </c>
      <c r="BC380" s="11">
        <v>43466</v>
      </c>
      <c r="BD380" s="291">
        <f>[3]!FeuilCaduc*(1-Persistant)+Persistant</f>
        <v>0.50572287428576723</v>
      </c>
      <c r="BE380" s="292">
        <f>[3]!CroissVégét</f>
        <v>0.99999984492411664</v>
      </c>
      <c r="BF380" s="805">
        <f>1+[3]!Salcycl*Ksac</f>
        <v>1.0005722874285767</v>
      </c>
      <c r="BH380" s="1037">
        <f t="shared" si="151"/>
        <v>2.142652602499313E-2</v>
      </c>
      <c r="BI380" s="11">
        <v>44562</v>
      </c>
      <c r="BJ380" s="810">
        <v>2.1816213513607811E-3</v>
      </c>
      <c r="BK380" s="719">
        <v>4.8995464731651159E-3</v>
      </c>
      <c r="BL380" s="719">
        <v>8.3861086155112702E-3</v>
      </c>
      <c r="BM380" s="719">
        <v>1.4344351466631365E-2</v>
      </c>
      <c r="BN380" s="719">
        <v>2.8533885933822417E-2</v>
      </c>
      <c r="BO380" s="720">
        <v>5.4688520359780314E-2</v>
      </c>
      <c r="BP380" s="719">
        <v>9.2116916468655663E-2</v>
      </c>
      <c r="BQ380" s="719">
        <v>0.12914029908778735</v>
      </c>
      <c r="BR380" s="719">
        <v>0.16322266407705069</v>
      </c>
      <c r="BS380" s="719">
        <v>0.19550282615128889</v>
      </c>
      <c r="BT380" s="719">
        <v>0.2314746598494026</v>
      </c>
      <c r="BW380" s="1194">
        <f>'2019'!R\Max</f>
        <v>0</v>
      </c>
      <c r="BX380" s="1194">
        <f>'2020'!R\Max</f>
        <v>0.58799967245701612</v>
      </c>
      <c r="BY380" s="1194">
        <f>'2021'!R\Max</f>
        <v>0</v>
      </c>
      <c r="BZ380" s="1194">
        <f>'2022'!R\Max</f>
        <v>0</v>
      </c>
      <c r="CA380" s="1194">
        <f>'2023'!R\Max</f>
        <v>0</v>
      </c>
      <c r="CB380" s="1194">
        <f>'2024'!R\Max</f>
        <v>0.68096572491286289</v>
      </c>
      <c r="CC380" s="1194">
        <f>'2025'!R\Max</f>
        <v>0</v>
      </c>
      <c r="CD380" s="1194">
        <f>'2026'!R\Max</f>
        <v>0</v>
      </c>
      <c r="CE380" s="1195">
        <f>'2027'!R\Max</f>
        <v>0</v>
      </c>
      <c r="CF380" s="1196">
        <f>'2028'!R\Max</f>
        <v>0.68287593162441518</v>
      </c>
    </row>
    <row r="381" spans="1:84" ht="12" customHeight="1" x14ac:dyDescent="0.25">
      <c r="B381" s="625" t="s">
        <v>166</v>
      </c>
      <c r="M381" s="136" t="s">
        <v>242</v>
      </c>
      <c r="N381" s="796">
        <f t="shared" ref="N381:AM381" si="154">1-N3/N380*Ajust_M</f>
        <v>2.879658209783531E-3</v>
      </c>
      <c r="O381" s="796">
        <f t="shared" si="154"/>
        <v>-2.7133545282387317E-5</v>
      </c>
      <c r="P381" s="796">
        <f t="shared" si="154"/>
        <v>-2.8836320433305307E-3</v>
      </c>
      <c r="Q381" s="796">
        <f t="shared" si="154"/>
        <v>-5.4309877230496184E-4</v>
      </c>
      <c r="R381" s="796">
        <f t="shared" si="154"/>
        <v>1.5054057732719617E-3</v>
      </c>
      <c r="S381" s="796">
        <f t="shared" si="154"/>
        <v>6.1236986426760343E-4</v>
      </c>
      <c r="T381" s="796">
        <f t="shared" si="154"/>
        <v>-1.4530010222573164E-3</v>
      </c>
      <c r="U381" s="796">
        <f t="shared" si="154"/>
        <v>-7.8447780407575607E-4</v>
      </c>
      <c r="V381" s="796">
        <f t="shared" si="154"/>
        <v>-7.52974253481975E-4</v>
      </c>
      <c r="W381" s="796">
        <f t="shared" si="154"/>
        <v>9.8415511137317502E-5</v>
      </c>
      <c r="X381" s="796">
        <f t="shared" si="154"/>
        <v>-9.7971980583588802E-5</v>
      </c>
      <c r="Y381" s="796">
        <f t="shared" si="154"/>
        <v>6.8958723591761029E-4</v>
      </c>
      <c r="Z381" s="796">
        <f t="shared" si="154"/>
        <v>2.9895366889498565E-4</v>
      </c>
      <c r="AA381" s="796">
        <f t="shared" si="154"/>
        <v>3.0379747060815809E-4</v>
      </c>
      <c r="AB381" s="796">
        <f t="shared" si="154"/>
        <v>-2.0699648009503413E-4</v>
      </c>
      <c r="AC381" s="796">
        <f t="shared" si="154"/>
        <v>2.1326509266950122E-4</v>
      </c>
      <c r="AD381" s="796">
        <f t="shared" si="154"/>
        <v>-3.3314825473085286E-4</v>
      </c>
      <c r="AE381" s="796">
        <f t="shared" si="154"/>
        <v>-1.7592212441508437E-4</v>
      </c>
      <c r="AF381" s="796">
        <f t="shared" si="154"/>
        <v>-5.673580052663052E-4</v>
      </c>
      <c r="AG381" s="796">
        <f t="shared" si="154"/>
        <v>-1.3846579864813524E-3</v>
      </c>
      <c r="AH381" s="796">
        <f t="shared" si="154"/>
        <v>7.7730273127851746E-5</v>
      </c>
      <c r="AI381" s="796">
        <f t="shared" si="154"/>
        <v>6.2106289976493478E-4</v>
      </c>
      <c r="AJ381" s="796">
        <f t="shared" si="154"/>
        <v>-7.1304879223244022E-4</v>
      </c>
      <c r="AK381" s="796">
        <f t="shared" si="154"/>
        <v>-5.9144662759158528E-4</v>
      </c>
      <c r="AL381" s="796">
        <f t="shared" si="154"/>
        <v>1.7239121365142385E-3</v>
      </c>
      <c r="AM381" s="796">
        <f t="shared" si="154"/>
        <v>5.8763551199086939E-3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Z5" sqref="Z5:AC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73" t="s">
        <v>24</v>
      </c>
      <c r="I1" s="1273"/>
      <c r="J1" s="1273"/>
      <c r="K1" s="1273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164</v>
      </c>
      <c r="Z1" s="1271">
        <v>0.1</v>
      </c>
      <c r="AA1" s="1272"/>
      <c r="AB1" s="619"/>
      <c r="AC1" s="620"/>
      <c r="AE1" s="535" t="s">
        <v>245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0.6</v>
      </c>
      <c r="AN1" s="618"/>
      <c r="AO1" s="208"/>
      <c r="AP1" s="208"/>
      <c r="AQ1" s="208"/>
      <c r="AR1" s="535" t="s">
        <v>104</v>
      </c>
      <c r="AS1" s="367">
        <v>0.5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19" t="str">
        <f>Station</f>
        <v>MdS Escalquens</v>
      </c>
      <c r="C2" s="1220"/>
      <c r="D2" s="1220"/>
      <c r="E2" s="1220"/>
      <c r="F2" s="1221"/>
      <c r="G2" s="807" t="s">
        <v>246</v>
      </c>
      <c r="K2" s="81"/>
      <c r="L2" s="533"/>
      <c r="M2" s="38"/>
      <c r="U2" s="35"/>
      <c r="V2" s="35"/>
      <c r="W2" s="35">
        <f>+U5/Recap!L38</f>
        <v>0.10338548539437994</v>
      </c>
      <c r="X2" s="534"/>
      <c r="AA2" s="536"/>
      <c r="AB2" s="536"/>
      <c r="AC2" s="536"/>
      <c r="AD2" s="536"/>
      <c r="AE2" s="535" t="s">
        <v>165</v>
      </c>
      <c r="AF2" s="643">
        <v>3</v>
      </c>
      <c r="AG2" s="644">
        <f>+Tau_i*365</f>
        <v>1095</v>
      </c>
      <c r="AH2" s="542"/>
      <c r="AI2" s="239"/>
      <c r="AJ2" s="543"/>
      <c r="AL2" s="635" t="s">
        <v>196</v>
      </c>
      <c r="AM2" s="1268">
        <v>0.5</v>
      </c>
      <c r="AN2" s="1269"/>
      <c r="AS2" s="209" t="s">
        <v>124</v>
      </c>
      <c r="AT2" s="639">
        <f>H_i</f>
        <v>-1.5008874621829826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65">
        <f>'2019'!An</f>
        <v>2019</v>
      </c>
      <c r="B3" s="1266"/>
      <c r="C3" s="1266"/>
      <c r="D3" s="1266"/>
      <c r="E3" s="1266"/>
      <c r="F3" s="1267"/>
      <c r="G3" s="1265">
        <f>'2020'!An</f>
        <v>2020</v>
      </c>
      <c r="H3" s="1266"/>
      <c r="I3" s="1266"/>
      <c r="J3" s="1266"/>
      <c r="K3" s="1266"/>
      <c r="L3" s="1267"/>
      <c r="M3" s="1265">
        <f>'2021'!An</f>
        <v>2021</v>
      </c>
      <c r="N3" s="1266"/>
      <c r="O3" s="1266"/>
      <c r="P3" s="1266"/>
      <c r="Q3" s="1266"/>
      <c r="R3" s="1267"/>
      <c r="S3" s="1265">
        <f>'2022'!An</f>
        <v>2022</v>
      </c>
      <c r="T3" s="1266"/>
      <c r="U3" s="1266"/>
      <c r="V3" s="1266"/>
      <c r="W3" s="1266"/>
      <c r="X3" s="1267"/>
      <c r="Y3" s="1265">
        <f>'2023'!An</f>
        <v>2023</v>
      </c>
      <c r="Z3" s="1266"/>
      <c r="AA3" s="1266"/>
      <c r="AB3" s="1266"/>
      <c r="AC3" s="1266"/>
      <c r="AD3" s="1267"/>
      <c r="AE3" s="1265">
        <f>'2024'!An</f>
        <v>2024</v>
      </c>
      <c r="AF3" s="1266"/>
      <c r="AG3" s="1266"/>
      <c r="AH3" s="1266"/>
      <c r="AI3" s="1266"/>
      <c r="AJ3" s="1267"/>
      <c r="AK3" s="1265">
        <f>'2025'!An</f>
        <v>2025</v>
      </c>
      <c r="AL3" s="1266"/>
      <c r="AM3" s="1270"/>
      <c r="AN3" s="1270"/>
      <c r="AO3" s="1266"/>
      <c r="AP3" s="1267"/>
      <c r="AQ3" s="1265">
        <f>'2026'!An</f>
        <v>2026</v>
      </c>
      <c r="AR3" s="1266"/>
      <c r="AS3" s="1266"/>
      <c r="AT3" s="1266"/>
      <c r="AU3" s="1266"/>
      <c r="AV3" s="1267"/>
      <c r="AW3" s="1265">
        <f>'2027'!An</f>
        <v>2027</v>
      </c>
      <c r="AX3" s="1266"/>
      <c r="AY3" s="1266"/>
      <c r="AZ3" s="1266"/>
      <c r="BA3" s="1266"/>
      <c r="BB3" s="1267"/>
      <c r="BC3" s="1265">
        <f>'2028'!An</f>
        <v>2028</v>
      </c>
      <c r="BD3" s="1266"/>
      <c r="BE3" s="1266"/>
      <c r="BF3" s="1266"/>
      <c r="BG3" s="1266"/>
      <c r="BH3" s="1267"/>
      <c r="BI3" s="1261" t="e">
        <v>#NAME?</v>
      </c>
      <c r="BJ3" s="1262"/>
      <c r="BK3" s="1262"/>
      <c r="BL3" s="1262"/>
      <c r="BM3" s="1262"/>
      <c r="BN3" s="1263"/>
      <c r="BO3" s="1261" t="e">
        <v>#NAME?</v>
      </c>
      <c r="BP3" s="1262"/>
      <c r="BQ3" s="1262"/>
      <c r="BR3" s="1262"/>
      <c r="BS3" s="1262"/>
      <c r="BT3" s="1263"/>
      <c r="BU3" s="1261" t="e">
        <v>#NAME?</v>
      </c>
      <c r="BV3" s="1262"/>
      <c r="BW3" s="1262"/>
      <c r="BX3" s="1262"/>
      <c r="BY3" s="1262"/>
      <c r="BZ3" s="1263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 t="s">
        <v>135</v>
      </c>
      <c r="I5" s="437" t="s">
        <v>135</v>
      </c>
      <c r="J5" s="438" t="s">
        <v>135</v>
      </c>
      <c r="K5" s="439" t="s">
        <v>135</v>
      </c>
      <c r="L5" s="187"/>
      <c r="M5" s="357" t="s">
        <v>93</v>
      </c>
      <c r="N5" s="431">
        <v>44197</v>
      </c>
      <c r="O5" s="437" t="s">
        <v>355</v>
      </c>
      <c r="P5" s="1154">
        <v>0.15</v>
      </c>
      <c r="Q5" s="439" t="s">
        <v>135</v>
      </c>
      <c r="R5" s="187"/>
      <c r="S5" s="357" t="s">
        <v>93</v>
      </c>
      <c r="T5" s="431">
        <v>44683</v>
      </c>
      <c r="U5" s="437">
        <v>8.0000000000000002E-3</v>
      </c>
      <c r="V5" s="438">
        <v>0.08</v>
      </c>
      <c r="W5" s="1291">
        <v>2</v>
      </c>
      <c r="X5" s="187"/>
      <c r="Y5" s="357" t="s">
        <v>93</v>
      </c>
      <c r="Z5" s="431">
        <v>45046</v>
      </c>
      <c r="AA5" s="437" t="s">
        <v>135</v>
      </c>
      <c r="AB5" s="438">
        <f>AVERAGE(V10,P10,J10)</f>
        <v>0.10999999999999999</v>
      </c>
      <c r="AC5" s="439">
        <f>AVERAGE(W10,Q10,K10)</f>
        <v>2.6666666666666665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 t="s">
        <v>135</v>
      </c>
      <c r="C6" s="432" t="s">
        <v>135</v>
      </c>
      <c r="D6" s="1260" t="s">
        <v>135</v>
      </c>
      <c r="E6" s="1260"/>
      <c r="F6" s="188"/>
      <c r="G6" s="357" t="s">
        <v>94</v>
      </c>
      <c r="H6" s="418" t="s">
        <v>135</v>
      </c>
      <c r="I6" s="432" t="s">
        <v>135</v>
      </c>
      <c r="J6" s="1260" t="s">
        <v>135</v>
      </c>
      <c r="K6" s="1260"/>
      <c r="L6" s="188"/>
      <c r="M6" s="357" t="s">
        <v>94</v>
      </c>
      <c r="N6" s="418" t="s">
        <v>135</v>
      </c>
      <c r="O6" s="432" t="s">
        <v>135</v>
      </c>
      <c r="P6" s="1260" t="s">
        <v>135</v>
      </c>
      <c r="Q6" s="1260"/>
      <c r="R6" s="188"/>
      <c r="S6" s="357" t="s">
        <v>94</v>
      </c>
      <c r="T6" s="418" t="s">
        <v>135</v>
      </c>
      <c r="U6" s="432" t="s">
        <v>135</v>
      </c>
      <c r="V6" s="1260" t="s">
        <v>135</v>
      </c>
      <c r="W6" s="1260"/>
      <c r="X6" s="188"/>
      <c r="Y6" s="357" t="s">
        <v>94</v>
      </c>
      <c r="Z6" s="418" t="s">
        <v>135</v>
      </c>
      <c r="AA6" s="432" t="s">
        <v>135</v>
      </c>
      <c r="AB6" s="1260" t="s">
        <v>135</v>
      </c>
      <c r="AC6" s="1260"/>
      <c r="AD6" s="188"/>
      <c r="AE6" s="357" t="s">
        <v>94</v>
      </c>
      <c r="AF6" s="418" t="s">
        <v>135</v>
      </c>
      <c r="AG6" s="432" t="s">
        <v>135</v>
      </c>
      <c r="AH6" s="1260" t="s">
        <v>135</v>
      </c>
      <c r="AI6" s="1260"/>
      <c r="AJ6" s="188"/>
      <c r="AK6" s="357" t="s">
        <v>94</v>
      </c>
      <c r="AL6" s="418" t="s">
        <v>135</v>
      </c>
      <c r="AM6" s="432" t="s">
        <v>135</v>
      </c>
      <c r="AN6" s="1260" t="s">
        <v>135</v>
      </c>
      <c r="AO6" s="1260"/>
      <c r="AP6" s="188"/>
      <c r="AQ6" s="357" t="s">
        <v>94</v>
      </c>
      <c r="AR6" s="418" t="s">
        <v>135</v>
      </c>
      <c r="AS6" s="432" t="s">
        <v>135</v>
      </c>
      <c r="AT6" s="1260" t="s">
        <v>135</v>
      </c>
      <c r="AU6" s="1260"/>
      <c r="AV6" s="188"/>
      <c r="AW6" s="357" t="s">
        <v>94</v>
      </c>
      <c r="AX6" s="418" t="s">
        <v>135</v>
      </c>
      <c r="AY6" s="432" t="s">
        <v>135</v>
      </c>
      <c r="AZ6" s="1260" t="s">
        <v>135</v>
      </c>
      <c r="BA6" s="1260"/>
      <c r="BB6" s="188"/>
      <c r="BC6" s="357" t="s">
        <v>94</v>
      </c>
      <c r="BD6" s="418" t="s">
        <v>135</v>
      </c>
      <c r="BE6" s="432" t="s">
        <v>135</v>
      </c>
      <c r="BF6" s="1260" t="s">
        <v>135</v>
      </c>
      <c r="BG6" s="1260"/>
      <c r="BH6" s="188"/>
      <c r="BI6" s="357" t="s">
        <v>94</v>
      </c>
      <c r="BJ6" s="418" t="s">
        <v>135</v>
      </c>
      <c r="BK6" s="432" t="s">
        <v>135</v>
      </c>
      <c r="BL6" s="1260" t="s">
        <v>135</v>
      </c>
      <c r="BM6" s="1260"/>
      <c r="BN6" s="188"/>
      <c r="BO6" s="357" t="s">
        <v>94</v>
      </c>
      <c r="BP6" s="418" t="s">
        <v>135</v>
      </c>
      <c r="BQ6" s="432" t="s">
        <v>135</v>
      </c>
      <c r="BR6" s="1260" t="s">
        <v>135</v>
      </c>
      <c r="BS6" s="1260"/>
      <c r="BT6" s="188"/>
      <c r="BU6" s="357" t="s">
        <v>94</v>
      </c>
      <c r="BV6" s="418" t="s">
        <v>135</v>
      </c>
      <c r="BW6" s="432" t="s">
        <v>135</v>
      </c>
      <c r="BX6" s="1260" t="s">
        <v>135</v>
      </c>
      <c r="BY6" s="1260"/>
      <c r="BZ6" s="188"/>
    </row>
    <row r="7" spans="1:78" ht="15.75" x14ac:dyDescent="0.25">
      <c r="A7" s="816" t="s">
        <v>251</v>
      </c>
      <c r="B7" s="429"/>
      <c r="C7" s="429"/>
      <c r="D7" s="220"/>
      <c r="E7" s="1258">
        <f>'2019'!Dépas_env</f>
        <v>3.1291800185761387E-2</v>
      </c>
      <c r="F7" s="1259"/>
      <c r="G7" s="816" t="s">
        <v>250</v>
      </c>
      <c r="H7" s="429"/>
      <c r="I7" s="429"/>
      <c r="J7" s="220"/>
      <c r="K7" s="1258">
        <f>'2020'!Dépas_env</f>
        <v>4.690149922644915E-2</v>
      </c>
      <c r="L7" s="1259"/>
      <c r="M7" s="816" t="s">
        <v>250</v>
      </c>
      <c r="N7" s="429"/>
      <c r="O7" s="429"/>
      <c r="P7" s="220"/>
      <c r="Q7" s="1258">
        <f>'2021'!Dépas_env</f>
        <v>4.212991551600509E-2</v>
      </c>
      <c r="R7" s="1259"/>
      <c r="S7" s="816" t="s">
        <v>250</v>
      </c>
      <c r="T7" s="429"/>
      <c r="U7" s="429"/>
      <c r="V7" s="220"/>
      <c r="W7" s="1258">
        <f>'2022'!Dépas_env</f>
        <v>4.4569460583134601E-2</v>
      </c>
      <c r="X7" s="1259"/>
      <c r="Y7" s="816" t="s">
        <v>250</v>
      </c>
      <c r="Z7" s="429"/>
      <c r="AA7" s="429"/>
      <c r="AB7" s="220"/>
      <c r="AC7" s="1258">
        <f>'2023'!Dépas_env</f>
        <v>4.4569460583134601E-2</v>
      </c>
      <c r="AD7" s="1259"/>
      <c r="AE7" s="816" t="s">
        <v>250</v>
      </c>
      <c r="AF7" s="429"/>
      <c r="AG7" s="429"/>
      <c r="AH7" s="220"/>
      <c r="AI7" s="1258">
        <f>'2024'!Dépas_env</f>
        <v>4.4569460583134601E-2</v>
      </c>
      <c r="AJ7" s="1259"/>
      <c r="AK7" s="816" t="s">
        <v>250</v>
      </c>
      <c r="AL7" s="429"/>
      <c r="AM7" s="429"/>
      <c r="AN7" s="220"/>
      <c r="AO7" s="1258">
        <f>'2025'!Dépas_env</f>
        <v>4.4569460583134601E-2</v>
      </c>
      <c r="AP7" s="1259"/>
      <c r="AQ7" s="816" t="s">
        <v>250</v>
      </c>
      <c r="AR7" s="429"/>
      <c r="AS7" s="429"/>
      <c r="AT7" s="220"/>
      <c r="AU7" s="1258">
        <f>'2026'!Dépas_env</f>
        <v>4.4569460583134601E-2</v>
      </c>
      <c r="AV7" s="1259"/>
      <c r="AW7" s="816" t="s">
        <v>250</v>
      </c>
      <c r="AX7" s="429"/>
      <c r="AY7" s="429"/>
      <c r="AZ7" s="220"/>
      <c r="BA7" s="1258">
        <f>'2027'!Dépas_env</f>
        <v>4.4569460583134601E-2</v>
      </c>
      <c r="BB7" s="1259"/>
      <c r="BC7" s="816" t="s">
        <v>250</v>
      </c>
      <c r="BD7" s="429"/>
      <c r="BE7" s="429"/>
      <c r="BF7" s="220"/>
      <c r="BG7" s="1258">
        <f>'2028'!Dépas_env</f>
        <v>4.4569460583134601E-2</v>
      </c>
      <c r="BH7" s="1259"/>
      <c r="BI7" s="816" t="s">
        <v>250</v>
      </c>
      <c r="BJ7" s="429"/>
      <c r="BK7" s="429"/>
      <c r="BL7" s="220"/>
      <c r="BM7" s="1258"/>
      <c r="BN7" s="1259"/>
      <c r="BO7" s="816" t="s">
        <v>250</v>
      </c>
      <c r="BP7" s="429"/>
      <c r="BQ7" s="429"/>
      <c r="BR7" s="220"/>
      <c r="BS7" s="1258"/>
      <c r="BT7" s="1259"/>
      <c r="BU7" s="816" t="s">
        <v>250</v>
      </c>
      <c r="BV7" s="429"/>
      <c r="BW7" s="429"/>
      <c r="BX7" s="220"/>
      <c r="BY7" s="1258"/>
      <c r="BZ7" s="1259"/>
    </row>
    <row r="8" spans="1:78" ht="15.75" x14ac:dyDescent="0.25">
      <c r="A8" s="425" t="s">
        <v>134</v>
      </c>
      <c r="T8" s="645" t="s">
        <v>193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43481</v>
      </c>
      <c r="C9" s="579">
        <f>IF(B9&gt;T0,IF(C4="D",0,C4),0)</f>
        <v>0</v>
      </c>
      <c r="D9" s="580" t="s">
        <v>80</v>
      </c>
      <c r="E9" s="461" t="s">
        <v>80</v>
      </c>
      <c r="F9" s="1201">
        <f>IF(C5="I",T0,B10)</f>
        <v>43481</v>
      </c>
      <c r="G9" s="445" t="s">
        <v>92</v>
      </c>
      <c r="H9" s="578">
        <f>IF(H4="D",B9,IF(YEAR(H4)=G3,H4, "err."))</f>
        <v>43481</v>
      </c>
      <c r="I9" s="579">
        <f>IF(YEAR(H9)=G3,IF(I4="D",C9,I4),C9)</f>
        <v>0</v>
      </c>
      <c r="J9" s="581" t="s">
        <v>80</v>
      </c>
      <c r="K9" s="449" t="s">
        <v>80</v>
      </c>
      <c r="L9" s="1201">
        <f>IF(I5="I",F9,IF(YEAR(H10)=G3,H10,F9))</f>
        <v>43481</v>
      </c>
      <c r="M9" s="447" t="s">
        <v>92</v>
      </c>
      <c r="N9" s="578">
        <f>IF(N4="D",H9,IF(YEAR(N4)=M3,N4, "err."))</f>
        <v>43481</v>
      </c>
      <c r="O9" s="579">
        <f>IF(YEAR(N9)=M3,IF(O4="D",I9,O4),I9)</f>
        <v>0</v>
      </c>
      <c r="P9" s="581" t="s">
        <v>80</v>
      </c>
      <c r="Q9" s="449" t="s">
        <v>80</v>
      </c>
      <c r="R9" s="1201">
        <f>IF(O5="I",L9,IF(YEAR(N10)=M3,N10,L9))</f>
        <v>43481</v>
      </c>
      <c r="S9" s="445" t="s">
        <v>92</v>
      </c>
      <c r="T9" s="578">
        <f>IF(T4="D",N9,IF(YEAR(T4)=S3,T4, "err."))</f>
        <v>43481</v>
      </c>
      <c r="U9" s="579">
        <f>IF(YEAR(T9)=S3,IF(U4="D",O9,U4),O9)</f>
        <v>0</v>
      </c>
      <c r="V9" s="581" t="s">
        <v>80</v>
      </c>
      <c r="W9" s="449" t="s">
        <v>80</v>
      </c>
      <c r="X9" s="1201">
        <f>IF(U5="I",R9,IF(YEAR(T10)=S3,T10,R9))</f>
        <v>44683</v>
      </c>
      <c r="Y9" s="445" t="s">
        <v>92</v>
      </c>
      <c r="Z9" s="578">
        <f>IF(Z4="D",T9,IF(YEAR(Z4)=Y3,Z4, "err."))</f>
        <v>43481</v>
      </c>
      <c r="AA9" s="579">
        <f>IF(YEAR(Z9)=Y3,IF(AA4="D",U9,AA4),U9)</f>
        <v>0</v>
      </c>
      <c r="AB9" s="581" t="s">
        <v>80</v>
      </c>
      <c r="AC9" s="449" t="s">
        <v>80</v>
      </c>
      <c r="AD9" s="1201">
        <f>IF(AA5="I",X9,IF(YEAR(Z10)=Y3,Z10,X9))</f>
        <v>45046</v>
      </c>
      <c r="AE9" s="445" t="s">
        <v>92</v>
      </c>
      <c r="AF9" s="578">
        <f>IF(AF4="D",Z9,IF(YEAR(AF4)=AE3,AF4, "err."))</f>
        <v>43481</v>
      </c>
      <c r="AG9" s="579">
        <f>IF(YEAR(AF9)=AE3,IF(AG4="D",AA9,AG4),AA9)</f>
        <v>0</v>
      </c>
      <c r="AH9" s="581" t="s">
        <v>80</v>
      </c>
      <c r="AI9" s="449" t="s">
        <v>80</v>
      </c>
      <c r="AJ9" s="1201">
        <f>IF(AG5="I",AD9,IF(YEAR(AF10)=AE3,AF10,AD9))</f>
        <v>45046</v>
      </c>
      <c r="AK9" s="445" t="s">
        <v>92</v>
      </c>
      <c r="AL9" s="594">
        <f>IF(AL4="D",AF9,AL4)</f>
        <v>43481</v>
      </c>
      <c r="AM9" s="595">
        <f>IF(AM4="D",AG9,AM4)</f>
        <v>0</v>
      </c>
      <c r="AN9" s="581" t="s">
        <v>80</v>
      </c>
      <c r="AO9" s="596" t="s">
        <v>80</v>
      </c>
      <c r="AP9" s="1201">
        <f>IF(AM5="I",AJ9,IF(YEAR(AL10)=AK3,AL10,AJ9))</f>
        <v>45777</v>
      </c>
      <c r="AQ9" s="445" t="s">
        <v>92</v>
      </c>
      <c r="AR9" s="578">
        <f>IF(AR4="D",AL9,AR4)</f>
        <v>43481</v>
      </c>
      <c r="AS9" s="579">
        <f>IF(AS4="D",AM9,AS4)</f>
        <v>0</v>
      </c>
      <c r="AT9" s="581" t="s">
        <v>80</v>
      </c>
      <c r="AU9" s="449" t="s">
        <v>80</v>
      </c>
      <c r="AV9" s="1201">
        <f>IF(AS5="I",AP9,IF(YEAR(AR10)=AQ3,AR10,AP9))</f>
        <v>45777</v>
      </c>
      <c r="AW9" s="445" t="s">
        <v>92</v>
      </c>
      <c r="AX9" s="578">
        <f>IF(AX4="D",AR9,AX4)</f>
        <v>43481</v>
      </c>
      <c r="AY9" s="579">
        <f>IF(AY4="D",AS9,AY4)</f>
        <v>0</v>
      </c>
      <c r="AZ9" s="581" t="s">
        <v>80</v>
      </c>
      <c r="BA9" s="449" t="s">
        <v>80</v>
      </c>
      <c r="BB9" s="1201">
        <f>IF(AY5="I",AV9,IF(YEAR(AX10)=AW3,AX10,AV9))</f>
        <v>46507</v>
      </c>
      <c r="BC9" s="445" t="s">
        <v>92</v>
      </c>
      <c r="BD9" s="578">
        <f>IF(BD4="D",AX9,BD4)</f>
        <v>43481</v>
      </c>
      <c r="BE9" s="579">
        <f>IF(BE4="D",AY9,BE4)</f>
        <v>0</v>
      </c>
      <c r="BF9" s="581" t="s">
        <v>80</v>
      </c>
      <c r="BG9" s="449" t="s">
        <v>80</v>
      </c>
      <c r="BH9" s="1201">
        <f>IF(BE5="I",BB9,IF(YEAR(BD10)=BC3,BD10,BB9))</f>
        <v>46507</v>
      </c>
      <c r="BI9" s="445" t="s">
        <v>92</v>
      </c>
      <c r="BJ9" s="578">
        <f>IF(BJ4="D",BD9,BJ4)</f>
        <v>43481</v>
      </c>
      <c r="BK9" s="579">
        <f>IF(BK4="D",BE9,BK4)</f>
        <v>0</v>
      </c>
      <c r="BL9" s="581" t="s">
        <v>80</v>
      </c>
      <c r="BM9" s="449" t="s">
        <v>80</v>
      </c>
      <c r="BN9" s="1201" t="e">
        <f>IF(BK5="I",BH9,IF(YEAR(BJ10)=BI3,BJ10,BH9))</f>
        <v>#NAME?</v>
      </c>
      <c r="BO9" s="445" t="s">
        <v>92</v>
      </c>
      <c r="BP9" s="578">
        <f>IF(BP4="D",BJ9,BP4)</f>
        <v>43481</v>
      </c>
      <c r="BQ9" s="579">
        <f>IF(BQ4="D",BK9,BQ4)</f>
        <v>0</v>
      </c>
      <c r="BR9" s="581" t="s">
        <v>80</v>
      </c>
      <c r="BS9" s="449" t="s">
        <v>80</v>
      </c>
      <c r="BT9" s="1201" t="e">
        <f>IF(BQ5="I",BN9,IF(YEAR(BP10)=BO3,BP10,BN9))</f>
        <v>#NAME?</v>
      </c>
      <c r="BU9" s="445" t="s">
        <v>92</v>
      </c>
      <c r="BV9" s="578">
        <f>IF(BV4="D",BP9,BV4)</f>
        <v>43481</v>
      </c>
      <c r="BW9" s="579">
        <f>IF(BW4="D",BQ9,BW4)</f>
        <v>0</v>
      </c>
      <c r="BX9" s="581" t="s">
        <v>80</v>
      </c>
      <c r="BY9" s="449" t="s">
        <v>80</v>
      </c>
      <c r="BZ9" s="1201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43481</v>
      </c>
      <c r="C10" s="582">
        <f>IF(B10&gt;T0,IF(C5="D",0,C5),0)</f>
        <v>0</v>
      </c>
      <c r="D10" s="583">
        <f>IF(YEAR(B10)=A3,IF(D5="D",Salim_i,D5),Salim_i)</f>
        <v>0.1</v>
      </c>
      <c r="E10" s="584">
        <f>IF(E5="D",Tau_i,IF(YEAR(B10)=A3,E5,Tau_i))</f>
        <v>3</v>
      </c>
      <c r="F10" s="1202">
        <f>C10</f>
        <v>0</v>
      </c>
      <c r="G10" s="447" t="s">
        <v>93</v>
      </c>
      <c r="H10" s="576">
        <f>IF(H5="D",IF(AND(G3&gt;=YEAR(F9)+Inter_net,G3&gt;Amaj),DATE(G3,4,30),B10),IF(YEAR(H5)=G3,H5,"err."))</f>
        <v>43481</v>
      </c>
      <c r="I10" s="582">
        <f>IF(G3=YEAR(H10),IF(I5="D",F10,I5),C13)</f>
        <v>0</v>
      </c>
      <c r="J10" s="583">
        <f>IF(G3=YEAR(H10),IF(J5="D",D10,J5),D10)</f>
        <v>0.1</v>
      </c>
      <c r="K10" s="584">
        <f>IF(G3=YEAR(H10),IF(K5="D",E10,K5),E10)</f>
        <v>3</v>
      </c>
      <c r="L10" s="1202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44197</v>
      </c>
      <c r="O10" s="582" t="str">
        <f>IF(M3=YEAR(N10),IF(O5="D",L10,O5),I13)</f>
        <v>I</v>
      </c>
      <c r="P10" s="583">
        <f>IF(M3=YEAR(N10),IF(P5="D",J10,P5),J10)</f>
        <v>0.15</v>
      </c>
      <c r="Q10" s="584">
        <f>IF(M3=YEAR(N10),IF(Q5="D",K10,Q5),K10)</f>
        <v>3</v>
      </c>
      <c r="R10" s="1202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8.0000000000000002E-3</v>
      </c>
      <c r="V10" s="583">
        <f>IF(S3=YEAR(T10),IF(V5="D",P10,V5),P10)</f>
        <v>0.08</v>
      </c>
      <c r="W10" s="584">
        <f>IF(S3=YEAR(T10),IF(W5="D",Q10,W5),Q10)</f>
        <v>2</v>
      </c>
      <c r="X10" s="1202">
        <f>IF(U5="I",R10,IF(U5="D",R10,U5))</f>
        <v>8.0000000000000002E-3</v>
      </c>
      <c r="Y10" s="447" t="s">
        <v>93</v>
      </c>
      <c r="Z10" s="576">
        <f>IF(Z5="D",IF(AND(Y3&gt;=YEAR(X9)+Inter_net,Y3&gt;Amaj),DATE(Y3,4,30),T10),IF(YEAR(Z5)=Y3,Z5,"err."))</f>
        <v>45046</v>
      </c>
      <c r="AA10" s="582">
        <f>IF(Y3=YEAR(Z10),IF(AA5="D",X10,AA5),U13)</f>
        <v>8.0000000000000002E-3</v>
      </c>
      <c r="AB10" s="583">
        <f>IF(Y3=YEAR(Z10),IF(AB5="D",V10,AB5),V10)</f>
        <v>0.10999999999999999</v>
      </c>
      <c r="AC10" s="584">
        <f>IF(Y3=YEAR(Z10),IF(AC5="D",W10,AC5),W10)</f>
        <v>2.6666666666666665</v>
      </c>
      <c r="AD10" s="1202">
        <f>IF(AA5="I",X10,IF(AA5="D",X10,AA5))</f>
        <v>8.0000000000000002E-3</v>
      </c>
      <c r="AE10" s="447" t="s">
        <v>93</v>
      </c>
      <c r="AF10" s="576">
        <f>IF(AF5="D",IF(AND(AE3&gt;=YEAR(AD9)+Inter_net,AE3&gt;Amaj),DATE(AE3,4,30),Z10),IF(YEAR(AF5)=AE3,AF5,"err."))</f>
        <v>45046</v>
      </c>
      <c r="AG10" s="582">
        <f>IF(AE3=YEAR(AF10),IF(AG5="D",AD10,AG5),AA13)</f>
        <v>8.0000000000000002E-3</v>
      </c>
      <c r="AH10" s="583">
        <f>IF(AE3=YEAR(AF10),IF(AH5="D",AB10,AH5),AB10)</f>
        <v>0.10999999999999999</v>
      </c>
      <c r="AI10" s="584">
        <f>IF(AE3=YEAR(AF10),IF(AI5="D",AC10,AI5),AC10)</f>
        <v>2.6666666666666665</v>
      </c>
      <c r="AJ10" s="1202">
        <f>IF(AG5="I",AD10,IF(AG5="D",AD10,AG5))</f>
        <v>8.0000000000000002E-3</v>
      </c>
      <c r="AK10" s="447" t="s">
        <v>93</v>
      </c>
      <c r="AL10" s="576">
        <f>IF(AL5="D",IF(AND(AK3&gt;=YEAR(AJ9)+Inter_net,AK3&gt;Amaj),DATE(AK3,4,30),AF10),IF(YEAR(AL5)=AK3,AL5,"err."))</f>
        <v>45777</v>
      </c>
      <c r="AM10" s="582">
        <f>IF(AK3=YEAR(AL10),IF(AM5="D",AJ10,AM5),AG13)</f>
        <v>8.0000000000000002E-3</v>
      </c>
      <c r="AN10" s="583">
        <f>IF(AN5="D",AH10,AN5)</f>
        <v>0.10999999999999999</v>
      </c>
      <c r="AO10" s="584">
        <f>IF(AO5="D",AI10,AO5)</f>
        <v>2.6666666666666665</v>
      </c>
      <c r="AP10" s="1202">
        <f>IF(AM5="I",AJ10,IF(AM5="D",AJ10,AM5))</f>
        <v>8.0000000000000002E-3</v>
      </c>
      <c r="AQ10" s="447" t="s">
        <v>93</v>
      </c>
      <c r="AR10" s="576">
        <f>IF(AR5="D",IF(AND(AQ3&gt;=YEAR(AP9)+Inter_net,AQ3&gt;Amaj),DATE(AQ3,4,30),AL10),IF(YEAR(AR5)=AQ3,AR5,"err."))</f>
        <v>45777</v>
      </c>
      <c r="AS10" s="582">
        <f>IF(AQ3=YEAR(AR10),IF(AS5="D",AP10,AS5),AM13)</f>
        <v>8.0000000000000002E-3</v>
      </c>
      <c r="AT10" s="583">
        <f>IF(AT5="D",AN10,AT5)</f>
        <v>0.10999999999999999</v>
      </c>
      <c r="AU10" s="584">
        <f>IF(AU5="D",AO10,AU5)</f>
        <v>2.6666666666666665</v>
      </c>
      <c r="AV10" s="1202">
        <f>IF(AS5="I",AP10,IF(AS5="D",AP10,AS5))</f>
        <v>8.0000000000000002E-3</v>
      </c>
      <c r="AW10" s="447" t="s">
        <v>93</v>
      </c>
      <c r="AX10" s="576">
        <f>IF(AX5="D",IF(AND(AW3&gt;=YEAR(AV9)+Inter_net,AW3&gt;Amaj),DATE(AW3,4,30),AR10),IF(YEAR(AX5)=AW3,AX5,"err."))</f>
        <v>46507</v>
      </c>
      <c r="AY10" s="582">
        <f>IF(AW3=YEAR(AX10),IF(AY5="D",AV10,AY5),AS13)</f>
        <v>8.0000000000000002E-3</v>
      </c>
      <c r="AZ10" s="583">
        <f>IF(AZ5="D",AT10,AZ5)</f>
        <v>0.10999999999999999</v>
      </c>
      <c r="BA10" s="584">
        <f>IF(BA5="D",AU10,BA5)</f>
        <v>2.6666666666666665</v>
      </c>
      <c r="BB10" s="1202">
        <f>IF(AY5="I",AV10,IF(AY5="D",AV10,AY5))</f>
        <v>8.0000000000000002E-3</v>
      </c>
      <c r="BC10" s="447" t="s">
        <v>93</v>
      </c>
      <c r="BD10" s="576">
        <f>IF(BD5="D",IF(AND(BC3&gt;=YEAR(BB9)+Inter_net,BC3&gt;Amaj),DATE(BC3,4,30),AX10),IF(YEAR(BD5)=BC3,BD5,"err."))</f>
        <v>46507</v>
      </c>
      <c r="BE10" s="582">
        <f>IF(BC3=YEAR(BD10),IF(BE5="D",BB10,BE5),AY13)</f>
        <v>8.0000000000000002E-3</v>
      </c>
      <c r="BF10" s="583">
        <f>IF(BF5="D",AZ10,BF5)</f>
        <v>0.10999999999999999</v>
      </c>
      <c r="BG10" s="584">
        <f>IF(BG5="D",BA10,BG5)</f>
        <v>2.6666666666666665</v>
      </c>
      <c r="BH10" s="1202">
        <f>IF(BE5="I",BB10,IF(BE5="D",BB10,BE5))</f>
        <v>8.0000000000000002E-3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0.10999999999999999</v>
      </c>
      <c r="BM10" s="584">
        <f>IF(BM5="D",BG10,BM5)</f>
        <v>2.6666666666666665</v>
      </c>
      <c r="BN10" s="1202">
        <f>IF(BK5="I",BH10,IF(BK5="D",BH10,BK5))</f>
        <v>8.0000000000000002E-3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0.10999999999999999</v>
      </c>
      <c r="BS10" s="584">
        <f>IF(BS5="D",BM10,BS5)</f>
        <v>2.6666666666666665</v>
      </c>
      <c r="BT10" s="1202">
        <f>IF(BQ5="I",BN10,IF(BQ5="D",BN10,BQ5))</f>
        <v>8.0000000000000002E-3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0.10999999999999999</v>
      </c>
      <c r="BY10" s="584">
        <f>IF(BY5="D",BS10,BY5)</f>
        <v>2.6666666666666665</v>
      </c>
      <c r="BZ10" s="1202">
        <f>IF(BW5="I",BT10,IF(BW5="D",BT10,BW5))</f>
        <v>8.0000000000000002E-3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43466</v>
      </c>
      <c r="C11" s="585">
        <f>IF(C6="D",D_i,C6)</f>
        <v>0.6</v>
      </c>
      <c r="D11" s="1264">
        <f>IF(D6="D",IF(B11&gt;DATE(A3,1,1),H_i,H_i+PousHi),D6)</f>
        <v>-1.0008874621829826</v>
      </c>
      <c r="E11" s="1264"/>
      <c r="F11" s="188"/>
      <c r="G11" s="447" t="s">
        <v>94</v>
      </c>
      <c r="H11" s="577">
        <f>IF(H6="D",IF(AND(G3&gt;=YEAR(B11)+Inter_tai,G3&gt;Amaj),DATE(G3,3,31),B11),IF(YEAR(H6)=G3,H6,"err."))</f>
        <v>43466</v>
      </c>
      <c r="I11" s="585">
        <f>IF(I6="D",IF(G3=YEAR(H11),D_i,C11),I6)</f>
        <v>0.6</v>
      </c>
      <c r="J11" s="1264">
        <f>IF(J6="D",IF(G3=YEAR(H11),H_i,D16+E16),J6)</f>
        <v>-0.50088753972092426</v>
      </c>
      <c r="K11" s="1264"/>
      <c r="L11" s="188"/>
      <c r="M11" s="447" t="s">
        <v>94</v>
      </c>
      <c r="N11" s="577">
        <f>IF(N6="D",IF(AND(M3&gt;=YEAR(H11)+Inter_tai,M3&gt;Amaj),DATE(M3,3,31),H11),IF(YEAR(N6)=M3,N6,"err."))</f>
        <v>43466</v>
      </c>
      <c r="O11" s="585">
        <f>IF(O6="D",IF(M3=YEAR(N11),D_i,I11),O6)</f>
        <v>0.6</v>
      </c>
      <c r="P11" s="1264">
        <f>IF(P6="D",IF(M3=YEAR(N11),H_i,J16+K16),P6)</f>
        <v>-8.8761725886588039E-4</v>
      </c>
      <c r="Q11" s="1264"/>
      <c r="R11" s="188"/>
      <c r="S11" s="447" t="s">
        <v>94</v>
      </c>
      <c r="T11" s="577">
        <f>IF(T6="D",IF(AND(S3&gt;=YEAR(N11)+Inter_tai,S3&gt;Amaj),DATE(S3,3,31),N11),IF(YEAR(T6)=S3,T6,"err."))</f>
        <v>43466</v>
      </c>
      <c r="U11" s="585">
        <f>IF(U6="D",IF(S3=YEAR(T11),D_i,O11),U6)</f>
        <v>0.6</v>
      </c>
      <c r="V11" s="1264">
        <f>IF(V6="D",IF(S3=YEAR(T11),H_i,P16+Q16),V6)</f>
        <v>0.49911230520319244</v>
      </c>
      <c r="W11" s="1264"/>
      <c r="X11" s="188"/>
      <c r="Y11" s="447" t="s">
        <v>94</v>
      </c>
      <c r="Z11" s="577">
        <f>IF(Z6="D",IF(AND(Y3&gt;=YEAR(T11)+Inter_tai,Y3&gt;Amaj),DATE(Y3,3,31),T11),IF(YEAR(Z6)=Y3,Z6,"err."))</f>
        <v>43466</v>
      </c>
      <c r="AA11" s="585">
        <f>IF(AA6="D",IF(Y3=YEAR(Z11),D_i,U11),AA6)</f>
        <v>0.6</v>
      </c>
      <c r="AB11" s="1264">
        <f>IF(AB6="D",IF(Y3=YEAR(Z11),H_i,V16+W16),AB6)</f>
        <v>0.99911222766525076</v>
      </c>
      <c r="AC11" s="1264"/>
      <c r="AD11" s="188"/>
      <c r="AE11" s="447" t="s">
        <v>94</v>
      </c>
      <c r="AF11" s="577">
        <f>IF(AF6="D",IF(AND(AE3&gt;=YEAR(Z11)+Inter_tai,AE3&gt;Amaj),DATE(AE3,3,31),Z11),IF(YEAR(AF6)=AE3,AF6,"err."))</f>
        <v>43466</v>
      </c>
      <c r="AG11" s="585">
        <f>IF(AG6="D",IF(AE3=YEAR(AF11),D_i,AA11),AG6)</f>
        <v>0.6</v>
      </c>
      <c r="AH11" s="1264">
        <f>IF(AH6="D",IF(AE3=YEAR(AF11),H_i,AB16+AC16),AH6)</f>
        <v>1.499112150127309</v>
      </c>
      <c r="AI11" s="1264"/>
      <c r="AJ11" s="188"/>
      <c r="AK11" s="447" t="s">
        <v>94</v>
      </c>
      <c r="AL11" s="577">
        <f>IF(AL6="D",IF(AND(AK3&gt;=YEAR(AF11)+Inter_tai,AK3&gt;Amaj),DATE(AK3,3,31),AF11),IF(YEAR(AL6)=AK3,AL6,"err."))</f>
        <v>43466</v>
      </c>
      <c r="AM11" s="585">
        <f>IF(AM6="D",IF(AK3=YEAR(AL11),D_i,AG11),AM6)</f>
        <v>0.6</v>
      </c>
      <c r="AN11" s="1264">
        <f>IF(AN6="D",IF(AK3=YEAR(AL11),H_i,AH16+PousHi),AN6)</f>
        <v>1.9991120725893674</v>
      </c>
      <c r="AO11" s="1264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0.6</v>
      </c>
      <c r="AT11" s="1264">
        <f>IF(AT6="D",IF(AQ3=YEAR(AR11),H_i,AN16+PousHi),AT6)</f>
        <v>-1.5008874621829826</v>
      </c>
      <c r="AU11" s="1264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0.6</v>
      </c>
      <c r="AZ11" s="1264">
        <f>IF(AZ6="D",IF(AW3=YEAR(AX11),H_i,AT16+PousHi),AZ6)</f>
        <v>-0.52587564886049476</v>
      </c>
      <c r="BA11" s="1264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0.6</v>
      </c>
      <c r="BF11" s="1264">
        <f>IF(BF6="D",IF(BC3=YEAR(BD11),H_i,AZ16+PousHi),BF6)</f>
        <v>-2.5875726398436383E-2</v>
      </c>
      <c r="BG11" s="1264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4" t="e">
        <f>IF(BL6="D",IF(BI3=YEAR(BJ11),H_i,BF16+PousHi),BL6)</f>
        <v>#NAME?</v>
      </c>
      <c r="BM11" s="1264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4" t="e">
        <f>IF(BR6="D",IF(BO3=YEAR(BP11),H_i,BL16+PousHi),BR6)</f>
        <v>#NAME?</v>
      </c>
      <c r="BS11" s="1264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4" t="e">
        <f>IF(BX6="D",IF(BU3=YEAR(BV11),H_i,BR16+PousHi),BX6)</f>
        <v>#NAME?</v>
      </c>
      <c r="BY11" s="1264"/>
      <c r="BZ11" s="188"/>
    </row>
    <row r="12" spans="1:78" x14ac:dyDescent="0.25">
      <c r="A12" s="8" t="s">
        <v>163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43481</v>
      </c>
      <c r="C13" s="587">
        <f>+'2019'!Resal</f>
        <v>0</v>
      </c>
      <c r="D13" s="588">
        <f>+'2019'!Salim</f>
        <v>0.1</v>
      </c>
      <c r="E13" s="589">
        <f>+'2019'!Tau_j/365</f>
        <v>3</v>
      </c>
      <c r="F13" s="463"/>
      <c r="G13" s="465" t="s">
        <v>93</v>
      </c>
      <c r="H13" s="586">
        <f>+'2020'!Tnet</f>
        <v>43481</v>
      </c>
      <c r="I13" s="587">
        <f>+'2020'!Resal</f>
        <v>0</v>
      </c>
      <c r="J13" s="588">
        <f>+'2020'!Salim</f>
        <v>0.1</v>
      </c>
      <c r="K13" s="589">
        <f>+'2020'!Tau_j/365</f>
        <v>3</v>
      </c>
      <c r="L13" s="466"/>
      <c r="M13" s="447" t="s">
        <v>93</v>
      </c>
      <c r="N13" s="586">
        <f>+'2021'!Tnet</f>
        <v>44197</v>
      </c>
      <c r="O13" s="587">
        <f>+'2021'!Resal</f>
        <v>4.7997650125778057E-2</v>
      </c>
      <c r="P13" s="588">
        <f>+'2021'!Salim</f>
        <v>0.15</v>
      </c>
      <c r="Q13" s="589">
        <f>+'2021'!Tau_j/365</f>
        <v>3</v>
      </c>
      <c r="R13" s="466"/>
      <c r="S13" s="447" t="s">
        <v>93</v>
      </c>
      <c r="T13" s="586">
        <f>+'2022'!Tnet</f>
        <v>44683</v>
      </c>
      <c r="U13" s="587">
        <f>+'2022'!Resal</f>
        <v>8.0000000000000002E-3</v>
      </c>
      <c r="V13" s="588">
        <f>+'2022'!Salim</f>
        <v>0.08</v>
      </c>
      <c r="W13" s="589">
        <f>+'2022'!Tau_j/365</f>
        <v>2</v>
      </c>
      <c r="X13" s="466"/>
      <c r="Y13" s="447" t="s">
        <v>93</v>
      </c>
      <c r="Z13" s="586">
        <f>+'2023'!Tnet</f>
        <v>45046</v>
      </c>
      <c r="AA13" s="587">
        <f>+'2023'!Resal</f>
        <v>8.0000000000000002E-3</v>
      </c>
      <c r="AB13" s="588">
        <f>+'2023'!Salim</f>
        <v>0.10999999999999999</v>
      </c>
      <c r="AC13" s="589">
        <f>+'2023'!Tau_j/365</f>
        <v>2.6666666666666665</v>
      </c>
      <c r="AD13" s="466"/>
      <c r="AE13" s="447" t="s">
        <v>93</v>
      </c>
      <c r="AF13" s="586">
        <f>+'2024'!Tnet</f>
        <v>45046</v>
      </c>
      <c r="AG13" s="587">
        <f>+'2024'!Resal</f>
        <v>8.0000000000000002E-3</v>
      </c>
      <c r="AH13" s="588">
        <f>+'2024'!Salim</f>
        <v>0.10999999999999999</v>
      </c>
      <c r="AI13" s="589">
        <f>+'2024'!Tau_j/365</f>
        <v>2.6666666666666665</v>
      </c>
      <c r="AJ13" s="466"/>
      <c r="AK13" s="447" t="s">
        <v>93</v>
      </c>
      <c r="AL13" s="586">
        <f>+'2025'!Tnet</f>
        <v>45777</v>
      </c>
      <c r="AM13" s="587">
        <f>+'2025'!Resal</f>
        <v>8.0000000000000002E-3</v>
      </c>
      <c r="AN13" s="588">
        <f>+'2025'!Salim</f>
        <v>0.10999999999999999</v>
      </c>
      <c r="AO13" s="589">
        <f>+'2025'!Tau_j/365</f>
        <v>2.6666666666666665</v>
      </c>
      <c r="AP13" s="463"/>
      <c r="AQ13" s="447" t="s">
        <v>93</v>
      </c>
      <c r="AR13" s="586">
        <f>+'2026'!Tnet</f>
        <v>45777</v>
      </c>
      <c r="AS13" s="587">
        <f>+'2026'!Resal</f>
        <v>8.0000000000000002E-3</v>
      </c>
      <c r="AT13" s="588">
        <f>+'2026'!Salim</f>
        <v>0.10999999999999999</v>
      </c>
      <c r="AU13" s="589">
        <f>+'2026'!Tau_j/365</f>
        <v>2.6666666666666665</v>
      </c>
      <c r="AV13" s="463"/>
      <c r="AW13" s="447" t="s">
        <v>93</v>
      </c>
      <c r="AX13" s="586">
        <f>+'2027'!Tnet</f>
        <v>46507</v>
      </c>
      <c r="AY13" s="587">
        <f>+'2027'!Resal</f>
        <v>8.0000000000000002E-3</v>
      </c>
      <c r="AZ13" s="588">
        <f>+'2027'!Salim</f>
        <v>0.10999999999999999</v>
      </c>
      <c r="BA13" s="589">
        <f>+'2027'!Tau_j/365</f>
        <v>2.6666666666666665</v>
      </c>
      <c r="BB13" s="463"/>
      <c r="BC13" s="447" t="s">
        <v>93</v>
      </c>
      <c r="BD13" s="586">
        <f>+'2028'!Tnet</f>
        <v>46507</v>
      </c>
      <c r="BE13" s="587">
        <f>+'2028'!Resal</f>
        <v>8.0000000000000002E-3</v>
      </c>
      <c r="BF13" s="588">
        <f>+'2028'!Salim</f>
        <v>0.10999999999999999</v>
      </c>
      <c r="BG13" s="589">
        <f>+'2028'!Tau_j/365</f>
        <v>2.6666666666666665</v>
      </c>
      <c r="BH13" s="463"/>
      <c r="BI13" s="447" t="s">
        <v>93</v>
      </c>
      <c r="BJ13" s="586">
        <f>+'2019'!Tnet</f>
        <v>43481</v>
      </c>
      <c r="BK13" s="587">
        <f>+'2019'!Resal</f>
        <v>0</v>
      </c>
      <c r="BL13" s="588">
        <f>+'2019'!Salim</f>
        <v>0.1</v>
      </c>
      <c r="BM13" s="589">
        <f>+'2019'!Tau_j/365</f>
        <v>3</v>
      </c>
      <c r="BN13" s="463"/>
      <c r="BO13" s="447" t="s">
        <v>93</v>
      </c>
      <c r="BP13" s="586">
        <f>+'2019'!Tnet</f>
        <v>43481</v>
      </c>
      <c r="BQ13" s="587">
        <f>+'2019'!Resal</f>
        <v>0</v>
      </c>
      <c r="BR13" s="588">
        <f>+'2019'!Salim</f>
        <v>0.1</v>
      </c>
      <c r="BS13" s="589">
        <f>+'2019'!Tau_j/365</f>
        <v>3</v>
      </c>
      <c r="BT13" s="463"/>
      <c r="BU13" s="447" t="s">
        <v>93</v>
      </c>
      <c r="BV13" s="586">
        <f>+'2019'!Tnet</f>
        <v>43481</v>
      </c>
      <c r="BW13" s="587">
        <f>+'2019'!Resal</f>
        <v>0</v>
      </c>
      <c r="BX13" s="588">
        <f>+'2019'!Salim</f>
        <v>0.1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43466</v>
      </c>
      <c r="C15" s="591">
        <f>'2019'!Dd</f>
        <v>0.6</v>
      </c>
      <c r="D15" s="591">
        <f>'2019'!Df</f>
        <v>0.6</v>
      </c>
      <c r="E15" s="591">
        <f>'2019'!PousD</f>
        <v>0</v>
      </c>
      <c r="F15" s="467"/>
      <c r="G15" s="483" t="s">
        <v>128</v>
      </c>
      <c r="H15" s="590">
        <f>H11</f>
        <v>43466</v>
      </c>
      <c r="I15" s="591">
        <f>'2020'!Dd</f>
        <v>0.6</v>
      </c>
      <c r="J15" s="591">
        <f>'2020'!Df</f>
        <v>0.6</v>
      </c>
      <c r="K15" s="591">
        <f>'2020'!PousD</f>
        <v>0</v>
      </c>
      <c r="L15" s="467"/>
      <c r="M15" s="483" t="s">
        <v>128</v>
      </c>
      <c r="N15" s="590">
        <f>N11</f>
        <v>43466</v>
      </c>
      <c r="O15" s="591">
        <f>'2021'!Dd</f>
        <v>0.6</v>
      </c>
      <c r="P15" s="591">
        <f>'2021'!Df</f>
        <v>0.6</v>
      </c>
      <c r="Q15" s="591">
        <f>'2021'!PousD</f>
        <v>0</v>
      </c>
      <c r="R15" s="467"/>
      <c r="S15" s="484" t="s">
        <v>128</v>
      </c>
      <c r="T15" s="590">
        <f>T11</f>
        <v>43466</v>
      </c>
      <c r="U15" s="591">
        <f>'2022'!Dd</f>
        <v>0.6</v>
      </c>
      <c r="V15" s="591">
        <f>'2022'!Df</f>
        <v>0.6</v>
      </c>
      <c r="W15" s="591">
        <f>'2022'!PousD</f>
        <v>0</v>
      </c>
      <c r="X15" s="467"/>
      <c r="Y15" s="484" t="s">
        <v>128</v>
      </c>
      <c r="Z15" s="590">
        <f>Z11</f>
        <v>43466</v>
      </c>
      <c r="AA15" s="591">
        <f>'2023'!Dd</f>
        <v>0.6</v>
      </c>
      <c r="AB15" s="591">
        <f>'2023'!Df</f>
        <v>0.6</v>
      </c>
      <c r="AC15" s="591">
        <f>'2023'!PousD</f>
        <v>0</v>
      </c>
      <c r="AD15" s="467"/>
      <c r="AE15" s="484" t="s">
        <v>128</v>
      </c>
      <c r="AF15" s="590">
        <f>AF11</f>
        <v>43466</v>
      </c>
      <c r="AG15" s="591">
        <f>'2024'!Dd</f>
        <v>0.6</v>
      </c>
      <c r="AH15" s="591">
        <f>'2024'!Df</f>
        <v>0.6</v>
      </c>
      <c r="AI15" s="591">
        <f>'2024'!PousD</f>
        <v>0</v>
      </c>
      <c r="AJ15" s="467"/>
      <c r="AK15" s="484" t="s">
        <v>128</v>
      </c>
      <c r="AL15" s="590">
        <f>AL11</f>
        <v>43466</v>
      </c>
      <c r="AM15" s="591">
        <f>'2025'!Dd</f>
        <v>0.6</v>
      </c>
      <c r="AN15" s="591">
        <f>'2025'!Df</f>
        <v>0.6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0.6</v>
      </c>
      <c r="AT15" s="591">
        <f>'2026'!Df</f>
        <v>0.6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0.6</v>
      </c>
      <c r="AZ15" s="591">
        <f>'2027'!Df</f>
        <v>0.6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0.6</v>
      </c>
      <c r="BF15" s="591">
        <f>'2028'!Df</f>
        <v>0.6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0.6</v>
      </c>
      <c r="BL15" s="591">
        <f>'2019'!Df</f>
        <v>0.6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0.6</v>
      </c>
      <c r="BR15" s="591">
        <f>'2019'!Df</f>
        <v>0.6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0.6</v>
      </c>
      <c r="BX15" s="591">
        <f>'2019'!Df</f>
        <v>0.6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-1.5008874621829826</v>
      </c>
      <c r="D16" s="593">
        <f>'2019'!Hdf</f>
        <v>-1.0008875397209243</v>
      </c>
      <c r="E16" s="593">
        <f>'2019'!PousH</f>
        <v>0.5</v>
      </c>
      <c r="F16" s="459"/>
      <c r="G16" s="473" t="s">
        <v>127</v>
      </c>
      <c r="H16" s="592"/>
      <c r="I16" s="593">
        <f>'2020'!Hdd</f>
        <v>-1.0008875397209243</v>
      </c>
      <c r="J16" s="593">
        <f>'2020'!Hdf</f>
        <v>-0.50088761725886588</v>
      </c>
      <c r="K16" s="593">
        <f>'2020'!PousH</f>
        <v>0.5</v>
      </c>
      <c r="L16" s="459"/>
      <c r="M16" s="473" t="s">
        <v>127</v>
      </c>
      <c r="N16" s="592"/>
      <c r="O16" s="593">
        <f>'2021'!Hdd</f>
        <v>-0.50088761725886588</v>
      </c>
      <c r="P16" s="593">
        <f>'2021'!Hdf</f>
        <v>-8.8769479680755881E-4</v>
      </c>
      <c r="Q16" s="593">
        <f>'2021'!PousH</f>
        <v>0.5</v>
      </c>
      <c r="R16" s="459"/>
      <c r="S16" s="474" t="s">
        <v>127</v>
      </c>
      <c r="T16" s="592"/>
      <c r="U16" s="593">
        <f>'2022'!Hdd</f>
        <v>-8.8769479680755881E-4</v>
      </c>
      <c r="V16" s="593">
        <f>'2022'!Hdf</f>
        <v>0.49911222766525076</v>
      </c>
      <c r="W16" s="593">
        <f>'2022'!PousH</f>
        <v>0.5</v>
      </c>
      <c r="X16" s="459"/>
      <c r="Y16" s="474" t="s">
        <v>127</v>
      </c>
      <c r="Z16" s="592"/>
      <c r="AA16" s="593">
        <f>'2023'!Hdd</f>
        <v>0.49911222766525076</v>
      </c>
      <c r="AB16" s="593">
        <f>'2023'!Hdf</f>
        <v>0.99911215012730903</v>
      </c>
      <c r="AC16" s="593">
        <f>'2023'!PousH</f>
        <v>0.5</v>
      </c>
      <c r="AD16" s="459"/>
      <c r="AE16" s="474" t="s">
        <v>127</v>
      </c>
      <c r="AF16" s="592"/>
      <c r="AG16" s="593">
        <f>'2024'!Hdd</f>
        <v>0.99911215012730903</v>
      </c>
      <c r="AH16" s="593">
        <f>'2024'!Hdf</f>
        <v>1.4991120725893674</v>
      </c>
      <c r="AI16" s="593">
        <f>'2024'!PousH</f>
        <v>0.5</v>
      </c>
      <c r="AJ16" s="459"/>
      <c r="AK16" s="474" t="s">
        <v>127</v>
      </c>
      <c r="AL16" s="592"/>
      <c r="AM16" s="593">
        <f>'2025'!Hdd</f>
        <v>1.4991120725893674</v>
      </c>
      <c r="AN16" s="593">
        <f>'2025'!Hdf</f>
        <v>1.9991119950514258</v>
      </c>
      <c r="AO16" s="593">
        <f>'2025'!PousH</f>
        <v>0.5</v>
      </c>
      <c r="AP16" s="459"/>
      <c r="AQ16" s="474" t="s">
        <v>127</v>
      </c>
      <c r="AR16" s="592"/>
      <c r="AS16" s="593">
        <f>'2026'!Hdd</f>
        <v>1.9991119950514258</v>
      </c>
      <c r="AT16" s="593">
        <f>'2026'!Hdf</f>
        <v>-1.0258756488604948</v>
      </c>
      <c r="AU16" s="593">
        <f>'2026'!PousH</f>
        <v>0.5</v>
      </c>
      <c r="AV16" s="459"/>
      <c r="AW16" s="474" t="s">
        <v>127</v>
      </c>
      <c r="AX16" s="592"/>
      <c r="AY16" s="593">
        <f>'2027'!Hdd</f>
        <v>-1.0258756488604948</v>
      </c>
      <c r="AZ16" s="593">
        <f>'2027'!Hdf</f>
        <v>-0.52587572639843638</v>
      </c>
      <c r="BA16" s="593">
        <f>'2027'!PousH</f>
        <v>0.5</v>
      </c>
      <c r="BB16" s="459"/>
      <c r="BC16" s="474" t="s">
        <v>127</v>
      </c>
      <c r="BD16" s="592"/>
      <c r="BE16" s="593">
        <f>'2028'!Hdd</f>
        <v>-0.52587572639843638</v>
      </c>
      <c r="BF16" s="593">
        <f>'2028'!Hdf</f>
        <v>-2.5875803936378061E-2</v>
      </c>
      <c r="BG16" s="593">
        <f>'2028'!PousH</f>
        <v>0.5</v>
      </c>
      <c r="BH16" s="459"/>
      <c r="BI16" s="474" t="s">
        <v>127</v>
      </c>
      <c r="BJ16" s="592"/>
      <c r="BK16" s="593">
        <f>'2019'!Hdd</f>
        <v>-1.5008874621829826</v>
      </c>
      <c r="BL16" s="593">
        <f>'2019'!Hdf</f>
        <v>-1.0008875397209243</v>
      </c>
      <c r="BM16" s="593">
        <f>'2019'!PousH</f>
        <v>0.5</v>
      </c>
      <c r="BN16" s="459"/>
      <c r="BO16" s="474" t="s">
        <v>127</v>
      </c>
      <c r="BP16" s="592"/>
      <c r="BQ16" s="593">
        <f>'2019'!Hdd</f>
        <v>-1.5008874621829826</v>
      </c>
      <c r="BR16" s="593">
        <f>'2019'!Hdf</f>
        <v>-1.0008875397209243</v>
      </c>
      <c r="BS16" s="593">
        <f>'2019'!PousH</f>
        <v>0.5</v>
      </c>
      <c r="BT16" s="459"/>
      <c r="BU16" s="474" t="s">
        <v>127</v>
      </c>
      <c r="BV16" s="592"/>
      <c r="BW16" s="593">
        <f>'2019'!Hdd</f>
        <v>-1.5008874621829826</v>
      </c>
      <c r="BX16" s="593">
        <f>'2019'!Hdf</f>
        <v>-1.0008875397209243</v>
      </c>
      <c r="BY16" s="593">
        <f>'2019'!PousH</f>
        <v>0.5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0</v>
      </c>
      <c r="C20" s="48">
        <f>'2019'!O29</f>
        <v>0</v>
      </c>
      <c r="D20" s="66">
        <f>'2019'!P29</f>
        <v>6.6922702677487345E-7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3.4371451234297856E-2</v>
      </c>
      <c r="AG20" s="48">
        <f>'2024'!O29</f>
        <v>3.191606492071352E-2</v>
      </c>
      <c r="AH20" s="66">
        <f>'2024'!P29</f>
        <v>5.8846586929520057E-3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5.7478341398575772E-4</v>
      </c>
      <c r="C21" s="48">
        <f>'2019'!O60</f>
        <v>2.7029807853834751E-3</v>
      </c>
      <c r="D21" s="66">
        <f>'2019'!P60</f>
        <v>1.9306096186591396E-6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3.4944973922070188E-2</v>
      </c>
      <c r="AG21" s="48">
        <f>'2024'!O60</f>
        <v>3.43645234346431E-2</v>
      </c>
      <c r="AH21" s="66">
        <f>'2024'!P60</f>
        <v>2.7870285948310845E-3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1.1109498573533827E-3</v>
      </c>
      <c r="C22" s="48">
        <f>'2019'!O88</f>
        <v>5.1621695965339215E-3</v>
      </c>
      <c r="D22" s="66">
        <f>'2019'!P88</f>
        <v>2.1137938231352497E-6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3.5462701624352722E-2</v>
      </c>
      <c r="AG22" s="48">
        <f>'2024'!O88</f>
        <v>3.6526503802201446E-2</v>
      </c>
      <c r="AH22" s="66">
        <f>'2024'!P88</f>
        <v>8.5775173396458206E-4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1.7042271931948516E-3</v>
      </c>
      <c r="C23" s="48">
        <f>'2019'!O119</f>
        <v>7.8449781295631456E-3</v>
      </c>
      <c r="D23" s="66">
        <f>'2019'!P119</f>
        <v>3.2216916749331E-6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3.6035576177956385E-2</v>
      </c>
      <c r="AG23" s="48">
        <f>'2024'!O119</f>
        <v>3.8999976058180459E-2</v>
      </c>
      <c r="AH23" s="66">
        <f>'2024'!P119</f>
        <v>3.5472202516900259E-4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2.2780310456562702E-3</v>
      </c>
      <c r="C24" s="48">
        <f>'2019'!O149</f>
        <v>1.0505159673692E-2</v>
      </c>
      <c r="D24" s="66">
        <f>'2019'!P149</f>
        <v>5.5249475450964976E-6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3.6589646940441534E-2</v>
      </c>
      <c r="AG24" s="48">
        <f>'2024'!O149</f>
        <v>4.179319895181241E-2</v>
      </c>
      <c r="AH24" s="66">
        <f>'2024'!P149</f>
        <v>2.2951381360634488E-4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2.8706152085993253E-3</v>
      </c>
      <c r="C25" s="48">
        <f>'2019'!O180</f>
        <v>1.3325519994466515E-2</v>
      </c>
      <c r="D25" s="66">
        <f>'2019'!P180</f>
        <v>7.0218468852208054E-6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3.7161852159333209E-2</v>
      </c>
      <c r="AG25" s="48">
        <f>'2024'!O180</f>
        <v>4.4897140516196657E-2</v>
      </c>
      <c r="AH25" s="66">
        <f>'2024'!P180</f>
        <v>1.9364816384223696E-4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3.4437486405752837E-3</v>
      </c>
      <c r="C26" s="48">
        <f>'2019'!O210</f>
        <v>1.5909162922213498E-2</v>
      </c>
      <c r="D26" s="66">
        <f>'2019'!P210</f>
        <v>1.6928605388400049E-5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3.7715275557064776E-2</v>
      </c>
      <c r="AG26" s="48">
        <f>'2024'!O210</f>
        <v>4.7399028999268372E-2</v>
      </c>
      <c r="AH26" s="66">
        <f>'2024'!P210</f>
        <v>2.9583831620036411E-4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4.0356404405086366E-3</v>
      </c>
      <c r="C27" s="48">
        <f>'2019'!O241</f>
        <v>1.8394482297894095E-2</v>
      </c>
      <c r="D27" s="66">
        <f>'2019'!P241</f>
        <v>4.2835681251954153E-5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3.8286812223281008E-2</v>
      </c>
      <c r="AG27" s="48">
        <f>'2024'!O241</f>
        <v>4.9531637161841141E-2</v>
      </c>
      <c r="AH27" s="66">
        <f>'2024'!P241</f>
        <v>5.9525402504974898E-4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4.6271806939013338E-3</v>
      </c>
      <c r="C28" s="48">
        <f>'2019'!O272</f>
        <v>2.0741759249206924E-2</v>
      </c>
      <c r="D28" s="66">
        <f>'2019'!P272</f>
        <v>1.0339693074486773E-4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3.8858009432627072E-2</v>
      </c>
      <c r="AG28" s="48">
        <f>'2024'!O272</f>
        <v>5.1427223659341929E-2</v>
      </c>
      <c r="AH28" s="66">
        <f>'2024'!P272</f>
        <v>1.4404359911264783E-3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5.1993044811706746E-3</v>
      </c>
      <c r="C29" s="48">
        <f>'2019'!O302</f>
        <v>2.2755621259663166E-2</v>
      </c>
      <c r="D29" s="66">
        <f>'2019'!P302</f>
        <v>2.6898122360666308E-4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3.9410457907290475E-2</v>
      </c>
      <c r="AG29" s="48">
        <f>'2024'!O302</f>
        <v>5.2773019806849043E-2</v>
      </c>
      <c r="AH29" s="66">
        <f>'2024'!P302</f>
        <v>4.3697121963424609E-3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5.7901535912359137E-3</v>
      </c>
      <c r="C30" s="48">
        <f>'2019'!O333</f>
        <v>2.4496622984871232E-2</v>
      </c>
      <c r="D30" s="66">
        <f>'2019'!P333</f>
        <v>6.477324616902721E-4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3.9980987741698559E-2</v>
      </c>
      <c r="AG30" s="48">
        <f>'2024'!O333</f>
        <v>5.3567306938204606E-2</v>
      </c>
      <c r="AH30" s="66">
        <f>'2024'!P333</f>
        <v>8.4154570976751972E-3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6.3616089209730387E-3</v>
      </c>
      <c r="C31" s="49">
        <f>'2019'!O363</f>
        <v>2.6273662500495131E-2</v>
      </c>
      <c r="D31" s="67">
        <f>'2019'!P363</f>
        <v>8.9944517648747331E-4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4.0532790747055625E-2</v>
      </c>
      <c r="AG31" s="49">
        <f>'2024'!O363</f>
        <v>5.4700955019435019E-2</v>
      </c>
      <c r="AH31" s="67">
        <f>'2024'!P363</f>
        <v>1.0347764762820361E-2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6.9517676952283169E-3</v>
      </c>
      <c r="C32" s="48">
        <f>'2020'!O29</f>
        <v>2.8285913644493815E-2</v>
      </c>
      <c r="D32" s="66">
        <f>'2020'!P29</f>
        <v>6.1775876930340835E-4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4.1121031035149525E-2</v>
      </c>
      <c r="AG32" s="48">
        <f>'2025'!O29</f>
        <v>5.6394356146569305E-2</v>
      </c>
      <c r="AH32" s="66">
        <f>'2025'!P29</f>
        <v>7.9711488514366598E-3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7.5415759522511339E-3</v>
      </c>
      <c r="C33" s="48">
        <f>'2020'!O60</f>
        <v>3.0288305250327382E-2</v>
      </c>
      <c r="D33" s="66">
        <f>'2020'!P60</f>
        <v>2.6396558962764869E-4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4.1690544896594517E-2</v>
      </c>
      <c r="AG33" s="48">
        <f>'2025'!O60</f>
        <v>5.8075602868343207E-2</v>
      </c>
      <c r="AH33" s="66">
        <f>'2025'!P60</f>
        <v>3.8328824635280125E-3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8.0740048869839542E-3</v>
      </c>
      <c r="C34" s="48">
        <f>'2020'!O88</f>
        <v>3.2063320396163247E-2</v>
      </c>
      <c r="D34" s="66">
        <f>'2020'!P88</f>
        <v>8.530544520425688E-5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4.2204653770036349E-2</v>
      </c>
      <c r="AG34" s="48">
        <f>'2025'!O88</f>
        <v>5.957570781661984E-2</v>
      </c>
      <c r="AH34" s="66">
        <f>'2025'!P88</f>
        <v>1.2147361989174304E-3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8.6631466056247275E-3</v>
      </c>
      <c r="C35" s="48">
        <f>'2020'!O119</f>
        <v>3.4108441645641745E-2</v>
      </c>
      <c r="D35" s="66">
        <f>'2020'!P119</f>
        <v>4.1315169929050899E-5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4.2773524027660659E-2</v>
      </c>
      <c r="AG35" s="48">
        <f>'2025'!O119</f>
        <v>6.1423309991306303E-2</v>
      </c>
      <c r="AH35" s="66">
        <f>'2025'!P119</f>
        <v>4.8777942568848878E-4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9.2329505866286521E-3</v>
      </c>
      <c r="C36" s="48">
        <f>'2020'!O149</f>
        <v>3.6444717323084588E-2</v>
      </c>
      <c r="D36" s="66">
        <f>'2020'!P149</f>
        <v>3.1211118811315736E-5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4.3323721929477532E-2</v>
      </c>
      <c r="AG36" s="48">
        <f>'2025'!O149</f>
        <v>9.7522907055955441E-3</v>
      </c>
      <c r="AH36" s="66">
        <f>'2025'!P149</f>
        <v>3.0853981658075476E-4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9.8214039643401696E-3</v>
      </c>
      <c r="C37" s="48">
        <f>'2020'!O180</f>
        <v>3.9054727433577886E-2</v>
      </c>
      <c r="D37" s="66">
        <f>'2020'!P180</f>
        <v>2.7574523756124097E-5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4.3891927530925856E-2</v>
      </c>
      <c r="AG37" s="48">
        <f>'2025'!O180</f>
        <v>1.3228328351748626E-2</v>
      </c>
      <c r="AH37" s="66">
        <f>'2025'!P180</f>
        <v>2.5961265707396023E-4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1.0390542198225217E-2</v>
      </c>
      <c r="C38" s="48">
        <f>'2020'!O210</f>
        <v>4.1150347571422427E-2</v>
      </c>
      <c r="D38" s="66">
        <f>'2020'!P210</f>
        <v>5.3145664706758833E-5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4.4441482592958992E-2</v>
      </c>
      <c r="AG38" s="48">
        <f>'2025'!O210</f>
        <v>1.6437115733753269E-2</v>
      </c>
      <c r="AH38" s="66">
        <f>'2025'!P210</f>
        <v>3.8423694120036291E-4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1.0978308039250595E-2</v>
      </c>
      <c r="C39" s="48">
        <f>'2020'!O241</f>
        <v>4.2930814591584265E-2</v>
      </c>
      <c r="D39" s="66">
        <f>'2020'!P241</f>
        <v>1.1870375784803206E-4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4.5009024314801804E-2</v>
      </c>
      <c r="AG39" s="48">
        <f>'2025'!O241</f>
        <v>1.9540646362387459E-2</v>
      </c>
      <c r="AH39" s="66">
        <f>'2025'!P241</f>
        <v>7.6271387301020117E-4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1.1565724784295628E-2</v>
      </c>
      <c r="C40" s="48">
        <f>'2020'!O272</f>
        <v>4.4514290220610368E-2</v>
      </c>
      <c r="D40" s="66">
        <f>'2020'!P272</f>
        <v>2.8151092069500023E-4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4.5576228952520337E-2</v>
      </c>
      <c r="AG40" s="48">
        <f>'2025'!O272</f>
        <v>2.2472481362311208E-2</v>
      </c>
      <c r="AH40" s="66">
        <f>'2025'!P272</f>
        <v>1.8576965718794744E-3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1.213386041150466E-2</v>
      </c>
      <c r="C41" s="48">
        <f>'2020'!O302</f>
        <v>4.5631787749534844E-2</v>
      </c>
      <c r="D41" s="66">
        <f>'2020'!P302</f>
        <v>8.0589328078297566E-4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4.6124815906032124E-2</v>
      </c>
      <c r="AG41" s="48">
        <f>'2025'!O302</f>
        <v>2.5005299842292373E-2</v>
      </c>
      <c r="AH41" s="66">
        <f>'2025'!P302</f>
        <v>5.6500174207878579E-3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1.2720590831043599E-2</v>
      </c>
      <c r="C42" s="48">
        <f>'2020'!O333</f>
        <v>4.6279277023407582E-2</v>
      </c>
      <c r="D42" s="66">
        <f>'2020'!P333</f>
        <v>1.7032851000596391E-3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4.6691357833650415E-2</v>
      </c>
      <c r="AG42" s="48">
        <f>'2025'!O333</f>
        <v>2.7220324664646911E-2</v>
      </c>
      <c r="AH42" s="66">
        <f>'2025'!P333</f>
        <v>1.0604690722803879E-2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1.328806266040361E-2</v>
      </c>
      <c r="C43" s="49">
        <f>'2020'!O363</f>
        <v>4.7228620698108924E-2</v>
      </c>
      <c r="D43" s="67">
        <f>'2020'!P363</f>
        <v>2.4923930165003253E-3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4.7239303829576862E-2</v>
      </c>
      <c r="AG43" s="49">
        <f>'2025'!O363</f>
        <v>2.9441756026666092E-2</v>
      </c>
      <c r="AH43" s="67">
        <f>'2025'!P363</f>
        <v>1.2304485297983347E-2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1.38930064340822E-2</v>
      </c>
      <c r="C44" s="48">
        <f>'2021'!O29</f>
        <v>4.9301351142919371E-2</v>
      </c>
      <c r="D44" s="66">
        <f>'2021'!P29</f>
        <v>1.5967009608356978E-3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4.7805183821391539E-2</v>
      </c>
      <c r="AG44" s="48">
        <f>'2026'!O29</f>
        <v>3.191606492071352E-2</v>
      </c>
      <c r="AH44" s="66">
        <f>'2026'!P29</f>
        <v>1.0057937732391362E-2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1.447869203141039E-2</v>
      </c>
      <c r="C45" s="48">
        <f>'2021'!O60</f>
        <v>5.2113137451392053E-2</v>
      </c>
      <c r="D45" s="66">
        <f>'2021'!P60</f>
        <v>7.6811260767529988E-4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4.8370727716045225E-2</v>
      </c>
      <c r="AG45" s="48">
        <f>'2026'!O60</f>
        <v>3.43645234346431E-2</v>
      </c>
      <c r="AH45" s="66">
        <f>'2026'!P60</f>
        <v>4.8806049803694785E-3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1.5007399378180741E-2</v>
      </c>
      <c r="C46" s="48">
        <f>'2021'!O88</f>
        <v>5.4609965362457623E-2</v>
      </c>
      <c r="D46" s="66">
        <f>'2021'!P88</f>
        <v>2.32008526993194E-4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4.8881252839743761E-2</v>
      </c>
      <c r="AG46" s="48">
        <f>'2026'!O88</f>
        <v>3.6526503802201446E-2</v>
      </c>
      <c r="AH46" s="66">
        <f>'2026'!P88</f>
        <v>1.5754819430308722E-3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1.5592423096117303E-2</v>
      </c>
      <c r="C47" s="48">
        <f>'2021'!O119</f>
        <v>5.7523210611634304E-2</v>
      </c>
      <c r="D47" s="66">
        <f>'2021'!P119</f>
        <v>1.0227952402652951E-4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4.9446157617009545E-2</v>
      </c>
      <c r="AG47" s="48">
        <f>'2026'!O119</f>
        <v>3.8999976058180459E-2</v>
      </c>
      <c r="AH47" s="66">
        <f>'2026'!P119</f>
        <v>1.4282114672234836E-6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1.6158244243923536E-2</v>
      </c>
      <c r="C48" s="48">
        <f>'2021'!O149</f>
        <v>6.0949179833592979E-2</v>
      </c>
      <c r="D48" s="66">
        <f>'2021'!P149</f>
        <v>6.8702302550241771E-5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4.9992520199711787E-2</v>
      </c>
      <c r="AG48" s="48">
        <f>'2026'!O149</f>
        <v>4.179319895181241E-2</v>
      </c>
      <c r="AH48" s="66">
        <f>'2026'!P149</f>
        <v>4.4410263499838001E-6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1.674258443231702E-2</v>
      </c>
      <c r="C49" s="48">
        <f>'2021'!O180</f>
        <v>6.4813251884438719E-2</v>
      </c>
      <c r="D49" s="66">
        <f>'2021'!P180</f>
        <v>5.4538037366502991E-5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5.0556764953986422E-2</v>
      </c>
      <c r="AG49" s="48">
        <f>'2026'!O180</f>
        <v>4.4897140516196657E-2</v>
      </c>
      <c r="AH49" s="66">
        <f>'2026'!P180</f>
        <v>6.38466679130438E-6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1.7307744486463772E-2</v>
      </c>
      <c r="C50" s="48">
        <f>'2021'!O210</f>
        <v>6.7838491569675891E-2</v>
      </c>
      <c r="D50" s="66">
        <f>'2021'!P210</f>
        <v>9.3028378512933769E-5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5.1102489178011856E-2</v>
      </c>
      <c r="AG50" s="48">
        <f>'2026'!O210</f>
        <v>4.7399028999268372E-2</v>
      </c>
      <c r="AH50" s="66">
        <f>'2026'!P210</f>
        <v>1.5881801295193388E-5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1.7891401943936125E-2</v>
      </c>
      <c r="C51" s="48">
        <f>'2021'!O241</f>
        <v>7.033848927778856E-2</v>
      </c>
      <c r="D51" s="66">
        <f>'2021'!P241</f>
        <v>1.9662991184854077E-4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5.1666074680452478E-2</v>
      </c>
      <c r="AG51" s="48">
        <f>'2026'!O241</f>
        <v>4.9531637161841141E-2</v>
      </c>
      <c r="AH51" s="66">
        <f>'2026'!P241</f>
        <v>4.0553352488815157E-5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1.8474712745549682E-2</v>
      </c>
      <c r="C52" s="48">
        <f>'2021'!O272</f>
        <v>7.2528723498033409E-2</v>
      </c>
      <c r="D52" s="66">
        <f>'2021'!P272</f>
        <v>4.6108885298999717E-4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5.2229325448514663E-2</v>
      </c>
      <c r="AG52" s="48">
        <f>'2026'!O272</f>
        <v>5.1427223659341929E-2</v>
      </c>
      <c r="AH52" s="66">
        <f>'2026'!P272</f>
        <v>9.81352004140767E-5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1.9038877201071114E-2</v>
      </c>
      <c r="C53" s="48">
        <f>'2021'!O302</f>
        <v>7.3987886106508527E-2</v>
      </c>
      <c r="D53" s="66">
        <f>'2021'!P302</f>
        <v>1.3446400070285694E-3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5.2774088312508849E-2</v>
      </c>
      <c r="AG53" s="48">
        <f>'2026'!O302</f>
        <v>5.2773019806849043E-2</v>
      </c>
      <c r="AH53" s="66">
        <f>'2026'!P302</f>
        <v>2.5547018368631805E-4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1.9621506474477468E-2</v>
      </c>
      <c r="C54" s="48">
        <f>'2021'!O333</f>
        <v>7.4694290567553015E-2</v>
      </c>
      <c r="D54" s="66">
        <f>'2021'!P333</f>
        <v>2.7600452960499368E-3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5.3336680990089813E-2</v>
      </c>
      <c r="AG54" s="48">
        <f>'2026'!O333</f>
        <v>5.3567306938204606E-2</v>
      </c>
      <c r="AH54" s="66">
        <f>'2026'!P333</f>
        <v>6.1532290602033576E-4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2.0185011771984285E-2</v>
      </c>
      <c r="C55" s="49">
        <f>'2021'!O363</f>
        <v>7.5917852729616819E-2</v>
      </c>
      <c r="D55" s="67">
        <f>'2021'!P363</f>
        <v>4.0866507239315482E-3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5.3880807364485306E-2</v>
      </c>
      <c r="AG55" s="49">
        <f>'2026'!O363</f>
        <v>5.4700955019435019E-2</v>
      </c>
      <c r="AH55" s="67">
        <f>'2026'!P363</f>
        <v>8.5448933793932339E-4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2.076696031346692E-2</v>
      </c>
      <c r="C56" s="48">
        <f>'2022'!O29</f>
        <v>7.7853047685662993E-2</v>
      </c>
      <c r="D56" s="66">
        <f>'2022'!P29</f>
        <v>2.5758932170198835E-3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5.4442742720484216E-2</v>
      </c>
      <c r="AG56" s="48">
        <f>'2027'!O29</f>
        <v>5.6339235517286708E-2</v>
      </c>
      <c r="AH56" s="66">
        <f>'2027'!P29</f>
        <v>5.8691896285830586E-4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2.134856321407963E-2</v>
      </c>
      <c r="C57" s="48">
        <f>'2022'!O60</f>
        <v>7.9867997004739136E-2</v>
      </c>
      <c r="D57" s="66">
        <f>'2022'!P60</f>
        <v>1.2736770483463881E-3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5.5004344322187926E-2</v>
      </c>
      <c r="AG57" s="48">
        <f>'2027'!O60</f>
        <v>5.8022209859521792E-2</v>
      </c>
      <c r="AH57" s="66">
        <f>'2027'!P60</f>
        <v>2.4956743654979167E-4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2.1873585048079902E-2</v>
      </c>
      <c r="C58" s="48">
        <f>'2022'!O88</f>
        <v>8.167644642618295E-2</v>
      </c>
      <c r="D58" s="66">
        <f>'2022'!P88</f>
        <v>3.8088936633589752E-4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5.5511310677743175E-2</v>
      </c>
      <c r="AG58" s="48">
        <f>'2027'!O88</f>
        <v>5.9523805230037488E-2</v>
      </c>
      <c r="AH58" s="66">
        <f>'2027'!P88</f>
        <v>7.9656383356569021E-5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2.2454530683129192E-2</v>
      </c>
      <c r="C59" s="48">
        <f>'2022'!O119</f>
        <v>8.3948085265531172E-2</v>
      </c>
      <c r="D59" s="66">
        <f>'2022'!P119</f>
        <v>1.6602487176759273E-4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5.6072277617218114E-2</v>
      </c>
      <c r="AG59" s="48">
        <f>'2027'!O119</f>
        <v>6.1372816749535319E-2</v>
      </c>
      <c r="AH59" s="66">
        <f>'2027'!P119</f>
        <v>3.8268401588948151E-5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2.301640760530943E-2</v>
      </c>
      <c r="C60" s="48">
        <f>'2022'!O149</f>
        <v>9.4574482075031364E-3</v>
      </c>
      <c r="D60" s="66">
        <f>'2022'!P149</f>
        <v>1.1097842855960867E-4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5.661483161604508E-2</v>
      </c>
      <c r="AG60" s="48">
        <f>'2027'!O149</f>
        <v>9.7522907055955441E-3</v>
      </c>
      <c r="AH60" s="66">
        <f>'2027'!P149</f>
        <v>2.9337450938675076E-5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2.3596674475562907E-2</v>
      </c>
      <c r="C61" s="48">
        <f>'2022'!O180</f>
        <v>1.2711117345765284E-2</v>
      </c>
      <c r="D61" s="66">
        <f>'2022'!P180</f>
        <v>9.160514790676236E-5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5.717514313341665E-2</v>
      </c>
      <c r="AG61" s="48">
        <f>'2027'!O180</f>
        <v>1.3228328351748626E-2</v>
      </c>
      <c r="AH61" s="66">
        <f>'2027'!P180</f>
        <v>2.6226989105389081E-5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2.4157894912434918E-2</v>
      </c>
      <c r="C62" s="48">
        <f>'2022'!O210</f>
        <v>1.5680934915778533E-2</v>
      </c>
      <c r="D62" s="66">
        <f>'2022'!P210</f>
        <v>1.5066750744315927E-4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5.7717063223436949E-2</v>
      </c>
      <c r="AG62" s="48">
        <f>'2027'!O210</f>
        <v>1.6437115733753269E-2</v>
      </c>
      <c r="AH62" s="66">
        <f>'2027'!P210</f>
        <v>5.1152477186921597E-5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2.4737483810947314E-2</v>
      </c>
      <c r="C63" s="48">
        <f>'2022'!O241</f>
        <v>1.8519646035121306E-2</v>
      </c>
      <c r="D63" s="66">
        <f>'2022'!P241</f>
        <v>3.1248350576878981E-4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5.8276720084486699E-2</v>
      </c>
      <c r="AG63" s="48">
        <f>'2027'!O241</f>
        <v>1.9540646362387459E-2</v>
      </c>
      <c r="AH63" s="66">
        <f>'2027'!P241</f>
        <v>1.1480930276211263E-4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2.5316728470069494E-2</v>
      </c>
      <c r="C64" s="48">
        <f>'2022'!O272</f>
        <v>2.1170237230659531E-2</v>
      </c>
      <c r="D64" s="66">
        <f>'2022'!P272</f>
        <v>7.4242840396851798E-4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5.8836044544523958E-2</v>
      </c>
      <c r="AG64" s="48">
        <f>'2027'!O272</f>
        <v>2.2472481362311208E-2</v>
      </c>
      <c r="AH64" s="66">
        <f>'2027'!P272</f>
        <v>2.7253629336076036E-4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2.5876960248434222E-2</v>
      </c>
      <c r="C65" s="48">
        <f>'2022'!O302</f>
        <v>2.342719550860764E-2</v>
      </c>
      <c r="D65" s="66">
        <f>'2022'!P302</f>
        <v>2.217260129676899E-3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5.9377009975960959E-2</v>
      </c>
      <c r="AG65" s="48">
        <f>'2027'!O302</f>
        <v>2.5005299842292373E-2</v>
      </c>
      <c r="AH65" s="66">
        <f>'2027'!P302</f>
        <v>7.7896875261960802E-4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2.6455528130145511E-2</v>
      </c>
      <c r="C66" s="48">
        <f>'2022'!O333</f>
        <v>2.5364504269657084E-2</v>
      </c>
      <c r="D66" s="66">
        <f>'2022'!P333</f>
        <v>4.4928038338547501E-3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5.9935680932933666E-2</v>
      </c>
      <c r="AG66" s="48">
        <f>'2027'!O333</f>
        <v>2.7220324664646911E-2</v>
      </c>
      <c r="AH66" s="66">
        <f>'2027'!P333</f>
        <v>1.6504722136461152E-3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2.7015105345353785E-2</v>
      </c>
      <c r="C67" s="49">
        <f>'2022'!O363</f>
        <v>2.729610679702581E-2</v>
      </c>
      <c r="D67" s="67">
        <f>'2022'!P363</f>
        <v>6.2381364097027778E-3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6.0476014311613202E-2</v>
      </c>
      <c r="AG67" s="49">
        <f>'2027'!O363</f>
        <v>2.9441756026666092E-2</v>
      </c>
      <c r="AH67" s="67">
        <f>'2027'!P363</f>
        <v>2.4127180329648703E-3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2.7592997240386885E-2</v>
      </c>
      <c r="C68" s="48">
        <f>'2023'!O29</f>
        <v>2.9440614454673417E-2</v>
      </c>
      <c r="D68" s="66">
        <f>'2023'!P29</f>
        <v>4.2300426296511505E-3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6.10340325290607E-2</v>
      </c>
      <c r="AG68" s="48">
        <f>'2028'!O29</f>
        <v>3.191606492071352E-2</v>
      </c>
      <c r="AH68" s="66">
        <f>'2028'!P29</f>
        <v>1.5477646273145476E-3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2.8170545903943189E-2</v>
      </c>
      <c r="C69" s="48">
        <f>'2023'!O60</f>
        <v>3.1543398544963915E-2</v>
      </c>
      <c r="D69" s="66">
        <f>'2023'!P60</f>
        <v>2.0295363692571702E-3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6.1591719318747074E-2</v>
      </c>
      <c r="AG69" s="48">
        <f>'2028'!O60</f>
        <v>3.43645234346431E-2</v>
      </c>
      <c r="AH69" s="66">
        <f>'2028'!P60</f>
        <v>7.4291724234937869E-4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2.8691907916143067E-2</v>
      </c>
      <c r="C70" s="48">
        <f>'2023'!O88</f>
        <v>3.3382527006740347E-2</v>
      </c>
      <c r="D70" s="66">
        <f>'2023'!P88</f>
        <v>6.1787323873995924E-4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6.2095151713617347E-2</v>
      </c>
      <c r="AG70" s="48">
        <f>'2028'!O88</f>
        <v>3.6526503802201446E-2</v>
      </c>
      <c r="AH70" s="66">
        <f>'2028'!P88</f>
        <v>2.2467686061852275E-4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2.9268803895802109E-2</v>
      </c>
      <c r="C71" s="48">
        <f>'2023'!O119</f>
        <v>3.5475724112729035E-2</v>
      </c>
      <c r="D71" s="66">
        <f>'2023'!P119</f>
        <v>2.5859190563324002E-4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6.2652208265178033E-2</v>
      </c>
      <c r="AG71" s="48">
        <f>'2028'!O119</f>
        <v>3.8999976058180459E-2</v>
      </c>
      <c r="AH71" s="66">
        <f>'2028'!P119</f>
        <v>9.9232755686426752E-5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2.9826764086761326E-2</v>
      </c>
      <c r="C72" s="48">
        <f>'2023'!O149</f>
        <v>9.7522907055955441E-3</v>
      </c>
      <c r="D72" s="66">
        <f>'2023'!P149</f>
        <v>1.6738521547744994E-4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6.319098022900338E-2</v>
      </c>
      <c r="AG72" s="48">
        <f>'2028'!O149</f>
        <v>4.179319895181241E-2</v>
      </c>
      <c r="AH72" s="66">
        <f>'2028'!P149</f>
        <v>6.6828634677601129E-5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3.0402986033157831E-2</v>
      </c>
      <c r="C73" s="48">
        <f>'2023'!O180</f>
        <v>1.3228328351748626E-2</v>
      </c>
      <c r="D73" s="66">
        <f>'2023'!P180</f>
        <v>1.3697323055610432E-4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6.3747385927276468E-2</v>
      </c>
      <c r="AG73" s="48">
        <f>'2028'!O180</f>
        <v>4.4897140516196657E-2</v>
      </c>
      <c r="AH73" s="66">
        <f>'2028'!P180</f>
        <v>5.3190502715767971E-5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3.0960294315036108E-2</v>
      </c>
      <c r="C74" s="48">
        <f>'2023'!O210</f>
        <v>1.6437115733753269E-2</v>
      </c>
      <c r="D74" s="66">
        <f>'2023'!P210</f>
        <v>2.1256889393379873E-4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6.4285528401146319E-2</v>
      </c>
      <c r="AG74" s="48">
        <f>'2028'!O210</f>
        <v>4.7399028999268372E-2</v>
      </c>
      <c r="AH74" s="66">
        <f>'2028'!P210</f>
        <v>9.1035190993096554E-5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3.1535843015696452E-2</v>
      </c>
      <c r="C75" s="48">
        <f>'2023'!O241</f>
        <v>1.9540646362387459E-2</v>
      </c>
      <c r="D75" s="66">
        <f>'2023'!P241</f>
        <v>4.3092182031703144E-4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6.4841284006575406E-2</v>
      </c>
      <c r="AG75" s="48">
        <f>'2028'!O241</f>
        <v>4.9531637161841141E-2</v>
      </c>
      <c r="AH75" s="66">
        <f>'2028'!P241</f>
        <v>1.927354567626213E-4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3.2111049876590081E-2</v>
      </c>
      <c r="C76" s="48">
        <f>'2023'!O272</f>
        <v>2.2472481362311208E-2</v>
      </c>
      <c r="D76" s="66">
        <f>'2023'!P272</f>
        <v>1.0258134982695955E-3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6.5396709528092845E-2</v>
      </c>
      <c r="AG76" s="48">
        <f>'2028'!O272</f>
        <v>5.1427223659341929E-2</v>
      </c>
      <c r="AH76" s="66">
        <f>'2028'!P272</f>
        <v>4.5211422565575752E-4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3.2667376391701142E-2</v>
      </c>
      <c r="C77" s="48">
        <f>'2023'!O302</f>
        <v>2.5005299842292373E-2</v>
      </c>
      <c r="D77" s="66">
        <f>'2023'!P302</f>
        <v>3.0921783050808713E-3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6.5933903998112497E-2</v>
      </c>
      <c r="AG77" s="48">
        <f>'2028'!O302</f>
        <v>5.2773019806849043E-2</v>
      </c>
      <c r="AH77" s="66">
        <f>'2028'!P302</f>
        <v>1.317715478865202E-3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3.3241911192863349E-2</v>
      </c>
      <c r="C78" s="48">
        <f>'2023'!O333</f>
        <v>2.7220324664646911E-2</v>
      </c>
      <c r="D78" s="66">
        <f>'2023'!P333</f>
        <v>6.2275679887303466E-3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6.6488680572004077E-2</v>
      </c>
      <c r="AG78" s="48">
        <f>'2028'!O333</f>
        <v>5.3567306938204606E-2</v>
      </c>
      <c r="AH78" s="66">
        <f>'2028'!P333</f>
        <v>2.7072324096364137E-3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3.3797587707646293E-2</v>
      </c>
      <c r="C79" s="49">
        <f>'2023'!O363</f>
        <v>2.9441756026666092E-2</v>
      </c>
      <c r="D79" s="67">
        <f>'2023'!P363</f>
        <v>8.390674895492771E-3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6.7025247395179233E-2</v>
      </c>
      <c r="AG79" s="49">
        <f>'2028'!O363</f>
        <v>5.4700955019435019E-2</v>
      </c>
      <c r="AH79" s="67">
        <f>'2028'!P363</f>
        <v>4.0069757403960928E-3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YEAR(E6)</f>
        <v>2019</v>
      </c>
      <c r="K1" s="1279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265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3">
        <v>44926</v>
      </c>
      <c r="F3" s="1284"/>
      <c r="G3" s="605">
        <f>YEAR(Tmaj)</f>
        <v>2022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thickBot="1" x14ac:dyDescent="0.3">
      <c r="D4" s="105" t="s">
        <v>133</v>
      </c>
      <c r="E4" s="1285" t="s">
        <v>323</v>
      </c>
      <c r="F4" s="1286"/>
      <c r="G4" s="1286"/>
      <c r="H4" s="1286"/>
      <c r="I4" s="1287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3">
        <v>43481</v>
      </c>
      <c r="F5" s="1284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3">
        <v>43476</v>
      </c>
      <c r="F6" s="1284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10258.270000000002</v>
      </c>
      <c r="AK6" s="514">
        <f>SUMIF(AK15:AK380,"FAUX",Wh)</f>
        <v>10258.270000000002</v>
      </c>
      <c r="AL6" s="514">
        <f>SUMIF(AJ15:AJ380,"FAUX",Wh_s)</f>
        <v>10258.270000000002</v>
      </c>
      <c r="AM6" s="514">
        <f>SUMIF(AK15:AK380,"FAUX",Wh_s)</f>
        <v>10258.270000000002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6" t="s">
        <v>102</v>
      </c>
      <c r="Y8" s="1277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10293.377345778135</v>
      </c>
      <c r="AK8" s="514">
        <f>SUMIF(AK15:AK380,"FAUX",Wh_sa)</f>
        <v>10454.151360930353</v>
      </c>
      <c r="AL8" s="514">
        <f>SUMIF(AJ15:AJ380,"FAUX",Wh_pvt_s)</f>
        <v>10293.377345778135</v>
      </c>
      <c r="AM8" s="514">
        <f>SUMIF(AK15:AK380,"FAUX",Wh_sa_s)</f>
        <v>10454.151360930353</v>
      </c>
      <c r="AN8" s="820" t="s">
        <v>256</v>
      </c>
    </row>
    <row r="9" spans="1:40" s="19" customFormat="1" ht="15" customHeight="1" x14ac:dyDescent="0.25">
      <c r="A9" s="183"/>
      <c r="D9" s="73">
        <f>SUM(D$15:D$380)</f>
        <v>10293.377345778135</v>
      </c>
      <c r="E9" s="73">
        <f>SUM(E$15:E$380)</f>
        <v>10454.151360930353</v>
      </c>
      <c r="F9" s="73">
        <f>SUM(F$15:F$380)</f>
        <v>10454.766750172004</v>
      </c>
      <c r="H9" s="1280">
        <f>+SUM(Wh)</f>
        <v>10258.270000000002</v>
      </c>
      <c r="I9" s="1281"/>
      <c r="J9" s="1282"/>
      <c r="K9" s="191"/>
      <c r="L9" s="114"/>
      <c r="M9" s="114"/>
      <c r="N9" s="114"/>
      <c r="O9" s="324">
        <f>MAX(T0,Tnet_2019)</f>
        <v>43481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74">
        <f>+SUM(Wh_s)</f>
        <v>10258.270000000002</v>
      </c>
      <c r="Y9" s="1275"/>
      <c r="Z9" s="514">
        <f>SUM(Z$15:Z$380)</f>
        <v>10293.377345778135</v>
      </c>
      <c r="AA9" s="514">
        <f>SUM(AA$15:AA$380)</f>
        <v>10454.151360930353</v>
      </c>
      <c r="AB9" s="514">
        <f>F9</f>
        <v>10454.766750172004</v>
      </c>
      <c r="AC9" s="324">
        <f>IF(An_Tnet,Tnet,T0)</f>
        <v>43481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IF(Acti_tai,PousHi,Htf_2019-H_i)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10454.151360930353</v>
      </c>
      <c r="AK10" s="514">
        <f>SUMIF(AK15:AK380,"FAUX",Wh_hp)</f>
        <v>10454.766750172004</v>
      </c>
      <c r="AL10" s="514">
        <f>SUMIF(AJ15:AJ380,"FAUX",Wh_sa_s)</f>
        <v>10454.151360930353</v>
      </c>
      <c r="AM10" s="514">
        <f>SUMIF(AK15:AK380,"FAUX",Wh_hp)</f>
        <v>10454.766750172004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35.107345778133094</v>
      </c>
      <c r="E11" s="218">
        <f>(E$9-D$9)*Prod_an/D$9</f>
        <v>160.22566753486308</v>
      </c>
      <c r="F11" s="219">
        <f>(F$9-E$9)*Prod_an/E$9</f>
        <v>0.60385858000374271</v>
      </c>
      <c r="G11" s="185" t="s">
        <v>6</v>
      </c>
      <c r="K11" s="194"/>
      <c r="L11" s="182">
        <f>Tvie_2019</f>
        <v>43481</v>
      </c>
      <c r="M11" s="831"/>
      <c r="N11" s="831"/>
      <c r="O11" s="317">
        <f>Salim_2019</f>
        <v>0.1</v>
      </c>
      <c r="P11" s="255">
        <f>Ttai_2019</f>
        <v>43466</v>
      </c>
      <c r="Q11" s="271">
        <f>Dens_2019</f>
        <v>0.6</v>
      </c>
      <c r="R11" s="522"/>
      <c r="S11" s="246"/>
      <c r="T11" s="523"/>
      <c r="U11" s="265">
        <f>Htf_2019</f>
        <v>-1.0008874621829826</v>
      </c>
      <c r="V11" s="426"/>
      <c r="W11" s="517"/>
      <c r="X11" s="524" t="s">
        <v>43</v>
      </c>
      <c r="Y11" s="50">
        <f>Z$9-Prod_an_s</f>
        <v>35.107345778133094</v>
      </c>
      <c r="Z11" s="51">
        <f>(AA$9-Z$9)*Prod_an_s/Z$9</f>
        <v>160.22566753486308</v>
      </c>
      <c r="AA11" s="186">
        <f>(AB$9-AA$9)*Prod_an_s/AA$9</f>
        <v>0.60385858000374271</v>
      </c>
      <c r="AB11" s="525" t="s">
        <v>6</v>
      </c>
      <c r="AC11" s="471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3.1291800185761387E-2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2.3909964587625958E-6</v>
      </c>
      <c r="Q12" s="295">
        <f>D_i</f>
        <v>0.6</v>
      </c>
      <c r="R12" s="277"/>
      <c r="S12" s="278"/>
      <c r="T12" s="528"/>
      <c r="U12" s="296">
        <f>H_i</f>
        <v>-1.5008874621829826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0.6</v>
      </c>
      <c r="AF12" s="203"/>
      <c r="AG12" s="203"/>
      <c r="AH12" s="203"/>
      <c r="AI12" s="296">
        <f>H_i</f>
        <v>-1.5008874621829826</v>
      </c>
      <c r="AJ12" s="821">
        <f>IF($AJ8=0,0,($AJ10-$AJ8)*$AJ6/$AJ8)</f>
        <v>160.22566753486308</v>
      </c>
      <c r="AK12" s="822">
        <f>IF($AK8=0,0,($AK10-$AK8)*$AK6/$AK8)</f>
        <v>0.60385858000374271</v>
      </c>
      <c r="AL12" s="821">
        <f>IF($AL8=0,0,($AL10-$AL8)*$AL6/$AL8)</f>
        <v>160.22566753486308</v>
      </c>
      <c r="AM12" s="822">
        <f>IF($AM8=0,0,($AM10-$AM8)*$AM6/$AM8)</f>
        <v>0.60385858000374271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160.22566753486308</v>
      </c>
      <c r="AK13" s="73">
        <f>+AK11+AK12</f>
        <v>0.60385858000374271</v>
      </c>
      <c r="AL13" s="73">
        <f>+AL11+AL12</f>
        <v>160.22566753486308</v>
      </c>
      <c r="AM13" s="73">
        <f>+AM11+AM12</f>
        <v>0.60385858000374271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206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1.8516552066306652E-9</v>
      </c>
      <c r="Q15" s="302">
        <f>IF(OR(t&lt;Ttai,Notai),Dd+PousD*Croivg,Dens+PousD*(Croivg-Croi_tai))</f>
        <v>0.6</v>
      </c>
      <c r="R15" s="303">
        <f t="shared" ref="R15:R78" si="4">(Hp_vg-S15)/(INDEX(Echel_vg,T15+1)-S15)</f>
        <v>0.49911373331524667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-1.5008862666847533</v>
      </c>
      <c r="V15" s="381">
        <f t="shared" ref="V15:V78" si="5">MaxiM*(1-Ppv)*(1-Pvg)*(1-Psa)</f>
        <v>25.018618251549075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1.8516552066306652E-9</v>
      </c>
      <c r="AE15" s="302">
        <f t="shared" ref="AE15:AE78" si="12">Dd+PousD*Croivg</f>
        <v>0.6</v>
      </c>
      <c r="AF15" s="303">
        <f t="shared" ref="AF15:AF78" si="13">(Hp_vg_s-AG15)/(INDEX(Echel_vg,AH15+1)-AG15)</f>
        <v>0.49911373331524667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-1.5008862666847533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4.5651007778837731E-8</v>
      </c>
      <c r="Q16" s="304">
        <f t="shared" ref="Q16:Q78" si="19">IF(OR(t&lt;Ttai,Notai),Dd+PousD*Croivg,Dens+PousD*(Croivg-Croi_tai))</f>
        <v>0.6</v>
      </c>
      <c r="R16" s="177">
        <f t="shared" si="4"/>
        <v>0.49914294792924108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-1.5008570520707589</v>
      </c>
      <c r="V16" s="382">
        <f t="shared" si="5"/>
        <v>25.174601492515322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4.5651007778837731E-8</v>
      </c>
      <c r="AE16" s="304">
        <f t="shared" si="12"/>
        <v>0.6</v>
      </c>
      <c r="AF16" s="177">
        <f t="shared" si="13"/>
        <v>0.49914294792924108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-1.5008570520707589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8.8725201488858312E-8</v>
      </c>
      <c r="Q17" s="304">
        <f t="shared" si="19"/>
        <v>0.6</v>
      </c>
      <c r="R17" s="177">
        <f t="shared" si="4"/>
        <v>0.49917338452473059</v>
      </c>
      <c r="S17" s="799">
        <f t="shared" si="20"/>
        <v>-2</v>
      </c>
      <c r="T17" s="176">
        <f t="shared" si="21"/>
        <v>4</v>
      </c>
      <c r="U17" s="250">
        <f t="shared" si="22"/>
        <v>-1.5008266154752694</v>
      </c>
      <c r="V17" s="382">
        <f t="shared" si="5"/>
        <v>25.340693976211895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8.8725201488858312E-8</v>
      </c>
      <c r="AE17" s="304">
        <f t="shared" si="12"/>
        <v>0.6</v>
      </c>
      <c r="AF17" s="177">
        <f t="shared" si="13"/>
        <v>0.49917338452473059</v>
      </c>
      <c r="AG17" s="799">
        <f t="shared" si="23"/>
        <v>-2</v>
      </c>
      <c r="AH17" s="176">
        <f t="shared" si="14"/>
        <v>4</v>
      </c>
      <c r="AI17" s="224">
        <f t="shared" si="15"/>
        <v>-1.5008266154752694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1.3141304052316225E-7</v>
      </c>
      <c r="Q18" s="304">
        <f t="shared" si="19"/>
        <v>0.6</v>
      </c>
      <c r="R18" s="177">
        <f t="shared" si="4"/>
        <v>0.49920509405602576</v>
      </c>
      <c r="S18" s="799">
        <f t="shared" si="20"/>
        <v>-2</v>
      </c>
      <c r="T18" s="176">
        <f t="shared" si="21"/>
        <v>4</v>
      </c>
      <c r="U18" s="250">
        <f t="shared" si="22"/>
        <v>-1.5007949059439742</v>
      </c>
      <c r="V18" s="382">
        <f t="shared" si="5"/>
        <v>25.51638132927096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1.3141304052316225E-7</v>
      </c>
      <c r="AE18" s="304">
        <f t="shared" si="12"/>
        <v>0.6</v>
      </c>
      <c r="AF18" s="177">
        <f t="shared" si="13"/>
        <v>0.49920509405602576</v>
      </c>
      <c r="AG18" s="799">
        <f t="shared" si="23"/>
        <v>-2</v>
      </c>
      <c r="AH18" s="176">
        <f t="shared" si="14"/>
        <v>4</v>
      </c>
      <c r="AI18" s="224">
        <f t="shared" si="15"/>
        <v>-1.5007949059439742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1.7407842117838315E-7</v>
      </c>
      <c r="Q19" s="304">
        <f t="shared" si="19"/>
        <v>0.6</v>
      </c>
      <c r="R19" s="177">
        <f t="shared" si="4"/>
        <v>0.49923812958858726</v>
      </c>
      <c r="S19" s="799">
        <f t="shared" si="20"/>
        <v>-2</v>
      </c>
      <c r="T19" s="176">
        <f t="shared" si="21"/>
        <v>4</v>
      </c>
      <c r="U19" s="250">
        <f t="shared" si="22"/>
        <v>-1.5007618704114127</v>
      </c>
      <c r="V19" s="382">
        <f t="shared" si="5"/>
        <v>25.701149181333957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1.7407842117838315E-7</v>
      </c>
      <c r="AE19" s="304">
        <f t="shared" si="12"/>
        <v>0.6</v>
      </c>
      <c r="AF19" s="177">
        <f t="shared" si="13"/>
        <v>0.49923812958858726</v>
      </c>
      <c r="AG19" s="799">
        <f t="shared" si="23"/>
        <v>-2</v>
      </c>
      <c r="AH19" s="176">
        <f t="shared" si="14"/>
        <v>4</v>
      </c>
      <c r="AI19" s="224">
        <f t="shared" si="15"/>
        <v>-1.5007618704114127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2.1711054441215938E-7</v>
      </c>
      <c r="Q20" s="304">
        <f t="shared" si="19"/>
        <v>0.6</v>
      </c>
      <c r="R20" s="177">
        <f t="shared" si="4"/>
        <v>0.49927254638533802</v>
      </c>
      <c r="S20" s="799">
        <f t="shared" si="20"/>
        <v>-2</v>
      </c>
      <c r="T20" s="176">
        <f t="shared" si="21"/>
        <v>4</v>
      </c>
      <c r="U20" s="250">
        <f t="shared" si="22"/>
        <v>-1.500727453614662</v>
      </c>
      <c r="V20" s="382">
        <f t="shared" si="5"/>
        <v>25.894483154260282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2.1711054441215938E-7</v>
      </c>
      <c r="AE20" s="304">
        <f t="shared" si="12"/>
        <v>0.6</v>
      </c>
      <c r="AF20" s="177">
        <f t="shared" si="13"/>
        <v>0.49927254638533802</v>
      </c>
      <c r="AG20" s="799">
        <f t="shared" si="23"/>
        <v>-2</v>
      </c>
      <c r="AH20" s="176">
        <f t="shared" si="14"/>
        <v>4</v>
      </c>
      <c r="AI20" s="224">
        <f t="shared" si="15"/>
        <v>-1.500727453614662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2.609242375537569E-7</v>
      </c>
      <c r="Q21" s="304">
        <f t="shared" si="19"/>
        <v>0.6</v>
      </c>
      <c r="R21" s="177">
        <f t="shared" si="4"/>
        <v>0.49930840199640114</v>
      </c>
      <c r="S21" s="799">
        <f t="shared" si="20"/>
        <v>-2</v>
      </c>
      <c r="T21" s="176">
        <f t="shared" si="21"/>
        <v>4</v>
      </c>
      <c r="U21" s="250">
        <f t="shared" si="22"/>
        <v>-1.5006915980035989</v>
      </c>
      <c r="V21" s="382">
        <f t="shared" si="5"/>
        <v>26.095868869910046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2.609242375537569E-7</v>
      </c>
      <c r="AE21" s="304">
        <f t="shared" si="12"/>
        <v>0.6</v>
      </c>
      <c r="AF21" s="177">
        <f t="shared" si="13"/>
        <v>0.49930840199640114</v>
      </c>
      <c r="AG21" s="799">
        <f t="shared" si="23"/>
        <v>-2</v>
      </c>
      <c r="AH21" s="176">
        <f t="shared" si="14"/>
        <v>4</v>
      </c>
      <c r="AI21" s="224">
        <f t="shared" si="15"/>
        <v>-1.5006915980035989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3.0596040409811967E-7</v>
      </c>
      <c r="Q22" s="304">
        <f t="shared" si="19"/>
        <v>0.6</v>
      </c>
      <c r="R22" s="177">
        <f t="shared" si="4"/>
        <v>0.49934575635239842</v>
      </c>
      <c r="S22" s="799">
        <f t="shared" si="20"/>
        <v>-2</v>
      </c>
      <c r="T22" s="176">
        <f t="shared" si="21"/>
        <v>4</v>
      </c>
      <c r="U22" s="250">
        <f t="shared" si="22"/>
        <v>-1.5006542436476016</v>
      </c>
      <c r="V22" s="382">
        <f t="shared" si="5"/>
        <v>26.304791951069429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3.0596040409811967E-7</v>
      </c>
      <c r="AE22" s="304">
        <f t="shared" si="12"/>
        <v>0.6</v>
      </c>
      <c r="AF22" s="177">
        <f t="shared" si="13"/>
        <v>0.49934575635239842</v>
      </c>
      <c r="AG22" s="799">
        <f t="shared" si="23"/>
        <v>-2</v>
      </c>
      <c r="AH22" s="176">
        <f t="shared" si="14"/>
        <v>4</v>
      </c>
      <c r="AI22" s="224">
        <f t="shared" si="15"/>
        <v>-1.5006542436476016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3.5264393211867623E-7</v>
      </c>
      <c r="Q23" s="304">
        <f t="shared" si="19"/>
        <v>0.6</v>
      </c>
      <c r="R23" s="177">
        <f t="shared" si="4"/>
        <v>0.49938467186143343</v>
      </c>
      <c r="S23" s="799">
        <f t="shared" si="20"/>
        <v>-2</v>
      </c>
      <c r="T23" s="176">
        <f t="shared" si="21"/>
        <v>4</v>
      </c>
      <c r="U23" s="250">
        <f t="shared" si="22"/>
        <v>-1.5006153281385666</v>
      </c>
      <c r="V23" s="382">
        <f t="shared" si="5"/>
        <v>26.523948318244525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3.5264393211867623E-7</v>
      </c>
      <c r="AE23" s="304">
        <f t="shared" si="12"/>
        <v>0.6</v>
      </c>
      <c r="AF23" s="177">
        <f t="shared" si="13"/>
        <v>0.49938467186143343</v>
      </c>
      <c r="AG23" s="799">
        <f t="shared" si="23"/>
        <v>-2</v>
      </c>
      <c r="AH23" s="176">
        <f t="shared" si="14"/>
        <v>4</v>
      </c>
      <c r="AI23" s="224">
        <f t="shared" si="15"/>
        <v>-1.5006153281385666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4.0100659019948482E-7</v>
      </c>
      <c r="Q24" s="304">
        <f t="shared" si="19"/>
        <v>0.6</v>
      </c>
      <c r="R24" s="177">
        <f t="shared" si="4"/>
        <v>0.4994252135099031</v>
      </c>
      <c r="S24" s="799">
        <f t="shared" si="20"/>
        <v>-2</v>
      </c>
      <c r="T24" s="176">
        <f t="shared" si="21"/>
        <v>4</v>
      </c>
      <c r="U24" s="250">
        <f t="shared" si="22"/>
        <v>-1.5005747864900969</v>
      </c>
      <c r="V24" s="382">
        <f t="shared" si="5"/>
        <v>26.755811064052672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4.0100659019948482E-7</v>
      </c>
      <c r="AE24" s="304">
        <f t="shared" si="12"/>
        <v>0.6</v>
      </c>
      <c r="AF24" s="177">
        <f t="shared" si="13"/>
        <v>0.4994252135099031</v>
      </c>
      <c r="AG24" s="799">
        <f t="shared" si="23"/>
        <v>-2</v>
      </c>
      <c r="AH24" s="176">
        <f t="shared" si="14"/>
        <v>4</v>
      </c>
      <c r="AI24" s="224">
        <f t="shared" si="15"/>
        <v>-1.5005747864900969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0</v>
      </c>
      <c r="M25" s="842"/>
      <c r="N25" s="842"/>
      <c r="O25" s="323">
        <f t="shared" si="3"/>
        <v>0</v>
      </c>
      <c r="P25" s="169">
        <f>(INDEX(Models!$BJ25:$BT25,,T25)*(1-R25)+INDEX(Models!$BJ25:$BT25,,T25+1)*R25-ERP_i)*Q25*Ramure*Pc/MaxiM</f>
        <v>4.5086525775856344E-7</v>
      </c>
      <c r="Q25" s="304">
        <f t="shared" si="19"/>
        <v>0.6</v>
      </c>
      <c r="R25" s="177">
        <f t="shared" si="4"/>
        <v>0.49946744896726902</v>
      </c>
      <c r="S25" s="799">
        <f t="shared" si="20"/>
        <v>-2</v>
      </c>
      <c r="T25" s="176">
        <f t="shared" si="21"/>
        <v>4</v>
      </c>
      <c r="U25" s="250">
        <f t="shared" si="22"/>
        <v>-1.500532551032731</v>
      </c>
      <c r="V25" s="382">
        <f t="shared" si="5"/>
        <v>26.99953157808778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0</v>
      </c>
      <c r="AD25" s="169">
        <f>(INDEX(Models!$BJ25:$BT25,,AH25)*(1-AF25)+INDEX(Models!$BJ25:$BT25,,AH25+1)*AF25-ERP_i)*AE25*Ramure*Pc/MaxiM</f>
        <v>4.5086525775856344E-7</v>
      </c>
      <c r="AE25" s="304">
        <f t="shared" si="12"/>
        <v>0.6</v>
      </c>
      <c r="AF25" s="177">
        <f t="shared" si="13"/>
        <v>0.49946744896726902</v>
      </c>
      <c r="AG25" s="799">
        <f t="shared" si="23"/>
        <v>-2</v>
      </c>
      <c r="AH25" s="176">
        <f t="shared" si="14"/>
        <v>4</v>
      </c>
      <c r="AI25" s="224">
        <f t="shared" si="15"/>
        <v>-1.500532551032731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0</v>
      </c>
      <c r="M26" s="842"/>
      <c r="N26" s="842"/>
      <c r="O26" s="323">
        <f t="shared" si="3"/>
        <v>0</v>
      </c>
      <c r="P26" s="169">
        <f>(INDEX(Models!$BJ26:$BT26,,T26)*(1-R26)+INDEX(Models!$BJ26:$BT26,,T26+1)*R26-ERP_i)*Q26*Ramure*Pc/MaxiM</f>
        <v>5.0240729549172289E-7</v>
      </c>
      <c r="Q26" s="304">
        <f t="shared" si="19"/>
        <v>0.6</v>
      </c>
      <c r="R26" s="177">
        <f t="shared" si="4"/>
        <v>0.49951144869494013</v>
      </c>
      <c r="S26" s="799">
        <f t="shared" si="20"/>
        <v>-2</v>
      </c>
      <c r="T26" s="176">
        <f t="shared" si="21"/>
        <v>4</v>
      </c>
      <c r="U26" s="250">
        <f t="shared" si="22"/>
        <v>-1.5004885513050599</v>
      </c>
      <c r="V26" s="382">
        <f t="shared" si="5"/>
        <v>27.254261245615417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0</v>
      </c>
      <c r="AD26" s="169">
        <f>(INDEX(Models!$BJ26:$BT26,,AH26)*(1-AF26)+INDEX(Models!$BJ26:$BT26,,AH26+1)*AF26-ERP_i)*AE26*Ramure*Pc/MaxiM</f>
        <v>5.0240729549172289E-7</v>
      </c>
      <c r="AE26" s="304">
        <f t="shared" si="12"/>
        <v>0.6</v>
      </c>
      <c r="AF26" s="177">
        <f t="shared" si="13"/>
        <v>0.49951144869494013</v>
      </c>
      <c r="AG26" s="799">
        <f t="shared" si="23"/>
        <v>-2</v>
      </c>
      <c r="AH26" s="176">
        <f t="shared" si="14"/>
        <v>4</v>
      </c>
      <c r="AI26" s="224">
        <f t="shared" si="15"/>
        <v>-1.5004885513050599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0</v>
      </c>
      <c r="M27" s="842"/>
      <c r="N27" s="842"/>
      <c r="O27" s="323">
        <f t="shared" si="3"/>
        <v>0</v>
      </c>
      <c r="P27" s="169">
        <f>(INDEX(Models!$BJ27:$BT27,,T27)*(1-R27)+INDEX(Models!$BJ27:$BT27,,T27+1)*R27-ERP_i)*Q27*Ramure*Pc/MaxiM</f>
        <v>5.5583456950997384E-7</v>
      </c>
      <c r="Q27" s="304">
        <f t="shared" si="19"/>
        <v>0.6</v>
      </c>
      <c r="R27" s="177">
        <f t="shared" si="4"/>
        <v>0.4995572860594093</v>
      </c>
      <c r="S27" s="799">
        <f t="shared" si="20"/>
        <v>-2</v>
      </c>
      <c r="T27" s="176">
        <f t="shared" si="21"/>
        <v>4</v>
      </c>
      <c r="U27" s="250">
        <f t="shared" si="22"/>
        <v>-1.5004427139405907</v>
      </c>
      <c r="V27" s="382">
        <f t="shared" si="5"/>
        <v>27.519151445203097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0</v>
      </c>
      <c r="AD27" s="169">
        <f>(INDEX(Models!$BJ27:$BT27,,AH27)*(1-AF27)+INDEX(Models!$BJ27:$BT27,,AH27+1)*AF27-ERP_i)*AE27*Ramure*Pc/MaxiM</f>
        <v>5.5583456950997384E-7</v>
      </c>
      <c r="AE27" s="304">
        <f t="shared" si="12"/>
        <v>0.6</v>
      </c>
      <c r="AF27" s="177">
        <f t="shared" si="13"/>
        <v>0.4995572860594093</v>
      </c>
      <c r="AG27" s="799">
        <f t="shared" si="23"/>
        <v>-2</v>
      </c>
      <c r="AH27" s="176">
        <f t="shared" si="14"/>
        <v>4</v>
      </c>
      <c r="AI27" s="224">
        <f t="shared" si="15"/>
        <v>-1.5004427139405907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0</v>
      </c>
      <c r="M28" s="842"/>
      <c r="N28" s="842"/>
      <c r="O28" s="323">
        <f t="shared" si="3"/>
        <v>0</v>
      </c>
      <c r="P28" s="169">
        <f>(INDEX(Models!$BJ28:$BT28,,T28)*(1-R28)+INDEX(Models!$BJ28:$BT28,,T28+1)*R28-ERP_i)*Q28*Ramure*Pc/MaxiM</f>
        <v>6.1136380558712467E-7</v>
      </c>
      <c r="Q28" s="304">
        <f t="shared" si="19"/>
        <v>0.6</v>
      </c>
      <c r="R28" s="177">
        <f t="shared" si="4"/>
        <v>0.49960503744979889</v>
      </c>
      <c r="S28" s="799">
        <f t="shared" si="20"/>
        <v>-2</v>
      </c>
      <c r="T28" s="176">
        <f t="shared" si="21"/>
        <v>4</v>
      </c>
      <c r="U28" s="250">
        <f t="shared" si="22"/>
        <v>-1.5003949625502011</v>
      </c>
      <c r="V28" s="382">
        <f t="shared" si="5"/>
        <v>27.79335356028735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0</v>
      </c>
      <c r="AD28" s="169">
        <f>(INDEX(Models!$BJ28:$BT28,,AH28)*(1-AF28)+INDEX(Models!$BJ28:$BT28,,AH28+1)*AF28-ERP_i)*AE28*Ramure*Pc/MaxiM</f>
        <v>6.1136380558712467E-7</v>
      </c>
      <c r="AE28" s="304">
        <f t="shared" si="12"/>
        <v>0.6</v>
      </c>
      <c r="AF28" s="177">
        <f t="shared" si="13"/>
        <v>0.49960503744979889</v>
      </c>
      <c r="AG28" s="799">
        <f t="shared" si="23"/>
        <v>-2</v>
      </c>
      <c r="AH28" s="176">
        <f t="shared" si="14"/>
        <v>4</v>
      </c>
      <c r="AI28" s="224">
        <f t="shared" si="15"/>
        <v>-1.5003949625502011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0</v>
      </c>
      <c r="M29" s="842"/>
      <c r="N29" s="842"/>
      <c r="O29" s="323">
        <f t="shared" si="3"/>
        <v>0</v>
      </c>
      <c r="P29" s="169">
        <f>(INDEX(Models!$BJ29:$BT29,,T29)*(1-R29)+INDEX(Models!$BJ29:$BT29,,T29+1)*R29-ERP_i)*Q29*Ramure*Pc/MaxiM</f>
        <v>6.6922702677487345E-7</v>
      </c>
      <c r="Q29" s="304">
        <f t="shared" si="19"/>
        <v>0.6</v>
      </c>
      <c r="R29" s="177">
        <f t="shared" si="4"/>
        <v>0.49965478239997108</v>
      </c>
      <c r="S29" s="799">
        <f t="shared" si="20"/>
        <v>-2</v>
      </c>
      <c r="T29" s="176">
        <f t="shared" si="21"/>
        <v>4</v>
      </c>
      <c r="U29" s="250">
        <f t="shared" si="22"/>
        <v>-1.5003452176000289</v>
      </c>
      <c r="V29" s="382">
        <f t="shared" si="5"/>
        <v>28.076018969718046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0</v>
      </c>
      <c r="AD29" s="169">
        <f>(INDEX(Models!$BJ29:$BT29,,AH29)*(1-AF29)+INDEX(Models!$BJ29:$BT29,,AH29+1)*AF29-ERP_i)*AE29*Ramure*Pc/MaxiM</f>
        <v>6.6922702677487345E-7</v>
      </c>
      <c r="AE29" s="304">
        <f t="shared" si="12"/>
        <v>0.6</v>
      </c>
      <c r="AF29" s="177">
        <f t="shared" si="13"/>
        <v>0.49965478239997108</v>
      </c>
      <c r="AG29" s="799">
        <f t="shared" si="23"/>
        <v>-2</v>
      </c>
      <c r="AH29" s="176">
        <f t="shared" si="14"/>
        <v>4</v>
      </c>
      <c r="AI29" s="224">
        <f t="shared" si="15"/>
        <v>-1.5003452176000289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0</v>
      </c>
      <c r="M30" s="842"/>
      <c r="N30" s="842"/>
      <c r="O30" s="323">
        <f t="shared" si="3"/>
        <v>0</v>
      </c>
      <c r="P30" s="169">
        <f>(INDEX(Models!$BJ30:$BT30,,T30)*(1-R30)+INDEX(Models!$BJ30:$BT30,,T30+1)*R30-ERP_i)*Q30*Ramure*Pc/MaxiM</f>
        <v>7.2863003267357001E-7</v>
      </c>
      <c r="Q30" s="304">
        <f t="shared" si="19"/>
        <v>0.6</v>
      </c>
      <c r="R30" s="177">
        <f t="shared" si="4"/>
        <v>0.49970660371536435</v>
      </c>
      <c r="S30" s="799">
        <f t="shared" si="20"/>
        <v>-2</v>
      </c>
      <c r="T30" s="176">
        <f t="shared" si="21"/>
        <v>4</v>
      </c>
      <c r="U30" s="250">
        <f t="shared" si="22"/>
        <v>-1.5002933962846356</v>
      </c>
      <c r="V30" s="382">
        <f t="shared" si="5"/>
        <v>28.366299082122644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0</v>
      </c>
      <c r="AD30" s="169">
        <f>(INDEX(Models!$BJ30:$BT30,,AH30)*(1-AF30)+INDEX(Models!$BJ30:$BT30,,AH30+1)*AF30-ERP_i)*AE30*Ramure*Pc/MaxiM</f>
        <v>7.2863003267357001E-7</v>
      </c>
      <c r="AE30" s="304">
        <f t="shared" si="12"/>
        <v>0.6</v>
      </c>
      <c r="AF30" s="177">
        <f t="shared" si="13"/>
        <v>0.49970660371536435</v>
      </c>
      <c r="AG30" s="799">
        <f t="shared" si="23"/>
        <v>-2</v>
      </c>
      <c r="AH30" s="176">
        <f t="shared" si="14"/>
        <v>4</v>
      </c>
      <c r="AI30" s="224">
        <f t="shared" si="15"/>
        <v>-1.5002933962846356</v>
      </c>
      <c r="AJ30" s="264" t="b">
        <f t="shared" si="16"/>
        <v>0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1.9164771863366958E-5</v>
      </c>
      <c r="M31" s="842"/>
      <c r="N31" s="842"/>
      <c r="O31" s="323">
        <f t="shared" si="3"/>
        <v>9.1293501279315307E-5</v>
      </c>
      <c r="P31" s="169">
        <f>(INDEX(Models!$BJ31:$BT31,,T31)*(1-R31)+INDEX(Models!$BJ31:$BT31,,T31+1)*R31-ERP_i)*Q31*Ramure*Pc/MaxiM</f>
        <v>7.8788124965235689E-7</v>
      </c>
      <c r="Q31" s="304">
        <f t="shared" si="19"/>
        <v>0.6</v>
      </c>
      <c r="R31" s="177">
        <f t="shared" si="4"/>
        <v>0.49976058760471842</v>
      </c>
      <c r="S31" s="799">
        <f t="shared" si="20"/>
        <v>-2</v>
      </c>
      <c r="T31" s="176">
        <f t="shared" si="21"/>
        <v>4</v>
      </c>
      <c r="U31" s="250">
        <f t="shared" si="22"/>
        <v>-1.5002394123952816</v>
      </c>
      <c r="V31" s="382">
        <f t="shared" si="5"/>
        <v>28.660179281325362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9.1293501279315307E-5</v>
      </c>
      <c r="AD31" s="169">
        <f>(INDEX(Models!$BJ31:$BT31,,AH31)*(1-AF31)+INDEX(Models!$BJ31:$BT31,,AH31+1)*AF31-ERP_i)*AE31*Ramure*Pc/MaxiM</f>
        <v>7.8788124965235689E-7</v>
      </c>
      <c r="AE31" s="304">
        <f t="shared" si="12"/>
        <v>0.6</v>
      </c>
      <c r="AF31" s="177">
        <f t="shared" si="13"/>
        <v>0.49976058760471842</v>
      </c>
      <c r="AG31" s="799">
        <f t="shared" si="23"/>
        <v>-2</v>
      </c>
      <c r="AH31" s="176">
        <f t="shared" si="14"/>
        <v>4</v>
      </c>
      <c r="AI31" s="224">
        <f t="shared" si="15"/>
        <v>-1.5002394123952816</v>
      </c>
      <c r="AJ31" s="264" t="b">
        <f t="shared" si="16"/>
        <v>0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3.8329176438200996E-5</v>
      </c>
      <c r="M32" s="842"/>
      <c r="N32" s="842"/>
      <c r="O32" s="323">
        <f t="shared" si="3"/>
        <v>1.8250042900123481E-4</v>
      </c>
      <c r="P32" s="169">
        <f>(INDEX(Models!$BJ32:$BT32,,T32)*(1-R32)+INDEX(Models!$BJ32:$BT32,,T32+1)*R32-ERP_i)*Q32*Ramure*Pc/MaxiM</f>
        <v>8.4661659616561848E-7</v>
      </c>
      <c r="Q32" s="304">
        <f t="shared" si="19"/>
        <v>0.6</v>
      </c>
      <c r="R32" s="177">
        <f t="shared" si="4"/>
        <v>0.4998168238168601</v>
      </c>
      <c r="S32" s="799">
        <f t="shared" si="20"/>
        <v>-2</v>
      </c>
      <c r="T32" s="176">
        <f t="shared" si="21"/>
        <v>4</v>
      </c>
      <c r="U32" s="250">
        <f t="shared" si="22"/>
        <v>-1.5001831761831399</v>
      </c>
      <c r="V32" s="382">
        <f t="shared" si="5"/>
        <v>28.959912708445561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1.8250042900123481E-4</v>
      </c>
      <c r="AD32" s="169">
        <f>(INDEX(Models!$BJ32:$BT32,,AH32)*(1-AF32)+INDEX(Models!$BJ32:$BT32,,AH32+1)*AF32-ERP_i)*AE32*Ramure*Pc/MaxiM</f>
        <v>8.4661659616561848E-7</v>
      </c>
      <c r="AE32" s="304">
        <f t="shared" si="12"/>
        <v>0.6</v>
      </c>
      <c r="AF32" s="177">
        <f t="shared" si="13"/>
        <v>0.4998168238168601</v>
      </c>
      <c r="AG32" s="799">
        <f t="shared" si="23"/>
        <v>-2</v>
      </c>
      <c r="AH32" s="176">
        <f t="shared" si="14"/>
        <v>4</v>
      </c>
      <c r="AI32" s="224">
        <f t="shared" si="15"/>
        <v>-1.5001831761831399</v>
      </c>
      <c r="AJ32" s="264" t="b">
        <f t="shared" si="16"/>
        <v>0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5.749321373160754E-5</v>
      </c>
      <c r="M33" s="842"/>
      <c r="N33" s="842"/>
      <c r="O33" s="323">
        <f t="shared" si="3"/>
        <v>2.7362121190877215E-4</v>
      </c>
      <c r="P33" s="169">
        <f>(INDEX(Models!$BJ33:$BT33,,T33)*(1-R33)+INDEX(Models!$BJ33:$BT33,,T33+1)*R33-ERP_i)*Q33*Ramure*Pc/MaxiM</f>
        <v>9.0445983687129819E-7</v>
      </c>
      <c r="Q33" s="304">
        <f t="shared" si="19"/>
        <v>0.6</v>
      </c>
      <c r="R33" s="177">
        <f t="shared" si="4"/>
        <v>0.49987540578272105</v>
      </c>
      <c r="S33" s="799">
        <f t="shared" si="20"/>
        <v>-2</v>
      </c>
      <c r="T33" s="176">
        <f t="shared" si="21"/>
        <v>4</v>
      </c>
      <c r="U33" s="250">
        <f t="shared" si="22"/>
        <v>-1.500124594217279</v>
      </c>
      <c r="V33" s="382">
        <f t="shared" si="5"/>
        <v>29.26464915783362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2.7362121190877215E-4</v>
      </c>
      <c r="AD33" s="169">
        <f>(INDEX(Models!$BJ33:$BT33,,AH33)*(1-AF33)+INDEX(Models!$BJ33:$BT33,,AH33+1)*AF33-ERP_i)*AE33*Ramure*Pc/MaxiM</f>
        <v>9.0445983687129819E-7</v>
      </c>
      <c r="AE33" s="304">
        <f t="shared" si="12"/>
        <v>0.6</v>
      </c>
      <c r="AF33" s="177">
        <f t="shared" si="13"/>
        <v>0.49987540578272105</v>
      </c>
      <c r="AG33" s="799">
        <f t="shared" si="23"/>
        <v>-2</v>
      </c>
      <c r="AH33" s="176">
        <f t="shared" si="14"/>
        <v>4</v>
      </c>
      <c r="AI33" s="224">
        <f t="shared" si="15"/>
        <v>-1.500124594217279</v>
      </c>
      <c r="AJ33" s="264" t="b">
        <f t="shared" si="16"/>
        <v>0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7.6656883750580995E-5</v>
      </c>
      <c r="M34" s="842"/>
      <c r="N34" s="842"/>
      <c r="O34" s="323">
        <f t="shared" si="3"/>
        <v>3.6465629537574127E-4</v>
      </c>
      <c r="P34" s="169">
        <f>(INDEX(Models!$BJ34:$BT34,,T34)*(1-R34)+INDEX(Models!$BJ34:$BT34,,T34+1)*R34-ERP_i)*Q34*Ramure*Pc/MaxiM</f>
        <v>9.6102658774587707E-7</v>
      </c>
      <c r="Q34" s="304">
        <f t="shared" si="19"/>
        <v>0.6</v>
      </c>
      <c r="R34" s="177">
        <f t="shared" si="4"/>
        <v>0.49993643076276384</v>
      </c>
      <c r="S34" s="799">
        <f t="shared" si="20"/>
        <v>-2</v>
      </c>
      <c r="T34" s="176">
        <f t="shared" si="21"/>
        <v>4</v>
      </c>
      <c r="U34" s="250">
        <f t="shared" si="22"/>
        <v>-1.5000635692372362</v>
      </c>
      <c r="V34" s="382">
        <f t="shared" si="5"/>
        <v>29.573538799464682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3.6465629537574127E-4</v>
      </c>
      <c r="AD34" s="169">
        <f>(INDEX(Models!$BJ34:$BT34,,AH34)*(1-AF34)+INDEX(Models!$BJ34:$BT34,,AH34+1)*AF34-ERP_i)*AE34*Ramure*Pc/MaxiM</f>
        <v>9.6102658774587707E-7</v>
      </c>
      <c r="AE34" s="304">
        <f t="shared" si="12"/>
        <v>0.6</v>
      </c>
      <c r="AF34" s="177">
        <f t="shared" si="13"/>
        <v>0.49993643076276384</v>
      </c>
      <c r="AG34" s="799">
        <f t="shared" si="23"/>
        <v>-2</v>
      </c>
      <c r="AH34" s="176">
        <f t="shared" si="14"/>
        <v>4</v>
      </c>
      <c r="AI34" s="224">
        <f t="shared" si="15"/>
        <v>-1.5000635692372362</v>
      </c>
      <c r="AJ34" s="264" t="b">
        <f t="shared" si="16"/>
        <v>0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9.582018650222679E-5</v>
      </c>
      <c r="M35" s="842"/>
      <c r="N35" s="842"/>
      <c r="O35" s="323">
        <f t="shared" si="3"/>
        <v>4.556061415582823E-4</v>
      </c>
      <c r="P35" s="169">
        <f>(INDEX(Models!$BJ35:$BT35,,T35)*(1-R35)+INDEX(Models!$BJ35:$BT35,,T35+1)*R35-ERP_i)*Q35*Ramure*Pc/MaxiM</f>
        <v>1.0159211319353825E-6</v>
      </c>
      <c r="Q35" s="304">
        <f t="shared" si="19"/>
        <v>0.6</v>
      </c>
      <c r="R35" s="177">
        <f t="shared" si="4"/>
        <v>0.5</v>
      </c>
      <c r="S35" s="799">
        <f t="shared" si="20"/>
        <v>-2</v>
      </c>
      <c r="T35" s="176">
        <f t="shared" si="21"/>
        <v>4</v>
      </c>
      <c r="U35" s="250">
        <f t="shared" si="22"/>
        <v>-1.5</v>
      </c>
      <c r="V35" s="382">
        <f t="shared" si="5"/>
        <v>29.885732173987371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4.556061415582823E-4</v>
      </c>
      <c r="AD35" s="169">
        <f>(INDEX(Models!$BJ35:$BT35,,AH35)*(1-AF35)+INDEX(Models!$BJ35:$BT35,,AH35+1)*AF35-ERP_i)*AE35*Ramure*Pc/MaxiM</f>
        <v>1.0159211319353825E-6</v>
      </c>
      <c r="AE35" s="304">
        <f t="shared" si="12"/>
        <v>0.6</v>
      </c>
      <c r="AF35" s="177">
        <f t="shared" si="13"/>
        <v>0.5</v>
      </c>
      <c r="AG35" s="799">
        <f t="shared" si="23"/>
        <v>-2</v>
      </c>
      <c r="AH35" s="176">
        <f t="shared" si="14"/>
        <v>4</v>
      </c>
      <c r="AI35" s="224">
        <f t="shared" si="15"/>
        <v>-1.5</v>
      </c>
      <c r="AJ35" s="264" t="b">
        <f t="shared" si="16"/>
        <v>0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1.1498312199365035E-4</v>
      </c>
      <c r="M36" s="842"/>
      <c r="N36" s="842"/>
      <c r="O36" s="323">
        <f t="shared" si="3"/>
        <v>5.4647122854590289E-4</v>
      </c>
      <c r="P36" s="169">
        <f>(INDEX(Models!$BJ36:$BT36,,T36)*(1-R36)+INDEX(Models!$BJ36:$BT36,,T36+1)*R36-ERP_i)*Q36*Ramure*Pc/MaxiM</f>
        <v>1.0687278026378978E-6</v>
      </c>
      <c r="Q36" s="304">
        <f t="shared" si="19"/>
        <v>0.6</v>
      </c>
      <c r="R36" s="177">
        <f t="shared" si="4"/>
        <v>0.50006621887878211</v>
      </c>
      <c r="S36" s="799">
        <f t="shared" si="20"/>
        <v>-2</v>
      </c>
      <c r="T36" s="176">
        <f t="shared" si="21"/>
        <v>4</v>
      </c>
      <c r="U36" s="250">
        <f t="shared" si="22"/>
        <v>-1.4999337811212179</v>
      </c>
      <c r="V36" s="382">
        <f t="shared" si="5"/>
        <v>30.200380206696568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5.4647122854590289E-4</v>
      </c>
      <c r="AD36" s="169">
        <f>(INDEX(Models!$BJ36:$BT36,,AH36)*(1-AF36)+INDEX(Models!$BJ36:$BT36,,AH36+1)*AF36-ERP_i)*AE36*Ramure*Pc/MaxiM</f>
        <v>1.0687278026378978E-6</v>
      </c>
      <c r="AE36" s="304">
        <f t="shared" si="12"/>
        <v>0.6</v>
      </c>
      <c r="AF36" s="177">
        <f t="shared" si="13"/>
        <v>0.50006621887878211</v>
      </c>
      <c r="AG36" s="799">
        <f t="shared" si="23"/>
        <v>-2</v>
      </c>
      <c r="AH36" s="176">
        <f t="shared" si="14"/>
        <v>4</v>
      </c>
      <c r="AI36" s="224">
        <f t="shared" si="15"/>
        <v>-1.4999337811212179</v>
      </c>
      <c r="AJ36" s="264" t="b">
        <f t="shared" si="16"/>
        <v>0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1.3414569023162404E-4</v>
      </c>
      <c r="M37" s="842"/>
      <c r="N37" s="842"/>
      <c r="O37" s="323">
        <f t="shared" si="3"/>
        <v>6.3725204859682333E-4</v>
      </c>
      <c r="P37" s="169">
        <f>(INDEX(Models!$BJ37:$BT37,,T37)*(1-R37)+INDEX(Models!$BJ37:$BT37,,T37+1)*R37-ERP_i)*Q37*Ramure*Pc/MaxiM</f>
        <v>1.1188562578825868E-6</v>
      </c>
      <c r="Q37" s="304">
        <f t="shared" si="19"/>
        <v>0.6</v>
      </c>
      <c r="R37" s="177">
        <f t="shared" si="4"/>
        <v>0.50013519708955934</v>
      </c>
      <c r="S37" s="799">
        <f t="shared" si="20"/>
        <v>-2</v>
      </c>
      <c r="T37" s="176">
        <f t="shared" si="21"/>
        <v>4</v>
      </c>
      <c r="U37" s="250">
        <f t="shared" si="22"/>
        <v>-1.4998648029104407</v>
      </c>
      <c r="V37" s="382">
        <f t="shared" si="5"/>
        <v>30.520892884718513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6.3725204859682333E-4</v>
      </c>
      <c r="AD37" s="169">
        <f>(INDEX(Models!$BJ37:$BT37,,AH37)*(1-AF37)+INDEX(Models!$BJ37:$BT37,,AH37+1)*AF37-ERP_i)*AE37*Ramure*Pc/MaxiM</f>
        <v>1.1188562578825868E-6</v>
      </c>
      <c r="AE37" s="304">
        <f t="shared" si="12"/>
        <v>0.6</v>
      </c>
      <c r="AF37" s="177">
        <f t="shared" si="13"/>
        <v>0.50013519708955934</v>
      </c>
      <c r="AG37" s="799">
        <f t="shared" si="23"/>
        <v>-2</v>
      </c>
      <c r="AH37" s="176">
        <f t="shared" si="14"/>
        <v>4</v>
      </c>
      <c r="AI37" s="224">
        <f t="shared" si="15"/>
        <v>-1.4998648029104407</v>
      </c>
      <c r="AJ37" s="264" t="b">
        <f t="shared" si="16"/>
        <v>0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1.5330789122347532E-4</v>
      </c>
      <c r="M38" s="842"/>
      <c r="N38" s="842"/>
      <c r="O38" s="323">
        <f t="shared" si="3"/>
        <v>7.2794910555262771E-4</v>
      </c>
      <c r="P38" s="169">
        <f>(INDEX(Models!$BJ38:$BT38,,T38)*(1-R38)+INDEX(Models!$BJ38:$BT38,,T38+1)*R38-ERP_i)*Q38*Ramure*Pc/MaxiM</f>
        <v>1.1663158923168083E-6</v>
      </c>
      <c r="Q38" s="304">
        <f t="shared" si="19"/>
        <v>0.6</v>
      </c>
      <c r="R38" s="177">
        <f t="shared" si="4"/>
        <v>0.50020704879978872</v>
      </c>
      <c r="S38" s="799">
        <f t="shared" si="20"/>
        <v>-2</v>
      </c>
      <c r="T38" s="176">
        <f t="shared" si="21"/>
        <v>4</v>
      </c>
      <c r="U38" s="250">
        <f t="shared" si="22"/>
        <v>-1.4997929512002113</v>
      </c>
      <c r="V38" s="382">
        <f t="shared" si="5"/>
        <v>30.850585898067663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7.2794910555262771E-4</v>
      </c>
      <c r="AD38" s="169">
        <f>(INDEX(Models!$BJ38:$BT38,,AH38)*(1-AF38)+INDEX(Models!$BJ38:$BT38,,AH38+1)*AF38-ERP_i)*AE38*Ramure*Pc/MaxiM</f>
        <v>1.1663158923168083E-6</v>
      </c>
      <c r="AE38" s="304">
        <f t="shared" si="12"/>
        <v>0.6</v>
      </c>
      <c r="AF38" s="177">
        <f t="shared" si="13"/>
        <v>0.50020704879978872</v>
      </c>
      <c r="AG38" s="799">
        <f t="shared" si="23"/>
        <v>-2</v>
      </c>
      <c r="AH38" s="176">
        <f t="shared" si="14"/>
        <v>4</v>
      </c>
      <c r="AI38" s="224">
        <f t="shared" si="15"/>
        <v>-1.4997929512002113</v>
      </c>
      <c r="AJ38" s="264" t="b">
        <f t="shared" si="16"/>
        <v>0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1.7246972497597657E-4</v>
      </c>
      <c r="M39" s="842"/>
      <c r="N39" s="842"/>
      <c r="O39" s="323">
        <f t="shared" si="3"/>
        <v>8.1856291153689458E-4</v>
      </c>
      <c r="P39" s="169">
        <f>(INDEX(Models!$BJ39:$BT39,,T39)*(1-R39)+INDEX(Models!$BJ39:$BT39,,T39+1)*R39-ERP_i)*Q39*Ramure*Pc/MaxiM</f>
        <v>1.2120042827731872E-6</v>
      </c>
      <c r="Q39" s="304">
        <f t="shared" si="19"/>
        <v>0.6</v>
      </c>
      <c r="R39" s="177">
        <f t="shared" si="4"/>
        <v>0.50028189283119695</v>
      </c>
      <c r="S39" s="799">
        <f t="shared" si="20"/>
        <v>-2</v>
      </c>
      <c r="T39" s="176">
        <f t="shared" si="21"/>
        <v>4</v>
      </c>
      <c r="U39" s="250">
        <f t="shared" si="22"/>
        <v>-1.499718107168803</v>
      </c>
      <c r="V39" s="382">
        <f t="shared" si="5"/>
        <v>31.188469321405812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8.1856291153689458E-4</v>
      </c>
      <c r="AD39" s="169">
        <f>(INDEX(Models!$BJ39:$BT39,,AH39)*(1-AF39)+INDEX(Models!$BJ39:$BT39,,AH39+1)*AF39-ERP_i)*AE39*Ramure*Pc/MaxiM</f>
        <v>1.2120042827731872E-6</v>
      </c>
      <c r="AE39" s="304">
        <f t="shared" si="12"/>
        <v>0.6</v>
      </c>
      <c r="AF39" s="177">
        <f t="shared" si="13"/>
        <v>0.50028189283119695</v>
      </c>
      <c r="AG39" s="799">
        <f t="shared" si="23"/>
        <v>-2</v>
      </c>
      <c r="AH39" s="176">
        <f t="shared" si="14"/>
        <v>4</v>
      </c>
      <c r="AI39" s="224">
        <f t="shared" si="15"/>
        <v>-1.499718107168803</v>
      </c>
      <c r="AJ39" s="264" t="b">
        <f t="shared" si="16"/>
        <v>0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1.9163119149645524E-4</v>
      </c>
      <c r="M40" s="842"/>
      <c r="N40" s="842"/>
      <c r="O40" s="323">
        <f t="shared" si="3"/>
        <v>9.0909398304914071E-4</v>
      </c>
      <c r="P40" s="169">
        <f>(INDEX(Models!$BJ40:$BT40,,T40)*(1-R40)+INDEX(Models!$BJ40:$BT40,,T40+1)*R40-ERP_i)*Q40*Ramure*Pc/MaxiM</f>
        <v>1.2557306511299889E-6</v>
      </c>
      <c r="Q40" s="304">
        <f t="shared" si="19"/>
        <v>0.6</v>
      </c>
      <c r="R40" s="177">
        <f t="shared" si="4"/>
        <v>0.50035985284358975</v>
      </c>
      <c r="S40" s="799">
        <f t="shared" si="20"/>
        <v>-2</v>
      </c>
      <c r="T40" s="176">
        <f t="shared" si="21"/>
        <v>4</v>
      </c>
      <c r="U40" s="250">
        <f t="shared" si="22"/>
        <v>-1.4996401471564103</v>
      </c>
      <c r="V40" s="382">
        <f t="shared" si="5"/>
        <v>31.533553699747994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9.0909398304914071E-4</v>
      </c>
      <c r="AD40" s="169">
        <f>(INDEX(Models!$BJ40:$BT40,,AH40)*(1-AF40)+INDEX(Models!$BJ40:$BT40,,AH40+1)*AF40-ERP_i)*AE40*Ramure*Pc/MaxiM</f>
        <v>1.2557306511299889E-6</v>
      </c>
      <c r="AE40" s="304">
        <f t="shared" si="12"/>
        <v>0.6</v>
      </c>
      <c r="AF40" s="177">
        <f t="shared" si="13"/>
        <v>0.50035985284358975</v>
      </c>
      <c r="AG40" s="799">
        <f t="shared" si="23"/>
        <v>-2</v>
      </c>
      <c r="AH40" s="176">
        <f t="shared" si="14"/>
        <v>4</v>
      </c>
      <c r="AI40" s="224">
        <f t="shared" si="15"/>
        <v>-1.4996401471564103</v>
      </c>
      <c r="AJ40" s="264" t="b">
        <f t="shared" si="16"/>
        <v>0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2.1079229079168371E-4</v>
      </c>
      <c r="M41" s="842"/>
      <c r="N41" s="842"/>
      <c r="O41" s="323">
        <f t="shared" si="3"/>
        <v>9.9954283657203275E-4</v>
      </c>
      <c r="P41" s="169">
        <f>(INDEX(Models!$BJ41:$BT41,,T41)*(1-R41)+INDEX(Models!$BJ41:$BT41,,T41+1)*R41-ERP_i)*Q41*Ramure*Pc/MaxiM</f>
        <v>1.2972985514803386E-6</v>
      </c>
      <c r="Q41" s="304">
        <f t="shared" si="19"/>
        <v>0.6</v>
      </c>
      <c r="R41" s="177">
        <f t="shared" si="4"/>
        <v>0.50044105752541146</v>
      </c>
      <c r="S41" s="799">
        <f t="shared" si="20"/>
        <v>-2</v>
      </c>
      <c r="T41" s="176">
        <f t="shared" si="21"/>
        <v>4</v>
      </c>
      <c r="U41" s="250">
        <f t="shared" si="22"/>
        <v>-1.4995589424745885</v>
      </c>
      <c r="V41" s="382">
        <f t="shared" si="5"/>
        <v>31.884850013424042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9.9954283657203275E-4</v>
      </c>
      <c r="AD41" s="169">
        <f>(INDEX(Models!$BJ41:$BT41,,AH41)*(1-AF41)+INDEX(Models!$BJ41:$BT41,,AH41+1)*AF41-ERP_i)*AE41*Ramure*Pc/MaxiM</f>
        <v>1.2972985514803386E-6</v>
      </c>
      <c r="AE41" s="304">
        <f t="shared" si="12"/>
        <v>0.6</v>
      </c>
      <c r="AF41" s="177">
        <f t="shared" si="13"/>
        <v>0.50044105752541146</v>
      </c>
      <c r="AG41" s="799">
        <f t="shared" si="23"/>
        <v>-2</v>
      </c>
      <c r="AH41" s="176">
        <f t="shared" si="14"/>
        <v>4</v>
      </c>
      <c r="AI41" s="224">
        <f t="shared" si="15"/>
        <v>-1.4995589424745885</v>
      </c>
      <c r="AJ41" s="264" t="b">
        <f t="shared" si="16"/>
        <v>0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2.2995302286887842E-4</v>
      </c>
      <c r="M42" s="842"/>
      <c r="N42" s="842"/>
      <c r="O42" s="323">
        <f t="shared" si="3"/>
        <v>1.0899099838131809E-3</v>
      </c>
      <c r="P42" s="169">
        <f>(INDEX(Models!$BJ42:$BT42,,T42)*(1-R42)+INDEX(Models!$BJ42:$BT42,,T42+1)*R42-ERP_i)*Q42*Ramure*Pc/MaxiM</f>
        <v>1.3365043223902658E-6</v>
      </c>
      <c r="Q42" s="304">
        <f t="shared" si="19"/>
        <v>0.6</v>
      </c>
      <c r="R42" s="177">
        <f t="shared" si="4"/>
        <v>0.5005256407912575</v>
      </c>
      <c r="S42" s="799">
        <f t="shared" si="20"/>
        <v>-2</v>
      </c>
      <c r="T42" s="176">
        <f t="shared" si="21"/>
        <v>4</v>
      </c>
      <c r="U42" s="250">
        <f t="shared" si="22"/>
        <v>-1.4994743592087425</v>
      </c>
      <c r="V42" s="382">
        <f t="shared" si="5"/>
        <v>32.241369683337041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1.0899099838131809E-3</v>
      </c>
      <c r="AD42" s="169">
        <f>(INDEX(Models!$BJ42:$BT42,,AH42)*(1-AF42)+INDEX(Models!$BJ42:$BT42,,AH42+1)*AF42-ERP_i)*AE42*Ramure*Pc/MaxiM</f>
        <v>1.3365043223902658E-6</v>
      </c>
      <c r="AE42" s="304">
        <f t="shared" si="12"/>
        <v>0.6</v>
      </c>
      <c r="AF42" s="177">
        <f t="shared" si="13"/>
        <v>0.5005256407912575</v>
      </c>
      <c r="AG42" s="799">
        <f t="shared" si="23"/>
        <v>-2</v>
      </c>
      <c r="AH42" s="176">
        <f t="shared" si="14"/>
        <v>4</v>
      </c>
      <c r="AI42" s="224">
        <f t="shared" si="15"/>
        <v>-1.4994743592087425</v>
      </c>
      <c r="AJ42" s="264" t="b">
        <f t="shared" si="16"/>
        <v>0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2.4911338773492275E-4</v>
      </c>
      <c r="M43" s="842"/>
      <c r="N43" s="842"/>
      <c r="O43" s="323">
        <f t="shared" si="3"/>
        <v>1.1801959267056545E-3</v>
      </c>
      <c r="P43" s="169">
        <f>(INDEX(Models!$BJ43:$BT43,,T43)*(1-R43)+INDEX(Models!$BJ43:$BT43,,T43+1)*R43-ERP_i)*Q43*Ramure*Pc/MaxiM</f>
        <v>1.3731354380692626E-6</v>
      </c>
      <c r="Q43" s="304">
        <f t="shared" si="19"/>
        <v>0.6</v>
      </c>
      <c r="R43" s="177">
        <f t="shared" si="4"/>
        <v>0.50061374198654263</v>
      </c>
      <c r="S43" s="799">
        <f t="shared" si="20"/>
        <v>-2</v>
      </c>
      <c r="T43" s="176">
        <f t="shared" si="21"/>
        <v>4</v>
      </c>
      <c r="U43" s="250">
        <f t="shared" si="22"/>
        <v>-1.4993862580134574</v>
      </c>
      <c r="V43" s="382">
        <f t="shared" si="5"/>
        <v>32.602124561914685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1.1801959267056545E-3</v>
      </c>
      <c r="AD43" s="169">
        <f>(INDEX(Models!$BJ43:$BT43,,AH43)*(1-AF43)+INDEX(Models!$BJ43:$BT43,,AH43+1)*AF43-ERP_i)*AE43*Ramure*Pc/MaxiM</f>
        <v>1.3731354380692626E-6</v>
      </c>
      <c r="AE43" s="304">
        <f t="shared" si="12"/>
        <v>0.6</v>
      </c>
      <c r="AF43" s="177">
        <f t="shared" si="13"/>
        <v>0.50061374198654263</v>
      </c>
      <c r="AG43" s="799">
        <f t="shared" si="23"/>
        <v>-2</v>
      </c>
      <c r="AH43" s="176">
        <f t="shared" si="14"/>
        <v>4</v>
      </c>
      <c r="AI43" s="224">
        <f t="shared" si="15"/>
        <v>-1.4993862580134574</v>
      </c>
      <c r="AJ43" s="264" t="b">
        <f t="shared" si="16"/>
        <v>0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2.6827338539703316E-4</v>
      </c>
      <c r="M44" s="842"/>
      <c r="N44" s="842"/>
      <c r="O44" s="323">
        <f t="shared" si="3"/>
        <v>1.2704011522918644E-3</v>
      </c>
      <c r="P44" s="169">
        <f>(INDEX(Models!$BJ44:$BT44,,T44)*(1-R44)+INDEX(Models!$BJ44:$BT44,,T44+1)*R44-ERP_i)*Q44*Ramure*Pc/MaxiM</f>
        <v>1.4071691221389143E-6</v>
      </c>
      <c r="Q44" s="304">
        <f t="shared" si="19"/>
        <v>0.6</v>
      </c>
      <c r="R44" s="177">
        <f t="shared" si="4"/>
        <v>0.50070550609953623</v>
      </c>
      <c r="S44" s="799">
        <f t="shared" si="20"/>
        <v>-2</v>
      </c>
      <c r="T44" s="176">
        <f t="shared" si="21"/>
        <v>4</v>
      </c>
      <c r="U44" s="250">
        <f t="shared" si="22"/>
        <v>-1.4992944939004638</v>
      </c>
      <c r="V44" s="382">
        <f t="shared" si="5"/>
        <v>32.966126932102121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1.2704011522918644E-3</v>
      </c>
      <c r="AD44" s="169">
        <f>(INDEX(Models!$BJ44:$BT44,,AH44)*(1-AF44)+INDEX(Models!$BJ44:$BT44,,AH44+1)*AF44-ERP_i)*AE44*Ramure*Pc/MaxiM</f>
        <v>1.4071691221389143E-6</v>
      </c>
      <c r="AE44" s="304">
        <f t="shared" si="12"/>
        <v>0.6</v>
      </c>
      <c r="AF44" s="177">
        <f t="shared" si="13"/>
        <v>0.50070550609953623</v>
      </c>
      <c r="AG44" s="799">
        <f t="shared" si="23"/>
        <v>-2</v>
      </c>
      <c r="AH44" s="176">
        <f t="shared" si="14"/>
        <v>4</v>
      </c>
      <c r="AI44" s="224">
        <f t="shared" si="15"/>
        <v>-1.4992944939004638</v>
      </c>
      <c r="AJ44" s="264" t="b">
        <f t="shared" si="16"/>
        <v>0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2.8743301586220404E-4</v>
      </c>
      <c r="M45" s="842"/>
      <c r="N45" s="842"/>
      <c r="O45" s="323">
        <f t="shared" si="3"/>
        <v>1.3605261276143068E-3</v>
      </c>
      <c r="P45" s="169">
        <f>(INDEX(Models!$BJ45:$BT45,,T45)*(1-R45)+INDEX(Models!$BJ45:$BT45,,T45+1)*R45-ERP_i)*Q45*Ramure*Pc/MaxiM</f>
        <v>1.4409125062373904E-6</v>
      </c>
      <c r="Q45" s="304">
        <f t="shared" si="19"/>
        <v>0.6</v>
      </c>
      <c r="R45" s="177">
        <f t="shared" si="4"/>
        <v>0.50080108398096623</v>
      </c>
      <c r="S45" s="799">
        <f t="shared" si="20"/>
        <v>-2</v>
      </c>
      <c r="T45" s="176">
        <f t="shared" si="21"/>
        <v>4</v>
      </c>
      <c r="U45" s="250">
        <f t="shared" si="22"/>
        <v>-1.4991989160190338</v>
      </c>
      <c r="V45" s="382">
        <f t="shared" si="5"/>
        <v>33.332389435145735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1.3605261276143068E-3</v>
      </c>
      <c r="AD45" s="169">
        <f>(INDEX(Models!$BJ45:$BT45,,AH45)*(1-AF45)+INDEX(Models!$BJ45:$BT45,,AH45+1)*AF45-ERP_i)*AE45*Ramure*Pc/MaxiM</f>
        <v>1.4409125062373904E-6</v>
      </c>
      <c r="AE45" s="304">
        <f t="shared" si="12"/>
        <v>0.6</v>
      </c>
      <c r="AF45" s="177">
        <f t="shared" si="13"/>
        <v>0.50080108398096623</v>
      </c>
      <c r="AG45" s="799">
        <f t="shared" si="23"/>
        <v>-2</v>
      </c>
      <c r="AH45" s="176">
        <f t="shared" si="14"/>
        <v>4</v>
      </c>
      <c r="AI45" s="224">
        <f t="shared" si="15"/>
        <v>-1.4991989160190338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3.0659227913731879E-4</v>
      </c>
      <c r="M46" s="842"/>
      <c r="N46" s="842"/>
      <c r="O46" s="323">
        <f t="shared" si="3"/>
        <v>1.4505712947342215E-3</v>
      </c>
      <c r="P46" s="169">
        <f>(INDEX(Models!$BJ46:$BT46,,T46)*(1-R46)+INDEX(Models!$BJ46:$BT46,,T46+1)*R46-ERP_i)*Q46*Ramure*Pc/MaxiM</f>
        <v>1.474503041462885E-6</v>
      </c>
      <c r="Q46" s="304">
        <f t="shared" si="19"/>
        <v>0.6</v>
      </c>
      <c r="R46" s="177">
        <f t="shared" si="4"/>
        <v>0.50090063257140671</v>
      </c>
      <c r="S46" s="799">
        <f t="shared" si="20"/>
        <v>-2</v>
      </c>
      <c r="T46" s="176">
        <f t="shared" si="21"/>
        <v>4</v>
      </c>
      <c r="U46" s="250">
        <f t="shared" si="22"/>
        <v>-1.4990993674285933</v>
      </c>
      <c r="V46" s="382">
        <f t="shared" si="5"/>
        <v>33.699925211157385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1.4505712947342215E-3</v>
      </c>
      <c r="AD46" s="169">
        <f>(INDEX(Models!$BJ46:$BT46,,AH46)*(1-AF46)+INDEX(Models!$BJ46:$BT46,,AH46+1)*AF46-ERP_i)*AE46*Ramure*Pc/MaxiM</f>
        <v>1.474503041462885E-6</v>
      </c>
      <c r="AE46" s="304">
        <f t="shared" si="12"/>
        <v>0.6</v>
      </c>
      <c r="AF46" s="177">
        <f t="shared" si="13"/>
        <v>0.50090063257140671</v>
      </c>
      <c r="AG46" s="799">
        <f t="shared" si="23"/>
        <v>-2</v>
      </c>
      <c r="AH46" s="176">
        <f t="shared" si="14"/>
        <v>4</v>
      </c>
      <c r="AI46" s="224">
        <f t="shared" si="15"/>
        <v>-1.4990993674285933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3.2575117522959385E-4</v>
      </c>
      <c r="M47" s="842"/>
      <c r="N47" s="842"/>
      <c r="O47" s="323">
        <f t="shared" si="3"/>
        <v>1.540537065994793E-3</v>
      </c>
      <c r="P47" s="169">
        <f>(INDEX(Models!$BJ47:$BT47,,T47)*(1-R47)+INDEX(Models!$BJ47:$BT47,,T47+1)*R47-ERP_i)*Q47*Ramure*Pc/MaxiM</f>
        <v>1.5080842562707391E-6</v>
      </c>
      <c r="Q47" s="304">
        <f t="shared" si="19"/>
        <v>0.6</v>
      </c>
      <c r="R47" s="177">
        <f t="shared" si="4"/>
        <v>0.50100431513665145</v>
      </c>
      <c r="S47" s="799">
        <f t="shared" si="20"/>
        <v>-2</v>
      </c>
      <c r="T47" s="176">
        <f t="shared" si="21"/>
        <v>4</v>
      </c>
      <c r="U47" s="250">
        <f t="shared" si="22"/>
        <v>-1.4989956848633486</v>
      </c>
      <c r="V47" s="382">
        <f t="shared" si="5"/>
        <v>34.067747837007737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1.540537065994793E-3</v>
      </c>
      <c r="AD47" s="169">
        <f>(INDEX(Models!$BJ47:$BT47,,AH47)*(1-AF47)+INDEX(Models!$BJ47:$BT47,,AH47+1)*AF47-ERP_i)*AE47*Ramure*Pc/MaxiM</f>
        <v>1.5080842562707391E-6</v>
      </c>
      <c r="AE47" s="304">
        <f t="shared" si="12"/>
        <v>0.6</v>
      </c>
      <c r="AF47" s="177">
        <f t="shared" si="13"/>
        <v>0.50100431513665145</v>
      </c>
      <c r="AG47" s="799">
        <f t="shared" si="23"/>
        <v>-2</v>
      </c>
      <c r="AH47" s="176">
        <f t="shared" si="14"/>
        <v>4</v>
      </c>
      <c r="AI47" s="224">
        <f t="shared" si="15"/>
        <v>-1.4989956848633486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3.4490970414602362E-4</v>
      </c>
      <c r="M48" s="842"/>
      <c r="N48" s="842"/>
      <c r="O48" s="323">
        <f t="shared" si="3"/>
        <v>1.630423819640057E-3</v>
      </c>
      <c r="P48" s="169">
        <f>(INDEX(Models!$BJ48:$BT48,,T48)*(1-R48)+INDEX(Models!$BJ48:$BT48,,T48+1)*R48-ERP_i)*Q48*Ramure*Pc/MaxiM</f>
        <v>1.5418059833522579E-6</v>
      </c>
      <c r="Q48" s="304">
        <f t="shared" si="19"/>
        <v>0.6</v>
      </c>
      <c r="R48" s="177">
        <f t="shared" si="4"/>
        <v>0.50111230151128461</v>
      </c>
      <c r="S48" s="799">
        <f t="shared" si="20"/>
        <v>-2</v>
      </c>
      <c r="T48" s="176">
        <f t="shared" si="21"/>
        <v>4</v>
      </c>
      <c r="U48" s="250">
        <f t="shared" si="22"/>
        <v>-1.4988876984887154</v>
      </c>
      <c r="V48" s="382">
        <f t="shared" si="5"/>
        <v>34.434871317767637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1.630423819640057E-3</v>
      </c>
      <c r="AD48" s="169">
        <f>(INDEX(Models!$BJ48:$BT48,,AH48)*(1-AF48)+INDEX(Models!$BJ48:$BT48,,AH48+1)*AF48-ERP_i)*AE48*Ramure*Pc/MaxiM</f>
        <v>1.5418059833522579E-6</v>
      </c>
      <c r="AE48" s="304">
        <f t="shared" si="12"/>
        <v>0.6</v>
      </c>
      <c r="AF48" s="177">
        <f t="shared" si="13"/>
        <v>0.50111230151128461</v>
      </c>
      <c r="AG48" s="799">
        <f t="shared" si="23"/>
        <v>-2</v>
      </c>
      <c r="AH48" s="176">
        <f t="shared" si="14"/>
        <v>4</v>
      </c>
      <c r="AI48" s="224">
        <f t="shared" si="15"/>
        <v>-1.4988876984887154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3.6406786589349149E-4</v>
      </c>
      <c r="M49" s="842"/>
      <c r="N49" s="842"/>
      <c r="O49" s="323">
        <f t="shared" si="3"/>
        <v>1.7202318958932413E-3</v>
      </c>
      <c r="P49" s="169">
        <f>(INDEX(Models!$BJ49:$BT49,,T49)*(1-R49)+INDEX(Models!$BJ49:$BT49,,T49+1)*R49-ERP_i)*Q49*Ramure*Pc/MaxiM</f>
        <v>1.575824703495928E-6</v>
      </c>
      <c r="Q49" s="304">
        <f t="shared" si="19"/>
        <v>0.6</v>
      </c>
      <c r="R49" s="177">
        <f t="shared" si="4"/>
        <v>0.50122476835065055</v>
      </c>
      <c r="S49" s="799">
        <f t="shared" si="20"/>
        <v>-2</v>
      </c>
      <c r="T49" s="176">
        <f t="shared" si="21"/>
        <v>4</v>
      </c>
      <c r="U49" s="250">
        <f t="shared" si="22"/>
        <v>-1.4987752316493494</v>
      </c>
      <c r="V49" s="382">
        <f t="shared" si="5"/>
        <v>34.800310090860819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1.7202318958932413E-3</v>
      </c>
      <c r="AD49" s="169">
        <f>(INDEX(Models!$BJ49:$BT49,,AH49)*(1-AF49)+INDEX(Models!$BJ49:$BT49,,AH49+1)*AF49-ERP_i)*AE49*Ramure*Pc/MaxiM</f>
        <v>1.575824703495928E-6</v>
      </c>
      <c r="AE49" s="304">
        <f t="shared" si="12"/>
        <v>0.6</v>
      </c>
      <c r="AF49" s="177">
        <f t="shared" si="13"/>
        <v>0.50122476835065055</v>
      </c>
      <c r="AG49" s="799">
        <f t="shared" si="23"/>
        <v>-2</v>
      </c>
      <c r="AH49" s="176">
        <f t="shared" si="14"/>
        <v>4</v>
      </c>
      <c r="AI49" s="224">
        <f t="shared" si="15"/>
        <v>-1.4987752316493494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3.8322566047921391E-4</v>
      </c>
      <c r="M50" s="842"/>
      <c r="N50" s="842"/>
      <c r="O50" s="323">
        <f t="shared" si="3"/>
        <v>1.8099615935904126E-3</v>
      </c>
      <c r="P50" s="169">
        <f>(INDEX(Models!$BJ50:$BT50,,T50)*(1-R50)+INDEX(Models!$BJ50:$BT50,,T50+1)*R50-ERP_i)*Q50*Ramure*Pc/MaxiM</f>
        <v>1.6103040080393987E-6</v>
      </c>
      <c r="Q50" s="304">
        <f t="shared" si="19"/>
        <v>0.6</v>
      </c>
      <c r="R50" s="177">
        <f t="shared" si="4"/>
        <v>0.50134189939143137</v>
      </c>
      <c r="S50" s="799">
        <f t="shared" si="20"/>
        <v>-2</v>
      </c>
      <c r="T50" s="176">
        <f t="shared" si="21"/>
        <v>4</v>
      </c>
      <c r="U50" s="250">
        <f t="shared" si="22"/>
        <v>-1.4986581006085686</v>
      </c>
      <c r="V50" s="382">
        <f t="shared" si="5"/>
        <v>35.163079024047754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1.8099615935904126E-3</v>
      </c>
      <c r="AD50" s="169">
        <f>(INDEX(Models!$BJ50:$BT50,,AH50)*(1-AF50)+INDEX(Models!$BJ50:$BT50,,AH50+1)*AF50-ERP_i)*AE50*Ramure*Pc/MaxiM</f>
        <v>1.6103040080393987E-6</v>
      </c>
      <c r="AE50" s="304">
        <f t="shared" si="12"/>
        <v>0.6</v>
      </c>
      <c r="AF50" s="177">
        <f t="shared" si="13"/>
        <v>0.50134189939143137</v>
      </c>
      <c r="AG50" s="799">
        <f t="shared" si="23"/>
        <v>-2</v>
      </c>
      <c r="AH50" s="176">
        <f t="shared" si="14"/>
        <v>4</v>
      </c>
      <c r="AI50" s="224">
        <f t="shared" si="15"/>
        <v>-1.4986581006085686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4.0238308791029631E-4</v>
      </c>
      <c r="M51" s="842"/>
      <c r="N51" s="842"/>
      <c r="O51" s="323">
        <f t="shared" si="3"/>
        <v>1.8996131674554461E-3</v>
      </c>
      <c r="P51" s="169">
        <f>(INDEX(Models!$BJ51:$BT51,,T51)*(1-R51)+INDEX(Models!$BJ51:$BT51,,T51+1)*R51-ERP_i)*Q51*Ramure*Pc/MaxiM</f>
        <v>1.6452900621698505E-6</v>
      </c>
      <c r="Q51" s="304">
        <f t="shared" si="19"/>
        <v>0.6</v>
      </c>
      <c r="R51" s="177">
        <f t="shared" si="4"/>
        <v>0.5014638857210254</v>
      </c>
      <c r="S51" s="799">
        <f t="shared" si="20"/>
        <v>-2</v>
      </c>
      <c r="T51" s="176">
        <f t="shared" si="21"/>
        <v>4</v>
      </c>
      <c r="U51" s="250">
        <f t="shared" si="22"/>
        <v>-1.4985361142789746</v>
      </c>
      <c r="V51" s="382">
        <f t="shared" si="5"/>
        <v>35.524894763722145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1.8996131674554461E-3</v>
      </c>
      <c r="AD51" s="169">
        <f>(INDEX(Models!$BJ51:$BT51,,AH51)*(1-AF51)+INDEX(Models!$BJ51:$BT51,,AH51+1)*AF51-ERP_i)*AE51*Ramure*Pc/MaxiM</f>
        <v>1.6452900621698505E-6</v>
      </c>
      <c r="AE51" s="304">
        <f t="shared" si="12"/>
        <v>0.6</v>
      </c>
      <c r="AF51" s="177">
        <f t="shared" si="13"/>
        <v>0.5014638857210254</v>
      </c>
      <c r="AG51" s="799">
        <f t="shared" si="23"/>
        <v>-2</v>
      </c>
      <c r="AH51" s="176">
        <f t="shared" si="14"/>
        <v>4</v>
      </c>
      <c r="AI51" s="224">
        <f t="shared" si="15"/>
        <v>-1.4985361142789746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4.2154014819351104E-4</v>
      </c>
      <c r="M52" s="842"/>
      <c r="N52" s="842"/>
      <c r="O52" s="323">
        <f t="shared" si="3"/>
        <v>1.989186826092248E-3</v>
      </c>
      <c r="P52" s="169">
        <f>(INDEX(Models!$BJ52:$BT52,,T52)*(1-R52)+INDEX(Models!$BJ52:$BT52,,T52+1)*R52-ERP_i)*Q52*Ramure*Pc/MaxiM</f>
        <v>1.6807531285386279E-6</v>
      </c>
      <c r="Q52" s="304">
        <f t="shared" si="19"/>
        <v>0.6</v>
      </c>
      <c r="R52" s="177">
        <f t="shared" si="4"/>
        <v>0.50159092605592703</v>
      </c>
      <c r="S52" s="799">
        <f t="shared" si="20"/>
        <v>-2</v>
      </c>
      <c r="T52" s="176">
        <f t="shared" si="21"/>
        <v>4</v>
      </c>
      <c r="U52" s="250">
        <f t="shared" si="22"/>
        <v>-1.498409073944073</v>
      </c>
      <c r="V52" s="382">
        <f t="shared" si="5"/>
        <v>35.888057222709477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1.989186826092248E-3</v>
      </c>
      <c r="AD52" s="169">
        <f>(INDEX(Models!$BJ52:$BT52,,AH52)*(1-AF52)+INDEX(Models!$BJ52:$BT52,,AH52+1)*AF52-ERP_i)*AE52*Ramure*Pc/MaxiM</f>
        <v>1.6807531285386279E-6</v>
      </c>
      <c r="AE52" s="304">
        <f t="shared" si="12"/>
        <v>0.6</v>
      </c>
      <c r="AF52" s="177">
        <f t="shared" si="13"/>
        <v>0.50159092605592703</v>
      </c>
      <c r="AG52" s="799">
        <f t="shared" si="23"/>
        <v>-2</v>
      </c>
      <c r="AH52" s="176">
        <f t="shared" si="14"/>
        <v>4</v>
      </c>
      <c r="AI52" s="224">
        <f t="shared" si="15"/>
        <v>-1.498409073944073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4.4069684133607456E-4</v>
      </c>
      <c r="M53" s="842"/>
      <c r="N53" s="842"/>
      <c r="O53" s="323">
        <f t="shared" si="3"/>
        <v>2.0786827307586434E-3</v>
      </c>
      <c r="P53" s="169">
        <f>(INDEX(Models!$BJ53:$BT53,,T53)*(1-R53)+INDEX(Models!$BJ53:$BT53,,T53+1)*R53-ERP_i)*Q53*Ramure*Pc/MaxiM</f>
        <v>1.7155333965010911E-6</v>
      </c>
      <c r="Q53" s="304">
        <f t="shared" si="19"/>
        <v>0.6</v>
      </c>
      <c r="R53" s="177">
        <f t="shared" si="4"/>
        <v>0.50172322702929328</v>
      </c>
      <c r="S53" s="799">
        <f t="shared" si="20"/>
        <v>-2</v>
      </c>
      <c r="T53" s="176">
        <f t="shared" si="21"/>
        <v>4</v>
      </c>
      <c r="U53" s="250">
        <f t="shared" si="22"/>
        <v>-1.4982767729707067</v>
      </c>
      <c r="V53" s="382">
        <f t="shared" si="5"/>
        <v>36.252456571201733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2.0786827307586434E-3</v>
      </c>
      <c r="AD53" s="169">
        <f>(INDEX(Models!$BJ53:$BT53,,AH53)*(1-AF53)+INDEX(Models!$BJ53:$BT53,,AH53+1)*AF53-ERP_i)*AE53*Ramure*Pc/MaxiM</f>
        <v>1.7155333965010911E-6</v>
      </c>
      <c r="AE53" s="304">
        <f t="shared" si="12"/>
        <v>0.6</v>
      </c>
      <c r="AF53" s="177">
        <f t="shared" si="13"/>
        <v>0.50172322702929328</v>
      </c>
      <c r="AG53" s="799">
        <f t="shared" si="23"/>
        <v>-2</v>
      </c>
      <c r="AH53" s="176">
        <f t="shared" si="14"/>
        <v>4</v>
      </c>
      <c r="AI53" s="224">
        <f t="shared" si="15"/>
        <v>-1.4982767729707067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4.5985316734498127E-4</v>
      </c>
      <c r="M54" s="842"/>
      <c r="N54" s="842"/>
      <c r="O54" s="323">
        <f t="shared" si="3"/>
        <v>2.168100994974719E-3</v>
      </c>
      <c r="P54" s="169">
        <f>(INDEX(Models!$BJ54:$BT54,,T54)*(1-R54)+INDEX(Models!$BJ54:$BT54,,T54+1)*R54-ERP_i)*Q54*Ramure*Pc/MaxiM</f>
        <v>1.7496049551329137E-6</v>
      </c>
      <c r="Q54" s="304">
        <f t="shared" si="19"/>
        <v>0.6</v>
      </c>
      <c r="R54" s="177">
        <f t="shared" si="4"/>
        <v>0.50186100348788432</v>
      </c>
      <c r="S54" s="799">
        <f t="shared" si="20"/>
        <v>-2</v>
      </c>
      <c r="T54" s="176">
        <f t="shared" si="21"/>
        <v>4</v>
      </c>
      <c r="U54" s="250">
        <f t="shared" si="22"/>
        <v>-1.4981389965121157</v>
      </c>
      <c r="V54" s="382">
        <f t="shared" si="5"/>
        <v>36.617982989499041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2.168100994974719E-3</v>
      </c>
      <c r="AD54" s="169">
        <f>(INDEX(Models!$BJ54:$BT54,,AH54)*(1-AF54)+INDEX(Models!$BJ54:$BT54,,AH54+1)*AF54-ERP_i)*AE54*Ramure*Pc/MaxiM</f>
        <v>1.7496049551329137E-6</v>
      </c>
      <c r="AE54" s="304">
        <f t="shared" si="12"/>
        <v>0.6</v>
      </c>
      <c r="AF54" s="177">
        <f t="shared" si="13"/>
        <v>0.50186100348788432</v>
      </c>
      <c r="AG54" s="799">
        <f t="shared" si="23"/>
        <v>-2</v>
      </c>
      <c r="AH54" s="176">
        <f t="shared" si="14"/>
        <v>4</v>
      </c>
      <c r="AI54" s="224">
        <f t="shared" si="15"/>
        <v>-1.4981389965121157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4.7900912622722558E-4</v>
      </c>
      <c r="M55" s="842"/>
      <c r="N55" s="842"/>
      <c r="O55" s="323">
        <f t="shared" si="3"/>
        <v>2.2574416850058465E-3</v>
      </c>
      <c r="P55" s="169">
        <f>(INDEX(Models!$BJ55:$BT55,,T55)*(1-R55)+INDEX(Models!$BJ55:$BT55,,T55+1)*R55-ERP_i)*Q55*Ramure*Pc/MaxiM</f>
        <v>1.7829394327040369E-6</v>
      </c>
      <c r="Q55" s="304">
        <f t="shared" si="19"/>
        <v>0.6</v>
      </c>
      <c r="R55" s="177">
        <f t="shared" si="4"/>
        <v>0.50200447879854693</v>
      </c>
      <c r="S55" s="799">
        <f t="shared" si="20"/>
        <v>-2</v>
      </c>
      <c r="T55" s="176">
        <f t="shared" si="21"/>
        <v>4</v>
      </c>
      <c r="U55" s="250">
        <f t="shared" si="22"/>
        <v>-1.4979955212014531</v>
      </c>
      <c r="V55" s="382">
        <f t="shared" si="5"/>
        <v>36.984526707665466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2.2574416850058465E-3</v>
      </c>
      <c r="AD55" s="169">
        <f>(INDEX(Models!$BJ55:$BT55,,AH55)*(1-AF55)+INDEX(Models!$BJ55:$BT55,,AH55+1)*AF55-ERP_i)*AE55*Ramure*Pc/MaxiM</f>
        <v>1.7829394327040369E-6</v>
      </c>
      <c r="AE55" s="304">
        <f t="shared" si="12"/>
        <v>0.6</v>
      </c>
      <c r="AF55" s="177">
        <f t="shared" si="13"/>
        <v>0.50200447879854693</v>
      </c>
      <c r="AG55" s="799">
        <f t="shared" si="23"/>
        <v>-2</v>
      </c>
      <c r="AH55" s="176">
        <f t="shared" si="14"/>
        <v>4</v>
      </c>
      <c r="AI55" s="224">
        <f t="shared" si="15"/>
        <v>-1.4979955212014531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4.9816471799002393E-4</v>
      </c>
      <c r="M56" s="842"/>
      <c r="N56" s="842"/>
      <c r="O56" s="323">
        <f t="shared" si="3"/>
        <v>2.3467048212479943E-3</v>
      </c>
      <c r="P56" s="169">
        <f>(INDEX(Models!$BJ56:$BT56,,T56)*(1-R56)+INDEX(Models!$BJ56:$BT56,,T56+1)*R56-ERP_i)*Q56*Ramure*Pc/MaxiM</f>
        <v>1.8155059310331036E-6</v>
      </c>
      <c r="Q56" s="304">
        <f t="shared" si="19"/>
        <v>0.6</v>
      </c>
      <c r="R56" s="177">
        <f t="shared" si="4"/>
        <v>0.50215388516440806</v>
      </c>
      <c r="S56" s="799">
        <f t="shared" si="20"/>
        <v>-2</v>
      </c>
      <c r="T56" s="176">
        <f t="shared" si="21"/>
        <v>4</v>
      </c>
      <c r="U56" s="250">
        <f t="shared" si="22"/>
        <v>-1.4978461148355919</v>
      </c>
      <c r="V56" s="382">
        <f t="shared" si="5"/>
        <v>37.351978005978353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2.3467048212479943E-3</v>
      </c>
      <c r="AD56" s="169">
        <f>(INDEX(Models!$BJ56:$BT56,,AH56)*(1-AF56)+INDEX(Models!$BJ56:$BT56,,AH56+1)*AF56-ERP_i)*AE56*Ramure*Pc/MaxiM</f>
        <v>1.8155059310331036E-6</v>
      </c>
      <c r="AE56" s="304">
        <f t="shared" si="12"/>
        <v>0.6</v>
      </c>
      <c r="AF56" s="177">
        <f t="shared" si="13"/>
        <v>0.50215388516440806</v>
      </c>
      <c r="AG56" s="799">
        <f t="shared" si="23"/>
        <v>-2</v>
      </c>
      <c r="AH56" s="176">
        <f t="shared" si="14"/>
        <v>4</v>
      </c>
      <c r="AI56" s="224">
        <f t="shared" si="15"/>
        <v>-1.4978461148355919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5.1731994264014869E-4</v>
      </c>
      <c r="M57" s="842"/>
      <c r="N57" s="842"/>
      <c r="O57" s="323">
        <f t="shared" si="3"/>
        <v>2.4358903805301139E-3</v>
      </c>
      <c r="P57" s="169">
        <f>(INDEX(Models!$BJ57:$BT57,,T57)*(1-R57)+INDEX(Models!$BJ57:$BT57,,T57+1)*R57-ERP_i)*Q57*Ramure*Pc/MaxiM</f>
        <v>1.8472709658356803E-6</v>
      </c>
      <c r="Q57" s="304">
        <f t="shared" si="19"/>
        <v>0.6</v>
      </c>
      <c r="R57" s="177">
        <f t="shared" si="4"/>
        <v>0.5023094639509309</v>
      </c>
      <c r="S57" s="799">
        <f t="shared" si="20"/>
        <v>-2</v>
      </c>
      <c r="T57" s="176">
        <f t="shared" si="21"/>
        <v>4</v>
      </c>
      <c r="U57" s="250">
        <f t="shared" si="22"/>
        <v>-1.4976905360490691</v>
      </c>
      <c r="V57" s="382">
        <f t="shared" si="5"/>
        <v>37.720227214544551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2.4358903805301139E-3</v>
      </c>
      <c r="AD57" s="169">
        <f>(INDEX(Models!$BJ57:$BT57,,AH57)*(1-AF57)+INDEX(Models!$BJ57:$BT57,,AH57+1)*AF57-ERP_i)*AE57*Ramure*Pc/MaxiM</f>
        <v>1.8472709658356803E-6</v>
      </c>
      <c r="AE57" s="304">
        <f t="shared" si="12"/>
        <v>0.6</v>
      </c>
      <c r="AF57" s="177">
        <f t="shared" si="13"/>
        <v>0.5023094639509309</v>
      </c>
      <c r="AG57" s="799">
        <f t="shared" si="23"/>
        <v>-2</v>
      </c>
      <c r="AH57" s="176">
        <f t="shared" si="14"/>
        <v>4</v>
      </c>
      <c r="AI57" s="224">
        <f t="shared" si="15"/>
        <v>-1.4976905360490691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5.364748001848163E-4</v>
      </c>
      <c r="M58" s="842"/>
      <c r="N58" s="842"/>
      <c r="O58" s="323">
        <f t="shared" si="3"/>
        <v>2.5249982993354597E-3</v>
      </c>
      <c r="P58" s="169">
        <f>(INDEX(Models!$BJ58:$BT58,,T58)*(1-R58)+INDEX(Models!$BJ58:$BT58,,T58+1)*R58-ERP_i)*Q58*Ramure*Pc/MaxiM</f>
        <v>1.8773377857463105E-6</v>
      </c>
      <c r="Q58" s="304">
        <f t="shared" si="19"/>
        <v>0.6</v>
      </c>
      <c r="R58" s="177">
        <f t="shared" si="4"/>
        <v>0.50247146602197001</v>
      </c>
      <c r="S58" s="799">
        <f t="shared" si="20"/>
        <v>-2</v>
      </c>
      <c r="T58" s="176">
        <f t="shared" si="21"/>
        <v>4</v>
      </c>
      <c r="U58" s="250">
        <f t="shared" si="22"/>
        <v>-1.49752853397803</v>
      </c>
      <c r="V58" s="382">
        <f t="shared" si="5"/>
        <v>38.089164745538142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2.5249982993354597E-3</v>
      </c>
      <c r="AD58" s="169">
        <f>(INDEX(Models!$BJ58:$BT58,,AH58)*(1-AF58)+INDEX(Models!$BJ58:$BT58,,AH58+1)*AF58-ERP_i)*AE58*Ramure*Pc/MaxiM</f>
        <v>1.8773377857463105E-6</v>
      </c>
      <c r="AE58" s="304">
        <f t="shared" si="12"/>
        <v>0.6</v>
      </c>
      <c r="AF58" s="177">
        <f t="shared" si="13"/>
        <v>0.50247146602197001</v>
      </c>
      <c r="AG58" s="799">
        <f t="shared" si="23"/>
        <v>-2</v>
      </c>
      <c r="AH58" s="176">
        <f t="shared" si="14"/>
        <v>4</v>
      </c>
      <c r="AI58" s="224">
        <f t="shared" si="15"/>
        <v>-1.49752853397803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5.5562929063102118E-4</v>
      </c>
      <c r="M59" s="842"/>
      <c r="N59" s="842"/>
      <c r="O59" s="323">
        <f t="shared" si="3"/>
        <v>2.6140284779312406E-3</v>
      </c>
      <c r="P59" s="169">
        <f>(INDEX(Models!$BJ59:$BT59,,T59)*(1-R59)+INDEX(Models!$BJ59:$BT59,,T59+1)*R59-ERP_i)*Q59*Ramure*Pc/MaxiM</f>
        <v>1.9051832130619105E-6</v>
      </c>
      <c r="Q59" s="304">
        <f t="shared" si="19"/>
        <v>0.6</v>
      </c>
      <c r="R59" s="177">
        <f t="shared" si="4"/>
        <v>0.50264015208595181</v>
      </c>
      <c r="S59" s="799">
        <f t="shared" si="20"/>
        <v>-2</v>
      </c>
      <c r="T59" s="176">
        <f t="shared" si="21"/>
        <v>4</v>
      </c>
      <c r="U59" s="250">
        <f t="shared" si="22"/>
        <v>-1.4973598479140482</v>
      </c>
      <c r="V59" s="382">
        <f t="shared" si="5"/>
        <v>38.458681048261731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2.6140284779312406E-3</v>
      </c>
      <c r="AD59" s="169">
        <f>(INDEX(Models!$BJ59:$BT59,,AH59)*(1-AF59)+INDEX(Models!$BJ59:$BT59,,AH59+1)*AF59-ERP_i)*AE59*Ramure*Pc/MaxiM</f>
        <v>1.9051832130619105E-6</v>
      </c>
      <c r="AE59" s="304">
        <f t="shared" si="12"/>
        <v>0.6</v>
      </c>
      <c r="AF59" s="177">
        <f t="shared" si="13"/>
        <v>0.50264015208595181</v>
      </c>
      <c r="AG59" s="799">
        <f t="shared" si="23"/>
        <v>-2</v>
      </c>
      <c r="AH59" s="176">
        <f t="shared" si="14"/>
        <v>4</v>
      </c>
      <c r="AI59" s="224">
        <f t="shared" si="15"/>
        <v>-1.4973598479140482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5.7478341398575772E-4</v>
      </c>
      <c r="M60" s="842"/>
      <c r="N60" s="842"/>
      <c r="O60" s="323">
        <f t="shared" si="3"/>
        <v>2.7029807853834751E-3</v>
      </c>
      <c r="P60" s="169">
        <f>(INDEX(Models!$BJ60:$BT60,,T60)*(1-R60)+INDEX(Models!$BJ60:$BT60,,T60+1)*R60-ERP_i)*Q60*Ramure*Pc/MaxiM</f>
        <v>1.9306096186591396E-6</v>
      </c>
      <c r="Q60" s="304">
        <f t="shared" si="19"/>
        <v>0.6</v>
      </c>
      <c r="R60" s="177">
        <f t="shared" si="4"/>
        <v>0.5028157930522823</v>
      </c>
      <c r="S60" s="799">
        <f t="shared" si="20"/>
        <v>-2</v>
      </c>
      <c r="T60" s="176">
        <f t="shared" si="21"/>
        <v>4</v>
      </c>
      <c r="U60" s="250">
        <f t="shared" si="22"/>
        <v>-1.4971842069477177</v>
      </c>
      <c r="V60" s="382">
        <f t="shared" si="5"/>
        <v>38.828666608329492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2.7029807853834751E-3</v>
      </c>
      <c r="AD60" s="169">
        <f>(INDEX(Models!$BJ60:$BT60,,AH60)*(1-AF60)+INDEX(Models!$BJ60:$BT60,,AH60+1)*AF60-ERP_i)*AE60*Ramure*Pc/MaxiM</f>
        <v>1.9306096186591396E-6</v>
      </c>
      <c r="AE60" s="304">
        <f t="shared" si="12"/>
        <v>0.6</v>
      </c>
      <c r="AF60" s="177">
        <f t="shared" si="13"/>
        <v>0.5028157930522823</v>
      </c>
      <c r="AG60" s="799">
        <f t="shared" si="23"/>
        <v>-2</v>
      </c>
      <c r="AH60" s="176">
        <f t="shared" si="14"/>
        <v>4</v>
      </c>
      <c r="AI60" s="224">
        <f t="shared" si="15"/>
        <v>-1.4971842069477177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5.9393717025602033E-4</v>
      </c>
      <c r="M61" s="842"/>
      <c r="N61" s="842"/>
      <c r="O61" s="323">
        <f t="shared" si="3"/>
        <v>2.7918550654223695E-3</v>
      </c>
      <c r="P61" s="169">
        <f>(INDEX(Models!$BJ61:$BT61,,T61)*(1-R61)+INDEX(Models!$BJ61:$BT61,,T61+1)*R61-ERP_i)*Q61*Ramure*Pc/MaxiM</f>
        <v>1.9534066853118773E-6</v>
      </c>
      <c r="Q61" s="304">
        <f t="shared" si="19"/>
        <v>0.6</v>
      </c>
      <c r="R61" s="177">
        <f t="shared" si="4"/>
        <v>0.50299867039807022</v>
      </c>
      <c r="S61" s="799">
        <f t="shared" si="20"/>
        <v>-2</v>
      </c>
      <c r="T61" s="176">
        <f t="shared" si="21"/>
        <v>4</v>
      </c>
      <c r="U61" s="250">
        <f t="shared" si="22"/>
        <v>-1.4970013296019298</v>
      </c>
      <c r="V61" s="382">
        <f t="shared" si="5"/>
        <v>39.199011961912262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2.7918550654223695E-3</v>
      </c>
      <c r="AD61" s="169">
        <f>(INDEX(Models!$BJ61:$BT61,,AH61)*(1-AF61)+INDEX(Models!$BJ61:$BT61,,AH61+1)*AF61-ERP_i)*AE61*Ramure*Pc/MaxiM</f>
        <v>1.9534066853118773E-6</v>
      </c>
      <c r="AE61" s="304">
        <f t="shared" si="12"/>
        <v>0.6</v>
      </c>
      <c r="AF61" s="177">
        <f t="shared" si="13"/>
        <v>0.50299867039807022</v>
      </c>
      <c r="AG61" s="799">
        <f t="shared" si="23"/>
        <v>-2</v>
      </c>
      <c r="AH61" s="176">
        <f t="shared" si="14"/>
        <v>4</v>
      </c>
      <c r="AI61" s="224">
        <f t="shared" si="15"/>
        <v>-1.4970013296019298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6.1309055944902546E-4</v>
      </c>
      <c r="M62" s="842"/>
      <c r="N62" s="842"/>
      <c r="O62" s="323">
        <f t="shared" si="3"/>
        <v>2.8806511431122834E-3</v>
      </c>
      <c r="P62" s="169">
        <f>(INDEX(Models!$BJ62:$BT62,,T62)*(1-R62)+INDEX(Models!$BJ62:$BT62,,T62+1)*R62-ERP_i)*Q62*Ramure*Pc/MaxiM</f>
        <v>1.9733507369753094E-6</v>
      </c>
      <c r="Q62" s="304">
        <f t="shared" si="19"/>
        <v>0.6</v>
      </c>
      <c r="R62" s="177">
        <f t="shared" si="4"/>
        <v>0.50318907654522671</v>
      </c>
      <c r="S62" s="799">
        <f t="shared" si="20"/>
        <v>-2</v>
      </c>
      <c r="T62" s="176">
        <f t="shared" si="21"/>
        <v>4</v>
      </c>
      <c r="U62" s="250">
        <f t="shared" si="22"/>
        <v>-1.4968109234547733</v>
      </c>
      <c r="V62" s="382">
        <f t="shared" si="5"/>
        <v>39.56960769404045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2.8806511431122834E-3</v>
      </c>
      <c r="AD62" s="169">
        <f>(INDEX(Models!$BJ62:$BT62,,AH62)*(1-AF62)+INDEX(Models!$BJ62:$BT62,,AH62+1)*AF62-ERP_i)*AE62*Ramure*Pc/MaxiM</f>
        <v>1.9733507369753094E-6</v>
      </c>
      <c r="AE62" s="304">
        <f t="shared" si="12"/>
        <v>0.6</v>
      </c>
      <c r="AF62" s="177">
        <f t="shared" si="13"/>
        <v>0.50318907654522671</v>
      </c>
      <c r="AG62" s="799">
        <f t="shared" si="23"/>
        <v>-2</v>
      </c>
      <c r="AH62" s="176">
        <f t="shared" si="14"/>
        <v>4</v>
      </c>
      <c r="AI62" s="224">
        <f t="shared" si="15"/>
        <v>-1.4968109234547733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6.322435815716565E-4</v>
      </c>
      <c r="M63" s="842"/>
      <c r="N63" s="842"/>
      <c r="O63" s="323">
        <f t="shared" si="3"/>
        <v>2.9693688322700224E-3</v>
      </c>
      <c r="P63" s="169">
        <f>(INDEX(Models!$BJ63:$BT63,,T63)*(1-R63)+INDEX(Models!$BJ63:$BT63,,T63+1)*R63-ERP_i)*Q63*Ramure*Pc/MaxiM</f>
        <v>1.9902040290810879E-6</v>
      </c>
      <c r="Q63" s="304">
        <f t="shared" si="19"/>
        <v>0.6</v>
      </c>
      <c r="R63" s="177">
        <f t="shared" si="4"/>
        <v>0.50338731524797486</v>
      </c>
      <c r="S63" s="799">
        <f t="shared" si="20"/>
        <v>-2</v>
      </c>
      <c r="T63" s="176">
        <f t="shared" si="21"/>
        <v>4</v>
      </c>
      <c r="U63" s="250">
        <f t="shared" si="22"/>
        <v>-1.4966126847520251</v>
      </c>
      <c r="V63" s="382">
        <f t="shared" si="5"/>
        <v>39.940344439490133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2.9693688322700224E-3</v>
      </c>
      <c r="AD63" s="169">
        <f>(INDEX(Models!$BJ63:$BT63,,AH63)*(1-AF63)+INDEX(Models!$BJ63:$BT63,,AH63+1)*AF63-ERP_i)*AE63*Ramure*Pc/MaxiM</f>
        <v>1.9902040290810879E-6</v>
      </c>
      <c r="AE63" s="304">
        <f t="shared" si="12"/>
        <v>0.6</v>
      </c>
      <c r="AF63" s="177">
        <f t="shared" si="13"/>
        <v>0.50338731524797486</v>
      </c>
      <c r="AG63" s="799">
        <f t="shared" si="23"/>
        <v>-2</v>
      </c>
      <c r="AH63" s="176">
        <f t="shared" si="14"/>
        <v>4</v>
      </c>
      <c r="AI63" s="224">
        <f t="shared" si="15"/>
        <v>-1.4966126847520251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6.5139623663101887E-4</v>
      </c>
      <c r="M64" s="842"/>
      <c r="N64" s="842"/>
      <c r="O64" s="323">
        <f t="shared" si="3"/>
        <v>3.0580079435656203E-3</v>
      </c>
      <c r="P64" s="169">
        <f>(INDEX(Models!$BJ64:$BT64,,T64)*(1-R64)+INDEX(Models!$BJ64:$BT64,,T64+1)*R64-ERP_i)*Q64*Ramure*Pc/MaxiM</f>
        <v>2.003713994877317E-6</v>
      </c>
      <c r="Q64" s="304">
        <f t="shared" si="19"/>
        <v>0.6</v>
      </c>
      <c r="R64" s="177">
        <f t="shared" si="4"/>
        <v>0.5035937019907839</v>
      </c>
      <c r="S64" s="799">
        <f t="shared" si="20"/>
        <v>-2</v>
      </c>
      <c r="T64" s="176">
        <f t="shared" si="21"/>
        <v>4</v>
      </c>
      <c r="U64" s="250">
        <f t="shared" si="22"/>
        <v>-1.4964062980092161</v>
      </c>
      <c r="V64" s="382">
        <f t="shared" si="5"/>
        <v>40.311112881148084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3.0580079435656203E-3</v>
      </c>
      <c r="AD64" s="169">
        <f>(INDEX(Models!$BJ64:$BT64,,AH64)*(1-AF64)+INDEX(Models!$BJ64:$BT64,,AH64+1)*AF64-ERP_i)*AE64*Ramure*Pc/MaxiM</f>
        <v>2.003713994877317E-6</v>
      </c>
      <c r="AE64" s="304">
        <f t="shared" si="12"/>
        <v>0.6</v>
      </c>
      <c r="AF64" s="177">
        <f t="shared" si="13"/>
        <v>0.5035937019907839</v>
      </c>
      <c r="AG64" s="799">
        <f t="shared" si="23"/>
        <v>-2</v>
      </c>
      <c r="AH64" s="176">
        <f t="shared" si="14"/>
        <v>4</v>
      </c>
      <c r="AI64" s="224">
        <f t="shared" si="15"/>
        <v>-1.4964062980092161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6.7054852463410697E-4</v>
      </c>
      <c r="M65" s="842"/>
      <c r="N65" s="842"/>
      <c r="O65" s="323">
        <f t="shared" si="3"/>
        <v>3.1465682932316158E-3</v>
      </c>
      <c r="P65" s="169">
        <f>(INDEX(Models!$BJ65:$BT65,,T65)*(1-R65)+INDEX(Models!$BJ65:$BT65,,T65+1)*R65-ERP_i)*Q65*Ramure*Pc/MaxiM</f>
        <v>2.0135989109572528E-6</v>
      </c>
      <c r="Q65" s="304">
        <f t="shared" si="19"/>
        <v>0.6</v>
      </c>
      <c r="R65" s="177">
        <f t="shared" si="4"/>
        <v>0.50380856439669408</v>
      </c>
      <c r="S65" s="799">
        <f t="shared" si="20"/>
        <v>-2</v>
      </c>
      <c r="T65" s="176">
        <f t="shared" si="21"/>
        <v>4</v>
      </c>
      <c r="U65" s="250">
        <f t="shared" si="22"/>
        <v>-1.4961914356033059</v>
      </c>
      <c r="V65" s="382">
        <f t="shared" si="5"/>
        <v>40.68207712091013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3.1465682932316158E-3</v>
      </c>
      <c r="AD65" s="169">
        <f>(INDEX(Models!$BJ65:$BT65,,AH65)*(1-AF65)+INDEX(Models!$BJ65:$BT65,,AH65+1)*AF65-ERP_i)*AE65*Ramure*Pc/MaxiM</f>
        <v>2.0135989109572528E-6</v>
      </c>
      <c r="AE65" s="304">
        <f t="shared" si="12"/>
        <v>0.6</v>
      </c>
      <c r="AF65" s="177">
        <f t="shared" si="13"/>
        <v>0.50380856439669408</v>
      </c>
      <c r="AG65" s="799">
        <f t="shared" si="23"/>
        <v>-2</v>
      </c>
      <c r="AH65" s="176">
        <f t="shared" si="14"/>
        <v>4</v>
      </c>
      <c r="AI65" s="224">
        <f t="shared" si="15"/>
        <v>-1.4961914356033059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6.8970044558791521E-4</v>
      </c>
      <c r="M66" s="842"/>
      <c r="N66" s="842"/>
      <c r="O66" s="323">
        <f t="shared" si="3"/>
        <v>3.2350497122991375E-3</v>
      </c>
      <c r="P66" s="169">
        <f>(INDEX(Models!$BJ66:$BT66,,T66)*(1-R66)+INDEX(Models!$BJ66:$BT66,,T66+1)*R66-ERP_i)*Q66*Ramure*Pc/MaxiM</f>
        <v>2.0204561583494849E-6</v>
      </c>
      <c r="Q66" s="304">
        <f t="shared" si="19"/>
        <v>0.6</v>
      </c>
      <c r="R66" s="177">
        <f t="shared" si="4"/>
        <v>0.5040322426459809</v>
      </c>
      <c r="S66" s="799">
        <f t="shared" si="20"/>
        <v>-2</v>
      </c>
      <c r="T66" s="176">
        <f t="shared" si="21"/>
        <v>4</v>
      </c>
      <c r="U66" s="250">
        <f t="shared" si="22"/>
        <v>-1.4959677573540191</v>
      </c>
      <c r="V66" s="382">
        <f t="shared" si="5"/>
        <v>41.053474044070121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3.2350497122991375E-3</v>
      </c>
      <c r="AD66" s="169">
        <f>(INDEX(Models!$BJ66:$BT66,,AH66)*(1-AF66)+INDEX(Models!$BJ66:$BT66,,AH66+1)*AF66-ERP_i)*AE66*Ramure*Pc/MaxiM</f>
        <v>2.0204561583494849E-6</v>
      </c>
      <c r="AE66" s="304">
        <f t="shared" si="12"/>
        <v>0.6</v>
      </c>
      <c r="AF66" s="177">
        <f t="shared" si="13"/>
        <v>0.5040322426459809</v>
      </c>
      <c r="AG66" s="799">
        <f t="shared" si="23"/>
        <v>-2</v>
      </c>
      <c r="AH66" s="176">
        <f t="shared" si="14"/>
        <v>4</v>
      </c>
      <c r="AI66" s="224">
        <f t="shared" si="15"/>
        <v>-1.4959677573540191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7.0885199949954902E-4</v>
      </c>
      <c r="M67" s="842"/>
      <c r="N67" s="842"/>
      <c r="O67" s="323">
        <f t="shared" si="3"/>
        <v>3.3234520562730745E-3</v>
      </c>
      <c r="P67" s="169">
        <f>(INDEX(Models!$BJ67:$BT67,,T67)*(1-R67)+INDEX(Models!$BJ67:$BT67,,T67+1)*R67-ERP_i)*Q67*Ramure*Pc/MaxiM</f>
        <v>2.024163270389885E-6</v>
      </c>
      <c r="Q67" s="304">
        <f t="shared" si="19"/>
        <v>0.6</v>
      </c>
      <c r="R67" s="177">
        <f t="shared" si="4"/>
        <v>0.50426508990505003</v>
      </c>
      <c r="S67" s="799">
        <f t="shared" si="20"/>
        <v>-2</v>
      </c>
      <c r="T67" s="176">
        <f t="shared" si="21"/>
        <v>4</v>
      </c>
      <c r="U67" s="250">
        <f t="shared" si="22"/>
        <v>-1.49573491009495</v>
      </c>
      <c r="V67" s="382">
        <f t="shared" si="5"/>
        <v>41.425303593332941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3.3234520562730745E-3</v>
      </c>
      <c r="AD67" s="169">
        <f>(INDEX(Models!$BJ67:$BT67,,AH67)*(1-AF67)+INDEX(Models!$BJ67:$BT67,,AH67+1)*AF67-ERP_i)*AE67*Ramure*Pc/MaxiM</f>
        <v>2.024163270389885E-6</v>
      </c>
      <c r="AE67" s="304">
        <f t="shared" si="12"/>
        <v>0.6</v>
      </c>
      <c r="AF67" s="177">
        <f t="shared" si="13"/>
        <v>0.50426508990505003</v>
      </c>
      <c r="AG67" s="799">
        <f t="shared" si="23"/>
        <v>-2</v>
      </c>
      <c r="AH67" s="176">
        <f t="shared" si="14"/>
        <v>4</v>
      </c>
      <c r="AI67" s="224">
        <f t="shared" si="15"/>
        <v>-1.49573491009495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7.2800318637600281E-4</v>
      </c>
      <c r="M68" s="842"/>
      <c r="N68" s="842"/>
      <c r="O68" s="323">
        <f t="shared" si="3"/>
        <v>3.4117752151536949E-3</v>
      </c>
      <c r="P68" s="169">
        <f>(INDEX(Models!$BJ68:$BT68,,T68)*(1-R68)+INDEX(Models!$BJ68:$BT68,,T68+1)*R68-ERP_i)*Q68*Ramure*Pc/MaxiM</f>
        <v>2.0245025354868566E-6</v>
      </c>
      <c r="Q68" s="304">
        <f t="shared" si="19"/>
        <v>0.6</v>
      </c>
      <c r="R68" s="177">
        <f t="shared" si="4"/>
        <v>0.50450747276542796</v>
      </c>
      <c r="S68" s="799">
        <f t="shared" si="20"/>
        <v>-2</v>
      </c>
      <c r="T68" s="176">
        <f t="shared" si="21"/>
        <v>4</v>
      </c>
      <c r="U68" s="250">
        <f t="shared" si="22"/>
        <v>-1.495492527234572</v>
      </c>
      <c r="V68" s="382">
        <f t="shared" si="5"/>
        <v>41.797565714553059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3.4117752151536949E-3</v>
      </c>
      <c r="AD68" s="169">
        <f>(INDEX(Models!$BJ68:$BT68,,AH68)*(1-AF68)+INDEX(Models!$BJ68:$BT68,,AH68+1)*AF68-ERP_i)*AE68*Ramure*Pc/MaxiM</f>
        <v>2.0245025354868566E-6</v>
      </c>
      <c r="AE68" s="304">
        <f t="shared" si="12"/>
        <v>0.6</v>
      </c>
      <c r="AF68" s="177">
        <f t="shared" si="13"/>
        <v>0.50450747276542796</v>
      </c>
      <c r="AG68" s="799">
        <f t="shared" si="23"/>
        <v>-2</v>
      </c>
      <c r="AH68" s="176">
        <f t="shared" si="14"/>
        <v>4</v>
      </c>
      <c r="AI68" s="224">
        <f t="shared" si="15"/>
        <v>-1.495492527234572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7.4715400622438199E-4</v>
      </c>
      <c r="M69" s="842"/>
      <c r="N69" s="842"/>
      <c r="O69" s="323">
        <f t="shared" si="3"/>
        <v>3.5000191237083986E-3</v>
      </c>
      <c r="P69" s="169">
        <f>(INDEX(Models!$BJ69:$BT69,,T69)*(1-R69)+INDEX(Models!$BJ69:$BT69,,T69+1)*R69-ERP_i)*Q69*Ramure*Pc/MaxiM</f>
        <v>2.0212555274363941E-6</v>
      </c>
      <c r="Q69" s="304">
        <f t="shared" si="19"/>
        <v>0.6</v>
      </c>
      <c r="R69" s="177">
        <f t="shared" si="4"/>
        <v>0.50475977169264619</v>
      </c>
      <c r="S69" s="799">
        <f t="shared" si="20"/>
        <v>-2</v>
      </c>
      <c r="T69" s="176">
        <f t="shared" si="21"/>
        <v>4</v>
      </c>
      <c r="U69" s="250">
        <f t="shared" si="22"/>
        <v>-1.4952402283073538</v>
      </c>
      <c r="V69" s="382">
        <f t="shared" si="5"/>
        <v>42.170260352142314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3.5000191237083986E-3</v>
      </c>
      <c r="AD69" s="169">
        <f>(INDEX(Models!$BJ69:$BT69,,AH69)*(1-AF69)+INDEX(Models!$BJ69:$BT69,,AH69+1)*AF69-ERP_i)*AE69*Ramure*Pc/MaxiM</f>
        <v>2.0212555274363941E-6</v>
      </c>
      <c r="AE69" s="304">
        <f t="shared" si="12"/>
        <v>0.6</v>
      </c>
      <c r="AF69" s="177">
        <f t="shared" si="13"/>
        <v>0.50475977169264619</v>
      </c>
      <c r="AG69" s="799">
        <f t="shared" si="23"/>
        <v>-2</v>
      </c>
      <c r="AH69" s="176">
        <f t="shared" si="14"/>
        <v>4</v>
      </c>
      <c r="AI69" s="224">
        <f t="shared" si="15"/>
        <v>-1.4952402283073538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7.6630445905168099E-4</v>
      </c>
      <c r="M70" s="842"/>
      <c r="N70" s="842"/>
      <c r="O70" s="323">
        <f t="shared" si="3"/>
        <v>3.5881837718946675E-3</v>
      </c>
      <c r="P70" s="169">
        <f>(INDEX(Models!$BJ70:$BT70,,T70)*(1-R70)+INDEX(Models!$BJ70:$BT70,,T70+1)*R70-ERP_i)*Q70*Ramure*Pc/MaxiM</f>
        <v>2.0141926855285809E-6</v>
      </c>
      <c r="Q70" s="304">
        <f t="shared" si="19"/>
        <v>0.6</v>
      </c>
      <c r="R70" s="177">
        <f t="shared" si="4"/>
        <v>0.50502238148478229</v>
      </c>
      <c r="S70" s="799">
        <f t="shared" si="20"/>
        <v>-2</v>
      </c>
      <c r="T70" s="176">
        <f t="shared" si="21"/>
        <v>4</v>
      </c>
      <c r="U70" s="250">
        <f t="shared" si="22"/>
        <v>-1.4949776185152177</v>
      </c>
      <c r="V70" s="382">
        <f t="shared" si="5"/>
        <v>42.543387449721628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3.5881837718946675E-3</v>
      </c>
      <c r="AD70" s="169">
        <f>(INDEX(Models!$BJ70:$BT70,,AH70)*(1-AF70)+INDEX(Models!$BJ70:$BT70,,AH70+1)*AF70-ERP_i)*AE70*Ramure*Pc/MaxiM</f>
        <v>2.0141926855285809E-6</v>
      </c>
      <c r="AE70" s="304">
        <f t="shared" si="12"/>
        <v>0.6</v>
      </c>
      <c r="AF70" s="177">
        <f t="shared" si="13"/>
        <v>0.50502238148478229</v>
      </c>
      <c r="AG70" s="799">
        <f t="shared" si="23"/>
        <v>-2</v>
      </c>
      <c r="AH70" s="176">
        <f t="shared" si="14"/>
        <v>4</v>
      </c>
      <c r="AI70" s="224">
        <f t="shared" si="15"/>
        <v>-1.4949776185152177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7.8545454486489419E-4</v>
      </c>
      <c r="M71" s="842"/>
      <c r="N71" s="842"/>
      <c r="O71" s="323">
        <f t="shared" si="3"/>
        <v>3.6762692153344072E-3</v>
      </c>
      <c r="P71" s="169">
        <f>(INDEX(Models!$BJ71:$BT71,,T71)*(1-R71)+INDEX(Models!$BJ71:$BT71,,T71+1)*R71-ERP_i)*Q71*Ramure*Pc/MaxiM</f>
        <v>2.0030728355403047E-6</v>
      </c>
      <c r="Q71" s="304">
        <f t="shared" si="19"/>
        <v>0.6</v>
      </c>
      <c r="R71" s="177">
        <f t="shared" si="4"/>
        <v>0.5052957117403476</v>
      </c>
      <c r="S71" s="799">
        <f t="shared" si="20"/>
        <v>-2</v>
      </c>
      <c r="T71" s="176">
        <f t="shared" si="21"/>
        <v>4</v>
      </c>
      <c r="U71" s="250">
        <f t="shared" si="22"/>
        <v>-1.4947042882596524</v>
      </c>
      <c r="V71" s="382">
        <f t="shared" si="5"/>
        <v>42.916946948813049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3.6762692153344072E-3</v>
      </c>
      <c r="AD71" s="169">
        <f>(INDEX(Models!$BJ71:$BT71,,AH71)*(1-AF71)+INDEX(Models!$BJ71:$BT71,,AH71+1)*AF71-ERP_i)*AE71*Ramure*Pc/MaxiM</f>
        <v>2.0030728355403047E-6</v>
      </c>
      <c r="AE71" s="304">
        <f t="shared" si="12"/>
        <v>0.6</v>
      </c>
      <c r="AF71" s="177">
        <f t="shared" si="13"/>
        <v>0.5052957117403476</v>
      </c>
      <c r="AG71" s="799">
        <f t="shared" si="23"/>
        <v>-2</v>
      </c>
      <c r="AH71" s="176">
        <f t="shared" si="14"/>
        <v>4</v>
      </c>
      <c r="AI71" s="224">
        <f t="shared" si="15"/>
        <v>-1.4947042882596524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8.0460426367101601E-4</v>
      </c>
      <c r="M72" s="842"/>
      <c r="N72" s="842"/>
      <c r="O72" s="323">
        <f t="shared" si="3"/>
        <v>3.7642755857400785E-3</v>
      </c>
      <c r="P72" s="169">
        <f>(INDEX(Models!$BJ72:$BT72,,T72)*(1-R72)+INDEX(Models!$BJ72:$BT72,,T72+1)*R72-ERP_i)*Q72*Ramure*Pc/MaxiM</f>
        <v>1.9911610075215112E-6</v>
      </c>
      <c r="Q72" s="304">
        <f t="shared" si="19"/>
        <v>0.6</v>
      </c>
      <c r="R72" s="177">
        <f t="shared" si="4"/>
        <v>0.50558018733515775</v>
      </c>
      <c r="S72" s="799">
        <f t="shared" si="20"/>
        <v>-2</v>
      </c>
      <c r="T72" s="176">
        <f t="shared" si="21"/>
        <v>4</v>
      </c>
      <c r="U72" s="250">
        <f t="shared" si="22"/>
        <v>-1.4944198126648423</v>
      </c>
      <c r="V72" s="382">
        <f t="shared" si="5"/>
        <v>43.290938636683784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3.7642755857400785E-3</v>
      </c>
      <c r="AD72" s="169">
        <f>(INDEX(Models!$BJ72:$BT72,,AH72)*(1-AF72)+INDEX(Models!$BJ72:$BT72,,AH72+1)*AF72-ERP_i)*AE72*Ramure*Pc/MaxiM</f>
        <v>1.9911610075215112E-6</v>
      </c>
      <c r="AE72" s="304">
        <f t="shared" si="12"/>
        <v>0.6</v>
      </c>
      <c r="AF72" s="177">
        <f t="shared" si="13"/>
        <v>0.50558018733515775</v>
      </c>
      <c r="AG72" s="799">
        <f t="shared" si="23"/>
        <v>-2</v>
      </c>
      <c r="AH72" s="176">
        <f t="shared" si="14"/>
        <v>4</v>
      </c>
      <c r="AI72" s="224">
        <f t="shared" si="15"/>
        <v>-1.4944198126648423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8.2375361547726289E-4</v>
      </c>
      <c r="M73" s="842"/>
      <c r="N73" s="842"/>
      <c r="O73" s="323">
        <f t="shared" si="3"/>
        <v>3.8522031011941917E-3</v>
      </c>
      <c r="P73" s="169">
        <f>(INDEX(Models!$BJ73:$BT73,,T73)*(1-R73)+INDEX(Models!$BJ73:$BT73,,T73+1)*R73-ERP_i)*Q73*Ramure*Pc/MaxiM</f>
        <v>1.980096660630013E-6</v>
      </c>
      <c r="Q73" s="304">
        <f t="shared" si="19"/>
        <v>0.6</v>
      </c>
      <c r="R73" s="177">
        <f t="shared" si="4"/>
        <v>0.5058762489077453</v>
      </c>
      <c r="S73" s="799">
        <f t="shared" si="20"/>
        <v>-2</v>
      </c>
      <c r="T73" s="176">
        <f t="shared" si="21"/>
        <v>4</v>
      </c>
      <c r="U73" s="250">
        <f t="shared" si="22"/>
        <v>-1.4941237510922547</v>
      </c>
      <c r="V73" s="382">
        <f t="shared" si="5"/>
        <v>43.665362362891607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3.8522031011941917E-3</v>
      </c>
      <c r="AD73" s="169">
        <f>(INDEX(Models!$BJ73:$BT73,,AH73)*(1-AF73)+INDEX(Models!$BJ73:$BT73,,AH73+1)*AF73-ERP_i)*AE73*Ramure*Pc/MaxiM</f>
        <v>1.980096660630013E-6</v>
      </c>
      <c r="AE73" s="304">
        <f t="shared" si="12"/>
        <v>0.6</v>
      </c>
      <c r="AF73" s="177">
        <f t="shared" si="13"/>
        <v>0.5058762489077453</v>
      </c>
      <c r="AG73" s="799">
        <f t="shared" si="23"/>
        <v>-2</v>
      </c>
      <c r="AH73" s="176">
        <f t="shared" si="14"/>
        <v>4</v>
      </c>
      <c r="AI73" s="224">
        <f t="shared" si="15"/>
        <v>-1.4941237510922547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8.429026002904072E-4</v>
      </c>
      <c r="M74" s="842"/>
      <c r="N74" s="842"/>
      <c r="O74" s="323">
        <f t="shared" si="3"/>
        <v>3.9400520761865565E-3</v>
      </c>
      <c r="P74" s="169">
        <f>(INDEX(Models!$BJ74:$BT74,,T74)*(1-R74)+INDEX(Models!$BJ74:$BT74,,T74+1)*R74-ERP_i)*Q74*Ramure*Pc/MaxiM</f>
        <v>1.9701834080473751E-6</v>
      </c>
      <c r="Q74" s="304">
        <f t="shared" si="19"/>
        <v>0.6</v>
      </c>
      <c r="R74" s="177">
        <f t="shared" si="4"/>
        <v>0.5061843533528041</v>
      </c>
      <c r="S74" s="799">
        <f t="shared" si="20"/>
        <v>-2</v>
      </c>
      <c r="T74" s="176">
        <f t="shared" si="21"/>
        <v>4</v>
      </c>
      <c r="U74" s="250">
        <f t="shared" si="22"/>
        <v>-1.4938156466471959</v>
      </c>
      <c r="V74" s="382">
        <f t="shared" si="5"/>
        <v>44.04021802890297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3.9400520761865565E-3</v>
      </c>
      <c r="AD74" s="169">
        <f>(INDEX(Models!$BJ74:$BT74,,AH74)*(1-AF74)+INDEX(Models!$BJ74:$BT74,,AH74+1)*AF74-ERP_i)*AE74*Ramure*Pc/MaxiM</f>
        <v>1.9701834080473751E-6</v>
      </c>
      <c r="AE74" s="304">
        <f t="shared" si="12"/>
        <v>0.6</v>
      </c>
      <c r="AF74" s="177">
        <f t="shared" si="13"/>
        <v>0.5061843533528041</v>
      </c>
      <c r="AG74" s="799">
        <f t="shared" si="23"/>
        <v>-2</v>
      </c>
      <c r="AH74" s="176">
        <f t="shared" si="14"/>
        <v>4</v>
      </c>
      <c r="AI74" s="224">
        <f t="shared" si="15"/>
        <v>-1.4938156466471959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8.6205121811777641E-4</v>
      </c>
      <c r="M75" s="842"/>
      <c r="N75" s="842"/>
      <c r="O75" s="323">
        <f t="shared" si="3"/>
        <v>4.0278229313174471E-3</v>
      </c>
      <c r="P75" s="169">
        <f>(INDEX(Models!$BJ75:$BT75,,T75)*(1-R75)+INDEX(Models!$BJ75:$BT75,,T75+1)*R75-ERP_i)*Q75*Ramure*Pc/MaxiM</f>
        <v>1.9617486642114132E-6</v>
      </c>
      <c r="Q75" s="304">
        <f t="shared" si="19"/>
        <v>0.6</v>
      </c>
      <c r="R75" s="177">
        <f t="shared" si="4"/>
        <v>0.50650497432206576</v>
      </c>
      <c r="S75" s="799">
        <f t="shared" si="20"/>
        <v>-2</v>
      </c>
      <c r="T75" s="176">
        <f t="shared" si="21"/>
        <v>4</v>
      </c>
      <c r="U75" s="250">
        <f t="shared" si="22"/>
        <v>-1.4934950256779342</v>
      </c>
      <c r="V75" s="382">
        <f t="shared" si="5"/>
        <v>44.415505529824017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4.0278229313174471E-3</v>
      </c>
      <c r="AD75" s="169">
        <f>(INDEX(Models!$BJ75:$BT75,,AH75)*(1-AF75)+INDEX(Models!$BJ75:$BT75,,AH75+1)*AF75-ERP_i)*AE75*Ramure*Pc/MaxiM</f>
        <v>1.9617486642114132E-6</v>
      </c>
      <c r="AE75" s="304">
        <f t="shared" si="12"/>
        <v>0.6</v>
      </c>
      <c r="AF75" s="177">
        <f t="shared" si="13"/>
        <v>0.50650497432206576</v>
      </c>
      <c r="AG75" s="799">
        <f t="shared" si="23"/>
        <v>-2</v>
      </c>
      <c r="AH75" s="176">
        <f t="shared" si="14"/>
        <v>4</v>
      </c>
      <c r="AI75" s="224">
        <f t="shared" si="15"/>
        <v>-1.4934950256779342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8.8119946896614287E-4</v>
      </c>
      <c r="M76" s="842"/>
      <c r="N76" s="842"/>
      <c r="O76" s="323">
        <f t="shared" si="3"/>
        <v>4.1155162025795855E-3</v>
      </c>
      <c r="P76" s="169">
        <f>(INDEX(Models!$BJ76:$BT76,,T76)*(1-R76)+INDEX(Models!$BJ76:$BT76,,T76+1)*R76-ERP_i)*Q76*Ramure*Pc/MaxiM</f>
        <v>1.9551451264088579E-6</v>
      </c>
      <c r="Q76" s="304">
        <f t="shared" si="19"/>
        <v>0.6</v>
      </c>
      <c r="R76" s="177">
        <f t="shared" si="4"/>
        <v>0.5068386027319236</v>
      </c>
      <c r="S76" s="799">
        <f t="shared" si="20"/>
        <v>-2</v>
      </c>
      <c r="T76" s="176">
        <f t="shared" si="21"/>
        <v>4</v>
      </c>
      <c r="U76" s="250">
        <f t="shared" si="22"/>
        <v>-1.4931613972680764</v>
      </c>
      <c r="V76" s="382">
        <f t="shared" si="5"/>
        <v>44.791224753388924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4.1155162025795855E-3</v>
      </c>
      <c r="AD76" s="169">
        <f>(INDEX(Models!$BJ76:$BT76,,AH76)*(1-AF76)+INDEX(Models!$BJ76:$BT76,,AH76+1)*AF76-ERP_i)*AE76*Ramure*Pc/MaxiM</f>
        <v>1.9551451264088579E-6</v>
      </c>
      <c r="AE76" s="304">
        <f t="shared" si="12"/>
        <v>0.6</v>
      </c>
      <c r="AF76" s="177">
        <f t="shared" si="13"/>
        <v>0.5068386027319236</v>
      </c>
      <c r="AG76" s="799">
        <f t="shared" si="23"/>
        <v>-2</v>
      </c>
      <c r="AH76" s="176">
        <f t="shared" si="14"/>
        <v>4</v>
      </c>
      <c r="AI76" s="224">
        <f t="shared" si="15"/>
        <v>-1.4931613972680764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9.0034735284272305E-4</v>
      </c>
      <c r="M77" s="842"/>
      <c r="N77" s="842"/>
      <c r="O77" s="323">
        <f t="shared" si="3"/>
        <v>4.2031325501377193E-3</v>
      </c>
      <c r="P77" s="169">
        <f>(INDEX(Models!$BJ77:$BT77,,T77)*(1-R77)+INDEX(Models!$BJ77:$BT77,,T77+1)*R77-ERP_i)*Q77*Ramure*Pc/MaxiM</f>
        <v>1.9507523423384703E-6</v>
      </c>
      <c r="Q77" s="304">
        <f t="shared" si="19"/>
        <v>0.6</v>
      </c>
      <c r="R77" s="177">
        <f t="shared" si="4"/>
        <v>0.50718574727702181</v>
      </c>
      <c r="S77" s="799">
        <f t="shared" si="20"/>
        <v>-2</v>
      </c>
      <c r="T77" s="176">
        <f t="shared" si="21"/>
        <v>4</v>
      </c>
      <c r="U77" s="250">
        <f t="shared" si="22"/>
        <v>-1.4928142527229782</v>
      </c>
      <c r="V77" s="382">
        <f t="shared" si="5"/>
        <v>45.167375579815179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4.2031325501377193E-3</v>
      </c>
      <c r="AD77" s="169">
        <f>(INDEX(Models!$BJ77:$BT77,,AH77)*(1-AF77)+INDEX(Models!$BJ77:$BT77,,AH77+1)*AF77-ERP_i)*AE77*Ramure*Pc/MaxiM</f>
        <v>1.9507523423384703E-6</v>
      </c>
      <c r="AE77" s="304">
        <f t="shared" si="12"/>
        <v>0.6</v>
      </c>
      <c r="AF77" s="177">
        <f t="shared" si="13"/>
        <v>0.50718574727702181</v>
      </c>
      <c r="AG77" s="799">
        <f t="shared" si="23"/>
        <v>-2</v>
      </c>
      <c r="AH77" s="176">
        <f t="shared" si="14"/>
        <v>4</v>
      </c>
      <c r="AI77" s="224">
        <f t="shared" si="15"/>
        <v>-1.4928142527229782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9.1949486975440031E-4</v>
      </c>
      <c r="M78" s="842"/>
      <c r="N78" s="842"/>
      <c r="O78" s="323">
        <f t="shared" si="3"/>
        <v>4.2906727665312115E-3</v>
      </c>
      <c r="P78" s="169">
        <f>(INDEX(Models!$BJ78:$BT78,,T78)*(1-R78)+INDEX(Models!$BJ78:$BT78,,T78+1)*R78-ERP_i)*Q78*Ramure*Pc/MaxiM</f>
        <v>1.948978373021591E-6</v>
      </c>
      <c r="Q78" s="304">
        <f t="shared" si="19"/>
        <v>0.6</v>
      </c>
      <c r="R78" s="177">
        <f t="shared" si="4"/>
        <v>0.50754693494891745</v>
      </c>
      <c r="S78" s="799">
        <f t="shared" si="20"/>
        <v>-2</v>
      </c>
      <c r="T78" s="176">
        <f t="shared" si="21"/>
        <v>4</v>
      </c>
      <c r="U78" s="250">
        <f t="shared" si="22"/>
        <v>-1.4924530650510826</v>
      </c>
      <c r="V78" s="382">
        <f t="shared" si="5"/>
        <v>45.543957879842857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4.2906727665312115E-3</v>
      </c>
      <c r="AD78" s="169">
        <f>(INDEX(Models!$BJ78:$BT78,,AH78)*(1-AF78)+INDEX(Models!$BJ78:$BT78,,AH78+1)*AF78-ERP_i)*AE78*Ramure*Pc/MaxiM</f>
        <v>1.948978373021591E-6</v>
      </c>
      <c r="AE78" s="304">
        <f t="shared" si="12"/>
        <v>0.6</v>
      </c>
      <c r="AF78" s="177">
        <f t="shared" si="13"/>
        <v>0.50754693494891745</v>
      </c>
      <c r="AG78" s="799">
        <f t="shared" si="23"/>
        <v>-2</v>
      </c>
      <c r="AH78" s="176">
        <f t="shared" si="14"/>
        <v>4</v>
      </c>
      <c r="AI78" s="224">
        <f t="shared" si="15"/>
        <v>-1.4924530650510826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9.3864201970839112E-4</v>
      </c>
      <c r="M79" s="842"/>
      <c r="N79" s="842"/>
      <c r="O79" s="323">
        <f t="shared" ref="O79:O142" si="27">IF(t&lt;T0,0,IF(t&lt;Tnet,Salim_i*(1-EXP((T0-t)/Tau_ij)),Resal+(Salim-Resal)*(1-EXP((Tnet-t)/(Tau_j)))))*Salcycl</f>
        <v>4.3781377842324184E-3</v>
      </c>
      <c r="P79" s="169">
        <f>(INDEX(Models!$BJ79:$BT79,,T79)*(1-R79)+INDEX(Models!$BJ79:$BT79,,T79+1)*R79-ERP_i)*Q79*Ramure*Pc/MaxiM</f>
        <v>1.9502113278343127E-6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0.50792271155881563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-1.4920772884411844</v>
      </c>
      <c r="V79" s="382">
        <f t="shared" ref="V79:V142" si="32">MaxiM*(1-Ppv)*(1-Pvg)*(1-Psa)</f>
        <v>45.922154338235494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4.3781377842324184E-3</v>
      </c>
      <c r="AD79" s="169">
        <f>(INDEX(Models!$BJ79:$BT79,,AH79)*(1-AF79)+INDEX(Models!$BJ79:$BT79,,AH79+1)*AF79-ERP_i)*AE79*Ramure*Pc/MaxiM</f>
        <v>1.9502113278343127E-6</v>
      </c>
      <c r="AE79" s="304">
        <f t="shared" ref="AE79:AE142" si="39">Dd+PousD*Croivg</f>
        <v>0.6</v>
      </c>
      <c r="AF79" s="177">
        <f t="shared" ref="AF79:AF142" si="40">(Hp_vg_s-AG79)/(INDEX(Echel_vg,AH79+1)-AG79)</f>
        <v>0.50792271155881563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-1.4920772884411844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9.5778880271157885E-4</v>
      </c>
      <c r="M80" s="842"/>
      <c r="N80" s="842"/>
      <c r="O80" s="323">
        <f t="shared" si="27"/>
        <v>4.4655286825018492E-3</v>
      </c>
      <c r="P80" s="169">
        <f>(INDEX(Models!$BJ80:$BT80,,T80)*(1-R80)+INDEX(Models!$BJ80:$BT80,,T80+1)*R80-ERP_i)*Q80*Ramure*Pc/MaxiM</f>
        <v>1.9551540269797785E-6</v>
      </c>
      <c r="Q80" s="304">
        <f t="shared" si="28"/>
        <v>0.6</v>
      </c>
      <c r="R80" s="177">
        <f t="shared" si="29"/>
        <v>0.50831364226325126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-1.4916863577367487</v>
      </c>
      <c r="V80" s="382">
        <f t="shared" si="32"/>
        <v>46.302783203760043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4.4655286825018492E-3</v>
      </c>
      <c r="AD80" s="169">
        <f>(INDEX(Models!$BJ80:$BT80,,AH80)*(1-AF80)+INDEX(Models!$BJ80:$BT80,,AH80+1)*AF80-ERP_i)*AE80*Ramure*Pc/MaxiM</f>
        <v>1.9551540269797785E-6</v>
      </c>
      <c r="AE80" s="304">
        <f t="shared" si="39"/>
        <v>0.6</v>
      </c>
      <c r="AF80" s="177">
        <f t="shared" si="40"/>
        <v>0.50831364226325126</v>
      </c>
      <c r="AG80" s="799">
        <f t="shared" si="41"/>
        <v>-2</v>
      </c>
      <c r="AH80" s="176">
        <f t="shared" si="42"/>
        <v>4</v>
      </c>
      <c r="AI80" s="224">
        <f t="shared" si="43"/>
        <v>-1.4916863577367487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9.769352187709579E-4</v>
      </c>
      <c r="M81" s="842"/>
      <c r="N81" s="842"/>
      <c r="O81" s="323">
        <f t="shared" si="27"/>
        <v>4.55284669348947E-3</v>
      </c>
      <c r="P81" s="169">
        <f>(INDEX(Models!$BJ81:$BT81,,T81)*(1-R81)+INDEX(Models!$BJ81:$BT81,,T81+1)*R81-ERP_i)*Q81*Ramure*Pc/MaxiM</f>
        <v>1.9628158835027325E-6</v>
      </c>
      <c r="Q81" s="304">
        <f t="shared" si="28"/>
        <v>0.6</v>
      </c>
      <c r="R81" s="177">
        <f t="shared" si="29"/>
        <v>0.5087203120914614</v>
      </c>
      <c r="S81" s="799">
        <f t="shared" si="47"/>
        <v>-2</v>
      </c>
      <c r="T81" s="176">
        <f t="shared" si="30"/>
        <v>4</v>
      </c>
      <c r="U81" s="250">
        <f t="shared" si="31"/>
        <v>-1.4912796879085386</v>
      </c>
      <c r="V81" s="382">
        <f t="shared" si="32"/>
        <v>46.685297945259755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4.55284669348947E-3</v>
      </c>
      <c r="AD81" s="169">
        <f>(INDEX(Models!$BJ81:$BT81,,AH81)*(1-AF81)+INDEX(Models!$BJ81:$BT81,,AH81+1)*AF81-ERP_i)*AE81*Ramure*Pc/MaxiM</f>
        <v>1.9628158835027325E-6</v>
      </c>
      <c r="AE81" s="304">
        <f t="shared" si="39"/>
        <v>0.6</v>
      </c>
      <c r="AF81" s="177">
        <f t="shared" si="40"/>
        <v>0.5087203120914614</v>
      </c>
      <c r="AG81" s="799">
        <f t="shared" si="41"/>
        <v>-2</v>
      </c>
      <c r="AH81" s="176">
        <f t="shared" si="42"/>
        <v>4</v>
      </c>
      <c r="AI81" s="224">
        <f t="shared" si="43"/>
        <v>-1.4912796879085386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9.9608126789374474E-4</v>
      </c>
      <c r="M82" s="842"/>
      <c r="N82" s="842"/>
      <c r="O82" s="323">
        <f t="shared" si="27"/>
        <v>4.6400932075405434E-3</v>
      </c>
      <c r="P82" s="169">
        <f>(INDEX(Models!$BJ82:$BT82,,T82)*(1-R82)+INDEX(Models!$BJ82:$BT82,,T82+1)*R82-ERP_i)*Q82*Ramure*Pc/MaxiM</f>
        <v>1.9736246855359013E-6</v>
      </c>
      <c r="Q82" s="304">
        <f t="shared" si="28"/>
        <v>0.6</v>
      </c>
      <c r="R82" s="177">
        <f t="shared" si="29"/>
        <v>0.50914332647304827</v>
      </c>
      <c r="S82" s="799">
        <f t="shared" si="47"/>
        <v>-2</v>
      </c>
      <c r="T82" s="176">
        <f t="shared" si="30"/>
        <v>4</v>
      </c>
      <c r="U82" s="250">
        <f t="shared" si="31"/>
        <v>-1.4908566735269517</v>
      </c>
      <c r="V82" s="382">
        <f t="shared" si="32"/>
        <v>47.069152190858418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4.6400932075405434E-3</v>
      </c>
      <c r="AD82" s="169">
        <f>(INDEX(Models!$BJ82:$BT82,,AH82)*(1-AF82)+INDEX(Models!$BJ82:$BT82,,AH82+1)*AF82-ERP_i)*AE82*Ramure*Pc/MaxiM</f>
        <v>1.9736246855359013E-6</v>
      </c>
      <c r="AE82" s="304">
        <f t="shared" si="39"/>
        <v>0.6</v>
      </c>
      <c r="AF82" s="177">
        <f t="shared" si="40"/>
        <v>0.50914332647304827</v>
      </c>
      <c r="AG82" s="799">
        <f t="shared" si="41"/>
        <v>-2</v>
      </c>
      <c r="AH82" s="176">
        <f t="shared" si="42"/>
        <v>4</v>
      </c>
      <c r="AI82" s="224">
        <f t="shared" si="43"/>
        <v>-1.4908566735269517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1.0152269500868227E-3</v>
      </c>
      <c r="M83" s="842"/>
      <c r="N83" s="842"/>
      <c r="O83" s="323">
        <f t="shared" si="27"/>
        <v>4.7272697776735966E-3</v>
      </c>
      <c r="P83" s="169">
        <f>(INDEX(Models!$BJ83:$BT83,,T83)*(1-R83)+INDEX(Models!$BJ83:$BT83,,T83+1)*R83-ERP_i)*Q83*Ramure*Pc/MaxiM</f>
        <v>1.9880368556215822E-6</v>
      </c>
      <c r="Q83" s="304">
        <f t="shared" si="28"/>
        <v>0.6</v>
      </c>
      <c r="R83" s="177">
        <f t="shared" si="29"/>
        <v>0.50958331176438509</v>
      </c>
      <c r="S83" s="799">
        <f t="shared" si="47"/>
        <v>-2</v>
      </c>
      <c r="T83" s="176">
        <f t="shared" si="30"/>
        <v>4</v>
      </c>
      <c r="U83" s="250">
        <f t="shared" si="31"/>
        <v>-1.4904166882356149</v>
      </c>
      <c r="V83" s="382">
        <f t="shared" si="32"/>
        <v>47.453799790514132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4.7272697776735966E-3</v>
      </c>
      <c r="AD83" s="169">
        <f>(INDEX(Models!$BJ83:$BT83,,AH83)*(1-AF83)+INDEX(Models!$BJ83:$BT83,,AH83+1)*AF83-ERP_i)*AE83*Ramure*Pc/MaxiM</f>
        <v>1.9880368556215822E-6</v>
      </c>
      <c r="AE83" s="304">
        <f t="shared" si="39"/>
        <v>0.6</v>
      </c>
      <c r="AF83" s="177">
        <f t="shared" si="40"/>
        <v>0.50958331176438509</v>
      </c>
      <c r="AG83" s="799">
        <f t="shared" si="41"/>
        <v>-2</v>
      </c>
      <c r="AH83" s="176">
        <f t="shared" si="42"/>
        <v>4</v>
      </c>
      <c r="AI83" s="224">
        <f t="shared" si="43"/>
        <v>-1.4904166882356149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10.439</v>
      </c>
      <c r="C84" s="388"/>
      <c r="D84" s="391">
        <f t="shared" ref="D84:D143" si="48">Wh/(1-Ppv)</f>
        <v>10.449808992600227</v>
      </c>
      <c r="E84" s="383">
        <f t="shared" ref="E84:E143" si="49">Wh_pvt/(1-Psa)</f>
        <v>10.500361704275051</v>
      </c>
      <c r="F84" s="383">
        <f t="shared" ref="F84:F143" si="50">Wh_sa/(1-Pvg*MEDIAN((-Sdif+Wh/Env_an)/Csdif,0,1))</f>
        <v>10.500361704275051</v>
      </c>
      <c r="G84" s="110">
        <f t="shared" ref="G84:G143" si="51">+Wh_hp/MaxiM</f>
        <v>0.21821203722196406</v>
      </c>
      <c r="I84" s="379">
        <f t="shared" si="24"/>
        <v>10.500361704275051</v>
      </c>
      <c r="J84" s="85">
        <v>2018</v>
      </c>
      <c r="K84" s="197">
        <f t="shared" si="25"/>
        <v>43535</v>
      </c>
      <c r="L84" s="435">
        <f t="shared" si="26"/>
        <v>1.0343722653572973E-3</v>
      </c>
      <c r="M84" s="842"/>
      <c r="N84" s="842"/>
      <c r="O84" s="323">
        <f t="shared" si="27"/>
        <v>4.8143781232071262E-3</v>
      </c>
      <c r="P84" s="169">
        <f>(INDEX(Models!$BJ84:$BT84,,T84)*(1-R84)+INDEX(Models!$BJ84:$BT84,,T84+1)*R84-ERP_i)*Q84*Ramure*Pc/MaxiM</f>
        <v>2.0065396735981421E-6</v>
      </c>
      <c r="Q84" s="304">
        <f t="shared" si="28"/>
        <v>0.6</v>
      </c>
      <c r="R84" s="177">
        <f t="shared" si="29"/>
        <v>0.5100409157720498</v>
      </c>
      <c r="S84" s="799">
        <f t="shared" si="47"/>
        <v>-2</v>
      </c>
      <c r="T84" s="176">
        <f t="shared" si="30"/>
        <v>4</v>
      </c>
      <c r="U84" s="250">
        <f t="shared" si="31"/>
        <v>-1.4899590842279502</v>
      </c>
      <c r="V84" s="382">
        <f t="shared" si="32"/>
        <v>47.838694815510451</v>
      </c>
      <c r="W84" s="58"/>
      <c r="X84" s="157">
        <f t="shared" si="33"/>
        <v>43535</v>
      </c>
      <c r="Y84" s="383">
        <f t="shared" si="34"/>
        <v>10.439</v>
      </c>
      <c r="Z84" s="383">
        <f t="shared" si="35"/>
        <v>10.449808992600227</v>
      </c>
      <c r="AA84" s="384">
        <f t="shared" si="36"/>
        <v>10.500361704275051</v>
      </c>
      <c r="AB84" s="197">
        <f t="shared" si="37"/>
        <v>43535</v>
      </c>
      <c r="AC84" s="424">
        <f t="shared" si="38"/>
        <v>4.8143781232071262E-3</v>
      </c>
      <c r="AD84" s="169">
        <f>(INDEX(Models!$BJ84:$BT84,,AH84)*(1-AF84)+INDEX(Models!$BJ84:$BT84,,AH84+1)*AF84-ERP_i)*AE84*Ramure*Pc/MaxiM</f>
        <v>2.0065396735981421E-6</v>
      </c>
      <c r="AE84" s="304">
        <f t="shared" si="39"/>
        <v>0.6</v>
      </c>
      <c r="AF84" s="177">
        <f t="shared" si="40"/>
        <v>0.5100409157720498</v>
      </c>
      <c r="AG84" s="799">
        <f t="shared" si="41"/>
        <v>-2</v>
      </c>
      <c r="AH84" s="176">
        <f t="shared" si="42"/>
        <v>4</v>
      </c>
      <c r="AI84" s="224">
        <f t="shared" si="43"/>
        <v>-1.4899590842279502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40.956000000000003</v>
      </c>
      <c r="C85" s="388"/>
      <c r="D85" s="391">
        <f t="shared" si="48"/>
        <v>40.999193355948805</v>
      </c>
      <c r="E85" s="383">
        <f t="shared" si="49"/>
        <v>41.201137440482356</v>
      </c>
      <c r="F85" s="383">
        <f t="shared" si="50"/>
        <v>41.201203061464355</v>
      </c>
      <c r="G85" s="110">
        <f t="shared" si="51"/>
        <v>0.84929876791191117</v>
      </c>
      <c r="I85" s="379">
        <f t="shared" si="24"/>
        <v>41.201203061464355</v>
      </c>
      <c r="J85" s="85">
        <v>2018</v>
      </c>
      <c r="K85" s="197">
        <f t="shared" si="25"/>
        <v>43536</v>
      </c>
      <c r="L85" s="435">
        <f t="shared" si="26"/>
        <v>1.0535172137120519E-3</v>
      </c>
      <c r="M85" s="842"/>
      <c r="N85" s="842"/>
      <c r="O85" s="323">
        <f t="shared" si="27"/>
        <v>4.9014201325211842E-3</v>
      </c>
      <c r="P85" s="169">
        <f>(INDEX(Models!$BJ85:$BT85,,T85)*(1-R85)+INDEX(Models!$BJ85:$BT85,,T85+1)*R85-ERP_i)*Q85*Ramure*Pc/MaxiM</f>
        <v>2.0296537215164736E-6</v>
      </c>
      <c r="Q85" s="304">
        <f t="shared" si="28"/>
        <v>0.6</v>
      </c>
      <c r="R85" s="177">
        <f t="shared" si="29"/>
        <v>0.51051680827140511</v>
      </c>
      <c r="S85" s="799">
        <f t="shared" si="47"/>
        <v>-2</v>
      </c>
      <c r="T85" s="176">
        <f t="shared" si="30"/>
        <v>4</v>
      </c>
      <c r="U85" s="250">
        <f t="shared" si="31"/>
        <v>-1.4894831917285949</v>
      </c>
      <c r="V85" s="382">
        <f t="shared" si="32"/>
        <v>48.223291556887943</v>
      </c>
      <c r="W85" s="58"/>
      <c r="X85" s="157">
        <f t="shared" si="33"/>
        <v>43536</v>
      </c>
      <c r="Y85" s="383">
        <f t="shared" si="34"/>
        <v>40.956000000000003</v>
      </c>
      <c r="Z85" s="383">
        <f t="shared" si="35"/>
        <v>40.999193355948805</v>
      </c>
      <c r="AA85" s="384">
        <f t="shared" si="36"/>
        <v>41.201137440482356</v>
      </c>
      <c r="AB85" s="197">
        <f t="shared" si="37"/>
        <v>43536</v>
      </c>
      <c r="AC85" s="424">
        <f t="shared" si="38"/>
        <v>4.9014201325211842E-3</v>
      </c>
      <c r="AD85" s="169">
        <f>(INDEX(Models!$BJ85:$BT85,,AH85)*(1-AF85)+INDEX(Models!$BJ85:$BT85,,AH85+1)*AF85-ERP_i)*AE85*Ramure*Pc/MaxiM</f>
        <v>2.0296537215164736E-6</v>
      </c>
      <c r="AE85" s="304">
        <f t="shared" si="39"/>
        <v>0.6</v>
      </c>
      <c r="AF85" s="177">
        <f t="shared" si="40"/>
        <v>0.51051680827140511</v>
      </c>
      <c r="AG85" s="799">
        <f t="shared" si="41"/>
        <v>-2</v>
      </c>
      <c r="AH85" s="176">
        <f t="shared" si="42"/>
        <v>4</v>
      </c>
      <c r="AI85" s="224">
        <f t="shared" si="43"/>
        <v>-1.4894831917285949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27.803999999999998</v>
      </c>
      <c r="C86" s="388"/>
      <c r="D86" s="391">
        <f t="shared" si="48"/>
        <v>27.833856314280254</v>
      </c>
      <c r="E86" s="383">
        <f t="shared" si="49"/>
        <v>27.973398756914605</v>
      </c>
      <c r="F86" s="383">
        <f t="shared" si="50"/>
        <v>27.973421127248677</v>
      </c>
      <c r="G86" s="110">
        <f t="shared" si="51"/>
        <v>0.57201513253990144</v>
      </c>
      <c r="I86" s="379">
        <f t="shared" si="24"/>
        <v>27.973421127248677</v>
      </c>
      <c r="J86" s="85">
        <v>2018</v>
      </c>
      <c r="K86" s="197">
        <f t="shared" si="25"/>
        <v>43537</v>
      </c>
      <c r="L86" s="435">
        <f t="shared" si="26"/>
        <v>1.0726617951584139E-3</v>
      </c>
      <c r="M86" s="842"/>
      <c r="N86" s="842"/>
      <c r="O86" s="323">
        <f t="shared" si="27"/>
        <v>4.9883978649486677E-3</v>
      </c>
      <c r="P86" s="169">
        <f>(INDEX(Models!$BJ86:$BT86,,T86)*(1-R86)+INDEX(Models!$BJ86:$BT86,,T86+1)*R86-ERP_i)*Q86*Ramure*Pc/MaxiM</f>
        <v>2.0579305395794063E-6</v>
      </c>
      <c r="Q86" s="304">
        <f t="shared" si="28"/>
        <v>0.6</v>
      </c>
      <c r="R86" s="177">
        <f t="shared" si="29"/>
        <v>0.51101168151825083</v>
      </c>
      <c r="S86" s="799">
        <f t="shared" si="47"/>
        <v>-2</v>
      </c>
      <c r="T86" s="176">
        <f t="shared" si="30"/>
        <v>4</v>
      </c>
      <c r="U86" s="250">
        <f t="shared" si="31"/>
        <v>-1.4889883184817492</v>
      </c>
      <c r="V86" s="382">
        <f t="shared" si="32"/>
        <v>48.607044524612938</v>
      </c>
      <c r="W86" s="58"/>
      <c r="X86" s="157">
        <f t="shared" si="33"/>
        <v>43537</v>
      </c>
      <c r="Y86" s="383">
        <f t="shared" si="34"/>
        <v>27.803999999999998</v>
      </c>
      <c r="Z86" s="383">
        <f t="shared" si="35"/>
        <v>27.833856314280254</v>
      </c>
      <c r="AA86" s="384">
        <f t="shared" si="36"/>
        <v>27.973398756914605</v>
      </c>
      <c r="AB86" s="197">
        <f t="shared" si="37"/>
        <v>43537</v>
      </c>
      <c r="AC86" s="424">
        <f t="shared" si="38"/>
        <v>4.9883978649486677E-3</v>
      </c>
      <c r="AD86" s="169">
        <f>(INDEX(Models!$BJ86:$BT86,,AH86)*(1-AF86)+INDEX(Models!$BJ86:$BT86,,AH86+1)*AF86-ERP_i)*AE86*Ramure*Pc/MaxiM</f>
        <v>2.0579305395794063E-6</v>
      </c>
      <c r="AE86" s="304">
        <f t="shared" si="39"/>
        <v>0.6</v>
      </c>
      <c r="AF86" s="177">
        <f t="shared" si="40"/>
        <v>0.51101168151825083</v>
      </c>
      <c r="AG86" s="799">
        <f t="shared" si="41"/>
        <v>-2</v>
      </c>
      <c r="AH86" s="176">
        <f t="shared" si="42"/>
        <v>4</v>
      </c>
      <c r="AI86" s="224">
        <f t="shared" si="43"/>
        <v>-1.4889883184817492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23.11</v>
      </c>
      <c r="C87" s="388"/>
      <c r="D87" s="391">
        <f t="shared" si="48"/>
        <v>23.135259215047029</v>
      </c>
      <c r="E87" s="383">
        <f t="shared" si="49"/>
        <v>23.253276886352094</v>
      </c>
      <c r="F87" s="383">
        <f t="shared" si="50"/>
        <v>23.253288786540622</v>
      </c>
      <c r="G87" s="110">
        <f t="shared" si="51"/>
        <v>0.47173387502200764</v>
      </c>
      <c r="I87" s="379">
        <f t="shared" si="24"/>
        <v>23.253288786540622</v>
      </c>
      <c r="J87" s="85">
        <v>2018</v>
      </c>
      <c r="K87" s="197">
        <f t="shared" si="25"/>
        <v>43538</v>
      </c>
      <c r="L87" s="435">
        <f t="shared" si="26"/>
        <v>1.0918060097031557E-3</v>
      </c>
      <c r="M87" s="842"/>
      <c r="N87" s="842"/>
      <c r="O87" s="323">
        <f t="shared" si="27"/>
        <v>5.0753135518001157E-3</v>
      </c>
      <c r="P87" s="169">
        <f>(INDEX(Models!$BJ87:$BT87,,T87)*(1-R87)+INDEX(Models!$BJ87:$BT87,,T87+1)*R87-ERP_i)*Q87*Ramure*Pc/MaxiM</f>
        <v>2.0859776408109212E-6</v>
      </c>
      <c r="Q87" s="304">
        <f t="shared" si="28"/>
        <v>0.6</v>
      </c>
      <c r="R87" s="177">
        <f t="shared" si="29"/>
        <v>0.51152625075128855</v>
      </c>
      <c r="S87" s="799">
        <f t="shared" si="47"/>
        <v>-2</v>
      </c>
      <c r="T87" s="176">
        <f t="shared" si="30"/>
        <v>4</v>
      </c>
      <c r="U87" s="250">
        <f t="shared" si="31"/>
        <v>-1.4884737492487115</v>
      </c>
      <c r="V87" s="382">
        <f t="shared" si="32"/>
        <v>48.9894087398716</v>
      </c>
      <c r="W87" s="58"/>
      <c r="X87" s="157">
        <f t="shared" si="33"/>
        <v>43538</v>
      </c>
      <c r="Y87" s="383">
        <f t="shared" si="34"/>
        <v>23.11</v>
      </c>
      <c r="Z87" s="383">
        <f t="shared" si="35"/>
        <v>23.135259215047029</v>
      </c>
      <c r="AA87" s="384">
        <f t="shared" si="36"/>
        <v>23.253276886352094</v>
      </c>
      <c r="AB87" s="197">
        <f t="shared" si="37"/>
        <v>43538</v>
      </c>
      <c r="AC87" s="424">
        <f t="shared" si="38"/>
        <v>5.0753135518001157E-3</v>
      </c>
      <c r="AD87" s="169">
        <f>(INDEX(Models!$BJ87:$BT87,,AH87)*(1-AF87)+INDEX(Models!$BJ87:$BT87,,AH87+1)*AF87-ERP_i)*AE87*Ramure*Pc/MaxiM</f>
        <v>2.0859776408109212E-6</v>
      </c>
      <c r="AE87" s="304">
        <f t="shared" si="39"/>
        <v>0.6</v>
      </c>
      <c r="AF87" s="177">
        <f t="shared" si="40"/>
        <v>0.51152625075128855</v>
      </c>
      <c r="AG87" s="799">
        <f t="shared" si="41"/>
        <v>-2</v>
      </c>
      <c r="AH87" s="176">
        <f t="shared" si="42"/>
        <v>4</v>
      </c>
      <c r="AI87" s="224">
        <f t="shared" si="43"/>
        <v>-1.4884737492487115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12.707000000000001</v>
      </c>
      <c r="C88" s="388"/>
      <c r="D88" s="391">
        <f t="shared" si="48"/>
        <v>12.721132540381111</v>
      </c>
      <c r="E88" s="383">
        <f t="shared" si="49"/>
        <v>12.787141935708188</v>
      </c>
      <c r="F88" s="383">
        <f t="shared" si="50"/>
        <v>12.787141935708188</v>
      </c>
      <c r="G88" s="110">
        <f t="shared" si="51"/>
        <v>0.25738332045498141</v>
      </c>
      <c r="I88" s="379">
        <f t="shared" si="24"/>
        <v>12.787141935708188</v>
      </c>
      <c r="J88" s="85">
        <v>2018</v>
      </c>
      <c r="K88" s="197">
        <f t="shared" si="25"/>
        <v>43539</v>
      </c>
      <c r="L88" s="435">
        <f t="shared" si="26"/>
        <v>1.1109498573533827E-3</v>
      </c>
      <c r="M88" s="842"/>
      <c r="N88" s="842"/>
      <c r="O88" s="323">
        <f t="shared" si="27"/>
        <v>5.1621695965339215E-3</v>
      </c>
      <c r="P88" s="169">
        <f>(INDEX(Models!$BJ88:$BT88,,T88)*(1-R88)+INDEX(Models!$BJ88:$BT88,,T88+1)*R88-ERP_i)*Q88*Ramure*Pc/MaxiM</f>
        <v>2.1137938231352497E-6</v>
      </c>
      <c r="Q88" s="304">
        <f t="shared" si="28"/>
        <v>0.6</v>
      </c>
      <c r="R88" s="177">
        <f t="shared" si="29"/>
        <v>0.51206125468292019</v>
      </c>
      <c r="S88" s="799">
        <f t="shared" si="47"/>
        <v>-2</v>
      </c>
      <c r="T88" s="176">
        <f t="shared" si="30"/>
        <v>4</v>
      </c>
      <c r="U88" s="250">
        <f t="shared" si="31"/>
        <v>-1.4879387453170798</v>
      </c>
      <c r="V88" s="382">
        <f t="shared" si="32"/>
        <v>49.369839186002928</v>
      </c>
      <c r="W88" s="58"/>
      <c r="X88" s="157">
        <f t="shared" si="33"/>
        <v>43539</v>
      </c>
      <c r="Y88" s="383">
        <f t="shared" si="34"/>
        <v>12.707000000000001</v>
      </c>
      <c r="Z88" s="383">
        <f t="shared" si="35"/>
        <v>12.721132540381111</v>
      </c>
      <c r="AA88" s="384">
        <f t="shared" si="36"/>
        <v>12.787141935708188</v>
      </c>
      <c r="AB88" s="197">
        <f t="shared" si="37"/>
        <v>43539</v>
      </c>
      <c r="AC88" s="424">
        <f t="shared" si="38"/>
        <v>5.1621695965339215E-3</v>
      </c>
      <c r="AD88" s="169">
        <f>(INDEX(Models!$BJ88:$BT88,,AH88)*(1-AF88)+INDEX(Models!$BJ88:$BT88,,AH88+1)*AF88-ERP_i)*AE88*Ramure*Pc/MaxiM</f>
        <v>2.1137938231352497E-6</v>
      </c>
      <c r="AE88" s="304">
        <f t="shared" si="39"/>
        <v>0.6</v>
      </c>
      <c r="AF88" s="177">
        <f t="shared" si="40"/>
        <v>0.51206125468292019</v>
      </c>
      <c r="AG88" s="799">
        <f t="shared" si="41"/>
        <v>-2</v>
      </c>
      <c r="AH88" s="176">
        <f t="shared" si="42"/>
        <v>4</v>
      </c>
      <c r="AI88" s="224">
        <f t="shared" si="43"/>
        <v>-1.4879387453170798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47.841999999999999</v>
      </c>
      <c r="C89" s="388"/>
      <c r="D89" s="391">
        <f t="shared" si="48"/>
        <v>47.896127094150664</v>
      </c>
      <c r="E89" s="383">
        <f t="shared" si="49"/>
        <v>48.148858941613561</v>
      </c>
      <c r="F89" s="383">
        <f t="shared" si="50"/>
        <v>48.148956404027338</v>
      </c>
      <c r="G89" s="110">
        <f t="shared" si="51"/>
        <v>0.9616908282641915</v>
      </c>
      <c r="I89" s="379">
        <f t="shared" si="24"/>
        <v>48.148956404027338</v>
      </c>
      <c r="J89" s="85">
        <v>2018</v>
      </c>
      <c r="K89" s="197">
        <f t="shared" si="25"/>
        <v>43540</v>
      </c>
      <c r="L89" s="435">
        <f t="shared" si="26"/>
        <v>1.1300933381162004E-3</v>
      </c>
      <c r="M89" s="842"/>
      <c r="N89" s="842"/>
      <c r="O89" s="323">
        <f t="shared" si="27"/>
        <v>5.2489685740915093E-3</v>
      </c>
      <c r="P89" s="169">
        <f>(INDEX(Models!$BJ89:$BT89,,T89)*(1-R89)+INDEX(Models!$BJ89:$BT89,,T89+1)*R89-ERP_i)*Q89*Ramure*Pc/MaxiM</f>
        <v>2.1413770094219387E-6</v>
      </c>
      <c r="Q89" s="304">
        <f t="shared" si="28"/>
        <v>0.6</v>
      </c>
      <c r="R89" s="177">
        <f t="shared" si="29"/>
        <v>0.51261745597569197</v>
      </c>
      <c r="S89" s="799">
        <f t="shared" si="47"/>
        <v>-2</v>
      </c>
      <c r="T89" s="176">
        <f t="shared" si="30"/>
        <v>4</v>
      </c>
      <c r="U89" s="250">
        <f t="shared" si="31"/>
        <v>-1.487382544024308</v>
      </c>
      <c r="V89" s="382">
        <f t="shared" si="32"/>
        <v>49.747791064680861</v>
      </c>
      <c r="W89" s="58"/>
      <c r="X89" s="157">
        <f t="shared" si="33"/>
        <v>43540</v>
      </c>
      <c r="Y89" s="383">
        <f t="shared" si="34"/>
        <v>47.841999999999999</v>
      </c>
      <c r="Z89" s="383">
        <f t="shared" si="35"/>
        <v>47.896127094150664</v>
      </c>
      <c r="AA89" s="384">
        <f t="shared" si="36"/>
        <v>48.148858941613561</v>
      </c>
      <c r="AB89" s="197">
        <f t="shared" si="37"/>
        <v>43540</v>
      </c>
      <c r="AC89" s="424">
        <f t="shared" si="38"/>
        <v>5.2489685740915093E-3</v>
      </c>
      <c r="AD89" s="169">
        <f>(INDEX(Models!$BJ89:$BT89,,AH89)*(1-AF89)+INDEX(Models!$BJ89:$BT89,,AH89+1)*AF89-ERP_i)*AE89*Ramure*Pc/MaxiM</f>
        <v>2.1413770094219387E-6</v>
      </c>
      <c r="AE89" s="304">
        <f t="shared" si="39"/>
        <v>0.6</v>
      </c>
      <c r="AF89" s="177">
        <f t="shared" si="40"/>
        <v>0.51261745597569197</v>
      </c>
      <c r="AG89" s="799">
        <f t="shared" si="41"/>
        <v>-2</v>
      </c>
      <c r="AH89" s="176">
        <f t="shared" si="42"/>
        <v>4</v>
      </c>
      <c r="AI89" s="224">
        <f t="shared" si="43"/>
        <v>-1.487382544024308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15.763999999999999</v>
      </c>
      <c r="C90" s="388"/>
      <c r="D90" s="391">
        <f t="shared" si="48"/>
        <v>15.782137407599262</v>
      </c>
      <c r="E90" s="383">
        <f t="shared" si="49"/>
        <v>15.866798092087821</v>
      </c>
      <c r="F90" s="383">
        <f t="shared" si="50"/>
        <v>15.866798805277901</v>
      </c>
      <c r="G90" s="110">
        <f t="shared" si="51"/>
        <v>0.31450740470575872</v>
      </c>
      <c r="I90" s="379">
        <f t="shared" si="24"/>
        <v>15.866798805277901</v>
      </c>
      <c r="J90" s="85">
        <v>2018</v>
      </c>
      <c r="K90" s="197">
        <f t="shared" si="25"/>
        <v>43541</v>
      </c>
      <c r="L90" s="435">
        <f t="shared" si="26"/>
        <v>1.1492364519984921E-3</v>
      </c>
      <c r="M90" s="842"/>
      <c r="N90" s="842"/>
      <c r="O90" s="323">
        <f t="shared" si="27"/>
        <v>5.3357132294245381E-3</v>
      </c>
      <c r="P90" s="169">
        <f>(INDEX(Models!$BJ90:$BT90,,T90)*(1-R90)+INDEX(Models!$BJ90:$BT90,,T90+1)*R90-ERP_i)*Q90*Ramure*Pc/MaxiM</f>
        <v>2.1687240578290636E-6</v>
      </c>
      <c r="Q90" s="304">
        <f t="shared" si="28"/>
        <v>0.6</v>
      </c>
      <c r="R90" s="177">
        <f t="shared" si="29"/>
        <v>0.51319564170145626</v>
      </c>
      <c r="S90" s="799">
        <f t="shared" si="47"/>
        <v>-2</v>
      </c>
      <c r="T90" s="176">
        <f t="shared" si="30"/>
        <v>4</v>
      </c>
      <c r="U90" s="250">
        <f t="shared" si="31"/>
        <v>-1.4868043582985437</v>
      </c>
      <c r="V90" s="382">
        <f t="shared" si="32"/>
        <v>50.122719799077672</v>
      </c>
      <c r="W90" s="58"/>
      <c r="X90" s="157">
        <f t="shared" si="33"/>
        <v>43541</v>
      </c>
      <c r="Y90" s="383">
        <f t="shared" si="34"/>
        <v>15.763999999999999</v>
      </c>
      <c r="Z90" s="383">
        <f t="shared" si="35"/>
        <v>15.782137407599262</v>
      </c>
      <c r="AA90" s="384">
        <f t="shared" si="36"/>
        <v>15.866798092087821</v>
      </c>
      <c r="AB90" s="197">
        <f t="shared" si="37"/>
        <v>43541</v>
      </c>
      <c r="AC90" s="424">
        <f t="shared" si="38"/>
        <v>5.3357132294245381E-3</v>
      </c>
      <c r="AD90" s="169">
        <f>(INDEX(Models!$BJ90:$BT90,,AH90)*(1-AF90)+INDEX(Models!$BJ90:$BT90,,AH90+1)*AF90-ERP_i)*AE90*Ramure*Pc/MaxiM</f>
        <v>2.1687240578290636E-6</v>
      </c>
      <c r="AE90" s="304">
        <f t="shared" si="39"/>
        <v>0.6</v>
      </c>
      <c r="AF90" s="177">
        <f t="shared" si="40"/>
        <v>0.51319564170145626</v>
      </c>
      <c r="AG90" s="799">
        <f t="shared" si="41"/>
        <v>-2</v>
      </c>
      <c r="AH90" s="176">
        <f t="shared" si="42"/>
        <v>4</v>
      </c>
      <c r="AI90" s="224">
        <f t="shared" si="43"/>
        <v>-1.4868043582985437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33.887999999999998</v>
      </c>
      <c r="C91" s="388"/>
      <c r="D91" s="391">
        <f t="shared" si="48"/>
        <v>33.927640349255469</v>
      </c>
      <c r="E91" s="383">
        <f t="shared" si="49"/>
        <v>34.112612801799528</v>
      </c>
      <c r="F91" s="383">
        <f t="shared" si="50"/>
        <v>34.112652515484889</v>
      </c>
      <c r="G91" s="110">
        <f t="shared" si="51"/>
        <v>0.67112747374194404</v>
      </c>
      <c r="I91" s="379">
        <f t="shared" si="24"/>
        <v>34.112652515484889</v>
      </c>
      <c r="J91" s="85">
        <v>2018</v>
      </c>
      <c r="K91" s="197">
        <f t="shared" si="25"/>
        <v>43542</v>
      </c>
      <c r="L91" s="435">
        <f t="shared" si="26"/>
        <v>1.1683791990073633E-3</v>
      </c>
      <c r="M91" s="842"/>
      <c r="N91" s="842"/>
      <c r="O91" s="323">
        <f t="shared" si="27"/>
        <v>5.4224064752467016E-3</v>
      </c>
      <c r="P91" s="169">
        <f>(INDEX(Models!$BJ91:$BT91,,T91)*(1-R91)+INDEX(Models!$BJ91:$BT91,,T91+1)*R91-ERP_i)*Q91*Ramure*Pc/MaxiM</f>
        <v>2.1958305584819295E-6</v>
      </c>
      <c r="Q91" s="304">
        <f t="shared" si="28"/>
        <v>0.6</v>
      </c>
      <c r="R91" s="177">
        <f t="shared" si="29"/>
        <v>0.51379662378008173</v>
      </c>
      <c r="S91" s="799">
        <f t="shared" si="47"/>
        <v>-2</v>
      </c>
      <c r="T91" s="176">
        <f t="shared" si="30"/>
        <v>4</v>
      </c>
      <c r="U91" s="250">
        <f t="shared" si="31"/>
        <v>-1.4862033762199183</v>
      </c>
      <c r="V91" s="382">
        <f t="shared" si="32"/>
        <v>50.494081028830408</v>
      </c>
      <c r="W91" s="58"/>
      <c r="X91" s="157">
        <f t="shared" si="33"/>
        <v>43542</v>
      </c>
      <c r="Y91" s="383">
        <f t="shared" si="34"/>
        <v>33.887999999999998</v>
      </c>
      <c r="Z91" s="383">
        <f t="shared" si="35"/>
        <v>33.927640349255469</v>
      </c>
      <c r="AA91" s="384">
        <f t="shared" si="36"/>
        <v>34.112612801799528</v>
      </c>
      <c r="AB91" s="197">
        <f t="shared" si="37"/>
        <v>43542</v>
      </c>
      <c r="AC91" s="424">
        <f t="shared" si="38"/>
        <v>5.4224064752467016E-3</v>
      </c>
      <c r="AD91" s="169">
        <f>(INDEX(Models!$BJ91:$BT91,,AH91)*(1-AF91)+INDEX(Models!$BJ91:$BT91,,AH91+1)*AF91-ERP_i)*AE91*Ramure*Pc/MaxiM</f>
        <v>2.1958305584819295E-6</v>
      </c>
      <c r="AE91" s="304">
        <f t="shared" si="39"/>
        <v>0.6</v>
      </c>
      <c r="AF91" s="177">
        <f t="shared" si="40"/>
        <v>0.51379662378008173</v>
      </c>
      <c r="AG91" s="799">
        <f t="shared" si="41"/>
        <v>-2</v>
      </c>
      <c r="AH91" s="176">
        <f t="shared" si="42"/>
        <v>4</v>
      </c>
      <c r="AI91" s="224">
        <f t="shared" si="43"/>
        <v>-1.4862033762199183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12.301</v>
      </c>
      <c r="C92" s="388"/>
      <c r="D92" s="391">
        <f t="shared" si="48"/>
        <v>12.315625070531977</v>
      </c>
      <c r="E92" s="383">
        <f t="shared" si="49"/>
        <v>12.383848327361603</v>
      </c>
      <c r="F92" s="383">
        <f t="shared" si="50"/>
        <v>12.383848327361603</v>
      </c>
      <c r="G92" s="110">
        <f t="shared" si="51"/>
        <v>0.24185314286565754</v>
      </c>
      <c r="I92" s="379">
        <f t="shared" si="24"/>
        <v>12.383848327361603</v>
      </c>
      <c r="J92" s="85">
        <v>2018</v>
      </c>
      <c r="K92" s="197">
        <f t="shared" si="25"/>
        <v>43543</v>
      </c>
      <c r="L92" s="435">
        <f t="shared" si="26"/>
        <v>1.1875215791499194E-3</v>
      </c>
      <c r="M92" s="842"/>
      <c r="N92" s="842"/>
      <c r="O92" s="323">
        <f t="shared" si="27"/>
        <v>5.5090513890491645E-3</v>
      </c>
      <c r="P92" s="169">
        <f>(INDEX(Models!$BJ92:$BT92,,T92)*(1-R92)+INDEX(Models!$BJ92:$BT92,,T92+1)*R92-ERP_i)*Q92*Ramure*Pc/MaxiM</f>
        <v>2.2226906150894381E-6</v>
      </c>
      <c r="Q92" s="304">
        <f t="shared" si="28"/>
        <v>0.6</v>
      </c>
      <c r="R92" s="177">
        <f t="shared" si="29"/>
        <v>0.51442123939428819</v>
      </c>
      <c r="S92" s="799">
        <f t="shared" si="47"/>
        <v>-2</v>
      </c>
      <c r="T92" s="176">
        <f t="shared" si="30"/>
        <v>4</v>
      </c>
      <c r="U92" s="250">
        <f t="shared" si="31"/>
        <v>-1.4855787606057118</v>
      </c>
      <c r="V92" s="382">
        <f t="shared" si="32"/>
        <v>50.861330611343689</v>
      </c>
      <c r="W92" s="58"/>
      <c r="X92" s="157">
        <f t="shared" si="33"/>
        <v>43543</v>
      </c>
      <c r="Y92" s="383">
        <f t="shared" si="34"/>
        <v>12.301</v>
      </c>
      <c r="Z92" s="383">
        <f t="shared" si="35"/>
        <v>12.315625070531977</v>
      </c>
      <c r="AA92" s="384">
        <f t="shared" si="36"/>
        <v>12.383848327361603</v>
      </c>
      <c r="AB92" s="197">
        <f t="shared" si="37"/>
        <v>43543</v>
      </c>
      <c r="AC92" s="424">
        <f t="shared" si="38"/>
        <v>5.5090513890491645E-3</v>
      </c>
      <c r="AD92" s="169">
        <f>(INDEX(Models!$BJ92:$BT92,,AH92)*(1-AF92)+INDEX(Models!$BJ92:$BT92,,AH92+1)*AF92-ERP_i)*AE92*Ramure*Pc/MaxiM</f>
        <v>2.2226906150894381E-6</v>
      </c>
      <c r="AE92" s="304">
        <f t="shared" si="39"/>
        <v>0.6</v>
      </c>
      <c r="AF92" s="177">
        <f t="shared" si="40"/>
        <v>0.51442123939428819</v>
      </c>
      <c r="AG92" s="799">
        <f t="shared" si="41"/>
        <v>-2</v>
      </c>
      <c r="AH92" s="176">
        <f t="shared" si="42"/>
        <v>4</v>
      </c>
      <c r="AI92" s="224">
        <f t="shared" si="43"/>
        <v>-1.4855787606057118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50.628</v>
      </c>
      <c r="C93" s="388"/>
      <c r="D93" s="391">
        <f t="shared" si="48"/>
        <v>50.68916476965839</v>
      </c>
      <c r="E93" s="383">
        <f t="shared" si="49"/>
        <v>50.974399731163643</v>
      </c>
      <c r="F93" s="383">
        <f t="shared" si="50"/>
        <v>50.974512464979433</v>
      </c>
      <c r="G93" s="110">
        <f t="shared" si="51"/>
        <v>0.98830349406252582</v>
      </c>
      <c r="I93" s="379">
        <f t="shared" si="24"/>
        <v>50.974512464979433</v>
      </c>
      <c r="J93" s="85">
        <v>2018</v>
      </c>
      <c r="K93" s="197">
        <f t="shared" si="25"/>
        <v>43544</v>
      </c>
      <c r="L93" s="435">
        <f t="shared" si="26"/>
        <v>1.2066635924331548E-3</v>
      </c>
      <c r="M93" s="842"/>
      <c r="N93" s="842"/>
      <c r="O93" s="323">
        <f t="shared" si="27"/>
        <v>5.5956512094222349E-3</v>
      </c>
      <c r="P93" s="169">
        <f>(INDEX(Models!$BJ93:$BT93,,T93)*(1-R93)+INDEX(Models!$BJ93:$BT93,,T93+1)*R93-ERP_i)*Q93*Ramure*Pc/MaxiM</f>
        <v>2.2491538762476821E-6</v>
      </c>
      <c r="Q93" s="304">
        <f t="shared" si="28"/>
        <v>0.6</v>
      </c>
      <c r="R93" s="177">
        <f t="shared" si="29"/>
        <v>0.51507035137690971</v>
      </c>
      <c r="S93" s="799">
        <f t="shared" si="47"/>
        <v>-2</v>
      </c>
      <c r="T93" s="176">
        <f t="shared" si="30"/>
        <v>4</v>
      </c>
      <c r="U93" s="250">
        <f t="shared" si="31"/>
        <v>-1.4849296486230903</v>
      </c>
      <c r="V93" s="382">
        <f t="shared" si="32"/>
        <v>51.227177078166605</v>
      </c>
      <c r="W93" s="58"/>
      <c r="X93" s="157">
        <f t="shared" si="33"/>
        <v>43544</v>
      </c>
      <c r="Y93" s="383">
        <f t="shared" si="34"/>
        <v>50.628</v>
      </c>
      <c r="Z93" s="383">
        <f t="shared" si="35"/>
        <v>50.68916476965839</v>
      </c>
      <c r="AA93" s="384">
        <f t="shared" si="36"/>
        <v>50.974399731163643</v>
      </c>
      <c r="AB93" s="197">
        <f t="shared" si="37"/>
        <v>43544</v>
      </c>
      <c r="AC93" s="424">
        <f t="shared" si="38"/>
        <v>5.5956512094222349E-3</v>
      </c>
      <c r="AD93" s="169">
        <f>(INDEX(Models!$BJ93:$BT93,,AH93)*(1-AF93)+INDEX(Models!$BJ93:$BT93,,AH93+1)*AF93-ERP_i)*AE93*Ramure*Pc/MaxiM</f>
        <v>2.2491538762476821E-6</v>
      </c>
      <c r="AE93" s="304">
        <f t="shared" si="39"/>
        <v>0.6</v>
      </c>
      <c r="AF93" s="177">
        <f t="shared" si="40"/>
        <v>0.51507035137690971</v>
      </c>
      <c r="AG93" s="799">
        <f t="shared" si="41"/>
        <v>-2</v>
      </c>
      <c r="AH93" s="176">
        <f t="shared" si="42"/>
        <v>4</v>
      </c>
      <c r="AI93" s="224">
        <f t="shared" si="43"/>
        <v>-1.4849296486230903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50.87</v>
      </c>
      <c r="C94" s="388"/>
      <c r="D94" s="391">
        <f t="shared" si="48"/>
        <v>50.932433243497968</v>
      </c>
      <c r="E94" s="383">
        <f t="shared" si="49"/>
        <v>51.223495869732815</v>
      </c>
      <c r="F94" s="383">
        <f t="shared" si="50"/>
        <v>51.223610109316816</v>
      </c>
      <c r="G94" s="110">
        <f t="shared" si="51"/>
        <v>0.9859652184737282</v>
      </c>
      <c r="I94" s="379">
        <f t="shared" si="24"/>
        <v>51.223610109316816</v>
      </c>
      <c r="J94" s="85">
        <v>2018</v>
      </c>
      <c r="K94" s="197">
        <f t="shared" si="25"/>
        <v>43545</v>
      </c>
      <c r="L94" s="435">
        <f t="shared" si="26"/>
        <v>1.2258052388639529E-3</v>
      </c>
      <c r="M94" s="842"/>
      <c r="N94" s="842"/>
      <c r="O94" s="323">
        <f t="shared" si="27"/>
        <v>5.6822093317304102E-3</v>
      </c>
      <c r="P94" s="169">
        <f>(INDEX(Models!$BJ94:$BT94,,T94)*(1-R94)+INDEX(Models!$BJ94:$BT94,,T94+1)*R94-ERP_i)*Q94*Ramure*Pc/MaxiM</f>
        <v>2.2758432462446077E-6</v>
      </c>
      <c r="Q94" s="304">
        <f t="shared" si="28"/>
        <v>0.6</v>
      </c>
      <c r="R94" s="177">
        <f t="shared" si="29"/>
        <v>0.51574484856661007</v>
      </c>
      <c r="S94" s="799">
        <f t="shared" si="47"/>
        <v>-2</v>
      </c>
      <c r="T94" s="176">
        <f t="shared" si="30"/>
        <v>4</v>
      </c>
      <c r="U94" s="250">
        <f t="shared" si="31"/>
        <v>-1.4842551514333899</v>
      </c>
      <c r="V94" s="382">
        <f t="shared" si="32"/>
        <v>51.594109737008267</v>
      </c>
      <c r="W94" s="58"/>
      <c r="X94" s="157">
        <f t="shared" si="33"/>
        <v>43545</v>
      </c>
      <c r="Y94" s="383">
        <f t="shared" si="34"/>
        <v>50.87</v>
      </c>
      <c r="Z94" s="383">
        <f t="shared" si="35"/>
        <v>50.932433243497968</v>
      </c>
      <c r="AA94" s="384">
        <f t="shared" si="36"/>
        <v>51.223495869732815</v>
      </c>
      <c r="AB94" s="197">
        <f t="shared" si="37"/>
        <v>43545</v>
      </c>
      <c r="AC94" s="424">
        <f t="shared" si="38"/>
        <v>5.6822093317304102E-3</v>
      </c>
      <c r="AD94" s="169">
        <f>(INDEX(Models!$BJ94:$BT94,,AH94)*(1-AF94)+INDEX(Models!$BJ94:$BT94,,AH94+1)*AF94-ERP_i)*AE94*Ramure*Pc/MaxiM</f>
        <v>2.2758432462446077E-6</v>
      </c>
      <c r="AE94" s="304">
        <f t="shared" si="39"/>
        <v>0.6</v>
      </c>
      <c r="AF94" s="177">
        <f t="shared" si="40"/>
        <v>0.51574484856661007</v>
      </c>
      <c r="AG94" s="799">
        <f t="shared" si="41"/>
        <v>-2</v>
      </c>
      <c r="AH94" s="176">
        <f t="shared" si="42"/>
        <v>4</v>
      </c>
      <c r="AI94" s="224">
        <f t="shared" si="43"/>
        <v>-1.4842551514333899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49.661999999999999</v>
      </c>
      <c r="C95" s="388"/>
      <c r="D95" s="391">
        <f t="shared" si="48"/>
        <v>49.723903600671377</v>
      </c>
      <c r="E95" s="383">
        <f t="shared" si="49"/>
        <v>50.012411665368589</v>
      </c>
      <c r="F95" s="383">
        <f t="shared" si="50"/>
        <v>50.01251953505664</v>
      </c>
      <c r="G95" s="110">
        <f t="shared" si="51"/>
        <v>0.95575042786737663</v>
      </c>
      <c r="I95" s="379">
        <f t="shared" si="24"/>
        <v>50.01251953505664</v>
      </c>
      <c r="J95" s="85">
        <v>2018</v>
      </c>
      <c r="K95" s="197">
        <f t="shared" si="25"/>
        <v>43546</v>
      </c>
      <c r="L95" s="435">
        <f t="shared" si="26"/>
        <v>1.2449465184496411E-3</v>
      </c>
      <c r="M95" s="842"/>
      <c r="N95" s="842"/>
      <c r="O95" s="323">
        <f t="shared" si="27"/>
        <v>5.7687293031899274E-3</v>
      </c>
      <c r="P95" s="169">
        <f>(INDEX(Models!$BJ95:$BT95,,T95)*(1-R95)+INDEX(Models!$BJ95:$BT95,,T95+1)*R95-ERP_i)*Q95*Ramure*Pc/MaxiM</f>
        <v>2.3023961692424367E-6</v>
      </c>
      <c r="Q95" s="304">
        <f t="shared" si="28"/>
        <v>0.6</v>
      </c>
      <c r="R95" s="177">
        <f t="shared" si="29"/>
        <v>0.51644564612778465</v>
      </c>
      <c r="S95" s="799">
        <f t="shared" si="47"/>
        <v>-2</v>
      </c>
      <c r="T95" s="176">
        <f t="shared" si="30"/>
        <v>4</v>
      </c>
      <c r="U95" s="250">
        <f t="shared" si="31"/>
        <v>-1.4835543538722153</v>
      </c>
      <c r="V95" s="382">
        <f t="shared" si="32"/>
        <v>51.961256122969601</v>
      </c>
      <c r="W95" s="58"/>
      <c r="X95" s="157">
        <f t="shared" si="33"/>
        <v>43546</v>
      </c>
      <c r="Y95" s="383">
        <f t="shared" si="34"/>
        <v>49.661999999999999</v>
      </c>
      <c r="Z95" s="383">
        <f t="shared" si="35"/>
        <v>49.723903600671377</v>
      </c>
      <c r="AA95" s="384">
        <f t="shared" si="36"/>
        <v>50.012411665368589</v>
      </c>
      <c r="AB95" s="197">
        <f t="shared" si="37"/>
        <v>43546</v>
      </c>
      <c r="AC95" s="424">
        <f t="shared" si="38"/>
        <v>5.7687293031899274E-3</v>
      </c>
      <c r="AD95" s="169">
        <f>(INDEX(Models!$BJ95:$BT95,,AH95)*(1-AF95)+INDEX(Models!$BJ95:$BT95,,AH95+1)*AF95-ERP_i)*AE95*Ramure*Pc/MaxiM</f>
        <v>2.3023961692424367E-6</v>
      </c>
      <c r="AE95" s="304">
        <f t="shared" si="39"/>
        <v>0.6</v>
      </c>
      <c r="AF95" s="177">
        <f t="shared" si="40"/>
        <v>0.51644564612778465</v>
      </c>
      <c r="AG95" s="799">
        <f t="shared" si="41"/>
        <v>-2</v>
      </c>
      <c r="AH95" s="176">
        <f t="shared" si="42"/>
        <v>4</v>
      </c>
      <c r="AI95" s="224">
        <f t="shared" si="43"/>
        <v>-1.4835543538722153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46.54</v>
      </c>
      <c r="C96" s="388"/>
      <c r="D96" s="391">
        <f t="shared" si="48"/>
        <v>46.598905090232101</v>
      </c>
      <c r="E96" s="383">
        <f t="shared" si="49"/>
        <v>46.873358674484244</v>
      </c>
      <c r="F96" s="383">
        <f t="shared" si="50"/>
        <v>46.873450587353432</v>
      </c>
      <c r="G96" s="110">
        <f t="shared" si="51"/>
        <v>0.88939402354310892</v>
      </c>
      <c r="I96" s="379">
        <f t="shared" si="24"/>
        <v>46.873450587353432</v>
      </c>
      <c r="J96" s="85">
        <v>2018</v>
      </c>
      <c r="K96" s="197">
        <f t="shared" si="25"/>
        <v>43547</v>
      </c>
      <c r="L96" s="435">
        <f t="shared" si="26"/>
        <v>1.2640874311968808E-3</v>
      </c>
      <c r="M96" s="842"/>
      <c r="N96" s="842"/>
      <c r="O96" s="323">
        <f t="shared" si="27"/>
        <v>5.855214817399871E-3</v>
      </c>
      <c r="P96" s="169">
        <f>(INDEX(Models!$BJ96:$BT96,,T96)*(1-R96)+INDEX(Models!$BJ96:$BT96,,T96+1)*R96-ERP_i)*Q96*Ramure*Pc/MaxiM</f>
        <v>2.3288497450990537E-6</v>
      </c>
      <c r="Q96" s="304">
        <f t="shared" si="28"/>
        <v>0.6</v>
      </c>
      <c r="R96" s="177">
        <f t="shared" si="29"/>
        <v>0.51717368583007928</v>
      </c>
      <c r="S96" s="799">
        <f t="shared" si="47"/>
        <v>-2</v>
      </c>
      <c r="T96" s="176">
        <f t="shared" si="30"/>
        <v>4</v>
      </c>
      <c r="U96" s="250">
        <f t="shared" si="31"/>
        <v>-1.4828263141699207</v>
      </c>
      <c r="V96" s="382">
        <f t="shared" si="32"/>
        <v>52.327744107062266</v>
      </c>
      <c r="W96" s="58"/>
      <c r="X96" s="157">
        <f t="shared" si="33"/>
        <v>43547</v>
      </c>
      <c r="Y96" s="383">
        <f t="shared" si="34"/>
        <v>46.54</v>
      </c>
      <c r="Z96" s="383">
        <f t="shared" si="35"/>
        <v>46.598905090232101</v>
      </c>
      <c r="AA96" s="384">
        <f t="shared" si="36"/>
        <v>46.873358674484244</v>
      </c>
      <c r="AB96" s="197">
        <f t="shared" si="37"/>
        <v>43547</v>
      </c>
      <c r="AC96" s="424">
        <f t="shared" si="38"/>
        <v>5.855214817399871E-3</v>
      </c>
      <c r="AD96" s="169">
        <f>(INDEX(Models!$BJ96:$BT96,,AH96)*(1-AF96)+INDEX(Models!$BJ96:$BT96,,AH96+1)*AF96-ERP_i)*AE96*Ramure*Pc/MaxiM</f>
        <v>2.3288497450990537E-6</v>
      </c>
      <c r="AE96" s="304">
        <f t="shared" si="39"/>
        <v>0.6</v>
      </c>
      <c r="AF96" s="177">
        <f t="shared" si="40"/>
        <v>0.51717368583007928</v>
      </c>
      <c r="AG96" s="799">
        <f t="shared" si="41"/>
        <v>-2</v>
      </c>
      <c r="AH96" s="176">
        <f t="shared" si="42"/>
        <v>4</v>
      </c>
      <c r="AI96" s="224">
        <f t="shared" si="43"/>
        <v>-1.4828263141699207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50.965000000000003</v>
      </c>
      <c r="C97" s="388"/>
      <c r="D97" s="391">
        <f t="shared" si="48"/>
        <v>51.030483744426462</v>
      </c>
      <c r="E97" s="383">
        <f t="shared" si="49"/>
        <v>51.335502343666214</v>
      </c>
      <c r="F97" s="383">
        <f t="shared" si="50"/>
        <v>51.335617588086507</v>
      </c>
      <c r="G97" s="110">
        <f t="shared" si="51"/>
        <v>0.96721163506250185</v>
      </c>
      <c r="I97" s="379">
        <f t="shared" si="24"/>
        <v>51.335617588086507</v>
      </c>
      <c r="J97" s="85">
        <v>2018</v>
      </c>
      <c r="K97" s="197">
        <f t="shared" si="25"/>
        <v>43548</v>
      </c>
      <c r="L97" s="435">
        <f t="shared" si="26"/>
        <v>1.2832279771129995E-3</v>
      </c>
      <c r="M97" s="842"/>
      <c r="N97" s="842"/>
      <c r="O97" s="323">
        <f t="shared" si="27"/>
        <v>5.9416697083784099E-3</v>
      </c>
      <c r="P97" s="169">
        <f>(INDEX(Models!$BJ97:$BT97,,T97)*(1-R97)+INDEX(Models!$BJ97:$BT97,,T97+1)*R97-ERP_i)*Q97*Ramure*Pc/MaxiM</f>
        <v>2.3552416675765766E-6</v>
      </c>
      <c r="Q97" s="304">
        <f t="shared" si="28"/>
        <v>0.6</v>
      </c>
      <c r="R97" s="177">
        <f t="shared" si="29"/>
        <v>0.51792993628263906</v>
      </c>
      <c r="S97" s="799">
        <f t="shared" si="47"/>
        <v>-2</v>
      </c>
      <c r="T97" s="176">
        <f t="shared" si="30"/>
        <v>4</v>
      </c>
      <c r="U97" s="250">
        <f t="shared" si="31"/>
        <v>-1.4820700637173609</v>
      </c>
      <c r="V97" s="382">
        <f t="shared" si="32"/>
        <v>52.692701917523344</v>
      </c>
      <c r="W97" s="58"/>
      <c r="X97" s="157">
        <f t="shared" si="33"/>
        <v>43548</v>
      </c>
      <c r="Y97" s="383">
        <f t="shared" si="34"/>
        <v>50.965000000000003</v>
      </c>
      <c r="Z97" s="383">
        <f t="shared" si="35"/>
        <v>51.030483744426462</v>
      </c>
      <c r="AA97" s="384">
        <f t="shared" si="36"/>
        <v>51.335502343666214</v>
      </c>
      <c r="AB97" s="197">
        <f t="shared" si="37"/>
        <v>43548</v>
      </c>
      <c r="AC97" s="424">
        <f t="shared" si="38"/>
        <v>5.9416697083784099E-3</v>
      </c>
      <c r="AD97" s="169">
        <f>(INDEX(Models!$BJ97:$BT97,,AH97)*(1-AF97)+INDEX(Models!$BJ97:$BT97,,AH97+1)*AF97-ERP_i)*AE97*Ramure*Pc/MaxiM</f>
        <v>2.3552416675765766E-6</v>
      </c>
      <c r="AE97" s="304">
        <f t="shared" si="39"/>
        <v>0.6</v>
      </c>
      <c r="AF97" s="177">
        <f t="shared" si="40"/>
        <v>0.51792993628263906</v>
      </c>
      <c r="AG97" s="799">
        <f t="shared" si="41"/>
        <v>-2</v>
      </c>
      <c r="AH97" s="176">
        <f t="shared" si="42"/>
        <v>4</v>
      </c>
      <c r="AI97" s="224">
        <f t="shared" si="43"/>
        <v>-1.4820700637173609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44.454000000000001</v>
      </c>
      <c r="C98" s="388"/>
      <c r="D98" s="391">
        <f t="shared" si="48"/>
        <v>44.511970973565887</v>
      </c>
      <c r="E98" s="383">
        <f t="shared" si="49"/>
        <v>44.781920778143949</v>
      </c>
      <c r="F98" s="383">
        <f t="shared" si="50"/>
        <v>44.782002730690941</v>
      </c>
      <c r="G98" s="110">
        <f t="shared" si="51"/>
        <v>0.83788067458202176</v>
      </c>
      <c r="I98" s="379">
        <f t="shared" si="24"/>
        <v>44.782002730690941</v>
      </c>
      <c r="J98" s="85">
        <v>2018</v>
      </c>
      <c r="K98" s="197">
        <f t="shared" si="25"/>
        <v>43549</v>
      </c>
      <c r="L98" s="435">
        <f t="shared" si="26"/>
        <v>1.3023681562048806E-3</v>
      </c>
      <c r="M98" s="842"/>
      <c r="N98" s="842"/>
      <c r="O98" s="323">
        <f t="shared" si="27"/>
        <v>6.0280979441554436E-3</v>
      </c>
      <c r="P98" s="169">
        <f>(INDEX(Models!$BJ98:$BT98,,T98)*(1-R98)+INDEX(Models!$BJ98:$BT98,,T98+1)*R98-ERP_i)*Q98*Ramure*Pc/MaxiM</f>
        <v>2.3816101328273688E-6</v>
      </c>
      <c r="Q98" s="304">
        <f t="shared" si="28"/>
        <v>0.6</v>
      </c>
      <c r="R98" s="177">
        <f t="shared" si="29"/>
        <v>0.51871539311788628</v>
      </c>
      <c r="S98" s="799">
        <f t="shared" si="47"/>
        <v>-2</v>
      </c>
      <c r="T98" s="176">
        <f t="shared" si="30"/>
        <v>4</v>
      </c>
      <c r="U98" s="250">
        <f t="shared" si="31"/>
        <v>-1.4812846068821137</v>
      </c>
      <c r="V98" s="382">
        <f t="shared" si="32"/>
        <v>53.055258139621571</v>
      </c>
      <c r="W98" s="58"/>
      <c r="X98" s="157">
        <f t="shared" si="33"/>
        <v>43549</v>
      </c>
      <c r="Y98" s="383">
        <f t="shared" si="34"/>
        <v>44.454000000000001</v>
      </c>
      <c r="Z98" s="383">
        <f t="shared" si="35"/>
        <v>44.511970973565887</v>
      </c>
      <c r="AA98" s="384">
        <f t="shared" si="36"/>
        <v>44.781920778143949</v>
      </c>
      <c r="AB98" s="197">
        <f t="shared" si="37"/>
        <v>43549</v>
      </c>
      <c r="AC98" s="424">
        <f t="shared" si="38"/>
        <v>6.0280979441554436E-3</v>
      </c>
      <c r="AD98" s="169">
        <f>(INDEX(Models!$BJ98:$BT98,,AH98)*(1-AF98)+INDEX(Models!$BJ98:$BT98,,AH98+1)*AF98-ERP_i)*AE98*Ramure*Pc/MaxiM</f>
        <v>2.3816101328273688E-6</v>
      </c>
      <c r="AE98" s="304">
        <f t="shared" si="39"/>
        <v>0.6</v>
      </c>
      <c r="AF98" s="177">
        <f t="shared" si="40"/>
        <v>0.51871539311788628</v>
      </c>
      <c r="AG98" s="799">
        <f t="shared" si="41"/>
        <v>-2</v>
      </c>
      <c r="AH98" s="176">
        <f t="shared" si="42"/>
        <v>4</v>
      </c>
      <c r="AI98" s="224">
        <f t="shared" si="43"/>
        <v>-1.4812846068821137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54.258000000000003</v>
      </c>
      <c r="C99" s="388"/>
      <c r="D99" s="391">
        <f t="shared" si="48"/>
        <v>54.32979726000498</v>
      </c>
      <c r="E99" s="383">
        <f t="shared" si="49"/>
        <v>54.664040734961162</v>
      </c>
      <c r="F99" s="383">
        <f t="shared" si="50"/>
        <v>54.664172365947202</v>
      </c>
      <c r="G99" s="110">
        <f t="shared" si="51"/>
        <v>1.0157907988534678</v>
      </c>
      <c r="I99" s="379">
        <f t="shared" si="24"/>
        <v>54.664172365947202</v>
      </c>
      <c r="J99" s="85">
        <v>2018</v>
      </c>
      <c r="K99" s="197">
        <f t="shared" si="25"/>
        <v>43550</v>
      </c>
      <c r="L99" s="435">
        <f t="shared" si="26"/>
        <v>1.3215079684796294E-3</v>
      </c>
      <c r="M99" s="842"/>
      <c r="N99" s="842"/>
      <c r="O99" s="323">
        <f t="shared" si="27"/>
        <v>6.1145036199713653E-3</v>
      </c>
      <c r="P99" s="169">
        <f>(INDEX(Models!$BJ99:$BT99,,T99)*(1-R99)+INDEX(Models!$BJ99:$BT99,,T99+1)*R99-ERP_i)*Q99*Ramure*Pc/MaxiM</f>
        <v>2.4079937616291797E-6</v>
      </c>
      <c r="Q99" s="304">
        <f t="shared" si="28"/>
        <v>0.6</v>
      </c>
      <c r="R99" s="177">
        <f t="shared" si="29"/>
        <v>0.51953107911928997</v>
      </c>
      <c r="S99" s="799">
        <f t="shared" si="47"/>
        <v>-2</v>
      </c>
      <c r="T99" s="176">
        <f t="shared" si="30"/>
        <v>4</v>
      </c>
      <c r="U99" s="250">
        <f t="shared" si="31"/>
        <v>-1.48046892088071</v>
      </c>
      <c r="V99" s="382">
        <f t="shared" si="32"/>
        <v>53.414541715913842</v>
      </c>
      <c r="W99" s="58"/>
      <c r="X99" s="157">
        <f t="shared" si="33"/>
        <v>43550</v>
      </c>
      <c r="Y99" s="383">
        <f t="shared" si="34"/>
        <v>54.258000000000003</v>
      </c>
      <c r="Z99" s="383">
        <f t="shared" si="35"/>
        <v>54.32979726000498</v>
      </c>
      <c r="AA99" s="384">
        <f t="shared" si="36"/>
        <v>54.664040734961162</v>
      </c>
      <c r="AB99" s="197">
        <f t="shared" si="37"/>
        <v>43550</v>
      </c>
      <c r="AC99" s="424">
        <f t="shared" si="38"/>
        <v>6.1145036199713653E-3</v>
      </c>
      <c r="AD99" s="169">
        <f>(INDEX(Models!$BJ99:$BT99,,AH99)*(1-AF99)+INDEX(Models!$BJ99:$BT99,,AH99+1)*AF99-ERP_i)*AE99*Ramure*Pc/MaxiM</f>
        <v>2.4079937616291797E-6</v>
      </c>
      <c r="AE99" s="304">
        <f t="shared" si="39"/>
        <v>0.6</v>
      </c>
      <c r="AF99" s="177">
        <f t="shared" si="40"/>
        <v>0.51953107911928997</v>
      </c>
      <c r="AG99" s="799">
        <f t="shared" si="41"/>
        <v>-2</v>
      </c>
      <c r="AH99" s="176">
        <f t="shared" si="42"/>
        <v>4</v>
      </c>
      <c r="AI99" s="224">
        <f t="shared" si="43"/>
        <v>-1.48046892088071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53.420999999999999</v>
      </c>
      <c r="C100" s="388"/>
      <c r="D100" s="391">
        <f t="shared" si="48"/>
        <v>53.492714869855128</v>
      </c>
      <c r="E100" s="383">
        <f t="shared" si="49"/>
        <v>53.826487046311691</v>
      </c>
      <c r="F100" s="383">
        <f t="shared" si="50"/>
        <v>53.82661692337178</v>
      </c>
      <c r="G100" s="110">
        <f t="shared" si="51"/>
        <v>0.99351524717267803</v>
      </c>
      <c r="I100" s="379">
        <f t="shared" si="24"/>
        <v>53.82661692337178</v>
      </c>
      <c r="J100" s="85">
        <v>2018</v>
      </c>
      <c r="K100" s="197">
        <f t="shared" si="25"/>
        <v>43551</v>
      </c>
      <c r="L100" s="435">
        <f t="shared" si="26"/>
        <v>1.3406474139442404E-3</v>
      </c>
      <c r="M100" s="842"/>
      <c r="N100" s="842"/>
      <c r="O100" s="323">
        <f t="shared" si="27"/>
        <v>6.2008909511294874E-3</v>
      </c>
      <c r="P100" s="169">
        <f>(INDEX(Models!$BJ100:$BT100,,T100)*(1-R100)+INDEX(Models!$BJ100:$BT100,,T100+1)*R100-ERP_i)*Q100*Ramure*Pc/MaxiM</f>
        <v>2.4354396767191224E-6</v>
      </c>
      <c r="Q100" s="304">
        <f t="shared" si="28"/>
        <v>0.6</v>
      </c>
      <c r="R100" s="177">
        <f t="shared" si="29"/>
        <v>0.52037804428725454</v>
      </c>
      <c r="S100" s="799">
        <f t="shared" si="47"/>
        <v>-2</v>
      </c>
      <c r="T100" s="176">
        <f t="shared" si="30"/>
        <v>4</v>
      </c>
      <c r="U100" s="250">
        <f t="shared" si="31"/>
        <v>-1.4796219557127455</v>
      </c>
      <c r="V100" s="382">
        <f t="shared" si="32"/>
        <v>53.769681891399514</v>
      </c>
      <c r="W100" s="58"/>
      <c r="X100" s="157">
        <f t="shared" si="33"/>
        <v>43551</v>
      </c>
      <c r="Y100" s="383">
        <f t="shared" si="34"/>
        <v>53.420999999999999</v>
      </c>
      <c r="Z100" s="383">
        <f t="shared" si="35"/>
        <v>53.492714869855128</v>
      </c>
      <c r="AA100" s="384">
        <f t="shared" si="36"/>
        <v>53.826487046311691</v>
      </c>
      <c r="AB100" s="197">
        <f t="shared" si="37"/>
        <v>43551</v>
      </c>
      <c r="AC100" s="424">
        <f t="shared" si="38"/>
        <v>6.2008909511294874E-3</v>
      </c>
      <c r="AD100" s="169">
        <f>(INDEX(Models!$BJ100:$BT100,,AH100)*(1-AF100)+INDEX(Models!$BJ100:$BT100,,AH100+1)*AF100-ERP_i)*AE100*Ramure*Pc/MaxiM</f>
        <v>2.4354396767191224E-6</v>
      </c>
      <c r="AE100" s="304">
        <f t="shared" si="39"/>
        <v>0.6</v>
      </c>
      <c r="AF100" s="177">
        <f t="shared" si="40"/>
        <v>0.52037804428725454</v>
      </c>
      <c r="AG100" s="799">
        <f t="shared" si="41"/>
        <v>-2</v>
      </c>
      <c r="AH100" s="176">
        <f t="shared" si="42"/>
        <v>4</v>
      </c>
      <c r="AI100" s="224">
        <f t="shared" si="43"/>
        <v>-1.4796219557127455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52.405000000000001</v>
      </c>
      <c r="C101" s="388"/>
      <c r="D101" s="391">
        <f t="shared" si="48"/>
        <v>52.476356640941518</v>
      </c>
      <c r="E101" s="383">
        <f t="shared" si="49"/>
        <v>52.808376861705639</v>
      </c>
      <c r="F101" s="383">
        <f t="shared" si="50"/>
        <v>52.80850109732495</v>
      </c>
      <c r="G101" s="110">
        <f t="shared" si="51"/>
        <v>0.96831448198304848</v>
      </c>
      <c r="I101" s="379">
        <f t="shared" si="24"/>
        <v>52.80850109732495</v>
      </c>
      <c r="J101" s="85">
        <v>2018</v>
      </c>
      <c r="K101" s="197">
        <f t="shared" si="25"/>
        <v>43552</v>
      </c>
      <c r="L101" s="435">
        <f t="shared" si="26"/>
        <v>1.359786492605819E-3</v>
      </c>
      <c r="M101" s="842"/>
      <c r="N101" s="842"/>
      <c r="O101" s="323">
        <f t="shared" si="27"/>
        <v>6.2872642655465698E-3</v>
      </c>
      <c r="P101" s="169">
        <f>(INDEX(Models!$BJ101:$BT101,,T101)*(1-R101)+INDEX(Models!$BJ101:$BT101,,T101+1)*R101-ERP_i)*Q101*Ramure*Pc/MaxiM</f>
        <v>2.4641059999089355E-6</v>
      </c>
      <c r="Q101" s="304">
        <f t="shared" si="28"/>
        <v>0.6</v>
      </c>
      <c r="R101" s="177">
        <f t="shared" si="29"/>
        <v>0.52125736583691884</v>
      </c>
      <c r="S101" s="799">
        <f t="shared" si="47"/>
        <v>-2</v>
      </c>
      <c r="T101" s="176">
        <f t="shared" si="30"/>
        <v>4</v>
      </c>
      <c r="U101" s="250">
        <f t="shared" si="31"/>
        <v>-1.4787426341630812</v>
      </c>
      <c r="V101" s="382">
        <f t="shared" si="32"/>
        <v>54.119808316348255</v>
      </c>
      <c r="W101" s="58"/>
      <c r="X101" s="157">
        <f t="shared" si="33"/>
        <v>43552</v>
      </c>
      <c r="Y101" s="383">
        <f t="shared" si="34"/>
        <v>52.405000000000001</v>
      </c>
      <c r="Z101" s="383">
        <f t="shared" si="35"/>
        <v>52.476356640941518</v>
      </c>
      <c r="AA101" s="384">
        <f t="shared" si="36"/>
        <v>52.808376861705639</v>
      </c>
      <c r="AB101" s="197">
        <f t="shared" si="37"/>
        <v>43552</v>
      </c>
      <c r="AC101" s="424">
        <f t="shared" si="38"/>
        <v>6.2872642655465698E-3</v>
      </c>
      <c r="AD101" s="169">
        <f>(INDEX(Models!$BJ101:$BT101,,AH101)*(1-AF101)+INDEX(Models!$BJ101:$BT101,,AH101+1)*AF101-ERP_i)*AE101*Ramure*Pc/MaxiM</f>
        <v>2.4641059999089355E-6</v>
      </c>
      <c r="AE101" s="304">
        <f t="shared" si="39"/>
        <v>0.6</v>
      </c>
      <c r="AF101" s="177">
        <f t="shared" si="40"/>
        <v>0.52125736583691884</v>
      </c>
      <c r="AG101" s="799">
        <f t="shared" si="41"/>
        <v>-2</v>
      </c>
      <c r="AH101" s="176">
        <f t="shared" si="42"/>
        <v>4</v>
      </c>
      <c r="AI101" s="224">
        <f t="shared" si="43"/>
        <v>-1.4787426341630812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52.863999999999997</v>
      </c>
      <c r="C102" s="388"/>
      <c r="D102" s="391">
        <f t="shared" si="48"/>
        <v>52.93699615825161</v>
      </c>
      <c r="E102" s="383">
        <f t="shared" si="49"/>
        <v>53.276561139865478</v>
      </c>
      <c r="F102" s="383">
        <f t="shared" si="50"/>
        <v>53.276688443249576</v>
      </c>
      <c r="G102" s="110">
        <f t="shared" si="51"/>
        <v>0.97062178631443585</v>
      </c>
      <c r="I102" s="379">
        <f t="shared" si="24"/>
        <v>53.276688443249576</v>
      </c>
      <c r="J102" s="85">
        <v>2018</v>
      </c>
      <c r="K102" s="197">
        <f t="shared" si="25"/>
        <v>43553</v>
      </c>
      <c r="L102" s="435">
        <f t="shared" si="26"/>
        <v>1.3789252044712486E-3</v>
      </c>
      <c r="M102" s="842"/>
      <c r="N102" s="842"/>
      <c r="O102" s="323">
        <f t="shared" si="27"/>
        <v>6.3736279960415467E-3</v>
      </c>
      <c r="P102" s="169">
        <f>(INDEX(Models!$BJ102:$BT102,,T102)*(1-R102)+INDEX(Models!$BJ102:$BT102,,T102+1)*R102-ERP_i)*Q102*Ramure*Pc/MaxiM</f>
        <v>2.4941527206426928E-6</v>
      </c>
      <c r="Q102" s="304">
        <f t="shared" si="28"/>
        <v>0.6</v>
      </c>
      <c r="R102" s="177">
        <f t="shared" si="29"/>
        <v>0.52217014812130524</v>
      </c>
      <c r="S102" s="799">
        <f t="shared" si="47"/>
        <v>-2</v>
      </c>
      <c r="T102" s="176">
        <f t="shared" si="30"/>
        <v>4</v>
      </c>
      <c r="U102" s="250">
        <f t="shared" si="31"/>
        <v>-1.4778298518786948</v>
      </c>
      <c r="V102" s="382">
        <f t="shared" si="32"/>
        <v>54.464050994675226</v>
      </c>
      <c r="W102" s="58"/>
      <c r="X102" s="157">
        <f t="shared" si="33"/>
        <v>43553</v>
      </c>
      <c r="Y102" s="383">
        <f t="shared" si="34"/>
        <v>52.863999999999997</v>
      </c>
      <c r="Z102" s="383">
        <f t="shared" si="35"/>
        <v>52.93699615825161</v>
      </c>
      <c r="AA102" s="384">
        <f t="shared" si="36"/>
        <v>53.276561139865478</v>
      </c>
      <c r="AB102" s="197">
        <f t="shared" si="37"/>
        <v>43553</v>
      </c>
      <c r="AC102" s="424">
        <f t="shared" si="38"/>
        <v>6.3736279960415467E-3</v>
      </c>
      <c r="AD102" s="169">
        <f>(INDEX(Models!$BJ102:$BT102,,AH102)*(1-AF102)+INDEX(Models!$BJ102:$BT102,,AH102+1)*AF102-ERP_i)*AE102*Ramure*Pc/MaxiM</f>
        <v>2.4941527206426928E-6</v>
      </c>
      <c r="AE102" s="304">
        <f t="shared" si="39"/>
        <v>0.6</v>
      </c>
      <c r="AF102" s="177">
        <f t="shared" si="40"/>
        <v>0.52217014812130524</v>
      </c>
      <c r="AG102" s="799">
        <f t="shared" si="41"/>
        <v>-2</v>
      </c>
      <c r="AH102" s="176">
        <f t="shared" si="42"/>
        <v>4</v>
      </c>
      <c r="AI102" s="224">
        <f t="shared" si="43"/>
        <v>-1.4778298518786948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53.802999999999997</v>
      </c>
      <c r="C103" s="388"/>
      <c r="D103" s="391">
        <f t="shared" si="48"/>
        <v>53.878325322744388</v>
      </c>
      <c r="E103" s="383">
        <f t="shared" si="49"/>
        <v>54.228641624903531</v>
      </c>
      <c r="F103" s="383">
        <f t="shared" si="50"/>
        <v>54.228775027955102</v>
      </c>
      <c r="G103" s="110">
        <f t="shared" si="51"/>
        <v>0.9817789094325583</v>
      </c>
      <c r="I103" s="379">
        <f t="shared" si="24"/>
        <v>54.228775027955102</v>
      </c>
      <c r="J103" s="85">
        <v>2018</v>
      </c>
      <c r="K103" s="197">
        <f t="shared" si="25"/>
        <v>43554</v>
      </c>
      <c r="L103" s="435">
        <f t="shared" si="26"/>
        <v>1.3980635495475235E-3</v>
      </c>
      <c r="M103" s="842"/>
      <c r="N103" s="842"/>
      <c r="O103" s="323">
        <f t="shared" si="27"/>
        <v>6.4599866723982959E-3</v>
      </c>
      <c r="P103" s="169">
        <f>(INDEX(Models!$BJ103:$BT103,,T103)*(1-R103)+INDEX(Models!$BJ103:$BT103,,T103+1)*R103-ERP_i)*Q103*Ramure*Pc/MaxiM</f>
        <v>2.5257502597839092E-6</v>
      </c>
      <c r="Q103" s="304">
        <f t="shared" si="28"/>
        <v>0.6</v>
      </c>
      <c r="R103" s="177">
        <f t="shared" si="29"/>
        <v>0.52311752247292342</v>
      </c>
      <c r="S103" s="799">
        <f t="shared" si="47"/>
        <v>-2</v>
      </c>
      <c r="T103" s="176">
        <f t="shared" si="30"/>
        <v>4</v>
      </c>
      <c r="U103" s="250">
        <f t="shared" si="31"/>
        <v>-1.4768824775270766</v>
      </c>
      <c r="V103" s="382">
        <f t="shared" si="32"/>
        <v>54.80154029158119</v>
      </c>
      <c r="W103" s="58"/>
      <c r="X103" s="157">
        <f t="shared" si="33"/>
        <v>43554</v>
      </c>
      <c r="Y103" s="383">
        <f t="shared" si="34"/>
        <v>53.802999999999997</v>
      </c>
      <c r="Z103" s="383">
        <f t="shared" si="35"/>
        <v>53.878325322744388</v>
      </c>
      <c r="AA103" s="384">
        <f t="shared" si="36"/>
        <v>54.228641624903531</v>
      </c>
      <c r="AB103" s="197">
        <f t="shared" si="37"/>
        <v>43554</v>
      </c>
      <c r="AC103" s="424">
        <f t="shared" si="38"/>
        <v>6.4599866723982959E-3</v>
      </c>
      <c r="AD103" s="169">
        <f>(INDEX(Models!$BJ103:$BT103,,AH103)*(1-AF103)+INDEX(Models!$BJ103:$BT103,,AH103+1)*AF103-ERP_i)*AE103*Ramure*Pc/MaxiM</f>
        <v>2.5257502597839092E-6</v>
      </c>
      <c r="AE103" s="304">
        <f t="shared" si="39"/>
        <v>0.6</v>
      </c>
      <c r="AF103" s="177">
        <f t="shared" si="40"/>
        <v>0.52311752247292342</v>
      </c>
      <c r="AG103" s="799">
        <f t="shared" si="41"/>
        <v>-2</v>
      </c>
      <c r="AH103" s="176">
        <f t="shared" si="42"/>
        <v>4</v>
      </c>
      <c r="AI103" s="224">
        <f t="shared" si="43"/>
        <v>-1.4768824775270766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45.543999999999997</v>
      </c>
      <c r="C104" s="388"/>
      <c r="D104" s="391">
        <f t="shared" si="48"/>
        <v>45.60863662951413</v>
      </c>
      <c r="E104" s="383">
        <f t="shared" si="49"/>
        <v>45.909173916654126</v>
      </c>
      <c r="F104" s="383">
        <f t="shared" si="50"/>
        <v>45.909262215228203</v>
      </c>
      <c r="G104" s="110">
        <f t="shared" si="51"/>
        <v>0.82609847244485823</v>
      </c>
      <c r="I104" s="379">
        <f t="shared" si="24"/>
        <v>45.909262215228203</v>
      </c>
      <c r="J104" s="85">
        <v>2018</v>
      </c>
      <c r="K104" s="197">
        <f t="shared" si="25"/>
        <v>43555</v>
      </c>
      <c r="L104" s="435">
        <f t="shared" si="26"/>
        <v>1.4172015278419714E-3</v>
      </c>
      <c r="M104" s="842"/>
      <c r="N104" s="842"/>
      <c r="O104" s="323">
        <f t="shared" si="27"/>
        <v>6.5463449132325893E-3</v>
      </c>
      <c r="P104" s="169">
        <f>(INDEX(Models!$BJ104:$BT104,,T104)*(1-R104)+INDEX(Models!$BJ104:$BT104,,T104+1)*R104-ERP_i)*Q104*Ramure*Pc/MaxiM</f>
        <v>2.5590804699395531E-6</v>
      </c>
      <c r="Q104" s="304">
        <f t="shared" si="28"/>
        <v>0.6</v>
      </c>
      <c r="R104" s="177">
        <f t="shared" si="29"/>
        <v>0.52410064695658787</v>
      </c>
      <c r="S104" s="799">
        <f t="shared" si="47"/>
        <v>-2</v>
      </c>
      <c r="T104" s="176">
        <f t="shared" si="30"/>
        <v>4</v>
      </c>
      <c r="U104" s="250">
        <f t="shared" si="31"/>
        <v>-1.4758993530434121</v>
      </c>
      <c r="V104" s="382">
        <f t="shared" si="32"/>
        <v>55.131406925919975</v>
      </c>
      <c r="W104" s="58"/>
      <c r="X104" s="157">
        <f t="shared" si="33"/>
        <v>43555</v>
      </c>
      <c r="Y104" s="383">
        <f t="shared" si="34"/>
        <v>45.543999999999997</v>
      </c>
      <c r="Z104" s="383">
        <f t="shared" si="35"/>
        <v>45.60863662951413</v>
      </c>
      <c r="AA104" s="384">
        <f t="shared" si="36"/>
        <v>45.909173916654126</v>
      </c>
      <c r="AB104" s="197">
        <f t="shared" si="37"/>
        <v>43555</v>
      </c>
      <c r="AC104" s="424">
        <f t="shared" si="38"/>
        <v>6.5463449132325893E-3</v>
      </c>
      <c r="AD104" s="169">
        <f>(INDEX(Models!$BJ104:$BT104,,AH104)*(1-AF104)+INDEX(Models!$BJ104:$BT104,,AH104+1)*AF104-ERP_i)*AE104*Ramure*Pc/MaxiM</f>
        <v>2.5590804699395531E-6</v>
      </c>
      <c r="AE104" s="304">
        <f t="shared" si="39"/>
        <v>0.6</v>
      </c>
      <c r="AF104" s="177">
        <f t="shared" si="40"/>
        <v>0.52410064695658787</v>
      </c>
      <c r="AG104" s="799">
        <f t="shared" si="41"/>
        <v>-2</v>
      </c>
      <c r="AH104" s="176">
        <f t="shared" si="42"/>
        <v>4</v>
      </c>
      <c r="AI104" s="224">
        <f t="shared" si="43"/>
        <v>-1.4758993530434121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39.637999999999998</v>
      </c>
      <c r="C105" s="388"/>
      <c r="D105" s="391">
        <f t="shared" si="48"/>
        <v>39.695015504406534</v>
      </c>
      <c r="E105" s="383">
        <f t="shared" si="49"/>
        <v>39.960058883373527</v>
      </c>
      <c r="F105" s="383">
        <f t="shared" si="50"/>
        <v>39.960120316220873</v>
      </c>
      <c r="G105" s="110">
        <f t="shared" si="51"/>
        <v>0.7148055821498458</v>
      </c>
      <c r="I105" s="379">
        <f t="shared" si="24"/>
        <v>39.960120316220873</v>
      </c>
      <c r="J105" s="85">
        <v>2018</v>
      </c>
      <c r="K105" s="197">
        <f t="shared" si="25"/>
        <v>43556</v>
      </c>
      <c r="L105" s="435">
        <f t="shared" si="26"/>
        <v>1.4363391393613645E-3</v>
      </c>
      <c r="M105" s="842"/>
      <c r="N105" s="842"/>
      <c r="O105" s="323">
        <f t="shared" si="27"/>
        <v>6.6327074176877419E-3</v>
      </c>
      <c r="P105" s="169">
        <f>(INDEX(Models!$BJ105:$BT105,,T105)*(1-R105)+INDEX(Models!$BJ105:$BT105,,T105+1)*R105-ERP_i)*Q105*Ramure*Pc/MaxiM</f>
        <v>2.5943377463979261E-6</v>
      </c>
      <c r="Q105" s="304">
        <f t="shared" si="28"/>
        <v>0.6</v>
      </c>
      <c r="R105" s="177">
        <f t="shared" si="29"/>
        <v>0.52512070602587313</v>
      </c>
      <c r="S105" s="799">
        <f t="shared" si="47"/>
        <v>-2</v>
      </c>
      <c r="T105" s="176">
        <f t="shared" si="30"/>
        <v>4</v>
      </c>
      <c r="U105" s="250">
        <f t="shared" si="31"/>
        <v>-1.4748792939741269</v>
      </c>
      <c r="V105" s="382">
        <f t="shared" si="32"/>
        <v>55.452781977437112</v>
      </c>
      <c r="W105" s="58"/>
      <c r="X105" s="157">
        <f t="shared" si="33"/>
        <v>43556</v>
      </c>
      <c r="Y105" s="383">
        <f t="shared" si="34"/>
        <v>39.637999999999998</v>
      </c>
      <c r="Z105" s="383">
        <f t="shared" si="35"/>
        <v>39.695015504406534</v>
      </c>
      <c r="AA105" s="384">
        <f t="shared" si="36"/>
        <v>39.960058883373527</v>
      </c>
      <c r="AB105" s="197">
        <f t="shared" si="37"/>
        <v>43556</v>
      </c>
      <c r="AC105" s="424">
        <f t="shared" si="38"/>
        <v>6.6327074176877419E-3</v>
      </c>
      <c r="AD105" s="169">
        <f>(INDEX(Models!$BJ105:$BT105,,AH105)*(1-AF105)+INDEX(Models!$BJ105:$BT105,,AH105+1)*AF105-ERP_i)*AE105*Ramure*Pc/MaxiM</f>
        <v>2.5943377463979261E-6</v>
      </c>
      <c r="AE105" s="304">
        <f t="shared" si="39"/>
        <v>0.6</v>
      </c>
      <c r="AF105" s="177">
        <f t="shared" si="40"/>
        <v>0.52512070602587313</v>
      </c>
      <c r="AG105" s="799">
        <f t="shared" si="41"/>
        <v>-2</v>
      </c>
      <c r="AH105" s="176">
        <f t="shared" si="42"/>
        <v>4</v>
      </c>
      <c r="AI105" s="224">
        <f t="shared" si="43"/>
        <v>-1.4748792939741269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16.885000000000002</v>
      </c>
      <c r="C106" s="388"/>
      <c r="D106" s="391">
        <f t="shared" si="48"/>
        <v>16.90961154026137</v>
      </c>
      <c r="E106" s="383">
        <f t="shared" si="49"/>
        <v>17.023997121081266</v>
      </c>
      <c r="F106" s="383">
        <f t="shared" si="50"/>
        <v>17.023997299625282</v>
      </c>
      <c r="G106" s="110">
        <f t="shared" si="51"/>
        <v>0.3027887965915288</v>
      </c>
      <c r="I106" s="379">
        <f t="shared" si="24"/>
        <v>17.023997299625282</v>
      </c>
      <c r="J106" s="85">
        <v>2018</v>
      </c>
      <c r="K106" s="197">
        <f t="shared" si="25"/>
        <v>43557</v>
      </c>
      <c r="L106" s="435">
        <f t="shared" si="26"/>
        <v>1.4554763841126972E-3</v>
      </c>
      <c r="M106" s="842"/>
      <c r="N106" s="842"/>
      <c r="O106" s="323">
        <f t="shared" si="27"/>
        <v>6.7190789569771285E-3</v>
      </c>
      <c r="P106" s="169">
        <f>(INDEX(Models!$BJ106:$BT106,,T106)*(1-R106)+INDEX(Models!$BJ106:$BT106,,T106+1)*R106-ERP_i)*Q106*Ramure*Pc/MaxiM</f>
        <v>2.6317302593424769E-6</v>
      </c>
      <c r="Q106" s="304">
        <f t="shared" si="28"/>
        <v>0.6</v>
      </c>
      <c r="R106" s="177">
        <f t="shared" si="29"/>
        <v>0.52617891007531248</v>
      </c>
      <c r="S106" s="799">
        <f t="shared" si="47"/>
        <v>-2</v>
      </c>
      <c r="T106" s="176">
        <f t="shared" si="30"/>
        <v>4</v>
      </c>
      <c r="U106" s="250">
        <f t="shared" si="31"/>
        <v>-1.4738210899246875</v>
      </c>
      <c r="V106" s="382">
        <f t="shared" si="32"/>
        <v>55.764796882820804</v>
      </c>
      <c r="W106" s="58"/>
      <c r="X106" s="157">
        <f t="shared" si="33"/>
        <v>43557</v>
      </c>
      <c r="Y106" s="383">
        <f t="shared" si="34"/>
        <v>16.885000000000002</v>
      </c>
      <c r="Z106" s="383">
        <f t="shared" si="35"/>
        <v>16.90961154026137</v>
      </c>
      <c r="AA106" s="384">
        <f t="shared" si="36"/>
        <v>17.023997121081266</v>
      </c>
      <c r="AB106" s="197">
        <f t="shared" si="37"/>
        <v>43557</v>
      </c>
      <c r="AC106" s="424">
        <f t="shared" si="38"/>
        <v>6.7190789569771285E-3</v>
      </c>
      <c r="AD106" s="169">
        <f>(INDEX(Models!$BJ106:$BT106,,AH106)*(1-AF106)+INDEX(Models!$BJ106:$BT106,,AH106+1)*AF106-ERP_i)*AE106*Ramure*Pc/MaxiM</f>
        <v>2.6317302593424769E-6</v>
      </c>
      <c r="AE106" s="304">
        <f t="shared" si="39"/>
        <v>0.6</v>
      </c>
      <c r="AF106" s="177">
        <f t="shared" si="40"/>
        <v>0.52617891007531248</v>
      </c>
      <c r="AG106" s="799">
        <f t="shared" si="41"/>
        <v>-2</v>
      </c>
      <c r="AH106" s="176">
        <f t="shared" si="42"/>
        <v>4</v>
      </c>
      <c r="AI106" s="224">
        <f t="shared" si="43"/>
        <v>-1.4738210899246875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15.369</v>
      </c>
      <c r="C107" s="388"/>
      <c r="D107" s="391">
        <f t="shared" si="48"/>
        <v>15.391696800227887</v>
      </c>
      <c r="E107" s="383">
        <f t="shared" si="49"/>
        <v>15.497162185250405</v>
      </c>
      <c r="F107" s="383">
        <f t="shared" si="50"/>
        <v>15.497162185250405</v>
      </c>
      <c r="G107" s="110">
        <f t="shared" si="51"/>
        <v>0.27410797247267282</v>
      </c>
      <c r="I107" s="379">
        <f t="shared" si="24"/>
        <v>15.497162185250405</v>
      </c>
      <c r="J107" s="85">
        <v>2018</v>
      </c>
      <c r="K107" s="197">
        <f t="shared" si="25"/>
        <v>43558</v>
      </c>
      <c r="L107" s="435">
        <f t="shared" si="26"/>
        <v>1.474613262103186E-3</v>
      </c>
      <c r="M107" s="842"/>
      <c r="N107" s="842"/>
      <c r="O107" s="323">
        <f t="shared" si="27"/>
        <v>6.8054643657853376E-3</v>
      </c>
      <c r="P107" s="169">
        <f>(INDEX(Models!$BJ107:$BT107,,T107)*(1-R107)+INDEX(Models!$BJ107:$BT107,,T107+1)*R107-ERP_i)*Q107*Ramure*Pc/MaxiM</f>
        <v>2.6713663447560987E-6</v>
      </c>
      <c r="Q107" s="304">
        <f t="shared" si="28"/>
        <v>0.6</v>
      </c>
      <c r="R107" s="177">
        <f t="shared" si="29"/>
        <v>0.52727649488012585</v>
      </c>
      <c r="S107" s="799">
        <f t="shared" si="47"/>
        <v>-2</v>
      </c>
      <c r="T107" s="176">
        <f t="shared" si="30"/>
        <v>4</v>
      </c>
      <c r="U107" s="250">
        <f t="shared" si="31"/>
        <v>-1.4727235051198742</v>
      </c>
      <c r="V107" s="382">
        <f t="shared" si="32"/>
        <v>56.06899648022042</v>
      </c>
      <c r="W107" s="58"/>
      <c r="X107" s="157">
        <f t="shared" si="33"/>
        <v>43558</v>
      </c>
      <c r="Y107" s="383">
        <f t="shared" si="34"/>
        <v>15.369</v>
      </c>
      <c r="Z107" s="383">
        <f t="shared" si="35"/>
        <v>15.391696800227887</v>
      </c>
      <c r="AA107" s="384">
        <f t="shared" si="36"/>
        <v>15.497162185250405</v>
      </c>
      <c r="AB107" s="197">
        <f t="shared" si="37"/>
        <v>43558</v>
      </c>
      <c r="AC107" s="424">
        <f t="shared" si="38"/>
        <v>6.8054643657853376E-3</v>
      </c>
      <c r="AD107" s="169">
        <f>(INDEX(Models!$BJ107:$BT107,,AH107)*(1-AF107)+INDEX(Models!$BJ107:$BT107,,AH107+1)*AF107-ERP_i)*AE107*Ramure*Pc/MaxiM</f>
        <v>2.6713663447560987E-6</v>
      </c>
      <c r="AE107" s="304">
        <f t="shared" si="39"/>
        <v>0.6</v>
      </c>
      <c r="AF107" s="177">
        <f t="shared" si="40"/>
        <v>0.52727649488012585</v>
      </c>
      <c r="AG107" s="799">
        <f t="shared" si="41"/>
        <v>-2</v>
      </c>
      <c r="AH107" s="176">
        <f t="shared" si="42"/>
        <v>4</v>
      </c>
      <c r="AI107" s="224">
        <f t="shared" si="43"/>
        <v>-1.4727235051198742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40.959000000000003</v>
      </c>
      <c r="C108" s="388"/>
      <c r="D108" s="391">
        <f t="shared" si="48"/>
        <v>41.020274025027227</v>
      </c>
      <c r="E108" s="383">
        <f t="shared" si="49"/>
        <v>41.30494225684658</v>
      </c>
      <c r="F108" s="383">
        <f t="shared" si="50"/>
        <v>41.305010556880433</v>
      </c>
      <c r="G108" s="110">
        <f t="shared" si="51"/>
        <v>0.72664222028680781</v>
      </c>
      <c r="I108" s="379">
        <f t="shared" si="24"/>
        <v>41.305010556880433</v>
      </c>
      <c r="J108" s="85">
        <v>2018</v>
      </c>
      <c r="K108" s="197">
        <f t="shared" si="25"/>
        <v>43559</v>
      </c>
      <c r="L108" s="435">
        <f t="shared" si="26"/>
        <v>1.4937497733398253E-3</v>
      </c>
      <c r="M108" s="842"/>
      <c r="N108" s="842"/>
      <c r="O108" s="323">
        <f t="shared" si="27"/>
        <v>6.8918685335328756E-3</v>
      </c>
      <c r="P108" s="169">
        <f>(INDEX(Models!$BJ108:$BT108,,T108)*(1-R108)+INDEX(Models!$BJ108:$BT108,,T108+1)*R108-ERP_i)*Q108*Ramure*Pc/MaxiM</f>
        <v>2.7130113272485718E-6</v>
      </c>
      <c r="Q108" s="304">
        <f t="shared" si="28"/>
        <v>0.6</v>
      </c>
      <c r="R108" s="177">
        <f t="shared" si="29"/>
        <v>0.52841472091497854</v>
      </c>
      <c r="S108" s="799">
        <f t="shared" si="47"/>
        <v>-2</v>
      </c>
      <c r="T108" s="176">
        <f t="shared" si="30"/>
        <v>4</v>
      </c>
      <c r="U108" s="250">
        <f t="shared" si="31"/>
        <v>-1.4715852790850215</v>
      </c>
      <c r="V108" s="382">
        <f t="shared" si="32"/>
        <v>56.367432915496785</v>
      </c>
      <c r="W108" s="58"/>
      <c r="X108" s="157">
        <f t="shared" si="33"/>
        <v>43559</v>
      </c>
      <c r="Y108" s="383">
        <f t="shared" si="34"/>
        <v>40.959000000000003</v>
      </c>
      <c r="Z108" s="383">
        <f t="shared" si="35"/>
        <v>41.020274025027227</v>
      </c>
      <c r="AA108" s="384">
        <f t="shared" si="36"/>
        <v>41.30494225684658</v>
      </c>
      <c r="AB108" s="197">
        <f t="shared" si="37"/>
        <v>43559</v>
      </c>
      <c r="AC108" s="424">
        <f t="shared" si="38"/>
        <v>6.8918685335328756E-3</v>
      </c>
      <c r="AD108" s="169">
        <f>(INDEX(Models!$BJ108:$BT108,,AH108)*(1-AF108)+INDEX(Models!$BJ108:$BT108,,AH108+1)*AF108-ERP_i)*AE108*Ramure*Pc/MaxiM</f>
        <v>2.7130113272485718E-6</v>
      </c>
      <c r="AE108" s="304">
        <f t="shared" si="39"/>
        <v>0.6</v>
      </c>
      <c r="AF108" s="177">
        <f t="shared" si="40"/>
        <v>0.52841472091497854</v>
      </c>
      <c r="AG108" s="799">
        <f t="shared" si="41"/>
        <v>-2</v>
      </c>
      <c r="AH108" s="176">
        <f t="shared" si="42"/>
        <v>4</v>
      </c>
      <c r="AI108" s="224">
        <f t="shared" si="43"/>
        <v>-1.4715852790850215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51.905000000000001</v>
      </c>
      <c r="C109" s="388"/>
      <c r="D109" s="391">
        <f t="shared" si="48"/>
        <v>51.983645324969594</v>
      </c>
      <c r="E109" s="383">
        <f t="shared" si="49"/>
        <v>52.348951826810989</v>
      </c>
      <c r="F109" s="383">
        <f t="shared" si="50"/>
        <v>52.349078782661046</v>
      </c>
      <c r="G109" s="110">
        <f t="shared" si="51"/>
        <v>0.91607807674078257</v>
      </c>
      <c r="I109" s="379">
        <f t="shared" si="24"/>
        <v>52.349078782661046</v>
      </c>
      <c r="J109" s="85">
        <v>2018</v>
      </c>
      <c r="K109" s="197">
        <f t="shared" si="25"/>
        <v>43560</v>
      </c>
      <c r="L109" s="435">
        <f t="shared" si="26"/>
        <v>1.5128859178294984E-3</v>
      </c>
      <c r="M109" s="842"/>
      <c r="N109" s="842"/>
      <c r="O109" s="323">
        <f t="shared" si="27"/>
        <v>6.9782963955029795E-3</v>
      </c>
      <c r="P109" s="169">
        <f>(INDEX(Models!$BJ109:$BT109,,T109)*(1-R109)+INDEX(Models!$BJ109:$BT109,,T109+1)*R109-ERP_i)*Q109*Ramure*Pc/MaxiM</f>
        <v>2.755533823408912E-6</v>
      </c>
      <c r="Q109" s="304">
        <f t="shared" si="28"/>
        <v>0.6</v>
      </c>
      <c r="R109" s="177">
        <f t="shared" si="29"/>
        <v>0.52959487254299731</v>
      </c>
      <c r="S109" s="799">
        <f t="shared" si="47"/>
        <v>-2</v>
      </c>
      <c r="T109" s="176">
        <f t="shared" si="30"/>
        <v>4</v>
      </c>
      <c r="U109" s="250">
        <f t="shared" si="31"/>
        <v>-1.4704051274570027</v>
      </c>
      <c r="V109" s="382">
        <f t="shared" si="32"/>
        <v>56.65999893537721</v>
      </c>
      <c r="W109" s="58"/>
      <c r="X109" s="157">
        <f t="shared" si="33"/>
        <v>43560</v>
      </c>
      <c r="Y109" s="383">
        <f t="shared" si="34"/>
        <v>51.905000000000001</v>
      </c>
      <c r="Z109" s="383">
        <f t="shared" si="35"/>
        <v>51.983645324969594</v>
      </c>
      <c r="AA109" s="384">
        <f t="shared" si="36"/>
        <v>52.348951826810989</v>
      </c>
      <c r="AB109" s="197">
        <f t="shared" si="37"/>
        <v>43560</v>
      </c>
      <c r="AC109" s="424">
        <f t="shared" si="38"/>
        <v>6.9782963955029795E-3</v>
      </c>
      <c r="AD109" s="169">
        <f>(INDEX(Models!$BJ109:$BT109,,AH109)*(1-AF109)+INDEX(Models!$BJ109:$BT109,,AH109+1)*AF109-ERP_i)*AE109*Ramure*Pc/MaxiM</f>
        <v>2.755533823408912E-6</v>
      </c>
      <c r="AE109" s="304">
        <f t="shared" si="39"/>
        <v>0.6</v>
      </c>
      <c r="AF109" s="177">
        <f t="shared" si="40"/>
        <v>0.52959487254299731</v>
      </c>
      <c r="AG109" s="799">
        <f t="shared" si="41"/>
        <v>-2</v>
      </c>
      <c r="AH109" s="176">
        <f t="shared" si="42"/>
        <v>4</v>
      </c>
      <c r="AI109" s="224">
        <f t="shared" si="43"/>
        <v>-1.4704051274570027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20.521000000000001</v>
      </c>
      <c r="C110" s="388"/>
      <c r="D110" s="391">
        <f t="shared" si="48"/>
        <v>20.552486855761138</v>
      </c>
      <c r="E110" s="383">
        <f t="shared" si="49"/>
        <v>20.698718185582106</v>
      </c>
      <c r="F110" s="383">
        <f t="shared" si="50"/>
        <v>20.698723180849782</v>
      </c>
      <c r="G110" s="110">
        <f t="shared" si="51"/>
        <v>0.36035429868764596</v>
      </c>
      <c r="I110" s="379">
        <f t="shared" si="24"/>
        <v>20.698723180849782</v>
      </c>
      <c r="J110" s="85">
        <v>2018</v>
      </c>
      <c r="K110" s="197">
        <f t="shared" si="25"/>
        <v>43561</v>
      </c>
      <c r="L110" s="435">
        <f t="shared" si="26"/>
        <v>1.5320216955794219E-3</v>
      </c>
      <c r="M110" s="842"/>
      <c r="N110" s="842"/>
      <c r="O110" s="323">
        <f t="shared" si="27"/>
        <v>7.064752923822375E-3</v>
      </c>
      <c r="P110" s="169">
        <f>(INDEX(Models!$BJ110:$BT110,,T110)*(1-R110)+INDEX(Models!$BJ110:$BT110,,T110+1)*R110-ERP_i)*Q110*Ramure*Pc/MaxiM</f>
        <v>2.7989710680464524E-6</v>
      </c>
      <c r="Q110" s="304">
        <f t="shared" si="28"/>
        <v>0.6</v>
      </c>
      <c r="R110" s="177">
        <f t="shared" si="29"/>
        <v>0.53081825706603758</v>
      </c>
      <c r="S110" s="799">
        <f t="shared" si="47"/>
        <v>-2</v>
      </c>
      <c r="T110" s="176">
        <f t="shared" si="30"/>
        <v>4</v>
      </c>
      <c r="U110" s="250">
        <f t="shared" si="31"/>
        <v>-1.4691817429339624</v>
      </c>
      <c r="V110" s="382">
        <f t="shared" si="32"/>
        <v>56.946587259853679</v>
      </c>
      <c r="W110" s="58"/>
      <c r="X110" s="157">
        <f t="shared" si="33"/>
        <v>43561</v>
      </c>
      <c r="Y110" s="383">
        <f t="shared" si="34"/>
        <v>20.521000000000001</v>
      </c>
      <c r="Z110" s="383">
        <f t="shared" si="35"/>
        <v>20.552486855761138</v>
      </c>
      <c r="AA110" s="384">
        <f t="shared" si="36"/>
        <v>20.698718185582106</v>
      </c>
      <c r="AB110" s="197">
        <f t="shared" si="37"/>
        <v>43561</v>
      </c>
      <c r="AC110" s="424">
        <f t="shared" si="38"/>
        <v>7.064752923822375E-3</v>
      </c>
      <c r="AD110" s="169">
        <f>(INDEX(Models!$BJ110:$BT110,,AH110)*(1-AF110)+INDEX(Models!$BJ110:$BT110,,AH110+1)*AF110-ERP_i)*AE110*Ramure*Pc/MaxiM</f>
        <v>2.7989710680464524E-6</v>
      </c>
      <c r="AE110" s="304">
        <f t="shared" si="39"/>
        <v>0.6</v>
      </c>
      <c r="AF110" s="177">
        <f t="shared" si="40"/>
        <v>0.53081825706603758</v>
      </c>
      <c r="AG110" s="799">
        <f t="shared" si="41"/>
        <v>-2</v>
      </c>
      <c r="AH110" s="176">
        <f t="shared" si="42"/>
        <v>4</v>
      </c>
      <c r="AI110" s="224">
        <f t="shared" si="43"/>
        <v>-1.4691817429339624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32.926000000000002</v>
      </c>
      <c r="C111" s="388"/>
      <c r="D111" s="391">
        <f t="shared" si="48"/>
        <v>32.977152744835472</v>
      </c>
      <c r="E111" s="383">
        <f t="shared" si="49"/>
        <v>33.21467898938424</v>
      </c>
      <c r="F111" s="383">
        <f t="shared" si="50"/>
        <v>33.214716139528342</v>
      </c>
      <c r="G111" s="110">
        <f t="shared" si="51"/>
        <v>0.57535588186074604</v>
      </c>
      <c r="I111" s="379">
        <f t="shared" si="24"/>
        <v>33.214716139528342</v>
      </c>
      <c r="J111" s="85">
        <v>2018</v>
      </c>
      <c r="K111" s="197">
        <f t="shared" si="25"/>
        <v>43562</v>
      </c>
      <c r="L111" s="435">
        <f t="shared" si="26"/>
        <v>1.5511571065964791E-3</v>
      </c>
      <c r="M111" s="842"/>
      <c r="N111" s="842"/>
      <c r="O111" s="323">
        <f t="shared" si="27"/>
        <v>7.1512431182816708E-3</v>
      </c>
      <c r="P111" s="169">
        <f>(INDEX(Models!$BJ111:$BT111,,T111)*(1-R111)+INDEX(Models!$BJ111:$BT111,,T111+1)*R111-ERP_i)*Q111*Ramure*Pc/MaxiM</f>
        <v>2.8433614720488761E-6</v>
      </c>
      <c r="Q111" s="304">
        <f t="shared" si="28"/>
        <v>0.6</v>
      </c>
      <c r="R111" s="177">
        <f t="shared" si="29"/>
        <v>0.53208620362698666</v>
      </c>
      <c r="S111" s="799">
        <f t="shared" si="47"/>
        <v>-2</v>
      </c>
      <c r="T111" s="176">
        <f t="shared" si="30"/>
        <v>4</v>
      </c>
      <c r="U111" s="250">
        <f t="shared" si="31"/>
        <v>-1.4679137963730133</v>
      </c>
      <c r="V111" s="382">
        <f t="shared" si="32"/>
        <v>57.2270906489235</v>
      </c>
      <c r="W111" s="58"/>
      <c r="X111" s="157">
        <f t="shared" si="33"/>
        <v>43562</v>
      </c>
      <c r="Y111" s="383">
        <f t="shared" si="34"/>
        <v>32.926000000000002</v>
      </c>
      <c r="Z111" s="383">
        <f t="shared" si="35"/>
        <v>32.977152744835472</v>
      </c>
      <c r="AA111" s="384">
        <f t="shared" si="36"/>
        <v>33.21467898938424</v>
      </c>
      <c r="AB111" s="197">
        <f t="shared" si="37"/>
        <v>43562</v>
      </c>
      <c r="AC111" s="424">
        <f t="shared" si="38"/>
        <v>7.1512431182816708E-3</v>
      </c>
      <c r="AD111" s="169">
        <f>(INDEX(Models!$BJ111:$BT111,,AH111)*(1-AF111)+INDEX(Models!$BJ111:$BT111,,AH111+1)*AF111-ERP_i)*AE111*Ramure*Pc/MaxiM</f>
        <v>2.8433614720488761E-6</v>
      </c>
      <c r="AE111" s="304">
        <f t="shared" si="39"/>
        <v>0.6</v>
      </c>
      <c r="AF111" s="177">
        <f t="shared" si="40"/>
        <v>0.53208620362698666</v>
      </c>
      <c r="AG111" s="799">
        <f t="shared" si="41"/>
        <v>-2</v>
      </c>
      <c r="AH111" s="176">
        <f t="shared" si="42"/>
        <v>4</v>
      </c>
      <c r="AI111" s="224">
        <f t="shared" si="43"/>
        <v>-1.4679137963730133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34.781999999999996</v>
      </c>
      <c r="C112" s="388"/>
      <c r="D112" s="391">
        <f t="shared" si="48"/>
        <v>34.83670380254393</v>
      </c>
      <c r="E112" s="383">
        <f t="shared" si="49"/>
        <v>35.090682159230759</v>
      </c>
      <c r="F112" s="383">
        <f t="shared" si="50"/>
        <v>35.090726310794409</v>
      </c>
      <c r="G112" s="110">
        <f t="shared" si="51"/>
        <v>0.60488861376644643</v>
      </c>
      <c r="I112" s="379">
        <f t="shared" si="24"/>
        <v>35.090726310794409</v>
      </c>
      <c r="J112" s="85">
        <v>2018</v>
      </c>
      <c r="K112" s="197">
        <f t="shared" si="25"/>
        <v>43563</v>
      </c>
      <c r="L112" s="435">
        <f t="shared" si="26"/>
        <v>1.5702921508876644E-3</v>
      </c>
      <c r="M112" s="842"/>
      <c r="N112" s="842"/>
      <c r="O112" s="323">
        <f t="shared" si="27"/>
        <v>7.2377719969750004E-3</v>
      </c>
      <c r="P112" s="169">
        <f>(INDEX(Models!$BJ112:$BT112,,T112)*(1-R112)+INDEX(Models!$BJ112:$BT112,,T112+1)*R112-ERP_i)*Q112*Ramure*Pc/MaxiM</f>
        <v>2.8887446953881681E-6</v>
      </c>
      <c r="Q112" s="304">
        <f t="shared" si="28"/>
        <v>0.6</v>
      </c>
      <c r="R112" s="177">
        <f t="shared" si="29"/>
        <v>0.53340006195473011</v>
      </c>
      <c r="S112" s="799">
        <f t="shared" si="47"/>
        <v>-2</v>
      </c>
      <c r="T112" s="176">
        <f t="shared" si="30"/>
        <v>4</v>
      </c>
      <c r="U112" s="250">
        <f t="shared" si="31"/>
        <v>-1.4665999380452699</v>
      </c>
      <c r="V112" s="382">
        <f t="shared" si="32"/>
        <v>57.501401902997117</v>
      </c>
      <c r="W112" s="58"/>
      <c r="X112" s="157">
        <f t="shared" si="33"/>
        <v>43563</v>
      </c>
      <c r="Y112" s="383">
        <f t="shared" si="34"/>
        <v>34.781999999999996</v>
      </c>
      <c r="Z112" s="383">
        <f t="shared" si="35"/>
        <v>34.83670380254393</v>
      </c>
      <c r="AA112" s="384">
        <f t="shared" si="36"/>
        <v>35.090682159230759</v>
      </c>
      <c r="AB112" s="197">
        <f t="shared" si="37"/>
        <v>43563</v>
      </c>
      <c r="AC112" s="424">
        <f t="shared" si="38"/>
        <v>7.2377719969750004E-3</v>
      </c>
      <c r="AD112" s="169">
        <f>(INDEX(Models!$BJ112:$BT112,,AH112)*(1-AF112)+INDEX(Models!$BJ112:$BT112,,AH112+1)*AF112-ERP_i)*AE112*Ramure*Pc/MaxiM</f>
        <v>2.8887446953881681E-6</v>
      </c>
      <c r="AE112" s="304">
        <f t="shared" si="39"/>
        <v>0.6</v>
      </c>
      <c r="AF112" s="177">
        <f t="shared" si="40"/>
        <v>0.53340006195473011</v>
      </c>
      <c r="AG112" s="799">
        <f t="shared" si="41"/>
        <v>-2</v>
      </c>
      <c r="AH112" s="176">
        <f t="shared" si="42"/>
        <v>4</v>
      </c>
      <c r="AI112" s="224">
        <f t="shared" si="43"/>
        <v>-1.4665999380452699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41.207000000000001</v>
      </c>
      <c r="C113" s="388"/>
      <c r="D113" s="391">
        <f t="shared" si="48"/>
        <v>41.272599777366445</v>
      </c>
      <c r="E113" s="383">
        <f t="shared" si="49"/>
        <v>41.577124967554511</v>
      </c>
      <c r="F113" s="383">
        <f t="shared" si="50"/>
        <v>41.577197021208846</v>
      </c>
      <c r="G113" s="110">
        <f t="shared" si="51"/>
        <v>0.71330047699587851</v>
      </c>
      <c r="I113" s="379">
        <f t="shared" si="24"/>
        <v>41.577197021208846</v>
      </c>
      <c r="J113" s="85">
        <v>2018</v>
      </c>
      <c r="K113" s="197">
        <f t="shared" si="25"/>
        <v>43564</v>
      </c>
      <c r="L113" s="435">
        <f t="shared" si="26"/>
        <v>1.5894268284601942E-3</v>
      </c>
      <c r="M113" s="842"/>
      <c r="N113" s="842"/>
      <c r="O113" s="323">
        <f t="shared" si="27"/>
        <v>7.3243445867337935E-3</v>
      </c>
      <c r="P113" s="169">
        <f>(INDEX(Models!$BJ113:$BT113,,T113)*(1-R113)+INDEX(Models!$BJ113:$BT113,,T113+1)*R113-ERP_i)*Q113*Ramure*Pc/MaxiM</f>
        <v>2.9351617331105643E-6</v>
      </c>
      <c r="Q113" s="304">
        <f t="shared" si="28"/>
        <v>0.6</v>
      </c>
      <c r="R113" s="177">
        <f t="shared" si="29"/>
        <v>0.53476120094229618</v>
      </c>
      <c r="S113" s="799">
        <f t="shared" si="47"/>
        <v>-2</v>
      </c>
      <c r="T113" s="176">
        <f t="shared" si="30"/>
        <v>4</v>
      </c>
      <c r="U113" s="250">
        <f t="shared" si="31"/>
        <v>-1.4652387990577038</v>
      </c>
      <c r="V113" s="382">
        <f t="shared" si="32"/>
        <v>57.769413860972783</v>
      </c>
      <c r="W113" s="58"/>
      <c r="X113" s="157">
        <f t="shared" si="33"/>
        <v>43564</v>
      </c>
      <c r="Y113" s="383">
        <f t="shared" si="34"/>
        <v>41.207000000000001</v>
      </c>
      <c r="Z113" s="383">
        <f t="shared" si="35"/>
        <v>41.272599777366445</v>
      </c>
      <c r="AA113" s="384">
        <f t="shared" si="36"/>
        <v>41.577124967554511</v>
      </c>
      <c r="AB113" s="197">
        <f t="shared" si="37"/>
        <v>43564</v>
      </c>
      <c r="AC113" s="424">
        <f t="shared" si="38"/>
        <v>7.3243445867337935E-3</v>
      </c>
      <c r="AD113" s="169">
        <f>(INDEX(Models!$BJ113:$BT113,,AH113)*(1-AF113)+INDEX(Models!$BJ113:$BT113,,AH113+1)*AF113-ERP_i)*AE113*Ramure*Pc/MaxiM</f>
        <v>2.9351617331105643E-6</v>
      </c>
      <c r="AE113" s="304">
        <f t="shared" si="39"/>
        <v>0.6</v>
      </c>
      <c r="AF113" s="177">
        <f t="shared" si="40"/>
        <v>0.53476120094229618</v>
      </c>
      <c r="AG113" s="799">
        <f t="shared" si="41"/>
        <v>-2</v>
      </c>
      <c r="AH113" s="176">
        <f t="shared" si="42"/>
        <v>4</v>
      </c>
      <c r="AI113" s="224">
        <f t="shared" si="43"/>
        <v>-1.4652387990577038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33.856000000000002</v>
      </c>
      <c r="C114" s="388"/>
      <c r="D114" s="391">
        <f t="shared" si="48"/>
        <v>33.910547188420402</v>
      </c>
      <c r="E114" s="383">
        <f t="shared" si="49"/>
        <v>34.163733452508836</v>
      </c>
      <c r="F114" s="383">
        <f t="shared" si="50"/>
        <v>34.163774716694135</v>
      </c>
      <c r="G114" s="110">
        <f t="shared" si="51"/>
        <v>0.58341108353049131</v>
      </c>
      <c r="I114" s="379">
        <f t="shared" si="24"/>
        <v>34.163774716694135</v>
      </c>
      <c r="J114" s="85">
        <v>2018</v>
      </c>
      <c r="K114" s="197">
        <f t="shared" si="25"/>
        <v>43565</v>
      </c>
      <c r="L114" s="435">
        <f t="shared" si="26"/>
        <v>1.608561139320952E-3</v>
      </c>
      <c r="M114" s="842"/>
      <c r="N114" s="842"/>
      <c r="O114" s="323">
        <f t="shared" si="27"/>
        <v>7.4109659133241275E-3</v>
      </c>
      <c r="P114" s="169">
        <f>(INDEX(Models!$BJ114:$BT114,,T114)*(1-R114)+INDEX(Models!$BJ114:$BT114,,T114+1)*R114-ERP_i)*Q114*Ramure*Pc/MaxiM</f>
        <v>2.9832321311680279E-6</v>
      </c>
      <c r="Q114" s="304">
        <f t="shared" si="28"/>
        <v>0.6</v>
      </c>
      <c r="R114" s="177">
        <f t="shared" si="29"/>
        <v>0.53617100704863874</v>
      </c>
      <c r="S114" s="799">
        <f t="shared" si="47"/>
        <v>-2</v>
      </c>
      <c r="T114" s="176">
        <f t="shared" si="30"/>
        <v>4</v>
      </c>
      <c r="U114" s="250">
        <f t="shared" si="31"/>
        <v>-1.4638289929513613</v>
      </c>
      <c r="V114" s="382">
        <f t="shared" si="32"/>
        <v>58.031019375200643</v>
      </c>
      <c r="W114" s="58"/>
      <c r="X114" s="157">
        <f t="shared" si="33"/>
        <v>43565</v>
      </c>
      <c r="Y114" s="383">
        <f t="shared" si="34"/>
        <v>33.856000000000002</v>
      </c>
      <c r="Z114" s="383">
        <f t="shared" si="35"/>
        <v>33.910547188420402</v>
      </c>
      <c r="AA114" s="384">
        <f t="shared" si="36"/>
        <v>34.163733452508836</v>
      </c>
      <c r="AB114" s="197">
        <f t="shared" si="37"/>
        <v>43565</v>
      </c>
      <c r="AC114" s="424">
        <f t="shared" si="38"/>
        <v>7.4109659133241275E-3</v>
      </c>
      <c r="AD114" s="169">
        <f>(INDEX(Models!$BJ114:$BT114,,AH114)*(1-AF114)+INDEX(Models!$BJ114:$BT114,,AH114+1)*AF114-ERP_i)*AE114*Ramure*Pc/MaxiM</f>
        <v>2.9832321311680279E-6</v>
      </c>
      <c r="AE114" s="304">
        <f t="shared" si="39"/>
        <v>0.6</v>
      </c>
      <c r="AF114" s="177">
        <f t="shared" si="40"/>
        <v>0.53617100704863874</v>
      </c>
      <c r="AG114" s="799">
        <f t="shared" si="41"/>
        <v>-2</v>
      </c>
      <c r="AH114" s="176">
        <f t="shared" si="42"/>
        <v>4</v>
      </c>
      <c r="AI114" s="224">
        <f t="shared" si="43"/>
        <v>-1.4638289929513613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9.7829999999999995</v>
      </c>
      <c r="C115" s="388"/>
      <c r="D115" s="391">
        <f t="shared" si="48"/>
        <v>9.7989497022535961</v>
      </c>
      <c r="E115" s="383">
        <f t="shared" si="49"/>
        <v>9.8729737146835621</v>
      </c>
      <c r="F115" s="383">
        <f t="shared" si="50"/>
        <v>9.8729737146835621</v>
      </c>
      <c r="G115" s="110">
        <f t="shared" si="51"/>
        <v>0.16784393568214034</v>
      </c>
      <c r="I115" s="379">
        <f t="shared" si="24"/>
        <v>9.8729737146835621</v>
      </c>
      <c r="J115" s="85">
        <v>2018</v>
      </c>
      <c r="K115" s="197">
        <f t="shared" si="25"/>
        <v>43566</v>
      </c>
      <c r="L115" s="435">
        <f t="shared" si="26"/>
        <v>1.6276950834770432E-3</v>
      </c>
      <c r="M115" s="842"/>
      <c r="N115" s="842"/>
      <c r="O115" s="323">
        <f t="shared" si="27"/>
        <v>7.4976409913737824E-3</v>
      </c>
      <c r="P115" s="169">
        <f>(INDEX(Models!$BJ115:$BT115,,T115)*(1-R115)+INDEX(Models!$BJ115:$BT115,,T115+1)*R115-ERP_i)*Q115*Ramure*Pc/MaxiM</f>
        <v>3.031305836699197E-6</v>
      </c>
      <c r="Q115" s="304">
        <f t="shared" si="28"/>
        <v>0.6</v>
      </c>
      <c r="R115" s="177">
        <f t="shared" si="29"/>
        <v>0.53763088251453572</v>
      </c>
      <c r="S115" s="799">
        <f t="shared" si="47"/>
        <v>-2</v>
      </c>
      <c r="T115" s="176">
        <f t="shared" si="30"/>
        <v>4</v>
      </c>
      <c r="U115" s="250">
        <f t="shared" si="31"/>
        <v>-1.4623691174854643</v>
      </c>
      <c r="V115" s="382">
        <f t="shared" si="32"/>
        <v>58.286111470013431</v>
      </c>
      <c r="W115" s="58"/>
      <c r="X115" s="157">
        <f t="shared" si="33"/>
        <v>43566</v>
      </c>
      <c r="Y115" s="383">
        <f t="shared" si="34"/>
        <v>9.7829999999999995</v>
      </c>
      <c r="Z115" s="383">
        <f t="shared" si="35"/>
        <v>9.7989497022535961</v>
      </c>
      <c r="AA115" s="384">
        <f t="shared" si="36"/>
        <v>9.8729737146835621</v>
      </c>
      <c r="AB115" s="197">
        <f t="shared" si="37"/>
        <v>43566</v>
      </c>
      <c r="AC115" s="424">
        <f t="shared" si="38"/>
        <v>7.4976409913737824E-3</v>
      </c>
      <c r="AD115" s="169">
        <f>(INDEX(Models!$BJ115:$BT115,,AH115)*(1-AF115)+INDEX(Models!$BJ115:$BT115,,AH115+1)*AF115-ERP_i)*AE115*Ramure*Pc/MaxiM</f>
        <v>3.031305836699197E-6</v>
      </c>
      <c r="AE115" s="304">
        <f t="shared" si="39"/>
        <v>0.6</v>
      </c>
      <c r="AF115" s="177">
        <f t="shared" si="40"/>
        <v>0.53763088251453572</v>
      </c>
      <c r="AG115" s="799">
        <f t="shared" si="41"/>
        <v>-2</v>
      </c>
      <c r="AH115" s="176">
        <f t="shared" si="42"/>
        <v>4</v>
      </c>
      <c r="AI115" s="224">
        <f t="shared" si="43"/>
        <v>-1.4623691174854643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58.314999999999998</v>
      </c>
      <c r="C116" s="388"/>
      <c r="D116" s="391">
        <f t="shared" si="48"/>
        <v>58.411193227125871</v>
      </c>
      <c r="E116" s="383">
        <f t="shared" si="49"/>
        <v>58.85759125988961</v>
      </c>
      <c r="F116" s="383">
        <f t="shared" si="50"/>
        <v>58.857771528976158</v>
      </c>
      <c r="G116" s="110">
        <f t="shared" si="51"/>
        <v>0.99624864350391995</v>
      </c>
      <c r="I116" s="379">
        <f t="shared" si="24"/>
        <v>58.857771528976158</v>
      </c>
      <c r="J116" s="85">
        <v>2018</v>
      </c>
      <c r="K116" s="197">
        <f t="shared" si="25"/>
        <v>43567</v>
      </c>
      <c r="L116" s="435">
        <f t="shared" si="26"/>
        <v>1.6468286609354621E-3</v>
      </c>
      <c r="M116" s="842"/>
      <c r="N116" s="842"/>
      <c r="O116" s="323">
        <f t="shared" si="27"/>
        <v>7.584374813992001E-3</v>
      </c>
      <c r="P116" s="169">
        <f>(INDEX(Models!$BJ116:$BT116,,T116)*(1-R116)+INDEX(Models!$BJ116:$BT116,,T116+1)*R116-ERP_i)*Q116*Ramure*Pc/MaxiM</f>
        <v>3.0792936823703076E-6</v>
      </c>
      <c r="Q116" s="304">
        <f t="shared" si="28"/>
        <v>0.6</v>
      </c>
      <c r="R116" s="177">
        <f t="shared" si="29"/>
        <v>0.53914224338316408</v>
      </c>
      <c r="S116" s="799">
        <f t="shared" si="47"/>
        <v>-2</v>
      </c>
      <c r="T116" s="176">
        <f t="shared" si="30"/>
        <v>4</v>
      </c>
      <c r="U116" s="250">
        <f t="shared" si="31"/>
        <v>-1.4608577566168359</v>
      </c>
      <c r="V116" s="382">
        <f t="shared" si="32"/>
        <v>58.534583126332748</v>
      </c>
      <c r="W116" s="58"/>
      <c r="X116" s="157">
        <f t="shared" si="33"/>
        <v>43567</v>
      </c>
      <c r="Y116" s="383">
        <f t="shared" si="34"/>
        <v>58.314999999999998</v>
      </c>
      <c r="Z116" s="383">
        <f t="shared" si="35"/>
        <v>58.411193227125871</v>
      </c>
      <c r="AA116" s="384">
        <f t="shared" si="36"/>
        <v>58.85759125988961</v>
      </c>
      <c r="AB116" s="197">
        <f t="shared" si="37"/>
        <v>43567</v>
      </c>
      <c r="AC116" s="424">
        <f t="shared" si="38"/>
        <v>7.584374813992001E-3</v>
      </c>
      <c r="AD116" s="169">
        <f>(INDEX(Models!$BJ116:$BT116,,AH116)*(1-AF116)+INDEX(Models!$BJ116:$BT116,,AH116+1)*AF116-ERP_i)*AE116*Ramure*Pc/MaxiM</f>
        <v>3.0792936823703076E-6</v>
      </c>
      <c r="AE116" s="304">
        <f t="shared" si="39"/>
        <v>0.6</v>
      </c>
      <c r="AF116" s="177">
        <f t="shared" si="40"/>
        <v>0.53914224338316408</v>
      </c>
      <c r="AG116" s="799">
        <f t="shared" si="41"/>
        <v>-2</v>
      </c>
      <c r="AH116" s="176">
        <f t="shared" si="42"/>
        <v>4</v>
      </c>
      <c r="AI116" s="224">
        <f t="shared" si="43"/>
        <v>-1.4608577566168359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58.268000000000001</v>
      </c>
      <c r="C117" s="388"/>
      <c r="D117" s="391">
        <f t="shared" si="48"/>
        <v>58.365234254901694</v>
      </c>
      <c r="E117" s="383">
        <f t="shared" si="49"/>
        <v>58.816425189069903</v>
      </c>
      <c r="F117" s="383">
        <f t="shared" si="50"/>
        <v>58.816606841862637</v>
      </c>
      <c r="G117" s="110">
        <f t="shared" si="51"/>
        <v>0.99135145660029855</v>
      </c>
      <c r="I117" s="379">
        <f t="shared" si="24"/>
        <v>58.816606841862637</v>
      </c>
      <c r="J117" s="85">
        <v>2018</v>
      </c>
      <c r="K117" s="197">
        <f t="shared" si="25"/>
        <v>43568</v>
      </c>
      <c r="L117" s="435">
        <f t="shared" si="26"/>
        <v>1.6659618717032032E-3</v>
      </c>
      <c r="M117" s="842"/>
      <c r="N117" s="842"/>
      <c r="O117" s="323">
        <f t="shared" si="27"/>
        <v>7.6711723420426637E-3</v>
      </c>
      <c r="P117" s="169">
        <f>(INDEX(Models!$BJ117:$BT117,,T117)*(1-R117)+INDEX(Models!$BJ117:$BT117,,T117+1)*R117-ERP_i)*Q117*Ramure*Pc/MaxiM</f>
        <v>3.1270962346428601E-6</v>
      </c>
      <c r="Q117" s="304">
        <f t="shared" si="28"/>
        <v>0.6</v>
      </c>
      <c r="R117" s="177">
        <f t="shared" si="29"/>
        <v>0.54070651731608566</v>
      </c>
      <c r="S117" s="799">
        <f t="shared" si="47"/>
        <v>-2</v>
      </c>
      <c r="T117" s="176">
        <f t="shared" si="30"/>
        <v>4</v>
      </c>
      <c r="U117" s="250">
        <f t="shared" si="31"/>
        <v>-1.4592934826839143</v>
      </c>
      <c r="V117" s="382">
        <f t="shared" si="32"/>
        <v>58.776327366899267</v>
      </c>
      <c r="W117" s="58"/>
      <c r="X117" s="157">
        <f t="shared" si="33"/>
        <v>43568</v>
      </c>
      <c r="Y117" s="383">
        <f t="shared" si="34"/>
        <v>58.268000000000001</v>
      </c>
      <c r="Z117" s="383">
        <f t="shared" si="35"/>
        <v>58.365234254901694</v>
      </c>
      <c r="AA117" s="384">
        <f t="shared" si="36"/>
        <v>58.816425189069903</v>
      </c>
      <c r="AB117" s="197">
        <f t="shared" si="37"/>
        <v>43568</v>
      </c>
      <c r="AC117" s="424">
        <f t="shared" si="38"/>
        <v>7.6711723420426637E-3</v>
      </c>
      <c r="AD117" s="169">
        <f>(INDEX(Models!$BJ117:$BT117,,AH117)*(1-AF117)+INDEX(Models!$BJ117:$BT117,,AH117+1)*AF117-ERP_i)*AE117*Ramure*Pc/MaxiM</f>
        <v>3.1270962346428601E-6</v>
      </c>
      <c r="AE117" s="304">
        <f t="shared" si="39"/>
        <v>0.6</v>
      </c>
      <c r="AF117" s="177">
        <f t="shared" si="40"/>
        <v>0.54070651731608566</v>
      </c>
      <c r="AG117" s="799">
        <f t="shared" si="41"/>
        <v>-2</v>
      </c>
      <c r="AH117" s="176">
        <f t="shared" si="42"/>
        <v>4</v>
      </c>
      <c r="AI117" s="224">
        <f t="shared" si="43"/>
        <v>-1.4592934826839143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28.927</v>
      </c>
      <c r="C118" s="388"/>
      <c r="D118" s="391">
        <f t="shared" si="48"/>
        <v>28.97582701298515</v>
      </c>
      <c r="E118" s="383">
        <f t="shared" si="49"/>
        <v>29.20238020268571</v>
      </c>
      <c r="F118" s="383">
        <f t="shared" si="50"/>
        <v>29.202405391549902</v>
      </c>
      <c r="G118" s="110">
        <f t="shared" si="51"/>
        <v>0.49019363869382071</v>
      </c>
      <c r="I118" s="379">
        <f t="shared" si="24"/>
        <v>29.202405391549902</v>
      </c>
      <c r="J118" s="85">
        <v>2018</v>
      </c>
      <c r="K118" s="197">
        <f t="shared" si="25"/>
        <v>43569</v>
      </c>
      <c r="L118" s="435">
        <f t="shared" si="26"/>
        <v>1.6850947157873719E-3</v>
      </c>
      <c r="M118" s="842"/>
      <c r="N118" s="842"/>
      <c r="O118" s="323">
        <f t="shared" si="27"/>
        <v>7.7580384930308966E-3</v>
      </c>
      <c r="P118" s="169">
        <f>(INDEX(Models!$BJ118:$BT118,,T118)*(1-R118)+INDEX(Models!$BJ118:$BT118,,T118+1)*R118-ERP_i)*Q118*Ramure*Pc/MaxiM</f>
        <v>3.1746030130767017E-6</v>
      </c>
      <c r="Q118" s="304">
        <f t="shared" si="28"/>
        <v>0.6</v>
      </c>
      <c r="R118" s="177">
        <f t="shared" si="29"/>
        <v>0.54232514119564934</v>
      </c>
      <c r="S118" s="799">
        <f t="shared" si="47"/>
        <v>-2</v>
      </c>
      <c r="T118" s="176">
        <f t="shared" si="30"/>
        <v>4</v>
      </c>
      <c r="U118" s="250">
        <f t="shared" si="31"/>
        <v>-1.4576748588043507</v>
      </c>
      <c r="V118" s="382">
        <f t="shared" si="32"/>
        <v>59.01123726654302</v>
      </c>
      <c r="W118" s="58"/>
      <c r="X118" s="157">
        <f t="shared" si="33"/>
        <v>43569</v>
      </c>
      <c r="Y118" s="383">
        <f t="shared" si="34"/>
        <v>28.927</v>
      </c>
      <c r="Z118" s="383">
        <f t="shared" si="35"/>
        <v>28.97582701298515</v>
      </c>
      <c r="AA118" s="384">
        <f t="shared" si="36"/>
        <v>29.20238020268571</v>
      </c>
      <c r="AB118" s="197">
        <f t="shared" si="37"/>
        <v>43569</v>
      </c>
      <c r="AC118" s="424">
        <f t="shared" si="38"/>
        <v>7.7580384930308966E-3</v>
      </c>
      <c r="AD118" s="169">
        <f>(INDEX(Models!$BJ118:$BT118,,AH118)*(1-AF118)+INDEX(Models!$BJ118:$BT118,,AH118+1)*AF118-ERP_i)*AE118*Ramure*Pc/MaxiM</f>
        <v>3.1746030130767017E-6</v>
      </c>
      <c r="AE118" s="304">
        <f t="shared" si="39"/>
        <v>0.6</v>
      </c>
      <c r="AF118" s="177">
        <f t="shared" si="40"/>
        <v>0.54232514119564934</v>
      </c>
      <c r="AG118" s="799">
        <f t="shared" si="41"/>
        <v>-2</v>
      </c>
      <c r="AH118" s="176">
        <f t="shared" si="42"/>
        <v>4</v>
      </c>
      <c r="AI118" s="224">
        <f t="shared" si="43"/>
        <v>-1.4576748588043507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39.384999999999998</v>
      </c>
      <c r="C119" s="388"/>
      <c r="D119" s="391">
        <f t="shared" si="48"/>
        <v>39.452235572695315</v>
      </c>
      <c r="E119" s="383">
        <f t="shared" si="49"/>
        <v>39.764184732259807</v>
      </c>
      <c r="F119" s="383">
        <f t="shared" si="50"/>
        <v>39.764251503487039</v>
      </c>
      <c r="G119" s="110">
        <f t="shared" si="51"/>
        <v>0.66484583342314574</v>
      </c>
      <c r="I119" s="379">
        <f t="shared" si="24"/>
        <v>39.764251503487039</v>
      </c>
      <c r="J119" s="85">
        <v>2018</v>
      </c>
      <c r="K119" s="197">
        <f t="shared" si="25"/>
        <v>43570</v>
      </c>
      <c r="L119" s="435">
        <f t="shared" si="26"/>
        <v>1.7042271931948516E-3</v>
      </c>
      <c r="M119" s="842"/>
      <c r="N119" s="842"/>
      <c r="O119" s="323">
        <f t="shared" si="27"/>
        <v>7.8449781295631456E-3</v>
      </c>
      <c r="P119" s="169">
        <f>(INDEX(Models!$BJ119:$BT119,,T119)*(1-R119)+INDEX(Models!$BJ119:$BT119,,T119+1)*R119-ERP_i)*Q119*Ramure*Pc/MaxiM</f>
        <v>3.2216916749331E-6</v>
      </c>
      <c r="Q119" s="304">
        <f t="shared" si="28"/>
        <v>0.6</v>
      </c>
      <c r="R119" s="177">
        <f t="shared" si="29"/>
        <v>0.54399955850518067</v>
      </c>
      <c r="S119" s="799">
        <f t="shared" si="47"/>
        <v>-2</v>
      </c>
      <c r="T119" s="176">
        <f t="shared" si="30"/>
        <v>4</v>
      </c>
      <c r="U119" s="250">
        <f t="shared" si="31"/>
        <v>-1.4560004414948193</v>
      </c>
      <c r="V119" s="382">
        <f t="shared" si="32"/>
        <v>59.239205945209378</v>
      </c>
      <c r="W119" s="58"/>
      <c r="X119" s="157">
        <f t="shared" si="33"/>
        <v>43570</v>
      </c>
      <c r="Y119" s="383">
        <f t="shared" si="34"/>
        <v>39.384999999999998</v>
      </c>
      <c r="Z119" s="383">
        <f t="shared" si="35"/>
        <v>39.452235572695315</v>
      </c>
      <c r="AA119" s="384">
        <f t="shared" si="36"/>
        <v>39.764184732259807</v>
      </c>
      <c r="AB119" s="197">
        <f t="shared" si="37"/>
        <v>43570</v>
      </c>
      <c r="AC119" s="424">
        <f t="shared" si="38"/>
        <v>7.8449781295631456E-3</v>
      </c>
      <c r="AD119" s="169">
        <f>(INDEX(Models!$BJ119:$BT119,,AH119)*(1-AF119)+INDEX(Models!$BJ119:$BT119,,AH119+1)*AF119-ERP_i)*AE119*Ramure*Pc/MaxiM</f>
        <v>3.2216916749331E-6</v>
      </c>
      <c r="AE119" s="304">
        <f t="shared" si="39"/>
        <v>0.6</v>
      </c>
      <c r="AF119" s="177">
        <f t="shared" si="40"/>
        <v>0.54399955850518067</v>
      </c>
      <c r="AG119" s="799">
        <f t="shared" si="41"/>
        <v>-2</v>
      </c>
      <c r="AH119" s="176">
        <f t="shared" si="42"/>
        <v>4</v>
      </c>
      <c r="AI119" s="224">
        <f t="shared" si="43"/>
        <v>-1.4560004414948193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35.451000000000001</v>
      </c>
      <c r="C120" s="388"/>
      <c r="D120" s="391">
        <f t="shared" si="48"/>
        <v>35.512200280756971</v>
      </c>
      <c r="E120" s="383">
        <f t="shared" si="49"/>
        <v>35.796135082743405</v>
      </c>
      <c r="F120" s="383">
        <f t="shared" si="50"/>
        <v>35.796184588705344</v>
      </c>
      <c r="G120" s="110">
        <f t="shared" si="51"/>
        <v>0.59621355029501344</v>
      </c>
      <c r="I120" s="379">
        <f t="shared" si="24"/>
        <v>35.796184588705344</v>
      </c>
      <c r="J120" s="85">
        <v>2018</v>
      </c>
      <c r="K120" s="197">
        <f t="shared" si="25"/>
        <v>43571</v>
      </c>
      <c r="L120" s="435">
        <f t="shared" si="26"/>
        <v>1.7233593039328587E-3</v>
      </c>
      <c r="M120" s="842"/>
      <c r="N120" s="842"/>
      <c r="O120" s="323">
        <f t="shared" si="27"/>
        <v>7.9319960473416985E-3</v>
      </c>
      <c r="P120" s="169">
        <f>(INDEX(Models!$BJ120:$BT120,,T120)*(1-R120)+INDEX(Models!$BJ120:$BT120,,T120+1)*R120-ERP_i)*Q120*Ramure*Pc/MaxiM</f>
        <v>3.2682271637066947E-6</v>
      </c>
      <c r="Q120" s="304">
        <f t="shared" si="28"/>
        <v>0.6</v>
      </c>
      <c r="R120" s="177">
        <f t="shared" si="29"/>
        <v>0.54573121647882306</v>
      </c>
      <c r="S120" s="799">
        <f t="shared" si="47"/>
        <v>-2</v>
      </c>
      <c r="T120" s="176">
        <f t="shared" si="30"/>
        <v>4</v>
      </c>
      <c r="U120" s="250">
        <f t="shared" si="31"/>
        <v>-1.4542687835211769</v>
      </c>
      <c r="V120" s="382">
        <f t="shared" si="32"/>
        <v>59.460126575483002</v>
      </c>
      <c r="W120" s="58"/>
      <c r="X120" s="157">
        <f t="shared" si="33"/>
        <v>43571</v>
      </c>
      <c r="Y120" s="383">
        <f t="shared" si="34"/>
        <v>35.451000000000001</v>
      </c>
      <c r="Z120" s="383">
        <f t="shared" si="35"/>
        <v>35.512200280756971</v>
      </c>
      <c r="AA120" s="384">
        <f t="shared" si="36"/>
        <v>35.796135082743405</v>
      </c>
      <c r="AB120" s="197">
        <f t="shared" si="37"/>
        <v>43571</v>
      </c>
      <c r="AC120" s="424">
        <f t="shared" si="38"/>
        <v>7.9319960473416985E-3</v>
      </c>
      <c r="AD120" s="169">
        <f>(INDEX(Models!$BJ120:$BT120,,AH120)*(1-AF120)+INDEX(Models!$BJ120:$BT120,,AH120+1)*AF120-ERP_i)*AE120*Ramure*Pc/MaxiM</f>
        <v>3.2682271637066947E-6</v>
      </c>
      <c r="AE120" s="304">
        <f t="shared" si="39"/>
        <v>0.6</v>
      </c>
      <c r="AF120" s="177">
        <f t="shared" si="40"/>
        <v>0.54573121647882306</v>
      </c>
      <c r="AG120" s="799">
        <f t="shared" si="41"/>
        <v>-2</v>
      </c>
      <c r="AH120" s="176">
        <f t="shared" si="42"/>
        <v>4</v>
      </c>
      <c r="AI120" s="224">
        <f t="shared" si="43"/>
        <v>-1.4542687835211769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38.002000000000002</v>
      </c>
      <c r="C121" s="388"/>
      <c r="D121" s="391">
        <f t="shared" si="48"/>
        <v>38.068333730738402</v>
      </c>
      <c r="E121" s="383">
        <f t="shared" si="49"/>
        <v>38.376075198803861</v>
      </c>
      <c r="F121" s="383">
        <f t="shared" si="50"/>
        <v>38.376136395226318</v>
      </c>
      <c r="G121" s="110">
        <f t="shared" si="51"/>
        <v>0.63682391232540292</v>
      </c>
      <c r="I121" s="379">
        <f t="shared" si="24"/>
        <v>38.376136395226318</v>
      </c>
      <c r="J121" s="85">
        <v>2018</v>
      </c>
      <c r="K121" s="197">
        <f t="shared" si="25"/>
        <v>43572</v>
      </c>
      <c r="L121" s="435">
        <f t="shared" si="26"/>
        <v>1.7424910480082767E-3</v>
      </c>
      <c r="M121" s="842"/>
      <c r="N121" s="842"/>
      <c r="O121" s="323">
        <f t="shared" si="27"/>
        <v>8.0190969626578665E-3</v>
      </c>
      <c r="P121" s="169">
        <f>(INDEX(Models!$BJ121:$BT121,,T121)*(1-R121)+INDEX(Models!$BJ121:$BT121,,T121+1)*R121-ERP_i)*Q121*Ramure*Pc/MaxiM</f>
        <v>3.314045732542701E-6</v>
      </c>
      <c r="Q121" s="304">
        <f t="shared" si="28"/>
        <v>0.6</v>
      </c>
      <c r="R121" s="177">
        <f t="shared" si="29"/>
        <v>0.54752156301349997</v>
      </c>
      <c r="S121" s="799">
        <f t="shared" si="47"/>
        <v>-2</v>
      </c>
      <c r="T121" s="176">
        <f t="shared" si="30"/>
        <v>4</v>
      </c>
      <c r="U121" s="250">
        <f t="shared" si="31"/>
        <v>-1.4524784369865</v>
      </c>
      <c r="V121" s="382">
        <f t="shared" si="32"/>
        <v>59.674164119513144</v>
      </c>
      <c r="W121" s="58"/>
      <c r="X121" s="157">
        <f t="shared" si="33"/>
        <v>43572</v>
      </c>
      <c r="Y121" s="383">
        <f t="shared" si="34"/>
        <v>38.002000000000002</v>
      </c>
      <c r="Z121" s="383">
        <f t="shared" si="35"/>
        <v>38.068333730738402</v>
      </c>
      <c r="AA121" s="384">
        <f t="shared" si="36"/>
        <v>38.376075198803861</v>
      </c>
      <c r="AB121" s="197">
        <f t="shared" si="37"/>
        <v>43572</v>
      </c>
      <c r="AC121" s="424">
        <f t="shared" si="38"/>
        <v>8.0190969626578665E-3</v>
      </c>
      <c r="AD121" s="169">
        <f>(INDEX(Models!$BJ121:$BT121,,AH121)*(1-AF121)+INDEX(Models!$BJ121:$BT121,,AH121+1)*AF121-ERP_i)*AE121*Ramure*Pc/MaxiM</f>
        <v>3.314045732542701E-6</v>
      </c>
      <c r="AE121" s="304">
        <f t="shared" si="39"/>
        <v>0.6</v>
      </c>
      <c r="AF121" s="177">
        <f t="shared" si="40"/>
        <v>0.54752156301349997</v>
      </c>
      <c r="AG121" s="799">
        <f t="shared" si="41"/>
        <v>-2</v>
      </c>
      <c r="AH121" s="176">
        <f t="shared" si="42"/>
        <v>4</v>
      </c>
      <c r="AI121" s="224">
        <f t="shared" si="43"/>
        <v>-1.4524784369865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28.565999999999999</v>
      </c>
      <c r="C122" s="388"/>
      <c r="D122" s="391">
        <f t="shared" si="48"/>
        <v>28.616411311902322</v>
      </c>
      <c r="E122" s="383">
        <f t="shared" si="49"/>
        <v>28.850279917650983</v>
      </c>
      <c r="F122" s="383">
        <f t="shared" si="50"/>
        <v>28.850304439571868</v>
      </c>
      <c r="G122" s="110">
        <f t="shared" si="51"/>
        <v>0.47704051578242007</v>
      </c>
      <c r="H122" s="17"/>
      <c r="I122" s="379">
        <f t="shared" si="24"/>
        <v>28.850304439571868</v>
      </c>
      <c r="J122" s="85">
        <v>2018</v>
      </c>
      <c r="K122" s="197">
        <f t="shared" si="25"/>
        <v>43573</v>
      </c>
      <c r="L122" s="451">
        <f t="shared" si="26"/>
        <v>1.7616224254282109E-3</v>
      </c>
      <c r="M122" s="842"/>
      <c r="N122" s="842"/>
      <c r="O122" s="323">
        <f t="shared" si="27"/>
        <v>8.1062854993506871E-3</v>
      </c>
      <c r="P122" s="169">
        <f>(INDEX(Models!$BJ122:$BT122,,T122)*(1-R122)+INDEX(Models!$BJ122:$BT122,,T122+1)*R122-ERP_i)*Q122*Ramure*Pc/MaxiM</f>
        <v>3.3606750547451592E-6</v>
      </c>
      <c r="Q122" s="304">
        <f t="shared" si="28"/>
        <v>0.6</v>
      </c>
      <c r="R122" s="177">
        <f t="shared" si="29"/>
        <v>0.5493720433362228</v>
      </c>
      <c r="S122" s="799">
        <f t="shared" si="47"/>
        <v>-2</v>
      </c>
      <c r="T122" s="176">
        <f t="shared" si="30"/>
        <v>4</v>
      </c>
      <c r="U122" s="250">
        <f t="shared" si="31"/>
        <v>-1.4506279566637772</v>
      </c>
      <c r="V122" s="382">
        <f t="shared" si="32"/>
        <v>59.881555830353854</v>
      </c>
      <c r="W122" s="433"/>
      <c r="X122" s="157">
        <f t="shared" si="33"/>
        <v>43573</v>
      </c>
      <c r="Y122" s="383">
        <f t="shared" si="34"/>
        <v>28.565999999999999</v>
      </c>
      <c r="Z122" s="383">
        <f t="shared" si="35"/>
        <v>28.616411311902322</v>
      </c>
      <c r="AA122" s="384">
        <f t="shared" si="36"/>
        <v>28.850279917650983</v>
      </c>
      <c r="AB122" s="197">
        <f t="shared" si="37"/>
        <v>43573</v>
      </c>
      <c r="AC122" s="450">
        <f t="shared" si="38"/>
        <v>8.1062854993506871E-3</v>
      </c>
      <c r="AD122" s="169">
        <f>(INDEX(Models!$BJ122:$BT122,,AH122)*(1-AF122)+INDEX(Models!$BJ122:$BT122,,AH122+1)*AF122-ERP_i)*AE122*Ramure*Pc/MaxiM</f>
        <v>3.3606750547451592E-6</v>
      </c>
      <c r="AE122" s="304">
        <f t="shared" si="39"/>
        <v>0.6</v>
      </c>
      <c r="AF122" s="177">
        <f t="shared" si="40"/>
        <v>0.5493720433362228</v>
      </c>
      <c r="AG122" s="799">
        <f t="shared" si="41"/>
        <v>-2</v>
      </c>
      <c r="AH122" s="176">
        <f t="shared" si="42"/>
        <v>4</v>
      </c>
      <c r="AI122" s="224">
        <f t="shared" si="43"/>
        <v>-1.4506279566637772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51.302</v>
      </c>
      <c r="C123" s="388"/>
      <c r="D123" s="391">
        <f t="shared" si="48"/>
        <v>51.393519185888664</v>
      </c>
      <c r="E123" s="383">
        <f t="shared" si="49"/>
        <v>51.818094169539734</v>
      </c>
      <c r="F123" s="383">
        <f t="shared" si="50"/>
        <v>51.818233928199938</v>
      </c>
      <c r="G123" s="110">
        <f t="shared" si="51"/>
        <v>0.8538614622921098</v>
      </c>
      <c r="H123" s="434"/>
      <c r="I123" s="379">
        <f t="shared" si="24"/>
        <v>51.818233928199938</v>
      </c>
      <c r="J123" s="85">
        <v>2018</v>
      </c>
      <c r="K123" s="197">
        <f t="shared" si="25"/>
        <v>43574</v>
      </c>
      <c r="L123" s="435">
        <f t="shared" si="26"/>
        <v>1.7807534361996558E-3</v>
      </c>
      <c r="M123" s="842"/>
      <c r="N123" s="842"/>
      <c r="O123" s="323">
        <f t="shared" si="27"/>
        <v>8.1935661752038213E-3</v>
      </c>
      <c r="P123" s="169">
        <f>(INDEX(Models!$BJ123:$BT123,,T123)*(1-R123)+INDEX(Models!$BJ123:$BT123,,T123+1)*R123-ERP_i)*Q123*Ramure*Pc/MaxiM</f>
        <v>3.4087294830422652E-6</v>
      </c>
      <c r="Q123" s="304">
        <f t="shared" si="28"/>
        <v>0.6</v>
      </c>
      <c r="R123" s="177">
        <f t="shared" si="29"/>
        <v>0.55128409642085963</v>
      </c>
      <c r="S123" s="799">
        <f t="shared" si="47"/>
        <v>-2</v>
      </c>
      <c r="T123" s="176">
        <f t="shared" si="30"/>
        <v>4</v>
      </c>
      <c r="U123" s="250">
        <f t="shared" si="31"/>
        <v>-1.4487159035791404</v>
      </c>
      <c r="V123" s="382">
        <f t="shared" si="32"/>
        <v>60.082303461588495</v>
      </c>
      <c r="W123" s="433"/>
      <c r="X123" s="157">
        <f t="shared" si="33"/>
        <v>43574</v>
      </c>
      <c r="Y123" s="383">
        <f t="shared" si="34"/>
        <v>51.302</v>
      </c>
      <c r="Z123" s="383">
        <f t="shared" si="35"/>
        <v>51.393519185888664</v>
      </c>
      <c r="AA123" s="384">
        <f t="shared" si="36"/>
        <v>51.818094169539734</v>
      </c>
      <c r="AB123" s="197">
        <f t="shared" si="37"/>
        <v>43574</v>
      </c>
      <c r="AC123" s="436">
        <f t="shared" si="38"/>
        <v>8.1935661752038213E-3</v>
      </c>
      <c r="AD123" s="169">
        <f>(INDEX(Models!$BJ123:$BT123,,AH123)*(1-AF123)+INDEX(Models!$BJ123:$BT123,,AH123+1)*AF123-ERP_i)*AE123*Ramure*Pc/MaxiM</f>
        <v>3.4087294830422652E-6</v>
      </c>
      <c r="AE123" s="304">
        <f t="shared" si="39"/>
        <v>0.6</v>
      </c>
      <c r="AF123" s="177">
        <f t="shared" si="40"/>
        <v>0.55128409642085963</v>
      </c>
      <c r="AG123" s="799">
        <f t="shared" si="41"/>
        <v>-2</v>
      </c>
      <c r="AH123" s="176">
        <f t="shared" si="42"/>
        <v>4</v>
      </c>
      <c r="AI123" s="224">
        <f t="shared" si="43"/>
        <v>-1.4487159035791404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52.051000000000002</v>
      </c>
      <c r="C124" s="388"/>
      <c r="D124" s="391">
        <f t="shared" si="48"/>
        <v>52.144854693834539</v>
      </c>
      <c r="E124" s="383">
        <f t="shared" si="49"/>
        <v>52.580268924108218</v>
      </c>
      <c r="F124" s="383">
        <f t="shared" si="50"/>
        <v>52.580415314681325</v>
      </c>
      <c r="G124" s="110">
        <f t="shared" si="51"/>
        <v>0.86353792369314031</v>
      </c>
      <c r="I124" s="379">
        <f t="shared" si="24"/>
        <v>52.580415314681325</v>
      </c>
      <c r="J124" s="85">
        <v>2018</v>
      </c>
      <c r="K124" s="197">
        <f t="shared" si="25"/>
        <v>43575</v>
      </c>
      <c r="L124" s="435">
        <f t="shared" si="26"/>
        <v>1.7998840803296057E-3</v>
      </c>
      <c r="M124" s="842"/>
      <c r="N124" s="842"/>
      <c r="O124" s="323">
        <f t="shared" si="27"/>
        <v>8.2809433877588136E-3</v>
      </c>
      <c r="P124" s="169">
        <f>(INDEX(Models!$BJ124:$BT124,,T124)*(1-R124)+INDEX(Models!$BJ124:$BT124,,T124+1)*R124-ERP_i)*Q124*Ramure*Pc/MaxiM</f>
        <v>3.4583069920194859E-6</v>
      </c>
      <c r="Q124" s="304">
        <f t="shared" si="28"/>
        <v>0.6</v>
      </c>
      <c r="R124" s="177">
        <f t="shared" si="29"/>
        <v>0.55325915114952884</v>
      </c>
      <c r="S124" s="799">
        <f t="shared" si="47"/>
        <v>-2</v>
      </c>
      <c r="T124" s="176">
        <f t="shared" si="30"/>
        <v>4</v>
      </c>
      <c r="U124" s="250">
        <f t="shared" si="31"/>
        <v>-1.4467408488504712</v>
      </c>
      <c r="V124" s="382">
        <f t="shared" si="32"/>
        <v>60.276408806192634</v>
      </c>
      <c r="W124" s="58"/>
      <c r="X124" s="157">
        <f t="shared" si="33"/>
        <v>43575</v>
      </c>
      <c r="Y124" s="383">
        <f t="shared" si="34"/>
        <v>52.051000000000002</v>
      </c>
      <c r="Z124" s="383">
        <f t="shared" si="35"/>
        <v>52.144854693834539</v>
      </c>
      <c r="AA124" s="384">
        <f t="shared" si="36"/>
        <v>52.580268924108218</v>
      </c>
      <c r="AB124" s="197">
        <f t="shared" si="37"/>
        <v>43575</v>
      </c>
      <c r="AC124" s="424">
        <f t="shared" si="38"/>
        <v>8.2809433877588136E-3</v>
      </c>
      <c r="AD124" s="169">
        <f>(INDEX(Models!$BJ124:$BT124,,AH124)*(1-AF124)+INDEX(Models!$BJ124:$BT124,,AH124+1)*AF124-ERP_i)*AE124*Ramure*Pc/MaxiM</f>
        <v>3.4583069920194859E-6</v>
      </c>
      <c r="AE124" s="304">
        <f t="shared" si="39"/>
        <v>0.6</v>
      </c>
      <c r="AF124" s="177">
        <f t="shared" si="40"/>
        <v>0.55325915114952884</v>
      </c>
      <c r="AG124" s="799">
        <f t="shared" si="41"/>
        <v>-2</v>
      </c>
      <c r="AH124" s="176">
        <f t="shared" si="42"/>
        <v>4</v>
      </c>
      <c r="AI124" s="224">
        <f t="shared" si="43"/>
        <v>-1.4467408488504712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19.22</v>
      </c>
      <c r="C125" s="388"/>
      <c r="D125" s="391">
        <f t="shared" si="48"/>
        <v>19.255025167239491</v>
      </c>
      <c r="E125" s="383">
        <f t="shared" si="49"/>
        <v>19.417519150020308</v>
      </c>
      <c r="F125" s="383">
        <f t="shared" si="50"/>
        <v>19.41752089025811</v>
      </c>
      <c r="G125" s="110">
        <f t="shared" si="51"/>
        <v>0.31787467631758964</v>
      </c>
      <c r="I125" s="379">
        <f t="shared" si="24"/>
        <v>19.41752089025811</v>
      </c>
      <c r="J125" s="85">
        <v>2018</v>
      </c>
      <c r="K125" s="197">
        <f t="shared" si="25"/>
        <v>43576</v>
      </c>
      <c r="L125" s="435">
        <f t="shared" si="26"/>
        <v>1.8190143578251661E-3</v>
      </c>
      <c r="M125" s="842"/>
      <c r="N125" s="842"/>
      <c r="O125" s="323">
        <f t="shared" si="27"/>
        <v>8.3684213995301494E-3</v>
      </c>
      <c r="P125" s="169">
        <f>(INDEX(Models!$BJ125:$BT125,,T125)*(1-R125)+INDEX(Models!$BJ125:$BT125,,T125+1)*R125-ERP_i)*Q125*Ramure*Pc/MaxiM</f>
        <v>3.5095243431885927E-6</v>
      </c>
      <c r="Q125" s="304">
        <f t="shared" si="28"/>
        <v>0.6</v>
      </c>
      <c r="R125" s="177">
        <f t="shared" si="29"/>
        <v>0.55529862221500204</v>
      </c>
      <c r="S125" s="799">
        <f t="shared" si="47"/>
        <v>-2</v>
      </c>
      <c r="T125" s="176">
        <f t="shared" si="30"/>
        <v>4</v>
      </c>
      <c r="U125" s="250">
        <f t="shared" si="31"/>
        <v>-1.444701377784998</v>
      </c>
      <c r="V125" s="382">
        <f t="shared" si="32"/>
        <v>60.463873662805113</v>
      </c>
      <c r="W125" s="58"/>
      <c r="X125" s="157">
        <f t="shared" si="33"/>
        <v>43576</v>
      </c>
      <c r="Y125" s="383">
        <f t="shared" si="34"/>
        <v>19.22</v>
      </c>
      <c r="Z125" s="383">
        <f t="shared" si="35"/>
        <v>19.255025167239491</v>
      </c>
      <c r="AA125" s="384">
        <f t="shared" si="36"/>
        <v>19.417519150020308</v>
      </c>
      <c r="AB125" s="197">
        <f t="shared" si="37"/>
        <v>43576</v>
      </c>
      <c r="AC125" s="424">
        <f t="shared" si="38"/>
        <v>8.3684213995301494E-3</v>
      </c>
      <c r="AD125" s="169">
        <f>(INDEX(Models!$BJ125:$BT125,,AH125)*(1-AF125)+INDEX(Models!$BJ125:$BT125,,AH125+1)*AF125-ERP_i)*AE125*Ramure*Pc/MaxiM</f>
        <v>3.5095243431885927E-6</v>
      </c>
      <c r="AE125" s="304">
        <f t="shared" si="39"/>
        <v>0.6</v>
      </c>
      <c r="AF125" s="177">
        <f t="shared" si="40"/>
        <v>0.55529862221500204</v>
      </c>
      <c r="AG125" s="799">
        <f t="shared" si="41"/>
        <v>-2</v>
      </c>
      <c r="AH125" s="176">
        <f t="shared" si="42"/>
        <v>4</v>
      </c>
      <c r="AI125" s="224">
        <f t="shared" si="43"/>
        <v>-1.444701377784998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33.32</v>
      </c>
      <c r="C126" s="388"/>
      <c r="D126" s="391">
        <f t="shared" si="48"/>
        <v>33.381359755115056</v>
      </c>
      <c r="E126" s="383">
        <f t="shared" si="49"/>
        <v>33.666039934325077</v>
      </c>
      <c r="F126" s="383">
        <f t="shared" si="50"/>
        <v>33.666082670797877</v>
      </c>
      <c r="G126" s="110">
        <f t="shared" si="51"/>
        <v>0.54942845266719453</v>
      </c>
      <c r="I126" s="379">
        <f t="shared" si="24"/>
        <v>33.666082670797877</v>
      </c>
      <c r="J126" s="85">
        <v>2018</v>
      </c>
      <c r="K126" s="197">
        <f t="shared" si="25"/>
        <v>43577</v>
      </c>
      <c r="L126" s="435">
        <f t="shared" si="26"/>
        <v>1.8381442686933314E-3</v>
      </c>
      <c r="M126" s="842"/>
      <c r="N126" s="842"/>
      <c r="O126" s="323">
        <f t="shared" si="27"/>
        <v>8.4560043226160897E-3</v>
      </c>
      <c r="P126" s="169">
        <f>(INDEX(Models!$BJ126:$BT126,,T126)*(1-R126)+INDEX(Models!$BJ126:$BT126,,T126+1)*R126-ERP_i)*Q126*Ramure*Pc/MaxiM</f>
        <v>3.5625087820507149E-6</v>
      </c>
      <c r="Q126" s="304">
        <f t="shared" si="28"/>
        <v>0.6</v>
      </c>
      <c r="R126" s="177">
        <f t="shared" si="29"/>
        <v>0.55740390576188448</v>
      </c>
      <c r="S126" s="799">
        <f t="shared" si="47"/>
        <v>-2</v>
      </c>
      <c r="T126" s="176">
        <f t="shared" si="30"/>
        <v>4</v>
      </c>
      <c r="U126" s="250">
        <f t="shared" si="31"/>
        <v>-1.4425960942381155</v>
      </c>
      <c r="V126" s="382">
        <f t="shared" si="32"/>
        <v>60.644699837634825</v>
      </c>
      <c r="W126" s="58"/>
      <c r="X126" s="157">
        <f t="shared" si="33"/>
        <v>43577</v>
      </c>
      <c r="Y126" s="383">
        <f t="shared" si="34"/>
        <v>33.32</v>
      </c>
      <c r="Z126" s="383">
        <f t="shared" si="35"/>
        <v>33.381359755115056</v>
      </c>
      <c r="AA126" s="384">
        <f t="shared" si="36"/>
        <v>33.666039934325077</v>
      </c>
      <c r="AB126" s="197">
        <f t="shared" si="37"/>
        <v>43577</v>
      </c>
      <c r="AC126" s="424">
        <f t="shared" si="38"/>
        <v>8.4560043226160897E-3</v>
      </c>
      <c r="AD126" s="169">
        <f>(INDEX(Models!$BJ126:$BT126,,AH126)*(1-AF126)+INDEX(Models!$BJ126:$BT126,,AH126+1)*AF126-ERP_i)*AE126*Ramure*Pc/MaxiM</f>
        <v>3.5625087820507149E-6</v>
      </c>
      <c r="AE126" s="304">
        <f t="shared" si="39"/>
        <v>0.6</v>
      </c>
      <c r="AF126" s="177">
        <f t="shared" si="40"/>
        <v>0.55740390576188448</v>
      </c>
      <c r="AG126" s="799">
        <f t="shared" si="41"/>
        <v>-2</v>
      </c>
      <c r="AH126" s="176">
        <f t="shared" si="42"/>
        <v>4</v>
      </c>
      <c r="AI126" s="224">
        <f t="shared" si="43"/>
        <v>-1.4425960942381155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37.042999999999999</v>
      </c>
      <c r="C127" s="388"/>
      <c r="D127" s="391">
        <f t="shared" si="48"/>
        <v>37.111927010183798</v>
      </c>
      <c r="E127" s="383">
        <f t="shared" si="49"/>
        <v>37.431732356031645</v>
      </c>
      <c r="F127" s="383">
        <f t="shared" si="50"/>
        <v>37.431792141481438</v>
      </c>
      <c r="G127" s="110">
        <f t="shared" si="51"/>
        <v>0.60906941385712143</v>
      </c>
      <c r="I127" s="379">
        <f t="shared" si="24"/>
        <v>37.431792141481438</v>
      </c>
      <c r="J127" s="85">
        <v>2018</v>
      </c>
      <c r="K127" s="197">
        <f t="shared" si="25"/>
        <v>43578</v>
      </c>
      <c r="L127" s="435">
        <f t="shared" si="26"/>
        <v>1.8572738129410959E-3</v>
      </c>
      <c r="M127" s="842"/>
      <c r="N127" s="842"/>
      <c r="O127" s="323">
        <f t="shared" si="27"/>
        <v>8.5436961027081856E-3</v>
      </c>
      <c r="P127" s="169">
        <f>(INDEX(Models!$BJ127:$BT127,,T127)*(1-R127)+INDEX(Models!$BJ127:$BT127,,T127+1)*R127-ERP_i)*Q127*Ramure*Pc/MaxiM</f>
        <v>3.6173885779656898E-6</v>
      </c>
      <c r="Q127" s="304">
        <f t="shared" si="28"/>
        <v>0.6</v>
      </c>
      <c r="R127" s="177">
        <f t="shared" si="29"/>
        <v>0.55957637476591793</v>
      </c>
      <c r="S127" s="799">
        <f t="shared" si="47"/>
        <v>-2</v>
      </c>
      <c r="T127" s="176">
        <f t="shared" si="30"/>
        <v>4</v>
      </c>
      <c r="U127" s="250">
        <f t="shared" si="31"/>
        <v>-1.4404236252340821</v>
      </c>
      <c r="V127" s="382">
        <f t="shared" si="32"/>
        <v>60.818889149016442</v>
      </c>
      <c r="W127" s="58"/>
      <c r="X127" s="157">
        <f t="shared" si="33"/>
        <v>43578</v>
      </c>
      <c r="Y127" s="383">
        <f t="shared" si="34"/>
        <v>37.042999999999999</v>
      </c>
      <c r="Z127" s="383">
        <f t="shared" si="35"/>
        <v>37.111927010183798</v>
      </c>
      <c r="AA127" s="384">
        <f t="shared" si="36"/>
        <v>37.431732356031645</v>
      </c>
      <c r="AB127" s="197">
        <f t="shared" si="37"/>
        <v>43578</v>
      </c>
      <c r="AC127" s="424">
        <f t="shared" si="38"/>
        <v>8.5436961027081856E-3</v>
      </c>
      <c r="AD127" s="169">
        <f>(INDEX(Models!$BJ127:$BT127,,AH127)*(1-AF127)+INDEX(Models!$BJ127:$BT127,,AH127+1)*AF127-ERP_i)*AE127*Ramure*Pc/MaxiM</f>
        <v>3.6173885779656898E-6</v>
      </c>
      <c r="AE127" s="304">
        <f t="shared" si="39"/>
        <v>0.6</v>
      </c>
      <c r="AF127" s="177">
        <f t="shared" si="40"/>
        <v>0.55957637476591793</v>
      </c>
      <c r="AG127" s="799">
        <f t="shared" si="41"/>
        <v>-2</v>
      </c>
      <c r="AH127" s="176">
        <f t="shared" si="42"/>
        <v>4</v>
      </c>
      <c r="AI127" s="224">
        <f t="shared" si="43"/>
        <v>-1.4404236252340821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51.851999999999997</v>
      </c>
      <c r="C128" s="388"/>
      <c r="D128" s="391">
        <f t="shared" si="48"/>
        <v>51.949478156171075</v>
      </c>
      <c r="E128" s="383">
        <f t="shared" si="49"/>
        <v>52.401784182676415</v>
      </c>
      <c r="F128" s="383">
        <f t="shared" si="50"/>
        <v>52.401935556214717</v>
      </c>
      <c r="G128" s="110">
        <f t="shared" si="51"/>
        <v>0.85022107126179514</v>
      </c>
      <c r="I128" s="379">
        <f t="shared" si="24"/>
        <v>52.401935556214717</v>
      </c>
      <c r="J128" s="85">
        <v>2018</v>
      </c>
      <c r="K128" s="197">
        <f t="shared" si="25"/>
        <v>43579</v>
      </c>
      <c r="L128" s="435">
        <f t="shared" si="26"/>
        <v>1.8764029905755653E-3</v>
      </c>
      <c r="M128" s="842"/>
      <c r="N128" s="842"/>
      <c r="O128" s="323">
        <f t="shared" si="27"/>
        <v>8.6315005025128268E-3</v>
      </c>
      <c r="P128" s="169">
        <f>(INDEX(Models!$BJ128:$BT128,,T128)*(1-R128)+INDEX(Models!$BJ128:$BT128,,T128+1)*R128-ERP_i)*Q128*Ramure*Pc/MaxiM</f>
        <v>3.6750472571258574E-6</v>
      </c>
      <c r="Q128" s="304">
        <f t="shared" si="28"/>
        <v>0.6</v>
      </c>
      <c r="R128" s="177">
        <f t="shared" si="29"/>
        <v>0.56181737415249944</v>
      </c>
      <c r="S128" s="799">
        <f t="shared" si="47"/>
        <v>-2</v>
      </c>
      <c r="T128" s="176">
        <f t="shared" si="30"/>
        <v>4</v>
      </c>
      <c r="U128" s="250">
        <f t="shared" si="31"/>
        <v>-1.4381826258475006</v>
      </c>
      <c r="V128" s="382">
        <f t="shared" si="32"/>
        <v>60.986443383858024</v>
      </c>
      <c r="W128" s="58"/>
      <c r="X128" s="157">
        <f t="shared" si="33"/>
        <v>43579</v>
      </c>
      <c r="Y128" s="383">
        <f t="shared" si="34"/>
        <v>51.851999999999997</v>
      </c>
      <c r="Z128" s="383">
        <f t="shared" si="35"/>
        <v>51.949478156171075</v>
      </c>
      <c r="AA128" s="384">
        <f t="shared" si="36"/>
        <v>52.401784182676415</v>
      </c>
      <c r="AB128" s="197">
        <f t="shared" si="37"/>
        <v>43579</v>
      </c>
      <c r="AC128" s="424">
        <f t="shared" si="38"/>
        <v>8.6315005025128268E-3</v>
      </c>
      <c r="AD128" s="169">
        <f>(INDEX(Models!$BJ128:$BT128,,AH128)*(1-AF128)+INDEX(Models!$BJ128:$BT128,,AH128+1)*AF128-ERP_i)*AE128*Ramure*Pc/MaxiM</f>
        <v>3.6750472571258574E-6</v>
      </c>
      <c r="AE128" s="304">
        <f t="shared" si="39"/>
        <v>0.6</v>
      </c>
      <c r="AF128" s="177">
        <f t="shared" si="40"/>
        <v>0.56181737415249944</v>
      </c>
      <c r="AG128" s="799">
        <f t="shared" si="41"/>
        <v>-2</v>
      </c>
      <c r="AH128" s="176">
        <f t="shared" si="42"/>
        <v>4</v>
      </c>
      <c r="AI128" s="224">
        <f t="shared" si="43"/>
        <v>-1.4381826258475006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35.655999999999999</v>
      </c>
      <c r="C129" s="388"/>
      <c r="D129" s="391">
        <f t="shared" si="48"/>
        <v>35.723715438685467</v>
      </c>
      <c r="E129" s="383">
        <f t="shared" si="49"/>
        <v>36.037945460176921</v>
      </c>
      <c r="F129" s="383">
        <f t="shared" si="50"/>
        <v>36.037999895469746</v>
      </c>
      <c r="G129" s="110">
        <f t="shared" si="51"/>
        <v>0.58311459567107538</v>
      </c>
      <c r="I129" s="379">
        <f t="shared" si="24"/>
        <v>36.037999895469746</v>
      </c>
      <c r="J129" s="85">
        <v>2018</v>
      </c>
      <c r="K129" s="197">
        <f t="shared" si="25"/>
        <v>43580</v>
      </c>
      <c r="L129" s="435">
        <f t="shared" si="26"/>
        <v>1.8955318016036227E-3</v>
      </c>
      <c r="M129" s="842"/>
      <c r="N129" s="842"/>
      <c r="O129" s="323">
        <f t="shared" si="27"/>
        <v>8.7194210846089706E-3</v>
      </c>
      <c r="P129" s="169">
        <f>(INDEX(Models!$BJ129:$BT129,,T129)*(1-R129)+INDEX(Models!$BJ129:$BT129,,T129+1)*R129-ERP_i)*Q129*Ramure*Pc/MaxiM</f>
        <v>3.7346823978528711E-6</v>
      </c>
      <c r="Q129" s="304">
        <f t="shared" si="28"/>
        <v>0.6</v>
      </c>
      <c r="R129" s="177">
        <f t="shared" si="29"/>
        <v>0.56412821565746518</v>
      </c>
      <c r="S129" s="799">
        <f t="shared" si="47"/>
        <v>-2</v>
      </c>
      <c r="T129" s="176">
        <f t="shared" si="30"/>
        <v>4</v>
      </c>
      <c r="U129" s="250">
        <f t="shared" si="31"/>
        <v>-1.4358717843425348</v>
      </c>
      <c r="V129" s="382">
        <f t="shared" si="32"/>
        <v>61.147364444364911</v>
      </c>
      <c r="W129" s="58"/>
      <c r="X129" s="157">
        <f t="shared" si="33"/>
        <v>43580</v>
      </c>
      <c r="Y129" s="383">
        <f t="shared" si="34"/>
        <v>35.655999999999999</v>
      </c>
      <c r="Z129" s="383">
        <f t="shared" si="35"/>
        <v>35.723715438685467</v>
      </c>
      <c r="AA129" s="384">
        <f t="shared" si="36"/>
        <v>36.037945460176921</v>
      </c>
      <c r="AB129" s="197">
        <f t="shared" si="37"/>
        <v>43580</v>
      </c>
      <c r="AC129" s="424">
        <f t="shared" si="38"/>
        <v>8.7194210846089706E-3</v>
      </c>
      <c r="AD129" s="169">
        <f>(INDEX(Models!$BJ129:$BT129,,AH129)*(1-AF129)+INDEX(Models!$BJ129:$BT129,,AH129+1)*AF129-ERP_i)*AE129*Ramure*Pc/MaxiM</f>
        <v>3.7346823978528711E-6</v>
      </c>
      <c r="AE129" s="304">
        <f t="shared" si="39"/>
        <v>0.6</v>
      </c>
      <c r="AF129" s="177">
        <f t="shared" si="40"/>
        <v>0.56412821565746518</v>
      </c>
      <c r="AG129" s="799">
        <f t="shared" si="41"/>
        <v>-2</v>
      </c>
      <c r="AH129" s="176">
        <f t="shared" si="42"/>
        <v>4</v>
      </c>
      <c r="AI129" s="224">
        <f t="shared" si="43"/>
        <v>-1.4358717843425348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28.896000000000001</v>
      </c>
      <c r="C130" s="388"/>
      <c r="D130" s="391">
        <f t="shared" si="48"/>
        <v>28.951432156215212</v>
      </c>
      <c r="E130" s="383">
        <f t="shared" si="49"/>
        <v>29.20868652934363</v>
      </c>
      <c r="F130" s="383">
        <f t="shared" si="50"/>
        <v>29.208713677134376</v>
      </c>
      <c r="G130" s="110">
        <f t="shared" si="51"/>
        <v>0.47137255164800457</v>
      </c>
      <c r="I130" s="379">
        <f t="shared" si="24"/>
        <v>29.208713677134376</v>
      </c>
      <c r="J130" s="85">
        <v>2018</v>
      </c>
      <c r="K130" s="197">
        <f t="shared" si="25"/>
        <v>43581</v>
      </c>
      <c r="L130" s="435">
        <f t="shared" si="26"/>
        <v>1.9146602460324846E-3</v>
      </c>
      <c r="M130" s="842"/>
      <c r="N130" s="842"/>
      <c r="O130" s="323">
        <f t="shared" si="27"/>
        <v>8.8074611937779858E-3</v>
      </c>
      <c r="P130" s="169">
        <f>(INDEX(Models!$BJ130:$BT130,,T130)*(1-R130)+INDEX(Models!$BJ130:$BT130,,T130+1)*R130-ERP_i)*Q130*Ramure*Pc/MaxiM</f>
        <v>3.7964301481103174E-6</v>
      </c>
      <c r="Q130" s="304">
        <f t="shared" si="28"/>
        <v>0.6</v>
      </c>
      <c r="R130" s="177">
        <f t="shared" si="29"/>
        <v>0.56651017243532409</v>
      </c>
      <c r="S130" s="799">
        <f t="shared" si="47"/>
        <v>-2</v>
      </c>
      <c r="T130" s="176">
        <f t="shared" si="30"/>
        <v>4</v>
      </c>
      <c r="U130" s="250">
        <f t="shared" si="31"/>
        <v>-1.4334898275646759</v>
      </c>
      <c r="V130" s="382">
        <f t="shared" si="32"/>
        <v>61.301654189226142</v>
      </c>
      <c r="W130" s="58"/>
      <c r="X130" s="157">
        <f t="shared" si="33"/>
        <v>43581</v>
      </c>
      <c r="Y130" s="383">
        <f t="shared" si="34"/>
        <v>28.896000000000001</v>
      </c>
      <c r="Z130" s="383">
        <f t="shared" si="35"/>
        <v>28.951432156215212</v>
      </c>
      <c r="AA130" s="384">
        <f t="shared" si="36"/>
        <v>29.20868652934363</v>
      </c>
      <c r="AB130" s="197">
        <f t="shared" si="37"/>
        <v>43581</v>
      </c>
      <c r="AC130" s="424">
        <f t="shared" si="38"/>
        <v>8.8074611937779858E-3</v>
      </c>
      <c r="AD130" s="169">
        <f>(INDEX(Models!$BJ130:$BT130,,AH130)*(1-AF130)+INDEX(Models!$BJ130:$BT130,,AH130+1)*AF130-ERP_i)*AE130*Ramure*Pc/MaxiM</f>
        <v>3.7964301481103174E-6</v>
      </c>
      <c r="AE130" s="304">
        <f t="shared" si="39"/>
        <v>0.6</v>
      </c>
      <c r="AF130" s="177">
        <f t="shared" si="40"/>
        <v>0.56651017243532409</v>
      </c>
      <c r="AG130" s="799">
        <f t="shared" si="41"/>
        <v>-2</v>
      </c>
      <c r="AH130" s="176">
        <f t="shared" si="42"/>
        <v>4</v>
      </c>
      <c r="AI130" s="224">
        <f t="shared" si="43"/>
        <v>-1.4334898275646759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29.513000000000002</v>
      </c>
      <c r="C131" s="388"/>
      <c r="D131" s="391">
        <f t="shared" si="48"/>
        <v>29.570182473602131</v>
      </c>
      <c r="E131" s="383">
        <f t="shared" si="49"/>
        <v>29.8355886502289</v>
      </c>
      <c r="F131" s="383">
        <f t="shared" si="50"/>
        <v>29.835618313978816</v>
      </c>
      <c r="G131" s="110">
        <f t="shared" si="51"/>
        <v>0.48028062887493878</v>
      </c>
      <c r="I131" s="379">
        <f t="shared" si="24"/>
        <v>29.835618313978816</v>
      </c>
      <c r="J131" s="85">
        <v>2018</v>
      </c>
      <c r="K131" s="197">
        <f t="shared" si="25"/>
        <v>43582</v>
      </c>
      <c r="L131" s="435">
        <f t="shared" si="26"/>
        <v>1.9337883238690345E-3</v>
      </c>
      <c r="M131" s="842"/>
      <c r="N131" s="842"/>
      <c r="O131" s="323">
        <f t="shared" si="27"/>
        <v>8.8956239388537205E-3</v>
      </c>
      <c r="P131" s="169">
        <f>(INDEX(Models!$BJ131:$BT131,,T131)*(1-R131)+INDEX(Models!$BJ131:$BT131,,T131+1)*R131-ERP_i)*Q131*Ramure*Pc/MaxiM</f>
        <v>3.8604387651490018E-6</v>
      </c>
      <c r="Q131" s="304">
        <f t="shared" si="28"/>
        <v>0.6</v>
      </c>
      <c r="R131" s="177">
        <f t="shared" si="29"/>
        <v>0.56896447342245904</v>
      </c>
      <c r="S131" s="799">
        <f t="shared" si="47"/>
        <v>-2</v>
      </c>
      <c r="T131" s="176">
        <f t="shared" si="30"/>
        <v>4</v>
      </c>
      <c r="U131" s="250">
        <f t="shared" si="31"/>
        <v>-1.431035526577541</v>
      </c>
      <c r="V131" s="382">
        <f t="shared" si="32"/>
        <v>61.449314495383504</v>
      </c>
      <c r="W131" s="58"/>
      <c r="X131" s="157">
        <f t="shared" si="33"/>
        <v>43582</v>
      </c>
      <c r="Y131" s="383">
        <f t="shared" si="34"/>
        <v>29.513000000000002</v>
      </c>
      <c r="Z131" s="383">
        <f t="shared" si="35"/>
        <v>29.570182473602131</v>
      </c>
      <c r="AA131" s="384">
        <f t="shared" si="36"/>
        <v>29.8355886502289</v>
      </c>
      <c r="AB131" s="197">
        <f t="shared" si="37"/>
        <v>43582</v>
      </c>
      <c r="AC131" s="424">
        <f t="shared" si="38"/>
        <v>8.8956239388537205E-3</v>
      </c>
      <c r="AD131" s="169">
        <f>(INDEX(Models!$BJ131:$BT131,,AH131)*(1-AF131)+INDEX(Models!$BJ131:$BT131,,AH131+1)*AF131-ERP_i)*AE131*Ramure*Pc/MaxiM</f>
        <v>3.8604387651490018E-6</v>
      </c>
      <c r="AE131" s="304">
        <f t="shared" si="39"/>
        <v>0.6</v>
      </c>
      <c r="AF131" s="177">
        <f t="shared" si="40"/>
        <v>0.56896447342245904</v>
      </c>
      <c r="AG131" s="799">
        <f t="shared" si="41"/>
        <v>-2</v>
      </c>
      <c r="AH131" s="176">
        <f t="shared" si="42"/>
        <v>4</v>
      </c>
      <c r="AI131" s="224">
        <f t="shared" si="43"/>
        <v>-1.431035526577541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46.210999999999999</v>
      </c>
      <c r="C132" s="388"/>
      <c r="D132" s="391">
        <f t="shared" si="48"/>
        <v>46.301422791017458</v>
      </c>
      <c r="E132" s="383">
        <f t="shared" si="49"/>
        <v>46.721161603538064</v>
      </c>
      <c r="F132" s="383">
        <f t="shared" si="50"/>
        <v>46.721279625112096</v>
      </c>
      <c r="G132" s="110">
        <f t="shared" si="51"/>
        <v>0.75029509210478296</v>
      </c>
      <c r="I132" s="379">
        <f t="shared" si="24"/>
        <v>46.721279625112096</v>
      </c>
      <c r="J132" s="85">
        <v>2018</v>
      </c>
      <c r="K132" s="197">
        <f t="shared" si="25"/>
        <v>43583</v>
      </c>
      <c r="L132" s="435">
        <f t="shared" si="26"/>
        <v>1.9529160351202668E-3</v>
      </c>
      <c r="M132" s="842"/>
      <c r="N132" s="842"/>
      <c r="O132" s="323">
        <f t="shared" si="27"/>
        <v>8.9839121741532198E-3</v>
      </c>
      <c r="P132" s="169">
        <f>(INDEX(Models!$BJ132:$BT132,,T132)*(1-R132)+INDEX(Models!$BJ132:$BT132,,T132+1)*R132-ERP_i)*Q132*Ramure*Pc/MaxiM</f>
        <v>3.9268696588475787E-6</v>
      </c>
      <c r="Q132" s="304">
        <f t="shared" si="28"/>
        <v>0.6</v>
      </c>
      <c r="R132" s="177">
        <f t="shared" si="29"/>
        <v>0.57149229746533647</v>
      </c>
      <c r="S132" s="799">
        <f t="shared" si="47"/>
        <v>-2</v>
      </c>
      <c r="T132" s="176">
        <f t="shared" si="30"/>
        <v>4</v>
      </c>
      <c r="U132" s="250">
        <f t="shared" si="31"/>
        <v>-1.4285077025346635</v>
      </c>
      <c r="V132" s="382">
        <f t="shared" si="32"/>
        <v>61.590347256832651</v>
      </c>
      <c r="W132" s="58"/>
      <c r="X132" s="157">
        <f t="shared" si="33"/>
        <v>43583</v>
      </c>
      <c r="Y132" s="383">
        <f t="shared" si="34"/>
        <v>46.210999999999999</v>
      </c>
      <c r="Z132" s="383">
        <f t="shared" si="35"/>
        <v>46.301422791017458</v>
      </c>
      <c r="AA132" s="384">
        <f t="shared" si="36"/>
        <v>46.721161603538064</v>
      </c>
      <c r="AB132" s="197">
        <f t="shared" si="37"/>
        <v>43583</v>
      </c>
      <c r="AC132" s="424">
        <f t="shared" si="38"/>
        <v>8.9839121741532198E-3</v>
      </c>
      <c r="AD132" s="169">
        <f>(INDEX(Models!$BJ132:$BT132,,AH132)*(1-AF132)+INDEX(Models!$BJ132:$BT132,,AH132+1)*AF132-ERP_i)*AE132*Ramure*Pc/MaxiM</f>
        <v>3.9268696588475787E-6</v>
      </c>
      <c r="AE132" s="304">
        <f t="shared" si="39"/>
        <v>0.6</v>
      </c>
      <c r="AF132" s="177">
        <f t="shared" si="40"/>
        <v>0.57149229746533647</v>
      </c>
      <c r="AG132" s="799">
        <f t="shared" si="41"/>
        <v>-2</v>
      </c>
      <c r="AH132" s="176">
        <f t="shared" si="42"/>
        <v>4</v>
      </c>
      <c r="AI132" s="224">
        <f t="shared" si="43"/>
        <v>-1.4285077025346635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51.212000000000003</v>
      </c>
      <c r="C133" s="388"/>
      <c r="D133" s="391">
        <f t="shared" si="48"/>
        <v>51.313191840264658</v>
      </c>
      <c r="E133" s="383">
        <f t="shared" si="49"/>
        <v>51.782984081556236</v>
      </c>
      <c r="F133" s="383">
        <f t="shared" si="50"/>
        <v>51.783140656081144</v>
      </c>
      <c r="G133" s="110">
        <f t="shared" si="51"/>
        <v>0.82968252713284929</v>
      </c>
      <c r="I133" s="379">
        <f t="shared" si="24"/>
        <v>51.783140656081144</v>
      </c>
      <c r="J133" s="85">
        <v>2018</v>
      </c>
      <c r="K133" s="197">
        <f t="shared" si="25"/>
        <v>43584</v>
      </c>
      <c r="L133" s="435">
        <f t="shared" si="26"/>
        <v>1.9720433797932868E-3</v>
      </c>
      <c r="M133" s="842"/>
      <c r="N133" s="842"/>
      <c r="O133" s="323">
        <f t="shared" si="27"/>
        <v>9.0723284805617095E-3</v>
      </c>
      <c r="P133" s="169">
        <f>(INDEX(Models!$BJ133:$BT133,,T133)*(1-R133)+INDEX(Models!$BJ133:$BT133,,T133+1)*R133-ERP_i)*Q133*Ramure*Pc/MaxiM</f>
        <v>3.9958984929898954E-6</v>
      </c>
      <c r="Q133" s="304">
        <f t="shared" si="28"/>
        <v>0.6</v>
      </c>
      <c r="R133" s="177">
        <f t="shared" si="29"/>
        <v>0.57409476722646846</v>
      </c>
      <c r="S133" s="799">
        <f t="shared" si="47"/>
        <v>-2</v>
      </c>
      <c r="T133" s="176">
        <f t="shared" si="30"/>
        <v>4</v>
      </c>
      <c r="U133" s="250">
        <f t="shared" si="31"/>
        <v>-1.4259052327735315</v>
      </c>
      <c r="V133" s="382">
        <f t="shared" si="32"/>
        <v>61.724754390647121</v>
      </c>
      <c r="W133" s="58"/>
      <c r="X133" s="157">
        <f t="shared" si="33"/>
        <v>43584</v>
      </c>
      <c r="Y133" s="383">
        <f t="shared" si="34"/>
        <v>51.212000000000003</v>
      </c>
      <c r="Z133" s="383">
        <f t="shared" si="35"/>
        <v>51.313191840264658</v>
      </c>
      <c r="AA133" s="384">
        <f t="shared" si="36"/>
        <v>51.782984081556236</v>
      </c>
      <c r="AB133" s="197">
        <f t="shared" si="37"/>
        <v>43584</v>
      </c>
      <c r="AC133" s="424">
        <f t="shared" si="38"/>
        <v>9.0723284805617095E-3</v>
      </c>
      <c r="AD133" s="169">
        <f>(INDEX(Models!$BJ133:$BT133,,AH133)*(1-AF133)+INDEX(Models!$BJ133:$BT133,,AH133+1)*AF133-ERP_i)*AE133*Ramure*Pc/MaxiM</f>
        <v>3.9958984929898954E-6</v>
      </c>
      <c r="AE133" s="304">
        <f t="shared" si="39"/>
        <v>0.6</v>
      </c>
      <c r="AF133" s="177">
        <f t="shared" si="40"/>
        <v>0.57409476722646846</v>
      </c>
      <c r="AG133" s="799">
        <f t="shared" si="41"/>
        <v>-2</v>
      </c>
      <c r="AH133" s="176">
        <f t="shared" si="42"/>
        <v>4</v>
      </c>
      <c r="AI133" s="224">
        <f t="shared" si="43"/>
        <v>-1.4259052327735315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60.962000000000003</v>
      </c>
      <c r="C134" s="388"/>
      <c r="D134" s="391">
        <f t="shared" si="48"/>
        <v>61.083627909245592</v>
      </c>
      <c r="E134" s="383">
        <f t="shared" si="49"/>
        <v>61.648381030844249</v>
      </c>
      <c r="F134" s="383">
        <f t="shared" si="50"/>
        <v>61.648626642094747</v>
      </c>
      <c r="G134" s="110">
        <f t="shared" si="51"/>
        <v>0.98560216025503111</v>
      </c>
      <c r="I134" s="379">
        <f t="shared" si="24"/>
        <v>61.648626642094747</v>
      </c>
      <c r="J134" s="85">
        <v>2018</v>
      </c>
      <c r="K134" s="197">
        <f t="shared" si="25"/>
        <v>43585</v>
      </c>
      <c r="L134" s="435">
        <f t="shared" si="26"/>
        <v>1.9911703578952E-3</v>
      </c>
      <c r="M134" s="842"/>
      <c r="N134" s="842"/>
      <c r="O134" s="323">
        <f t="shared" si="27"/>
        <v>9.1608751463578119E-3</v>
      </c>
      <c r="P134" s="169">
        <f>(INDEX(Models!$BJ134:$BT134,,T134)*(1-R134)+INDEX(Models!$BJ134:$BT134,,T134+1)*R134-ERP_i)*Q134*Ramure*Pc/MaxiM</f>
        <v>4.0677163448924246E-6</v>
      </c>
      <c r="Q134" s="304">
        <f t="shared" si="28"/>
        <v>0.6</v>
      </c>
      <c r="R134" s="177">
        <f t="shared" si="29"/>
        <v>0.57677294288374759</v>
      </c>
      <c r="S134" s="799">
        <f t="shared" si="47"/>
        <v>-2</v>
      </c>
      <c r="T134" s="176">
        <f t="shared" si="30"/>
        <v>4</v>
      </c>
      <c r="U134" s="250">
        <f t="shared" si="31"/>
        <v>-1.4232270571162524</v>
      </c>
      <c r="V134" s="382">
        <f t="shared" si="32"/>
        <v>61.852537827003886</v>
      </c>
      <c r="W134" s="58"/>
      <c r="X134" s="157">
        <f t="shared" si="33"/>
        <v>43585</v>
      </c>
      <c r="Y134" s="383">
        <f t="shared" si="34"/>
        <v>60.962000000000003</v>
      </c>
      <c r="Z134" s="383">
        <f t="shared" si="35"/>
        <v>61.083627909245592</v>
      </c>
      <c r="AA134" s="384">
        <f t="shared" si="36"/>
        <v>61.648381030844249</v>
      </c>
      <c r="AB134" s="197">
        <f t="shared" si="37"/>
        <v>43585</v>
      </c>
      <c r="AC134" s="424">
        <f t="shared" si="38"/>
        <v>9.1608751463578119E-3</v>
      </c>
      <c r="AD134" s="169">
        <f>(INDEX(Models!$BJ134:$BT134,,AH134)*(1-AF134)+INDEX(Models!$BJ134:$BT134,,AH134+1)*AF134-ERP_i)*AE134*Ramure*Pc/MaxiM</f>
        <v>4.0677163448924246E-6</v>
      </c>
      <c r="AE134" s="304">
        <f t="shared" si="39"/>
        <v>0.6</v>
      </c>
      <c r="AF134" s="177">
        <f t="shared" si="40"/>
        <v>0.57677294288374759</v>
      </c>
      <c r="AG134" s="799">
        <f t="shared" si="41"/>
        <v>-2</v>
      </c>
      <c r="AH134" s="176">
        <f t="shared" si="42"/>
        <v>4</v>
      </c>
      <c r="AI134" s="224">
        <f t="shared" si="43"/>
        <v>-1.4232270571162524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56.456000000000003</v>
      </c>
      <c r="C135" s="388"/>
      <c r="D135" s="391">
        <f t="shared" si="48"/>
        <v>56.569721940578809</v>
      </c>
      <c r="E135" s="383">
        <f t="shared" si="49"/>
        <v>57.097851610780225</v>
      </c>
      <c r="F135" s="383">
        <f t="shared" si="50"/>
        <v>57.098058064772587</v>
      </c>
      <c r="G135" s="110">
        <f t="shared" si="51"/>
        <v>0.91098042516498157</v>
      </c>
      <c r="I135" s="379">
        <f t="shared" si="24"/>
        <v>57.098058064772587</v>
      </c>
      <c r="J135" s="85">
        <v>2018</v>
      </c>
      <c r="K135" s="197">
        <f t="shared" si="25"/>
        <v>43586</v>
      </c>
      <c r="L135" s="435">
        <f t="shared" si="26"/>
        <v>2.0102969694328898E-3</v>
      </c>
      <c r="M135" s="842"/>
      <c r="N135" s="842"/>
      <c r="O135" s="323">
        <f t="shared" si="27"/>
        <v>9.2495541478779305E-3</v>
      </c>
      <c r="P135" s="169">
        <f>(INDEX(Models!$BJ135:$BT135,,T135)*(1-R135)+INDEX(Models!$BJ135:$BT135,,T135+1)*R135-ERP_i)*Q135*Ramure*Pc/MaxiM</f>
        <v>4.1425937935858865E-6</v>
      </c>
      <c r="Q135" s="304">
        <f t="shared" si="28"/>
        <v>0.6</v>
      </c>
      <c r="R135" s="177">
        <f t="shared" si="29"/>
        <v>0.57952781564180755</v>
      </c>
      <c r="S135" s="799">
        <f t="shared" si="47"/>
        <v>-2</v>
      </c>
      <c r="T135" s="176">
        <f t="shared" si="30"/>
        <v>4</v>
      </c>
      <c r="U135" s="250">
        <f t="shared" si="31"/>
        <v>-1.4204721843581924</v>
      </c>
      <c r="V135" s="382">
        <f t="shared" si="32"/>
        <v>61.972758907355029</v>
      </c>
      <c r="W135" s="58"/>
      <c r="X135" s="157">
        <f t="shared" si="33"/>
        <v>43586</v>
      </c>
      <c r="Y135" s="383">
        <f t="shared" si="34"/>
        <v>56.456000000000003</v>
      </c>
      <c r="Z135" s="383">
        <f t="shared" si="35"/>
        <v>56.569721940578809</v>
      </c>
      <c r="AA135" s="384">
        <f t="shared" si="36"/>
        <v>57.097851610780225</v>
      </c>
      <c r="AB135" s="197">
        <f t="shared" si="37"/>
        <v>43586</v>
      </c>
      <c r="AC135" s="424">
        <f t="shared" si="38"/>
        <v>9.2495541478779305E-3</v>
      </c>
      <c r="AD135" s="169">
        <f>(INDEX(Models!$BJ135:$BT135,,AH135)*(1-AF135)+INDEX(Models!$BJ135:$BT135,,AH135+1)*AF135-ERP_i)*AE135*Ramure*Pc/MaxiM</f>
        <v>4.1425937935858865E-6</v>
      </c>
      <c r="AE135" s="304">
        <f t="shared" si="39"/>
        <v>0.6</v>
      </c>
      <c r="AF135" s="177">
        <f t="shared" si="40"/>
        <v>0.57952781564180755</v>
      </c>
      <c r="AG135" s="799">
        <f t="shared" si="41"/>
        <v>-2</v>
      </c>
      <c r="AH135" s="176">
        <f t="shared" si="42"/>
        <v>4</v>
      </c>
      <c r="AI135" s="224">
        <f t="shared" si="43"/>
        <v>-1.4204721843581924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31.757999999999999</v>
      </c>
      <c r="C136" s="388"/>
      <c r="D136" s="391">
        <f t="shared" si="48"/>
        <v>31.822581485609458</v>
      </c>
      <c r="E136" s="383">
        <f t="shared" si="49"/>
        <v>32.12255368507806</v>
      </c>
      <c r="F136" s="383">
        <f t="shared" si="50"/>
        <v>32.122594679155981</v>
      </c>
      <c r="G136" s="110">
        <f t="shared" si="51"/>
        <v>0.51152492153656359</v>
      </c>
      <c r="I136" s="379">
        <f t="shared" si="24"/>
        <v>32.122594679155981</v>
      </c>
      <c r="J136" s="85">
        <v>2018</v>
      </c>
      <c r="K136" s="197">
        <f t="shared" si="25"/>
        <v>43587</v>
      </c>
      <c r="L136" s="435">
        <f t="shared" si="26"/>
        <v>2.0294232144134616E-3</v>
      </c>
      <c r="M136" s="842"/>
      <c r="N136" s="842"/>
      <c r="O136" s="323">
        <f t="shared" si="27"/>
        <v>9.3383671301310745E-3</v>
      </c>
      <c r="P136" s="169">
        <f>(INDEX(Models!$BJ136:$BT136,,T136)*(1-R136)+INDEX(Models!$BJ136:$BT136,,T136+1)*R136-ERP_i)*Q136*Ramure*Pc/MaxiM</f>
        <v>4.2232219545246085E-6</v>
      </c>
      <c r="Q136" s="304">
        <f t="shared" si="28"/>
        <v>0.6</v>
      </c>
      <c r="R136" s="177">
        <f t="shared" si="29"/>
        <v>0.58236030107724268</v>
      </c>
      <c r="S136" s="799">
        <f t="shared" si="47"/>
        <v>-2</v>
      </c>
      <c r="T136" s="176">
        <f t="shared" si="30"/>
        <v>4</v>
      </c>
      <c r="U136" s="250">
        <f t="shared" si="31"/>
        <v>-1.4176396989227573</v>
      </c>
      <c r="V136" s="382">
        <f t="shared" si="32"/>
        <v>62.08476864077619</v>
      </c>
      <c r="W136" s="58"/>
      <c r="X136" s="157">
        <f t="shared" si="33"/>
        <v>43587</v>
      </c>
      <c r="Y136" s="383">
        <f t="shared" si="34"/>
        <v>31.757999999999999</v>
      </c>
      <c r="Z136" s="383">
        <f t="shared" si="35"/>
        <v>31.822581485609458</v>
      </c>
      <c r="AA136" s="384">
        <f t="shared" si="36"/>
        <v>32.12255368507806</v>
      </c>
      <c r="AB136" s="197">
        <f t="shared" si="37"/>
        <v>43587</v>
      </c>
      <c r="AC136" s="424">
        <f t="shared" si="38"/>
        <v>9.3383671301310745E-3</v>
      </c>
      <c r="AD136" s="169">
        <f>(INDEX(Models!$BJ136:$BT136,,AH136)*(1-AF136)+INDEX(Models!$BJ136:$BT136,,AH136+1)*AF136-ERP_i)*AE136*Ramure*Pc/MaxiM</f>
        <v>4.2232219545246085E-6</v>
      </c>
      <c r="AE136" s="304">
        <f t="shared" si="39"/>
        <v>0.6</v>
      </c>
      <c r="AF136" s="177">
        <f t="shared" si="40"/>
        <v>0.58236030107724268</v>
      </c>
      <c r="AG136" s="799">
        <f t="shared" si="41"/>
        <v>-2</v>
      </c>
      <c r="AH136" s="176">
        <f t="shared" si="42"/>
        <v>4</v>
      </c>
      <c r="AI136" s="224">
        <f t="shared" si="43"/>
        <v>-1.4176396989227573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20.169</v>
      </c>
      <c r="C137" s="388"/>
      <c r="D137" s="391">
        <f t="shared" si="48"/>
        <v>20.21040200068451</v>
      </c>
      <c r="E137" s="383">
        <f t="shared" si="49"/>
        <v>20.402745113641313</v>
      </c>
      <c r="F137" s="383">
        <f t="shared" si="50"/>
        <v>20.402748166363175</v>
      </c>
      <c r="G137" s="110">
        <f t="shared" si="51"/>
        <v>0.3243164374307646</v>
      </c>
      <c r="I137" s="379">
        <f t="shared" si="24"/>
        <v>20.402748166363175</v>
      </c>
      <c r="J137" s="85">
        <v>2018</v>
      </c>
      <c r="K137" s="197">
        <f t="shared" si="25"/>
        <v>43588</v>
      </c>
      <c r="L137" s="435">
        <f t="shared" si="26"/>
        <v>2.0485490928437988E-3</v>
      </c>
      <c r="M137" s="842"/>
      <c r="N137" s="842"/>
      <c r="O137" s="323">
        <f t="shared" si="27"/>
        <v>9.4273153874867999E-3</v>
      </c>
      <c r="P137" s="169">
        <f>(INDEX(Models!$BJ137:$BT137,,T137)*(1-R137)+INDEX(Models!$BJ137:$BT137,,T137+1)*R137-ERP_i)*Q137*Ramure*Pc/MaxiM</f>
        <v>4.3069772733495303E-6</v>
      </c>
      <c r="Q137" s="304">
        <f t="shared" si="28"/>
        <v>0.6</v>
      </c>
      <c r="R137" s="177">
        <f t="shared" si="29"/>
        <v>0.58527123234280642</v>
      </c>
      <c r="S137" s="799">
        <f t="shared" si="47"/>
        <v>-2</v>
      </c>
      <c r="T137" s="176">
        <f t="shared" si="30"/>
        <v>4</v>
      </c>
      <c r="U137" s="250">
        <f t="shared" si="31"/>
        <v>-1.4147287676571936</v>
      </c>
      <c r="V137" s="382">
        <f t="shared" si="32"/>
        <v>62.189003770788688</v>
      </c>
      <c r="W137" s="58"/>
      <c r="X137" s="157">
        <f t="shared" si="33"/>
        <v>43588</v>
      </c>
      <c r="Y137" s="383">
        <f t="shared" si="34"/>
        <v>20.169</v>
      </c>
      <c r="Z137" s="383">
        <f t="shared" si="35"/>
        <v>20.21040200068451</v>
      </c>
      <c r="AA137" s="384">
        <f t="shared" si="36"/>
        <v>20.402745113641313</v>
      </c>
      <c r="AB137" s="197">
        <f t="shared" si="37"/>
        <v>43588</v>
      </c>
      <c r="AC137" s="424">
        <f t="shared" si="38"/>
        <v>9.4273153874867999E-3</v>
      </c>
      <c r="AD137" s="169">
        <f>(INDEX(Models!$BJ137:$BT137,,AH137)*(1-AF137)+INDEX(Models!$BJ137:$BT137,,AH137+1)*AF137-ERP_i)*AE137*Ramure*Pc/MaxiM</f>
        <v>4.3069772733495303E-6</v>
      </c>
      <c r="AE137" s="304">
        <f t="shared" si="39"/>
        <v>0.6</v>
      </c>
      <c r="AF137" s="177">
        <f t="shared" si="40"/>
        <v>0.58527123234280642</v>
      </c>
      <c r="AG137" s="799">
        <f t="shared" si="41"/>
        <v>-2</v>
      </c>
      <c r="AH137" s="176">
        <f t="shared" si="42"/>
        <v>4</v>
      </c>
      <c r="AI137" s="224">
        <f t="shared" si="43"/>
        <v>-1.4147287676571936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34.542999999999999</v>
      </c>
      <c r="C138" s="388"/>
      <c r="D138" s="391">
        <f t="shared" si="48"/>
        <v>34.614571670797353</v>
      </c>
      <c r="E138" s="383">
        <f t="shared" si="49"/>
        <v>34.947142653715368</v>
      </c>
      <c r="F138" s="383">
        <f t="shared" si="50"/>
        <v>34.947198502690853</v>
      </c>
      <c r="G138" s="110">
        <f t="shared" si="51"/>
        <v>0.55458623913878669</v>
      </c>
      <c r="I138" s="379">
        <f t="shared" si="24"/>
        <v>34.947198502690853</v>
      </c>
      <c r="J138" s="85">
        <v>2018</v>
      </c>
      <c r="K138" s="197">
        <f t="shared" si="25"/>
        <v>43589</v>
      </c>
      <c r="L138" s="435">
        <f t="shared" si="26"/>
        <v>2.0676746047311179E-3</v>
      </c>
      <c r="M138" s="842"/>
      <c r="N138" s="842"/>
      <c r="O138" s="323">
        <f t="shared" si="27"/>
        <v>9.5163998445708785E-3</v>
      </c>
      <c r="P138" s="169">
        <f>(INDEX(Models!$BJ138:$BT138,,T138)*(1-R138)+INDEX(Models!$BJ138:$BT138,,T138+1)*R138-ERP_i)*Q138*Ramure*Pc/MaxiM</f>
        <v>4.3940329894524536E-6</v>
      </c>
      <c r="Q138" s="304">
        <f t="shared" si="28"/>
        <v>0.6</v>
      </c>
      <c r="R138" s="177">
        <f t="shared" si="29"/>
        <v>0.58826135325909679</v>
      </c>
      <c r="S138" s="799">
        <f t="shared" si="47"/>
        <v>-2</v>
      </c>
      <c r="T138" s="176">
        <f t="shared" si="30"/>
        <v>4</v>
      </c>
      <c r="U138" s="250">
        <f t="shared" si="31"/>
        <v>-1.4117386467409032</v>
      </c>
      <c r="V138" s="382">
        <f t="shared" si="32"/>
        <v>62.285900698569549</v>
      </c>
      <c r="W138" s="58"/>
      <c r="X138" s="157">
        <f t="shared" si="33"/>
        <v>43589</v>
      </c>
      <c r="Y138" s="383">
        <f t="shared" si="34"/>
        <v>34.542999999999999</v>
      </c>
      <c r="Z138" s="383">
        <f t="shared" si="35"/>
        <v>34.614571670797353</v>
      </c>
      <c r="AA138" s="384">
        <f t="shared" si="36"/>
        <v>34.947142653715368</v>
      </c>
      <c r="AB138" s="197">
        <f t="shared" si="37"/>
        <v>43589</v>
      </c>
      <c r="AC138" s="424">
        <f t="shared" si="38"/>
        <v>9.5163998445708785E-3</v>
      </c>
      <c r="AD138" s="169">
        <f>(INDEX(Models!$BJ138:$BT138,,AH138)*(1-AF138)+INDEX(Models!$BJ138:$BT138,,AH138+1)*AF138-ERP_i)*AE138*Ramure*Pc/MaxiM</f>
        <v>4.3940329894524536E-6</v>
      </c>
      <c r="AE138" s="304">
        <f t="shared" si="39"/>
        <v>0.6</v>
      </c>
      <c r="AF138" s="177">
        <f t="shared" si="40"/>
        <v>0.58826135325909679</v>
      </c>
      <c r="AG138" s="799">
        <f t="shared" si="41"/>
        <v>-2</v>
      </c>
      <c r="AH138" s="176">
        <f t="shared" si="42"/>
        <v>4</v>
      </c>
      <c r="AI138" s="224">
        <f t="shared" si="43"/>
        <v>-1.4117386467409032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48.722999999999999</v>
      </c>
      <c r="C139" s="388"/>
      <c r="D139" s="391">
        <f t="shared" si="48"/>
        <v>48.824887763582844</v>
      </c>
      <c r="E139" s="383">
        <f t="shared" si="49"/>
        <v>49.298429797966527</v>
      </c>
      <c r="F139" s="383">
        <f t="shared" si="50"/>
        <v>49.298581751348131</v>
      </c>
      <c r="G139" s="110">
        <f t="shared" si="51"/>
        <v>0.78111794871464058</v>
      </c>
      <c r="I139" s="379">
        <f t="shared" si="24"/>
        <v>49.298581751348131</v>
      </c>
      <c r="J139" s="85">
        <v>2018</v>
      </c>
      <c r="K139" s="197">
        <f t="shared" si="25"/>
        <v>43590</v>
      </c>
      <c r="L139" s="435">
        <f t="shared" si="26"/>
        <v>2.0867997500824131E-3</v>
      </c>
      <c r="M139" s="842"/>
      <c r="N139" s="842"/>
      <c r="O139" s="323">
        <f t="shared" si="27"/>
        <v>9.605621037512637E-3</v>
      </c>
      <c r="P139" s="169">
        <f>(INDEX(Models!$BJ139:$BT139,,T139)*(1-R139)+INDEX(Models!$BJ139:$BT139,,T139+1)*R139-ERP_i)*Q139*Ramure*Pc/MaxiM</f>
        <v>4.4845764931044506E-6</v>
      </c>
      <c r="Q139" s="304">
        <f t="shared" si="28"/>
        <v>0.6</v>
      </c>
      <c r="R139" s="177">
        <f t="shared" si="29"/>
        <v>0.59133131132567329</v>
      </c>
      <c r="S139" s="799">
        <f t="shared" si="47"/>
        <v>-2</v>
      </c>
      <c r="T139" s="176">
        <f t="shared" si="30"/>
        <v>4</v>
      </c>
      <c r="U139" s="250">
        <f t="shared" si="31"/>
        <v>-1.4086686886743267</v>
      </c>
      <c r="V139" s="382">
        <f t="shared" si="32"/>
        <v>62.375895672613979</v>
      </c>
      <c r="W139" s="58"/>
      <c r="X139" s="157">
        <f t="shared" si="33"/>
        <v>43590</v>
      </c>
      <c r="Y139" s="383">
        <f t="shared" si="34"/>
        <v>48.722999999999999</v>
      </c>
      <c r="Z139" s="383">
        <f t="shared" si="35"/>
        <v>48.824887763582844</v>
      </c>
      <c r="AA139" s="384">
        <f t="shared" si="36"/>
        <v>49.298429797966527</v>
      </c>
      <c r="AB139" s="197">
        <f t="shared" si="37"/>
        <v>43590</v>
      </c>
      <c r="AC139" s="424">
        <f t="shared" si="38"/>
        <v>9.605621037512637E-3</v>
      </c>
      <c r="AD139" s="169">
        <f>(INDEX(Models!$BJ139:$BT139,,AH139)*(1-AF139)+INDEX(Models!$BJ139:$BT139,,AH139+1)*AF139-ERP_i)*AE139*Ramure*Pc/MaxiM</f>
        <v>4.4845764931044506E-6</v>
      </c>
      <c r="AE139" s="304">
        <f t="shared" si="39"/>
        <v>0.6</v>
      </c>
      <c r="AF139" s="177">
        <f t="shared" si="40"/>
        <v>0.59133131132567329</v>
      </c>
      <c r="AG139" s="799">
        <f t="shared" si="41"/>
        <v>-2</v>
      </c>
      <c r="AH139" s="176">
        <f t="shared" si="42"/>
        <v>4</v>
      </c>
      <c r="AI139" s="224">
        <f t="shared" si="43"/>
        <v>-1.4086686886743267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63.206000000000003</v>
      </c>
      <c r="C140" s="388"/>
      <c r="D140" s="391">
        <f t="shared" si="48"/>
        <v>63.339387970773458</v>
      </c>
      <c r="E140" s="383">
        <f t="shared" si="49"/>
        <v>63.959473731572892</v>
      </c>
      <c r="F140" s="383">
        <f t="shared" si="50"/>
        <v>63.959766591204975</v>
      </c>
      <c r="G140" s="110">
        <f t="shared" si="51"/>
        <v>1.0119529634538784</v>
      </c>
      <c r="I140" s="379">
        <f t="shared" si="24"/>
        <v>63.959766591204975</v>
      </c>
      <c r="J140" s="85">
        <v>2018</v>
      </c>
      <c r="K140" s="197">
        <f t="shared" si="25"/>
        <v>43591</v>
      </c>
      <c r="L140" s="435">
        <f t="shared" si="26"/>
        <v>2.105924528904568E-3</v>
      </c>
      <c r="M140" s="842"/>
      <c r="N140" s="842"/>
      <c r="O140" s="323">
        <f t="shared" si="27"/>
        <v>9.6949790956978293E-3</v>
      </c>
      <c r="P140" s="169">
        <f>(INDEX(Models!$BJ140:$BT140,,T140)*(1-R140)+INDEX(Models!$BJ140:$BT140,,T140+1)*R140-ERP_i)*Q140*Ramure*Pc/MaxiM</f>
        <v>4.5788102066671834E-6</v>
      </c>
      <c r="Q140" s="304">
        <f t="shared" si="28"/>
        <v>0.6</v>
      </c>
      <c r="R140" s="177">
        <f t="shared" si="29"/>
        <v>0.59448165068701453</v>
      </c>
      <c r="S140" s="799">
        <f t="shared" si="47"/>
        <v>-2</v>
      </c>
      <c r="T140" s="176">
        <f t="shared" si="30"/>
        <v>4</v>
      </c>
      <c r="U140" s="250">
        <f t="shared" si="31"/>
        <v>-1.4055183493129855</v>
      </c>
      <c r="V140" s="382">
        <f t="shared" si="32"/>
        <v>62.459424778275014</v>
      </c>
      <c r="W140" s="58"/>
      <c r="X140" s="157">
        <f t="shared" si="33"/>
        <v>43591</v>
      </c>
      <c r="Y140" s="383">
        <f t="shared" si="34"/>
        <v>63.206000000000003</v>
      </c>
      <c r="Z140" s="383">
        <f t="shared" si="35"/>
        <v>63.339387970773458</v>
      </c>
      <c r="AA140" s="384">
        <f t="shared" si="36"/>
        <v>63.959473731572892</v>
      </c>
      <c r="AB140" s="197">
        <f t="shared" si="37"/>
        <v>43591</v>
      </c>
      <c r="AC140" s="424">
        <f t="shared" si="38"/>
        <v>9.6949790956978293E-3</v>
      </c>
      <c r="AD140" s="169">
        <f>(INDEX(Models!$BJ140:$BT140,,AH140)*(1-AF140)+INDEX(Models!$BJ140:$BT140,,AH140+1)*AF140-ERP_i)*AE140*Ramure*Pc/MaxiM</f>
        <v>4.5788102066671834E-6</v>
      </c>
      <c r="AE140" s="304">
        <f t="shared" si="39"/>
        <v>0.6</v>
      </c>
      <c r="AF140" s="177">
        <f t="shared" si="40"/>
        <v>0.59448165068701453</v>
      </c>
      <c r="AG140" s="799">
        <f t="shared" si="41"/>
        <v>-2</v>
      </c>
      <c r="AH140" s="176">
        <f t="shared" si="42"/>
        <v>4</v>
      </c>
      <c r="AI140" s="224">
        <f t="shared" si="43"/>
        <v>-1.4055183493129855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46.204000000000001</v>
      </c>
      <c r="C141" s="388"/>
      <c r="D141" s="391">
        <f t="shared" si="48"/>
        <v>46.302394855162213</v>
      </c>
      <c r="E141" s="383">
        <f t="shared" si="49"/>
        <v>46.75991602485265</v>
      </c>
      <c r="F141" s="383">
        <f t="shared" si="50"/>
        <v>46.76005312368644</v>
      </c>
      <c r="G141" s="110">
        <f t="shared" si="51"/>
        <v>0.73882622392357056</v>
      </c>
      <c r="I141" s="379">
        <f t="shared" si="24"/>
        <v>46.76005312368644</v>
      </c>
      <c r="J141" s="85">
        <v>2018</v>
      </c>
      <c r="K141" s="197">
        <f t="shared" si="25"/>
        <v>43592</v>
      </c>
      <c r="L141" s="435">
        <f t="shared" si="26"/>
        <v>2.125048941204799E-3</v>
      </c>
      <c r="M141" s="842"/>
      <c r="N141" s="842"/>
      <c r="O141" s="323">
        <f t="shared" si="27"/>
        <v>9.7844737241885166E-3</v>
      </c>
      <c r="P141" s="169">
        <f>(INDEX(Models!$BJ141:$BT141,,T141)*(1-R141)+INDEX(Models!$BJ141:$BT141,,T141+1)*R141-ERP_i)*Q141*Ramure*Pc/MaxiM</f>
        <v>4.6769524653888264E-6</v>
      </c>
      <c r="Q141" s="304">
        <f t="shared" si="28"/>
        <v>0.6</v>
      </c>
      <c r="R141" s="177">
        <f t="shared" si="29"/>
        <v>0.59771280509216695</v>
      </c>
      <c r="S141" s="799">
        <f t="shared" si="47"/>
        <v>-2</v>
      </c>
      <c r="T141" s="176">
        <f t="shared" si="30"/>
        <v>4</v>
      </c>
      <c r="U141" s="250">
        <f t="shared" si="31"/>
        <v>-1.402287194907833</v>
      </c>
      <c r="V141" s="382">
        <f t="shared" si="32"/>
        <v>62.536923945375719</v>
      </c>
      <c r="W141" s="58"/>
      <c r="X141" s="157">
        <f t="shared" si="33"/>
        <v>43592</v>
      </c>
      <c r="Y141" s="383">
        <f t="shared" si="34"/>
        <v>46.204000000000001</v>
      </c>
      <c r="Z141" s="383">
        <f t="shared" si="35"/>
        <v>46.302394855162213</v>
      </c>
      <c r="AA141" s="384">
        <f t="shared" si="36"/>
        <v>46.75991602485265</v>
      </c>
      <c r="AB141" s="197">
        <f t="shared" si="37"/>
        <v>43592</v>
      </c>
      <c r="AC141" s="424">
        <f t="shared" si="38"/>
        <v>9.7844737241885166E-3</v>
      </c>
      <c r="AD141" s="169">
        <f>(INDEX(Models!$BJ141:$BT141,,AH141)*(1-AF141)+INDEX(Models!$BJ141:$BT141,,AH141+1)*AF141-ERP_i)*AE141*Ramure*Pc/MaxiM</f>
        <v>4.6769524653888264E-6</v>
      </c>
      <c r="AE141" s="304">
        <f t="shared" si="39"/>
        <v>0.6</v>
      </c>
      <c r="AF141" s="177">
        <f t="shared" si="40"/>
        <v>0.59771280509216695</v>
      </c>
      <c r="AG141" s="799">
        <f t="shared" si="41"/>
        <v>-2</v>
      </c>
      <c r="AH141" s="176">
        <f t="shared" si="42"/>
        <v>4</v>
      </c>
      <c r="AI141" s="224">
        <f t="shared" si="43"/>
        <v>-1.402287194907833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31.92</v>
      </c>
      <c r="C142" s="388"/>
      <c r="D142" s="391">
        <f t="shared" si="48"/>
        <v>31.988589068572757</v>
      </c>
      <c r="E142" s="383">
        <f t="shared" si="49"/>
        <v>32.307597653837718</v>
      </c>
      <c r="F142" s="383">
        <f t="shared" si="50"/>
        <v>32.307643926183182</v>
      </c>
      <c r="G142" s="110">
        <f t="shared" si="51"/>
        <v>0.5098305415546398</v>
      </c>
      <c r="I142" s="379">
        <f t="shared" si="24"/>
        <v>32.307643926183182</v>
      </c>
      <c r="J142" s="85">
        <v>2018</v>
      </c>
      <c r="K142" s="197">
        <f t="shared" si="25"/>
        <v>43593</v>
      </c>
      <c r="L142" s="435">
        <f t="shared" si="26"/>
        <v>2.1441729869899895E-3</v>
      </c>
      <c r="M142" s="842"/>
      <c r="N142" s="842"/>
      <c r="O142" s="323">
        <f t="shared" si="27"/>
        <v>9.8741041869781204E-3</v>
      </c>
      <c r="P142" s="169">
        <f>(INDEX(Models!$BJ142:$BT142,,T142)*(1-R142)+INDEX(Models!$BJ142:$BT142,,T142+1)*R142-ERP_i)*Q142*Ramure*Pc/MaxiM</f>
        <v>4.7779547679292127E-6</v>
      </c>
      <c r="Q142" s="304">
        <f t="shared" si="28"/>
        <v>0.6</v>
      </c>
      <c r="R142" s="177">
        <f t="shared" si="29"/>
        <v>0.60102509089029987</v>
      </c>
      <c r="S142" s="799">
        <f t="shared" si="47"/>
        <v>-2</v>
      </c>
      <c r="T142" s="176">
        <f t="shared" si="30"/>
        <v>4</v>
      </c>
      <c r="U142" s="250">
        <f t="shared" si="31"/>
        <v>-1.3989749091097001</v>
      </c>
      <c r="V142" s="382">
        <f t="shared" si="32"/>
        <v>62.60882901864305</v>
      </c>
      <c r="W142" s="58"/>
      <c r="X142" s="157">
        <f t="shared" si="33"/>
        <v>43593</v>
      </c>
      <c r="Y142" s="383">
        <f t="shared" si="34"/>
        <v>31.919999999999998</v>
      </c>
      <c r="Z142" s="383">
        <f t="shared" si="35"/>
        <v>31.988589068572754</v>
      </c>
      <c r="AA142" s="384">
        <f t="shared" si="36"/>
        <v>32.307597653837718</v>
      </c>
      <c r="AB142" s="197">
        <f t="shared" si="37"/>
        <v>43593</v>
      </c>
      <c r="AC142" s="424">
        <f t="shared" si="38"/>
        <v>9.8741041869781204E-3</v>
      </c>
      <c r="AD142" s="169">
        <f>(INDEX(Models!$BJ142:$BT142,,AH142)*(1-AF142)+INDEX(Models!$BJ142:$BT142,,AH142+1)*AF142-ERP_i)*AE142*Ramure*Pc/MaxiM</f>
        <v>4.7779547679292127E-6</v>
      </c>
      <c r="AE142" s="304">
        <f t="shared" si="39"/>
        <v>0.6</v>
      </c>
      <c r="AF142" s="177">
        <f t="shared" si="40"/>
        <v>0.60102509089029987</v>
      </c>
      <c r="AG142" s="799">
        <f t="shared" si="41"/>
        <v>-2</v>
      </c>
      <c r="AH142" s="176">
        <f t="shared" si="42"/>
        <v>4</v>
      </c>
      <c r="AI142" s="224">
        <f t="shared" si="43"/>
        <v>-1.3989749091097001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47.125</v>
      </c>
      <c r="C143" s="388"/>
      <c r="D143" s="391">
        <f t="shared" si="48"/>
        <v>47.227166371568863</v>
      </c>
      <c r="E143" s="383">
        <f t="shared" si="49"/>
        <v>47.702467522836734</v>
      </c>
      <c r="F143" s="383">
        <f t="shared" si="50"/>
        <v>47.702617817068138</v>
      </c>
      <c r="G143" s="110">
        <f t="shared" si="51"/>
        <v>0.75188648761037113</v>
      </c>
      <c r="I143" s="379">
        <f t="shared" ref="I143:I206" si="52">Wh_hp</f>
        <v>47.702617817068138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2.1632966662672448E-3</v>
      </c>
      <c r="M143" s="842"/>
      <c r="N143" s="842"/>
      <c r="O143" s="323">
        <f t="shared" ref="O143:O206" si="55">IF(t&lt;T0,0,IF(t&lt;Tnet,Salim_i*(1-EXP((T0-t)/Tau_ij)),Resal+(Salim-Resal)*(1-EXP((Tnet-t)/(Tau_j)))))*Salcycl</f>
        <v>9.963869291254774E-3</v>
      </c>
      <c r="P143" s="169">
        <f>(INDEX(Models!$BJ143:$BT143,,T143)*(1-R143)+INDEX(Models!$BJ143:$BT143,,T143+1)*R143-ERP_i)*Q143*Ramure*Pc/MaxiM</f>
        <v>4.8805361481052781E-6</v>
      </c>
      <c r="Q143" s="304">
        <f t="shared" ref="Q143:Q206" si="56">IF(OR(t&lt;Ttai,Notai),Dd+PousD*Croivg,Dens+PousD*(Croivg-Croi_tai))</f>
        <v>0.6</v>
      </c>
      <c r="R143" s="177">
        <f t="shared" ref="R143:R206" si="57">(Hp_vg-S143)/(INDEX(Echel_vg,T143+1)-S143)</f>
        <v>0.60441870010764531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-1.3955812998923547</v>
      </c>
      <c r="V143" s="382">
        <f t="shared" ref="V143:V206" si="60">MaxiM*(1-Ppv)*(1-Pvg)*(1-Psa)</f>
        <v>62.675575709052339</v>
      </c>
      <c r="W143" s="58"/>
      <c r="X143" s="157">
        <f t="shared" ref="X143:X206" si="61">t</f>
        <v>43594</v>
      </c>
      <c r="Y143" s="383">
        <f t="shared" ref="Y143:Y206" si="62">Wh_pvt_s*(1-Ppv)</f>
        <v>47.125</v>
      </c>
      <c r="Z143" s="383">
        <f t="shared" ref="Z143:Z206" si="63">Wh_sa_s*(1-Psa_s)</f>
        <v>47.227166371568863</v>
      </c>
      <c r="AA143" s="384">
        <f t="shared" ref="AA143:AA206" si="64">Wh_hp*(1-Pvg_s*MEDIAN((-Sdif+Wh/Env_an)/Csdif,0,1))</f>
        <v>47.702467522836734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9.963869291254774E-3</v>
      </c>
      <c r="AD143" s="169">
        <f>(INDEX(Models!$BJ143:$BT143,,AH143)*(1-AF143)+INDEX(Models!$BJ143:$BT143,,AH143+1)*AF143-ERP_i)*AE143*Ramure*Pc/MaxiM</f>
        <v>4.8805361481052781E-6</v>
      </c>
      <c r="AE143" s="304">
        <f t="shared" ref="AE143:AE206" si="67">Dd+PousD*Croivg</f>
        <v>0.6</v>
      </c>
      <c r="AF143" s="177">
        <f t="shared" ref="AF143:AF206" si="68">(Hp_vg_s-AG143)/(INDEX(Echel_vg,AH143+1)-AG143)</f>
        <v>0.60441870010764531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-1.3955812998923547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39.503999999999998</v>
      </c>
      <c r="C144" s="388"/>
      <c r="D144" s="391">
        <f t="shared" ref="D144:D200" si="75">Wh/(1-Ppv)</f>
        <v>39.5904028862373</v>
      </c>
      <c r="E144" s="383">
        <f t="shared" ref="E144:E200" si="76">Wh_pvt/(1-Psa)</f>
        <v>39.99247795627349</v>
      </c>
      <c r="F144" s="383">
        <f t="shared" ref="F144:F200" si="77">Wh_sa/(1-Pvg*MEDIAN((-Sdif+Wh/Env_an)/Csdif,0,1))</f>
        <v>39.99257184070521</v>
      </c>
      <c r="G144" s="110">
        <f t="shared" ref="G144:G200" si="78">+Wh_hp/MaxiM</f>
        <v>0.62966859019713883</v>
      </c>
      <c r="I144" s="379">
        <f t="shared" si="52"/>
        <v>39.99257184070521</v>
      </c>
      <c r="J144" s="85">
        <v>2018</v>
      </c>
      <c r="K144" s="197">
        <f t="shared" si="53"/>
        <v>43595</v>
      </c>
      <c r="L144" s="435">
        <f t="shared" si="54"/>
        <v>2.1824199790434484E-3</v>
      </c>
      <c r="M144" s="842"/>
      <c r="N144" s="842"/>
      <c r="O144" s="323">
        <f t="shared" si="55"/>
        <v>1.0053767372849735E-2</v>
      </c>
      <c r="P144" s="169">
        <f>(INDEX(Models!$BJ144:$BT144,,T144)*(1-R144)+INDEX(Models!$BJ144:$BT144,,T144+1)*R144-ERP_i)*Q144*Ramure*Pc/MaxiM</f>
        <v>4.9846254425430314E-6</v>
      </c>
      <c r="Q144" s="304">
        <f t="shared" si="56"/>
        <v>0.6</v>
      </c>
      <c r="R144" s="177">
        <f t="shared" si="57"/>
        <v>0.60789369365436352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-1.3921063063456365</v>
      </c>
      <c r="V144" s="382">
        <f t="shared" si="60"/>
        <v>62.737599492187506</v>
      </c>
      <c r="W144" s="58"/>
      <c r="X144" s="157">
        <f t="shared" si="61"/>
        <v>43595</v>
      </c>
      <c r="Y144" s="383">
        <f t="shared" si="62"/>
        <v>39.503999999999998</v>
      </c>
      <c r="Z144" s="383">
        <f t="shared" si="63"/>
        <v>39.5904028862373</v>
      </c>
      <c r="AA144" s="384">
        <f t="shared" si="64"/>
        <v>39.99247795627349</v>
      </c>
      <c r="AB144" s="197">
        <f t="shared" si="65"/>
        <v>43595</v>
      </c>
      <c r="AC144" s="424">
        <f t="shared" si="66"/>
        <v>1.0053767372849735E-2</v>
      </c>
      <c r="AD144" s="169">
        <f>(INDEX(Models!$BJ144:$BT144,,AH144)*(1-AF144)+INDEX(Models!$BJ144:$BT144,,AH144+1)*AF144-ERP_i)*AE144*Ramure*Pc/MaxiM</f>
        <v>4.9846254425430314E-6</v>
      </c>
      <c r="AE144" s="304">
        <f t="shared" si="67"/>
        <v>0.6</v>
      </c>
      <c r="AF144" s="177">
        <f t="shared" si="68"/>
        <v>0.60789369365436352</v>
      </c>
      <c r="AG144" s="799">
        <f t="shared" si="69"/>
        <v>-2</v>
      </c>
      <c r="AH144" s="176">
        <f t="shared" si="70"/>
        <v>4</v>
      </c>
      <c r="AI144" s="224">
        <f t="shared" si="71"/>
        <v>-1.3921063063456365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37.426000000000002</v>
      </c>
      <c r="C145" s="388"/>
      <c r="D145" s="391">
        <f t="shared" si="75"/>
        <v>37.508576741764877</v>
      </c>
      <c r="E145" s="383">
        <f t="shared" si="76"/>
        <v>37.892955159465195</v>
      </c>
      <c r="F145" s="383">
        <f t="shared" si="77"/>
        <v>37.893036720520001</v>
      </c>
      <c r="G145" s="110">
        <f t="shared" si="78"/>
        <v>0.59599792950214425</v>
      </c>
      <c r="I145" s="379">
        <f t="shared" si="52"/>
        <v>37.893036720520001</v>
      </c>
      <c r="J145" s="85">
        <v>2018</v>
      </c>
      <c r="K145" s="197">
        <f t="shared" si="53"/>
        <v>43596</v>
      </c>
      <c r="L145" s="435">
        <f t="shared" si="54"/>
        <v>2.2015429253258167E-3</v>
      </c>
      <c r="M145" s="842"/>
      <c r="N145" s="842"/>
      <c r="O145" s="323">
        <f t="shared" si="55"/>
        <v>1.0143796283048848E-2</v>
      </c>
      <c r="P145" s="169">
        <f>(INDEX(Models!$BJ145:$BT145,,T145)*(1-R145)+INDEX(Models!$BJ145:$BT145,,T145+1)*R145-ERP_i)*Q145*Ramure*Pc/MaxiM</f>
        <v>5.0901457841767036E-6</v>
      </c>
      <c r="Q145" s="304">
        <f t="shared" si="56"/>
        <v>0.6</v>
      </c>
      <c r="R145" s="177">
        <f t="shared" si="57"/>
        <v>0.61144999471272787</v>
      </c>
      <c r="S145" s="799">
        <f t="shared" si="79"/>
        <v>-2</v>
      </c>
      <c r="T145" s="176">
        <f t="shared" si="58"/>
        <v>4</v>
      </c>
      <c r="U145" s="250">
        <f t="shared" si="59"/>
        <v>-1.3885500052872721</v>
      </c>
      <c r="V145" s="382">
        <f t="shared" si="60"/>
        <v>62.795335686877642</v>
      </c>
      <c r="W145" s="58"/>
      <c r="X145" s="157">
        <f t="shared" si="61"/>
        <v>43596</v>
      </c>
      <c r="Y145" s="383">
        <f t="shared" si="62"/>
        <v>37.426000000000002</v>
      </c>
      <c r="Z145" s="383">
        <f t="shared" si="63"/>
        <v>37.508576741764877</v>
      </c>
      <c r="AA145" s="384">
        <f t="shared" si="64"/>
        <v>37.892955159465195</v>
      </c>
      <c r="AB145" s="197">
        <f t="shared" si="65"/>
        <v>43596</v>
      </c>
      <c r="AC145" s="424">
        <f t="shared" si="66"/>
        <v>1.0143796283048848E-2</v>
      </c>
      <c r="AD145" s="169">
        <f>(INDEX(Models!$BJ145:$BT145,,AH145)*(1-AF145)+INDEX(Models!$BJ145:$BT145,,AH145+1)*AF145-ERP_i)*AE145*Ramure*Pc/MaxiM</f>
        <v>5.0901457841767036E-6</v>
      </c>
      <c r="AE145" s="304">
        <f t="shared" si="67"/>
        <v>0.6</v>
      </c>
      <c r="AF145" s="177">
        <f t="shared" si="68"/>
        <v>0.61144999471272787</v>
      </c>
      <c r="AG145" s="799">
        <f t="shared" si="69"/>
        <v>-2</v>
      </c>
      <c r="AH145" s="176">
        <f t="shared" si="70"/>
        <v>4</v>
      </c>
      <c r="AI145" s="224">
        <f t="shared" si="71"/>
        <v>-1.3885500052872721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55.429000000000002</v>
      </c>
      <c r="C146" s="388"/>
      <c r="D146" s="391">
        <f t="shared" si="75"/>
        <v>55.552363216723343</v>
      </c>
      <c r="E146" s="383">
        <f t="shared" si="76"/>
        <v>56.126761881012527</v>
      </c>
      <c r="F146" s="383">
        <f t="shared" si="77"/>
        <v>56.127004376201441</v>
      </c>
      <c r="G146" s="110">
        <f t="shared" si="78"/>
        <v>0.88193539857360925</v>
      </c>
      <c r="I146" s="379">
        <f t="shared" si="52"/>
        <v>56.127004376201441</v>
      </c>
      <c r="J146" s="85">
        <v>2018</v>
      </c>
      <c r="K146" s="197">
        <f t="shared" si="53"/>
        <v>43597</v>
      </c>
      <c r="L146" s="435">
        <f t="shared" si="54"/>
        <v>2.2206655051212332E-3</v>
      </c>
      <c r="M146" s="842"/>
      <c r="N146" s="842"/>
      <c r="O146" s="323">
        <f t="shared" si="55"/>
        <v>1.0233953376945156E-2</v>
      </c>
      <c r="P146" s="169">
        <f>(INDEX(Models!$BJ146:$BT146,,T146)*(1-R146)+INDEX(Models!$BJ146:$BT146,,T146+1)*R146-ERP_i)*Q146*Ramure*Pc/MaxiM</f>
        <v>5.197014762422536E-6</v>
      </c>
      <c r="Q146" s="304">
        <f t="shared" si="56"/>
        <v>0.6</v>
      </c>
      <c r="R146" s="177">
        <f t="shared" si="57"/>
        <v>0.61508738236055649</v>
      </c>
      <c r="S146" s="799">
        <f t="shared" si="79"/>
        <v>-2</v>
      </c>
      <c r="T146" s="176">
        <f t="shared" si="58"/>
        <v>4</v>
      </c>
      <c r="U146" s="250">
        <f t="shared" si="59"/>
        <v>-1.3849126176394435</v>
      </c>
      <c r="V146" s="382">
        <f t="shared" si="60"/>
        <v>62.849219459369067</v>
      </c>
      <c r="W146" s="58"/>
      <c r="X146" s="157">
        <f t="shared" si="61"/>
        <v>43597</v>
      </c>
      <c r="Y146" s="383">
        <f t="shared" si="62"/>
        <v>55.429000000000002</v>
      </c>
      <c r="Z146" s="383">
        <f t="shared" si="63"/>
        <v>55.552363216723343</v>
      </c>
      <c r="AA146" s="384">
        <f t="shared" si="64"/>
        <v>56.126761881012527</v>
      </c>
      <c r="AB146" s="197">
        <f t="shared" si="65"/>
        <v>43597</v>
      </c>
      <c r="AC146" s="424">
        <f t="shared" si="66"/>
        <v>1.0233953376945156E-2</v>
      </c>
      <c r="AD146" s="169">
        <f>(INDEX(Models!$BJ146:$BT146,,AH146)*(1-AF146)+INDEX(Models!$BJ146:$BT146,,AH146+1)*AF146-ERP_i)*AE146*Ramure*Pc/MaxiM</f>
        <v>5.197014762422536E-6</v>
      </c>
      <c r="AE146" s="304">
        <f t="shared" si="67"/>
        <v>0.6</v>
      </c>
      <c r="AF146" s="177">
        <f t="shared" si="68"/>
        <v>0.61508738236055649</v>
      </c>
      <c r="AG146" s="799">
        <f t="shared" si="69"/>
        <v>-2</v>
      </c>
      <c r="AH146" s="176">
        <f t="shared" si="70"/>
        <v>4</v>
      </c>
      <c r="AI146" s="224">
        <f t="shared" si="71"/>
        <v>-1.3849126176394435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63.923000000000002</v>
      </c>
      <c r="C147" s="388"/>
      <c r="D147" s="391">
        <f t="shared" si="75"/>
        <v>64.066495349446981</v>
      </c>
      <c r="E147" s="383">
        <f t="shared" si="76"/>
        <v>64.734833010730028</v>
      </c>
      <c r="F147" s="383">
        <f t="shared" si="77"/>
        <v>64.735176440204555</v>
      </c>
      <c r="G147" s="110">
        <f t="shared" si="78"/>
        <v>1.0162689871646022</v>
      </c>
      <c r="I147" s="379">
        <f t="shared" si="52"/>
        <v>64.735176440204555</v>
      </c>
      <c r="J147" s="85">
        <v>2018</v>
      </c>
      <c r="K147" s="197">
        <f t="shared" si="53"/>
        <v>43598</v>
      </c>
      <c r="L147" s="435">
        <f t="shared" si="54"/>
        <v>2.2397877184368031E-3</v>
      </c>
      <c r="M147" s="842"/>
      <c r="N147" s="842"/>
      <c r="O147" s="323">
        <f t="shared" si="55"/>
        <v>1.0324235503508151E-2</v>
      </c>
      <c r="P147" s="169">
        <f>(INDEX(Models!$BJ147:$BT147,,T147)*(1-R147)+INDEX(Models!$BJ147:$BT147,,T147+1)*R147-ERP_i)*Q147*Ramure*Pc/MaxiM</f>
        <v>5.3051446433970472E-6</v>
      </c>
      <c r="Q147" s="304">
        <f t="shared" si="56"/>
        <v>0.6</v>
      </c>
      <c r="R147" s="177">
        <f t="shared" si="57"/>
        <v>0.61880548548600856</v>
      </c>
      <c r="S147" s="799">
        <f t="shared" si="79"/>
        <v>-2</v>
      </c>
      <c r="T147" s="176">
        <f t="shared" si="58"/>
        <v>4</v>
      </c>
      <c r="U147" s="250">
        <f t="shared" si="59"/>
        <v>-1.3811945145139914</v>
      </c>
      <c r="V147" s="382">
        <f t="shared" si="60"/>
        <v>62.899685818757114</v>
      </c>
      <c r="W147" s="58"/>
      <c r="X147" s="157">
        <f t="shared" si="61"/>
        <v>43598</v>
      </c>
      <c r="Y147" s="383">
        <f t="shared" si="62"/>
        <v>63.923000000000002</v>
      </c>
      <c r="Z147" s="383">
        <f t="shared" si="63"/>
        <v>64.066495349446981</v>
      </c>
      <c r="AA147" s="384">
        <f t="shared" si="64"/>
        <v>64.734833010730028</v>
      </c>
      <c r="AB147" s="197">
        <f t="shared" si="65"/>
        <v>43598</v>
      </c>
      <c r="AC147" s="424">
        <f t="shared" si="66"/>
        <v>1.0324235503508151E-2</v>
      </c>
      <c r="AD147" s="169">
        <f>(INDEX(Models!$BJ147:$BT147,,AH147)*(1-AF147)+INDEX(Models!$BJ147:$BT147,,AH147+1)*AF147-ERP_i)*AE147*Ramure*Pc/MaxiM</f>
        <v>5.3051446433970472E-6</v>
      </c>
      <c r="AE147" s="304">
        <f t="shared" si="67"/>
        <v>0.6</v>
      </c>
      <c r="AF147" s="177">
        <f t="shared" si="68"/>
        <v>0.61880548548600856</v>
      </c>
      <c r="AG147" s="799">
        <f t="shared" si="69"/>
        <v>-2</v>
      </c>
      <c r="AH147" s="176">
        <f t="shared" si="70"/>
        <v>4</v>
      </c>
      <c r="AI147" s="224">
        <f t="shared" si="71"/>
        <v>-1.3811945145139914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62.378</v>
      </c>
      <c r="C148" s="388"/>
      <c r="D148" s="391">
        <f t="shared" si="75"/>
        <v>62.51922527598979</v>
      </c>
      <c r="E148" s="383">
        <f t="shared" si="76"/>
        <v>63.177192933267783</v>
      </c>
      <c r="F148" s="383">
        <f t="shared" si="77"/>
        <v>63.17753058579234</v>
      </c>
      <c r="G148" s="110">
        <f t="shared" si="78"/>
        <v>0.99095790987045429</v>
      </c>
      <c r="I148" s="379">
        <f t="shared" si="52"/>
        <v>63.17753058579234</v>
      </c>
      <c r="J148" s="85">
        <v>2018</v>
      </c>
      <c r="K148" s="197">
        <f t="shared" si="53"/>
        <v>43599</v>
      </c>
      <c r="L148" s="435">
        <f t="shared" si="54"/>
        <v>2.25890956527941E-3</v>
      </c>
      <c r="M148" s="842"/>
      <c r="N148" s="842"/>
      <c r="O148" s="323">
        <f t="shared" si="55"/>
        <v>1.0414638997541152E-2</v>
      </c>
      <c r="P148" s="169">
        <f>(INDEX(Models!$BJ148:$BT148,,T148)*(1-R148)+INDEX(Models!$BJ148:$BT148,,T148+1)*R148-ERP_i)*Q148*Ramure*Pc/MaxiM</f>
        <v>5.4144426512692388E-6</v>
      </c>
      <c r="Q148" s="304">
        <f t="shared" si="56"/>
        <v>0.6</v>
      </c>
      <c r="R148" s="177">
        <f t="shared" si="57"/>
        <v>0.62260377705161107</v>
      </c>
      <c r="S148" s="799">
        <f t="shared" si="79"/>
        <v>-2</v>
      </c>
      <c r="T148" s="176">
        <f t="shared" si="58"/>
        <v>4</v>
      </c>
      <c r="U148" s="250">
        <f t="shared" si="59"/>
        <v>-1.3773962229483889</v>
      </c>
      <c r="V148" s="382">
        <f t="shared" si="60"/>
        <v>62.947169618392955</v>
      </c>
      <c r="W148" s="58"/>
      <c r="X148" s="157">
        <f t="shared" si="61"/>
        <v>43599</v>
      </c>
      <c r="Y148" s="383">
        <f t="shared" si="62"/>
        <v>62.378</v>
      </c>
      <c r="Z148" s="383">
        <f t="shared" si="63"/>
        <v>62.51922527598979</v>
      </c>
      <c r="AA148" s="384">
        <f t="shared" si="64"/>
        <v>63.177192933267783</v>
      </c>
      <c r="AB148" s="197">
        <f t="shared" si="65"/>
        <v>43599</v>
      </c>
      <c r="AC148" s="424">
        <f t="shared" si="66"/>
        <v>1.0414638997541152E-2</v>
      </c>
      <c r="AD148" s="169">
        <f>(INDEX(Models!$BJ148:$BT148,,AH148)*(1-AF148)+INDEX(Models!$BJ148:$BT148,,AH148+1)*AF148-ERP_i)*AE148*Ramure*Pc/MaxiM</f>
        <v>5.4144426512692388E-6</v>
      </c>
      <c r="AE148" s="304">
        <f t="shared" si="67"/>
        <v>0.6</v>
      </c>
      <c r="AF148" s="177">
        <f t="shared" si="68"/>
        <v>0.62260377705161107</v>
      </c>
      <c r="AG148" s="799">
        <f t="shared" si="69"/>
        <v>-2</v>
      </c>
      <c r="AH148" s="176">
        <f t="shared" si="70"/>
        <v>4</v>
      </c>
      <c r="AI148" s="224">
        <f t="shared" si="71"/>
        <v>-1.3773962229483889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62.936</v>
      </c>
      <c r="C149" s="388"/>
      <c r="D149" s="391">
        <f t="shared" si="75"/>
        <v>63.079697509276741</v>
      </c>
      <c r="E149" s="383">
        <f t="shared" si="76"/>
        <v>63.74939508373263</v>
      </c>
      <c r="F149" s="383">
        <f t="shared" si="77"/>
        <v>63.749746861981109</v>
      </c>
      <c r="G149" s="110">
        <f t="shared" si="78"/>
        <v>0.99913395361062396</v>
      </c>
      <c r="I149" s="379">
        <f t="shared" si="52"/>
        <v>63.749746861981109</v>
      </c>
      <c r="J149" s="85">
        <v>2018</v>
      </c>
      <c r="K149" s="197">
        <f t="shared" si="53"/>
        <v>43600</v>
      </c>
      <c r="L149" s="435">
        <f t="shared" si="54"/>
        <v>2.2780310456562702E-3</v>
      </c>
      <c r="M149" s="842"/>
      <c r="N149" s="842"/>
      <c r="O149" s="323">
        <f t="shared" si="55"/>
        <v>1.0505159673692E-2</v>
      </c>
      <c r="P149" s="169">
        <f>(INDEX(Models!$BJ149:$BT149,,T149)*(1-R149)+INDEX(Models!$BJ149:$BT149,,T149+1)*R149-ERP_i)*Q149*Ramure*Pc/MaxiM</f>
        <v>5.5249475450964976E-6</v>
      </c>
      <c r="Q149" s="304">
        <f t="shared" si="56"/>
        <v>0.6</v>
      </c>
      <c r="R149" s="177">
        <f t="shared" si="57"/>
        <v>0.62648156876665073</v>
      </c>
      <c r="S149" s="799">
        <f t="shared" si="79"/>
        <v>-2</v>
      </c>
      <c r="T149" s="176">
        <f t="shared" si="58"/>
        <v>4</v>
      </c>
      <c r="U149" s="250">
        <f t="shared" si="59"/>
        <v>-1.3735184312333493</v>
      </c>
      <c r="V149" s="382">
        <f t="shared" si="60"/>
        <v>62.990552310194055</v>
      </c>
      <c r="W149" s="58"/>
      <c r="X149" s="157">
        <f t="shared" si="61"/>
        <v>43600</v>
      </c>
      <c r="Y149" s="383">
        <f t="shared" si="62"/>
        <v>62.936</v>
      </c>
      <c r="Z149" s="383">
        <f t="shared" si="63"/>
        <v>63.079697509276741</v>
      </c>
      <c r="AA149" s="384">
        <f t="shared" si="64"/>
        <v>63.74939508373263</v>
      </c>
      <c r="AB149" s="197">
        <f t="shared" si="65"/>
        <v>43600</v>
      </c>
      <c r="AC149" s="424">
        <f t="shared" si="66"/>
        <v>1.0505159673692E-2</v>
      </c>
      <c r="AD149" s="169">
        <f>(INDEX(Models!$BJ149:$BT149,,AH149)*(1-AF149)+INDEX(Models!$BJ149:$BT149,,AH149+1)*AF149-ERP_i)*AE149*Ramure*Pc/MaxiM</f>
        <v>5.5249475450964976E-6</v>
      </c>
      <c r="AE149" s="304">
        <f t="shared" si="67"/>
        <v>0.6</v>
      </c>
      <c r="AF149" s="177">
        <f t="shared" si="68"/>
        <v>0.62648156876665073</v>
      </c>
      <c r="AG149" s="799">
        <f t="shared" si="69"/>
        <v>-2</v>
      </c>
      <c r="AH149" s="176">
        <f t="shared" si="70"/>
        <v>4</v>
      </c>
      <c r="AI149" s="224">
        <f t="shared" si="71"/>
        <v>-1.3735184312333493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54.081000000000003</v>
      </c>
      <c r="C150" s="388"/>
      <c r="D150" s="391">
        <f t="shared" si="75"/>
        <v>54.205518323477627</v>
      </c>
      <c r="E150" s="383">
        <f t="shared" si="76"/>
        <v>54.786019637131588</v>
      </c>
      <c r="F150" s="383">
        <f t="shared" si="77"/>
        <v>54.786265720122543</v>
      </c>
      <c r="G150" s="110">
        <f t="shared" si="78"/>
        <v>0.85803845574671445</v>
      </c>
      <c r="I150" s="379">
        <f t="shared" si="52"/>
        <v>54.786265720122543</v>
      </c>
      <c r="J150" s="85">
        <v>2018</v>
      </c>
      <c r="K150" s="197">
        <f t="shared" si="53"/>
        <v>43601</v>
      </c>
      <c r="L150" s="435">
        <f t="shared" si="54"/>
        <v>2.2971521595743782E-3</v>
      </c>
      <c r="M150" s="842"/>
      <c r="N150" s="842"/>
      <c r="O150" s="323">
        <f t="shared" si="55"/>
        <v>1.0595792822673455E-2</v>
      </c>
      <c r="P150" s="169">
        <f>(INDEX(Models!$BJ150:$BT150,,T150)*(1-R150)+INDEX(Models!$BJ150:$BT150,,T150+1)*R150-ERP_i)*Q150*Ramure*Pc/MaxiM</f>
        <v>5.6343399385841828E-6</v>
      </c>
      <c r="Q150" s="304">
        <f t="shared" si="56"/>
        <v>0.6</v>
      </c>
      <c r="R150" s="177">
        <f t="shared" si="57"/>
        <v>0.63043800622777679</v>
      </c>
      <c r="S150" s="799">
        <f t="shared" si="79"/>
        <v>-2</v>
      </c>
      <c r="T150" s="176">
        <f t="shared" si="58"/>
        <v>4</v>
      </c>
      <c r="U150" s="250">
        <f t="shared" si="59"/>
        <v>-1.3695619937722232</v>
      </c>
      <c r="V150" s="382">
        <f t="shared" si="60"/>
        <v>63.028571554027785</v>
      </c>
      <c r="W150" s="58"/>
      <c r="X150" s="157">
        <f t="shared" si="61"/>
        <v>43601</v>
      </c>
      <c r="Y150" s="383">
        <f t="shared" si="62"/>
        <v>54.081000000000003</v>
      </c>
      <c r="Z150" s="383">
        <f t="shared" si="63"/>
        <v>54.205518323477627</v>
      </c>
      <c r="AA150" s="384">
        <f t="shared" si="64"/>
        <v>54.786019637131588</v>
      </c>
      <c r="AB150" s="197">
        <f t="shared" si="65"/>
        <v>43601</v>
      </c>
      <c r="AC150" s="424">
        <f t="shared" si="66"/>
        <v>1.0595792822673455E-2</v>
      </c>
      <c r="AD150" s="169">
        <f>(INDEX(Models!$BJ150:$BT150,,AH150)*(1-AF150)+INDEX(Models!$BJ150:$BT150,,AH150+1)*AF150-ERP_i)*AE150*Ramure*Pc/MaxiM</f>
        <v>5.6343399385841828E-6</v>
      </c>
      <c r="AE150" s="304">
        <f t="shared" si="67"/>
        <v>0.6</v>
      </c>
      <c r="AF150" s="177">
        <f t="shared" si="68"/>
        <v>0.63043800622777679</v>
      </c>
      <c r="AG150" s="799">
        <f t="shared" si="69"/>
        <v>-2</v>
      </c>
      <c r="AH150" s="176">
        <f t="shared" si="70"/>
        <v>4</v>
      </c>
      <c r="AI150" s="224">
        <f t="shared" si="71"/>
        <v>-1.3695619937722232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6.5140000000000002</v>
      </c>
      <c r="C151" s="388"/>
      <c r="D151" s="391">
        <f t="shared" si="75"/>
        <v>6.5291232312472678</v>
      </c>
      <c r="E151" s="383">
        <f t="shared" si="76"/>
        <v>6.5996506167363611</v>
      </c>
      <c r="F151" s="383">
        <f t="shared" si="77"/>
        <v>6.5996506167363611</v>
      </c>
      <c r="G151" s="110">
        <f t="shared" si="78"/>
        <v>0.10329548388939132</v>
      </c>
      <c r="I151" s="379">
        <f t="shared" si="52"/>
        <v>6.5996506167363611</v>
      </c>
      <c r="J151" s="85">
        <v>2018</v>
      </c>
      <c r="K151" s="197">
        <f t="shared" si="53"/>
        <v>43602</v>
      </c>
      <c r="L151" s="435">
        <f t="shared" si="54"/>
        <v>2.3162729070406174E-3</v>
      </c>
      <c r="M151" s="842"/>
      <c r="N151" s="842"/>
      <c r="O151" s="323">
        <f t="shared" si="55"/>
        <v>1.0686533209839894E-2</v>
      </c>
      <c r="P151" s="169">
        <f>(INDEX(Models!$BJ151:$BT151,,T151)*(1-R151)+INDEX(Models!$BJ151:$BT151,,T151+1)*R151-ERP_i)*Q151*Ramure*Pc/MaxiM</f>
        <v>5.7378401752896972E-6</v>
      </c>
      <c r="Q151" s="304">
        <f t="shared" si="56"/>
        <v>0.6</v>
      </c>
      <c r="R151" s="177">
        <f t="shared" si="57"/>
        <v>0.63447206458775063</v>
      </c>
      <c r="S151" s="799">
        <f t="shared" si="79"/>
        <v>-2</v>
      </c>
      <c r="T151" s="176">
        <f t="shared" si="58"/>
        <v>4</v>
      </c>
      <c r="U151" s="250">
        <f t="shared" si="59"/>
        <v>-1.3655279354122494</v>
      </c>
      <c r="V151" s="382">
        <f t="shared" si="60"/>
        <v>63.061446429586802</v>
      </c>
      <c r="W151" s="58"/>
      <c r="X151" s="157">
        <f t="shared" si="61"/>
        <v>43602</v>
      </c>
      <c r="Y151" s="383">
        <f t="shared" si="62"/>
        <v>6.5140000000000002</v>
      </c>
      <c r="Z151" s="383">
        <f t="shared" si="63"/>
        <v>6.5291232312472678</v>
      </c>
      <c r="AA151" s="384">
        <f t="shared" si="64"/>
        <v>6.5996506167363611</v>
      </c>
      <c r="AB151" s="197">
        <f t="shared" si="65"/>
        <v>43602</v>
      </c>
      <c r="AC151" s="424">
        <f t="shared" si="66"/>
        <v>1.0686533209839894E-2</v>
      </c>
      <c r="AD151" s="169">
        <f>(INDEX(Models!$BJ151:$BT151,,AH151)*(1-AF151)+INDEX(Models!$BJ151:$BT151,,AH151+1)*AF151-ERP_i)*AE151*Ramure*Pc/MaxiM</f>
        <v>5.7378401752896972E-6</v>
      </c>
      <c r="AE151" s="304">
        <f t="shared" si="67"/>
        <v>0.6</v>
      </c>
      <c r="AF151" s="177">
        <f t="shared" si="68"/>
        <v>0.63447206458775063</v>
      </c>
      <c r="AG151" s="799">
        <f t="shared" si="69"/>
        <v>-2</v>
      </c>
      <c r="AH151" s="176">
        <f t="shared" si="70"/>
        <v>4</v>
      </c>
      <c r="AI151" s="224">
        <f t="shared" si="71"/>
        <v>-1.3655279354122494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36.835000000000001</v>
      </c>
      <c r="C152" s="388"/>
      <c r="D152" s="391">
        <f t="shared" si="75"/>
        <v>36.921225582412191</v>
      </c>
      <c r="E152" s="383">
        <f t="shared" si="76"/>
        <v>37.323474668058921</v>
      </c>
      <c r="F152" s="383">
        <f t="shared" si="77"/>
        <v>37.323562973554012</v>
      </c>
      <c r="G152" s="110">
        <f t="shared" si="78"/>
        <v>0.58385203747522085</v>
      </c>
      <c r="I152" s="379">
        <f t="shared" si="52"/>
        <v>37.323562973554012</v>
      </c>
      <c r="J152" s="85">
        <v>2018</v>
      </c>
      <c r="K152" s="197">
        <f t="shared" si="53"/>
        <v>43603</v>
      </c>
      <c r="L152" s="435">
        <f t="shared" si="54"/>
        <v>2.3353932880620931E-3</v>
      </c>
      <c r="M152" s="842"/>
      <c r="N152" s="842"/>
      <c r="O152" s="323">
        <f t="shared" si="55"/>
        <v>1.0777375076253846E-2</v>
      </c>
      <c r="P152" s="169">
        <f>(INDEX(Models!$BJ152:$BT152,,T152)*(1-R152)+INDEX(Models!$BJ152:$BT152,,T152+1)*R152-ERP_i)*Q152*Ramure*Pc/MaxiM</f>
        <v>5.8345526045623033E-6</v>
      </c>
      <c r="Q152" s="304">
        <f t="shared" si="56"/>
        <v>0.6</v>
      </c>
      <c r="R152" s="177">
        <f t="shared" si="57"/>
        <v>0.63858254481170773</v>
      </c>
      <c r="S152" s="799">
        <f t="shared" si="79"/>
        <v>-2</v>
      </c>
      <c r="T152" s="176">
        <f t="shared" si="58"/>
        <v>4</v>
      </c>
      <c r="U152" s="250">
        <f t="shared" si="59"/>
        <v>-1.3614174551882923</v>
      </c>
      <c r="V152" s="382">
        <f t="shared" si="60"/>
        <v>63.089395718855926</v>
      </c>
      <c r="W152" s="58"/>
      <c r="X152" s="157">
        <f t="shared" si="61"/>
        <v>43603</v>
      </c>
      <c r="Y152" s="383">
        <f t="shared" si="62"/>
        <v>36.835000000000001</v>
      </c>
      <c r="Z152" s="383">
        <f t="shared" si="63"/>
        <v>36.921225582412191</v>
      </c>
      <c r="AA152" s="384">
        <f t="shared" si="64"/>
        <v>37.323474668058921</v>
      </c>
      <c r="AB152" s="197">
        <f t="shared" si="65"/>
        <v>43603</v>
      </c>
      <c r="AC152" s="424">
        <f t="shared" si="66"/>
        <v>1.0777375076253846E-2</v>
      </c>
      <c r="AD152" s="169">
        <f>(INDEX(Models!$BJ152:$BT152,,AH152)*(1-AF152)+INDEX(Models!$BJ152:$BT152,,AH152+1)*AF152-ERP_i)*AE152*Ramure*Pc/MaxiM</f>
        <v>5.8345526045623033E-6</v>
      </c>
      <c r="AE152" s="304">
        <f t="shared" si="67"/>
        <v>0.6</v>
      </c>
      <c r="AF152" s="177">
        <f t="shared" si="68"/>
        <v>0.63858254481170773</v>
      </c>
      <c r="AG152" s="799">
        <f t="shared" si="69"/>
        <v>-2</v>
      </c>
      <c r="AH152" s="176">
        <f t="shared" si="70"/>
        <v>4</v>
      </c>
      <c r="AI152" s="224">
        <f t="shared" si="71"/>
        <v>-1.3614174551882923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26.331</v>
      </c>
      <c r="C153" s="388"/>
      <c r="D153" s="391">
        <f t="shared" si="75"/>
        <v>26.393143006306985</v>
      </c>
      <c r="E153" s="383">
        <f t="shared" si="76"/>
        <v>26.683143741428339</v>
      </c>
      <c r="F153" s="383">
        <f t="shared" si="77"/>
        <v>26.683170206403478</v>
      </c>
      <c r="G153" s="110">
        <f t="shared" si="78"/>
        <v>0.41720439705384349</v>
      </c>
      <c r="I153" s="379">
        <f t="shared" si="52"/>
        <v>26.683170206403478</v>
      </c>
      <c r="J153" s="85">
        <v>2018</v>
      </c>
      <c r="K153" s="197">
        <f t="shared" si="53"/>
        <v>43604</v>
      </c>
      <c r="L153" s="435">
        <f t="shared" si="54"/>
        <v>2.3545133026459109E-3</v>
      </c>
      <c r="M153" s="842"/>
      <c r="N153" s="842"/>
      <c r="O153" s="323">
        <f t="shared" si="55"/>
        <v>1.0868312142361891E-2</v>
      </c>
      <c r="P153" s="169">
        <f>(INDEX(Models!$BJ153:$BT153,,T153)*(1-R153)+INDEX(Models!$BJ153:$BT153,,T153+1)*R153-ERP_i)*Q153*Ramure*Pc/MaxiM</f>
        <v>5.9235297613494477E-6</v>
      </c>
      <c r="Q153" s="304">
        <f t="shared" si="56"/>
        <v>0.6</v>
      </c>
      <c r="R153" s="177">
        <f t="shared" si="57"/>
        <v>0.6427680705790042</v>
      </c>
      <c r="S153" s="799">
        <f t="shared" si="79"/>
        <v>-2</v>
      </c>
      <c r="T153" s="176">
        <f t="shared" si="58"/>
        <v>4</v>
      </c>
      <c r="U153" s="250">
        <f t="shared" si="59"/>
        <v>-1.3572319294209958</v>
      </c>
      <c r="V153" s="382">
        <f t="shared" si="60"/>
        <v>63.112638143398023</v>
      </c>
      <c r="W153" s="58"/>
      <c r="X153" s="157">
        <f t="shared" si="61"/>
        <v>43604</v>
      </c>
      <c r="Y153" s="383">
        <f t="shared" si="62"/>
        <v>26.331</v>
      </c>
      <c r="Z153" s="383">
        <f t="shared" si="63"/>
        <v>26.393143006306985</v>
      </c>
      <c r="AA153" s="384">
        <f t="shared" si="64"/>
        <v>26.683143741428339</v>
      </c>
      <c r="AB153" s="197">
        <f t="shared" si="65"/>
        <v>43604</v>
      </c>
      <c r="AC153" s="424">
        <f t="shared" si="66"/>
        <v>1.0868312142361891E-2</v>
      </c>
      <c r="AD153" s="169">
        <f>(INDEX(Models!$BJ153:$BT153,,AH153)*(1-AF153)+INDEX(Models!$BJ153:$BT153,,AH153+1)*AF153-ERP_i)*AE153*Ramure*Pc/MaxiM</f>
        <v>5.9235297613494477E-6</v>
      </c>
      <c r="AE153" s="304">
        <f t="shared" si="67"/>
        <v>0.6</v>
      </c>
      <c r="AF153" s="177">
        <f t="shared" si="68"/>
        <v>0.6427680705790042</v>
      </c>
      <c r="AG153" s="799">
        <f t="shared" si="69"/>
        <v>-2</v>
      </c>
      <c r="AH153" s="176">
        <f t="shared" si="70"/>
        <v>4</v>
      </c>
      <c r="AI153" s="224">
        <f t="shared" si="71"/>
        <v>-1.3572319294209958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52.524999999999999</v>
      </c>
      <c r="C154" s="388"/>
      <c r="D154" s="391">
        <f t="shared" si="75"/>
        <v>52.64997170770404</v>
      </c>
      <c r="E154" s="383">
        <f t="shared" si="76"/>
        <v>53.233374228223937</v>
      </c>
      <c r="F154" s="383">
        <f t="shared" si="77"/>
        <v>53.233617123861052</v>
      </c>
      <c r="G154" s="110">
        <f t="shared" si="78"/>
        <v>0.83199375688718558</v>
      </c>
      <c r="I154" s="379">
        <f t="shared" si="52"/>
        <v>53.233617123861052</v>
      </c>
      <c r="J154" s="85">
        <v>2018</v>
      </c>
      <c r="K154" s="197">
        <f t="shared" si="53"/>
        <v>43605</v>
      </c>
      <c r="L154" s="435">
        <f t="shared" si="54"/>
        <v>2.373632950798954E-3</v>
      </c>
      <c r="M154" s="842"/>
      <c r="N154" s="842"/>
      <c r="O154" s="323">
        <f t="shared" si="55"/>
        <v>1.0959337614382973E-2</v>
      </c>
      <c r="P154" s="169">
        <f>(INDEX(Models!$BJ154:$BT154,,T154)*(1-R154)+INDEX(Models!$BJ154:$BT154,,T154+1)*R154-ERP_i)*Q154*Ramure*Pc/MaxiM</f>
        <v>6.0037729943268921E-6</v>
      </c>
      <c r="Q154" s="304">
        <f t="shared" si="56"/>
        <v>0.6</v>
      </c>
      <c r="R154" s="177">
        <f t="shared" si="57"/>
        <v>0.64702708588666491</v>
      </c>
      <c r="S154" s="799">
        <f t="shared" si="79"/>
        <v>-2</v>
      </c>
      <c r="T154" s="176">
        <f t="shared" si="58"/>
        <v>4</v>
      </c>
      <c r="U154" s="250">
        <f t="shared" si="59"/>
        <v>-1.3529729141133351</v>
      </c>
      <c r="V154" s="382">
        <f t="shared" si="60"/>
        <v>63.131392368058371</v>
      </c>
      <c r="W154" s="58"/>
      <c r="X154" s="157">
        <f t="shared" si="61"/>
        <v>43605</v>
      </c>
      <c r="Y154" s="383">
        <f t="shared" si="62"/>
        <v>52.524999999999999</v>
      </c>
      <c r="Z154" s="383">
        <f t="shared" si="63"/>
        <v>52.64997170770404</v>
      </c>
      <c r="AA154" s="384">
        <f t="shared" si="64"/>
        <v>53.233374228223937</v>
      </c>
      <c r="AB154" s="197">
        <f t="shared" si="65"/>
        <v>43605</v>
      </c>
      <c r="AC154" s="424">
        <f t="shared" si="66"/>
        <v>1.0959337614382973E-2</v>
      </c>
      <c r="AD154" s="169">
        <f>(INDEX(Models!$BJ154:$BT154,,AH154)*(1-AF154)+INDEX(Models!$BJ154:$BT154,,AH154+1)*AF154-ERP_i)*AE154*Ramure*Pc/MaxiM</f>
        <v>6.0037729943268921E-6</v>
      </c>
      <c r="AE154" s="304">
        <f t="shared" si="67"/>
        <v>0.6</v>
      </c>
      <c r="AF154" s="177">
        <f t="shared" si="68"/>
        <v>0.64702708588666491</v>
      </c>
      <c r="AG154" s="799">
        <f t="shared" si="69"/>
        <v>-2</v>
      </c>
      <c r="AH154" s="176">
        <f t="shared" si="70"/>
        <v>4</v>
      </c>
      <c r="AI154" s="224">
        <f t="shared" si="71"/>
        <v>-1.3529729141133351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50.362000000000002</v>
      </c>
      <c r="C155" s="388"/>
      <c r="D155" s="391">
        <f t="shared" si="75"/>
        <v>50.482792815212861</v>
      </c>
      <c r="E155" s="383">
        <f t="shared" si="76"/>
        <v>51.046883553168946</v>
      </c>
      <c r="F155" s="383">
        <f t="shared" si="77"/>
        <v>51.047103947978172</v>
      </c>
      <c r="G155" s="110">
        <f t="shared" si="78"/>
        <v>0.79754869069709089</v>
      </c>
      <c r="I155" s="379">
        <f t="shared" si="52"/>
        <v>51.047103947978172</v>
      </c>
      <c r="J155" s="85">
        <v>2018</v>
      </c>
      <c r="K155" s="197">
        <f t="shared" si="53"/>
        <v>43606</v>
      </c>
      <c r="L155" s="435">
        <f t="shared" si="54"/>
        <v>2.3927522325282169E-3</v>
      </c>
      <c r="M155" s="842"/>
      <c r="N155" s="842"/>
      <c r="O155" s="323">
        <f t="shared" si="55"/>
        <v>1.1050444193494114E-2</v>
      </c>
      <c r="P155" s="169">
        <f>(INDEX(Models!$BJ155:$BT155,,T155)*(1-R155)+INDEX(Models!$BJ155:$BT155,,T155+1)*R155-ERP_i)*Q155*Ramure*Pc/MaxiM</f>
        <v>6.0742335009225944E-6</v>
      </c>
      <c r="Q155" s="304">
        <f t="shared" si="56"/>
        <v>0.6</v>
      </c>
      <c r="R155" s="177">
        <f t="shared" si="57"/>
        <v>0.65135785340760766</v>
      </c>
      <c r="S155" s="799">
        <f t="shared" si="79"/>
        <v>-2</v>
      </c>
      <c r="T155" s="176">
        <f t="shared" si="58"/>
        <v>4</v>
      </c>
      <c r="U155" s="250">
        <f t="shared" si="59"/>
        <v>-1.3486421465923923</v>
      </c>
      <c r="V155" s="382">
        <f t="shared" si="60"/>
        <v>63.145877002116585</v>
      </c>
      <c r="W155" s="58"/>
      <c r="X155" s="157">
        <f t="shared" si="61"/>
        <v>43606</v>
      </c>
      <c r="Y155" s="383">
        <f t="shared" si="62"/>
        <v>50.362000000000002</v>
      </c>
      <c r="Z155" s="383">
        <f t="shared" si="63"/>
        <v>50.482792815212861</v>
      </c>
      <c r="AA155" s="384">
        <f t="shared" si="64"/>
        <v>51.046883553168946</v>
      </c>
      <c r="AB155" s="197">
        <f t="shared" si="65"/>
        <v>43606</v>
      </c>
      <c r="AC155" s="424">
        <f t="shared" si="66"/>
        <v>1.1050444193494114E-2</v>
      </c>
      <c r="AD155" s="169">
        <f>(INDEX(Models!$BJ155:$BT155,,AH155)*(1-AF155)+INDEX(Models!$BJ155:$BT155,,AH155+1)*AF155-ERP_i)*AE155*Ramure*Pc/MaxiM</f>
        <v>6.0742335009225944E-6</v>
      </c>
      <c r="AE155" s="304">
        <f t="shared" si="67"/>
        <v>0.6</v>
      </c>
      <c r="AF155" s="177">
        <f t="shared" si="68"/>
        <v>0.65135785340760766</v>
      </c>
      <c r="AG155" s="799">
        <f t="shared" si="69"/>
        <v>-2</v>
      </c>
      <c r="AH155" s="176">
        <f t="shared" si="70"/>
        <v>4</v>
      </c>
      <c r="AI155" s="224">
        <f t="shared" si="71"/>
        <v>-1.3486421465923923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59.935000000000002</v>
      </c>
      <c r="C156" s="388"/>
      <c r="D156" s="391">
        <f t="shared" si="75"/>
        <v>60.07990498940898</v>
      </c>
      <c r="E156" s="383">
        <f t="shared" si="76"/>
        <v>60.756834803559613</v>
      </c>
      <c r="F156" s="383">
        <f t="shared" si="77"/>
        <v>60.757180610940942</v>
      </c>
      <c r="G156" s="110">
        <f t="shared" si="78"/>
        <v>0.94899421664077199</v>
      </c>
      <c r="I156" s="379">
        <f t="shared" si="52"/>
        <v>60.757180610940942</v>
      </c>
      <c r="J156" s="85">
        <v>2018</v>
      </c>
      <c r="K156" s="197">
        <f t="shared" si="53"/>
        <v>43607</v>
      </c>
      <c r="L156" s="435">
        <f t="shared" si="54"/>
        <v>2.4118711478409161E-3</v>
      </c>
      <c r="M156" s="842"/>
      <c r="N156" s="842"/>
      <c r="O156" s="323">
        <f t="shared" si="55"/>
        <v>1.1141624087879118E-2</v>
      </c>
      <c r="P156" s="169">
        <f>(INDEX(Models!$BJ156:$BT156,,T156)*(1-R156)+INDEX(Models!$BJ156:$BT156,,T156+1)*R156-ERP_i)*Q156*Ramure*Pc/MaxiM</f>
        <v>6.1389426443595578E-6</v>
      </c>
      <c r="Q156" s="304">
        <f t="shared" si="56"/>
        <v>0.6</v>
      </c>
      <c r="R156" s="177">
        <f t="shared" si="57"/>
        <v>0.65575845365316332</v>
      </c>
      <c r="S156" s="799">
        <f t="shared" si="79"/>
        <v>-2</v>
      </c>
      <c r="T156" s="176">
        <f t="shared" si="58"/>
        <v>4</v>
      </c>
      <c r="U156" s="250">
        <f t="shared" si="59"/>
        <v>-1.3442415463468367</v>
      </c>
      <c r="V156" s="382">
        <f t="shared" si="60"/>
        <v>63.15631026952947</v>
      </c>
      <c r="W156" s="58"/>
      <c r="X156" s="157">
        <f t="shared" si="61"/>
        <v>43607</v>
      </c>
      <c r="Y156" s="383">
        <f t="shared" si="62"/>
        <v>59.935000000000002</v>
      </c>
      <c r="Z156" s="383">
        <f t="shared" si="63"/>
        <v>60.07990498940898</v>
      </c>
      <c r="AA156" s="384">
        <f t="shared" si="64"/>
        <v>60.756834803559613</v>
      </c>
      <c r="AB156" s="197">
        <f t="shared" si="65"/>
        <v>43607</v>
      </c>
      <c r="AC156" s="424">
        <f t="shared" si="66"/>
        <v>1.1141624087879118E-2</v>
      </c>
      <c r="AD156" s="169">
        <f>(INDEX(Models!$BJ156:$BT156,,AH156)*(1-AF156)+INDEX(Models!$BJ156:$BT156,,AH156+1)*AF156-ERP_i)*AE156*Ramure*Pc/MaxiM</f>
        <v>6.1389426443595578E-6</v>
      </c>
      <c r="AE156" s="304">
        <f t="shared" si="67"/>
        <v>0.6</v>
      </c>
      <c r="AF156" s="177">
        <f t="shared" si="68"/>
        <v>0.65575845365316332</v>
      </c>
      <c r="AG156" s="799">
        <f t="shared" si="69"/>
        <v>-2</v>
      </c>
      <c r="AH156" s="176">
        <f t="shared" si="70"/>
        <v>4</v>
      </c>
      <c r="AI156" s="224">
        <f t="shared" si="71"/>
        <v>-1.3442415463468367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51.996000000000002</v>
      </c>
      <c r="C157" s="388"/>
      <c r="D157" s="391">
        <f t="shared" si="75"/>
        <v>52.122709770418261</v>
      </c>
      <c r="E157" s="383">
        <f t="shared" si="76"/>
        <v>52.714848762380271</v>
      </c>
      <c r="F157" s="383">
        <f t="shared" si="77"/>
        <v>52.715093033856327</v>
      </c>
      <c r="G157" s="110">
        <f t="shared" si="78"/>
        <v>0.8232033355026902</v>
      </c>
      <c r="I157" s="379">
        <f t="shared" si="52"/>
        <v>52.715093033856327</v>
      </c>
      <c r="J157" s="85">
        <v>2018</v>
      </c>
      <c r="K157" s="197">
        <f t="shared" si="53"/>
        <v>43608</v>
      </c>
      <c r="L157" s="435">
        <f t="shared" si="54"/>
        <v>2.4309896967439348E-3</v>
      </c>
      <c r="M157" s="842"/>
      <c r="N157" s="842"/>
      <c r="O157" s="323">
        <f t="shared" si="55"/>
        <v>1.1232869027684398E-2</v>
      </c>
      <c r="P157" s="169">
        <f>(INDEX(Models!$BJ157:$BT157,,T157)*(1-R157)+INDEX(Models!$BJ157:$BT157,,T157+1)*R157-ERP_i)*Q157*Ramure*Pc/MaxiM</f>
        <v>6.199608220503969E-6</v>
      </c>
      <c r="Q157" s="304">
        <f t="shared" si="56"/>
        <v>0.6</v>
      </c>
      <c r="R157" s="177">
        <f t="shared" si="57"/>
        <v>0.6602267849849357</v>
      </c>
      <c r="S157" s="799">
        <f t="shared" si="79"/>
        <v>-2</v>
      </c>
      <c r="T157" s="176">
        <f t="shared" si="58"/>
        <v>4</v>
      </c>
      <c r="U157" s="250">
        <f t="shared" si="59"/>
        <v>-1.3397732150150643</v>
      </c>
      <c r="V157" s="382">
        <f t="shared" si="60"/>
        <v>63.162910476281404</v>
      </c>
      <c r="W157" s="58"/>
      <c r="X157" s="157">
        <f t="shared" si="61"/>
        <v>43608</v>
      </c>
      <c r="Y157" s="383">
        <f t="shared" si="62"/>
        <v>51.996000000000002</v>
      </c>
      <c r="Z157" s="383">
        <f t="shared" si="63"/>
        <v>52.122709770418261</v>
      </c>
      <c r="AA157" s="384">
        <f t="shared" si="64"/>
        <v>52.714848762380271</v>
      </c>
      <c r="AB157" s="197">
        <f t="shared" si="65"/>
        <v>43608</v>
      </c>
      <c r="AC157" s="424">
        <f t="shared" si="66"/>
        <v>1.1232869027684398E-2</v>
      </c>
      <c r="AD157" s="169">
        <f>(INDEX(Models!$BJ157:$BT157,,AH157)*(1-AF157)+INDEX(Models!$BJ157:$BT157,,AH157+1)*AF157-ERP_i)*AE157*Ramure*Pc/MaxiM</f>
        <v>6.199608220503969E-6</v>
      </c>
      <c r="AE157" s="304">
        <f t="shared" si="67"/>
        <v>0.6</v>
      </c>
      <c r="AF157" s="177">
        <f t="shared" si="68"/>
        <v>0.6602267849849357</v>
      </c>
      <c r="AG157" s="799">
        <f t="shared" si="69"/>
        <v>-2</v>
      </c>
      <c r="AH157" s="176">
        <f t="shared" si="70"/>
        <v>4</v>
      </c>
      <c r="AI157" s="224">
        <f t="shared" si="71"/>
        <v>-1.3397732150150643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12.366</v>
      </c>
      <c r="C158" s="388"/>
      <c r="D158" s="391">
        <f t="shared" si="75"/>
        <v>12.396372449813335</v>
      </c>
      <c r="E158" s="383">
        <f t="shared" si="76"/>
        <v>12.538358961764528</v>
      </c>
      <c r="F158" s="383">
        <f t="shared" si="77"/>
        <v>12.538358961764528</v>
      </c>
      <c r="G158" s="110">
        <f t="shared" si="78"/>
        <v>0.1957689738233466</v>
      </c>
      <c r="I158" s="379">
        <f t="shared" si="52"/>
        <v>12.538358961764528</v>
      </c>
      <c r="J158" s="85">
        <v>2018</v>
      </c>
      <c r="K158" s="197">
        <f t="shared" si="53"/>
        <v>43609</v>
      </c>
      <c r="L158" s="435">
        <f t="shared" si="54"/>
        <v>2.4501078792443787E-3</v>
      </c>
      <c r="M158" s="842"/>
      <c r="N158" s="842"/>
      <c r="O158" s="323">
        <f t="shared" si="55"/>
        <v>1.1324170282903816E-2</v>
      </c>
      <c r="P158" s="169">
        <f>(INDEX(Models!$BJ158:$BT158,,T158)*(1-R158)+INDEX(Models!$BJ158:$BT158,,T158+1)*R158-ERP_i)*Q158*Ramure*Pc/MaxiM</f>
        <v>6.2558803579513674E-6</v>
      </c>
      <c r="Q158" s="304">
        <f t="shared" si="56"/>
        <v>0.6</v>
      </c>
      <c r="R158" s="177">
        <f t="shared" si="57"/>
        <v>0.66476056451576504</v>
      </c>
      <c r="S158" s="799">
        <f t="shared" si="79"/>
        <v>-2</v>
      </c>
      <c r="T158" s="176">
        <f t="shared" si="58"/>
        <v>4</v>
      </c>
      <c r="U158" s="250">
        <f t="shared" si="59"/>
        <v>-1.335239435484235</v>
      </c>
      <c r="V158" s="382">
        <f t="shared" si="60"/>
        <v>63.165895996073218</v>
      </c>
      <c r="W158" s="58"/>
      <c r="X158" s="157">
        <f t="shared" si="61"/>
        <v>43609</v>
      </c>
      <c r="Y158" s="383">
        <f t="shared" si="62"/>
        <v>12.366</v>
      </c>
      <c r="Z158" s="383">
        <f t="shared" si="63"/>
        <v>12.396372449813335</v>
      </c>
      <c r="AA158" s="384">
        <f t="shared" si="64"/>
        <v>12.538358961764528</v>
      </c>
      <c r="AB158" s="197">
        <f t="shared" si="65"/>
        <v>43609</v>
      </c>
      <c r="AC158" s="424">
        <f t="shared" si="66"/>
        <v>1.1324170282903816E-2</v>
      </c>
      <c r="AD158" s="169">
        <f>(INDEX(Models!$BJ158:$BT158,,AH158)*(1-AF158)+INDEX(Models!$BJ158:$BT158,,AH158+1)*AF158-ERP_i)*AE158*Ramure*Pc/MaxiM</f>
        <v>6.2558803579513674E-6</v>
      </c>
      <c r="AE158" s="304">
        <f t="shared" si="67"/>
        <v>0.6</v>
      </c>
      <c r="AF158" s="177">
        <f t="shared" si="68"/>
        <v>0.66476056451576504</v>
      </c>
      <c r="AG158" s="799">
        <f t="shared" si="69"/>
        <v>-2</v>
      </c>
      <c r="AH158" s="176">
        <f t="shared" si="70"/>
        <v>4</v>
      </c>
      <c r="AI158" s="224">
        <f t="shared" si="71"/>
        <v>-1.335239435484235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25.402000000000001</v>
      </c>
      <c r="C159" s="388"/>
      <c r="D159" s="391">
        <f t="shared" si="75"/>
        <v>25.464878532401151</v>
      </c>
      <c r="E159" s="383">
        <f t="shared" si="76"/>
        <v>25.758930080014323</v>
      </c>
      <c r="F159" s="383">
        <f t="shared" si="77"/>
        <v>25.758953789503959</v>
      </c>
      <c r="G159" s="110">
        <f t="shared" si="78"/>
        <v>0.40214783607060522</v>
      </c>
      <c r="I159" s="379">
        <f t="shared" si="52"/>
        <v>25.758953789503959</v>
      </c>
      <c r="J159" s="85">
        <v>2018</v>
      </c>
      <c r="K159" s="197">
        <f t="shared" si="53"/>
        <v>43610</v>
      </c>
      <c r="L159" s="435">
        <f t="shared" si="54"/>
        <v>2.4692256953491309E-3</v>
      </c>
      <c r="M159" s="842"/>
      <c r="N159" s="842"/>
      <c r="O159" s="323">
        <f t="shared" si="55"/>
        <v>1.1415518684191047E-2</v>
      </c>
      <c r="P159" s="169">
        <f>(INDEX(Models!$BJ159:$BT159,,T159)*(1-R159)+INDEX(Models!$BJ159:$BT159,,T159+1)*R159-ERP_i)*Q159*Ramure*Pc/MaxiM</f>
        <v>6.3074474967366996E-6</v>
      </c>
      <c r="Q159" s="304">
        <f t="shared" si="56"/>
        <v>0.6</v>
      </c>
      <c r="R159" s="177">
        <f t="shared" si="57"/>
        <v>0.66935732993348229</v>
      </c>
      <c r="S159" s="799">
        <f t="shared" si="79"/>
        <v>-2</v>
      </c>
      <c r="T159" s="176">
        <f t="shared" si="58"/>
        <v>4</v>
      </c>
      <c r="U159" s="250">
        <f t="shared" si="59"/>
        <v>-1.3306426700665177</v>
      </c>
      <c r="V159" s="382">
        <f t="shared" si="60"/>
        <v>63.165485129128342</v>
      </c>
      <c r="W159" s="58"/>
      <c r="X159" s="157">
        <f t="shared" si="61"/>
        <v>43610</v>
      </c>
      <c r="Y159" s="383">
        <f t="shared" si="62"/>
        <v>25.402000000000001</v>
      </c>
      <c r="Z159" s="383">
        <f t="shared" si="63"/>
        <v>25.464878532401151</v>
      </c>
      <c r="AA159" s="384">
        <f t="shared" si="64"/>
        <v>25.758930080014323</v>
      </c>
      <c r="AB159" s="197">
        <f t="shared" si="65"/>
        <v>43610</v>
      </c>
      <c r="AC159" s="424">
        <f t="shared" si="66"/>
        <v>1.1415518684191047E-2</v>
      </c>
      <c r="AD159" s="169">
        <f>(INDEX(Models!$BJ159:$BT159,,AH159)*(1-AF159)+INDEX(Models!$BJ159:$BT159,,AH159+1)*AF159-ERP_i)*AE159*Ramure*Pc/MaxiM</f>
        <v>6.3074474967366996E-6</v>
      </c>
      <c r="AE159" s="304">
        <f t="shared" si="67"/>
        <v>0.6</v>
      </c>
      <c r="AF159" s="177">
        <f t="shared" si="68"/>
        <v>0.66935732993348229</v>
      </c>
      <c r="AG159" s="799">
        <f t="shared" si="69"/>
        <v>-2</v>
      </c>
      <c r="AH159" s="176">
        <f t="shared" si="70"/>
        <v>4</v>
      </c>
      <c r="AI159" s="224">
        <f t="shared" si="71"/>
        <v>-1.3306426700665177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26.045000000000002</v>
      </c>
      <c r="C160" s="388"/>
      <c r="D160" s="391">
        <f t="shared" si="75"/>
        <v>26.109970566276456</v>
      </c>
      <c r="E160" s="383">
        <f t="shared" si="76"/>
        <v>26.413912943864396</v>
      </c>
      <c r="F160" s="383">
        <f t="shared" si="77"/>
        <v>26.41393988198563</v>
      </c>
      <c r="G160" s="110">
        <f t="shared" si="78"/>
        <v>0.4123508424521663</v>
      </c>
      <c r="I160" s="379">
        <f t="shared" si="52"/>
        <v>26.41393988198563</v>
      </c>
      <c r="J160" s="85">
        <v>2018</v>
      </c>
      <c r="K160" s="197">
        <f t="shared" si="53"/>
        <v>43611</v>
      </c>
      <c r="L160" s="435">
        <f t="shared" si="54"/>
        <v>2.4883431450654081E-3</v>
      </c>
      <c r="M160" s="842"/>
      <c r="N160" s="842"/>
      <c r="O160" s="323">
        <f t="shared" si="55"/>
        <v>1.1506904646573403E-2</v>
      </c>
      <c r="P160" s="169">
        <f>(INDEX(Models!$BJ160:$BT160,,T160)*(1-R160)+INDEX(Models!$BJ160:$BT160,,T160+1)*R160-ERP_i)*Q160*Ramure*Pc/MaxiM</f>
        <v>6.354001638132314E-6</v>
      </c>
      <c r="Q160" s="304">
        <f t="shared" si="56"/>
        <v>0.6</v>
      </c>
      <c r="R160" s="177">
        <f t="shared" si="57"/>
        <v>0.67401444227431462</v>
      </c>
      <c r="S160" s="799">
        <f t="shared" si="79"/>
        <v>-2</v>
      </c>
      <c r="T160" s="176">
        <f t="shared" si="58"/>
        <v>4</v>
      </c>
      <c r="U160" s="250">
        <f t="shared" si="59"/>
        <v>-1.3259855577256854</v>
      </c>
      <c r="V160" s="382">
        <f t="shared" si="60"/>
        <v>63.161896109783513</v>
      </c>
      <c r="W160" s="58"/>
      <c r="X160" s="157">
        <f t="shared" si="61"/>
        <v>43611</v>
      </c>
      <c r="Y160" s="383">
        <f t="shared" si="62"/>
        <v>26.045000000000002</v>
      </c>
      <c r="Z160" s="383">
        <f t="shared" si="63"/>
        <v>26.109970566276456</v>
      </c>
      <c r="AA160" s="384">
        <f t="shared" si="64"/>
        <v>26.413912943864396</v>
      </c>
      <c r="AB160" s="197">
        <f t="shared" si="65"/>
        <v>43611</v>
      </c>
      <c r="AC160" s="424">
        <f t="shared" si="66"/>
        <v>1.1506904646573403E-2</v>
      </c>
      <c r="AD160" s="169">
        <f>(INDEX(Models!$BJ160:$BT160,,AH160)*(1-AF160)+INDEX(Models!$BJ160:$BT160,,AH160+1)*AF160-ERP_i)*AE160*Ramure*Pc/MaxiM</f>
        <v>6.354001638132314E-6</v>
      </c>
      <c r="AE160" s="304">
        <f t="shared" si="67"/>
        <v>0.6</v>
      </c>
      <c r="AF160" s="177">
        <f t="shared" si="68"/>
        <v>0.67401444227431462</v>
      </c>
      <c r="AG160" s="799">
        <f t="shared" si="69"/>
        <v>-2</v>
      </c>
      <c r="AH160" s="176">
        <f t="shared" si="70"/>
        <v>4</v>
      </c>
      <c r="AI160" s="224">
        <f t="shared" si="71"/>
        <v>-1.3259855577256854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31.324999999999999</v>
      </c>
      <c r="C161" s="388"/>
      <c r="D161" s="391">
        <f t="shared" si="75"/>
        <v>31.403743638195643</v>
      </c>
      <c r="E161" s="383">
        <f t="shared" si="76"/>
        <v>31.772248283591559</v>
      </c>
      <c r="F161" s="383">
        <f t="shared" si="77"/>
        <v>31.772305176978726</v>
      </c>
      <c r="G161" s="110">
        <f t="shared" si="78"/>
        <v>0.49599689020593535</v>
      </c>
      <c r="I161" s="379">
        <f t="shared" si="52"/>
        <v>31.772305176978726</v>
      </c>
      <c r="J161" s="85">
        <v>2018</v>
      </c>
      <c r="K161" s="197">
        <f t="shared" si="53"/>
        <v>43612</v>
      </c>
      <c r="L161" s="435">
        <f t="shared" si="54"/>
        <v>2.5074602283999825E-3</v>
      </c>
      <c r="M161" s="842"/>
      <c r="N161" s="842"/>
      <c r="O161" s="323">
        <f t="shared" si="55"/>
        <v>1.1598318196016033E-2</v>
      </c>
      <c r="P161" s="169">
        <f>(INDEX(Models!$BJ161:$BT161,,T161)*(1-R161)+INDEX(Models!$BJ161:$BT161,,T161+1)*R161-ERP_i)*Q161*Ramure*Pc/MaxiM</f>
        <v>6.395240242931955E-6</v>
      </c>
      <c r="Q161" s="304">
        <f t="shared" si="56"/>
        <v>0.6</v>
      </c>
      <c r="R161" s="177">
        <f t="shared" si="57"/>
        <v>0.67872908966529044</v>
      </c>
      <c r="S161" s="799">
        <f t="shared" si="79"/>
        <v>-2</v>
      </c>
      <c r="T161" s="176">
        <f t="shared" si="58"/>
        <v>4</v>
      </c>
      <c r="U161" s="250">
        <f t="shared" si="59"/>
        <v>-1.3212709103347096</v>
      </c>
      <c r="V161" s="382">
        <f t="shared" si="60"/>
        <v>63.155347099557389</v>
      </c>
      <c r="W161" s="58"/>
      <c r="X161" s="157">
        <f t="shared" si="61"/>
        <v>43612</v>
      </c>
      <c r="Y161" s="383">
        <f t="shared" si="62"/>
        <v>31.324999999999999</v>
      </c>
      <c r="Z161" s="383">
        <f t="shared" si="63"/>
        <v>31.403743638195643</v>
      </c>
      <c r="AA161" s="384">
        <f t="shared" si="64"/>
        <v>31.772248283591559</v>
      </c>
      <c r="AB161" s="197">
        <f t="shared" si="65"/>
        <v>43612</v>
      </c>
      <c r="AC161" s="424">
        <f t="shared" si="66"/>
        <v>1.1598318196016033E-2</v>
      </c>
      <c r="AD161" s="169">
        <f>(INDEX(Models!$BJ161:$BT161,,AH161)*(1-AF161)+INDEX(Models!$BJ161:$BT161,,AH161+1)*AF161-ERP_i)*AE161*Ramure*Pc/MaxiM</f>
        <v>6.395240242931955E-6</v>
      </c>
      <c r="AE161" s="304">
        <f t="shared" si="67"/>
        <v>0.6</v>
      </c>
      <c r="AF161" s="177">
        <f t="shared" si="68"/>
        <v>0.67872908966529044</v>
      </c>
      <c r="AG161" s="799">
        <f t="shared" si="69"/>
        <v>-2</v>
      </c>
      <c r="AH161" s="176">
        <f t="shared" si="70"/>
        <v>4</v>
      </c>
      <c r="AI161" s="224">
        <f t="shared" si="71"/>
        <v>-1.3212709103347096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27.669</v>
      </c>
      <c r="C162" s="388"/>
      <c r="D162" s="391">
        <f t="shared" si="75"/>
        <v>27.73908493247578</v>
      </c>
      <c r="E162" s="383">
        <f t="shared" si="76"/>
        <v>28.067183259886054</v>
      </c>
      <c r="F162" s="383">
        <f t="shared" si="77"/>
        <v>28.067218888528078</v>
      </c>
      <c r="G162" s="110">
        <f t="shared" si="78"/>
        <v>0.43817237146213056</v>
      </c>
      <c r="I162" s="379">
        <f t="shared" si="52"/>
        <v>28.067218888528078</v>
      </c>
      <c r="J162" s="85">
        <v>2018</v>
      </c>
      <c r="K162" s="197">
        <f t="shared" si="53"/>
        <v>43613</v>
      </c>
      <c r="L162" s="435">
        <f t="shared" si="54"/>
        <v>2.5265769453600706E-3</v>
      </c>
      <c r="M162" s="842"/>
      <c r="N162" s="842"/>
      <c r="O162" s="323">
        <f t="shared" si="55"/>
        <v>1.168974899876031E-2</v>
      </c>
      <c r="P162" s="169">
        <f>(INDEX(Models!$BJ162:$BT162,,T162)*(1-R162)+INDEX(Models!$BJ162:$BT162,,T162+1)*R162-ERP_i)*Q162*Ramure*Pc/MaxiM</f>
        <v>6.4308681880451104E-6</v>
      </c>
      <c r="Q162" s="304">
        <f t="shared" si="56"/>
        <v>0.6</v>
      </c>
      <c r="R162" s="177">
        <f t="shared" si="57"/>
        <v>0.68349829204683266</v>
      </c>
      <c r="S162" s="799">
        <f t="shared" si="79"/>
        <v>-2</v>
      </c>
      <c r="T162" s="176">
        <f t="shared" si="58"/>
        <v>4</v>
      </c>
      <c r="U162" s="250">
        <f t="shared" si="59"/>
        <v>-1.3165017079531673</v>
      </c>
      <c r="V162" s="382">
        <f t="shared" si="60"/>
        <v>63.146056185469618</v>
      </c>
      <c r="W162" s="58"/>
      <c r="X162" s="157">
        <f t="shared" si="61"/>
        <v>43613</v>
      </c>
      <c r="Y162" s="383">
        <f t="shared" si="62"/>
        <v>27.669</v>
      </c>
      <c r="Z162" s="383">
        <f t="shared" si="63"/>
        <v>27.73908493247578</v>
      </c>
      <c r="AA162" s="384">
        <f t="shared" si="64"/>
        <v>28.067183259886054</v>
      </c>
      <c r="AB162" s="197">
        <f t="shared" si="65"/>
        <v>43613</v>
      </c>
      <c r="AC162" s="424">
        <f t="shared" si="66"/>
        <v>1.168974899876031E-2</v>
      </c>
      <c r="AD162" s="169">
        <f>(INDEX(Models!$BJ162:$BT162,,AH162)*(1-AF162)+INDEX(Models!$BJ162:$BT162,,AH162+1)*AF162-ERP_i)*AE162*Ramure*Pc/MaxiM</f>
        <v>6.4308681880451104E-6</v>
      </c>
      <c r="AE162" s="304">
        <f t="shared" si="67"/>
        <v>0.6</v>
      </c>
      <c r="AF162" s="177">
        <f t="shared" si="68"/>
        <v>0.68349829204683266</v>
      </c>
      <c r="AG162" s="799">
        <f t="shared" si="69"/>
        <v>-2</v>
      </c>
      <c r="AH162" s="176">
        <f t="shared" si="70"/>
        <v>4</v>
      </c>
      <c r="AI162" s="224">
        <f t="shared" si="71"/>
        <v>-1.3165017079531673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40.127000000000002</v>
      </c>
      <c r="C163" s="388"/>
      <c r="D163" s="391">
        <f t="shared" si="75"/>
        <v>40.229411743776254</v>
      </c>
      <c r="E163" s="383">
        <f t="shared" si="76"/>
        <v>40.709012204445351</v>
      </c>
      <c r="F163" s="383">
        <f t="shared" si="77"/>
        <v>40.709138298630698</v>
      </c>
      <c r="G163" s="110">
        <f t="shared" si="78"/>
        <v>0.63559494842436171</v>
      </c>
      <c r="I163" s="379">
        <f t="shared" si="52"/>
        <v>40.709138298630698</v>
      </c>
      <c r="J163" s="85">
        <v>2018</v>
      </c>
      <c r="K163" s="197">
        <f t="shared" si="53"/>
        <v>43614</v>
      </c>
      <c r="L163" s="435">
        <f t="shared" si="54"/>
        <v>2.5456932959526668E-3</v>
      </c>
      <c r="M163" s="842"/>
      <c r="N163" s="842"/>
      <c r="O163" s="323">
        <f t="shared" si="55"/>
        <v>1.1781186393334342E-2</v>
      </c>
      <c r="P163" s="169">
        <f>(INDEX(Models!$BJ163:$BT163,,T163)*(1-R163)+INDEX(Models!$BJ163:$BT163,,T163+1)*R163-ERP_i)*Q163*Ramure*Pc/MaxiM</f>
        <v>6.4607510848989409E-6</v>
      </c>
      <c r="Q163" s="304">
        <f t="shared" si="56"/>
        <v>0.6</v>
      </c>
      <c r="R163" s="177">
        <f t="shared" si="57"/>
        <v>0.68831890687805464</v>
      </c>
      <c r="S163" s="799">
        <f t="shared" si="79"/>
        <v>-2</v>
      </c>
      <c r="T163" s="176">
        <f t="shared" si="58"/>
        <v>4</v>
      </c>
      <c r="U163" s="250">
        <f t="shared" si="59"/>
        <v>-1.3116810931219454</v>
      </c>
      <c r="V163" s="382">
        <f t="shared" si="60"/>
        <v>63.132762680923534</v>
      </c>
      <c r="W163" s="58"/>
      <c r="X163" s="157">
        <f t="shared" si="61"/>
        <v>43614</v>
      </c>
      <c r="Y163" s="383">
        <f t="shared" si="62"/>
        <v>40.127000000000002</v>
      </c>
      <c r="Z163" s="383">
        <f t="shared" si="63"/>
        <v>40.229411743776254</v>
      </c>
      <c r="AA163" s="384">
        <f t="shared" si="64"/>
        <v>40.709012204445351</v>
      </c>
      <c r="AB163" s="197">
        <f t="shared" si="65"/>
        <v>43614</v>
      </c>
      <c r="AC163" s="424">
        <f t="shared" si="66"/>
        <v>1.1781186393334342E-2</v>
      </c>
      <c r="AD163" s="169">
        <f>(INDEX(Models!$BJ163:$BT163,,AH163)*(1-AF163)+INDEX(Models!$BJ163:$BT163,,AH163+1)*AF163-ERP_i)*AE163*Ramure*Pc/MaxiM</f>
        <v>6.4607510848989409E-6</v>
      </c>
      <c r="AE163" s="304">
        <f t="shared" si="67"/>
        <v>0.6</v>
      </c>
      <c r="AF163" s="177">
        <f t="shared" si="68"/>
        <v>0.68831890687805464</v>
      </c>
      <c r="AG163" s="799">
        <f t="shared" si="69"/>
        <v>-2</v>
      </c>
      <c r="AH163" s="176">
        <f t="shared" si="70"/>
        <v>4</v>
      </c>
      <c r="AI163" s="224">
        <f t="shared" si="71"/>
        <v>-1.3116810931219454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56.734999999999999</v>
      </c>
      <c r="C164" s="388"/>
      <c r="D164" s="391">
        <f t="shared" si="75"/>
        <v>56.880888631026011</v>
      </c>
      <c r="E164" s="383">
        <f t="shared" si="76"/>
        <v>57.564327989709938</v>
      </c>
      <c r="F164" s="383">
        <f t="shared" si="77"/>
        <v>57.564647443854589</v>
      </c>
      <c r="G164" s="110">
        <f t="shared" si="78"/>
        <v>0.89892308617541383</v>
      </c>
      <c r="I164" s="379">
        <f t="shared" si="52"/>
        <v>57.564647443854589</v>
      </c>
      <c r="J164" s="85">
        <v>2018</v>
      </c>
      <c r="K164" s="197">
        <f t="shared" si="53"/>
        <v>43615</v>
      </c>
      <c r="L164" s="435">
        <f t="shared" si="54"/>
        <v>2.5648092801847655E-3</v>
      </c>
      <c r="M164" s="842"/>
      <c r="N164" s="842"/>
      <c r="O164" s="323">
        <f t="shared" si="55"/>
        <v>1.1872619425108153E-2</v>
      </c>
      <c r="P164" s="169">
        <f>(INDEX(Models!$BJ164:$BT164,,T164)*(1-R164)+INDEX(Models!$BJ164:$BT164,,T164+1)*R164-ERP_i)*Q164*Ramure*Pc/MaxiM</f>
        <v>6.4860315025557099E-6</v>
      </c>
      <c r="Q164" s="304">
        <f t="shared" si="56"/>
        <v>0.6</v>
      </c>
      <c r="R164" s="177">
        <f t="shared" si="57"/>
        <v>0.69318763581814236</v>
      </c>
      <c r="S164" s="799">
        <f t="shared" si="79"/>
        <v>-2</v>
      </c>
      <c r="T164" s="176">
        <f t="shared" si="58"/>
        <v>4</v>
      </c>
      <c r="U164" s="250">
        <f t="shared" si="59"/>
        <v>-1.3068123641818576</v>
      </c>
      <c r="V164" s="382">
        <f t="shared" si="60"/>
        <v>63.114350646085583</v>
      </c>
      <c r="W164" s="58"/>
      <c r="X164" s="157">
        <f t="shared" si="61"/>
        <v>43615</v>
      </c>
      <c r="Y164" s="383">
        <f t="shared" si="62"/>
        <v>56.734999999999999</v>
      </c>
      <c r="Z164" s="383">
        <f t="shared" si="63"/>
        <v>56.880888631026011</v>
      </c>
      <c r="AA164" s="384">
        <f t="shared" si="64"/>
        <v>57.564327989709938</v>
      </c>
      <c r="AB164" s="197">
        <f t="shared" si="65"/>
        <v>43615</v>
      </c>
      <c r="AC164" s="424">
        <f t="shared" si="66"/>
        <v>1.1872619425108153E-2</v>
      </c>
      <c r="AD164" s="169">
        <f>(INDEX(Models!$BJ164:$BT164,,AH164)*(1-AF164)+INDEX(Models!$BJ164:$BT164,,AH164+1)*AF164-ERP_i)*AE164*Ramure*Pc/MaxiM</f>
        <v>6.4860315025557099E-6</v>
      </c>
      <c r="AE164" s="304">
        <f t="shared" si="67"/>
        <v>0.6</v>
      </c>
      <c r="AF164" s="177">
        <f t="shared" si="68"/>
        <v>0.69318763581814236</v>
      </c>
      <c r="AG164" s="799">
        <f t="shared" si="69"/>
        <v>-2</v>
      </c>
      <c r="AH164" s="176">
        <f t="shared" si="70"/>
        <v>4</v>
      </c>
      <c r="AI164" s="224">
        <f t="shared" si="71"/>
        <v>-1.3068123641818576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61.771999999999998</v>
      </c>
      <c r="C165" s="388"/>
      <c r="D165" s="391">
        <f t="shared" si="75"/>
        <v>61.932027708383238</v>
      </c>
      <c r="E165" s="383">
        <f t="shared" si="76"/>
        <v>62.681956953286097</v>
      </c>
      <c r="F165" s="383">
        <f t="shared" si="77"/>
        <v>62.682352866116169</v>
      </c>
      <c r="G165" s="110">
        <f t="shared" si="78"/>
        <v>0.97908954307686946</v>
      </c>
      <c r="I165" s="379">
        <f t="shared" si="52"/>
        <v>62.682352866116169</v>
      </c>
      <c r="J165" s="85">
        <v>2018</v>
      </c>
      <c r="K165" s="197">
        <f t="shared" si="53"/>
        <v>43616</v>
      </c>
      <c r="L165" s="435">
        <f t="shared" si="54"/>
        <v>2.5839248980633611E-3</v>
      </c>
      <c r="M165" s="842"/>
      <c r="N165" s="842"/>
      <c r="O165" s="323">
        <f t="shared" si="55"/>
        <v>1.1964036883241328E-2</v>
      </c>
      <c r="P165" s="169">
        <f>(INDEX(Models!$BJ165:$BT165,,T165)*(1-R165)+INDEX(Models!$BJ165:$BT165,,T165+1)*R165-ERP_i)*Q165*Ramure*Pc/MaxiM</f>
        <v>6.5106621724566141E-6</v>
      </c>
      <c r="Q165" s="304">
        <f t="shared" si="56"/>
        <v>0.6</v>
      </c>
      <c r="R165" s="177">
        <f t="shared" si="57"/>
        <v>0.69810103236776899</v>
      </c>
      <c r="S165" s="799">
        <f t="shared" si="79"/>
        <v>-2</v>
      </c>
      <c r="T165" s="176">
        <f t="shared" si="58"/>
        <v>4</v>
      </c>
      <c r="U165" s="250">
        <f t="shared" si="59"/>
        <v>-1.301898967632231</v>
      </c>
      <c r="V165" s="382">
        <f t="shared" si="60"/>
        <v>63.091254955146553</v>
      </c>
      <c r="W165" s="58"/>
      <c r="X165" s="157">
        <f t="shared" si="61"/>
        <v>43616</v>
      </c>
      <c r="Y165" s="383">
        <f t="shared" si="62"/>
        <v>61.771999999999998</v>
      </c>
      <c r="Z165" s="383">
        <f t="shared" si="63"/>
        <v>61.932027708383238</v>
      </c>
      <c r="AA165" s="384">
        <f t="shared" si="64"/>
        <v>62.681956953286097</v>
      </c>
      <c r="AB165" s="197">
        <f t="shared" si="65"/>
        <v>43616</v>
      </c>
      <c r="AC165" s="424">
        <f t="shared" si="66"/>
        <v>1.1964036883241328E-2</v>
      </c>
      <c r="AD165" s="169">
        <f>(INDEX(Models!$BJ165:$BT165,,AH165)*(1-AF165)+INDEX(Models!$BJ165:$BT165,,AH165+1)*AF165-ERP_i)*AE165*Ramure*Pc/MaxiM</f>
        <v>6.5106621724566141E-6</v>
      </c>
      <c r="AE165" s="304">
        <f t="shared" si="67"/>
        <v>0.6</v>
      </c>
      <c r="AF165" s="177">
        <f t="shared" si="68"/>
        <v>0.69810103236776899</v>
      </c>
      <c r="AG165" s="799">
        <f t="shared" si="69"/>
        <v>-2</v>
      </c>
      <c r="AH165" s="176">
        <f t="shared" si="70"/>
        <v>4</v>
      </c>
      <c r="AI165" s="224">
        <f t="shared" si="71"/>
        <v>-1.301898967632231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62.201000000000001</v>
      </c>
      <c r="C166" s="388"/>
      <c r="D166" s="391">
        <f t="shared" si="75"/>
        <v>62.363334262949103</v>
      </c>
      <c r="E166" s="383">
        <f t="shared" si="76"/>
        <v>63.124324976075002</v>
      </c>
      <c r="F166" s="383">
        <f t="shared" si="77"/>
        <v>63.124729427681508</v>
      </c>
      <c r="G166" s="110">
        <f t="shared" si="78"/>
        <v>0.98631676232582044</v>
      </c>
      <c r="I166" s="379">
        <f t="shared" si="52"/>
        <v>63.124729427681508</v>
      </c>
      <c r="J166" s="85">
        <v>2018</v>
      </c>
      <c r="K166" s="197">
        <f t="shared" si="53"/>
        <v>43617</v>
      </c>
      <c r="L166" s="435">
        <f t="shared" si="54"/>
        <v>2.6030401495955591E-3</v>
      </c>
      <c r="M166" s="842"/>
      <c r="N166" s="842"/>
      <c r="O166" s="323">
        <f t="shared" si="55"/>
        <v>1.2055427339846027E-2</v>
      </c>
      <c r="P166" s="169">
        <f>(INDEX(Models!$BJ166:$BT166,,T166)*(1-R166)+INDEX(Models!$BJ166:$BT166,,T166+1)*R166-ERP_i)*Q166*Ramure*Pc/MaxiM</f>
        <v>6.5349217165402091E-6</v>
      </c>
      <c r="Q166" s="304">
        <f t="shared" si="56"/>
        <v>0.6</v>
      </c>
      <c r="R166" s="177">
        <f t="shared" si="57"/>
        <v>0.70305551044485126</v>
      </c>
      <c r="S166" s="799">
        <f t="shared" si="79"/>
        <v>-2</v>
      </c>
      <c r="T166" s="176">
        <f t="shared" si="58"/>
        <v>4</v>
      </c>
      <c r="U166" s="250">
        <f t="shared" si="59"/>
        <v>-1.2969444895551487</v>
      </c>
      <c r="V166" s="382">
        <f t="shared" si="60"/>
        <v>63.063910530844431</v>
      </c>
      <c r="W166" s="58"/>
      <c r="X166" s="157">
        <f t="shared" si="61"/>
        <v>43617</v>
      </c>
      <c r="Y166" s="383">
        <f t="shared" si="62"/>
        <v>62.201000000000001</v>
      </c>
      <c r="Z166" s="383">
        <f t="shared" si="63"/>
        <v>62.363334262949103</v>
      </c>
      <c r="AA166" s="384">
        <f t="shared" si="64"/>
        <v>63.124324976075002</v>
      </c>
      <c r="AB166" s="197">
        <f t="shared" si="65"/>
        <v>43617</v>
      </c>
      <c r="AC166" s="424">
        <f t="shared" si="66"/>
        <v>1.2055427339846027E-2</v>
      </c>
      <c r="AD166" s="169">
        <f>(INDEX(Models!$BJ166:$BT166,,AH166)*(1-AF166)+INDEX(Models!$BJ166:$BT166,,AH166+1)*AF166-ERP_i)*AE166*Ramure*Pc/MaxiM</f>
        <v>6.5349217165402091E-6</v>
      </c>
      <c r="AE166" s="304">
        <f t="shared" si="67"/>
        <v>0.6</v>
      </c>
      <c r="AF166" s="177">
        <f t="shared" si="68"/>
        <v>0.70305551044485126</v>
      </c>
      <c r="AG166" s="799">
        <f t="shared" si="69"/>
        <v>-2</v>
      </c>
      <c r="AH166" s="176">
        <f t="shared" si="70"/>
        <v>4</v>
      </c>
      <c r="AI166" s="224">
        <f t="shared" si="71"/>
        <v>-1.2969444895551487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61.433999999999997</v>
      </c>
      <c r="C167" s="388"/>
      <c r="D167" s="391">
        <f t="shared" si="75"/>
        <v>61.59551298449265</v>
      </c>
      <c r="E167" s="383">
        <f t="shared" si="76"/>
        <v>62.352899891402345</v>
      </c>
      <c r="F167" s="383">
        <f t="shared" si="77"/>
        <v>62.353294055215706</v>
      </c>
      <c r="G167" s="110">
        <f t="shared" si="78"/>
        <v>0.9746359367417412</v>
      </c>
      <c r="I167" s="379">
        <f t="shared" si="52"/>
        <v>62.353294055215706</v>
      </c>
      <c r="J167" s="85">
        <v>2018</v>
      </c>
      <c r="K167" s="197">
        <f t="shared" si="53"/>
        <v>43618</v>
      </c>
      <c r="L167" s="435">
        <f t="shared" si="54"/>
        <v>2.6221550347882427E-3</v>
      </c>
      <c r="M167" s="842"/>
      <c r="N167" s="842"/>
      <c r="O167" s="323">
        <f t="shared" si="55"/>
        <v>1.2146779191165259E-2</v>
      </c>
      <c r="P167" s="169">
        <f>(INDEX(Models!$BJ167:$BT167,,T167)*(1-R167)+INDEX(Models!$BJ167:$BT167,,T167+1)*R167-ERP_i)*Q167*Ramure*Pc/MaxiM</f>
        <v>6.5591228998544637E-6</v>
      </c>
      <c r="Q167" s="304">
        <f t="shared" si="56"/>
        <v>0.6</v>
      </c>
      <c r="R167" s="177">
        <f t="shared" si="57"/>
        <v>0.70804735385926376</v>
      </c>
      <c r="S167" s="799">
        <f t="shared" si="79"/>
        <v>-2</v>
      </c>
      <c r="T167" s="176">
        <f t="shared" si="58"/>
        <v>4</v>
      </c>
      <c r="U167" s="250">
        <f t="shared" si="59"/>
        <v>-1.2919526461407362</v>
      </c>
      <c r="V167" s="382">
        <f t="shared" si="60"/>
        <v>63.032752111174823</v>
      </c>
      <c r="W167" s="58"/>
      <c r="X167" s="157">
        <f t="shared" si="61"/>
        <v>43618</v>
      </c>
      <c r="Y167" s="383">
        <f t="shared" si="62"/>
        <v>61.433999999999997</v>
      </c>
      <c r="Z167" s="383">
        <f t="shared" si="63"/>
        <v>61.59551298449265</v>
      </c>
      <c r="AA167" s="384">
        <f t="shared" si="64"/>
        <v>62.352899891402345</v>
      </c>
      <c r="AB167" s="197">
        <f t="shared" si="65"/>
        <v>43618</v>
      </c>
      <c r="AC167" s="424">
        <f t="shared" si="66"/>
        <v>1.2146779191165259E-2</v>
      </c>
      <c r="AD167" s="169">
        <f>(INDEX(Models!$BJ167:$BT167,,AH167)*(1-AF167)+INDEX(Models!$BJ167:$BT167,,AH167+1)*AF167-ERP_i)*AE167*Ramure*Pc/MaxiM</f>
        <v>6.5591228998544637E-6</v>
      </c>
      <c r="AE167" s="304">
        <f t="shared" si="67"/>
        <v>0.6</v>
      </c>
      <c r="AF167" s="177">
        <f t="shared" si="68"/>
        <v>0.70804735385926376</v>
      </c>
      <c r="AG167" s="799">
        <f t="shared" si="69"/>
        <v>-2</v>
      </c>
      <c r="AH167" s="176">
        <f t="shared" si="70"/>
        <v>4</v>
      </c>
      <c r="AI167" s="224">
        <f t="shared" si="71"/>
        <v>-1.2919526461407362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47.531999999999996</v>
      </c>
      <c r="C168" s="388"/>
      <c r="D168" s="391">
        <f t="shared" si="75"/>
        <v>47.657877300304811</v>
      </c>
      <c r="E168" s="383">
        <f t="shared" si="76"/>
        <v>48.248344433145277</v>
      </c>
      <c r="F168" s="383">
        <f t="shared" si="77"/>
        <v>48.248550677509407</v>
      </c>
      <c r="G168" s="110">
        <f t="shared" si="78"/>
        <v>0.75449583480779336</v>
      </c>
      <c r="I168" s="379">
        <f t="shared" si="52"/>
        <v>48.248550677509407</v>
      </c>
      <c r="J168" s="85">
        <v>2018</v>
      </c>
      <c r="K168" s="197">
        <f t="shared" si="53"/>
        <v>43619</v>
      </c>
      <c r="L168" s="435">
        <f t="shared" si="54"/>
        <v>2.6412695536486286E-3</v>
      </c>
      <c r="M168" s="842"/>
      <c r="N168" s="842"/>
      <c r="O168" s="323">
        <f t="shared" si="55"/>
        <v>1.2238080700543875E-2</v>
      </c>
      <c r="P168" s="169">
        <f>(INDEX(Models!$BJ168:$BT168,,T168)*(1-R168)+INDEX(Models!$BJ168:$BT168,,T168+1)*R168-ERP_i)*Q168*Ramure*Pc/MaxiM</f>
        <v>6.5836128665978297E-6</v>
      </c>
      <c r="Q168" s="304">
        <f t="shared" si="56"/>
        <v>0.6</v>
      </c>
      <c r="R168" s="177">
        <f t="shared" si="57"/>
        <v>0.71307272664153576</v>
      </c>
      <c r="S168" s="799">
        <f t="shared" si="79"/>
        <v>-2</v>
      </c>
      <c r="T168" s="176">
        <f t="shared" si="58"/>
        <v>4</v>
      </c>
      <c r="U168" s="250">
        <f t="shared" si="59"/>
        <v>-1.2869272733584642</v>
      </c>
      <c r="V168" s="382">
        <f t="shared" si="60"/>
        <v>62.998214245586752</v>
      </c>
      <c r="W168" s="58"/>
      <c r="X168" s="157">
        <f t="shared" si="61"/>
        <v>43619</v>
      </c>
      <c r="Y168" s="383">
        <f t="shared" si="62"/>
        <v>47.531999999999996</v>
      </c>
      <c r="Z168" s="383">
        <f t="shared" si="63"/>
        <v>47.657877300304811</v>
      </c>
      <c r="AA168" s="384">
        <f t="shared" si="64"/>
        <v>48.248344433145277</v>
      </c>
      <c r="AB168" s="197">
        <f t="shared" si="65"/>
        <v>43619</v>
      </c>
      <c r="AC168" s="424">
        <f t="shared" si="66"/>
        <v>1.2238080700543875E-2</v>
      </c>
      <c r="AD168" s="169">
        <f>(INDEX(Models!$BJ168:$BT168,,AH168)*(1-AF168)+INDEX(Models!$BJ168:$BT168,,AH168+1)*AF168-ERP_i)*AE168*Ramure*Pc/MaxiM</f>
        <v>6.5836128665978297E-6</v>
      </c>
      <c r="AE168" s="304">
        <f t="shared" si="67"/>
        <v>0.6</v>
      </c>
      <c r="AF168" s="177">
        <f t="shared" si="68"/>
        <v>0.71307272664153576</v>
      </c>
      <c r="AG168" s="799">
        <f t="shared" si="69"/>
        <v>-2</v>
      </c>
      <c r="AH168" s="176">
        <f t="shared" si="70"/>
        <v>4</v>
      </c>
      <c r="AI168" s="224">
        <f t="shared" si="71"/>
        <v>-1.2869272733584642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56.350999999999999</v>
      </c>
      <c r="C169" s="388"/>
      <c r="D169" s="391">
        <f t="shared" si="75"/>
        <v>56.501315178278226</v>
      </c>
      <c r="E169" s="383">
        <f t="shared" si="76"/>
        <v>57.206634078410801</v>
      </c>
      <c r="F169" s="383">
        <f t="shared" si="77"/>
        <v>57.206955445857666</v>
      </c>
      <c r="G169" s="110">
        <f t="shared" si="78"/>
        <v>0.89501730671803104</v>
      </c>
      <c r="I169" s="379">
        <f t="shared" si="52"/>
        <v>57.206955445857666</v>
      </c>
      <c r="J169" s="85">
        <v>2018</v>
      </c>
      <c r="K169" s="197">
        <f t="shared" si="53"/>
        <v>43620</v>
      </c>
      <c r="L169" s="435">
        <f t="shared" si="54"/>
        <v>2.660383706183489E-3</v>
      </c>
      <c r="M169" s="842"/>
      <c r="N169" s="842"/>
      <c r="O169" s="323">
        <f t="shared" si="55"/>
        <v>1.2329320042948616E-2</v>
      </c>
      <c r="P169" s="169">
        <f>(INDEX(Models!$BJ169:$BT169,,T169)*(1-R169)+INDEX(Models!$BJ169:$BT169,,T169+1)*R169-ERP_i)*Q169*Ramure*Pc/MaxiM</f>
        <v>6.6087731082507171E-6</v>
      </c>
      <c r="Q169" s="304">
        <f t="shared" si="56"/>
        <v>0.6</v>
      </c>
      <c r="R169" s="177">
        <f t="shared" si="57"/>
        <v>0.71812768417119566</v>
      </c>
      <c r="S169" s="799">
        <f t="shared" si="79"/>
        <v>-2</v>
      </c>
      <c r="T169" s="176">
        <f t="shared" si="58"/>
        <v>4</v>
      </c>
      <c r="U169" s="250">
        <f t="shared" si="59"/>
        <v>-1.2818723158288043</v>
      </c>
      <c r="V169" s="382">
        <f t="shared" si="60"/>
        <v>62.960731289492919</v>
      </c>
      <c r="W169" s="58"/>
      <c r="X169" s="157">
        <f t="shared" si="61"/>
        <v>43620</v>
      </c>
      <c r="Y169" s="383">
        <f t="shared" si="62"/>
        <v>56.350999999999999</v>
      </c>
      <c r="Z169" s="383">
        <f t="shared" si="63"/>
        <v>56.501315178278226</v>
      </c>
      <c r="AA169" s="384">
        <f t="shared" si="64"/>
        <v>57.206634078410801</v>
      </c>
      <c r="AB169" s="197">
        <f t="shared" si="65"/>
        <v>43620</v>
      </c>
      <c r="AC169" s="424">
        <f t="shared" si="66"/>
        <v>1.2329320042948616E-2</v>
      </c>
      <c r="AD169" s="169">
        <f>(INDEX(Models!$BJ169:$BT169,,AH169)*(1-AF169)+INDEX(Models!$BJ169:$BT169,,AH169+1)*AF169-ERP_i)*AE169*Ramure*Pc/MaxiM</f>
        <v>6.6087731082507171E-6</v>
      </c>
      <c r="AE169" s="304">
        <f t="shared" si="67"/>
        <v>0.6</v>
      </c>
      <c r="AF169" s="177">
        <f t="shared" si="68"/>
        <v>0.71812768417119566</v>
      </c>
      <c r="AG169" s="799">
        <f t="shared" si="69"/>
        <v>-2</v>
      </c>
      <c r="AH169" s="176">
        <f t="shared" si="70"/>
        <v>4</v>
      </c>
      <c r="AI169" s="224">
        <f t="shared" si="71"/>
        <v>-1.2818723158288043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10.319000000000001</v>
      </c>
      <c r="C170" s="388"/>
      <c r="D170" s="391">
        <f t="shared" si="75"/>
        <v>10.34672402106901</v>
      </c>
      <c r="E170" s="383">
        <f t="shared" si="76"/>
        <v>10.476851602925388</v>
      </c>
      <c r="F170" s="383">
        <f t="shared" si="77"/>
        <v>10.476851602925388</v>
      </c>
      <c r="G170" s="110">
        <f t="shared" si="78"/>
        <v>0.16399889700216233</v>
      </c>
      <c r="I170" s="379">
        <f t="shared" si="52"/>
        <v>10.476851602925388</v>
      </c>
      <c r="J170" s="85">
        <v>2018</v>
      </c>
      <c r="K170" s="197">
        <f t="shared" si="53"/>
        <v>43621</v>
      </c>
      <c r="L170" s="435">
        <f t="shared" si="54"/>
        <v>2.6794974924000403E-3</v>
      </c>
      <c r="M170" s="842"/>
      <c r="N170" s="842"/>
      <c r="O170" s="323">
        <f t="shared" si="55"/>
        <v>1.242048535077501E-2</v>
      </c>
      <c r="P170" s="169">
        <f>(INDEX(Models!$BJ170:$BT170,,T170)*(1-R170)+INDEX(Models!$BJ170:$BT170,,T170+1)*R170-ERP_i)*Q170*Ramure*Pc/MaxiM</f>
        <v>6.6408954762371179E-6</v>
      </c>
      <c r="Q170" s="304">
        <f t="shared" si="56"/>
        <v>0.6</v>
      </c>
      <c r="R170" s="177">
        <f t="shared" si="57"/>
        <v>0.72320818504146756</v>
      </c>
      <c r="S170" s="799">
        <f t="shared" si="79"/>
        <v>-2</v>
      </c>
      <c r="T170" s="176">
        <f t="shared" si="58"/>
        <v>4</v>
      </c>
      <c r="U170" s="250">
        <f t="shared" si="59"/>
        <v>-1.2767918149585324</v>
      </c>
      <c r="V170" s="382">
        <f t="shared" si="60"/>
        <v>62.920737036807786</v>
      </c>
      <c r="W170" s="58"/>
      <c r="X170" s="157">
        <f t="shared" si="61"/>
        <v>43621</v>
      </c>
      <c r="Y170" s="383">
        <f t="shared" si="62"/>
        <v>10.319000000000001</v>
      </c>
      <c r="Z170" s="383">
        <f t="shared" si="63"/>
        <v>10.34672402106901</v>
      </c>
      <c r="AA170" s="384">
        <f t="shared" si="64"/>
        <v>10.476851602925388</v>
      </c>
      <c r="AB170" s="197">
        <f t="shared" si="65"/>
        <v>43621</v>
      </c>
      <c r="AC170" s="424">
        <f t="shared" si="66"/>
        <v>1.242048535077501E-2</v>
      </c>
      <c r="AD170" s="169">
        <f>(INDEX(Models!$BJ170:$BT170,,AH170)*(1-AF170)+INDEX(Models!$BJ170:$BT170,,AH170+1)*AF170-ERP_i)*AE170*Ramure*Pc/MaxiM</f>
        <v>6.6408954762371179E-6</v>
      </c>
      <c r="AE170" s="304">
        <f t="shared" si="67"/>
        <v>0.6</v>
      </c>
      <c r="AF170" s="177">
        <f t="shared" si="68"/>
        <v>0.72320818504146756</v>
      </c>
      <c r="AG170" s="799">
        <f t="shared" si="69"/>
        <v>-2</v>
      </c>
      <c r="AH170" s="176">
        <f t="shared" si="70"/>
        <v>4</v>
      </c>
      <c r="AI170" s="224">
        <f t="shared" si="71"/>
        <v>-1.2767918149585324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57.976999999999997</v>
      </c>
      <c r="C171" s="388"/>
      <c r="D171" s="391">
        <f t="shared" si="75"/>
        <v>58.133880724898859</v>
      </c>
      <c r="E171" s="383">
        <f t="shared" si="76"/>
        <v>58.870442073388809</v>
      </c>
      <c r="F171" s="383">
        <f t="shared" si="77"/>
        <v>58.87079114151684</v>
      </c>
      <c r="G171" s="110">
        <f t="shared" si="78"/>
        <v>0.92204495819663179</v>
      </c>
      <c r="I171" s="379">
        <f t="shared" si="52"/>
        <v>58.87079114151684</v>
      </c>
      <c r="J171" s="85">
        <v>2018</v>
      </c>
      <c r="K171" s="197">
        <f t="shared" si="53"/>
        <v>43622</v>
      </c>
      <c r="L171" s="435">
        <f t="shared" si="54"/>
        <v>2.6986109123052771E-3</v>
      </c>
      <c r="M171" s="842"/>
      <c r="N171" s="842"/>
      <c r="O171" s="323">
        <f t="shared" si="55"/>
        <v>1.251156476066106E-2</v>
      </c>
      <c r="P171" s="169">
        <f>(INDEX(Models!$BJ171:$BT171,,T171)*(1-R171)+INDEX(Models!$BJ171:$BT171,,T171+1)*R171-ERP_i)*Q171*Ramure*Pc/MaxiM</f>
        <v>6.6724620455823753E-6</v>
      </c>
      <c r="Q171" s="304">
        <f t="shared" si="56"/>
        <v>0.6</v>
      </c>
      <c r="R171" s="177">
        <f t="shared" si="57"/>
        <v>0.72831010358860748</v>
      </c>
      <c r="S171" s="799">
        <f t="shared" si="79"/>
        <v>-2</v>
      </c>
      <c r="T171" s="176">
        <f t="shared" si="58"/>
        <v>4</v>
      </c>
      <c r="U171" s="250">
        <f t="shared" si="59"/>
        <v>-1.2716898964113925</v>
      </c>
      <c r="V171" s="382">
        <f t="shared" si="60"/>
        <v>62.878665951705798</v>
      </c>
      <c r="W171" s="58"/>
      <c r="X171" s="157">
        <f t="shared" si="61"/>
        <v>43622</v>
      </c>
      <c r="Y171" s="383">
        <f t="shared" si="62"/>
        <v>57.976999999999997</v>
      </c>
      <c r="Z171" s="383">
        <f t="shared" si="63"/>
        <v>58.133880724898859</v>
      </c>
      <c r="AA171" s="384">
        <f t="shared" si="64"/>
        <v>58.870442073388809</v>
      </c>
      <c r="AB171" s="197">
        <f t="shared" si="65"/>
        <v>43622</v>
      </c>
      <c r="AC171" s="424">
        <f t="shared" si="66"/>
        <v>1.251156476066106E-2</v>
      </c>
      <c r="AD171" s="169">
        <f>(INDEX(Models!$BJ171:$BT171,,AH171)*(1-AF171)+INDEX(Models!$BJ171:$BT171,,AH171+1)*AF171-ERP_i)*AE171*Ramure*Pc/MaxiM</f>
        <v>6.6724620455823753E-6</v>
      </c>
      <c r="AE171" s="304">
        <f t="shared" si="67"/>
        <v>0.6</v>
      </c>
      <c r="AF171" s="177">
        <f t="shared" si="68"/>
        <v>0.72831010358860748</v>
      </c>
      <c r="AG171" s="799">
        <f t="shared" si="69"/>
        <v>-2</v>
      </c>
      <c r="AH171" s="176">
        <f t="shared" si="70"/>
        <v>4</v>
      </c>
      <c r="AI171" s="224">
        <f t="shared" si="71"/>
        <v>-1.2716898964113925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22.622</v>
      </c>
      <c r="C172" s="388"/>
      <c r="D172" s="391">
        <f t="shared" si="75"/>
        <v>22.683647893514379</v>
      </c>
      <c r="E172" s="383">
        <f t="shared" si="76"/>
        <v>22.973168314555235</v>
      </c>
      <c r="F172" s="383">
        <f t="shared" si="77"/>
        <v>22.973181520050968</v>
      </c>
      <c r="G172" s="110">
        <f t="shared" si="78"/>
        <v>0.36002035013179234</v>
      </c>
      <c r="I172" s="379">
        <f t="shared" si="52"/>
        <v>22.973181520050968</v>
      </c>
      <c r="J172" s="85">
        <v>2018</v>
      </c>
      <c r="K172" s="197">
        <f t="shared" si="53"/>
        <v>43623</v>
      </c>
      <c r="L172" s="435">
        <f t="shared" si="54"/>
        <v>2.7177239659060826E-3</v>
      </c>
      <c r="M172" s="842"/>
      <c r="N172" s="842"/>
      <c r="O172" s="323">
        <f t="shared" si="55"/>
        <v>1.2602546461013017E-2</v>
      </c>
      <c r="P172" s="169">
        <f>(INDEX(Models!$BJ172:$BT172,,T172)*(1-R172)+INDEX(Models!$BJ172:$BT172,,T172+1)*R172-ERP_i)*Q172*Ramure*Pc/MaxiM</f>
        <v>6.7037392677212114E-6</v>
      </c>
      <c r="Q172" s="304">
        <f t="shared" si="56"/>
        <v>0.6</v>
      </c>
      <c r="R172" s="177">
        <f t="shared" si="57"/>
        <v>0.73342924300643353</v>
      </c>
      <c r="S172" s="799">
        <f t="shared" si="79"/>
        <v>-2</v>
      </c>
      <c r="T172" s="176">
        <f t="shared" si="58"/>
        <v>4</v>
      </c>
      <c r="U172" s="250">
        <f t="shared" si="59"/>
        <v>-1.2665707569935665</v>
      </c>
      <c r="V172" s="382">
        <f t="shared" si="60"/>
        <v>62.834951811135703</v>
      </c>
      <c r="W172" s="58"/>
      <c r="X172" s="157">
        <f t="shared" si="61"/>
        <v>43623</v>
      </c>
      <c r="Y172" s="383">
        <f t="shared" si="62"/>
        <v>22.622</v>
      </c>
      <c r="Z172" s="383">
        <f t="shared" si="63"/>
        <v>22.683647893514379</v>
      </c>
      <c r="AA172" s="384">
        <f t="shared" si="64"/>
        <v>22.973168314555235</v>
      </c>
      <c r="AB172" s="197">
        <f t="shared" si="65"/>
        <v>43623</v>
      </c>
      <c r="AC172" s="424">
        <f t="shared" si="66"/>
        <v>1.2602546461013017E-2</v>
      </c>
      <c r="AD172" s="169">
        <f>(INDEX(Models!$BJ172:$BT172,,AH172)*(1-AF172)+INDEX(Models!$BJ172:$BT172,,AH172+1)*AF172-ERP_i)*AE172*Ramure*Pc/MaxiM</f>
        <v>6.7037392677212114E-6</v>
      </c>
      <c r="AE172" s="304">
        <f t="shared" si="67"/>
        <v>0.6</v>
      </c>
      <c r="AF172" s="177">
        <f t="shared" si="68"/>
        <v>0.73342924300643353</v>
      </c>
      <c r="AG172" s="799">
        <f t="shared" si="69"/>
        <v>-2</v>
      </c>
      <c r="AH172" s="176">
        <f t="shared" si="70"/>
        <v>4</v>
      </c>
      <c r="AI172" s="224">
        <f t="shared" si="71"/>
        <v>-1.2665707569935665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62.765999999999998</v>
      </c>
      <c r="C173" s="388"/>
      <c r="D173" s="391">
        <f t="shared" si="75"/>
        <v>62.938251714180304</v>
      </c>
      <c r="E173" s="383">
        <f t="shared" si="76"/>
        <v>63.74742446652634</v>
      </c>
      <c r="F173" s="383">
        <f t="shared" si="77"/>
        <v>63.747853574878313</v>
      </c>
      <c r="G173" s="110">
        <f t="shared" si="78"/>
        <v>0.99961732111053003</v>
      </c>
      <c r="I173" s="379">
        <f t="shared" si="52"/>
        <v>63.747853574878313</v>
      </c>
      <c r="J173" s="85">
        <v>2018</v>
      </c>
      <c r="K173" s="197">
        <f t="shared" si="53"/>
        <v>43624</v>
      </c>
      <c r="L173" s="435">
        <f t="shared" si="54"/>
        <v>2.7368366532096733E-3</v>
      </c>
      <c r="M173" s="842"/>
      <c r="N173" s="842"/>
      <c r="O173" s="323">
        <f t="shared" si="55"/>
        <v>1.2693418739935661E-2</v>
      </c>
      <c r="P173" s="169">
        <f>(INDEX(Models!$BJ173:$BT173,,T173)*(1-R173)+INDEX(Models!$BJ173:$BT173,,T173+1)*R173-ERP_i)*Q173*Ramure*Pc/MaxiM</f>
        <v>6.735019936866664E-6</v>
      </c>
      <c r="Q173" s="304">
        <f t="shared" si="56"/>
        <v>0.6</v>
      </c>
      <c r="R173" s="177">
        <f t="shared" si="57"/>
        <v>0.73856134895970005</v>
      </c>
      <c r="S173" s="799">
        <f t="shared" si="79"/>
        <v>-2</v>
      </c>
      <c r="T173" s="176">
        <f t="shared" si="58"/>
        <v>4</v>
      </c>
      <c r="U173" s="250">
        <f t="shared" si="59"/>
        <v>-1.2614386510403</v>
      </c>
      <c r="V173" s="382">
        <f t="shared" si="60"/>
        <v>62.790028187157183</v>
      </c>
      <c r="W173" s="58"/>
      <c r="X173" s="157">
        <f t="shared" si="61"/>
        <v>43624</v>
      </c>
      <c r="Y173" s="383">
        <f t="shared" si="62"/>
        <v>62.765999999999998</v>
      </c>
      <c r="Z173" s="383">
        <f t="shared" si="63"/>
        <v>62.938251714180304</v>
      </c>
      <c r="AA173" s="384">
        <f t="shared" si="64"/>
        <v>63.74742446652634</v>
      </c>
      <c r="AB173" s="197">
        <f t="shared" si="65"/>
        <v>43624</v>
      </c>
      <c r="AC173" s="424">
        <f t="shared" si="66"/>
        <v>1.2693418739935661E-2</v>
      </c>
      <c r="AD173" s="169">
        <f>(INDEX(Models!$BJ173:$BT173,,AH173)*(1-AF173)+INDEX(Models!$BJ173:$BT173,,AH173+1)*AF173-ERP_i)*AE173*Ramure*Pc/MaxiM</f>
        <v>6.735019936866664E-6</v>
      </c>
      <c r="AE173" s="304">
        <f t="shared" si="67"/>
        <v>0.6</v>
      </c>
      <c r="AF173" s="177">
        <f t="shared" si="68"/>
        <v>0.73856134895970005</v>
      </c>
      <c r="AG173" s="799">
        <f t="shared" si="69"/>
        <v>-2</v>
      </c>
      <c r="AH173" s="176">
        <f t="shared" si="70"/>
        <v>4</v>
      </c>
      <c r="AI173" s="224">
        <f t="shared" si="71"/>
        <v>-1.2614386510403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51.468000000000004</v>
      </c>
      <c r="C174" s="388"/>
      <c r="D174" s="391">
        <f t="shared" si="75"/>
        <v>51.610235174689088</v>
      </c>
      <c r="E174" s="383">
        <f t="shared" si="76"/>
        <v>52.278573345432797</v>
      </c>
      <c r="F174" s="383">
        <f t="shared" si="77"/>
        <v>52.278836274168064</v>
      </c>
      <c r="G174" s="110">
        <f t="shared" si="78"/>
        <v>0.82027988600165169</v>
      </c>
      <c r="I174" s="379">
        <f t="shared" si="52"/>
        <v>52.278836274168064</v>
      </c>
      <c r="J174" s="85">
        <v>2018</v>
      </c>
      <c r="K174" s="197">
        <f t="shared" si="53"/>
        <v>43625</v>
      </c>
      <c r="L174" s="435">
        <f t="shared" si="54"/>
        <v>2.7559489742228216E-3</v>
      </c>
      <c r="M174" s="842"/>
      <c r="N174" s="842"/>
      <c r="O174" s="323">
        <f t="shared" si="55"/>
        <v>1.2784170033249283E-2</v>
      </c>
      <c r="P174" s="169">
        <f>(INDEX(Models!$BJ174:$BT174,,T174)*(1-R174)+INDEX(Models!$BJ174:$BT174,,T174+1)*R174-ERP_i)*Q174*Ramure*Pc/MaxiM</f>
        <v>6.7666225983742757E-6</v>
      </c>
      <c r="Q174" s="304">
        <f t="shared" si="56"/>
        <v>0.6</v>
      </c>
      <c r="R174" s="177">
        <f t="shared" si="57"/>
        <v>0.74370212360400578</v>
      </c>
      <c r="S174" s="799">
        <f t="shared" si="79"/>
        <v>-2</v>
      </c>
      <c r="T174" s="176">
        <f t="shared" si="58"/>
        <v>4</v>
      </c>
      <c r="U174" s="250">
        <f t="shared" si="59"/>
        <v>-1.2562978763959942</v>
      </c>
      <c r="V174" s="382">
        <f t="shared" si="60"/>
        <v>62.744328447019853</v>
      </c>
      <c r="W174" s="58"/>
      <c r="X174" s="157">
        <f t="shared" si="61"/>
        <v>43625</v>
      </c>
      <c r="Y174" s="383">
        <f t="shared" si="62"/>
        <v>51.468000000000004</v>
      </c>
      <c r="Z174" s="383">
        <f t="shared" si="63"/>
        <v>51.610235174689088</v>
      </c>
      <c r="AA174" s="384">
        <f t="shared" si="64"/>
        <v>52.278573345432797</v>
      </c>
      <c r="AB174" s="197">
        <f t="shared" si="65"/>
        <v>43625</v>
      </c>
      <c r="AC174" s="424">
        <f t="shared" si="66"/>
        <v>1.2784170033249283E-2</v>
      </c>
      <c r="AD174" s="169">
        <f>(INDEX(Models!$BJ174:$BT174,,AH174)*(1-AF174)+INDEX(Models!$BJ174:$BT174,,AH174+1)*AF174-ERP_i)*AE174*Ramure*Pc/MaxiM</f>
        <v>6.7666225983742757E-6</v>
      </c>
      <c r="AE174" s="304">
        <f t="shared" si="67"/>
        <v>0.6</v>
      </c>
      <c r="AF174" s="177">
        <f t="shared" si="68"/>
        <v>0.74370212360400578</v>
      </c>
      <c r="AG174" s="799">
        <f t="shared" si="69"/>
        <v>-2</v>
      </c>
      <c r="AH174" s="176">
        <f t="shared" si="70"/>
        <v>4</v>
      </c>
      <c r="AI174" s="224">
        <f t="shared" si="71"/>
        <v>-1.2562978763959942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20.850999999999999</v>
      </c>
      <c r="C175" s="388"/>
      <c r="D175" s="391">
        <f t="shared" si="75"/>
        <v>20.909023815051693</v>
      </c>
      <c r="E175" s="383">
        <f t="shared" si="76"/>
        <v>21.181734172590478</v>
      </c>
      <c r="F175" s="383">
        <f t="shared" si="77"/>
        <v>21.181740871412291</v>
      </c>
      <c r="G175" s="110">
        <f t="shared" si="78"/>
        <v>0.33255877065050149</v>
      </c>
      <c r="I175" s="379">
        <f t="shared" si="52"/>
        <v>21.181740871412291</v>
      </c>
      <c r="J175" s="85">
        <v>2018</v>
      </c>
      <c r="K175" s="197">
        <f t="shared" si="53"/>
        <v>43626</v>
      </c>
      <c r="L175" s="435">
        <f t="shared" si="54"/>
        <v>2.7750609289528549E-3</v>
      </c>
      <c r="M175" s="842"/>
      <c r="N175" s="842"/>
      <c r="O175" s="323">
        <f t="shared" si="55"/>
        <v>1.2874788972268118E-2</v>
      </c>
      <c r="P175" s="169">
        <f>(INDEX(Models!$BJ175:$BT175,,T175)*(1-R175)+INDEX(Models!$BJ175:$BT175,,T175+1)*R175-ERP_i)*Q175*Ramure*Pc/MaxiM</f>
        <v>6.7988907236781572E-6</v>
      </c>
      <c r="Q175" s="304">
        <f t="shared" si="56"/>
        <v>0.6</v>
      </c>
      <c r="R175" s="177">
        <f t="shared" si="57"/>
        <v>0.74884723991501745</v>
      </c>
      <c r="S175" s="799">
        <f t="shared" si="79"/>
        <v>-2</v>
      </c>
      <c r="T175" s="176">
        <f t="shared" si="58"/>
        <v>4</v>
      </c>
      <c r="U175" s="250">
        <f t="shared" si="59"/>
        <v>-1.2511527600849826</v>
      </c>
      <c r="V175" s="382">
        <f t="shared" si="60"/>
        <v>62.698285748786468</v>
      </c>
      <c r="W175" s="58"/>
      <c r="X175" s="157">
        <f t="shared" si="61"/>
        <v>43626</v>
      </c>
      <c r="Y175" s="383">
        <f t="shared" si="62"/>
        <v>20.850999999999999</v>
      </c>
      <c r="Z175" s="383">
        <f t="shared" si="63"/>
        <v>20.909023815051693</v>
      </c>
      <c r="AA175" s="384">
        <f t="shared" si="64"/>
        <v>21.181734172590478</v>
      </c>
      <c r="AB175" s="197">
        <f t="shared" si="65"/>
        <v>43626</v>
      </c>
      <c r="AC175" s="424">
        <f t="shared" si="66"/>
        <v>1.2874788972268118E-2</v>
      </c>
      <c r="AD175" s="169">
        <f>(INDEX(Models!$BJ175:$BT175,,AH175)*(1-AF175)+INDEX(Models!$BJ175:$BT175,,AH175+1)*AF175-ERP_i)*AE175*Ramure*Pc/MaxiM</f>
        <v>6.7988907236781572E-6</v>
      </c>
      <c r="AE175" s="304">
        <f t="shared" si="67"/>
        <v>0.6</v>
      </c>
      <c r="AF175" s="177">
        <f t="shared" si="68"/>
        <v>0.74884723991501745</v>
      </c>
      <c r="AG175" s="799">
        <f t="shared" si="69"/>
        <v>-2</v>
      </c>
      <c r="AH175" s="176">
        <f t="shared" si="70"/>
        <v>4</v>
      </c>
      <c r="AI175" s="224">
        <f t="shared" si="71"/>
        <v>-1.2511527600849826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32.375999999999998</v>
      </c>
      <c r="C176" s="388"/>
      <c r="D176" s="391">
        <f t="shared" si="75"/>
        <v>32.466717610076472</v>
      </c>
      <c r="E176" s="383">
        <f t="shared" si="76"/>
        <v>32.893186470646938</v>
      </c>
      <c r="F176" s="383">
        <f t="shared" si="77"/>
        <v>32.893256059709344</v>
      </c>
      <c r="G176" s="110">
        <f t="shared" si="78"/>
        <v>0.51675405726615498</v>
      </c>
      <c r="I176" s="379">
        <f t="shared" si="52"/>
        <v>32.893256059709344</v>
      </c>
      <c r="J176" s="85">
        <v>2018</v>
      </c>
      <c r="K176" s="197">
        <f t="shared" si="53"/>
        <v>43627</v>
      </c>
      <c r="L176" s="435">
        <f t="shared" si="54"/>
        <v>2.7941725174065457E-3</v>
      </c>
      <c r="M176" s="842"/>
      <c r="N176" s="842"/>
      <c r="O176" s="323">
        <f t="shared" si="55"/>
        <v>1.2965264431010209E-2</v>
      </c>
      <c r="P176" s="169">
        <f>(INDEX(Models!$BJ176:$BT176,,T176)*(1-R176)+INDEX(Models!$BJ176:$BT176,,T176+1)*R176-ERP_i)*Q176*Ramure*Pc/MaxiM</f>
        <v>6.8321916513093973E-6</v>
      </c>
      <c r="Q176" s="304">
        <f t="shared" si="56"/>
        <v>0.6</v>
      </c>
      <c r="R176" s="177">
        <f t="shared" si="57"/>
        <v>0.75399235622602889</v>
      </c>
      <c r="S176" s="799">
        <f t="shared" si="79"/>
        <v>-2</v>
      </c>
      <c r="T176" s="176">
        <f t="shared" si="58"/>
        <v>4</v>
      </c>
      <c r="U176" s="250">
        <f t="shared" si="59"/>
        <v>-1.2460076437739711</v>
      </c>
      <c r="V176" s="382">
        <f t="shared" si="60"/>
        <v>62.652333039581499</v>
      </c>
      <c r="W176" s="58"/>
      <c r="X176" s="157">
        <f t="shared" si="61"/>
        <v>43627</v>
      </c>
      <c r="Y176" s="383">
        <f t="shared" si="62"/>
        <v>32.375999999999998</v>
      </c>
      <c r="Z176" s="383">
        <f t="shared" si="63"/>
        <v>32.466717610076472</v>
      </c>
      <c r="AA176" s="384">
        <f t="shared" si="64"/>
        <v>32.893186470646938</v>
      </c>
      <c r="AB176" s="197">
        <f t="shared" si="65"/>
        <v>43627</v>
      </c>
      <c r="AC176" s="424">
        <f t="shared" si="66"/>
        <v>1.2965264431010209E-2</v>
      </c>
      <c r="AD176" s="169">
        <f>(INDEX(Models!$BJ176:$BT176,,AH176)*(1-AF176)+INDEX(Models!$BJ176:$BT176,,AH176+1)*AF176-ERP_i)*AE176*Ramure*Pc/MaxiM</f>
        <v>6.8321916513093973E-6</v>
      </c>
      <c r="AE176" s="304">
        <f t="shared" si="67"/>
        <v>0.6</v>
      </c>
      <c r="AF176" s="177">
        <f t="shared" si="68"/>
        <v>0.75399235622602889</v>
      </c>
      <c r="AG176" s="799">
        <f t="shared" si="69"/>
        <v>-2</v>
      </c>
      <c r="AH176" s="176">
        <f t="shared" si="70"/>
        <v>4</v>
      </c>
      <c r="AI176" s="224">
        <f t="shared" si="71"/>
        <v>-1.2460076437739711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55.523000000000003</v>
      </c>
      <c r="C177" s="388"/>
      <c r="D177" s="391">
        <f t="shared" si="75"/>
        <v>55.67964263324636</v>
      </c>
      <c r="E177" s="383">
        <f t="shared" si="76"/>
        <v>56.416189016627669</v>
      </c>
      <c r="F177" s="383">
        <f t="shared" si="77"/>
        <v>56.41651381708197</v>
      </c>
      <c r="G177" s="110">
        <f t="shared" si="78"/>
        <v>0.88686540527191748</v>
      </c>
      <c r="I177" s="379">
        <f t="shared" si="52"/>
        <v>56.41651381708197</v>
      </c>
      <c r="J177" s="85">
        <v>2018</v>
      </c>
      <c r="K177" s="197">
        <f t="shared" si="53"/>
        <v>43628</v>
      </c>
      <c r="L177" s="435">
        <f t="shared" si="54"/>
        <v>2.8132837395911103E-3</v>
      </c>
      <c r="M177" s="842"/>
      <c r="N177" s="842"/>
      <c r="O177" s="323">
        <f t="shared" si="55"/>
        <v>1.3055585572506922E-2</v>
      </c>
      <c r="P177" s="169">
        <f>(INDEX(Models!$BJ177:$BT177,,T177)*(1-R177)+INDEX(Models!$BJ177:$BT177,,T177+1)*R177-ERP_i)*Q177*Ramure*Pc/MaxiM</f>
        <v>6.8670337885098781E-6</v>
      </c>
      <c r="Q177" s="304">
        <f t="shared" si="56"/>
        <v>0.6</v>
      </c>
      <c r="R177" s="177">
        <f t="shared" si="57"/>
        <v>0.75913313087033485</v>
      </c>
      <c r="S177" s="799">
        <f t="shared" si="79"/>
        <v>-2</v>
      </c>
      <c r="T177" s="176">
        <f t="shared" si="58"/>
        <v>4</v>
      </c>
      <c r="U177" s="250">
        <f t="shared" si="59"/>
        <v>-1.2408668691296652</v>
      </c>
      <c r="V177" s="382">
        <f t="shared" si="60"/>
        <v>62.605822763638187</v>
      </c>
      <c r="W177" s="58"/>
      <c r="X177" s="157">
        <f t="shared" si="61"/>
        <v>43628</v>
      </c>
      <c r="Y177" s="383">
        <f t="shared" si="62"/>
        <v>55.523000000000003</v>
      </c>
      <c r="Z177" s="383">
        <f t="shared" si="63"/>
        <v>55.67964263324636</v>
      </c>
      <c r="AA177" s="384">
        <f t="shared" si="64"/>
        <v>56.416189016627669</v>
      </c>
      <c r="AB177" s="197">
        <f t="shared" si="65"/>
        <v>43628</v>
      </c>
      <c r="AC177" s="424">
        <f t="shared" si="66"/>
        <v>1.3055585572506922E-2</v>
      </c>
      <c r="AD177" s="169">
        <f>(INDEX(Models!$BJ177:$BT177,,AH177)*(1-AF177)+INDEX(Models!$BJ177:$BT177,,AH177+1)*AF177-ERP_i)*AE177*Ramure*Pc/MaxiM</f>
        <v>6.8670337885098781E-6</v>
      </c>
      <c r="AE177" s="304">
        <f t="shared" si="67"/>
        <v>0.6</v>
      </c>
      <c r="AF177" s="177">
        <f t="shared" si="68"/>
        <v>0.75913313087033485</v>
      </c>
      <c r="AG177" s="799">
        <f t="shared" si="69"/>
        <v>-2</v>
      </c>
      <c r="AH177" s="176">
        <f t="shared" si="70"/>
        <v>4</v>
      </c>
      <c r="AI177" s="224">
        <f t="shared" si="71"/>
        <v>-1.2408668691296652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63.253999999999998</v>
      </c>
      <c r="C178" s="388"/>
      <c r="D178" s="391">
        <f t="shared" si="75"/>
        <v>63.433669181764003</v>
      </c>
      <c r="E178" s="383">
        <f t="shared" si="76"/>
        <v>64.27865985348248</v>
      </c>
      <c r="F178" s="383">
        <f t="shared" si="77"/>
        <v>64.279104061315721</v>
      </c>
      <c r="G178" s="110">
        <f t="shared" si="78"/>
        <v>1.0111285981565341</v>
      </c>
      <c r="I178" s="379">
        <f t="shared" si="52"/>
        <v>64.279104061315721</v>
      </c>
      <c r="J178" s="85">
        <v>2018</v>
      </c>
      <c r="K178" s="197">
        <f t="shared" si="53"/>
        <v>43629</v>
      </c>
      <c r="L178" s="435">
        <f t="shared" si="54"/>
        <v>2.8323945955133212E-3</v>
      </c>
      <c r="M178" s="842"/>
      <c r="N178" s="842"/>
      <c r="O178" s="323">
        <f t="shared" si="55"/>
        <v>1.3145741893881435E-2</v>
      </c>
      <c r="P178" s="169">
        <f>(INDEX(Models!$BJ178:$BT178,,T178)*(1-R178)+INDEX(Models!$BJ178:$BT178,,T178+1)*R178-ERP_i)*Q178*Ramure*Pc/MaxiM</f>
        <v>6.9106102165105213E-6</v>
      </c>
      <c r="Q178" s="304">
        <f t="shared" si="56"/>
        <v>0.6</v>
      </c>
      <c r="R178" s="177">
        <f t="shared" si="57"/>
        <v>0.76426523682360137</v>
      </c>
      <c r="S178" s="799">
        <f t="shared" si="79"/>
        <v>-2</v>
      </c>
      <c r="T178" s="176">
        <f t="shared" si="58"/>
        <v>4</v>
      </c>
      <c r="U178" s="250">
        <f t="shared" si="59"/>
        <v>-1.2357347631763986</v>
      </c>
      <c r="V178" s="382">
        <f t="shared" si="60"/>
        <v>62.557819168919956</v>
      </c>
      <c r="W178" s="58"/>
      <c r="X178" s="157">
        <f t="shared" si="61"/>
        <v>43629</v>
      </c>
      <c r="Y178" s="383">
        <f t="shared" si="62"/>
        <v>63.253999999999998</v>
      </c>
      <c r="Z178" s="383">
        <f t="shared" si="63"/>
        <v>63.433669181764003</v>
      </c>
      <c r="AA178" s="384">
        <f t="shared" si="64"/>
        <v>64.27865985348248</v>
      </c>
      <c r="AB178" s="197">
        <f t="shared" si="65"/>
        <v>43629</v>
      </c>
      <c r="AC178" s="424">
        <f t="shared" si="66"/>
        <v>1.3145741893881435E-2</v>
      </c>
      <c r="AD178" s="169">
        <f>(INDEX(Models!$BJ178:$BT178,,AH178)*(1-AF178)+INDEX(Models!$BJ178:$BT178,,AH178+1)*AF178-ERP_i)*AE178*Ramure*Pc/MaxiM</f>
        <v>6.9106102165105213E-6</v>
      </c>
      <c r="AE178" s="304">
        <f t="shared" si="67"/>
        <v>0.6</v>
      </c>
      <c r="AF178" s="177">
        <f t="shared" si="68"/>
        <v>0.76426523682360137</v>
      </c>
      <c r="AG178" s="799">
        <f t="shared" si="69"/>
        <v>-2</v>
      </c>
      <c r="AH178" s="176">
        <f t="shared" si="70"/>
        <v>4</v>
      </c>
      <c r="AI178" s="224">
        <f t="shared" si="71"/>
        <v>-1.2357347631763986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25.574999999999999</v>
      </c>
      <c r="C179" s="388"/>
      <c r="D179" s="391">
        <f t="shared" si="75"/>
        <v>25.648135789629524</v>
      </c>
      <c r="E179" s="383">
        <f t="shared" si="76"/>
        <v>25.99216083766278</v>
      </c>
      <c r="F179" s="383">
        <f t="shared" si="77"/>
        <v>25.992189052666514</v>
      </c>
      <c r="G179" s="110">
        <f t="shared" si="78"/>
        <v>0.40914310772389823</v>
      </c>
      <c r="I179" s="379">
        <f t="shared" si="52"/>
        <v>25.992189052666514</v>
      </c>
      <c r="J179" s="85">
        <v>2018</v>
      </c>
      <c r="K179" s="197">
        <f t="shared" si="53"/>
        <v>43630</v>
      </c>
      <c r="L179" s="435">
        <f t="shared" si="54"/>
        <v>2.8515050851803947E-3</v>
      </c>
      <c r="M179" s="842"/>
      <c r="N179" s="842"/>
      <c r="O179" s="323">
        <f t="shared" si="55"/>
        <v>1.3235723269870008E-2</v>
      </c>
      <c r="P179" s="169">
        <f>(INDEX(Models!$BJ179:$BT179,,T179)*(1-R179)+INDEX(Models!$BJ179:$BT179,,T179+1)*R179-ERP_i)*Q179*Ramure*Pc/MaxiM</f>
        <v>6.9619261531254503E-6</v>
      </c>
      <c r="Q179" s="304">
        <f t="shared" si="56"/>
        <v>0.6</v>
      </c>
      <c r="R179" s="177">
        <f t="shared" si="57"/>
        <v>0.76938437624142719</v>
      </c>
      <c r="S179" s="799">
        <f t="shared" si="79"/>
        <v>-2</v>
      </c>
      <c r="T179" s="176">
        <f t="shared" si="58"/>
        <v>4</v>
      </c>
      <c r="U179" s="250">
        <f t="shared" si="59"/>
        <v>-1.2306156237585728</v>
      </c>
      <c r="V179" s="382">
        <f t="shared" si="60"/>
        <v>62.508323439659208</v>
      </c>
      <c r="W179" s="58"/>
      <c r="X179" s="157">
        <f t="shared" si="61"/>
        <v>43630</v>
      </c>
      <c r="Y179" s="383">
        <f t="shared" si="62"/>
        <v>25.574999999999999</v>
      </c>
      <c r="Z179" s="383">
        <f t="shared" si="63"/>
        <v>25.648135789629524</v>
      </c>
      <c r="AA179" s="384">
        <f t="shared" si="64"/>
        <v>25.99216083766278</v>
      </c>
      <c r="AB179" s="197">
        <f t="shared" si="65"/>
        <v>43630</v>
      </c>
      <c r="AC179" s="424">
        <f t="shared" si="66"/>
        <v>1.3235723269870008E-2</v>
      </c>
      <c r="AD179" s="169">
        <f>(INDEX(Models!$BJ179:$BT179,,AH179)*(1-AF179)+INDEX(Models!$BJ179:$BT179,,AH179+1)*AF179-ERP_i)*AE179*Ramure*Pc/MaxiM</f>
        <v>6.9619261531254503E-6</v>
      </c>
      <c r="AE179" s="304">
        <f t="shared" si="67"/>
        <v>0.6</v>
      </c>
      <c r="AF179" s="177">
        <f t="shared" si="68"/>
        <v>0.76938437624142719</v>
      </c>
      <c r="AG179" s="799">
        <f t="shared" si="69"/>
        <v>-2</v>
      </c>
      <c r="AH179" s="176">
        <f t="shared" si="70"/>
        <v>4</v>
      </c>
      <c r="AI179" s="224">
        <f t="shared" si="71"/>
        <v>-1.2306156237585728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25.265999999999998</v>
      </c>
      <c r="C180" s="388"/>
      <c r="D180" s="391">
        <f t="shared" si="75"/>
        <v>25.338737765997781</v>
      </c>
      <c r="E180" s="383">
        <f t="shared" si="76"/>
        <v>25.680949775710907</v>
      </c>
      <c r="F180" s="383">
        <f t="shared" si="77"/>
        <v>25.68097670436768</v>
      </c>
      <c r="G180" s="110">
        <f t="shared" si="78"/>
        <v>0.40452972299341117</v>
      </c>
      <c r="I180" s="379">
        <f t="shared" si="52"/>
        <v>25.68097670436768</v>
      </c>
      <c r="J180" s="85">
        <v>2018</v>
      </c>
      <c r="K180" s="197">
        <f t="shared" si="53"/>
        <v>43631</v>
      </c>
      <c r="L180" s="435">
        <f t="shared" si="54"/>
        <v>2.8706152085993253E-3</v>
      </c>
      <c r="M180" s="842"/>
      <c r="N180" s="842"/>
      <c r="O180" s="323">
        <f t="shared" si="55"/>
        <v>1.3325519994466515E-2</v>
      </c>
      <c r="P180" s="169">
        <f>(INDEX(Models!$BJ180:$BT180,,T180)*(1-R180)+INDEX(Models!$BJ180:$BT180,,T180+1)*R180-ERP_i)*Q180*Ramure*Pc/MaxiM</f>
        <v>7.0218468852208054E-6</v>
      </c>
      <c r="Q180" s="304">
        <f t="shared" si="56"/>
        <v>0.6</v>
      </c>
      <c r="R180" s="177">
        <f t="shared" si="57"/>
        <v>0.77448629478856734</v>
      </c>
      <c r="S180" s="799">
        <f t="shared" si="79"/>
        <v>-2</v>
      </c>
      <c r="T180" s="176">
        <f t="shared" si="58"/>
        <v>4</v>
      </c>
      <c r="U180" s="250">
        <f t="shared" si="59"/>
        <v>-1.2255137052114327</v>
      </c>
      <c r="V180" s="382">
        <f t="shared" si="60"/>
        <v>62.457336614023731</v>
      </c>
      <c r="W180" s="58"/>
      <c r="X180" s="157">
        <f t="shared" si="61"/>
        <v>43631</v>
      </c>
      <c r="Y180" s="383">
        <f t="shared" si="62"/>
        <v>25.265999999999998</v>
      </c>
      <c r="Z180" s="383">
        <f t="shared" si="63"/>
        <v>25.338737765997781</v>
      </c>
      <c r="AA180" s="384">
        <f t="shared" si="64"/>
        <v>25.680949775710907</v>
      </c>
      <c r="AB180" s="197">
        <f t="shared" si="65"/>
        <v>43631</v>
      </c>
      <c r="AC180" s="424">
        <f t="shared" si="66"/>
        <v>1.3325519994466515E-2</v>
      </c>
      <c r="AD180" s="169">
        <f>(INDEX(Models!$BJ180:$BT180,,AH180)*(1-AF180)+INDEX(Models!$BJ180:$BT180,,AH180+1)*AF180-ERP_i)*AE180*Ramure*Pc/MaxiM</f>
        <v>7.0218468852208054E-6</v>
      </c>
      <c r="AE180" s="304">
        <f t="shared" si="67"/>
        <v>0.6</v>
      </c>
      <c r="AF180" s="177">
        <f t="shared" si="68"/>
        <v>0.77448629478856734</v>
      </c>
      <c r="AG180" s="799">
        <f t="shared" si="69"/>
        <v>-2</v>
      </c>
      <c r="AH180" s="176">
        <f t="shared" si="70"/>
        <v>4</v>
      </c>
      <c r="AI180" s="224">
        <f t="shared" si="71"/>
        <v>-1.2255137052114327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62.722999999999999</v>
      </c>
      <c r="C181" s="388"/>
      <c r="D181" s="391">
        <f t="shared" si="75"/>
        <v>62.904777506025816</v>
      </c>
      <c r="E181" s="383">
        <f t="shared" si="76"/>
        <v>63.760127446767399</v>
      </c>
      <c r="F181" s="383">
        <f t="shared" si="77"/>
        <v>63.760579589282713</v>
      </c>
      <c r="G181" s="110">
        <f t="shared" si="78"/>
        <v>1.0050980052427825</v>
      </c>
      <c r="I181" s="379">
        <f t="shared" si="52"/>
        <v>63.760579589282713</v>
      </c>
      <c r="J181" s="85">
        <v>2018</v>
      </c>
      <c r="K181" s="197">
        <f t="shared" si="53"/>
        <v>43632</v>
      </c>
      <c r="L181" s="435">
        <f t="shared" si="54"/>
        <v>2.8897249657771074E-3</v>
      </c>
      <c r="M181" s="842"/>
      <c r="N181" s="842"/>
      <c r="O181" s="323">
        <f t="shared" si="55"/>
        <v>1.3415122820381873E-2</v>
      </c>
      <c r="P181" s="169">
        <f>(INDEX(Models!$BJ181:$BT181,,T181)*(1-R181)+INDEX(Models!$BJ181:$BT181,,T181+1)*R181-ERP_i)*Q181*Ramure*Pc/MaxiM</f>
        <v>7.0912547882582596E-6</v>
      </c>
      <c r="Q181" s="304">
        <f t="shared" si="56"/>
        <v>0.6</v>
      </c>
      <c r="R181" s="177">
        <f t="shared" si="57"/>
        <v>0.77956679565883924</v>
      </c>
      <c r="S181" s="799">
        <f t="shared" si="79"/>
        <v>-2</v>
      </c>
      <c r="T181" s="176">
        <f t="shared" si="58"/>
        <v>4</v>
      </c>
      <c r="U181" s="250">
        <f t="shared" si="59"/>
        <v>-1.2204332043411608</v>
      </c>
      <c r="V181" s="382">
        <f t="shared" si="60"/>
        <v>62.404859698084067</v>
      </c>
      <c r="W181" s="58"/>
      <c r="X181" s="157">
        <f t="shared" si="61"/>
        <v>43632</v>
      </c>
      <c r="Y181" s="383">
        <f t="shared" si="62"/>
        <v>62.722999999999999</v>
      </c>
      <c r="Z181" s="383">
        <f t="shared" si="63"/>
        <v>62.904777506025816</v>
      </c>
      <c r="AA181" s="384">
        <f t="shared" si="64"/>
        <v>63.760127446767399</v>
      </c>
      <c r="AB181" s="197">
        <f t="shared" si="65"/>
        <v>43632</v>
      </c>
      <c r="AC181" s="424">
        <f t="shared" si="66"/>
        <v>1.3415122820381873E-2</v>
      </c>
      <c r="AD181" s="169">
        <f>(INDEX(Models!$BJ181:$BT181,,AH181)*(1-AF181)+INDEX(Models!$BJ181:$BT181,,AH181+1)*AF181-ERP_i)*AE181*Ramure*Pc/MaxiM</f>
        <v>7.0912547882582596E-6</v>
      </c>
      <c r="AE181" s="304">
        <f t="shared" si="67"/>
        <v>0.6</v>
      </c>
      <c r="AF181" s="177">
        <f t="shared" si="68"/>
        <v>0.77956679565883924</v>
      </c>
      <c r="AG181" s="799">
        <f t="shared" si="69"/>
        <v>-2</v>
      </c>
      <c r="AH181" s="176">
        <f t="shared" si="70"/>
        <v>4</v>
      </c>
      <c r="AI181" s="224">
        <f t="shared" si="71"/>
        <v>-1.2204332043411608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61.219000000000001</v>
      </c>
      <c r="C182" s="388"/>
      <c r="D182" s="391">
        <f t="shared" si="75"/>
        <v>61.397595435021429</v>
      </c>
      <c r="E182" s="383">
        <f t="shared" si="76"/>
        <v>62.238091168434075</v>
      </c>
      <c r="F182" s="383">
        <f t="shared" si="77"/>
        <v>62.238525909161851</v>
      </c>
      <c r="G182" s="110">
        <f t="shared" si="78"/>
        <v>0.98184620974260184</v>
      </c>
      <c r="I182" s="379">
        <f t="shared" si="52"/>
        <v>62.238525909161851</v>
      </c>
      <c r="J182" s="85">
        <v>2018</v>
      </c>
      <c r="K182" s="197">
        <f t="shared" si="53"/>
        <v>43633</v>
      </c>
      <c r="L182" s="435">
        <f t="shared" si="54"/>
        <v>2.9088343567207353E-3</v>
      </c>
      <c r="M182" s="842"/>
      <c r="N182" s="842"/>
      <c r="O182" s="323">
        <f t="shared" si="55"/>
        <v>1.3504522996022235E-2</v>
      </c>
      <c r="P182" s="169">
        <f>(INDEX(Models!$BJ182:$BT182,,T182)*(1-R182)+INDEX(Models!$BJ182:$BT182,,T182+1)*R182-ERP_i)*Q182*Ramure*Pc/MaxiM</f>
        <v>7.1710462424377799E-6</v>
      </c>
      <c r="Q182" s="304">
        <f t="shared" si="56"/>
        <v>0.6</v>
      </c>
      <c r="R182" s="177">
        <f t="shared" si="57"/>
        <v>0.78462175318849892</v>
      </c>
      <c r="S182" s="799">
        <f t="shared" si="79"/>
        <v>-2</v>
      </c>
      <c r="T182" s="176">
        <f t="shared" si="58"/>
        <v>4</v>
      </c>
      <c r="U182" s="250">
        <f t="shared" si="59"/>
        <v>-1.2153782468115011</v>
      </c>
      <c r="V182" s="382">
        <f t="shared" si="60"/>
        <v>62.350893660783306</v>
      </c>
      <c r="W182" s="58"/>
      <c r="X182" s="157">
        <f t="shared" si="61"/>
        <v>43633</v>
      </c>
      <c r="Y182" s="383">
        <f t="shared" si="62"/>
        <v>61.219000000000001</v>
      </c>
      <c r="Z182" s="383">
        <f t="shared" si="63"/>
        <v>61.397595435021429</v>
      </c>
      <c r="AA182" s="384">
        <f t="shared" si="64"/>
        <v>62.238091168434075</v>
      </c>
      <c r="AB182" s="197">
        <f t="shared" si="65"/>
        <v>43633</v>
      </c>
      <c r="AC182" s="424">
        <f t="shared" si="66"/>
        <v>1.3504522996022235E-2</v>
      </c>
      <c r="AD182" s="169">
        <f>(INDEX(Models!$BJ182:$BT182,,AH182)*(1-AF182)+INDEX(Models!$BJ182:$BT182,,AH182+1)*AF182-ERP_i)*AE182*Ramure*Pc/MaxiM</f>
        <v>7.1710462424377799E-6</v>
      </c>
      <c r="AE182" s="304">
        <f t="shared" si="67"/>
        <v>0.6</v>
      </c>
      <c r="AF182" s="177">
        <f t="shared" si="68"/>
        <v>0.78462175318849892</v>
      </c>
      <c r="AG182" s="799">
        <f t="shared" si="69"/>
        <v>-2</v>
      </c>
      <c r="AH182" s="176">
        <f t="shared" si="70"/>
        <v>4</v>
      </c>
      <c r="AI182" s="224">
        <f t="shared" si="71"/>
        <v>-1.2153782468115011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58.319000000000003</v>
      </c>
      <c r="C183" s="388"/>
      <c r="D183" s="391">
        <f t="shared" si="75"/>
        <v>58.49025615839755</v>
      </c>
      <c r="E183" s="383">
        <f t="shared" si="76"/>
        <v>59.296313180202539</v>
      </c>
      <c r="F183" s="383">
        <f t="shared" si="77"/>
        <v>59.296704532872539</v>
      </c>
      <c r="G183" s="110">
        <f t="shared" si="78"/>
        <v>0.93616742908075534</v>
      </c>
      <c r="I183" s="379">
        <f t="shared" si="52"/>
        <v>59.296704532872539</v>
      </c>
      <c r="J183" s="85">
        <v>2018</v>
      </c>
      <c r="K183" s="197">
        <f t="shared" si="53"/>
        <v>43634</v>
      </c>
      <c r="L183" s="435">
        <f t="shared" si="54"/>
        <v>2.9279433814372036E-3</v>
      </c>
      <c r="M183" s="842"/>
      <c r="N183" s="842"/>
      <c r="O183" s="323">
        <f t="shared" si="55"/>
        <v>1.3593712299706802E-2</v>
      </c>
      <c r="P183" s="169">
        <f>(INDEX(Models!$BJ183:$BT183,,T183)*(1-R183)+INDEX(Models!$BJ183:$BT183,,T183+1)*R183-ERP_i)*Q183*Ramure*Pc/MaxiM</f>
        <v>7.2621285144096025E-6</v>
      </c>
      <c r="Q183" s="304">
        <f t="shared" si="56"/>
        <v>0.6</v>
      </c>
      <c r="R183" s="177">
        <f t="shared" si="57"/>
        <v>0.78964712597077091</v>
      </c>
      <c r="S183" s="799">
        <f t="shared" si="79"/>
        <v>-2</v>
      </c>
      <c r="T183" s="176">
        <f t="shared" si="58"/>
        <v>4</v>
      </c>
      <c r="U183" s="250">
        <f t="shared" si="59"/>
        <v>-1.2103528740292291</v>
      </c>
      <c r="V183" s="382">
        <f t="shared" si="60"/>
        <v>62.295439435282553</v>
      </c>
      <c r="W183" s="58"/>
      <c r="X183" s="157">
        <f t="shared" si="61"/>
        <v>43634</v>
      </c>
      <c r="Y183" s="383">
        <f t="shared" si="62"/>
        <v>58.319000000000003</v>
      </c>
      <c r="Z183" s="383">
        <f t="shared" si="63"/>
        <v>58.49025615839755</v>
      </c>
      <c r="AA183" s="384">
        <f t="shared" si="64"/>
        <v>59.296313180202539</v>
      </c>
      <c r="AB183" s="197">
        <f t="shared" si="65"/>
        <v>43634</v>
      </c>
      <c r="AC183" s="424">
        <f t="shared" si="66"/>
        <v>1.3593712299706802E-2</v>
      </c>
      <c r="AD183" s="169">
        <f>(INDEX(Models!$BJ183:$BT183,,AH183)*(1-AF183)+INDEX(Models!$BJ183:$BT183,,AH183+1)*AF183-ERP_i)*AE183*Ramure*Pc/MaxiM</f>
        <v>7.2621285144096025E-6</v>
      </c>
      <c r="AE183" s="304">
        <f t="shared" si="67"/>
        <v>0.6</v>
      </c>
      <c r="AF183" s="177">
        <f t="shared" si="68"/>
        <v>0.78964712597077091</v>
      </c>
      <c r="AG183" s="799">
        <f t="shared" si="69"/>
        <v>-2</v>
      </c>
      <c r="AH183" s="176">
        <f t="shared" si="70"/>
        <v>4</v>
      </c>
      <c r="AI183" s="224">
        <f t="shared" si="71"/>
        <v>-1.2103528740292291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50.813000000000002</v>
      </c>
      <c r="C184" s="388"/>
      <c r="D184" s="391">
        <f t="shared" si="75"/>
        <v>50.963191176518286</v>
      </c>
      <c r="E184" s="383">
        <f t="shared" si="76"/>
        <v>51.670177844175342</v>
      </c>
      <c r="F184" s="383">
        <f t="shared" si="77"/>
        <v>51.670458904015952</v>
      </c>
      <c r="G184" s="110">
        <f t="shared" si="78"/>
        <v>0.81642237263465034</v>
      </c>
      <c r="I184" s="379">
        <f t="shared" si="52"/>
        <v>51.670458904015952</v>
      </c>
      <c r="J184" s="85">
        <v>2018</v>
      </c>
      <c r="K184" s="197">
        <f t="shared" si="53"/>
        <v>43635</v>
      </c>
      <c r="L184" s="435">
        <f t="shared" si="54"/>
        <v>2.9470520399336175E-3</v>
      </c>
      <c r="M184" s="842"/>
      <c r="N184" s="842"/>
      <c r="O184" s="323">
        <f t="shared" si="55"/>
        <v>1.3682683070864539E-2</v>
      </c>
      <c r="P184" s="169">
        <f>(INDEX(Models!$BJ184:$BT184,,T184)*(1-R184)+INDEX(Models!$BJ184:$BT184,,T184+1)*R184-ERP_i)*Q184*Ramure*Pc/MaxiM</f>
        <v>7.3730663259998744E-6</v>
      </c>
      <c r="Q184" s="304">
        <f t="shared" si="56"/>
        <v>0.6</v>
      </c>
      <c r="R184" s="177">
        <f t="shared" si="57"/>
        <v>0.79463896938518341</v>
      </c>
      <c r="S184" s="799">
        <f t="shared" si="79"/>
        <v>-2</v>
      </c>
      <c r="T184" s="176">
        <f t="shared" si="58"/>
        <v>4</v>
      </c>
      <c r="U184" s="250">
        <f t="shared" si="59"/>
        <v>-1.2053610306148166</v>
      </c>
      <c r="V184" s="382">
        <f t="shared" si="60"/>
        <v>62.238497438022733</v>
      </c>
      <c r="W184" s="58"/>
      <c r="X184" s="157">
        <f t="shared" si="61"/>
        <v>43635</v>
      </c>
      <c r="Y184" s="383">
        <f t="shared" si="62"/>
        <v>50.813000000000002</v>
      </c>
      <c r="Z184" s="383">
        <f t="shared" si="63"/>
        <v>50.963191176518286</v>
      </c>
      <c r="AA184" s="384">
        <f t="shared" si="64"/>
        <v>51.670177844175342</v>
      </c>
      <c r="AB184" s="197">
        <f t="shared" si="65"/>
        <v>43635</v>
      </c>
      <c r="AC184" s="424">
        <f t="shared" si="66"/>
        <v>1.3682683070864539E-2</v>
      </c>
      <c r="AD184" s="169">
        <f>(INDEX(Models!$BJ184:$BT184,,AH184)*(1-AF184)+INDEX(Models!$BJ184:$BT184,,AH184+1)*AF184-ERP_i)*AE184*Ramure*Pc/MaxiM</f>
        <v>7.3730663259998744E-6</v>
      </c>
      <c r="AE184" s="304">
        <f t="shared" si="67"/>
        <v>0.6</v>
      </c>
      <c r="AF184" s="177">
        <f t="shared" si="68"/>
        <v>0.79463896938518341</v>
      </c>
      <c r="AG184" s="799">
        <f t="shared" si="69"/>
        <v>-2</v>
      </c>
      <c r="AH184" s="176">
        <f t="shared" si="70"/>
        <v>4</v>
      </c>
      <c r="AI184" s="224">
        <f t="shared" si="71"/>
        <v>-1.2053610306148166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31.356000000000002</v>
      </c>
      <c r="C185" s="388"/>
      <c r="D185" s="391">
        <f t="shared" si="75"/>
        <v>31.449283617542999</v>
      </c>
      <c r="E185" s="383">
        <f t="shared" si="76"/>
        <v>31.888432882607162</v>
      </c>
      <c r="F185" s="383">
        <f t="shared" si="77"/>
        <v>31.888502644974217</v>
      </c>
      <c r="G185" s="110">
        <f t="shared" si="78"/>
        <v>0.50427466585731584</v>
      </c>
      <c r="I185" s="379">
        <f t="shared" si="52"/>
        <v>31.888502644974217</v>
      </c>
      <c r="J185" s="85">
        <v>2018</v>
      </c>
      <c r="K185" s="197">
        <f t="shared" si="53"/>
        <v>43636</v>
      </c>
      <c r="L185" s="435">
        <f t="shared" si="54"/>
        <v>2.9661603322169716E-3</v>
      </c>
      <c r="M185" s="842"/>
      <c r="N185" s="842"/>
      <c r="O185" s="323">
        <f t="shared" si="55"/>
        <v>1.3771428237970521E-2</v>
      </c>
      <c r="P185" s="169">
        <f>(INDEX(Models!$BJ185:$BT185,,T185)*(1-R185)+INDEX(Models!$BJ185:$BT185,,T185+1)*R185-ERP_i)*Q185*Ramure*Pc/MaxiM</f>
        <v>7.4966100435076129E-6</v>
      </c>
      <c r="Q185" s="304">
        <f t="shared" si="56"/>
        <v>0.6</v>
      </c>
      <c r="R185" s="177">
        <f t="shared" si="57"/>
        <v>0.79959344746226568</v>
      </c>
      <c r="S185" s="799">
        <f t="shared" si="79"/>
        <v>-2</v>
      </c>
      <c r="T185" s="176">
        <f t="shared" si="58"/>
        <v>4</v>
      </c>
      <c r="U185" s="250">
        <f t="shared" si="59"/>
        <v>-1.2004065525377343</v>
      </c>
      <c r="V185" s="382">
        <f t="shared" si="60"/>
        <v>62.180069030507795</v>
      </c>
      <c r="W185" s="58"/>
      <c r="X185" s="157">
        <f t="shared" si="61"/>
        <v>43636</v>
      </c>
      <c r="Y185" s="383">
        <f t="shared" si="62"/>
        <v>31.356000000000002</v>
      </c>
      <c r="Z185" s="383">
        <f t="shared" si="63"/>
        <v>31.449283617542999</v>
      </c>
      <c r="AA185" s="384">
        <f t="shared" si="64"/>
        <v>31.888432882607162</v>
      </c>
      <c r="AB185" s="197">
        <f t="shared" si="65"/>
        <v>43636</v>
      </c>
      <c r="AC185" s="424">
        <f t="shared" si="66"/>
        <v>1.3771428237970521E-2</v>
      </c>
      <c r="AD185" s="169">
        <f>(INDEX(Models!$BJ185:$BT185,,AH185)*(1-AF185)+INDEX(Models!$BJ185:$BT185,,AH185+1)*AF185-ERP_i)*AE185*Ramure*Pc/MaxiM</f>
        <v>7.4966100435076129E-6</v>
      </c>
      <c r="AE185" s="304">
        <f t="shared" si="67"/>
        <v>0.6</v>
      </c>
      <c r="AF185" s="177">
        <f t="shared" si="68"/>
        <v>0.79959344746226568</v>
      </c>
      <c r="AG185" s="799">
        <f t="shared" si="69"/>
        <v>-2</v>
      </c>
      <c r="AH185" s="176">
        <f t="shared" si="70"/>
        <v>4</v>
      </c>
      <c r="AI185" s="224">
        <f t="shared" si="71"/>
        <v>-1.2004065525377343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11.305</v>
      </c>
      <c r="C186" s="388"/>
      <c r="D186" s="391">
        <f t="shared" si="75"/>
        <v>11.338849507520376</v>
      </c>
      <c r="E186" s="383">
        <f t="shared" si="76"/>
        <v>11.498214080221585</v>
      </c>
      <c r="F186" s="383">
        <f t="shared" si="77"/>
        <v>11.498214080221585</v>
      </c>
      <c r="G186" s="110">
        <f t="shared" si="78"/>
        <v>0.18198463440656651</v>
      </c>
      <c r="I186" s="379">
        <f t="shared" si="52"/>
        <v>11.498214080221585</v>
      </c>
      <c r="J186" s="85">
        <v>2018</v>
      </c>
      <c r="K186" s="197">
        <f t="shared" si="53"/>
        <v>43637</v>
      </c>
      <c r="L186" s="435">
        <f t="shared" si="54"/>
        <v>2.9852682582942602E-3</v>
      </c>
      <c r="M186" s="842"/>
      <c r="N186" s="842"/>
      <c r="O186" s="323">
        <f t="shared" si="55"/>
        <v>1.3859941343007064E-2</v>
      </c>
      <c r="P186" s="169">
        <f>(INDEX(Models!$BJ186:$BT186,,T186)*(1-R186)+INDEX(Models!$BJ186:$BT186,,T186+1)*R186-ERP_i)*Q186*Ramure*Pc/MaxiM</f>
        <v>7.6336232956741285E-6</v>
      </c>
      <c r="Q186" s="304">
        <f t="shared" si="56"/>
        <v>0.6</v>
      </c>
      <c r="R186" s="177">
        <f t="shared" si="57"/>
        <v>0.80450684401189232</v>
      </c>
      <c r="S186" s="799">
        <f t="shared" si="79"/>
        <v>-2</v>
      </c>
      <c r="T186" s="176">
        <f t="shared" si="58"/>
        <v>4</v>
      </c>
      <c r="U186" s="250">
        <f t="shared" si="59"/>
        <v>-1.1954931559881077</v>
      </c>
      <c r="V186" s="382">
        <f t="shared" si="60"/>
        <v>62.120155027114365</v>
      </c>
      <c r="W186" s="58"/>
      <c r="X186" s="157">
        <f t="shared" si="61"/>
        <v>43637</v>
      </c>
      <c r="Y186" s="383">
        <f t="shared" si="62"/>
        <v>11.305</v>
      </c>
      <c r="Z186" s="383">
        <f t="shared" si="63"/>
        <v>11.338849507520376</v>
      </c>
      <c r="AA186" s="384">
        <f t="shared" si="64"/>
        <v>11.498214080221585</v>
      </c>
      <c r="AB186" s="197">
        <f t="shared" si="65"/>
        <v>43637</v>
      </c>
      <c r="AC186" s="424">
        <f t="shared" si="66"/>
        <v>1.3859941343007064E-2</v>
      </c>
      <c r="AD186" s="169">
        <f>(INDEX(Models!$BJ186:$BT186,,AH186)*(1-AF186)+INDEX(Models!$BJ186:$BT186,,AH186+1)*AF186-ERP_i)*AE186*Ramure*Pc/MaxiM</f>
        <v>7.6336232956741285E-6</v>
      </c>
      <c r="AE186" s="304">
        <f t="shared" si="67"/>
        <v>0.6</v>
      </c>
      <c r="AF186" s="177">
        <f t="shared" si="68"/>
        <v>0.80450684401189232</v>
      </c>
      <c r="AG186" s="799">
        <f t="shared" si="69"/>
        <v>-2</v>
      </c>
      <c r="AH186" s="176">
        <f t="shared" si="70"/>
        <v>4</v>
      </c>
      <c r="AI186" s="224">
        <f t="shared" si="71"/>
        <v>-1.1954931559881077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54.603000000000002</v>
      </c>
      <c r="C187" s="388"/>
      <c r="D187" s="391">
        <f t="shared" si="75"/>
        <v>54.76754227964571</v>
      </c>
      <c r="E187" s="383">
        <f t="shared" si="76"/>
        <v>55.542257718662491</v>
      </c>
      <c r="F187" s="383">
        <f t="shared" si="77"/>
        <v>55.542615904239312</v>
      </c>
      <c r="G187" s="110">
        <f t="shared" si="78"/>
        <v>0.87985854677364961</v>
      </c>
      <c r="I187" s="379">
        <f t="shared" si="52"/>
        <v>55.542615904239312</v>
      </c>
      <c r="J187" s="85">
        <v>2018</v>
      </c>
      <c r="K187" s="197">
        <f t="shared" si="53"/>
        <v>43638</v>
      </c>
      <c r="L187" s="435">
        <f t="shared" si="54"/>
        <v>3.0043758181724778E-3</v>
      </c>
      <c r="M187" s="842"/>
      <c r="N187" s="842"/>
      <c r="O187" s="323">
        <f t="shared" si="55"/>
        <v>1.3948216562260335E-2</v>
      </c>
      <c r="P187" s="169">
        <f>(INDEX(Models!$BJ187:$BT187,,T187)*(1-R187)+INDEX(Models!$BJ187:$BT187,,T187+1)*R187-ERP_i)*Q187*Ramure*Pc/MaxiM</f>
        <v>7.7849685199082877E-6</v>
      </c>
      <c r="Q187" s="304">
        <f t="shared" si="56"/>
        <v>0.6</v>
      </c>
      <c r="R187" s="177">
        <f t="shared" si="57"/>
        <v>0.80937557295198004</v>
      </c>
      <c r="S187" s="799">
        <f t="shared" si="79"/>
        <v>-2</v>
      </c>
      <c r="T187" s="176">
        <f t="shared" si="58"/>
        <v>4</v>
      </c>
      <c r="U187" s="250">
        <f t="shared" si="59"/>
        <v>-1.19062442704802</v>
      </c>
      <c r="V187" s="382">
        <f t="shared" si="60"/>
        <v>62.058756198094173</v>
      </c>
      <c r="W187" s="58"/>
      <c r="X187" s="157">
        <f t="shared" si="61"/>
        <v>43638</v>
      </c>
      <c r="Y187" s="383">
        <f t="shared" si="62"/>
        <v>54.603000000000002</v>
      </c>
      <c r="Z187" s="383">
        <f t="shared" si="63"/>
        <v>54.76754227964571</v>
      </c>
      <c r="AA187" s="384">
        <f t="shared" si="64"/>
        <v>55.542257718662491</v>
      </c>
      <c r="AB187" s="197">
        <f t="shared" si="65"/>
        <v>43638</v>
      </c>
      <c r="AC187" s="424">
        <f t="shared" si="66"/>
        <v>1.3948216562260335E-2</v>
      </c>
      <c r="AD187" s="169">
        <f>(INDEX(Models!$BJ187:$BT187,,AH187)*(1-AF187)+INDEX(Models!$BJ187:$BT187,,AH187+1)*AF187-ERP_i)*AE187*Ramure*Pc/MaxiM</f>
        <v>7.7849685199082877E-6</v>
      </c>
      <c r="AE187" s="304">
        <f t="shared" si="67"/>
        <v>0.6</v>
      </c>
      <c r="AF187" s="177">
        <f t="shared" si="68"/>
        <v>0.80937557295198004</v>
      </c>
      <c r="AG187" s="799">
        <f t="shared" si="69"/>
        <v>-2</v>
      </c>
      <c r="AH187" s="176">
        <f t="shared" si="70"/>
        <v>4</v>
      </c>
      <c r="AI187" s="224">
        <f t="shared" si="71"/>
        <v>-1.19062442704802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53.482999999999997</v>
      </c>
      <c r="C188" s="388"/>
      <c r="D188" s="391">
        <f t="shared" si="75"/>
        <v>53.645195336768552</v>
      </c>
      <c r="E188" s="383">
        <f t="shared" si="76"/>
        <v>54.408892078744564</v>
      </c>
      <c r="F188" s="383">
        <f t="shared" si="77"/>
        <v>54.409239843799597</v>
      </c>
      <c r="G188" s="110">
        <f t="shared" si="78"/>
        <v>0.86268510712420743</v>
      </c>
      <c r="I188" s="379">
        <f t="shared" si="52"/>
        <v>54.409239843799597</v>
      </c>
      <c r="J188" s="85">
        <v>2018</v>
      </c>
      <c r="K188" s="197">
        <f t="shared" si="53"/>
        <v>43639</v>
      </c>
      <c r="L188" s="435">
        <f t="shared" si="54"/>
        <v>3.0234830118586187E-3</v>
      </c>
      <c r="M188" s="842"/>
      <c r="N188" s="842"/>
      <c r="O188" s="323">
        <f t="shared" si="55"/>
        <v>1.4036248723291974E-2</v>
      </c>
      <c r="P188" s="169">
        <f>(INDEX(Models!$BJ188:$BT188,,T188)*(1-R188)+INDEX(Models!$BJ188:$BT188,,T188+1)*R188-ERP_i)*Q188*Ramure*Pc/MaxiM</f>
        <v>7.9514230879877304E-6</v>
      </c>
      <c r="Q188" s="304">
        <f t="shared" si="56"/>
        <v>0.6</v>
      </c>
      <c r="R188" s="177">
        <f t="shared" si="57"/>
        <v>0.81419618778320202</v>
      </c>
      <c r="S188" s="799">
        <f t="shared" si="79"/>
        <v>-2</v>
      </c>
      <c r="T188" s="176">
        <f t="shared" si="58"/>
        <v>4</v>
      </c>
      <c r="U188" s="250">
        <f t="shared" si="59"/>
        <v>-1.185803812216798</v>
      </c>
      <c r="V188" s="382">
        <f t="shared" si="60"/>
        <v>61.995873275989595</v>
      </c>
      <c r="W188" s="58"/>
      <c r="X188" s="157">
        <f t="shared" si="61"/>
        <v>43639</v>
      </c>
      <c r="Y188" s="383">
        <f t="shared" si="62"/>
        <v>53.482999999999997</v>
      </c>
      <c r="Z188" s="383">
        <f t="shared" si="63"/>
        <v>53.645195336768552</v>
      </c>
      <c r="AA188" s="384">
        <f t="shared" si="64"/>
        <v>54.408892078744564</v>
      </c>
      <c r="AB188" s="197">
        <f t="shared" si="65"/>
        <v>43639</v>
      </c>
      <c r="AC188" s="424">
        <f t="shared" si="66"/>
        <v>1.4036248723291974E-2</v>
      </c>
      <c r="AD188" s="169">
        <f>(INDEX(Models!$BJ188:$BT188,,AH188)*(1-AF188)+INDEX(Models!$BJ188:$BT188,,AH188+1)*AF188-ERP_i)*AE188*Ramure*Pc/MaxiM</f>
        <v>7.9514230879877304E-6</v>
      </c>
      <c r="AE188" s="304">
        <f t="shared" si="67"/>
        <v>0.6</v>
      </c>
      <c r="AF188" s="177">
        <f t="shared" si="68"/>
        <v>0.81419618778320202</v>
      </c>
      <c r="AG188" s="799">
        <f t="shared" si="69"/>
        <v>-2</v>
      </c>
      <c r="AH188" s="176">
        <f t="shared" si="70"/>
        <v>4</v>
      </c>
      <c r="AI188" s="224">
        <f t="shared" si="71"/>
        <v>-1.185803812216798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38.765999999999998</v>
      </c>
      <c r="C189" s="388"/>
      <c r="D189" s="391">
        <f t="shared" si="75"/>
        <v>38.884309003484525</v>
      </c>
      <c r="E189" s="383">
        <f t="shared" si="76"/>
        <v>39.441380373992921</v>
      </c>
      <c r="F189" s="383">
        <f t="shared" si="77"/>
        <v>39.44152975546838</v>
      </c>
      <c r="G189" s="110">
        <f t="shared" si="78"/>
        <v>0.62594684707954173</v>
      </c>
      <c r="I189" s="379">
        <f t="shared" si="52"/>
        <v>39.44152975546838</v>
      </c>
      <c r="J189" s="85">
        <v>2018</v>
      </c>
      <c r="K189" s="197">
        <f t="shared" si="53"/>
        <v>43640</v>
      </c>
      <c r="L189" s="435">
        <f t="shared" si="54"/>
        <v>3.0425898393597883E-3</v>
      </c>
      <c r="M189" s="842"/>
      <c r="N189" s="842"/>
      <c r="O189" s="323">
        <f t="shared" si="55"/>
        <v>1.4124033317954593E-2</v>
      </c>
      <c r="P189" s="169">
        <f>(INDEX(Models!$BJ189:$BT189,,T189)*(1-R189)+INDEX(Models!$BJ189:$BT189,,T189+1)*R189-ERP_i)*Q189*Ramure*Pc/MaxiM</f>
        <v>8.1337463434669547E-6</v>
      </c>
      <c r="Q189" s="304">
        <f t="shared" si="56"/>
        <v>0.6</v>
      </c>
      <c r="R189" s="177">
        <f t="shared" si="57"/>
        <v>0.81896539016474446</v>
      </c>
      <c r="S189" s="799">
        <f t="shared" si="79"/>
        <v>-2</v>
      </c>
      <c r="T189" s="176">
        <f t="shared" si="58"/>
        <v>4</v>
      </c>
      <c r="U189" s="250">
        <f t="shared" si="59"/>
        <v>-1.1810346098352555</v>
      </c>
      <c r="V189" s="382">
        <f t="shared" si="60"/>
        <v>61.93150694884531</v>
      </c>
      <c r="W189" s="58"/>
      <c r="X189" s="157">
        <f t="shared" si="61"/>
        <v>43640</v>
      </c>
      <c r="Y189" s="383">
        <f t="shared" si="62"/>
        <v>38.765999999999998</v>
      </c>
      <c r="Z189" s="383">
        <f t="shared" si="63"/>
        <v>38.884309003484525</v>
      </c>
      <c r="AA189" s="384">
        <f t="shared" si="64"/>
        <v>39.441380373992921</v>
      </c>
      <c r="AB189" s="197">
        <f t="shared" si="65"/>
        <v>43640</v>
      </c>
      <c r="AC189" s="424">
        <f t="shared" si="66"/>
        <v>1.4124033317954593E-2</v>
      </c>
      <c r="AD189" s="169">
        <f>(INDEX(Models!$BJ189:$BT189,,AH189)*(1-AF189)+INDEX(Models!$BJ189:$BT189,,AH189+1)*AF189-ERP_i)*AE189*Ramure*Pc/MaxiM</f>
        <v>8.1337463434669547E-6</v>
      </c>
      <c r="AE189" s="304">
        <f t="shared" si="67"/>
        <v>0.6</v>
      </c>
      <c r="AF189" s="177">
        <f t="shared" si="68"/>
        <v>0.81896539016474446</v>
      </c>
      <c r="AG189" s="799">
        <f t="shared" si="69"/>
        <v>-2</v>
      </c>
      <c r="AH189" s="176">
        <f t="shared" si="70"/>
        <v>4</v>
      </c>
      <c r="AI189" s="224">
        <f t="shared" si="71"/>
        <v>-1.1810346098352555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55.1</v>
      </c>
      <c r="C190" s="388"/>
      <c r="D190" s="391">
        <f t="shared" si="75"/>
        <v>55.269217558941854</v>
      </c>
      <c r="E190" s="383">
        <f t="shared" si="76"/>
        <v>56.066003293777058</v>
      </c>
      <c r="F190" s="383">
        <f t="shared" si="77"/>
        <v>56.066397493327777</v>
      </c>
      <c r="G190" s="110">
        <f t="shared" si="78"/>
        <v>0.89063836350837122</v>
      </c>
      <c r="I190" s="379">
        <f t="shared" si="52"/>
        <v>56.066397493327777</v>
      </c>
      <c r="J190" s="85">
        <v>2018</v>
      </c>
      <c r="K190" s="197">
        <f t="shared" si="53"/>
        <v>43641</v>
      </c>
      <c r="L190" s="435">
        <f t="shared" si="54"/>
        <v>3.0616963006829812E-3</v>
      </c>
      <c r="M190" s="842"/>
      <c r="N190" s="842"/>
      <c r="O190" s="323">
        <f t="shared" si="55"/>
        <v>1.4211566511352088E-2</v>
      </c>
      <c r="P190" s="169">
        <f>(INDEX(Models!$BJ190:$BT190,,T190)*(1-R190)+INDEX(Models!$BJ190:$BT190,,T190+1)*R190-ERP_i)*Q190*Ramure*Pc/MaxiM</f>
        <v>8.3327625931344404E-6</v>
      </c>
      <c r="Q190" s="304">
        <f t="shared" si="56"/>
        <v>0.6</v>
      </c>
      <c r="R190" s="177">
        <f t="shared" si="57"/>
        <v>0.82368003755572028</v>
      </c>
      <c r="S190" s="799">
        <f t="shared" si="79"/>
        <v>-2</v>
      </c>
      <c r="T190" s="176">
        <f t="shared" si="58"/>
        <v>4</v>
      </c>
      <c r="U190" s="250">
        <f t="shared" si="59"/>
        <v>-1.1763199624442797</v>
      </c>
      <c r="V190" s="382">
        <f t="shared" si="60"/>
        <v>61.86565785477255</v>
      </c>
      <c r="W190" s="58"/>
      <c r="X190" s="157">
        <f t="shared" si="61"/>
        <v>43641</v>
      </c>
      <c r="Y190" s="383">
        <f t="shared" si="62"/>
        <v>55.1</v>
      </c>
      <c r="Z190" s="383">
        <f t="shared" si="63"/>
        <v>55.269217558941854</v>
      </c>
      <c r="AA190" s="384">
        <f t="shared" si="64"/>
        <v>56.066003293777058</v>
      </c>
      <c r="AB190" s="197">
        <f t="shared" si="65"/>
        <v>43641</v>
      </c>
      <c r="AC190" s="424">
        <f t="shared" si="66"/>
        <v>1.4211566511352088E-2</v>
      </c>
      <c r="AD190" s="169">
        <f>(INDEX(Models!$BJ190:$BT190,,AH190)*(1-AF190)+INDEX(Models!$BJ190:$BT190,,AH190+1)*AF190-ERP_i)*AE190*Ramure*Pc/MaxiM</f>
        <v>8.3327625931344404E-6</v>
      </c>
      <c r="AE190" s="304">
        <f t="shared" si="67"/>
        <v>0.6</v>
      </c>
      <c r="AF190" s="177">
        <f t="shared" si="68"/>
        <v>0.82368003755572028</v>
      </c>
      <c r="AG190" s="799">
        <f t="shared" si="69"/>
        <v>-2</v>
      </c>
      <c r="AH190" s="176">
        <f t="shared" si="70"/>
        <v>4</v>
      </c>
      <c r="AI190" s="224">
        <f t="shared" si="71"/>
        <v>-1.1763199624442797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58.689</v>
      </c>
      <c r="C191" s="388"/>
      <c r="D191" s="391">
        <f t="shared" si="75"/>
        <v>58.870367970687795</v>
      </c>
      <c r="E191" s="383">
        <f t="shared" si="76"/>
        <v>59.724357307309859</v>
      </c>
      <c r="F191" s="383">
        <f t="shared" si="77"/>
        <v>59.724831210924705</v>
      </c>
      <c r="G191" s="110">
        <f t="shared" si="78"/>
        <v>0.94968532603512323</v>
      </c>
      <c r="I191" s="379">
        <f t="shared" si="52"/>
        <v>59.724831210924705</v>
      </c>
      <c r="J191" s="85">
        <v>2018</v>
      </c>
      <c r="K191" s="197">
        <f t="shared" si="53"/>
        <v>43642</v>
      </c>
      <c r="L191" s="435">
        <f t="shared" si="54"/>
        <v>3.0808023958351916E-3</v>
      </c>
      <c r="M191" s="842"/>
      <c r="N191" s="842"/>
      <c r="O191" s="323">
        <f t="shared" si="55"/>
        <v>1.4298845146677588E-2</v>
      </c>
      <c r="P191" s="169">
        <f>(INDEX(Models!$BJ191:$BT191,,T191)*(1-R191)+INDEX(Models!$BJ191:$BT191,,T191+1)*R191-ERP_i)*Q191*Ramure*Pc/MaxiM</f>
        <v>8.5492827848512696E-6</v>
      </c>
      <c r="Q191" s="304">
        <f t="shared" si="56"/>
        <v>0.6</v>
      </c>
      <c r="R191" s="177">
        <f t="shared" si="57"/>
        <v>0.82833714989655238</v>
      </c>
      <c r="S191" s="799">
        <f t="shared" si="79"/>
        <v>-2</v>
      </c>
      <c r="T191" s="176">
        <f t="shared" si="58"/>
        <v>4</v>
      </c>
      <c r="U191" s="250">
        <f t="shared" si="59"/>
        <v>-1.1716628501034476</v>
      </c>
      <c r="V191" s="382">
        <f t="shared" si="60"/>
        <v>61.798326589289843</v>
      </c>
      <c r="W191" s="58"/>
      <c r="X191" s="157">
        <f t="shared" si="61"/>
        <v>43642</v>
      </c>
      <c r="Y191" s="383">
        <f t="shared" si="62"/>
        <v>58.689</v>
      </c>
      <c r="Z191" s="383">
        <f t="shared" si="63"/>
        <v>58.870367970687795</v>
      </c>
      <c r="AA191" s="384">
        <f t="shared" si="64"/>
        <v>59.724357307309859</v>
      </c>
      <c r="AB191" s="197">
        <f t="shared" si="65"/>
        <v>43642</v>
      </c>
      <c r="AC191" s="424">
        <f t="shared" si="66"/>
        <v>1.4298845146677588E-2</v>
      </c>
      <c r="AD191" s="169">
        <f>(INDEX(Models!$BJ191:$BT191,,AH191)*(1-AF191)+INDEX(Models!$BJ191:$BT191,,AH191+1)*AF191-ERP_i)*AE191*Ramure*Pc/MaxiM</f>
        <v>8.5492827848512696E-6</v>
      </c>
      <c r="AE191" s="304">
        <f t="shared" si="67"/>
        <v>0.6</v>
      </c>
      <c r="AF191" s="177">
        <f t="shared" si="68"/>
        <v>0.82833714989655238</v>
      </c>
      <c r="AG191" s="799">
        <f t="shared" si="69"/>
        <v>-2</v>
      </c>
      <c r="AH191" s="176">
        <f t="shared" si="70"/>
        <v>4</v>
      </c>
      <c r="AI191" s="224">
        <f t="shared" si="71"/>
        <v>-1.1716628501034476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58.25</v>
      </c>
      <c r="C192" s="388"/>
      <c r="D192" s="391">
        <f t="shared" si="75"/>
        <v>58.431131138157802</v>
      </c>
      <c r="E192" s="383">
        <f t="shared" si="76"/>
        <v>59.283982612182683</v>
      </c>
      <c r="F192" s="383">
        <f t="shared" si="77"/>
        <v>59.284461981263078</v>
      </c>
      <c r="G192" s="110">
        <f t="shared" si="78"/>
        <v>0.9436322406847516</v>
      </c>
      <c r="I192" s="379">
        <f t="shared" si="52"/>
        <v>59.284461981263078</v>
      </c>
      <c r="J192" s="85">
        <v>2018</v>
      </c>
      <c r="K192" s="197">
        <f t="shared" si="53"/>
        <v>43643</v>
      </c>
      <c r="L192" s="435">
        <f t="shared" si="54"/>
        <v>3.099908124823525E-3</v>
      </c>
      <c r="M192" s="842"/>
      <c r="N192" s="842"/>
      <c r="O192" s="323">
        <f t="shared" si="55"/>
        <v>1.4385866745896021E-2</v>
      </c>
      <c r="P192" s="169">
        <f>(INDEX(Models!$BJ192:$BT192,,T192)*(1-R192)+INDEX(Models!$BJ192:$BT192,,T192+1)*R192-ERP_i)*Q192*Ramure*Pc/MaxiM</f>
        <v>8.7940500700305658E-6</v>
      </c>
      <c r="Q192" s="304">
        <f t="shared" si="56"/>
        <v>0.6</v>
      </c>
      <c r="R192" s="177">
        <f t="shared" si="57"/>
        <v>0.83293391531426964</v>
      </c>
      <c r="S192" s="799">
        <f t="shared" si="79"/>
        <v>-2</v>
      </c>
      <c r="T192" s="176">
        <f t="shared" si="58"/>
        <v>4</v>
      </c>
      <c r="U192" s="250">
        <f t="shared" si="59"/>
        <v>-1.1670660846857304</v>
      </c>
      <c r="V192" s="382">
        <f t="shared" si="60"/>
        <v>61.729513087100486</v>
      </c>
      <c r="W192" s="58"/>
      <c r="X192" s="157">
        <f t="shared" si="61"/>
        <v>43643</v>
      </c>
      <c r="Y192" s="383">
        <f t="shared" si="62"/>
        <v>58.25</v>
      </c>
      <c r="Z192" s="383">
        <f t="shared" si="63"/>
        <v>58.431131138157802</v>
      </c>
      <c r="AA192" s="384">
        <f t="shared" si="64"/>
        <v>59.283982612182683</v>
      </c>
      <c r="AB192" s="197">
        <f t="shared" si="65"/>
        <v>43643</v>
      </c>
      <c r="AC192" s="424">
        <f t="shared" si="66"/>
        <v>1.4385866745896021E-2</v>
      </c>
      <c r="AD192" s="169">
        <f>(INDEX(Models!$BJ192:$BT192,,AH192)*(1-AF192)+INDEX(Models!$BJ192:$BT192,,AH192+1)*AF192-ERP_i)*AE192*Ramure*Pc/MaxiM</f>
        <v>8.7940500700305658E-6</v>
      </c>
      <c r="AE192" s="304">
        <f t="shared" si="67"/>
        <v>0.6</v>
      </c>
      <c r="AF192" s="177">
        <f t="shared" si="68"/>
        <v>0.83293391531426964</v>
      </c>
      <c r="AG192" s="799">
        <f t="shared" si="69"/>
        <v>-2</v>
      </c>
      <c r="AH192" s="176">
        <f t="shared" si="70"/>
        <v>4</v>
      </c>
      <c r="AI192" s="224">
        <f t="shared" si="71"/>
        <v>-1.1670660846857304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57.737000000000002</v>
      </c>
      <c r="C193" s="388"/>
      <c r="D193" s="391">
        <f t="shared" si="75"/>
        <v>57.917645918793937</v>
      </c>
      <c r="E193" s="383">
        <f t="shared" si="76"/>
        <v>58.768175956166935</v>
      </c>
      <c r="F193" s="383">
        <f t="shared" si="77"/>
        <v>58.768659974881878</v>
      </c>
      <c r="G193" s="110">
        <f t="shared" si="78"/>
        <v>0.93638800455001625</v>
      </c>
      <c r="I193" s="379">
        <f t="shared" si="52"/>
        <v>58.768659974881878</v>
      </c>
      <c r="J193" s="85">
        <v>2018</v>
      </c>
      <c r="K193" s="197">
        <f t="shared" si="53"/>
        <v>43644</v>
      </c>
      <c r="L193" s="435">
        <f t="shared" si="54"/>
        <v>3.1190134876548647E-3</v>
      </c>
      <c r="M193" s="842"/>
      <c r="N193" s="842"/>
      <c r="O193" s="323">
        <f t="shared" si="55"/>
        <v>1.4472629506271846E-2</v>
      </c>
      <c r="P193" s="169">
        <f>(INDEX(Models!$BJ193:$BT193,,T193)*(1-R193)+INDEX(Models!$BJ193:$BT193,,T193+1)*R193-ERP_i)*Q193*Ramure*Pc/MaxiM</f>
        <v>9.0592427089332625E-6</v>
      </c>
      <c r="Q193" s="304">
        <f t="shared" si="56"/>
        <v>0.6</v>
      </c>
      <c r="R193" s="177">
        <f t="shared" si="57"/>
        <v>0.8374676948450992</v>
      </c>
      <c r="S193" s="799">
        <f t="shared" si="79"/>
        <v>-2</v>
      </c>
      <c r="T193" s="176">
        <f t="shared" si="58"/>
        <v>4</v>
      </c>
      <c r="U193" s="250">
        <f t="shared" si="59"/>
        <v>-1.1625323051549008</v>
      </c>
      <c r="V193" s="382">
        <f t="shared" si="60"/>
        <v>61.659218387596425</v>
      </c>
      <c r="W193" s="58"/>
      <c r="X193" s="157">
        <f t="shared" si="61"/>
        <v>43644</v>
      </c>
      <c r="Y193" s="383">
        <f t="shared" si="62"/>
        <v>57.737000000000002</v>
      </c>
      <c r="Z193" s="383">
        <f t="shared" si="63"/>
        <v>57.917645918793937</v>
      </c>
      <c r="AA193" s="384">
        <f t="shared" si="64"/>
        <v>58.768175956166935</v>
      </c>
      <c r="AB193" s="197">
        <f t="shared" si="65"/>
        <v>43644</v>
      </c>
      <c r="AC193" s="424">
        <f t="shared" si="66"/>
        <v>1.4472629506271846E-2</v>
      </c>
      <c r="AD193" s="169">
        <f>(INDEX(Models!$BJ193:$BT193,,AH193)*(1-AF193)+INDEX(Models!$BJ193:$BT193,,AH193+1)*AF193-ERP_i)*AE193*Ramure*Pc/MaxiM</f>
        <v>9.0592427089332625E-6</v>
      </c>
      <c r="AE193" s="304">
        <f t="shared" si="67"/>
        <v>0.6</v>
      </c>
      <c r="AF193" s="177">
        <f t="shared" si="68"/>
        <v>0.8374676948450992</v>
      </c>
      <c r="AG193" s="799">
        <f t="shared" si="69"/>
        <v>-2</v>
      </c>
      <c r="AH193" s="176">
        <f t="shared" si="70"/>
        <v>4</v>
      </c>
      <c r="AI193" s="224">
        <f t="shared" si="71"/>
        <v>-1.1625323051549008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56.094000000000001</v>
      </c>
      <c r="C194" s="388"/>
      <c r="D194" s="391">
        <f t="shared" si="75"/>
        <v>56.270583759018564</v>
      </c>
      <c r="E194" s="383">
        <f t="shared" si="76"/>
        <v>57.101938434865765</v>
      </c>
      <c r="F194" s="383">
        <f t="shared" si="77"/>
        <v>57.102404093147875</v>
      </c>
      <c r="G194" s="110">
        <f t="shared" si="78"/>
        <v>0.91080146391397221</v>
      </c>
      <c r="I194" s="379">
        <f t="shared" si="52"/>
        <v>57.102404093147875</v>
      </c>
      <c r="J194" s="85">
        <v>2018</v>
      </c>
      <c r="K194" s="197">
        <f t="shared" si="53"/>
        <v>43645</v>
      </c>
      <c r="L194" s="435">
        <f t="shared" si="54"/>
        <v>3.1381184843362053E-3</v>
      </c>
      <c r="M194" s="842"/>
      <c r="N194" s="842"/>
      <c r="O194" s="323">
        <f t="shared" si="55"/>
        <v>1.4559132292776769E-2</v>
      </c>
      <c r="P194" s="169">
        <f>(INDEX(Models!$BJ194:$BT194,,T194)*(1-R194)+INDEX(Models!$BJ194:$BT194,,T194+1)*R194-ERP_i)*Q194*Ramure*Pc/MaxiM</f>
        <v>9.3456634648343814E-6</v>
      </c>
      <c r="Q194" s="304">
        <f t="shared" si="56"/>
        <v>0.6</v>
      </c>
      <c r="R194" s="177">
        <f t="shared" si="57"/>
        <v>0.84193602617687135</v>
      </c>
      <c r="S194" s="799">
        <f t="shared" si="79"/>
        <v>-2</v>
      </c>
      <c r="T194" s="176">
        <f t="shared" si="58"/>
        <v>4</v>
      </c>
      <c r="U194" s="250">
        <f t="shared" si="59"/>
        <v>-1.1580639738231286</v>
      </c>
      <c r="V194" s="382">
        <f t="shared" si="60"/>
        <v>61.587442951302293</v>
      </c>
      <c r="W194" s="58"/>
      <c r="X194" s="157">
        <f t="shared" si="61"/>
        <v>43645</v>
      </c>
      <c r="Y194" s="383">
        <f t="shared" si="62"/>
        <v>56.094000000000001</v>
      </c>
      <c r="Z194" s="383">
        <f t="shared" si="63"/>
        <v>56.270583759018564</v>
      </c>
      <c r="AA194" s="384">
        <f t="shared" si="64"/>
        <v>57.101938434865765</v>
      </c>
      <c r="AB194" s="197">
        <f t="shared" si="65"/>
        <v>43645</v>
      </c>
      <c r="AC194" s="424">
        <f t="shared" si="66"/>
        <v>1.4559132292776769E-2</v>
      </c>
      <c r="AD194" s="169">
        <f>(INDEX(Models!$BJ194:$BT194,,AH194)*(1-AF194)+INDEX(Models!$BJ194:$BT194,,AH194+1)*AF194-ERP_i)*AE194*Ramure*Pc/MaxiM</f>
        <v>9.3456634648343814E-6</v>
      </c>
      <c r="AE194" s="304">
        <f t="shared" si="67"/>
        <v>0.6</v>
      </c>
      <c r="AF194" s="177">
        <f t="shared" si="68"/>
        <v>0.84193602617687135</v>
      </c>
      <c r="AG194" s="799">
        <f t="shared" si="69"/>
        <v>-2</v>
      </c>
      <c r="AH194" s="176">
        <f t="shared" si="70"/>
        <v>4</v>
      </c>
      <c r="AI194" s="224">
        <f t="shared" si="71"/>
        <v>-1.1580639738231286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51.765999999999998</v>
      </c>
      <c r="C195" s="388"/>
      <c r="D195" s="391">
        <f t="shared" si="75"/>
        <v>51.929954452551989</v>
      </c>
      <c r="E195" s="383">
        <f t="shared" si="76"/>
        <v>52.701791938983455</v>
      </c>
      <c r="F195" s="383">
        <f t="shared" si="77"/>
        <v>52.702185547178217</v>
      </c>
      <c r="G195" s="110">
        <f t="shared" si="78"/>
        <v>0.84152760884786848</v>
      </c>
      <c r="I195" s="379">
        <f t="shared" si="52"/>
        <v>52.702185547178217</v>
      </c>
      <c r="J195" s="85">
        <v>2018</v>
      </c>
      <c r="K195" s="197">
        <f t="shared" si="53"/>
        <v>43646</v>
      </c>
      <c r="L195" s="435">
        <f t="shared" si="54"/>
        <v>3.1572231148747631E-3</v>
      </c>
      <c r="M195" s="842"/>
      <c r="N195" s="842"/>
      <c r="O195" s="323">
        <f t="shared" si="55"/>
        <v>1.4645374626446727E-2</v>
      </c>
      <c r="P195" s="169">
        <f>(INDEX(Models!$BJ195:$BT195,,T195)*(1-R195)+INDEX(Models!$BJ195:$BT195,,T195+1)*R195-ERP_i)*Q195*Ramure*Pc/MaxiM</f>
        <v>9.654092768261056E-6</v>
      </c>
      <c r="Q195" s="304">
        <f t="shared" si="56"/>
        <v>0.6</v>
      </c>
      <c r="R195" s="177">
        <f t="shared" si="57"/>
        <v>0.84633662642242702</v>
      </c>
      <c r="S195" s="799">
        <f t="shared" si="79"/>
        <v>-2</v>
      </c>
      <c r="T195" s="176">
        <f t="shared" si="58"/>
        <v>4</v>
      </c>
      <c r="U195" s="250">
        <f t="shared" si="59"/>
        <v>-1.153663373577573</v>
      </c>
      <c r="V195" s="382">
        <f t="shared" si="60"/>
        <v>61.514187196448702</v>
      </c>
      <c r="W195" s="58"/>
      <c r="X195" s="157">
        <f t="shared" si="61"/>
        <v>43646</v>
      </c>
      <c r="Y195" s="383">
        <f t="shared" si="62"/>
        <v>51.765999999999998</v>
      </c>
      <c r="Z195" s="383">
        <f t="shared" si="63"/>
        <v>51.929954452551989</v>
      </c>
      <c r="AA195" s="384">
        <f t="shared" si="64"/>
        <v>52.701791938983455</v>
      </c>
      <c r="AB195" s="197">
        <f t="shared" si="65"/>
        <v>43646</v>
      </c>
      <c r="AC195" s="424">
        <f t="shared" si="66"/>
        <v>1.4645374626446727E-2</v>
      </c>
      <c r="AD195" s="169">
        <f>(INDEX(Models!$BJ195:$BT195,,AH195)*(1-AF195)+INDEX(Models!$BJ195:$BT195,,AH195+1)*AF195-ERP_i)*AE195*Ramure*Pc/MaxiM</f>
        <v>9.654092768261056E-6</v>
      </c>
      <c r="AE195" s="304">
        <f t="shared" si="67"/>
        <v>0.6</v>
      </c>
      <c r="AF195" s="177">
        <f t="shared" si="68"/>
        <v>0.84633662642242702</v>
      </c>
      <c r="AG195" s="799">
        <f t="shared" si="69"/>
        <v>-2</v>
      </c>
      <c r="AH195" s="176">
        <f t="shared" si="70"/>
        <v>4</v>
      </c>
      <c r="AI195" s="224">
        <f t="shared" si="71"/>
        <v>-1.153663373577573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17.638000000000002</v>
      </c>
      <c r="C196" s="388"/>
      <c r="D196" s="391">
        <f t="shared" si="75"/>
        <v>17.694202580109685</v>
      </c>
      <c r="E196" s="383">
        <f t="shared" si="76"/>
        <v>17.958759471209085</v>
      </c>
      <c r="F196" s="383">
        <f t="shared" si="77"/>
        <v>17.958759471209085</v>
      </c>
      <c r="G196" s="110">
        <f t="shared" si="78"/>
        <v>0.28707651921228838</v>
      </c>
      <c r="I196" s="379">
        <f t="shared" si="52"/>
        <v>17.958759471209085</v>
      </c>
      <c r="J196" s="85">
        <v>2018</v>
      </c>
      <c r="K196" s="197">
        <f t="shared" si="53"/>
        <v>43647</v>
      </c>
      <c r="L196" s="435">
        <f t="shared" si="54"/>
        <v>3.1763273792774216E-3</v>
      </c>
      <c r="M196" s="842"/>
      <c r="N196" s="842"/>
      <c r="O196" s="323">
        <f t="shared" si="55"/>
        <v>1.4731356668790479E-2</v>
      </c>
      <c r="P196" s="169">
        <f>(INDEX(Models!$BJ196:$BT196,,T196)*(1-R196)+INDEX(Models!$BJ196:$BT196,,T196+1)*R196-ERP_i)*Q196*Ramure*Pc/MaxiM</f>
        <v>9.9852875437820589E-6</v>
      </c>
      <c r="Q196" s="304">
        <f t="shared" si="56"/>
        <v>0.6</v>
      </c>
      <c r="R196" s="177">
        <f t="shared" si="57"/>
        <v>0.85066739394336999</v>
      </c>
      <c r="S196" s="799">
        <f t="shared" si="79"/>
        <v>-2</v>
      </c>
      <c r="T196" s="176">
        <f t="shared" si="58"/>
        <v>4</v>
      </c>
      <c r="U196" s="250">
        <f t="shared" si="59"/>
        <v>-1.14933260605663</v>
      </c>
      <c r="V196" s="382">
        <f t="shared" si="60"/>
        <v>61.439451501971924</v>
      </c>
      <c r="W196" s="58"/>
      <c r="X196" s="157">
        <f t="shared" si="61"/>
        <v>43647</v>
      </c>
      <c r="Y196" s="383">
        <f t="shared" si="62"/>
        <v>17.638000000000002</v>
      </c>
      <c r="Z196" s="383">
        <f t="shared" si="63"/>
        <v>17.694202580109685</v>
      </c>
      <c r="AA196" s="384">
        <f t="shared" si="64"/>
        <v>17.958759471209085</v>
      </c>
      <c r="AB196" s="197">
        <f t="shared" si="65"/>
        <v>43647</v>
      </c>
      <c r="AC196" s="424">
        <f t="shared" si="66"/>
        <v>1.4731356668790479E-2</v>
      </c>
      <c r="AD196" s="169">
        <f>(INDEX(Models!$BJ196:$BT196,,AH196)*(1-AF196)+INDEX(Models!$BJ196:$BT196,,AH196+1)*AF196-ERP_i)*AE196*Ramure*Pc/MaxiM</f>
        <v>9.9852875437820589E-6</v>
      </c>
      <c r="AE196" s="304">
        <f t="shared" si="67"/>
        <v>0.6</v>
      </c>
      <c r="AF196" s="177">
        <f t="shared" si="68"/>
        <v>0.85066739394336999</v>
      </c>
      <c r="AG196" s="799">
        <f t="shared" si="69"/>
        <v>-2</v>
      </c>
      <c r="AH196" s="176">
        <f t="shared" si="70"/>
        <v>4</v>
      </c>
      <c r="AI196" s="224">
        <f t="shared" si="71"/>
        <v>-1.14933260605663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31.012</v>
      </c>
      <c r="C197" s="388"/>
      <c r="D197" s="391">
        <f t="shared" si="75"/>
        <v>31.111414386619856</v>
      </c>
      <c r="E197" s="383">
        <f t="shared" si="76"/>
        <v>31.579327787606918</v>
      </c>
      <c r="F197" s="383">
        <f t="shared" si="77"/>
        <v>31.579423593573196</v>
      </c>
      <c r="G197" s="110">
        <f t="shared" si="78"/>
        <v>0.50538034395637954</v>
      </c>
      <c r="I197" s="379">
        <f t="shared" si="52"/>
        <v>31.579423593573196</v>
      </c>
      <c r="J197" s="85">
        <v>2018</v>
      </c>
      <c r="K197" s="197">
        <f t="shared" si="53"/>
        <v>43648</v>
      </c>
      <c r="L197" s="435">
        <f t="shared" si="54"/>
        <v>3.195431277551064E-3</v>
      </c>
      <c r="M197" s="842"/>
      <c r="N197" s="842"/>
      <c r="O197" s="323">
        <f t="shared" si="55"/>
        <v>1.4817079202385437E-2</v>
      </c>
      <c r="P197" s="169">
        <f>(INDEX(Models!$BJ197:$BT197,,T197)*(1-R197)+INDEX(Models!$BJ197:$BT197,,T197+1)*R197-ERP_i)*Q197*Ramure*Pc/MaxiM</f>
        <v>1.0339980315119907E-5</v>
      </c>
      <c r="Q197" s="304">
        <f t="shared" si="56"/>
        <v>0.6</v>
      </c>
      <c r="R197" s="177">
        <f t="shared" si="57"/>
        <v>0.85492640925103069</v>
      </c>
      <c r="S197" s="799">
        <f t="shared" si="79"/>
        <v>-2</v>
      </c>
      <c r="T197" s="176">
        <f t="shared" si="58"/>
        <v>4</v>
      </c>
      <c r="U197" s="250">
        <f t="shared" si="59"/>
        <v>-1.1450735907489693</v>
      </c>
      <c r="V197" s="382">
        <f t="shared" si="60"/>
        <v>61.363236206572282</v>
      </c>
      <c r="W197" s="58"/>
      <c r="X197" s="157">
        <f t="shared" si="61"/>
        <v>43648</v>
      </c>
      <c r="Y197" s="383">
        <f t="shared" si="62"/>
        <v>31.012</v>
      </c>
      <c r="Z197" s="383">
        <f t="shared" si="63"/>
        <v>31.111414386619856</v>
      </c>
      <c r="AA197" s="384">
        <f t="shared" si="64"/>
        <v>31.579327787606918</v>
      </c>
      <c r="AB197" s="197">
        <f t="shared" si="65"/>
        <v>43648</v>
      </c>
      <c r="AC197" s="424">
        <f t="shared" si="66"/>
        <v>1.4817079202385437E-2</v>
      </c>
      <c r="AD197" s="169">
        <f>(INDEX(Models!$BJ197:$BT197,,AH197)*(1-AF197)+INDEX(Models!$BJ197:$BT197,,AH197+1)*AF197-ERP_i)*AE197*Ramure*Pc/MaxiM</f>
        <v>1.0339980315119907E-5</v>
      </c>
      <c r="AE197" s="304">
        <f t="shared" si="67"/>
        <v>0.6</v>
      </c>
      <c r="AF197" s="177">
        <f t="shared" si="68"/>
        <v>0.85492640925103069</v>
      </c>
      <c r="AG197" s="799">
        <f t="shared" si="69"/>
        <v>-2</v>
      </c>
      <c r="AH197" s="176">
        <f t="shared" si="70"/>
        <v>4</v>
      </c>
      <c r="AI197" s="224">
        <f t="shared" si="71"/>
        <v>-1.1450735907489693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48.728999999999999</v>
      </c>
      <c r="C198" s="388"/>
      <c r="D198" s="391">
        <f t="shared" si="75"/>
        <v>48.886146218732343</v>
      </c>
      <c r="E198" s="383">
        <f t="shared" si="76"/>
        <v>49.625695307115407</v>
      </c>
      <c r="F198" s="383">
        <f t="shared" si="77"/>
        <v>49.626071649823778</v>
      </c>
      <c r="G198" s="110">
        <f t="shared" si="78"/>
        <v>0.79511163541387164</v>
      </c>
      <c r="I198" s="379">
        <f t="shared" si="52"/>
        <v>49.626071649823778</v>
      </c>
      <c r="J198" s="85">
        <v>2018</v>
      </c>
      <c r="K198" s="197">
        <f t="shared" si="53"/>
        <v>43649</v>
      </c>
      <c r="L198" s="435">
        <f t="shared" si="54"/>
        <v>3.214534809703018E-3</v>
      </c>
      <c r="M198" s="842"/>
      <c r="N198" s="842"/>
      <c r="O198" s="323">
        <f t="shared" si="55"/>
        <v>1.4902543607827889E-2</v>
      </c>
      <c r="P198" s="169">
        <f>(INDEX(Models!$BJ198:$BT198,,T198)*(1-R198)+INDEX(Models!$BJ198:$BT198,,T198+1)*R198-ERP_i)*Q198*Ramure*Pc/MaxiM</f>
        <v>1.0721766044330401E-5</v>
      </c>
      <c r="Q198" s="304">
        <f t="shared" si="56"/>
        <v>0.6</v>
      </c>
      <c r="R198" s="177">
        <f t="shared" si="57"/>
        <v>0.85911193501832717</v>
      </c>
      <c r="S198" s="799">
        <f t="shared" si="79"/>
        <v>-2</v>
      </c>
      <c r="T198" s="176">
        <f t="shared" si="58"/>
        <v>4</v>
      </c>
      <c r="U198" s="250">
        <f t="shared" si="59"/>
        <v>-1.1408880649816728</v>
      </c>
      <c r="V198" s="382">
        <f t="shared" si="60"/>
        <v>61.285541434999303</v>
      </c>
      <c r="W198" s="58"/>
      <c r="X198" s="157">
        <f t="shared" si="61"/>
        <v>43649</v>
      </c>
      <c r="Y198" s="383">
        <f t="shared" si="62"/>
        <v>48.728999999999999</v>
      </c>
      <c r="Z198" s="383">
        <f t="shared" si="63"/>
        <v>48.886146218732343</v>
      </c>
      <c r="AA198" s="384">
        <f t="shared" si="64"/>
        <v>49.625695307115407</v>
      </c>
      <c r="AB198" s="197">
        <f t="shared" si="65"/>
        <v>43649</v>
      </c>
      <c r="AC198" s="424">
        <f t="shared" si="66"/>
        <v>1.4902543607827889E-2</v>
      </c>
      <c r="AD198" s="169">
        <f>(INDEX(Models!$BJ198:$BT198,,AH198)*(1-AF198)+INDEX(Models!$BJ198:$BT198,,AH198+1)*AF198-ERP_i)*AE198*Ramure*Pc/MaxiM</f>
        <v>1.0721766044330401E-5</v>
      </c>
      <c r="AE198" s="304">
        <f t="shared" si="67"/>
        <v>0.6</v>
      </c>
      <c r="AF198" s="177">
        <f t="shared" si="68"/>
        <v>0.85911193501832717</v>
      </c>
      <c r="AG198" s="799">
        <f t="shared" si="69"/>
        <v>-2</v>
      </c>
      <c r="AH198" s="176">
        <f t="shared" si="70"/>
        <v>4</v>
      </c>
      <c r="AI198" s="224">
        <f t="shared" si="71"/>
        <v>-1.1408880649816728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57.026000000000003</v>
      </c>
      <c r="C199" s="388"/>
      <c r="D199" s="391">
        <f t="shared" si="75"/>
        <v>57.210999661134302</v>
      </c>
      <c r="E199" s="383">
        <f t="shared" si="76"/>
        <v>58.081510933334776</v>
      </c>
      <c r="F199" s="383">
        <f t="shared" si="77"/>
        <v>58.082093863284776</v>
      </c>
      <c r="G199" s="110">
        <f t="shared" si="78"/>
        <v>0.93169942813038131</v>
      </c>
      <c r="I199" s="379">
        <f t="shared" si="52"/>
        <v>58.082093863284776</v>
      </c>
      <c r="J199" s="85">
        <v>2018</v>
      </c>
      <c r="K199" s="197">
        <f t="shared" si="53"/>
        <v>43650</v>
      </c>
      <c r="L199" s="435">
        <f t="shared" si="54"/>
        <v>3.2336379757400557E-3</v>
      </c>
      <c r="M199" s="842"/>
      <c r="N199" s="842"/>
      <c r="O199" s="323">
        <f t="shared" si="55"/>
        <v>1.498775183723495E-2</v>
      </c>
      <c r="P199" s="169">
        <f>(INDEX(Models!$BJ199:$BT199,,T199)*(1-R199)+INDEX(Models!$BJ199:$BT199,,T199+1)*R199-ERP_i)*Q199*Ramure*Pc/MaxiM</f>
        <v>1.1121438539000402E-5</v>
      </c>
      <c r="Q199" s="304">
        <f t="shared" si="56"/>
        <v>0.6</v>
      </c>
      <c r="R199" s="177">
        <f t="shared" si="57"/>
        <v>0.86322241524228405</v>
      </c>
      <c r="S199" s="799">
        <f t="shared" si="79"/>
        <v>-2</v>
      </c>
      <c r="T199" s="176">
        <f t="shared" si="58"/>
        <v>4</v>
      </c>
      <c r="U199" s="250">
        <f t="shared" si="59"/>
        <v>-1.136777584757716</v>
      </c>
      <c r="V199" s="382">
        <f t="shared" si="60"/>
        <v>61.206368059408469</v>
      </c>
      <c r="W199" s="58"/>
      <c r="X199" s="157">
        <f t="shared" si="61"/>
        <v>43650</v>
      </c>
      <c r="Y199" s="383">
        <f t="shared" si="62"/>
        <v>57.026000000000003</v>
      </c>
      <c r="Z199" s="383">
        <f t="shared" si="63"/>
        <v>57.210999661134302</v>
      </c>
      <c r="AA199" s="384">
        <f t="shared" si="64"/>
        <v>58.081510933334776</v>
      </c>
      <c r="AB199" s="197">
        <f t="shared" si="65"/>
        <v>43650</v>
      </c>
      <c r="AC199" s="424">
        <f t="shared" si="66"/>
        <v>1.498775183723495E-2</v>
      </c>
      <c r="AD199" s="169">
        <f>(INDEX(Models!$BJ199:$BT199,,AH199)*(1-AF199)+INDEX(Models!$BJ199:$BT199,,AH199+1)*AF199-ERP_i)*AE199*Ramure*Pc/MaxiM</f>
        <v>1.1121438539000402E-5</v>
      </c>
      <c r="AE199" s="304">
        <f t="shared" si="67"/>
        <v>0.6</v>
      </c>
      <c r="AF199" s="177">
        <f t="shared" si="68"/>
        <v>0.86322241524228405</v>
      </c>
      <c r="AG199" s="799">
        <f t="shared" si="69"/>
        <v>-2</v>
      </c>
      <c r="AH199" s="176">
        <f t="shared" si="70"/>
        <v>4</v>
      </c>
      <c r="AI199" s="224">
        <f t="shared" si="71"/>
        <v>-1.136777584757716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55.598999999999997</v>
      </c>
      <c r="C200" s="388"/>
      <c r="D200" s="391">
        <f t="shared" si="75"/>
        <v>55.780439309426512</v>
      </c>
      <c r="E200" s="383">
        <f t="shared" si="76"/>
        <v>56.634067987564229</v>
      </c>
      <c r="F200" s="383">
        <f t="shared" si="77"/>
        <v>56.634637101864094</v>
      </c>
      <c r="G200" s="110">
        <f t="shared" si="78"/>
        <v>0.90958307680189165</v>
      </c>
      <c r="I200" s="379">
        <f t="shared" si="52"/>
        <v>56.634637101864094</v>
      </c>
      <c r="J200" s="85">
        <v>2018</v>
      </c>
      <c r="K200" s="197">
        <f t="shared" si="53"/>
        <v>43651</v>
      </c>
      <c r="L200" s="435">
        <f t="shared" si="54"/>
        <v>3.2527407756692828E-3</v>
      </c>
      <c r="M200" s="842"/>
      <c r="N200" s="842"/>
      <c r="O200" s="323">
        <f t="shared" si="55"/>
        <v>1.5072706384523897E-2</v>
      </c>
      <c r="P200" s="169">
        <f>(INDEX(Models!$BJ200:$BT200,,T200)*(1-R200)+INDEX(Models!$BJ200:$BT200,,T200+1)*R200-ERP_i)*Q200*Ramure*Pc/MaxiM</f>
        <v>1.1539355377258414E-5</v>
      </c>
      <c r="Q200" s="304">
        <f t="shared" si="56"/>
        <v>0.6</v>
      </c>
      <c r="R200" s="177">
        <f t="shared" si="57"/>
        <v>0.8672564736022581</v>
      </c>
      <c r="S200" s="799">
        <f t="shared" si="79"/>
        <v>-2</v>
      </c>
      <c r="T200" s="176">
        <f t="shared" si="58"/>
        <v>4</v>
      </c>
      <c r="U200" s="250">
        <f t="shared" si="59"/>
        <v>-1.1327435263977419</v>
      </c>
      <c r="V200" s="382">
        <f t="shared" si="60"/>
        <v>61.125716328571109</v>
      </c>
      <c r="W200" s="58"/>
      <c r="X200" s="157">
        <f t="shared" si="61"/>
        <v>43651</v>
      </c>
      <c r="Y200" s="383">
        <f t="shared" si="62"/>
        <v>55.598999999999997</v>
      </c>
      <c r="Z200" s="383">
        <f t="shared" si="63"/>
        <v>55.780439309426512</v>
      </c>
      <c r="AA200" s="384">
        <f t="shared" si="64"/>
        <v>56.634067987564229</v>
      </c>
      <c r="AB200" s="197">
        <f t="shared" si="65"/>
        <v>43651</v>
      </c>
      <c r="AC200" s="424">
        <f t="shared" si="66"/>
        <v>1.5072706384523897E-2</v>
      </c>
      <c r="AD200" s="169">
        <f>(INDEX(Models!$BJ200:$BT200,,AH200)*(1-AF200)+INDEX(Models!$BJ200:$BT200,,AH200+1)*AF200-ERP_i)*AE200*Ramure*Pc/MaxiM</f>
        <v>1.1539355377258414E-5</v>
      </c>
      <c r="AE200" s="304">
        <f t="shared" si="67"/>
        <v>0.6</v>
      </c>
      <c r="AF200" s="177">
        <f t="shared" si="68"/>
        <v>0.8672564736022581</v>
      </c>
      <c r="AG200" s="799">
        <f t="shared" si="69"/>
        <v>-2</v>
      </c>
      <c r="AH200" s="176">
        <f t="shared" si="70"/>
        <v>4</v>
      </c>
      <c r="AI200" s="224">
        <f t="shared" si="71"/>
        <v>-1.1327435263977419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54.688000000000002</v>
      </c>
      <c r="C201" s="388"/>
      <c r="D201" s="391">
        <f t="shared" ref="D201:D206" si="81">Wh/(1-Ppv)</f>
        <v>54.867517915915187</v>
      </c>
      <c r="E201" s="383">
        <f t="shared" ref="E201:E232" si="82">Wh_pvt/(1-Psa)</f>
        <v>55.711967056577826</v>
      </c>
      <c r="F201" s="383">
        <f t="shared" ref="F201:F228" si="83">Wh_sa/(1-Pvg*MEDIAN((-Sdif+Wh/Env_an)/Csdif,0,1))</f>
        <v>55.712535024285991</v>
      </c>
      <c r="G201" s="110">
        <f t="shared" ref="G201:G232" si="84">+Wh_hp/MaxiM</f>
        <v>0.89588285612071461</v>
      </c>
      <c r="I201" s="379">
        <f t="shared" si="52"/>
        <v>55.712535024285991</v>
      </c>
      <c r="J201" s="85">
        <v>2018</v>
      </c>
      <c r="K201" s="197">
        <f t="shared" si="53"/>
        <v>43652</v>
      </c>
      <c r="L201" s="435">
        <f t="shared" si="54"/>
        <v>3.2718432094978045E-3</v>
      </c>
      <c r="M201" s="842"/>
      <c r="N201" s="842"/>
      <c r="O201" s="323">
        <f t="shared" si="55"/>
        <v>1.5157410252721252E-2</v>
      </c>
      <c r="P201" s="169">
        <f>(INDEX(Models!$BJ201:$BT201,,T201)*(1-R201)+INDEX(Models!$BJ201:$BT201,,T201+1)*R201-ERP_i)*Q201*Ramure*Pc/MaxiM</f>
        <v>1.1975860008664216E-5</v>
      </c>
      <c r="Q201" s="304">
        <f t="shared" si="56"/>
        <v>0.6</v>
      </c>
      <c r="R201" s="177">
        <f t="shared" si="57"/>
        <v>0.87121291106338417</v>
      </c>
      <c r="S201" s="799">
        <f t="shared" si="79"/>
        <v>-2</v>
      </c>
      <c r="T201" s="176">
        <f t="shared" si="58"/>
        <v>4</v>
      </c>
      <c r="U201" s="250">
        <f t="shared" si="59"/>
        <v>-1.1287870889366158</v>
      </c>
      <c r="V201" s="382">
        <f t="shared" si="60"/>
        <v>61.043586460567852</v>
      </c>
      <c r="W201" s="58"/>
      <c r="X201" s="157">
        <f t="shared" si="61"/>
        <v>43652</v>
      </c>
      <c r="Y201" s="383">
        <f t="shared" si="62"/>
        <v>54.688000000000002</v>
      </c>
      <c r="Z201" s="383">
        <f t="shared" si="63"/>
        <v>54.867517915915187</v>
      </c>
      <c r="AA201" s="384">
        <f t="shared" si="64"/>
        <v>55.711967056577826</v>
      </c>
      <c r="AB201" s="197">
        <f t="shared" si="65"/>
        <v>43652</v>
      </c>
      <c r="AC201" s="424">
        <f t="shared" si="66"/>
        <v>1.5157410252721252E-2</v>
      </c>
      <c r="AD201" s="169">
        <f>(INDEX(Models!$BJ201:$BT201,,AH201)*(1-AF201)+INDEX(Models!$BJ201:$BT201,,AH201+1)*AF201-ERP_i)*AE201*Ramure*Pc/MaxiM</f>
        <v>1.1975860008664216E-5</v>
      </c>
      <c r="AE201" s="304">
        <f t="shared" si="67"/>
        <v>0.6</v>
      </c>
      <c r="AF201" s="177">
        <f t="shared" si="68"/>
        <v>0.87121291106338417</v>
      </c>
      <c r="AG201" s="799">
        <f t="shared" si="69"/>
        <v>-2</v>
      </c>
      <c r="AH201" s="176">
        <f t="shared" si="70"/>
        <v>4</v>
      </c>
      <c r="AI201" s="224">
        <f t="shared" si="71"/>
        <v>-1.1287870889366158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51.244</v>
      </c>
      <c r="C202" s="388"/>
      <c r="D202" s="391">
        <f t="shared" si="81"/>
        <v>51.413198021215329</v>
      </c>
      <c r="E202" s="383">
        <f t="shared" si="82"/>
        <v>52.208960042134883</v>
      </c>
      <c r="F202" s="383">
        <f t="shared" si="83"/>
        <v>52.209461295007706</v>
      </c>
      <c r="G202" s="110">
        <f t="shared" si="84"/>
        <v>0.84061471304727897</v>
      </c>
      <c r="I202" s="379">
        <f t="shared" si="52"/>
        <v>52.209461295007706</v>
      </c>
      <c r="J202" s="85">
        <v>2018</v>
      </c>
      <c r="K202" s="197">
        <f t="shared" si="53"/>
        <v>43653</v>
      </c>
      <c r="L202" s="435">
        <f t="shared" si="54"/>
        <v>3.2909452772323933E-3</v>
      </c>
      <c r="M202" s="842"/>
      <c r="N202" s="842"/>
      <c r="O202" s="323">
        <f t="shared" si="55"/>
        <v>1.5241866918577573E-2</v>
      </c>
      <c r="P202" s="169">
        <f>(INDEX(Models!$BJ202:$BT202,,T202)*(1-R202)+INDEX(Models!$BJ202:$BT202,,T202+1)*R202-ERP_i)*Q202*Ramure*Pc/MaxiM</f>
        <v>1.2431282335968127E-5</v>
      </c>
      <c r="Q202" s="304">
        <f t="shared" si="56"/>
        <v>0.6</v>
      </c>
      <c r="R202" s="177">
        <f t="shared" si="57"/>
        <v>0.8750907027784236</v>
      </c>
      <c r="S202" s="799">
        <f t="shared" si="79"/>
        <v>-2</v>
      </c>
      <c r="T202" s="176">
        <f t="shared" si="58"/>
        <v>4</v>
      </c>
      <c r="U202" s="250">
        <f t="shared" si="59"/>
        <v>-1.1249092972215764</v>
      </c>
      <c r="V202" s="382">
        <f t="shared" si="60"/>
        <v>60.959978642153729</v>
      </c>
      <c r="W202" s="58"/>
      <c r="X202" s="157">
        <f t="shared" si="61"/>
        <v>43653</v>
      </c>
      <c r="Y202" s="383">
        <f t="shared" si="62"/>
        <v>51.244</v>
      </c>
      <c r="Z202" s="383">
        <f t="shared" si="63"/>
        <v>51.413198021215329</v>
      </c>
      <c r="AA202" s="384">
        <f t="shared" si="64"/>
        <v>52.208960042134883</v>
      </c>
      <c r="AB202" s="197">
        <f t="shared" si="65"/>
        <v>43653</v>
      </c>
      <c r="AC202" s="424">
        <f t="shared" si="66"/>
        <v>1.5241866918577573E-2</v>
      </c>
      <c r="AD202" s="169">
        <f>(INDEX(Models!$BJ202:$BT202,,AH202)*(1-AF202)+INDEX(Models!$BJ202:$BT202,,AH202+1)*AF202-ERP_i)*AE202*Ramure*Pc/MaxiM</f>
        <v>1.2431282335968127E-5</v>
      </c>
      <c r="AE202" s="304">
        <f t="shared" si="67"/>
        <v>0.6</v>
      </c>
      <c r="AF202" s="177">
        <f t="shared" si="68"/>
        <v>0.8750907027784236</v>
      </c>
      <c r="AG202" s="799">
        <f t="shared" si="69"/>
        <v>-2</v>
      </c>
      <c r="AH202" s="176">
        <f t="shared" si="70"/>
        <v>4</v>
      </c>
      <c r="AI202" s="224">
        <f t="shared" si="71"/>
        <v>-1.1249092972215764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35.637999999999998</v>
      </c>
      <c r="C203" s="388"/>
      <c r="D203" s="391">
        <f t="shared" si="81"/>
        <v>35.756355215557022</v>
      </c>
      <c r="E203" s="383">
        <f t="shared" si="82"/>
        <v>36.312889475392559</v>
      </c>
      <c r="F203" s="383">
        <f t="shared" si="83"/>
        <v>36.313080572703775</v>
      </c>
      <c r="G203" s="110">
        <f t="shared" si="84"/>
        <v>0.58542571206081251</v>
      </c>
      <c r="I203" s="379">
        <f t="shared" si="52"/>
        <v>36.313080572703775</v>
      </c>
      <c r="J203" s="85">
        <v>2018</v>
      </c>
      <c r="K203" s="197">
        <f t="shared" si="53"/>
        <v>43654</v>
      </c>
      <c r="L203" s="435">
        <f t="shared" si="54"/>
        <v>3.3100469788802656E-3</v>
      </c>
      <c r="M203" s="842"/>
      <c r="N203" s="842"/>
      <c r="O203" s="323">
        <f t="shared" si="55"/>
        <v>1.5326080294785495E-2</v>
      </c>
      <c r="P203" s="169">
        <f>(INDEX(Models!$BJ203:$BT203,,T203)*(1-R203)+INDEX(Models!$BJ203:$BT203,,T203+1)*R203-ERP_i)*Q203*Ramure*Pc/MaxiM</f>
        <v>1.290593939833952E-5</v>
      </c>
      <c r="Q203" s="304">
        <f t="shared" si="56"/>
        <v>0.6</v>
      </c>
      <c r="R203" s="177">
        <f t="shared" si="57"/>
        <v>0.87888899434402612</v>
      </c>
      <c r="S203" s="799">
        <f t="shared" si="79"/>
        <v>-2</v>
      </c>
      <c r="T203" s="176">
        <f t="shared" si="58"/>
        <v>4</v>
      </c>
      <c r="U203" s="250">
        <f t="shared" si="59"/>
        <v>-1.1211110056559739</v>
      </c>
      <c r="V203" s="382">
        <f t="shared" si="60"/>
        <v>60.874893034594095</v>
      </c>
      <c r="W203" s="58"/>
      <c r="X203" s="157">
        <f t="shared" si="61"/>
        <v>43654</v>
      </c>
      <c r="Y203" s="383">
        <f t="shared" si="62"/>
        <v>35.637999999999998</v>
      </c>
      <c r="Z203" s="383">
        <f t="shared" si="63"/>
        <v>35.756355215557022</v>
      </c>
      <c r="AA203" s="384">
        <f t="shared" si="64"/>
        <v>36.312889475392559</v>
      </c>
      <c r="AB203" s="197">
        <f t="shared" si="65"/>
        <v>43654</v>
      </c>
      <c r="AC203" s="424">
        <f t="shared" si="66"/>
        <v>1.5326080294785495E-2</v>
      </c>
      <c r="AD203" s="169">
        <f>(INDEX(Models!$BJ203:$BT203,,AH203)*(1-AF203)+INDEX(Models!$BJ203:$BT203,,AH203+1)*AF203-ERP_i)*AE203*Ramure*Pc/MaxiM</f>
        <v>1.290593939833952E-5</v>
      </c>
      <c r="AE203" s="304">
        <f t="shared" si="67"/>
        <v>0.6</v>
      </c>
      <c r="AF203" s="177">
        <f t="shared" si="68"/>
        <v>0.87888899434402612</v>
      </c>
      <c r="AG203" s="799">
        <f t="shared" si="69"/>
        <v>-2</v>
      </c>
      <c r="AH203" s="176">
        <f t="shared" si="70"/>
        <v>4</v>
      </c>
      <c r="AI203" s="224">
        <f t="shared" si="71"/>
        <v>-1.1211110056559739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20.32</v>
      </c>
      <c r="C204" s="388"/>
      <c r="D204" s="391">
        <f t="shared" si="81"/>
        <v>20.387874257218606</v>
      </c>
      <c r="E204" s="383">
        <f t="shared" si="82"/>
        <v>20.706969794214046</v>
      </c>
      <c r="F204" s="383">
        <f t="shared" si="83"/>
        <v>20.706983380524125</v>
      </c>
      <c r="G204" s="110">
        <f t="shared" si="84"/>
        <v>0.33427042850498606</v>
      </c>
      <c r="I204" s="379">
        <f t="shared" si="52"/>
        <v>20.706983380524125</v>
      </c>
      <c r="J204" s="85">
        <v>2018</v>
      </c>
      <c r="K204" s="197">
        <f t="shared" si="53"/>
        <v>43655</v>
      </c>
      <c r="L204" s="435">
        <f t="shared" si="54"/>
        <v>3.3291483144484157E-3</v>
      </c>
      <c r="M204" s="842"/>
      <c r="N204" s="842"/>
      <c r="O204" s="323">
        <f t="shared" si="55"/>
        <v>1.541005469011714E-2</v>
      </c>
      <c r="P204" s="169">
        <f>(INDEX(Models!$BJ204:$BT204,,T204)*(1-R204)+INDEX(Models!$BJ204:$BT204,,T204+1)*R204-ERP_i)*Q204*Ramure*Pc/MaxiM</f>
        <v>1.3400136143181264E-5</v>
      </c>
      <c r="Q204" s="304">
        <f t="shared" si="56"/>
        <v>0.6</v>
      </c>
      <c r="R204" s="177">
        <f t="shared" si="57"/>
        <v>0.88260709746947819</v>
      </c>
      <c r="S204" s="799">
        <f t="shared" si="79"/>
        <v>-2</v>
      </c>
      <c r="T204" s="176">
        <f t="shared" si="58"/>
        <v>4</v>
      </c>
      <c r="U204" s="250">
        <f t="shared" si="59"/>
        <v>-1.1173929025305218</v>
      </c>
      <c r="V204" s="382">
        <f t="shared" si="60"/>
        <v>60.788329773425609</v>
      </c>
      <c r="W204" s="58"/>
      <c r="X204" s="157">
        <f t="shared" si="61"/>
        <v>43655</v>
      </c>
      <c r="Y204" s="383">
        <f t="shared" si="62"/>
        <v>20.32</v>
      </c>
      <c r="Z204" s="383">
        <f t="shared" si="63"/>
        <v>20.387874257218606</v>
      </c>
      <c r="AA204" s="384">
        <f t="shared" si="64"/>
        <v>20.706969794214046</v>
      </c>
      <c r="AB204" s="197">
        <f t="shared" si="65"/>
        <v>43655</v>
      </c>
      <c r="AC204" s="424">
        <f t="shared" si="66"/>
        <v>1.541005469011714E-2</v>
      </c>
      <c r="AD204" s="169">
        <f>(INDEX(Models!$BJ204:$BT204,,AH204)*(1-AF204)+INDEX(Models!$BJ204:$BT204,,AH204+1)*AF204-ERP_i)*AE204*Ramure*Pc/MaxiM</f>
        <v>1.3400136143181264E-5</v>
      </c>
      <c r="AE204" s="304">
        <f t="shared" si="67"/>
        <v>0.6</v>
      </c>
      <c r="AF204" s="177">
        <f t="shared" si="68"/>
        <v>0.88260709746947819</v>
      </c>
      <c r="AG204" s="799">
        <f t="shared" si="69"/>
        <v>-2</v>
      </c>
      <c r="AH204" s="176">
        <f t="shared" si="70"/>
        <v>4</v>
      </c>
      <c r="AI204" s="224">
        <f t="shared" si="71"/>
        <v>-1.1173929025305218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59.000999999999998</v>
      </c>
      <c r="C205" s="388"/>
      <c r="D205" s="391">
        <f t="shared" si="81"/>
        <v>59.19921372496465</v>
      </c>
      <c r="E205" s="383">
        <f t="shared" si="82"/>
        <v>60.130869069538264</v>
      </c>
      <c r="F205" s="383">
        <f t="shared" si="83"/>
        <v>60.131672275516188</v>
      </c>
      <c r="G205" s="110">
        <f t="shared" si="84"/>
        <v>0.97199724265309939</v>
      </c>
      <c r="I205" s="379">
        <f t="shared" si="52"/>
        <v>60.131672275516188</v>
      </c>
      <c r="J205" s="85">
        <v>2018</v>
      </c>
      <c r="K205" s="197">
        <f t="shared" si="53"/>
        <v>43656</v>
      </c>
      <c r="L205" s="435">
        <f t="shared" si="54"/>
        <v>3.3482492839438383E-3</v>
      </c>
      <c r="M205" s="842"/>
      <c r="N205" s="842"/>
      <c r="O205" s="323">
        <f t="shared" si="55"/>
        <v>1.5493794767812258E-2</v>
      </c>
      <c r="P205" s="169">
        <f>(INDEX(Models!$BJ205:$BT205,,T205)*(1-R205)+INDEX(Models!$BJ205:$BT205,,T205+1)*R205-ERP_i)*Q205*Ramure*Pc/MaxiM</f>
        <v>1.3914059287560371E-5</v>
      </c>
      <c r="Q205" s="304">
        <f t="shared" si="56"/>
        <v>0.6</v>
      </c>
      <c r="R205" s="177">
        <f t="shared" si="57"/>
        <v>0.8862444851173068</v>
      </c>
      <c r="S205" s="799">
        <f t="shared" si="79"/>
        <v>-2</v>
      </c>
      <c r="T205" s="176">
        <f t="shared" si="58"/>
        <v>4</v>
      </c>
      <c r="U205" s="250">
        <f t="shared" si="59"/>
        <v>-1.1137555148826932</v>
      </c>
      <c r="V205" s="382">
        <f t="shared" si="60"/>
        <v>60.700755691631876</v>
      </c>
      <c r="W205" s="58"/>
      <c r="X205" s="157">
        <f t="shared" si="61"/>
        <v>43656</v>
      </c>
      <c r="Y205" s="383">
        <f t="shared" si="62"/>
        <v>59.000999999999998</v>
      </c>
      <c r="Z205" s="383">
        <f t="shared" si="63"/>
        <v>59.19921372496465</v>
      </c>
      <c r="AA205" s="384">
        <f t="shared" si="64"/>
        <v>60.130869069538264</v>
      </c>
      <c r="AB205" s="197">
        <f t="shared" si="65"/>
        <v>43656</v>
      </c>
      <c r="AC205" s="424">
        <f t="shared" si="66"/>
        <v>1.5493794767812258E-2</v>
      </c>
      <c r="AD205" s="169">
        <f>(INDEX(Models!$BJ205:$BT205,,AH205)*(1-AF205)+INDEX(Models!$BJ205:$BT205,,AH205+1)*AF205-ERP_i)*AE205*Ramure*Pc/MaxiM</f>
        <v>1.3914059287560371E-5</v>
      </c>
      <c r="AE205" s="304">
        <f t="shared" si="67"/>
        <v>0.6</v>
      </c>
      <c r="AF205" s="177">
        <f t="shared" si="68"/>
        <v>0.8862444851173068</v>
      </c>
      <c r="AG205" s="799">
        <f t="shared" si="69"/>
        <v>-2</v>
      </c>
      <c r="AH205" s="176">
        <f t="shared" si="70"/>
        <v>4</v>
      </c>
      <c r="AI205" s="224">
        <f t="shared" si="71"/>
        <v>-1.1137555148826932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59.831000000000003</v>
      </c>
      <c r="C206" s="388"/>
      <c r="D206" s="391">
        <f t="shared" si="81"/>
        <v>60.033152629746461</v>
      </c>
      <c r="E206" s="383">
        <f t="shared" si="82"/>
        <v>60.983105088200148</v>
      </c>
      <c r="F206" s="383">
        <f t="shared" si="83"/>
        <v>60.983970970198122</v>
      </c>
      <c r="G206" s="110">
        <f t="shared" si="84"/>
        <v>0.98710647442972987</v>
      </c>
      <c r="I206" s="379">
        <f t="shared" si="52"/>
        <v>60.983970970198122</v>
      </c>
      <c r="J206" s="85">
        <v>2018</v>
      </c>
      <c r="K206" s="197">
        <f t="shared" si="53"/>
        <v>43657</v>
      </c>
      <c r="L206" s="435">
        <f t="shared" si="54"/>
        <v>3.3673498873735275E-3</v>
      </c>
      <c r="M206" s="842"/>
      <c r="N206" s="842"/>
      <c r="O206" s="323">
        <f t="shared" si="55"/>
        <v>1.5577305502561218E-2</v>
      </c>
      <c r="P206" s="169">
        <f>(INDEX(Models!$BJ206:$BT206,,T206)*(1-R206)+INDEX(Models!$BJ206:$BT206,,T206+1)*R206-ERP_i)*Q206*Ramure*Pc/MaxiM</f>
        <v>1.4464946893916821E-5</v>
      </c>
      <c r="Q206" s="304">
        <f t="shared" si="56"/>
        <v>0.6</v>
      </c>
      <c r="R206" s="177">
        <f t="shared" si="57"/>
        <v>0.88980078617567115</v>
      </c>
      <c r="S206" s="799">
        <f t="shared" si="79"/>
        <v>-2</v>
      </c>
      <c r="T206" s="176">
        <f t="shared" si="58"/>
        <v>4</v>
      </c>
      <c r="U206" s="250">
        <f t="shared" si="59"/>
        <v>-1.1101992138243288</v>
      </c>
      <c r="V206" s="382">
        <f t="shared" si="60"/>
        <v>60.612492784651891</v>
      </c>
      <c r="W206" s="58"/>
      <c r="X206" s="157">
        <f t="shared" si="61"/>
        <v>43657</v>
      </c>
      <c r="Y206" s="383">
        <f t="shared" si="62"/>
        <v>59.831000000000003</v>
      </c>
      <c r="Z206" s="383">
        <f t="shared" si="63"/>
        <v>60.033152629746461</v>
      </c>
      <c r="AA206" s="384">
        <f t="shared" si="64"/>
        <v>60.983105088200148</v>
      </c>
      <c r="AB206" s="197">
        <f t="shared" si="65"/>
        <v>43657</v>
      </c>
      <c r="AC206" s="424">
        <f t="shared" si="66"/>
        <v>1.5577305502561218E-2</v>
      </c>
      <c r="AD206" s="169">
        <f>(INDEX(Models!$BJ206:$BT206,,AH206)*(1-AF206)+INDEX(Models!$BJ206:$BT206,,AH206+1)*AF206-ERP_i)*AE206*Ramure*Pc/MaxiM</f>
        <v>1.4464946893916821E-5</v>
      </c>
      <c r="AE206" s="304">
        <f t="shared" si="67"/>
        <v>0.6</v>
      </c>
      <c r="AF206" s="177">
        <f t="shared" si="68"/>
        <v>0.88980078617567115</v>
      </c>
      <c r="AG206" s="799">
        <f t="shared" si="69"/>
        <v>-2</v>
      </c>
      <c r="AH206" s="176">
        <f t="shared" si="70"/>
        <v>4</v>
      </c>
      <c r="AI206" s="224">
        <f t="shared" si="71"/>
        <v>-1.1101992138243288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60.23</v>
      </c>
      <c r="C207" s="388"/>
      <c r="D207" s="391">
        <f t="shared" ref="D207:D270" si="85">Wh/(1-Ppv)</f>
        <v>60.434658958368452</v>
      </c>
      <c r="E207" s="383">
        <f t="shared" si="82"/>
        <v>61.396159165807838</v>
      </c>
      <c r="F207" s="383">
        <f t="shared" si="83"/>
        <v>61.397076269848142</v>
      </c>
      <c r="G207" s="110">
        <f t="shared" si="84"/>
        <v>0.9951533974279515</v>
      </c>
      <c r="I207" s="379">
        <f t="shared" ref="I207:I270" si="86">Wh_hp</f>
        <v>61.397076269848142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3.3864501247444778E-3</v>
      </c>
      <c r="M207" s="842"/>
      <c r="N207" s="842"/>
      <c r="O207" s="323">
        <f t="shared" ref="O207:O270" si="89">IF(t&lt;T0,0,IF(t&lt;Tnet,Salim_i*(1-EXP((T0-t)/Tau_ij)),Resal+(Salim-Resal)*(1-EXP((Tnet-t)/(Tau_j)))))*Salcycl</f>
        <v>1.566059213643534E-2</v>
      </c>
      <c r="P207" s="169">
        <f>(INDEX(Models!$BJ207:$BT207,,T207)*(1-R207)+INDEX(Models!$BJ207:$BT207,,T207+1)*R207-ERP_i)*Q207*Ramure*Pc/MaxiM</f>
        <v>1.5041399346390446E-5</v>
      </c>
      <c r="Q207" s="304">
        <f t="shared" ref="Q207:Q270" si="90">IF(OR(t&lt;Ttai,Notai),Dd+PousD*Croivg,Dens+PousD*(Croivg-Croi_tai))</f>
        <v>0.6</v>
      </c>
      <c r="R207" s="177">
        <f t="shared" ref="R207:R270" si="91">(Hp_vg-S207)/(INDEX(Echel_vg,T207+1)-S207)</f>
        <v>0.89327577972238936</v>
      </c>
      <c r="S207" s="799">
        <f t="shared" si="79"/>
        <v>-2</v>
      </c>
      <c r="T207" s="176">
        <f t="shared" ref="T207:T270" si="92">MIN(MATCH(Hp_vg,Echel_vg),10)</f>
        <v>4</v>
      </c>
      <c r="U207" s="250">
        <f t="shared" ref="U207:U270" si="93">IF(OR(t&lt;Ttai,Notai),Hdd+PousH*Croivg,Hdtf+PousH*(Croivg-Croi_tai))</f>
        <v>-1.1067242202776106</v>
      </c>
      <c r="V207" s="382">
        <f t="shared" ref="V207:V270" si="94">MaxiM*(1-Ppv)*(1-Pvg)*(1-Psa)</f>
        <v>60.523326236148314</v>
      </c>
      <c r="W207" s="58"/>
      <c r="X207" s="157">
        <f t="shared" ref="X207:X270" si="95">t</f>
        <v>43658</v>
      </c>
      <c r="Y207" s="383">
        <f t="shared" ref="Y207:Y270" si="96">Wh_pvt_s*(1-Ppv)</f>
        <v>60.23</v>
      </c>
      <c r="Z207" s="383">
        <f t="shared" ref="Z207:Z270" si="97">Wh_sa_s*(1-Psa_s)</f>
        <v>60.434658958368452</v>
      </c>
      <c r="AA207" s="384">
        <f t="shared" ref="AA207:AA270" si="98">Wh_hp*(1-Pvg_s*MEDIAN((-Sdif+Wh/Env_an)/Csdif,0,1))</f>
        <v>61.396159165807838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1.566059213643534E-2</v>
      </c>
      <c r="AD207" s="169">
        <f>(INDEX(Models!$BJ207:$BT207,,AH207)*(1-AF207)+INDEX(Models!$BJ207:$BT207,,AH207+1)*AF207-ERP_i)*AE207*Ramure*Pc/MaxiM</f>
        <v>1.5041399346390446E-5</v>
      </c>
      <c r="AE207" s="304">
        <f t="shared" ref="AE207:AE270" si="101">Dd+PousD*Croivg</f>
        <v>0.6</v>
      </c>
      <c r="AF207" s="177">
        <f t="shared" ref="AF207:AF270" si="102">(Hp_vg_s-AG207)/(INDEX(Echel_vg,AH207+1)-AG207)</f>
        <v>0.89327577972238936</v>
      </c>
      <c r="AG207" s="799">
        <f t="shared" ref="AG207:AG270" si="103">INDEX(Echel_vg,AH207)</f>
        <v>-2</v>
      </c>
      <c r="AH207" s="176">
        <f t="shared" ref="AH207:AH270" si="104">MIN(MATCH(Hp_vg_s,Echel_vg),10)</f>
        <v>4</v>
      </c>
      <c r="AI207" s="224">
        <f t="shared" ref="AI207:AI270" si="105">Hdd+PousH*Croivg</f>
        <v>-1.1067242202776106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52.652999999999999</v>
      </c>
      <c r="C208" s="388"/>
      <c r="D208" s="391">
        <f t="shared" si="85"/>
        <v>52.832925168098249</v>
      </c>
      <c r="E208" s="383">
        <f t="shared" si="82"/>
        <v>53.678013570425868</v>
      </c>
      <c r="F208" s="383">
        <f t="shared" si="83"/>
        <v>53.678698874330564</v>
      </c>
      <c r="G208" s="110">
        <f t="shared" si="84"/>
        <v>0.87125929789853196</v>
      </c>
      <c r="I208" s="379">
        <f t="shared" si="86"/>
        <v>53.678698874330564</v>
      </c>
      <c r="J208" s="85">
        <v>2018</v>
      </c>
      <c r="K208" s="197">
        <f t="shared" si="87"/>
        <v>43659</v>
      </c>
      <c r="L208" s="435">
        <f t="shared" si="88"/>
        <v>3.4055499960636837E-3</v>
      </c>
      <c r="M208" s="842"/>
      <c r="N208" s="842"/>
      <c r="O208" s="323">
        <f t="shared" si="89"/>
        <v>1.574366013412291E-2</v>
      </c>
      <c r="P208" s="169">
        <f>(INDEX(Models!$BJ208:$BT208,,T208)*(1-R208)+INDEX(Models!$BJ208:$BT208,,T208+1)*R208-ERP_i)*Q208*Ramure*Pc/MaxiM</f>
        <v>1.5643865683606802E-5</v>
      </c>
      <c r="Q208" s="304">
        <f t="shared" si="90"/>
        <v>0.6</v>
      </c>
      <c r="R208" s="177">
        <f t="shared" si="91"/>
        <v>0.8966693889397348</v>
      </c>
      <c r="S208" s="799">
        <f t="shared" ref="S208:S271" si="109">INDEX(Echel_vg,T208)</f>
        <v>-2</v>
      </c>
      <c r="T208" s="176">
        <f t="shared" si="92"/>
        <v>4</v>
      </c>
      <c r="U208" s="250">
        <f t="shared" si="93"/>
        <v>-1.1033306110602652</v>
      </c>
      <c r="V208" s="382">
        <f t="shared" si="94"/>
        <v>60.433040585783736</v>
      </c>
      <c r="W208" s="58"/>
      <c r="X208" s="157">
        <f t="shared" si="95"/>
        <v>43659</v>
      </c>
      <c r="Y208" s="383">
        <f t="shared" si="96"/>
        <v>52.652999999999999</v>
      </c>
      <c r="Z208" s="383">
        <f t="shared" si="97"/>
        <v>52.832925168098249</v>
      </c>
      <c r="AA208" s="384">
        <f t="shared" si="98"/>
        <v>53.678013570425868</v>
      </c>
      <c r="AB208" s="197">
        <f t="shared" si="99"/>
        <v>43659</v>
      </c>
      <c r="AC208" s="424">
        <f t="shared" si="100"/>
        <v>1.574366013412291E-2</v>
      </c>
      <c r="AD208" s="169">
        <f>(INDEX(Models!$BJ208:$BT208,,AH208)*(1-AF208)+INDEX(Models!$BJ208:$BT208,,AH208+1)*AF208-ERP_i)*AE208*Ramure*Pc/MaxiM</f>
        <v>1.5643865683606802E-5</v>
      </c>
      <c r="AE208" s="304">
        <f t="shared" si="101"/>
        <v>0.6</v>
      </c>
      <c r="AF208" s="177">
        <f t="shared" si="102"/>
        <v>0.8966693889397348</v>
      </c>
      <c r="AG208" s="799">
        <f t="shared" si="103"/>
        <v>-2</v>
      </c>
      <c r="AH208" s="176">
        <f t="shared" si="104"/>
        <v>4</v>
      </c>
      <c r="AI208" s="224">
        <f t="shared" si="105"/>
        <v>-1.1033306110602652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59.987000000000002</v>
      </c>
      <c r="C209" s="388"/>
      <c r="D209" s="391">
        <f t="shared" si="85"/>
        <v>60.19314040828322</v>
      </c>
      <c r="E209" s="383">
        <f t="shared" si="82"/>
        <v>61.161107603618419</v>
      </c>
      <c r="F209" s="383">
        <f t="shared" si="83"/>
        <v>61.162094530225126</v>
      </c>
      <c r="G209" s="110">
        <f t="shared" si="84"/>
        <v>0.99412627939890086</v>
      </c>
      <c r="I209" s="379">
        <f t="shared" si="86"/>
        <v>61.162094530225126</v>
      </c>
      <c r="J209" s="85">
        <v>2018</v>
      </c>
      <c r="K209" s="197">
        <f t="shared" si="87"/>
        <v>43660</v>
      </c>
      <c r="L209" s="435">
        <f t="shared" si="88"/>
        <v>3.4246495013383615E-3</v>
      </c>
      <c r="M209" s="842"/>
      <c r="N209" s="842"/>
      <c r="O209" s="323">
        <f t="shared" si="89"/>
        <v>1.5826515137831312E-2</v>
      </c>
      <c r="P209" s="169">
        <f>(INDEX(Models!$BJ209:$BT209,,T209)*(1-R209)+INDEX(Models!$BJ209:$BT209,,T209+1)*R209-ERP_i)*Q209*Ramure*Pc/MaxiM</f>
        <v>1.6272788347505931E-5</v>
      </c>
      <c r="Q209" s="304">
        <f t="shared" si="90"/>
        <v>0.6</v>
      </c>
      <c r="R209" s="177">
        <f t="shared" si="91"/>
        <v>0.89998167473786772</v>
      </c>
      <c r="S209" s="799">
        <f t="shared" si="109"/>
        <v>-2</v>
      </c>
      <c r="T209" s="176">
        <f t="shared" si="92"/>
        <v>4</v>
      </c>
      <c r="U209" s="250">
        <f t="shared" si="93"/>
        <v>-1.1000183252621323</v>
      </c>
      <c r="V209" s="382">
        <f t="shared" si="94"/>
        <v>60.3414204535229</v>
      </c>
      <c r="W209" s="58"/>
      <c r="X209" s="157">
        <f t="shared" si="95"/>
        <v>43660</v>
      </c>
      <c r="Y209" s="383">
        <f t="shared" si="96"/>
        <v>59.987000000000002</v>
      </c>
      <c r="Z209" s="383">
        <f t="shared" si="97"/>
        <v>60.19314040828322</v>
      </c>
      <c r="AA209" s="384">
        <f t="shared" si="98"/>
        <v>61.161107603618419</v>
      </c>
      <c r="AB209" s="197">
        <f t="shared" si="99"/>
        <v>43660</v>
      </c>
      <c r="AC209" s="424">
        <f t="shared" si="100"/>
        <v>1.5826515137831312E-2</v>
      </c>
      <c r="AD209" s="169">
        <f>(INDEX(Models!$BJ209:$BT209,,AH209)*(1-AF209)+INDEX(Models!$BJ209:$BT209,,AH209+1)*AF209-ERP_i)*AE209*Ramure*Pc/MaxiM</f>
        <v>1.6272788347505931E-5</v>
      </c>
      <c r="AE209" s="304">
        <f t="shared" si="101"/>
        <v>0.6</v>
      </c>
      <c r="AF209" s="177">
        <f t="shared" si="102"/>
        <v>0.89998167473786772</v>
      </c>
      <c r="AG209" s="799">
        <f t="shared" si="103"/>
        <v>-2</v>
      </c>
      <c r="AH209" s="176">
        <f t="shared" si="104"/>
        <v>4</v>
      </c>
      <c r="AI209" s="224">
        <f t="shared" si="105"/>
        <v>-1.1000183252621323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61.298999999999999</v>
      </c>
      <c r="C210" s="388"/>
      <c r="D210" s="391">
        <f t="shared" si="85"/>
        <v>61.510827829719254</v>
      </c>
      <c r="E210" s="383">
        <f t="shared" si="82"/>
        <v>62.505233777374542</v>
      </c>
      <c r="F210" s="383">
        <f t="shared" si="83"/>
        <v>62.506291921724774</v>
      </c>
      <c r="G210" s="110">
        <f t="shared" si="84"/>
        <v>1.0174403314450691</v>
      </c>
      <c r="I210" s="379">
        <f t="shared" si="86"/>
        <v>62.506291921724774</v>
      </c>
      <c r="J210" s="85">
        <v>2018</v>
      </c>
      <c r="K210" s="197">
        <f t="shared" si="87"/>
        <v>43661</v>
      </c>
      <c r="L210" s="435">
        <f t="shared" si="88"/>
        <v>3.4437486405752837E-3</v>
      </c>
      <c r="M210" s="842"/>
      <c r="N210" s="842"/>
      <c r="O210" s="323">
        <f t="shared" si="89"/>
        <v>1.5909162922213498E-2</v>
      </c>
      <c r="P210" s="169">
        <f>(INDEX(Models!$BJ210:$BT210,,T210)*(1-R210)+INDEX(Models!$BJ210:$BT210,,T210+1)*R210-ERP_i)*Q210*Ramure*Pc/MaxiM</f>
        <v>1.6928605388400049E-5</v>
      </c>
      <c r="Q210" s="304">
        <f t="shared" si="90"/>
        <v>0.6</v>
      </c>
      <c r="R210" s="177">
        <f t="shared" si="91"/>
        <v>0.90321282914302015</v>
      </c>
      <c r="S210" s="799">
        <f t="shared" si="109"/>
        <v>-2</v>
      </c>
      <c r="T210" s="176">
        <f t="shared" si="92"/>
        <v>4</v>
      </c>
      <c r="U210" s="250">
        <f t="shared" si="93"/>
        <v>-1.0967871708569799</v>
      </c>
      <c r="V210" s="382">
        <f t="shared" si="94"/>
        <v>60.248250541569455</v>
      </c>
      <c r="W210" s="58"/>
      <c r="X210" s="157">
        <f t="shared" si="95"/>
        <v>43661</v>
      </c>
      <c r="Y210" s="383">
        <f t="shared" si="96"/>
        <v>61.298999999999999</v>
      </c>
      <c r="Z210" s="383">
        <f t="shared" si="97"/>
        <v>61.510827829719254</v>
      </c>
      <c r="AA210" s="384">
        <f t="shared" si="98"/>
        <v>62.505233777374542</v>
      </c>
      <c r="AB210" s="197">
        <f t="shared" si="99"/>
        <v>43661</v>
      </c>
      <c r="AC210" s="424">
        <f t="shared" si="100"/>
        <v>1.5909162922213498E-2</v>
      </c>
      <c r="AD210" s="169">
        <f>(INDEX(Models!$BJ210:$BT210,,AH210)*(1-AF210)+INDEX(Models!$BJ210:$BT210,,AH210+1)*AF210-ERP_i)*AE210*Ramure*Pc/MaxiM</f>
        <v>1.6928605388400049E-5</v>
      </c>
      <c r="AE210" s="304">
        <f t="shared" si="101"/>
        <v>0.6</v>
      </c>
      <c r="AF210" s="177">
        <f t="shared" si="102"/>
        <v>0.90321282914302015</v>
      </c>
      <c r="AG210" s="799">
        <f t="shared" si="103"/>
        <v>-2</v>
      </c>
      <c r="AH210" s="176">
        <f t="shared" si="104"/>
        <v>4</v>
      </c>
      <c r="AI210" s="224">
        <f t="shared" si="105"/>
        <v>-1.0967871708569799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59.646000000000001</v>
      </c>
      <c r="C211" s="388"/>
      <c r="D211" s="391">
        <f t="shared" si="85"/>
        <v>59.853262716002497</v>
      </c>
      <c r="E211" s="383">
        <f t="shared" si="82"/>
        <v>60.825967831885777</v>
      </c>
      <c r="F211" s="383">
        <f t="shared" si="83"/>
        <v>60.8270261955942</v>
      </c>
      <c r="G211" s="110">
        <f t="shared" si="84"/>
        <v>0.99156607931230223</v>
      </c>
      <c r="I211" s="379">
        <f t="shared" si="86"/>
        <v>60.8270261955942</v>
      </c>
      <c r="J211" s="85">
        <v>2018</v>
      </c>
      <c r="K211" s="197">
        <f t="shared" si="87"/>
        <v>43662</v>
      </c>
      <c r="L211" s="435">
        <f t="shared" si="88"/>
        <v>3.4628474137815557E-3</v>
      </c>
      <c r="M211" s="842"/>
      <c r="N211" s="842"/>
      <c r="O211" s="323">
        <f t="shared" si="89"/>
        <v>1.5991609349672833E-2</v>
      </c>
      <c r="P211" s="169">
        <f>(INDEX(Models!$BJ211:$BT211,,T211)*(1-R211)+INDEX(Models!$BJ211:$BT211,,T211+1)*R211-ERP_i)*Q211*Ramure*Pc/MaxiM</f>
        <v>1.7611752731075521E-5</v>
      </c>
      <c r="Q211" s="304">
        <f t="shared" si="90"/>
        <v>0.6</v>
      </c>
      <c r="R211" s="177">
        <f t="shared" si="91"/>
        <v>0.9063631685043616</v>
      </c>
      <c r="S211" s="799">
        <f t="shared" si="109"/>
        <v>-2</v>
      </c>
      <c r="T211" s="176">
        <f t="shared" si="92"/>
        <v>4</v>
      </c>
      <c r="U211" s="250">
        <f t="shared" si="93"/>
        <v>-1.0936368314956384</v>
      </c>
      <c r="V211" s="382">
        <f t="shared" si="94"/>
        <v>60.153315636726653</v>
      </c>
      <c r="W211" s="58"/>
      <c r="X211" s="157">
        <f t="shared" si="95"/>
        <v>43662</v>
      </c>
      <c r="Y211" s="383">
        <f t="shared" si="96"/>
        <v>59.646000000000001</v>
      </c>
      <c r="Z211" s="383">
        <f t="shared" si="97"/>
        <v>59.853262716002497</v>
      </c>
      <c r="AA211" s="384">
        <f t="shared" si="98"/>
        <v>60.825967831885777</v>
      </c>
      <c r="AB211" s="197">
        <f t="shared" si="99"/>
        <v>43662</v>
      </c>
      <c r="AC211" s="424">
        <f t="shared" si="100"/>
        <v>1.5991609349672833E-2</v>
      </c>
      <c r="AD211" s="169">
        <f>(INDEX(Models!$BJ211:$BT211,,AH211)*(1-AF211)+INDEX(Models!$BJ211:$BT211,,AH211+1)*AF211-ERP_i)*AE211*Ramure*Pc/MaxiM</f>
        <v>1.7611752731075521E-5</v>
      </c>
      <c r="AE211" s="304">
        <f t="shared" si="101"/>
        <v>0.6</v>
      </c>
      <c r="AF211" s="177">
        <f t="shared" si="102"/>
        <v>0.9063631685043616</v>
      </c>
      <c r="AG211" s="799">
        <f t="shared" si="103"/>
        <v>-2</v>
      </c>
      <c r="AH211" s="176">
        <f t="shared" si="104"/>
        <v>4</v>
      </c>
      <c r="AI211" s="224">
        <f t="shared" si="105"/>
        <v>-1.0936368314956384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52.259</v>
      </c>
      <c r="C212" s="388"/>
      <c r="D212" s="391">
        <f t="shared" si="85"/>
        <v>52.441598805806557</v>
      </c>
      <c r="E212" s="383">
        <f t="shared" si="82"/>
        <v>53.298308370181772</v>
      </c>
      <c r="F212" s="383">
        <f t="shared" si="83"/>
        <v>53.299103359044103</v>
      </c>
      <c r="G212" s="110">
        <f t="shared" si="84"/>
        <v>0.87016240423870816</v>
      </c>
      <c r="I212" s="379">
        <f t="shared" si="86"/>
        <v>53.299103359044103</v>
      </c>
      <c r="J212" s="85">
        <v>2018</v>
      </c>
      <c r="K212" s="197">
        <f t="shared" si="87"/>
        <v>43663</v>
      </c>
      <c r="L212" s="435">
        <f t="shared" si="88"/>
        <v>3.4819458209641718E-3</v>
      </c>
      <c r="M212" s="842"/>
      <c r="N212" s="842"/>
      <c r="O212" s="323">
        <f t="shared" si="89"/>
        <v>1.6073860326390872E-2</v>
      </c>
      <c r="P212" s="169">
        <f>(INDEX(Models!$BJ212:$BT212,,T212)*(1-R212)+INDEX(Models!$BJ212:$BT212,,T212+1)*R212-ERP_i)*Q212*Ramure*Pc/MaxiM</f>
        <v>1.8312108501676234E-5</v>
      </c>
      <c r="Q212" s="304">
        <f t="shared" si="90"/>
        <v>0.6</v>
      </c>
      <c r="R212" s="177">
        <f t="shared" si="91"/>
        <v>0.90943312657093789</v>
      </c>
      <c r="S212" s="799">
        <f t="shared" si="109"/>
        <v>-2</v>
      </c>
      <c r="T212" s="176">
        <f t="shared" si="92"/>
        <v>4</v>
      </c>
      <c r="U212" s="250">
        <f t="shared" si="93"/>
        <v>-1.0905668734290621</v>
      </c>
      <c r="V212" s="382">
        <f t="shared" si="94"/>
        <v>60.056401248082715</v>
      </c>
      <c r="W212" s="58"/>
      <c r="X212" s="157">
        <f t="shared" si="95"/>
        <v>43663</v>
      </c>
      <c r="Y212" s="383">
        <f t="shared" si="96"/>
        <v>52.259</v>
      </c>
      <c r="Z212" s="383">
        <f t="shared" si="97"/>
        <v>52.441598805806557</v>
      </c>
      <c r="AA212" s="384">
        <f t="shared" si="98"/>
        <v>53.298308370181772</v>
      </c>
      <c r="AB212" s="197">
        <f t="shared" si="99"/>
        <v>43663</v>
      </c>
      <c r="AC212" s="424">
        <f t="shared" si="100"/>
        <v>1.6073860326390872E-2</v>
      </c>
      <c r="AD212" s="169">
        <f>(INDEX(Models!$BJ212:$BT212,,AH212)*(1-AF212)+INDEX(Models!$BJ212:$BT212,,AH212+1)*AF212-ERP_i)*AE212*Ramure*Pc/MaxiM</f>
        <v>1.8312108501676234E-5</v>
      </c>
      <c r="AE212" s="304">
        <f t="shared" si="101"/>
        <v>0.6</v>
      </c>
      <c r="AF212" s="177">
        <f t="shared" si="102"/>
        <v>0.90943312657093789</v>
      </c>
      <c r="AG212" s="799">
        <f t="shared" si="103"/>
        <v>-2</v>
      </c>
      <c r="AH212" s="176">
        <f t="shared" si="104"/>
        <v>4</v>
      </c>
      <c r="AI212" s="224">
        <f t="shared" si="105"/>
        <v>-1.0905668734290621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40.54</v>
      </c>
      <c r="C213" s="388"/>
      <c r="D213" s="391">
        <f t="shared" si="85"/>
        <v>40.682430975262477</v>
      </c>
      <c r="E213" s="383">
        <f t="shared" si="82"/>
        <v>41.350486194941567</v>
      </c>
      <c r="F213" s="383">
        <f t="shared" si="83"/>
        <v>41.350908962990601</v>
      </c>
      <c r="G213" s="110">
        <f t="shared" si="84"/>
        <v>0.67614199065450609</v>
      </c>
      <c r="I213" s="379">
        <f t="shared" si="86"/>
        <v>41.350908962990601</v>
      </c>
      <c r="J213" s="85">
        <v>2018</v>
      </c>
      <c r="K213" s="197">
        <f t="shared" si="87"/>
        <v>43664</v>
      </c>
      <c r="L213" s="435">
        <f t="shared" si="88"/>
        <v>3.5010438621302375E-3</v>
      </c>
      <c r="M213" s="842"/>
      <c r="N213" s="842"/>
      <c r="O213" s="323">
        <f t="shared" si="89"/>
        <v>1.6155921759411152E-2</v>
      </c>
      <c r="P213" s="169">
        <f>(INDEX(Models!$BJ213:$BT213,,T213)*(1-R213)+INDEX(Models!$BJ213:$BT213,,T213+1)*R213-ERP_i)*Q213*Ramure*Pc/MaxiM</f>
        <v>1.9026392281605684E-5</v>
      </c>
      <c r="Q213" s="304">
        <f t="shared" si="90"/>
        <v>0.6</v>
      </c>
      <c r="R213" s="177">
        <f t="shared" si="91"/>
        <v>0.91242324748722825</v>
      </c>
      <c r="S213" s="799">
        <f t="shared" si="109"/>
        <v>-2</v>
      </c>
      <c r="T213" s="176">
        <f t="shared" si="92"/>
        <v>4</v>
      </c>
      <c r="U213" s="250">
        <f t="shared" si="93"/>
        <v>-1.0875767525127717</v>
      </c>
      <c r="V213" s="382">
        <f t="shared" si="94"/>
        <v>59.957292557075604</v>
      </c>
      <c r="W213" s="58"/>
      <c r="X213" s="157">
        <f t="shared" si="95"/>
        <v>43664</v>
      </c>
      <c r="Y213" s="383">
        <f t="shared" si="96"/>
        <v>40.54</v>
      </c>
      <c r="Z213" s="383">
        <f t="shared" si="97"/>
        <v>40.682430975262477</v>
      </c>
      <c r="AA213" s="384">
        <f t="shared" si="98"/>
        <v>41.350486194941567</v>
      </c>
      <c r="AB213" s="197">
        <f t="shared" si="99"/>
        <v>43664</v>
      </c>
      <c r="AC213" s="424">
        <f t="shared" si="100"/>
        <v>1.6155921759411152E-2</v>
      </c>
      <c r="AD213" s="169">
        <f>(INDEX(Models!$BJ213:$BT213,,AH213)*(1-AF213)+INDEX(Models!$BJ213:$BT213,,AH213+1)*AF213-ERP_i)*AE213*Ramure*Pc/MaxiM</f>
        <v>1.9026392281605684E-5</v>
      </c>
      <c r="AE213" s="304">
        <f t="shared" si="101"/>
        <v>0.6</v>
      </c>
      <c r="AF213" s="177">
        <f t="shared" si="102"/>
        <v>0.91242324748722825</v>
      </c>
      <c r="AG213" s="799">
        <f t="shared" si="103"/>
        <v>-2</v>
      </c>
      <c r="AH213" s="176">
        <f t="shared" si="104"/>
        <v>4</v>
      </c>
      <c r="AI213" s="224">
        <f t="shared" si="105"/>
        <v>-1.0875767525127717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58.03</v>
      </c>
      <c r="C214" s="388"/>
      <c r="D214" s="391">
        <f t="shared" si="85"/>
        <v>58.234995426323898</v>
      </c>
      <c r="E214" s="383">
        <f t="shared" si="82"/>
        <v>59.196211643036769</v>
      </c>
      <c r="F214" s="383">
        <f t="shared" si="83"/>
        <v>59.19733010900363</v>
      </c>
      <c r="G214" s="110">
        <f t="shared" si="84"/>
        <v>0.96949626661256205</v>
      </c>
      <c r="I214" s="379">
        <f t="shared" si="86"/>
        <v>59.19733010900363</v>
      </c>
      <c r="J214" s="85">
        <v>2018</v>
      </c>
      <c r="K214" s="197">
        <f t="shared" si="87"/>
        <v>43665</v>
      </c>
      <c r="L214" s="435">
        <f t="shared" si="88"/>
        <v>3.5201415372866363E-3</v>
      </c>
      <c r="M214" s="842"/>
      <c r="N214" s="842"/>
      <c r="O214" s="323">
        <f t="shared" si="89"/>
        <v>1.623779951509681E-2</v>
      </c>
      <c r="P214" s="169">
        <f>(INDEX(Models!$BJ214:$BT214,,T214)*(1-R214)+INDEX(Models!$BJ214:$BT214,,T214+1)*R214-ERP_i)*Q214*Ramure*Pc/MaxiM</f>
        <v>1.9754679724580198E-5</v>
      </c>
      <c r="Q214" s="304">
        <f t="shared" si="90"/>
        <v>0.6</v>
      </c>
      <c r="R214" s="177">
        <f t="shared" si="91"/>
        <v>0.91533417875279199</v>
      </c>
      <c r="S214" s="799">
        <f t="shared" si="109"/>
        <v>-2</v>
      </c>
      <c r="T214" s="176">
        <f t="shared" si="92"/>
        <v>4</v>
      </c>
      <c r="U214" s="250">
        <f t="shared" si="93"/>
        <v>-1.084665821247208</v>
      </c>
      <c r="V214" s="382">
        <f t="shared" si="94"/>
        <v>59.855774636808718</v>
      </c>
      <c r="W214" s="58"/>
      <c r="X214" s="157">
        <f t="shared" si="95"/>
        <v>43665</v>
      </c>
      <c r="Y214" s="383">
        <f t="shared" si="96"/>
        <v>58.03</v>
      </c>
      <c r="Z214" s="383">
        <f t="shared" si="97"/>
        <v>58.234995426323898</v>
      </c>
      <c r="AA214" s="384">
        <f t="shared" si="98"/>
        <v>59.196211643036769</v>
      </c>
      <c r="AB214" s="197">
        <f t="shared" si="99"/>
        <v>43665</v>
      </c>
      <c r="AC214" s="424">
        <f t="shared" si="100"/>
        <v>1.623779951509681E-2</v>
      </c>
      <c r="AD214" s="169">
        <f>(INDEX(Models!$BJ214:$BT214,,AH214)*(1-AF214)+INDEX(Models!$BJ214:$BT214,,AH214+1)*AF214-ERP_i)*AE214*Ramure*Pc/MaxiM</f>
        <v>1.9754679724580198E-5</v>
      </c>
      <c r="AE214" s="304">
        <f t="shared" si="101"/>
        <v>0.6</v>
      </c>
      <c r="AF214" s="177">
        <f t="shared" si="102"/>
        <v>0.91533417875279199</v>
      </c>
      <c r="AG214" s="799">
        <f t="shared" si="103"/>
        <v>-2</v>
      </c>
      <c r="AH214" s="176">
        <f t="shared" si="104"/>
        <v>4</v>
      </c>
      <c r="AI214" s="224">
        <f t="shared" si="105"/>
        <v>-1.084665821247208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27.936</v>
      </c>
      <c r="C215" s="388"/>
      <c r="D215" s="391">
        <f t="shared" si="85"/>
        <v>28.035223351554457</v>
      </c>
      <c r="E215" s="383">
        <f t="shared" si="82"/>
        <v>28.500334543444939</v>
      </c>
      <c r="F215" s="383">
        <f t="shared" si="83"/>
        <v>28.500474357948246</v>
      </c>
      <c r="G215" s="110">
        <f t="shared" si="84"/>
        <v>0.46752805232670025</v>
      </c>
      <c r="I215" s="379">
        <f t="shared" si="86"/>
        <v>28.500474357948246</v>
      </c>
      <c r="J215" s="85">
        <v>2018</v>
      </c>
      <c r="K215" s="197">
        <f t="shared" si="87"/>
        <v>43666</v>
      </c>
      <c r="L215" s="435">
        <f t="shared" si="88"/>
        <v>3.5392388464404734E-3</v>
      </c>
      <c r="M215" s="842"/>
      <c r="N215" s="842"/>
      <c r="O215" s="323">
        <f t="shared" si="89"/>
        <v>1.6319499379260971E-2</v>
      </c>
      <c r="P215" s="169">
        <f>(INDEX(Models!$BJ215:$BT215,,T215)*(1-R215)+INDEX(Models!$BJ215:$BT215,,T215+1)*R215-ERP_i)*Q215*Ramure*Pc/MaxiM</f>
        <v>2.0497067888736008E-5</v>
      </c>
      <c r="Q215" s="304">
        <f t="shared" si="90"/>
        <v>0.6</v>
      </c>
      <c r="R215" s="177">
        <f t="shared" si="91"/>
        <v>0.91816666418822712</v>
      </c>
      <c r="S215" s="799">
        <f t="shared" si="109"/>
        <v>-2</v>
      </c>
      <c r="T215" s="176">
        <f t="shared" si="92"/>
        <v>4</v>
      </c>
      <c r="U215" s="250">
        <f t="shared" si="93"/>
        <v>-1.0818333358117729</v>
      </c>
      <c r="V215" s="382">
        <f t="shared" si="94"/>
        <v>59.751632652024739</v>
      </c>
      <c r="W215" s="58"/>
      <c r="X215" s="157">
        <f t="shared" si="95"/>
        <v>43666</v>
      </c>
      <c r="Y215" s="383">
        <f t="shared" si="96"/>
        <v>27.936</v>
      </c>
      <c r="Z215" s="383">
        <f t="shared" si="97"/>
        <v>28.035223351554457</v>
      </c>
      <c r="AA215" s="384">
        <f t="shared" si="98"/>
        <v>28.500334543444939</v>
      </c>
      <c r="AB215" s="197">
        <f t="shared" si="99"/>
        <v>43666</v>
      </c>
      <c r="AC215" s="424">
        <f t="shared" si="100"/>
        <v>1.6319499379260971E-2</v>
      </c>
      <c r="AD215" s="169">
        <f>(INDEX(Models!$BJ215:$BT215,,AH215)*(1-AF215)+INDEX(Models!$BJ215:$BT215,,AH215+1)*AF215-ERP_i)*AE215*Ramure*Pc/MaxiM</f>
        <v>2.0497067888736008E-5</v>
      </c>
      <c r="AE215" s="304">
        <f t="shared" si="101"/>
        <v>0.6</v>
      </c>
      <c r="AF215" s="177">
        <f t="shared" si="102"/>
        <v>0.91816666418822712</v>
      </c>
      <c r="AG215" s="799">
        <f t="shared" si="103"/>
        <v>-2</v>
      </c>
      <c r="AH215" s="176">
        <f t="shared" si="104"/>
        <v>4</v>
      </c>
      <c r="AI215" s="224">
        <f t="shared" si="105"/>
        <v>-1.0818333358117729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46.731000000000002</v>
      </c>
      <c r="C216" s="388"/>
      <c r="D216" s="391">
        <f t="shared" si="85"/>
        <v>46.897878399164</v>
      </c>
      <c r="E216" s="383">
        <f t="shared" si="82"/>
        <v>47.67987735595343</v>
      </c>
      <c r="F216" s="383">
        <f t="shared" si="83"/>
        <v>47.680577303016797</v>
      </c>
      <c r="G216" s="110">
        <f t="shared" si="84"/>
        <v>0.78348504585530465</v>
      </c>
      <c r="I216" s="379">
        <f t="shared" si="86"/>
        <v>47.680577303016797</v>
      </c>
      <c r="J216" s="85">
        <v>2018</v>
      </c>
      <c r="K216" s="197">
        <f t="shared" si="87"/>
        <v>43667</v>
      </c>
      <c r="L216" s="435">
        <f t="shared" si="88"/>
        <v>3.5583357895988543E-3</v>
      </c>
      <c r="M216" s="842"/>
      <c r="N216" s="842"/>
      <c r="O216" s="323">
        <f t="shared" si="89"/>
        <v>1.6401027019248129E-2</v>
      </c>
      <c r="P216" s="169">
        <f>(INDEX(Models!$BJ216:$BT216,,T216)*(1-R216)+INDEX(Models!$BJ216:$BT216,,T216+1)*R216-ERP_i)*Q216*Ramure*Pc/MaxiM</f>
        <v>2.125367612523722E-5</v>
      </c>
      <c r="Q216" s="304">
        <f t="shared" si="90"/>
        <v>0.6</v>
      </c>
      <c r="R216" s="177">
        <f t="shared" si="91"/>
        <v>0.92092153694628709</v>
      </c>
      <c r="S216" s="799">
        <f t="shared" si="109"/>
        <v>-2</v>
      </c>
      <c r="T216" s="176">
        <f t="shared" si="92"/>
        <v>4</v>
      </c>
      <c r="U216" s="250">
        <f t="shared" si="93"/>
        <v>-1.0790784630537129</v>
      </c>
      <c r="V216" s="382">
        <f t="shared" si="94"/>
        <v>59.644651859668095</v>
      </c>
      <c r="W216" s="58"/>
      <c r="X216" s="157">
        <f t="shared" si="95"/>
        <v>43667</v>
      </c>
      <c r="Y216" s="383">
        <f t="shared" si="96"/>
        <v>46.731000000000002</v>
      </c>
      <c r="Z216" s="383">
        <f t="shared" si="97"/>
        <v>46.897878399164</v>
      </c>
      <c r="AA216" s="384">
        <f t="shared" si="98"/>
        <v>47.67987735595343</v>
      </c>
      <c r="AB216" s="197">
        <f t="shared" si="99"/>
        <v>43667</v>
      </c>
      <c r="AC216" s="424">
        <f t="shared" si="100"/>
        <v>1.6401027019248129E-2</v>
      </c>
      <c r="AD216" s="169">
        <f>(INDEX(Models!$BJ216:$BT216,,AH216)*(1-AF216)+INDEX(Models!$BJ216:$BT216,,AH216+1)*AF216-ERP_i)*AE216*Ramure*Pc/MaxiM</f>
        <v>2.125367612523722E-5</v>
      </c>
      <c r="AE216" s="304">
        <f t="shared" si="101"/>
        <v>0.6</v>
      </c>
      <c r="AF216" s="177">
        <f t="shared" si="102"/>
        <v>0.92092153694628709</v>
      </c>
      <c r="AG216" s="799">
        <f t="shared" si="103"/>
        <v>-2</v>
      </c>
      <c r="AH216" s="176">
        <f t="shared" si="104"/>
        <v>4</v>
      </c>
      <c r="AI216" s="224">
        <f t="shared" si="105"/>
        <v>-1.0790784630537129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50.674999999999997</v>
      </c>
      <c r="C217" s="388"/>
      <c r="D217" s="391">
        <f t="shared" si="85"/>
        <v>50.856937253405043</v>
      </c>
      <c r="E217" s="383">
        <f t="shared" si="82"/>
        <v>51.709228823375213</v>
      </c>
      <c r="F217" s="383">
        <f t="shared" si="83"/>
        <v>51.710125599934457</v>
      </c>
      <c r="G217" s="110">
        <f t="shared" si="84"/>
        <v>0.85118145965769199</v>
      </c>
      <c r="I217" s="379">
        <f t="shared" si="86"/>
        <v>51.710125599934457</v>
      </c>
      <c r="J217" s="85">
        <v>2018</v>
      </c>
      <c r="K217" s="197">
        <f t="shared" si="87"/>
        <v>43668</v>
      </c>
      <c r="L217" s="435">
        <f t="shared" si="88"/>
        <v>3.5774323667685515E-3</v>
      </c>
      <c r="M217" s="842"/>
      <c r="N217" s="842"/>
      <c r="O217" s="323">
        <f t="shared" si="89"/>
        <v>1.6482387948220288E-2</v>
      </c>
      <c r="P217" s="169">
        <f>(INDEX(Models!$BJ217:$BT217,,T217)*(1-R217)+INDEX(Models!$BJ217:$BT217,,T217+1)*R217-ERP_i)*Q217*Ramure*Pc/MaxiM</f>
        <v>2.2024646884375169E-5</v>
      </c>
      <c r="Q217" s="304">
        <f t="shared" si="90"/>
        <v>0.6</v>
      </c>
      <c r="R217" s="177">
        <f t="shared" si="91"/>
        <v>0.92359971260356621</v>
      </c>
      <c r="S217" s="799">
        <f t="shared" si="109"/>
        <v>-2</v>
      </c>
      <c r="T217" s="176">
        <f t="shared" si="92"/>
        <v>4</v>
      </c>
      <c r="U217" s="250">
        <f t="shared" si="93"/>
        <v>-1.0764002873964338</v>
      </c>
      <c r="V217" s="382">
        <f t="shared" si="94"/>
        <v>59.534617615264864</v>
      </c>
      <c r="W217" s="58"/>
      <c r="X217" s="157">
        <f t="shared" si="95"/>
        <v>43668</v>
      </c>
      <c r="Y217" s="383">
        <f t="shared" si="96"/>
        <v>50.674999999999997</v>
      </c>
      <c r="Z217" s="383">
        <f t="shared" si="97"/>
        <v>50.856937253405043</v>
      </c>
      <c r="AA217" s="384">
        <f t="shared" si="98"/>
        <v>51.709228823375213</v>
      </c>
      <c r="AB217" s="197">
        <f t="shared" si="99"/>
        <v>43668</v>
      </c>
      <c r="AC217" s="424">
        <f t="shared" si="100"/>
        <v>1.6482387948220288E-2</v>
      </c>
      <c r="AD217" s="169">
        <f>(INDEX(Models!$BJ217:$BT217,,AH217)*(1-AF217)+INDEX(Models!$BJ217:$BT217,,AH217+1)*AF217-ERP_i)*AE217*Ramure*Pc/MaxiM</f>
        <v>2.2024646884375169E-5</v>
      </c>
      <c r="AE217" s="304">
        <f t="shared" si="101"/>
        <v>0.6</v>
      </c>
      <c r="AF217" s="177">
        <f t="shared" si="102"/>
        <v>0.92359971260356621</v>
      </c>
      <c r="AG217" s="799">
        <f t="shared" si="103"/>
        <v>-2</v>
      </c>
      <c r="AH217" s="176">
        <f t="shared" si="104"/>
        <v>4</v>
      </c>
      <c r="AI217" s="224">
        <f t="shared" si="105"/>
        <v>-1.0764002873964338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54.981000000000002</v>
      </c>
      <c r="C218" s="388"/>
      <c r="D218" s="391">
        <f t="shared" si="85"/>
        <v>55.179454484971259</v>
      </c>
      <c r="E218" s="383">
        <f t="shared" si="82"/>
        <v>56.108817797627957</v>
      </c>
      <c r="F218" s="383">
        <f t="shared" si="83"/>
        <v>56.109961045476417</v>
      </c>
      <c r="G218" s="110">
        <f t="shared" si="84"/>
        <v>0.92527177788376824</v>
      </c>
      <c r="I218" s="379">
        <f t="shared" si="86"/>
        <v>56.109961045476417</v>
      </c>
      <c r="J218" s="85">
        <v>2018</v>
      </c>
      <c r="K218" s="197">
        <f t="shared" si="87"/>
        <v>43669</v>
      </c>
      <c r="L218" s="435">
        <f t="shared" si="88"/>
        <v>3.5965285779566702E-3</v>
      </c>
      <c r="M218" s="842"/>
      <c r="N218" s="842"/>
      <c r="O218" s="323">
        <f t="shared" si="89"/>
        <v>1.6563587491875253E-2</v>
      </c>
      <c r="P218" s="169">
        <f>(INDEX(Models!$BJ218:$BT218,,T218)*(1-R218)+INDEX(Models!$BJ218:$BT218,,T218+1)*R218-ERP_i)*Q218*Ramure*Pc/MaxiM</f>
        <v>2.2810146454354883E-5</v>
      </c>
      <c r="Q218" s="304">
        <f t="shared" si="90"/>
        <v>0.6</v>
      </c>
      <c r="R218" s="177">
        <f t="shared" si="91"/>
        <v>0.92620218236469842</v>
      </c>
      <c r="S218" s="799">
        <f t="shared" si="109"/>
        <v>-2</v>
      </c>
      <c r="T218" s="176">
        <f t="shared" si="92"/>
        <v>4</v>
      </c>
      <c r="U218" s="250">
        <f t="shared" si="93"/>
        <v>-1.0737978176353016</v>
      </c>
      <c r="V218" s="382">
        <f t="shared" si="94"/>
        <v>59.42131537122814</v>
      </c>
      <c r="W218" s="58"/>
      <c r="X218" s="157">
        <f t="shared" si="95"/>
        <v>43669</v>
      </c>
      <c r="Y218" s="383">
        <f t="shared" si="96"/>
        <v>54.981000000000002</v>
      </c>
      <c r="Z218" s="383">
        <f t="shared" si="97"/>
        <v>55.179454484971259</v>
      </c>
      <c r="AA218" s="384">
        <f t="shared" si="98"/>
        <v>56.108817797627957</v>
      </c>
      <c r="AB218" s="197">
        <f t="shared" si="99"/>
        <v>43669</v>
      </c>
      <c r="AC218" s="424">
        <f t="shared" si="100"/>
        <v>1.6563587491875253E-2</v>
      </c>
      <c r="AD218" s="169">
        <f>(INDEX(Models!$BJ218:$BT218,,AH218)*(1-AF218)+INDEX(Models!$BJ218:$BT218,,AH218+1)*AF218-ERP_i)*AE218*Ramure*Pc/MaxiM</f>
        <v>2.2810146454354883E-5</v>
      </c>
      <c r="AE218" s="304">
        <f t="shared" si="101"/>
        <v>0.6</v>
      </c>
      <c r="AF218" s="177">
        <f t="shared" si="102"/>
        <v>0.92620218236469842</v>
      </c>
      <c r="AG218" s="799">
        <f t="shared" si="103"/>
        <v>-2</v>
      </c>
      <c r="AH218" s="176">
        <f t="shared" si="104"/>
        <v>4</v>
      </c>
      <c r="AI218" s="224">
        <f t="shared" si="105"/>
        <v>-1.0737978176353016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55.203000000000003</v>
      </c>
      <c r="C219" s="388"/>
      <c r="D219" s="391">
        <f t="shared" si="85"/>
        <v>55.403317588196551</v>
      </c>
      <c r="E219" s="383">
        <f t="shared" si="82"/>
        <v>56.34109429929854</v>
      </c>
      <c r="F219" s="383">
        <f t="shared" si="83"/>
        <v>56.342293101754187</v>
      </c>
      <c r="G219" s="110">
        <f t="shared" si="84"/>
        <v>0.9308288932456803</v>
      </c>
      <c r="I219" s="379">
        <f t="shared" si="86"/>
        <v>56.342293101754187</v>
      </c>
      <c r="J219" s="85">
        <v>2018</v>
      </c>
      <c r="K219" s="197">
        <f t="shared" si="87"/>
        <v>43670</v>
      </c>
      <c r="L219" s="435">
        <f t="shared" si="88"/>
        <v>3.6156244231703161E-3</v>
      </c>
      <c r="M219" s="842"/>
      <c r="N219" s="842"/>
      <c r="O219" s="323">
        <f t="shared" si="89"/>
        <v>1.6644630757795993E-2</v>
      </c>
      <c r="P219" s="169">
        <f>(INDEX(Models!$BJ219:$BT219,,T219)*(1-R219)+INDEX(Models!$BJ219:$BT219,,T219+1)*R219-ERP_i)*Q219*Ramure*Pc/MaxiM</f>
        <v>2.361011343084146E-5</v>
      </c>
      <c r="Q219" s="304">
        <f t="shared" si="90"/>
        <v>0.6</v>
      </c>
      <c r="R219" s="177">
        <f t="shared" si="91"/>
        <v>0.92873000640757564</v>
      </c>
      <c r="S219" s="799">
        <f t="shared" si="109"/>
        <v>-2</v>
      </c>
      <c r="T219" s="176">
        <f t="shared" si="92"/>
        <v>4</v>
      </c>
      <c r="U219" s="250">
        <f t="shared" si="93"/>
        <v>-1.0712699935924244</v>
      </c>
      <c r="V219" s="382">
        <f t="shared" si="94"/>
        <v>59.305068429115536</v>
      </c>
      <c r="W219" s="58"/>
      <c r="X219" s="157">
        <f t="shared" si="95"/>
        <v>43670</v>
      </c>
      <c r="Y219" s="383">
        <f t="shared" si="96"/>
        <v>55.203000000000003</v>
      </c>
      <c r="Z219" s="383">
        <f t="shared" si="97"/>
        <v>55.403317588196551</v>
      </c>
      <c r="AA219" s="384">
        <f t="shared" si="98"/>
        <v>56.34109429929854</v>
      </c>
      <c r="AB219" s="197">
        <f t="shared" si="99"/>
        <v>43670</v>
      </c>
      <c r="AC219" s="424">
        <f t="shared" si="100"/>
        <v>1.6644630757795993E-2</v>
      </c>
      <c r="AD219" s="169">
        <f>(INDEX(Models!$BJ219:$BT219,,AH219)*(1-AF219)+INDEX(Models!$BJ219:$BT219,,AH219+1)*AF219-ERP_i)*AE219*Ramure*Pc/MaxiM</f>
        <v>2.361011343084146E-5</v>
      </c>
      <c r="AE219" s="304">
        <f t="shared" si="101"/>
        <v>0.6</v>
      </c>
      <c r="AF219" s="177">
        <f t="shared" si="102"/>
        <v>0.92873000640757564</v>
      </c>
      <c r="AG219" s="799">
        <f t="shared" si="103"/>
        <v>-2</v>
      </c>
      <c r="AH219" s="176">
        <f t="shared" si="104"/>
        <v>4</v>
      </c>
      <c r="AI219" s="224">
        <f t="shared" si="105"/>
        <v>-1.0712699935924244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55.747</v>
      </c>
      <c r="C220" s="388"/>
      <c r="D220" s="391">
        <f t="shared" si="85"/>
        <v>55.950363901219205</v>
      </c>
      <c r="E220" s="383">
        <f t="shared" si="82"/>
        <v>56.902080942441458</v>
      </c>
      <c r="F220" s="383">
        <f t="shared" si="83"/>
        <v>56.903354958573793</v>
      </c>
      <c r="G220" s="110">
        <f t="shared" si="84"/>
        <v>0.94188766148540914</v>
      </c>
      <c r="I220" s="379">
        <f t="shared" si="86"/>
        <v>56.903354958573793</v>
      </c>
      <c r="J220" s="85">
        <v>2018</v>
      </c>
      <c r="K220" s="197">
        <f t="shared" si="87"/>
        <v>43671</v>
      </c>
      <c r="L220" s="435">
        <f t="shared" si="88"/>
        <v>3.6347199024164834E-3</v>
      </c>
      <c r="M220" s="842"/>
      <c r="N220" s="842"/>
      <c r="O220" s="323">
        <f t="shared" si="89"/>
        <v>1.6725522607599335E-2</v>
      </c>
      <c r="P220" s="169">
        <f>(INDEX(Models!$BJ220:$BT220,,T220)*(1-R220)+INDEX(Models!$BJ220:$BT220,,T220+1)*R220-ERP_i)*Q220*Ramure*Pc/MaxiM</f>
        <v>2.4416014562550589E-5</v>
      </c>
      <c r="Q220" s="304">
        <f t="shared" si="90"/>
        <v>0.6</v>
      </c>
      <c r="R220" s="177">
        <f t="shared" si="91"/>
        <v>0.93118430739471059</v>
      </c>
      <c r="S220" s="799">
        <f t="shared" si="109"/>
        <v>-2</v>
      </c>
      <c r="T220" s="176">
        <f t="shared" si="92"/>
        <v>4</v>
      </c>
      <c r="U220" s="250">
        <f t="shared" si="93"/>
        <v>-1.0688156926052894</v>
      </c>
      <c r="V220" s="382">
        <f t="shared" si="94"/>
        <v>59.186343853736176</v>
      </c>
      <c r="W220" s="58"/>
      <c r="X220" s="157">
        <f t="shared" si="95"/>
        <v>43671</v>
      </c>
      <c r="Y220" s="383">
        <f t="shared" si="96"/>
        <v>55.747</v>
      </c>
      <c r="Z220" s="383">
        <f t="shared" si="97"/>
        <v>55.950363901219205</v>
      </c>
      <c r="AA220" s="384">
        <f t="shared" si="98"/>
        <v>56.902080942441458</v>
      </c>
      <c r="AB220" s="197">
        <f t="shared" si="99"/>
        <v>43671</v>
      </c>
      <c r="AC220" s="424">
        <f t="shared" si="100"/>
        <v>1.6725522607599335E-2</v>
      </c>
      <c r="AD220" s="169">
        <f>(INDEX(Models!$BJ220:$BT220,,AH220)*(1-AF220)+INDEX(Models!$BJ220:$BT220,,AH220+1)*AF220-ERP_i)*AE220*Ramure*Pc/MaxiM</f>
        <v>2.4416014562550589E-5</v>
      </c>
      <c r="AE220" s="304">
        <f t="shared" si="101"/>
        <v>0.6</v>
      </c>
      <c r="AF220" s="177">
        <f t="shared" si="102"/>
        <v>0.93118430739471059</v>
      </c>
      <c r="AG220" s="799">
        <f t="shared" si="103"/>
        <v>-2</v>
      </c>
      <c r="AH220" s="176">
        <f t="shared" si="104"/>
        <v>4</v>
      </c>
      <c r="AI220" s="224">
        <f t="shared" si="105"/>
        <v>-1.0688156926052894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22.702999999999999</v>
      </c>
      <c r="C221" s="388"/>
      <c r="D221" s="391">
        <f t="shared" si="85"/>
        <v>22.786256767127373</v>
      </c>
      <c r="E221" s="383">
        <f t="shared" si="82"/>
        <v>23.175754703244149</v>
      </c>
      <c r="F221" s="383">
        <f t="shared" si="83"/>
        <v>23.175825120494107</v>
      </c>
      <c r="G221" s="110">
        <f t="shared" si="84"/>
        <v>0.3843636945366829</v>
      </c>
      <c r="I221" s="379">
        <f t="shared" si="86"/>
        <v>23.175825120494107</v>
      </c>
      <c r="J221" s="85">
        <v>2018</v>
      </c>
      <c r="K221" s="197">
        <f t="shared" si="87"/>
        <v>43672</v>
      </c>
      <c r="L221" s="435">
        <f t="shared" si="88"/>
        <v>3.6538150157020555E-3</v>
      </c>
      <c r="M221" s="842"/>
      <c r="N221" s="842"/>
      <c r="O221" s="323">
        <f t="shared" si="89"/>
        <v>1.6806267632020314E-2</v>
      </c>
      <c r="P221" s="169">
        <f>(INDEX(Models!$BJ221:$BT221,,T221)*(1-R221)+INDEX(Models!$BJ221:$BT221,,T221+1)*R221-ERP_i)*Q221*Ramure*Pc/MaxiM</f>
        <v>2.5208235023356099E-5</v>
      </c>
      <c r="Q221" s="304">
        <f t="shared" si="90"/>
        <v>0.6</v>
      </c>
      <c r="R221" s="177">
        <f t="shared" si="91"/>
        <v>0.93356626417256949</v>
      </c>
      <c r="S221" s="799">
        <f t="shared" si="109"/>
        <v>-2</v>
      </c>
      <c r="T221" s="176">
        <f t="shared" si="92"/>
        <v>4</v>
      </c>
      <c r="U221" s="250">
        <f t="shared" si="93"/>
        <v>-1.0664337358274305</v>
      </c>
      <c r="V221" s="382">
        <f t="shared" si="94"/>
        <v>59.065143246420782</v>
      </c>
      <c r="W221" s="58"/>
      <c r="X221" s="157">
        <f t="shared" si="95"/>
        <v>43672</v>
      </c>
      <c r="Y221" s="383">
        <f t="shared" si="96"/>
        <v>22.702999999999999</v>
      </c>
      <c r="Z221" s="383">
        <f t="shared" si="97"/>
        <v>22.786256767127373</v>
      </c>
      <c r="AA221" s="384">
        <f t="shared" si="98"/>
        <v>23.175754703244149</v>
      </c>
      <c r="AB221" s="197">
        <f t="shared" si="99"/>
        <v>43672</v>
      </c>
      <c r="AC221" s="424">
        <f t="shared" si="100"/>
        <v>1.6806267632020314E-2</v>
      </c>
      <c r="AD221" s="169">
        <f>(INDEX(Models!$BJ221:$BT221,,AH221)*(1-AF221)+INDEX(Models!$BJ221:$BT221,,AH221+1)*AF221-ERP_i)*AE221*Ramure*Pc/MaxiM</f>
        <v>2.5208235023356099E-5</v>
      </c>
      <c r="AE221" s="304">
        <f t="shared" si="101"/>
        <v>0.6</v>
      </c>
      <c r="AF221" s="177">
        <f t="shared" si="102"/>
        <v>0.93356626417256949</v>
      </c>
      <c r="AG221" s="799">
        <f t="shared" si="103"/>
        <v>-2</v>
      </c>
      <c r="AH221" s="176">
        <f t="shared" si="104"/>
        <v>4</v>
      </c>
      <c r="AI221" s="224">
        <f t="shared" si="105"/>
        <v>-1.0664337358274305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12.829000000000001</v>
      </c>
      <c r="C222" s="388"/>
      <c r="D222" s="391">
        <f t="shared" si="85"/>
        <v>12.87629346397553</v>
      </c>
      <c r="E222" s="383">
        <f t="shared" si="82"/>
        <v>13.097468717222368</v>
      </c>
      <c r="F222" s="383">
        <f t="shared" si="83"/>
        <v>13.097468717222368</v>
      </c>
      <c r="G222" s="110">
        <f t="shared" si="84"/>
        <v>0.21765095535446735</v>
      </c>
      <c r="I222" s="379">
        <f t="shared" si="86"/>
        <v>13.097468717222368</v>
      </c>
      <c r="J222" s="85">
        <v>2018</v>
      </c>
      <c r="K222" s="197">
        <f t="shared" si="87"/>
        <v>43673</v>
      </c>
      <c r="L222" s="435">
        <f t="shared" si="88"/>
        <v>3.6729097630342489E-3</v>
      </c>
      <c r="M222" s="842"/>
      <c r="N222" s="842"/>
      <c r="O222" s="323">
        <f t="shared" si="89"/>
        <v>1.6886870129035312E-2</v>
      </c>
      <c r="P222" s="169">
        <f>(INDEX(Models!$BJ222:$BT222,,T222)*(1-R222)+INDEX(Models!$BJ222:$BT222,,T222+1)*R222-ERP_i)*Q222*Ramure*Pc/MaxiM</f>
        <v>2.5986245607125717E-5</v>
      </c>
      <c r="Q222" s="304">
        <f t="shared" si="90"/>
        <v>0.6</v>
      </c>
      <c r="R222" s="177">
        <f t="shared" si="91"/>
        <v>0.93587710567753546</v>
      </c>
      <c r="S222" s="799">
        <f t="shared" si="109"/>
        <v>-2</v>
      </c>
      <c r="T222" s="176">
        <f t="shared" si="92"/>
        <v>4</v>
      </c>
      <c r="U222" s="250">
        <f t="shared" si="93"/>
        <v>-1.0641228943224645</v>
      </c>
      <c r="V222" s="382">
        <f t="shared" si="94"/>
        <v>58.9414670914827</v>
      </c>
      <c r="W222" s="58"/>
      <c r="X222" s="157">
        <f t="shared" si="95"/>
        <v>43673</v>
      </c>
      <c r="Y222" s="383">
        <f t="shared" si="96"/>
        <v>12.829000000000001</v>
      </c>
      <c r="Z222" s="383">
        <f t="shared" si="97"/>
        <v>12.87629346397553</v>
      </c>
      <c r="AA222" s="384">
        <f t="shared" si="98"/>
        <v>13.097468717222368</v>
      </c>
      <c r="AB222" s="197">
        <f t="shared" si="99"/>
        <v>43673</v>
      </c>
      <c r="AC222" s="424">
        <f t="shared" si="100"/>
        <v>1.6886870129035312E-2</v>
      </c>
      <c r="AD222" s="169">
        <f>(INDEX(Models!$BJ222:$BT222,,AH222)*(1-AF222)+INDEX(Models!$BJ222:$BT222,,AH222+1)*AF222-ERP_i)*AE222*Ramure*Pc/MaxiM</f>
        <v>2.5986245607125717E-5</v>
      </c>
      <c r="AE222" s="304">
        <f t="shared" si="101"/>
        <v>0.6</v>
      </c>
      <c r="AF222" s="177">
        <f t="shared" si="102"/>
        <v>0.93587710567753546</v>
      </c>
      <c r="AG222" s="799">
        <f t="shared" si="103"/>
        <v>-2</v>
      </c>
      <c r="AH222" s="176">
        <f t="shared" si="104"/>
        <v>4</v>
      </c>
      <c r="AI222" s="224">
        <f t="shared" si="105"/>
        <v>-1.0641228943224645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53.551000000000002</v>
      </c>
      <c r="C223" s="388"/>
      <c r="D223" s="391">
        <f t="shared" si="85"/>
        <v>53.749443166932572</v>
      </c>
      <c r="E223" s="383">
        <f t="shared" si="82"/>
        <v>54.677168959495432</v>
      </c>
      <c r="F223" s="383">
        <f t="shared" si="83"/>
        <v>54.678444563825806</v>
      </c>
      <c r="G223" s="110">
        <f t="shared" si="84"/>
        <v>0.91049101793703624</v>
      </c>
      <c r="I223" s="379">
        <f t="shared" si="86"/>
        <v>54.678444563825806</v>
      </c>
      <c r="J223" s="85">
        <v>2018</v>
      </c>
      <c r="K223" s="197">
        <f t="shared" si="87"/>
        <v>43674</v>
      </c>
      <c r="L223" s="435">
        <f t="shared" si="88"/>
        <v>3.6920041444198359E-3</v>
      </c>
      <c r="M223" s="842"/>
      <c r="N223" s="842"/>
      <c r="O223" s="323">
        <f t="shared" si="89"/>
        <v>1.696733408509345E-2</v>
      </c>
      <c r="P223" s="169">
        <f>(INDEX(Models!$BJ223:$BT223,,T223)*(1-R223)+INDEX(Models!$BJ223:$BT223,,T223+1)*R223-ERP_i)*Q223*Ramure*Pc/MaxiM</f>
        <v>2.6749543762772044E-5</v>
      </c>
      <c r="Q223" s="304">
        <f t="shared" si="90"/>
        <v>0.6</v>
      </c>
      <c r="R223" s="177">
        <f t="shared" si="91"/>
        <v>0.93811810506411697</v>
      </c>
      <c r="S223" s="799">
        <f t="shared" si="109"/>
        <v>-2</v>
      </c>
      <c r="T223" s="176">
        <f t="shared" si="92"/>
        <v>4</v>
      </c>
      <c r="U223" s="250">
        <f t="shared" si="93"/>
        <v>-1.061881894935883</v>
      </c>
      <c r="V223" s="382">
        <f t="shared" si="94"/>
        <v>58.815315887677976</v>
      </c>
      <c r="W223" s="58"/>
      <c r="X223" s="157">
        <f t="shared" si="95"/>
        <v>43674</v>
      </c>
      <c r="Y223" s="383">
        <f t="shared" si="96"/>
        <v>53.551000000000002</v>
      </c>
      <c r="Z223" s="383">
        <f t="shared" si="97"/>
        <v>53.749443166932572</v>
      </c>
      <c r="AA223" s="384">
        <f t="shared" si="98"/>
        <v>54.677168959495432</v>
      </c>
      <c r="AB223" s="197">
        <f t="shared" si="99"/>
        <v>43674</v>
      </c>
      <c r="AC223" s="424">
        <f t="shared" si="100"/>
        <v>1.696733408509345E-2</v>
      </c>
      <c r="AD223" s="169">
        <f>(INDEX(Models!$BJ223:$BT223,,AH223)*(1-AF223)+INDEX(Models!$BJ223:$BT223,,AH223+1)*AF223-ERP_i)*AE223*Ramure*Pc/MaxiM</f>
        <v>2.6749543762772044E-5</v>
      </c>
      <c r="AE223" s="304">
        <f t="shared" si="101"/>
        <v>0.6</v>
      </c>
      <c r="AF223" s="177">
        <f t="shared" si="102"/>
        <v>0.93811810506411697</v>
      </c>
      <c r="AG223" s="799">
        <f t="shared" si="103"/>
        <v>-2</v>
      </c>
      <c r="AH223" s="176">
        <f t="shared" si="104"/>
        <v>4</v>
      </c>
      <c r="AI223" s="224">
        <f t="shared" si="105"/>
        <v>-1.061881894935883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57.978000000000002</v>
      </c>
      <c r="C224" s="388"/>
      <c r="D224" s="391">
        <f t="shared" si="85"/>
        <v>58.193963510900616</v>
      </c>
      <c r="E224" s="383">
        <f t="shared" si="82"/>
        <v>59.20324041138425</v>
      </c>
      <c r="F224" s="383">
        <f t="shared" si="83"/>
        <v>59.204840320642759</v>
      </c>
      <c r="G224" s="110">
        <f t="shared" si="84"/>
        <v>0.9879237071538276</v>
      </c>
      <c r="I224" s="379">
        <f t="shared" si="86"/>
        <v>59.204840320642759</v>
      </c>
      <c r="J224" s="85">
        <v>2018</v>
      </c>
      <c r="K224" s="197">
        <f t="shared" si="87"/>
        <v>43675</v>
      </c>
      <c r="L224" s="435">
        <f t="shared" si="88"/>
        <v>3.7110981598660331E-3</v>
      </c>
      <c r="M224" s="842"/>
      <c r="N224" s="842"/>
      <c r="O224" s="323">
        <f t="shared" si="89"/>
        <v>1.7047663159490793E-2</v>
      </c>
      <c r="P224" s="169">
        <f>(INDEX(Models!$BJ224:$BT224,,T224)*(1-R224)+INDEX(Models!$BJ224:$BT224,,T224+1)*R224-ERP_i)*Q224*Ramure*Pc/MaxiM</f>
        <v>2.7497651615854287E-5</v>
      </c>
      <c r="Q224" s="304">
        <f t="shared" si="90"/>
        <v>0.6</v>
      </c>
      <c r="R224" s="177">
        <f t="shared" si="91"/>
        <v>0.94029057406815042</v>
      </c>
      <c r="S224" s="799">
        <f t="shared" si="109"/>
        <v>-2</v>
      </c>
      <c r="T224" s="176">
        <f t="shared" si="92"/>
        <v>4</v>
      </c>
      <c r="U224" s="250">
        <f t="shared" si="93"/>
        <v>-1.0597094259318496</v>
      </c>
      <c r="V224" s="382">
        <f t="shared" si="94"/>
        <v>58.686690152873247</v>
      </c>
      <c r="W224" s="58"/>
      <c r="X224" s="157">
        <f t="shared" si="95"/>
        <v>43675</v>
      </c>
      <c r="Y224" s="383">
        <f t="shared" si="96"/>
        <v>57.978000000000002</v>
      </c>
      <c r="Z224" s="383">
        <f t="shared" si="97"/>
        <v>58.193963510900616</v>
      </c>
      <c r="AA224" s="384">
        <f t="shared" si="98"/>
        <v>59.20324041138425</v>
      </c>
      <c r="AB224" s="197">
        <f t="shared" si="99"/>
        <v>43675</v>
      </c>
      <c r="AC224" s="424">
        <f t="shared" si="100"/>
        <v>1.7047663159490793E-2</v>
      </c>
      <c r="AD224" s="169">
        <f>(INDEX(Models!$BJ224:$BT224,,AH224)*(1-AF224)+INDEX(Models!$BJ224:$BT224,,AH224+1)*AF224-ERP_i)*AE224*Ramure*Pc/MaxiM</f>
        <v>2.7497651615854287E-5</v>
      </c>
      <c r="AE224" s="304">
        <f t="shared" si="101"/>
        <v>0.6</v>
      </c>
      <c r="AF224" s="177">
        <f t="shared" si="102"/>
        <v>0.94029057406815042</v>
      </c>
      <c r="AG224" s="799">
        <f t="shared" si="103"/>
        <v>-2</v>
      </c>
      <c r="AH224" s="176">
        <f t="shared" si="104"/>
        <v>4</v>
      </c>
      <c r="AI224" s="224">
        <f t="shared" si="105"/>
        <v>-1.0597094259318496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28.265000000000001</v>
      </c>
      <c r="C225" s="388"/>
      <c r="D225" s="391">
        <f t="shared" si="85"/>
        <v>28.370828632590609</v>
      </c>
      <c r="E225" s="383">
        <f t="shared" si="82"/>
        <v>28.865228240150149</v>
      </c>
      <c r="F225" s="383">
        <f t="shared" si="83"/>
        <v>28.865440926747926</v>
      </c>
      <c r="G225" s="110">
        <f t="shared" si="84"/>
        <v>0.48269362720222336</v>
      </c>
      <c r="I225" s="379">
        <f t="shared" si="86"/>
        <v>28.865440926747926</v>
      </c>
      <c r="J225" s="85">
        <v>2018</v>
      </c>
      <c r="K225" s="197">
        <f t="shared" si="87"/>
        <v>43676</v>
      </c>
      <c r="L225" s="435">
        <f t="shared" si="88"/>
        <v>3.7301918093798347E-3</v>
      </c>
      <c r="M225" s="842"/>
      <c r="N225" s="842"/>
      <c r="O225" s="323">
        <f t="shared" si="89"/>
        <v>1.712786067188805E-2</v>
      </c>
      <c r="P225" s="169">
        <f>(INDEX(Models!$BJ225:$BT225,,T225)*(1-R225)+INDEX(Models!$BJ225:$BT225,,T225+1)*R225-ERP_i)*Q225*Ramure*Pc/MaxiM</f>
        <v>2.8230114005639384E-5</v>
      </c>
      <c r="Q225" s="304">
        <f t="shared" si="90"/>
        <v>0.6</v>
      </c>
      <c r="R225" s="177">
        <f t="shared" si="91"/>
        <v>0.94239585761503264</v>
      </c>
      <c r="S225" s="799">
        <f t="shared" si="109"/>
        <v>-2</v>
      </c>
      <c r="T225" s="176">
        <f t="shared" si="92"/>
        <v>4</v>
      </c>
      <c r="U225" s="250">
        <f t="shared" si="93"/>
        <v>-1.0576041423849674</v>
      </c>
      <c r="V225" s="382">
        <f t="shared" si="94"/>
        <v>58.555590422297314</v>
      </c>
      <c r="W225" s="58"/>
      <c r="X225" s="157">
        <f t="shared" si="95"/>
        <v>43676</v>
      </c>
      <c r="Y225" s="383">
        <f t="shared" si="96"/>
        <v>28.265000000000001</v>
      </c>
      <c r="Z225" s="383">
        <f t="shared" si="97"/>
        <v>28.370828632590609</v>
      </c>
      <c r="AA225" s="384">
        <f t="shared" si="98"/>
        <v>28.865228240150149</v>
      </c>
      <c r="AB225" s="197">
        <f t="shared" si="99"/>
        <v>43676</v>
      </c>
      <c r="AC225" s="424">
        <f t="shared" si="100"/>
        <v>1.712786067188805E-2</v>
      </c>
      <c r="AD225" s="169">
        <f>(INDEX(Models!$BJ225:$BT225,,AH225)*(1-AF225)+INDEX(Models!$BJ225:$BT225,,AH225+1)*AF225-ERP_i)*AE225*Ramure*Pc/MaxiM</f>
        <v>2.8230114005639384E-5</v>
      </c>
      <c r="AE225" s="304">
        <f t="shared" si="101"/>
        <v>0.6</v>
      </c>
      <c r="AF225" s="177">
        <f t="shared" si="102"/>
        <v>0.94239585761503264</v>
      </c>
      <c r="AG225" s="799">
        <f t="shared" si="103"/>
        <v>-2</v>
      </c>
      <c r="AH225" s="176">
        <f t="shared" si="104"/>
        <v>4</v>
      </c>
      <c r="AI225" s="224">
        <f t="shared" si="105"/>
        <v>-1.0576041423849674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55.725000000000001</v>
      </c>
      <c r="C226" s="388"/>
      <c r="D226" s="391">
        <f t="shared" si="85"/>
        <v>55.934715193855745</v>
      </c>
      <c r="E226" s="383">
        <f t="shared" si="82"/>
        <v>56.914088827241137</v>
      </c>
      <c r="F226" s="383">
        <f t="shared" si="83"/>
        <v>56.915628803098912</v>
      </c>
      <c r="G226" s="110">
        <f t="shared" si="84"/>
        <v>0.95383379994248441</v>
      </c>
      <c r="I226" s="379">
        <f t="shared" si="86"/>
        <v>56.915628803098912</v>
      </c>
      <c r="J226" s="85">
        <v>2018</v>
      </c>
      <c r="K226" s="197">
        <f t="shared" si="87"/>
        <v>43677</v>
      </c>
      <c r="L226" s="435">
        <f t="shared" si="88"/>
        <v>3.7492850929681243E-3</v>
      </c>
      <c r="M226" s="842"/>
      <c r="N226" s="842"/>
      <c r="O226" s="323">
        <f t="shared" si="89"/>
        <v>1.720792959293814E-2</v>
      </c>
      <c r="P226" s="169">
        <f>(INDEX(Models!$BJ226:$BT226,,T226)*(1-R226)+INDEX(Models!$BJ226:$BT226,,T226+1)*R226-ERP_i)*Q226*Ramure*Pc/MaxiM</f>
        <v>2.8967554725519574E-5</v>
      </c>
      <c r="Q226" s="304">
        <f t="shared" si="90"/>
        <v>0.6</v>
      </c>
      <c r="R226" s="177">
        <f t="shared" si="91"/>
        <v>0.94443532868050584</v>
      </c>
      <c r="S226" s="799">
        <f t="shared" si="109"/>
        <v>-2</v>
      </c>
      <c r="T226" s="176">
        <f t="shared" si="92"/>
        <v>4</v>
      </c>
      <c r="U226" s="250">
        <f t="shared" si="93"/>
        <v>-1.0555646713194942</v>
      </c>
      <c r="V226" s="382">
        <f t="shared" si="94"/>
        <v>58.422016020300582</v>
      </c>
      <c r="W226" s="58"/>
      <c r="X226" s="157">
        <f t="shared" si="95"/>
        <v>43677</v>
      </c>
      <c r="Y226" s="383">
        <f t="shared" si="96"/>
        <v>55.725000000000001</v>
      </c>
      <c r="Z226" s="383">
        <f t="shared" si="97"/>
        <v>55.934715193855745</v>
      </c>
      <c r="AA226" s="384">
        <f t="shared" si="98"/>
        <v>56.914088827241137</v>
      </c>
      <c r="AB226" s="197">
        <f t="shared" si="99"/>
        <v>43677</v>
      </c>
      <c r="AC226" s="424">
        <f t="shared" si="100"/>
        <v>1.720792959293814E-2</v>
      </c>
      <c r="AD226" s="169">
        <f>(INDEX(Models!$BJ226:$BT226,,AH226)*(1-AF226)+INDEX(Models!$BJ226:$BT226,,AH226+1)*AF226-ERP_i)*AE226*Ramure*Pc/MaxiM</f>
        <v>2.8967554725519574E-5</v>
      </c>
      <c r="AE226" s="304">
        <f t="shared" si="101"/>
        <v>0.6</v>
      </c>
      <c r="AF226" s="177">
        <f t="shared" si="102"/>
        <v>0.94443532868050584</v>
      </c>
      <c r="AG226" s="799">
        <f t="shared" si="103"/>
        <v>-2</v>
      </c>
      <c r="AH226" s="176">
        <f t="shared" si="104"/>
        <v>4</v>
      </c>
      <c r="AI226" s="224">
        <f t="shared" si="105"/>
        <v>-1.0555646713194942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50.238</v>
      </c>
      <c r="C227" s="388"/>
      <c r="D227" s="391">
        <f t="shared" si="85"/>
        <v>50.428031886480767</v>
      </c>
      <c r="E227" s="383">
        <f t="shared" si="82"/>
        <v>51.315161864051092</v>
      </c>
      <c r="F227" s="383">
        <f t="shared" si="83"/>
        <v>51.316386225590399</v>
      </c>
      <c r="G227" s="110">
        <f t="shared" si="84"/>
        <v>0.86191768288677073</v>
      </c>
      <c r="I227" s="379">
        <f t="shared" si="86"/>
        <v>51.316386225590399</v>
      </c>
      <c r="J227" s="85">
        <v>2018</v>
      </c>
      <c r="K227" s="197">
        <f t="shared" si="87"/>
        <v>43678</v>
      </c>
      <c r="L227" s="435">
        <f t="shared" si="88"/>
        <v>3.7683780106380071E-3</v>
      </c>
      <c r="M227" s="842"/>
      <c r="N227" s="842"/>
      <c r="O227" s="323">
        <f t="shared" si="89"/>
        <v>1.728787253795663E-2</v>
      </c>
      <c r="P227" s="169">
        <f>(INDEX(Models!$BJ227:$BT227,,T227)*(1-R227)+INDEX(Models!$BJ227:$BT227,,T227+1)*R227-ERP_i)*Q227*Ramure*Pc/MaxiM</f>
        <v>2.9721795995836582E-5</v>
      </c>
      <c r="Q227" s="304">
        <f t="shared" si="90"/>
        <v>0.6</v>
      </c>
      <c r="R227" s="177">
        <f t="shared" si="91"/>
        <v>0.94641038340917505</v>
      </c>
      <c r="S227" s="799">
        <f t="shared" si="109"/>
        <v>-2</v>
      </c>
      <c r="T227" s="176">
        <f t="shared" si="92"/>
        <v>4</v>
      </c>
      <c r="U227" s="250">
        <f t="shared" si="93"/>
        <v>-1.053589616590825</v>
      </c>
      <c r="V227" s="382">
        <f t="shared" si="94"/>
        <v>58.285966814566251</v>
      </c>
      <c r="W227" s="58"/>
      <c r="X227" s="157">
        <f t="shared" si="95"/>
        <v>43678</v>
      </c>
      <c r="Y227" s="383">
        <f t="shared" si="96"/>
        <v>50.238</v>
      </c>
      <c r="Z227" s="383">
        <f t="shared" si="97"/>
        <v>50.428031886480767</v>
      </c>
      <c r="AA227" s="384">
        <f t="shared" si="98"/>
        <v>51.315161864051092</v>
      </c>
      <c r="AB227" s="197">
        <f t="shared" si="99"/>
        <v>43678</v>
      </c>
      <c r="AC227" s="424">
        <f t="shared" si="100"/>
        <v>1.728787253795663E-2</v>
      </c>
      <c r="AD227" s="169">
        <f>(INDEX(Models!$BJ227:$BT227,,AH227)*(1-AF227)+INDEX(Models!$BJ227:$BT227,,AH227+1)*AF227-ERP_i)*AE227*Ramure*Pc/MaxiM</f>
        <v>2.9721795995836582E-5</v>
      </c>
      <c r="AE227" s="304">
        <f t="shared" si="101"/>
        <v>0.6</v>
      </c>
      <c r="AF227" s="177">
        <f t="shared" si="102"/>
        <v>0.94641038340917505</v>
      </c>
      <c r="AG227" s="799">
        <f t="shared" si="103"/>
        <v>-2</v>
      </c>
      <c r="AH227" s="176">
        <f t="shared" si="104"/>
        <v>4</v>
      </c>
      <c r="AI227" s="224">
        <f t="shared" si="105"/>
        <v>-1.053589616590825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55.216000000000001</v>
      </c>
      <c r="C228" s="388"/>
      <c r="D228" s="391">
        <f t="shared" si="85"/>
        <v>55.425924055754798</v>
      </c>
      <c r="E228" s="383">
        <f t="shared" si="82"/>
        <v>56.405558407933924</v>
      </c>
      <c r="F228" s="383">
        <f t="shared" si="83"/>
        <v>56.407154558267514</v>
      </c>
      <c r="G228" s="110">
        <f t="shared" si="84"/>
        <v>0.94958394608510044</v>
      </c>
      <c r="I228" s="379">
        <f t="shared" si="86"/>
        <v>56.407154558267514</v>
      </c>
      <c r="J228" s="85">
        <v>2018</v>
      </c>
      <c r="K228" s="197">
        <f t="shared" si="87"/>
        <v>43679</v>
      </c>
      <c r="L228" s="435">
        <f t="shared" si="88"/>
        <v>3.7874705623964777E-3</v>
      </c>
      <c r="M228" s="842"/>
      <c r="N228" s="842"/>
      <c r="O228" s="323">
        <f t="shared" si="89"/>
        <v>1.7367691763536069E-2</v>
      </c>
      <c r="P228" s="169">
        <f>(INDEX(Models!$BJ228:$BT228,,T228)*(1-R228)+INDEX(Models!$BJ228:$BT228,,T228+1)*R228-ERP_i)*Q228*Ramure*Pc/MaxiM</f>
        <v>3.0493056831393315E-5</v>
      </c>
      <c r="Q228" s="304">
        <f t="shared" si="90"/>
        <v>0.6</v>
      </c>
      <c r="R228" s="177">
        <f t="shared" si="91"/>
        <v>0.94832243649381187</v>
      </c>
      <c r="S228" s="799">
        <f t="shared" si="109"/>
        <v>-2</v>
      </c>
      <c r="T228" s="176">
        <f t="shared" si="92"/>
        <v>4</v>
      </c>
      <c r="U228" s="250">
        <f t="shared" si="93"/>
        <v>-1.0516775635061881</v>
      </c>
      <c r="V228" s="382">
        <f t="shared" si="94"/>
        <v>58.147443376521586</v>
      </c>
      <c r="W228" s="58"/>
      <c r="X228" s="157">
        <f t="shared" si="95"/>
        <v>43679</v>
      </c>
      <c r="Y228" s="383">
        <f t="shared" si="96"/>
        <v>55.216000000000001</v>
      </c>
      <c r="Z228" s="383">
        <f t="shared" si="97"/>
        <v>55.425924055754798</v>
      </c>
      <c r="AA228" s="384">
        <f t="shared" si="98"/>
        <v>56.405558407933924</v>
      </c>
      <c r="AB228" s="197">
        <f t="shared" si="99"/>
        <v>43679</v>
      </c>
      <c r="AC228" s="424">
        <f t="shared" si="100"/>
        <v>1.7367691763536069E-2</v>
      </c>
      <c r="AD228" s="169">
        <f>(INDEX(Models!$BJ228:$BT228,,AH228)*(1-AF228)+INDEX(Models!$BJ228:$BT228,,AH228+1)*AF228-ERP_i)*AE228*Ramure*Pc/MaxiM</f>
        <v>3.0493056831393315E-5</v>
      </c>
      <c r="AE228" s="304">
        <f t="shared" si="101"/>
        <v>0.6</v>
      </c>
      <c r="AF228" s="177">
        <f t="shared" si="102"/>
        <v>0.94832243649381187</v>
      </c>
      <c r="AG228" s="799">
        <f t="shared" si="103"/>
        <v>-2</v>
      </c>
      <c r="AH228" s="176">
        <f t="shared" si="104"/>
        <v>4</v>
      </c>
      <c r="AI228" s="224">
        <f t="shared" si="105"/>
        <v>-1.0516775635061881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55.725000000000001</v>
      </c>
      <c r="C229" s="388"/>
      <c r="D229" s="391">
        <f t="shared" si="85"/>
        <v>55.937931245292532</v>
      </c>
      <c r="E229" s="383">
        <f t="shared" si="82"/>
        <v>56.931232616508289</v>
      </c>
      <c r="F229" s="383">
        <f t="shared" ref="F229:F260" si="110">Wh_sa/(1-Pvg*MEDIAN((-Sdif+Wh/Env_an)/Csdif,0,1))</f>
        <v>56.932913500318811</v>
      </c>
      <c r="G229" s="110">
        <f t="shared" si="84"/>
        <v>0.9606674018379463</v>
      </c>
      <c r="I229" s="379">
        <f t="shared" si="86"/>
        <v>56.932913500318811</v>
      </c>
      <c r="J229" s="85">
        <v>2018</v>
      </c>
      <c r="K229" s="197">
        <f t="shared" si="87"/>
        <v>43680</v>
      </c>
      <c r="L229" s="435">
        <f t="shared" si="88"/>
        <v>3.8065627482505304E-3</v>
      </c>
      <c r="M229" s="842"/>
      <c r="N229" s="842"/>
      <c r="O229" s="323">
        <f t="shared" si="89"/>
        <v>1.7447389166974223E-2</v>
      </c>
      <c r="P229" s="169">
        <f>(INDEX(Models!$BJ229:$BT229,,T229)*(1-R229)+INDEX(Models!$BJ229:$BT229,,T229+1)*R229-ERP_i)*Q229*Ramure*Pc/MaxiM</f>
        <v>3.1281555210937413E-5</v>
      </c>
      <c r="Q229" s="304">
        <f t="shared" si="90"/>
        <v>0.6</v>
      </c>
      <c r="R229" s="177">
        <f t="shared" si="91"/>
        <v>0.95017291681653493</v>
      </c>
      <c r="S229" s="799">
        <f t="shared" si="109"/>
        <v>-2</v>
      </c>
      <c r="T229" s="176">
        <f t="shared" si="92"/>
        <v>4</v>
      </c>
      <c r="U229" s="250">
        <f t="shared" si="93"/>
        <v>-1.0498270831834651</v>
      </c>
      <c r="V229" s="382">
        <f t="shared" si="94"/>
        <v>58.006446296895852</v>
      </c>
      <c r="W229" s="58"/>
      <c r="X229" s="157">
        <f t="shared" si="95"/>
        <v>43680</v>
      </c>
      <c r="Y229" s="383">
        <f t="shared" si="96"/>
        <v>55.725000000000001</v>
      </c>
      <c r="Z229" s="383">
        <f t="shared" si="97"/>
        <v>55.937931245292532</v>
      </c>
      <c r="AA229" s="384">
        <f t="shared" si="98"/>
        <v>56.931232616508289</v>
      </c>
      <c r="AB229" s="197">
        <f t="shared" si="99"/>
        <v>43680</v>
      </c>
      <c r="AC229" s="424">
        <f t="shared" si="100"/>
        <v>1.7447389166974223E-2</v>
      </c>
      <c r="AD229" s="169">
        <f>(INDEX(Models!$BJ229:$BT229,,AH229)*(1-AF229)+INDEX(Models!$BJ229:$BT229,,AH229+1)*AF229-ERP_i)*AE229*Ramure*Pc/MaxiM</f>
        <v>3.1281555210937413E-5</v>
      </c>
      <c r="AE229" s="304">
        <f t="shared" si="101"/>
        <v>0.6</v>
      </c>
      <c r="AF229" s="177">
        <f t="shared" si="102"/>
        <v>0.95017291681653493</v>
      </c>
      <c r="AG229" s="799">
        <f t="shared" si="103"/>
        <v>-2</v>
      </c>
      <c r="AH229" s="176">
        <f t="shared" si="104"/>
        <v>4</v>
      </c>
      <c r="AI229" s="224">
        <f t="shared" si="105"/>
        <v>-1.0498270831834651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53.005000000000003</v>
      </c>
      <c r="C230" s="388"/>
      <c r="D230" s="391">
        <f t="shared" si="85"/>
        <v>53.208557561302115</v>
      </c>
      <c r="E230" s="383">
        <f t="shared" si="82"/>
        <v>54.157779130372461</v>
      </c>
      <c r="F230" s="383">
        <f t="shared" si="110"/>
        <v>54.159308534997784</v>
      </c>
      <c r="G230" s="110">
        <f t="shared" si="84"/>
        <v>0.91603991873171631</v>
      </c>
      <c r="I230" s="379">
        <f t="shared" si="86"/>
        <v>54.159308534997784</v>
      </c>
      <c r="J230" s="85">
        <v>2018</v>
      </c>
      <c r="K230" s="197">
        <f t="shared" si="87"/>
        <v>43681</v>
      </c>
      <c r="L230" s="435">
        <f t="shared" si="88"/>
        <v>3.8256545682071597E-3</v>
      </c>
      <c r="M230" s="842"/>
      <c r="N230" s="842"/>
      <c r="O230" s="323">
        <f t="shared" si="89"/>
        <v>1.7526966288357537E-2</v>
      </c>
      <c r="P230" s="169">
        <f>(INDEX(Models!$BJ230:$BT230,,T230)*(1-R230)+INDEX(Models!$BJ230:$BT230,,T230+1)*R230-ERP_i)*Q230*Ramure*Pc/MaxiM</f>
        <v>3.2087507857630027E-5</v>
      </c>
      <c r="Q230" s="304">
        <f t="shared" si="90"/>
        <v>0.6</v>
      </c>
      <c r="R230" s="177">
        <f t="shared" si="91"/>
        <v>0.95196326335121162</v>
      </c>
      <c r="S230" s="799">
        <f t="shared" si="109"/>
        <v>-2</v>
      </c>
      <c r="T230" s="176">
        <f t="shared" si="92"/>
        <v>4</v>
      </c>
      <c r="U230" s="250">
        <f t="shared" si="93"/>
        <v>-1.0480367366487884</v>
      </c>
      <c r="V230" s="382">
        <f t="shared" si="94"/>
        <v>57.862976187086396</v>
      </c>
      <c r="W230" s="58"/>
      <c r="X230" s="157">
        <f t="shared" si="95"/>
        <v>43681</v>
      </c>
      <c r="Y230" s="383">
        <f t="shared" si="96"/>
        <v>53.005000000000003</v>
      </c>
      <c r="Z230" s="383">
        <f t="shared" si="97"/>
        <v>53.208557561302115</v>
      </c>
      <c r="AA230" s="384">
        <f t="shared" si="98"/>
        <v>54.157779130372461</v>
      </c>
      <c r="AB230" s="197">
        <f t="shared" si="99"/>
        <v>43681</v>
      </c>
      <c r="AC230" s="424">
        <f t="shared" si="100"/>
        <v>1.7526966288357537E-2</v>
      </c>
      <c r="AD230" s="169">
        <f>(INDEX(Models!$BJ230:$BT230,,AH230)*(1-AF230)+INDEX(Models!$BJ230:$BT230,,AH230+1)*AF230-ERP_i)*AE230*Ramure*Pc/MaxiM</f>
        <v>3.2087507857630027E-5</v>
      </c>
      <c r="AE230" s="304">
        <f t="shared" si="101"/>
        <v>0.6</v>
      </c>
      <c r="AF230" s="177">
        <f t="shared" si="102"/>
        <v>0.95196326335121162</v>
      </c>
      <c r="AG230" s="799">
        <f t="shared" si="103"/>
        <v>-2</v>
      </c>
      <c r="AH230" s="176">
        <f t="shared" si="104"/>
        <v>4</v>
      </c>
      <c r="AI230" s="224">
        <f t="shared" si="105"/>
        <v>-1.0480367366487884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53.173000000000002</v>
      </c>
      <c r="C231" s="388"/>
      <c r="D231" s="391">
        <f t="shared" si="85"/>
        <v>53.378225721016896</v>
      </c>
      <c r="E231" s="383">
        <f t="shared" si="82"/>
        <v>54.334868470412907</v>
      </c>
      <c r="F231" s="383">
        <f t="shared" si="110"/>
        <v>54.336455616076229</v>
      </c>
      <c r="G231" s="110">
        <f t="shared" si="84"/>
        <v>0.92126708151362335</v>
      </c>
      <c r="I231" s="379">
        <f t="shared" si="86"/>
        <v>54.336455616076229</v>
      </c>
      <c r="J231" s="85">
        <v>2018</v>
      </c>
      <c r="K231" s="197">
        <f t="shared" si="87"/>
        <v>43682</v>
      </c>
      <c r="L231" s="435">
        <f t="shared" si="88"/>
        <v>3.8447460222734708E-3</v>
      </c>
      <c r="M231" s="842"/>
      <c r="N231" s="842"/>
      <c r="O231" s="323">
        <f t="shared" si="89"/>
        <v>1.7606424315114312E-2</v>
      </c>
      <c r="P231" s="169">
        <f>(INDEX(Models!$BJ231:$BT231,,T231)*(1-R231)+INDEX(Models!$BJ231:$BT231,,T231+1)*R231-ERP_i)*Q231*Ramure*Pc/MaxiM</f>
        <v>3.2911130029483753E-5</v>
      </c>
      <c r="Q231" s="304">
        <f t="shared" si="90"/>
        <v>0.6</v>
      </c>
      <c r="R231" s="177">
        <f t="shared" si="91"/>
        <v>0.95369492132485401</v>
      </c>
      <c r="S231" s="799">
        <f t="shared" si="109"/>
        <v>-2</v>
      </c>
      <c r="T231" s="176">
        <f t="shared" si="92"/>
        <v>4</v>
      </c>
      <c r="U231" s="250">
        <f t="shared" si="93"/>
        <v>-1.046305078675146</v>
      </c>
      <c r="V231" s="382">
        <f t="shared" si="94"/>
        <v>57.717033680365596</v>
      </c>
      <c r="W231" s="58"/>
      <c r="X231" s="157">
        <f t="shared" si="95"/>
        <v>43682</v>
      </c>
      <c r="Y231" s="383">
        <f t="shared" si="96"/>
        <v>53.173000000000002</v>
      </c>
      <c r="Z231" s="383">
        <f t="shared" si="97"/>
        <v>53.378225721016896</v>
      </c>
      <c r="AA231" s="384">
        <f t="shared" si="98"/>
        <v>54.334868470412907</v>
      </c>
      <c r="AB231" s="197">
        <f t="shared" si="99"/>
        <v>43682</v>
      </c>
      <c r="AC231" s="424">
        <f t="shared" si="100"/>
        <v>1.7606424315114312E-2</v>
      </c>
      <c r="AD231" s="169">
        <f>(INDEX(Models!$BJ231:$BT231,,AH231)*(1-AF231)+INDEX(Models!$BJ231:$BT231,,AH231+1)*AF231-ERP_i)*AE231*Ramure*Pc/MaxiM</f>
        <v>3.2911130029483753E-5</v>
      </c>
      <c r="AE231" s="304">
        <f t="shared" si="101"/>
        <v>0.6</v>
      </c>
      <c r="AF231" s="177">
        <f t="shared" si="102"/>
        <v>0.95369492132485401</v>
      </c>
      <c r="AG231" s="799">
        <f t="shared" si="103"/>
        <v>-2</v>
      </c>
      <c r="AH231" s="176">
        <f t="shared" si="104"/>
        <v>4</v>
      </c>
      <c r="AI231" s="224">
        <f t="shared" si="105"/>
        <v>-1.046305078675146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39.363999999999997</v>
      </c>
      <c r="C232" s="388"/>
      <c r="D232" s="391">
        <f t="shared" si="85"/>
        <v>39.516686037995861</v>
      </c>
      <c r="E232" s="383">
        <f t="shared" si="82"/>
        <v>40.228151637587835</v>
      </c>
      <c r="F232" s="383">
        <f t="shared" si="110"/>
        <v>40.228896069156605</v>
      </c>
      <c r="G232" s="110">
        <f t="shared" si="84"/>
        <v>0.68376487343079362</v>
      </c>
      <c r="I232" s="379">
        <f t="shared" si="86"/>
        <v>40.228896069156605</v>
      </c>
      <c r="J232" s="85">
        <v>2018</v>
      </c>
      <c r="K232" s="197">
        <f t="shared" si="87"/>
        <v>43683</v>
      </c>
      <c r="L232" s="435">
        <f t="shared" si="88"/>
        <v>3.8638371104564584E-3</v>
      </c>
      <c r="M232" s="842"/>
      <c r="N232" s="842"/>
      <c r="O232" s="323">
        <f t="shared" si="89"/>
        <v>1.7685764088827841E-2</v>
      </c>
      <c r="P232" s="169">
        <f>(INDEX(Models!$BJ232:$BT232,,T232)*(1-R232)+INDEX(Models!$BJ232:$BT232,,T232+1)*R232-ERP_i)*Q232*Ramure*Pc/MaxiM</f>
        <v>3.3752635325659769E-5</v>
      </c>
      <c r="Q232" s="304">
        <f t="shared" si="90"/>
        <v>0.6</v>
      </c>
      <c r="R232" s="177">
        <f t="shared" si="91"/>
        <v>0.95536933863438556</v>
      </c>
      <c r="S232" s="799">
        <f t="shared" si="109"/>
        <v>-2</v>
      </c>
      <c r="T232" s="176">
        <f t="shared" si="92"/>
        <v>4</v>
      </c>
      <c r="U232" s="250">
        <f t="shared" si="93"/>
        <v>-1.0446306613656144</v>
      </c>
      <c r="V232" s="382">
        <f t="shared" si="94"/>
        <v>57.568619428205217</v>
      </c>
      <c r="W232" s="58"/>
      <c r="X232" s="157">
        <f t="shared" si="95"/>
        <v>43683</v>
      </c>
      <c r="Y232" s="383">
        <f t="shared" si="96"/>
        <v>39.363999999999997</v>
      </c>
      <c r="Z232" s="383">
        <f t="shared" si="97"/>
        <v>39.516686037995861</v>
      </c>
      <c r="AA232" s="384">
        <f t="shared" si="98"/>
        <v>40.228151637587835</v>
      </c>
      <c r="AB232" s="197">
        <f t="shared" si="99"/>
        <v>43683</v>
      </c>
      <c r="AC232" s="424">
        <f t="shared" si="100"/>
        <v>1.7685764088827841E-2</v>
      </c>
      <c r="AD232" s="169">
        <f>(INDEX(Models!$BJ232:$BT232,,AH232)*(1-AF232)+INDEX(Models!$BJ232:$BT232,,AH232+1)*AF232-ERP_i)*AE232*Ramure*Pc/MaxiM</f>
        <v>3.3752635325659769E-5</v>
      </c>
      <c r="AE232" s="304">
        <f t="shared" si="101"/>
        <v>0.6</v>
      </c>
      <c r="AF232" s="177">
        <f t="shared" si="102"/>
        <v>0.95536933863438556</v>
      </c>
      <c r="AG232" s="799">
        <f t="shared" si="103"/>
        <v>-2</v>
      </c>
      <c r="AH232" s="176">
        <f t="shared" si="104"/>
        <v>4</v>
      </c>
      <c r="AI232" s="224">
        <f t="shared" si="105"/>
        <v>-1.0446306613656144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43.362000000000002</v>
      </c>
      <c r="C233" s="388"/>
      <c r="D233" s="391">
        <f t="shared" si="85"/>
        <v>43.531027839587118</v>
      </c>
      <c r="E233" s="383">
        <f t="shared" ref="E233:E296" si="111">Wh_pvt/(1-Psa)</f>
        <v>44.318342580121943</v>
      </c>
      <c r="F233" s="383">
        <f t="shared" si="110"/>
        <v>44.319340096195276</v>
      </c>
      <c r="G233" s="110">
        <f t="shared" ref="G233:G296" si="112">+Wh_hp/MaxiM</f>
        <v>0.75518695286175819</v>
      </c>
      <c r="I233" s="379">
        <f t="shared" si="86"/>
        <v>44.319340096195276</v>
      </c>
      <c r="J233" s="85">
        <v>2018</v>
      </c>
      <c r="K233" s="197">
        <f t="shared" si="87"/>
        <v>43684</v>
      </c>
      <c r="L233" s="435">
        <f t="shared" si="88"/>
        <v>3.8829278327631167E-3</v>
      </c>
      <c r="M233" s="842"/>
      <c r="N233" s="842"/>
      <c r="O233" s="323">
        <f t="shared" si="89"/>
        <v>1.7764986114078191E-2</v>
      </c>
      <c r="P233" s="169">
        <f>(INDEX(Models!$BJ233:$BT233,,T233)*(1-R233)+INDEX(Models!$BJ233:$BT233,,T233+1)*R233-ERP_i)*Q233*Ramure*Pc/MaxiM</f>
        <v>3.4611954973019226E-5</v>
      </c>
      <c r="Q233" s="304">
        <f t="shared" si="90"/>
        <v>0.6</v>
      </c>
      <c r="R233" s="177">
        <f t="shared" si="91"/>
        <v>0.95698796251394902</v>
      </c>
      <c r="S233" s="799">
        <f t="shared" si="109"/>
        <v>-2</v>
      </c>
      <c r="T233" s="176">
        <f t="shared" si="92"/>
        <v>4</v>
      </c>
      <c r="U233" s="250">
        <f t="shared" si="93"/>
        <v>-1.043012037486051</v>
      </c>
      <c r="V233" s="382">
        <f t="shared" si="94"/>
        <v>57.418199492258893</v>
      </c>
      <c r="W233" s="58"/>
      <c r="X233" s="157">
        <f t="shared" si="95"/>
        <v>43684</v>
      </c>
      <c r="Y233" s="383">
        <f t="shared" si="96"/>
        <v>43.362000000000002</v>
      </c>
      <c r="Z233" s="383">
        <f t="shared" si="97"/>
        <v>43.531027839587118</v>
      </c>
      <c r="AA233" s="384">
        <f t="shared" si="98"/>
        <v>44.318342580121943</v>
      </c>
      <c r="AB233" s="197">
        <f t="shared" si="99"/>
        <v>43684</v>
      </c>
      <c r="AC233" s="424">
        <f t="shared" si="100"/>
        <v>1.7764986114078191E-2</v>
      </c>
      <c r="AD233" s="169">
        <f>(INDEX(Models!$BJ233:$BT233,,AH233)*(1-AF233)+INDEX(Models!$BJ233:$BT233,,AH233+1)*AF233-ERP_i)*AE233*Ramure*Pc/MaxiM</f>
        <v>3.4611954973019226E-5</v>
      </c>
      <c r="AE233" s="304">
        <f t="shared" si="101"/>
        <v>0.6</v>
      </c>
      <c r="AF233" s="177">
        <f t="shared" si="102"/>
        <v>0.95698796251394902</v>
      </c>
      <c r="AG233" s="799">
        <f t="shared" si="103"/>
        <v>-2</v>
      </c>
      <c r="AH233" s="176">
        <f t="shared" si="104"/>
        <v>4</v>
      </c>
      <c r="AI233" s="224">
        <f t="shared" si="105"/>
        <v>-1.043012037486051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53.883000000000003</v>
      </c>
      <c r="C234" s="388"/>
      <c r="D234" s="391">
        <f t="shared" si="85"/>
        <v>54.094076068748244</v>
      </c>
      <c r="E234" s="383">
        <f t="shared" si="111"/>
        <v>55.076872774802581</v>
      </c>
      <c r="F234" s="383">
        <f t="shared" si="110"/>
        <v>55.078662974016289</v>
      </c>
      <c r="G234" s="110">
        <f t="shared" si="112"/>
        <v>0.94092040994313997</v>
      </c>
      <c r="I234" s="379">
        <f t="shared" si="86"/>
        <v>55.078662974016289</v>
      </c>
      <c r="J234" s="85">
        <v>2018</v>
      </c>
      <c r="K234" s="197">
        <f t="shared" si="87"/>
        <v>43685</v>
      </c>
      <c r="L234" s="435">
        <f t="shared" si="88"/>
        <v>3.9020181892003292E-3</v>
      </c>
      <c r="M234" s="842"/>
      <c r="N234" s="842"/>
      <c r="O234" s="323">
        <f t="shared" si="89"/>
        <v>1.784409056906297E-2</v>
      </c>
      <c r="P234" s="169">
        <f>(INDEX(Models!$BJ234:$BT234,,T234)*(1-R234)+INDEX(Models!$BJ234:$BT234,,T234+1)*R234-ERP_i)*Q234*Ramure*Pc/MaxiM</f>
        <v>3.5498499884836295E-5</v>
      </c>
      <c r="Q234" s="304">
        <f t="shared" si="90"/>
        <v>0.6</v>
      </c>
      <c r="R234" s="177">
        <f t="shared" si="91"/>
        <v>0.9585522364468706</v>
      </c>
      <c r="S234" s="799">
        <f t="shared" si="109"/>
        <v>-2</v>
      </c>
      <c r="T234" s="176">
        <f t="shared" si="92"/>
        <v>4</v>
      </c>
      <c r="U234" s="250">
        <f t="shared" si="93"/>
        <v>-1.0414477635531294</v>
      </c>
      <c r="V234" s="382">
        <f t="shared" si="94"/>
        <v>57.26609604462702</v>
      </c>
      <c r="W234" s="58"/>
      <c r="X234" s="157">
        <f t="shared" si="95"/>
        <v>43685</v>
      </c>
      <c r="Y234" s="383">
        <f t="shared" si="96"/>
        <v>53.883000000000003</v>
      </c>
      <c r="Z234" s="383">
        <f t="shared" si="97"/>
        <v>54.094076068748244</v>
      </c>
      <c r="AA234" s="384">
        <f t="shared" si="98"/>
        <v>55.076872774802581</v>
      </c>
      <c r="AB234" s="197">
        <f t="shared" si="99"/>
        <v>43685</v>
      </c>
      <c r="AC234" s="424">
        <f t="shared" si="100"/>
        <v>1.784409056906297E-2</v>
      </c>
      <c r="AD234" s="169">
        <f>(INDEX(Models!$BJ234:$BT234,,AH234)*(1-AF234)+INDEX(Models!$BJ234:$BT234,,AH234+1)*AF234-ERP_i)*AE234*Ramure*Pc/MaxiM</f>
        <v>3.5498499884836295E-5</v>
      </c>
      <c r="AE234" s="304">
        <f t="shared" si="101"/>
        <v>0.6</v>
      </c>
      <c r="AF234" s="177">
        <f t="shared" si="102"/>
        <v>0.9585522364468706</v>
      </c>
      <c r="AG234" s="799">
        <f t="shared" si="103"/>
        <v>-2</v>
      </c>
      <c r="AH234" s="176">
        <f t="shared" si="104"/>
        <v>4</v>
      </c>
      <c r="AI234" s="224">
        <f t="shared" si="105"/>
        <v>-1.0414477635531294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50.292000000000002</v>
      </c>
      <c r="C235" s="388"/>
      <c r="D235" s="391">
        <f t="shared" si="85"/>
        <v>50.489976660480075</v>
      </c>
      <c r="E235" s="383">
        <f t="shared" si="111"/>
        <v>51.41142765332561</v>
      </c>
      <c r="F235" s="383">
        <f t="shared" si="110"/>
        <v>51.41298076631432</v>
      </c>
      <c r="G235" s="110">
        <f t="shared" si="112"/>
        <v>0.88057859109189307</v>
      </c>
      <c r="I235" s="379">
        <f t="shared" si="86"/>
        <v>51.41298076631432</v>
      </c>
      <c r="J235" s="85">
        <v>2018</v>
      </c>
      <c r="K235" s="197">
        <f t="shared" si="87"/>
        <v>43686</v>
      </c>
      <c r="L235" s="435">
        <f t="shared" si="88"/>
        <v>3.9211081797753122E-3</v>
      </c>
      <c r="M235" s="842"/>
      <c r="N235" s="842"/>
      <c r="O235" s="323">
        <f t="shared" si="89"/>
        <v>1.7923077317731923E-2</v>
      </c>
      <c r="P235" s="169">
        <f>(INDEX(Models!$BJ235:$BT235,,T235)*(1-R235)+INDEX(Models!$BJ235:$BT235,,T235+1)*R235-ERP_i)*Q235*Ramure*Pc/MaxiM</f>
        <v>3.6421950353283708E-5</v>
      </c>
      <c r="Q235" s="304">
        <f t="shared" si="90"/>
        <v>0.6</v>
      </c>
      <c r="R235" s="177">
        <f t="shared" si="91"/>
        <v>0.96006359731549895</v>
      </c>
      <c r="S235" s="799">
        <f t="shared" si="109"/>
        <v>-2</v>
      </c>
      <c r="T235" s="176">
        <f t="shared" si="92"/>
        <v>4</v>
      </c>
      <c r="U235" s="250">
        <f t="shared" si="93"/>
        <v>-1.039936402684501</v>
      </c>
      <c r="V235" s="382">
        <f t="shared" si="94"/>
        <v>57.112094271139945</v>
      </c>
      <c r="W235" s="58"/>
      <c r="X235" s="157">
        <f t="shared" si="95"/>
        <v>43686</v>
      </c>
      <c r="Y235" s="383">
        <f t="shared" si="96"/>
        <v>50.292000000000002</v>
      </c>
      <c r="Z235" s="383">
        <f t="shared" si="97"/>
        <v>50.489976660480075</v>
      </c>
      <c r="AA235" s="384">
        <f t="shared" si="98"/>
        <v>51.41142765332561</v>
      </c>
      <c r="AB235" s="197">
        <f t="shared" si="99"/>
        <v>43686</v>
      </c>
      <c r="AC235" s="424">
        <f t="shared" si="100"/>
        <v>1.7923077317731923E-2</v>
      </c>
      <c r="AD235" s="169">
        <f>(INDEX(Models!$BJ235:$BT235,,AH235)*(1-AF235)+INDEX(Models!$BJ235:$BT235,,AH235+1)*AF235-ERP_i)*AE235*Ramure*Pc/MaxiM</f>
        <v>3.6421950353283708E-5</v>
      </c>
      <c r="AE235" s="304">
        <f t="shared" si="101"/>
        <v>0.6</v>
      </c>
      <c r="AF235" s="177">
        <f t="shared" si="102"/>
        <v>0.96006359731549895</v>
      </c>
      <c r="AG235" s="799">
        <f t="shared" si="103"/>
        <v>-2</v>
      </c>
      <c r="AH235" s="176">
        <f t="shared" si="104"/>
        <v>4</v>
      </c>
      <c r="AI235" s="224">
        <f t="shared" si="105"/>
        <v>-1.039936402684501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40.381</v>
      </c>
      <c r="C236" s="388"/>
      <c r="D236" s="391">
        <f t="shared" si="85"/>
        <v>40.540738528944345</v>
      </c>
      <c r="E236" s="383">
        <f t="shared" si="111"/>
        <v>41.283929597045855</v>
      </c>
      <c r="F236" s="383">
        <f t="shared" si="110"/>
        <v>41.28483132245502</v>
      </c>
      <c r="G236" s="110">
        <f t="shared" si="112"/>
        <v>0.70897511416100756</v>
      </c>
      <c r="I236" s="379">
        <f t="shared" si="86"/>
        <v>41.28483132245502</v>
      </c>
      <c r="J236" s="85">
        <v>2018</v>
      </c>
      <c r="K236" s="197">
        <f t="shared" si="87"/>
        <v>43687</v>
      </c>
      <c r="L236" s="435">
        <f t="shared" si="88"/>
        <v>3.9401978044948383E-3</v>
      </c>
      <c r="M236" s="842"/>
      <c r="N236" s="842"/>
      <c r="O236" s="323">
        <f t="shared" si="89"/>
        <v>1.8001945923158669E-2</v>
      </c>
      <c r="P236" s="169">
        <f>(INDEX(Models!$BJ236:$BT236,,T236)*(1-R236)+INDEX(Models!$BJ236:$BT236,,T236+1)*R236-ERP_i)*Q236*Ramure*Pc/MaxiM</f>
        <v>3.7382922456156283E-5</v>
      </c>
      <c r="Q236" s="304">
        <f t="shared" si="90"/>
        <v>0.6</v>
      </c>
      <c r="R236" s="177">
        <f t="shared" si="91"/>
        <v>0.96152347278139594</v>
      </c>
      <c r="S236" s="799">
        <f t="shared" si="109"/>
        <v>-2</v>
      </c>
      <c r="T236" s="176">
        <f t="shared" si="92"/>
        <v>4</v>
      </c>
      <c r="U236" s="250">
        <f t="shared" si="93"/>
        <v>-1.0384765272186041</v>
      </c>
      <c r="V236" s="382">
        <f t="shared" si="94"/>
        <v>56.955979983307579</v>
      </c>
      <c r="W236" s="58"/>
      <c r="X236" s="157">
        <f t="shared" si="95"/>
        <v>43687</v>
      </c>
      <c r="Y236" s="383">
        <f t="shared" si="96"/>
        <v>40.381</v>
      </c>
      <c r="Z236" s="383">
        <f t="shared" si="97"/>
        <v>40.540738528944345</v>
      </c>
      <c r="AA236" s="384">
        <f t="shared" si="98"/>
        <v>41.283929597045855</v>
      </c>
      <c r="AB236" s="197">
        <f t="shared" si="99"/>
        <v>43687</v>
      </c>
      <c r="AC236" s="424">
        <f t="shared" si="100"/>
        <v>1.8001945923158669E-2</v>
      </c>
      <c r="AD236" s="169">
        <f>(INDEX(Models!$BJ236:$BT236,,AH236)*(1-AF236)+INDEX(Models!$BJ236:$BT236,,AH236+1)*AF236-ERP_i)*AE236*Ramure*Pc/MaxiM</f>
        <v>3.7382922456156283E-5</v>
      </c>
      <c r="AE236" s="304">
        <f t="shared" si="101"/>
        <v>0.6</v>
      </c>
      <c r="AF236" s="177">
        <f t="shared" si="102"/>
        <v>0.96152347278139594</v>
      </c>
      <c r="AG236" s="799">
        <f t="shared" si="103"/>
        <v>-2</v>
      </c>
      <c r="AH236" s="176">
        <f t="shared" si="104"/>
        <v>4</v>
      </c>
      <c r="AI236" s="224">
        <f t="shared" si="105"/>
        <v>-1.0384765272186041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24.216000000000001</v>
      </c>
      <c r="C237" s="388"/>
      <c r="D237" s="391">
        <f t="shared" si="85"/>
        <v>24.312259213384763</v>
      </c>
      <c r="E237" s="383">
        <f t="shared" si="111"/>
        <v>24.759936082295969</v>
      </c>
      <c r="F237" s="383">
        <f t="shared" si="110"/>
        <v>24.760107628102855</v>
      </c>
      <c r="G237" s="110">
        <f t="shared" si="112"/>
        <v>0.42634308983078789</v>
      </c>
      <c r="I237" s="379">
        <f t="shared" si="86"/>
        <v>24.760107628102855</v>
      </c>
      <c r="J237" s="85">
        <v>2018</v>
      </c>
      <c r="K237" s="197">
        <f t="shared" si="87"/>
        <v>43688</v>
      </c>
      <c r="L237" s="435">
        <f t="shared" si="88"/>
        <v>3.9592870633662347E-3</v>
      </c>
      <c r="M237" s="842"/>
      <c r="N237" s="842"/>
      <c r="O237" s="323">
        <f t="shared" si="89"/>
        <v>1.8080695661864373E-2</v>
      </c>
      <c r="P237" s="169">
        <f>(INDEX(Models!$BJ237:$BT237,,T237)*(1-R237)+INDEX(Models!$BJ237:$BT237,,T237+1)*R237-ERP_i)*Q237*Ramure*Pc/MaxiM</f>
        <v>3.8382037880006199E-5</v>
      </c>
      <c r="Q237" s="304">
        <f t="shared" si="90"/>
        <v>0.6</v>
      </c>
      <c r="R237" s="177">
        <f t="shared" si="91"/>
        <v>0.9629332788877385</v>
      </c>
      <c r="S237" s="799">
        <f t="shared" si="109"/>
        <v>-2</v>
      </c>
      <c r="T237" s="176">
        <f t="shared" si="92"/>
        <v>4</v>
      </c>
      <c r="U237" s="250">
        <f t="shared" si="93"/>
        <v>-1.0370667211122615</v>
      </c>
      <c r="V237" s="382">
        <f t="shared" si="94"/>
        <v>56.797539092195812</v>
      </c>
      <c r="W237" s="58"/>
      <c r="X237" s="157">
        <f t="shared" si="95"/>
        <v>43688</v>
      </c>
      <c r="Y237" s="383">
        <f t="shared" si="96"/>
        <v>24.216000000000001</v>
      </c>
      <c r="Z237" s="383">
        <f t="shared" si="97"/>
        <v>24.312259213384763</v>
      </c>
      <c r="AA237" s="384">
        <f t="shared" si="98"/>
        <v>24.759936082295969</v>
      </c>
      <c r="AB237" s="197">
        <f t="shared" si="99"/>
        <v>43688</v>
      </c>
      <c r="AC237" s="424">
        <f t="shared" si="100"/>
        <v>1.8080695661864373E-2</v>
      </c>
      <c r="AD237" s="169">
        <f>(INDEX(Models!$BJ237:$BT237,,AH237)*(1-AF237)+INDEX(Models!$BJ237:$BT237,,AH237+1)*AF237-ERP_i)*AE237*Ramure*Pc/MaxiM</f>
        <v>3.8382037880006199E-5</v>
      </c>
      <c r="AE237" s="304">
        <f t="shared" si="101"/>
        <v>0.6</v>
      </c>
      <c r="AF237" s="177">
        <f t="shared" si="102"/>
        <v>0.9629332788877385</v>
      </c>
      <c r="AG237" s="799">
        <f t="shared" si="103"/>
        <v>-2</v>
      </c>
      <c r="AH237" s="176">
        <f t="shared" si="104"/>
        <v>4</v>
      </c>
      <c r="AI237" s="224">
        <f t="shared" si="105"/>
        <v>-1.0370667211122615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28.332999999999998</v>
      </c>
      <c r="C238" s="388"/>
      <c r="D238" s="391">
        <f t="shared" si="85"/>
        <v>28.446169557017207</v>
      </c>
      <c r="E238" s="383">
        <f t="shared" si="111"/>
        <v>28.972286743597767</v>
      </c>
      <c r="F238" s="383">
        <f t="shared" si="110"/>
        <v>28.972613481475392</v>
      </c>
      <c r="G238" s="110">
        <f t="shared" si="112"/>
        <v>0.50024584519396775</v>
      </c>
      <c r="I238" s="379">
        <f t="shared" si="86"/>
        <v>28.972613481475392</v>
      </c>
      <c r="J238" s="85">
        <v>2018</v>
      </c>
      <c r="K238" s="197">
        <f t="shared" si="87"/>
        <v>43689</v>
      </c>
      <c r="L238" s="435">
        <f t="shared" si="88"/>
        <v>3.9783759563962739E-3</v>
      </c>
      <c r="M238" s="842"/>
      <c r="N238" s="842"/>
      <c r="O238" s="323">
        <f t="shared" si="89"/>
        <v>1.8159325538803697E-2</v>
      </c>
      <c r="P238" s="169">
        <f>(INDEX(Models!$BJ238:$BT238,,T238)*(1-R238)+INDEX(Models!$BJ238:$BT238,,T238+1)*R238-ERP_i)*Q238*Ramure*Pc/MaxiM</f>
        <v>3.9419925967484868E-5</v>
      </c>
      <c r="Q238" s="304">
        <f t="shared" si="90"/>
        <v>0.6</v>
      </c>
      <c r="R238" s="177">
        <f t="shared" si="91"/>
        <v>0.96429441787530457</v>
      </c>
      <c r="S238" s="799">
        <f t="shared" si="109"/>
        <v>-2</v>
      </c>
      <c r="T238" s="176">
        <f t="shared" si="92"/>
        <v>4</v>
      </c>
      <c r="U238" s="250">
        <f t="shared" si="93"/>
        <v>-1.0357055821246954</v>
      </c>
      <c r="V238" s="382">
        <f t="shared" si="94"/>
        <v>56.636557610814727</v>
      </c>
      <c r="W238" s="58"/>
      <c r="X238" s="157">
        <f t="shared" si="95"/>
        <v>43689</v>
      </c>
      <c r="Y238" s="383">
        <f t="shared" si="96"/>
        <v>28.332999999999998</v>
      </c>
      <c r="Z238" s="383">
        <f t="shared" si="97"/>
        <v>28.446169557017207</v>
      </c>
      <c r="AA238" s="384">
        <f t="shared" si="98"/>
        <v>28.972286743597767</v>
      </c>
      <c r="AB238" s="197">
        <f t="shared" si="99"/>
        <v>43689</v>
      </c>
      <c r="AC238" s="424">
        <f t="shared" si="100"/>
        <v>1.8159325538803697E-2</v>
      </c>
      <c r="AD238" s="169">
        <f>(INDEX(Models!$BJ238:$BT238,,AH238)*(1-AF238)+INDEX(Models!$BJ238:$BT238,,AH238+1)*AF238-ERP_i)*AE238*Ramure*Pc/MaxiM</f>
        <v>3.9419925967484868E-5</v>
      </c>
      <c r="AE238" s="304">
        <f t="shared" si="101"/>
        <v>0.6</v>
      </c>
      <c r="AF238" s="177">
        <f t="shared" si="102"/>
        <v>0.96429441787530457</v>
      </c>
      <c r="AG238" s="799">
        <f t="shared" si="103"/>
        <v>-2</v>
      </c>
      <c r="AH238" s="176">
        <f t="shared" si="104"/>
        <v>4</v>
      </c>
      <c r="AI238" s="224">
        <f t="shared" si="105"/>
        <v>-1.0357055821246954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48.764000000000003</v>
      </c>
      <c r="C239" s="388"/>
      <c r="D239" s="391">
        <f t="shared" si="85"/>
        <v>48.959714720722886</v>
      </c>
      <c r="E239" s="383">
        <f t="shared" si="111"/>
        <v>49.869221315887849</v>
      </c>
      <c r="F239" s="383">
        <f t="shared" si="110"/>
        <v>49.870847104426645</v>
      </c>
      <c r="G239" s="110">
        <f t="shared" si="112"/>
        <v>0.8634881959312799</v>
      </c>
      <c r="I239" s="379">
        <f t="shared" si="86"/>
        <v>49.870847104426645</v>
      </c>
      <c r="J239" s="85">
        <v>2018</v>
      </c>
      <c r="K239" s="197">
        <f t="shared" si="87"/>
        <v>43690</v>
      </c>
      <c r="L239" s="435">
        <f t="shared" si="88"/>
        <v>3.9974644835919504E-3</v>
      </c>
      <c r="M239" s="842"/>
      <c r="N239" s="842"/>
      <c r="O239" s="323">
        <f t="shared" si="89"/>
        <v>1.8237834302722578E-2</v>
      </c>
      <c r="P239" s="169">
        <f>(INDEX(Models!$BJ239:$BT239,,T239)*(1-R239)+INDEX(Models!$BJ239:$BT239,,T239+1)*R239-ERP_i)*Q239*Ramure*Pc/MaxiM</f>
        <v>4.0497225818306039E-5</v>
      </c>
      <c r="Q239" s="304">
        <f t="shared" si="90"/>
        <v>0.6</v>
      </c>
      <c r="R239" s="177">
        <f t="shared" si="91"/>
        <v>0.96560827620304823</v>
      </c>
      <c r="S239" s="799">
        <f t="shared" si="109"/>
        <v>-2</v>
      </c>
      <c r="T239" s="176">
        <f t="shared" si="92"/>
        <v>4</v>
      </c>
      <c r="U239" s="250">
        <f t="shared" si="93"/>
        <v>-1.0343917237969518</v>
      </c>
      <c r="V239" s="382">
        <f t="shared" si="94"/>
        <v>56.472821650422887</v>
      </c>
      <c r="W239" s="58"/>
      <c r="X239" s="157">
        <f t="shared" si="95"/>
        <v>43690</v>
      </c>
      <c r="Y239" s="383">
        <f t="shared" si="96"/>
        <v>48.764000000000003</v>
      </c>
      <c r="Z239" s="383">
        <f t="shared" si="97"/>
        <v>48.959714720722886</v>
      </c>
      <c r="AA239" s="384">
        <f t="shared" si="98"/>
        <v>49.869221315887849</v>
      </c>
      <c r="AB239" s="197">
        <f t="shared" si="99"/>
        <v>43690</v>
      </c>
      <c r="AC239" s="424">
        <f t="shared" si="100"/>
        <v>1.8237834302722578E-2</v>
      </c>
      <c r="AD239" s="169">
        <f>(INDEX(Models!$BJ239:$BT239,,AH239)*(1-AF239)+INDEX(Models!$BJ239:$BT239,,AH239+1)*AF239-ERP_i)*AE239*Ramure*Pc/MaxiM</f>
        <v>4.0497225818306039E-5</v>
      </c>
      <c r="AE239" s="304">
        <f t="shared" si="101"/>
        <v>0.6</v>
      </c>
      <c r="AF239" s="177">
        <f t="shared" si="102"/>
        <v>0.96560827620304823</v>
      </c>
      <c r="AG239" s="799">
        <f t="shared" si="103"/>
        <v>-2</v>
      </c>
      <c r="AH239" s="176">
        <f t="shared" si="104"/>
        <v>4</v>
      </c>
      <c r="AI239" s="224">
        <f t="shared" si="105"/>
        <v>-1.0343917237969518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55.723999999999997</v>
      </c>
      <c r="C240" s="388"/>
      <c r="D240" s="391">
        <f t="shared" si="85"/>
        <v>55.948720983247412</v>
      </c>
      <c r="E240" s="383">
        <f t="shared" si="111"/>
        <v>56.992610196284602</v>
      </c>
      <c r="F240" s="383">
        <f t="shared" si="110"/>
        <v>56.99494858795164</v>
      </c>
      <c r="G240" s="110">
        <f t="shared" si="112"/>
        <v>0.98966097943922959</v>
      </c>
      <c r="I240" s="379">
        <f t="shared" si="86"/>
        <v>56.99494858795164</v>
      </c>
      <c r="J240" s="85">
        <v>2018</v>
      </c>
      <c r="K240" s="197">
        <f t="shared" si="87"/>
        <v>43691</v>
      </c>
      <c r="L240" s="435">
        <f t="shared" si="88"/>
        <v>4.0165526449604805E-3</v>
      </c>
      <c r="M240" s="842"/>
      <c r="N240" s="842"/>
      <c r="O240" s="323">
        <f t="shared" si="89"/>
        <v>1.8316220461600159E-2</v>
      </c>
      <c r="P240" s="169">
        <f>(INDEX(Models!$BJ240:$BT240,,T240)*(1-R240)+INDEX(Models!$BJ240:$BT240,,T240+1)*R240-ERP_i)*Q240*Ramure*Pc/MaxiM</f>
        <v>4.1643084539021929E-5</v>
      </c>
      <c r="Q240" s="304">
        <f t="shared" si="90"/>
        <v>0.6</v>
      </c>
      <c r="R240" s="177">
        <f t="shared" si="91"/>
        <v>0.9668762227639971</v>
      </c>
      <c r="S240" s="799">
        <f t="shared" si="109"/>
        <v>-2</v>
      </c>
      <c r="T240" s="176">
        <f t="shared" si="92"/>
        <v>4</v>
      </c>
      <c r="U240" s="250">
        <f t="shared" si="93"/>
        <v>-1.0331237772360029</v>
      </c>
      <c r="V240" s="382">
        <f t="shared" si="94"/>
        <v>56.306115815588797</v>
      </c>
      <c r="W240" s="58"/>
      <c r="X240" s="157">
        <f t="shared" si="95"/>
        <v>43691</v>
      </c>
      <c r="Y240" s="383">
        <f t="shared" si="96"/>
        <v>55.723999999999997</v>
      </c>
      <c r="Z240" s="383">
        <f t="shared" si="97"/>
        <v>55.948720983247412</v>
      </c>
      <c r="AA240" s="384">
        <f t="shared" si="98"/>
        <v>56.992610196284602</v>
      </c>
      <c r="AB240" s="197">
        <f t="shared" si="99"/>
        <v>43691</v>
      </c>
      <c r="AC240" s="424">
        <f t="shared" si="100"/>
        <v>1.8316220461600159E-2</v>
      </c>
      <c r="AD240" s="169">
        <f>(INDEX(Models!$BJ240:$BT240,,AH240)*(1-AF240)+INDEX(Models!$BJ240:$BT240,,AH240+1)*AF240-ERP_i)*AE240*Ramure*Pc/MaxiM</f>
        <v>4.1643084539021929E-5</v>
      </c>
      <c r="AE240" s="304">
        <f t="shared" si="101"/>
        <v>0.6</v>
      </c>
      <c r="AF240" s="177">
        <f t="shared" si="102"/>
        <v>0.9668762227639971</v>
      </c>
      <c r="AG240" s="799">
        <f t="shared" si="103"/>
        <v>-2</v>
      </c>
      <c r="AH240" s="176">
        <f t="shared" si="104"/>
        <v>4</v>
      </c>
      <c r="AI240" s="224">
        <f t="shared" si="105"/>
        <v>-1.0331237772360029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28.463999999999999</v>
      </c>
      <c r="C241" s="388"/>
      <c r="D241" s="391">
        <f t="shared" si="85"/>
        <v>28.579335923817037</v>
      </c>
      <c r="E241" s="383">
        <f t="shared" si="111"/>
        <v>29.114889238520142</v>
      </c>
      <c r="F241" s="383">
        <f t="shared" si="110"/>
        <v>29.115258138147656</v>
      </c>
      <c r="G241" s="110">
        <f t="shared" si="112"/>
        <v>0.50703694450668646</v>
      </c>
      <c r="I241" s="379">
        <f t="shared" si="86"/>
        <v>29.115258138147656</v>
      </c>
      <c r="J241" s="85">
        <v>2018</v>
      </c>
      <c r="K241" s="197">
        <f t="shared" si="87"/>
        <v>43692</v>
      </c>
      <c r="L241" s="435">
        <f t="shared" si="88"/>
        <v>4.0356404405086366E-3</v>
      </c>
      <c r="M241" s="842"/>
      <c r="N241" s="842"/>
      <c r="O241" s="323">
        <f t="shared" si="89"/>
        <v>1.8394482297894095E-2</v>
      </c>
      <c r="P241" s="169">
        <f>(INDEX(Models!$BJ241:$BT241,,T241)*(1-R241)+INDEX(Models!$BJ241:$BT241,,T241+1)*R241-ERP_i)*Q241*Ramure*Pc/MaxiM</f>
        <v>4.2835681251954153E-5</v>
      </c>
      <c r="Q241" s="304">
        <f t="shared" si="90"/>
        <v>0.6</v>
      </c>
      <c r="R241" s="177">
        <f t="shared" si="91"/>
        <v>0.96809960728703737</v>
      </c>
      <c r="S241" s="799">
        <f t="shared" si="109"/>
        <v>-2</v>
      </c>
      <c r="T241" s="176">
        <f t="shared" si="92"/>
        <v>4</v>
      </c>
      <c r="U241" s="250">
        <f t="shared" si="93"/>
        <v>-1.0319003927129626</v>
      </c>
      <c r="V241" s="382">
        <f t="shared" si="94"/>
        <v>56.136227686448194</v>
      </c>
      <c r="W241" s="58"/>
      <c r="X241" s="157">
        <f t="shared" si="95"/>
        <v>43692</v>
      </c>
      <c r="Y241" s="383">
        <f t="shared" si="96"/>
        <v>28.463999999999999</v>
      </c>
      <c r="Z241" s="383">
        <f t="shared" si="97"/>
        <v>28.579335923817037</v>
      </c>
      <c r="AA241" s="384">
        <f t="shared" si="98"/>
        <v>29.114889238520142</v>
      </c>
      <c r="AB241" s="197">
        <f t="shared" si="99"/>
        <v>43692</v>
      </c>
      <c r="AC241" s="424">
        <f t="shared" si="100"/>
        <v>1.8394482297894095E-2</v>
      </c>
      <c r="AD241" s="169">
        <f>(INDEX(Models!$BJ241:$BT241,,AH241)*(1-AF241)+INDEX(Models!$BJ241:$BT241,,AH241+1)*AF241-ERP_i)*AE241*Ramure*Pc/MaxiM</f>
        <v>4.2835681251954153E-5</v>
      </c>
      <c r="AE241" s="304">
        <f t="shared" si="101"/>
        <v>0.6</v>
      </c>
      <c r="AF241" s="177">
        <f t="shared" si="102"/>
        <v>0.96809960728703737</v>
      </c>
      <c r="AG241" s="799">
        <f t="shared" si="103"/>
        <v>-2</v>
      </c>
      <c r="AH241" s="176">
        <f t="shared" si="104"/>
        <v>4</v>
      </c>
      <c r="AI241" s="224">
        <f t="shared" si="105"/>
        <v>-1.0319003927129626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54.634</v>
      </c>
      <c r="C242" s="388"/>
      <c r="D242" s="391">
        <f t="shared" si="85"/>
        <v>54.856427887015492</v>
      </c>
      <c r="E242" s="383">
        <f t="shared" si="111"/>
        <v>55.888841092457994</v>
      </c>
      <c r="F242" s="383">
        <f t="shared" si="110"/>
        <v>55.891220971481495</v>
      </c>
      <c r="G242" s="110">
        <f t="shared" si="112"/>
        <v>0.97625168962570441</v>
      </c>
      <c r="I242" s="379">
        <f t="shared" si="86"/>
        <v>55.891220971481495</v>
      </c>
      <c r="J242" s="85">
        <v>2018</v>
      </c>
      <c r="K242" s="197">
        <f t="shared" si="87"/>
        <v>43693</v>
      </c>
      <c r="L242" s="435">
        <f t="shared" si="88"/>
        <v>4.0547278702436351E-3</v>
      </c>
      <c r="M242" s="842"/>
      <c r="N242" s="842"/>
      <c r="O242" s="323">
        <f t="shared" si="89"/>
        <v>1.8472617883318762E-2</v>
      </c>
      <c r="P242" s="169">
        <f>(INDEX(Models!$BJ242:$BT242,,T242)*(1-R242)+INDEX(Models!$BJ242:$BT242,,T242+1)*R242-ERP_i)*Q242*Ramure*Pc/MaxiM</f>
        <v>4.4075781691824382E-5</v>
      </c>
      <c r="Q242" s="304">
        <f t="shared" si="90"/>
        <v>0.6</v>
      </c>
      <c r="R242" s="177">
        <f t="shared" si="91"/>
        <v>0.96927975891505613</v>
      </c>
      <c r="S242" s="799">
        <f t="shared" si="109"/>
        <v>-2</v>
      </c>
      <c r="T242" s="176">
        <f t="shared" si="92"/>
        <v>4</v>
      </c>
      <c r="U242" s="250">
        <f t="shared" si="93"/>
        <v>-1.0307202410849439</v>
      </c>
      <c r="V242" s="382">
        <f t="shared" si="94"/>
        <v>55.962943661661782</v>
      </c>
      <c r="W242" s="58"/>
      <c r="X242" s="157">
        <f t="shared" si="95"/>
        <v>43693</v>
      </c>
      <c r="Y242" s="383">
        <f t="shared" si="96"/>
        <v>54.634</v>
      </c>
      <c r="Z242" s="383">
        <f t="shared" si="97"/>
        <v>54.856427887015492</v>
      </c>
      <c r="AA242" s="384">
        <f t="shared" si="98"/>
        <v>55.888841092457994</v>
      </c>
      <c r="AB242" s="197">
        <f t="shared" si="99"/>
        <v>43693</v>
      </c>
      <c r="AC242" s="424">
        <f t="shared" si="100"/>
        <v>1.8472617883318762E-2</v>
      </c>
      <c r="AD242" s="169">
        <f>(INDEX(Models!$BJ242:$BT242,,AH242)*(1-AF242)+INDEX(Models!$BJ242:$BT242,,AH242+1)*AF242-ERP_i)*AE242*Ramure*Pc/MaxiM</f>
        <v>4.4075781691824382E-5</v>
      </c>
      <c r="AE242" s="304">
        <f t="shared" si="101"/>
        <v>0.6</v>
      </c>
      <c r="AF242" s="177">
        <f t="shared" si="102"/>
        <v>0.96927975891505613</v>
      </c>
      <c r="AG242" s="799">
        <f t="shared" si="103"/>
        <v>-2</v>
      </c>
      <c r="AH242" s="176">
        <f t="shared" si="104"/>
        <v>4</v>
      </c>
      <c r="AI242" s="224">
        <f t="shared" si="105"/>
        <v>-1.0307202410849439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53.731999999999999</v>
      </c>
      <c r="C243" s="388"/>
      <c r="D243" s="391">
        <f t="shared" si="85"/>
        <v>53.951789606223159</v>
      </c>
      <c r="E243" s="383">
        <f t="shared" si="111"/>
        <v>54.97154614962183</v>
      </c>
      <c r="F243" s="383">
        <f t="shared" si="110"/>
        <v>54.973908818601828</v>
      </c>
      <c r="G243" s="110">
        <f t="shared" si="112"/>
        <v>0.96317756064518167</v>
      </c>
      <c r="I243" s="379">
        <f t="shared" si="86"/>
        <v>54.973908818601828</v>
      </c>
      <c r="J243" s="85">
        <v>2018</v>
      </c>
      <c r="K243" s="197">
        <f t="shared" si="87"/>
        <v>43694</v>
      </c>
      <c r="L243" s="435">
        <f t="shared" si="88"/>
        <v>4.0738149341723595E-3</v>
      </c>
      <c r="M243" s="842"/>
      <c r="N243" s="842"/>
      <c r="O243" s="323">
        <f t="shared" si="89"/>
        <v>1.8550625092899703E-2</v>
      </c>
      <c r="P243" s="169">
        <f>(INDEX(Models!$BJ243:$BT243,,T243)*(1-R243)+INDEX(Models!$BJ243:$BT243,,T243+1)*R243-ERP_i)*Q243*Ramure*Pc/MaxiM</f>
        <v>4.5364170444257159E-5</v>
      </c>
      <c r="Q243" s="304">
        <f t="shared" si="90"/>
        <v>0.6</v>
      </c>
      <c r="R243" s="177">
        <f t="shared" si="91"/>
        <v>0.97041798494990883</v>
      </c>
      <c r="S243" s="799">
        <f t="shared" si="109"/>
        <v>-2</v>
      </c>
      <c r="T243" s="176">
        <f t="shared" si="92"/>
        <v>4</v>
      </c>
      <c r="U243" s="250">
        <f t="shared" si="93"/>
        <v>-1.0295820150500912</v>
      </c>
      <c r="V243" s="382">
        <f t="shared" si="94"/>
        <v>55.786050232634544</v>
      </c>
      <c r="W243" s="58"/>
      <c r="X243" s="157">
        <f t="shared" si="95"/>
        <v>43694</v>
      </c>
      <c r="Y243" s="383">
        <f t="shared" si="96"/>
        <v>53.731999999999999</v>
      </c>
      <c r="Z243" s="383">
        <f t="shared" si="97"/>
        <v>53.951789606223159</v>
      </c>
      <c r="AA243" s="384">
        <f t="shared" si="98"/>
        <v>54.97154614962183</v>
      </c>
      <c r="AB243" s="197">
        <f t="shared" si="99"/>
        <v>43694</v>
      </c>
      <c r="AC243" s="424">
        <f t="shared" si="100"/>
        <v>1.8550625092899703E-2</v>
      </c>
      <c r="AD243" s="169">
        <f>(INDEX(Models!$BJ243:$BT243,,AH243)*(1-AF243)+INDEX(Models!$BJ243:$BT243,,AH243+1)*AF243-ERP_i)*AE243*Ramure*Pc/MaxiM</f>
        <v>4.5364170444257159E-5</v>
      </c>
      <c r="AE243" s="304">
        <f t="shared" si="101"/>
        <v>0.6</v>
      </c>
      <c r="AF243" s="177">
        <f t="shared" si="102"/>
        <v>0.97041798494990883</v>
      </c>
      <c r="AG243" s="799">
        <f t="shared" si="103"/>
        <v>-2</v>
      </c>
      <c r="AH243" s="176">
        <f t="shared" si="104"/>
        <v>4</v>
      </c>
      <c r="AI243" s="224">
        <f t="shared" si="105"/>
        <v>-1.0295820150500912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37.198</v>
      </c>
      <c r="C244" s="388"/>
      <c r="D244" s="391">
        <f t="shared" si="85"/>
        <v>37.350873450915152</v>
      </c>
      <c r="E244" s="383">
        <f t="shared" si="111"/>
        <v>38.05987183497637</v>
      </c>
      <c r="F244" s="383">
        <f t="shared" si="110"/>
        <v>38.060808742942079</v>
      </c>
      <c r="G244" s="110">
        <f t="shared" si="112"/>
        <v>0.66894982507945588</v>
      </c>
      <c r="I244" s="379">
        <f t="shared" si="86"/>
        <v>38.060808742942079</v>
      </c>
      <c r="J244" s="85">
        <v>2018</v>
      </c>
      <c r="K244" s="197">
        <f t="shared" si="87"/>
        <v>43695</v>
      </c>
      <c r="L244" s="435">
        <f t="shared" si="88"/>
        <v>4.0929016323019152E-3</v>
      </c>
      <c r="M244" s="842"/>
      <c r="N244" s="842"/>
      <c r="O244" s="323">
        <f t="shared" si="89"/>
        <v>1.8628501618065427E-2</v>
      </c>
      <c r="P244" s="169">
        <f>(INDEX(Models!$BJ244:$BT244,,T244)*(1-R244)+INDEX(Models!$BJ244:$BT244,,T244+1)*R244-ERP_i)*Q244*Ramure*Pc/MaxiM</f>
        <v>4.6701653697410166E-5</v>
      </c>
      <c r="Q244" s="304">
        <f t="shared" si="90"/>
        <v>0.6</v>
      </c>
      <c r="R244" s="177">
        <f t="shared" si="91"/>
        <v>0.97151556975472242</v>
      </c>
      <c r="S244" s="799">
        <f t="shared" si="109"/>
        <v>-2</v>
      </c>
      <c r="T244" s="176">
        <f t="shared" si="92"/>
        <v>4</v>
      </c>
      <c r="U244" s="250">
        <f t="shared" si="93"/>
        <v>-1.0284844302452776</v>
      </c>
      <c r="V244" s="382">
        <f t="shared" si="94"/>
        <v>55.605333981871503</v>
      </c>
      <c r="W244" s="58"/>
      <c r="X244" s="157">
        <f t="shared" si="95"/>
        <v>43695</v>
      </c>
      <c r="Y244" s="383">
        <f t="shared" si="96"/>
        <v>37.198</v>
      </c>
      <c r="Z244" s="383">
        <f t="shared" si="97"/>
        <v>37.350873450915152</v>
      </c>
      <c r="AA244" s="384">
        <f t="shared" si="98"/>
        <v>38.05987183497637</v>
      </c>
      <c r="AB244" s="197">
        <f t="shared" si="99"/>
        <v>43695</v>
      </c>
      <c r="AC244" s="424">
        <f t="shared" si="100"/>
        <v>1.8628501618065427E-2</v>
      </c>
      <c r="AD244" s="169">
        <f>(INDEX(Models!$BJ244:$BT244,,AH244)*(1-AF244)+INDEX(Models!$BJ244:$BT244,,AH244+1)*AF244-ERP_i)*AE244*Ramure*Pc/MaxiM</f>
        <v>4.6701653697410166E-5</v>
      </c>
      <c r="AE244" s="304">
        <f t="shared" si="101"/>
        <v>0.6</v>
      </c>
      <c r="AF244" s="177">
        <f t="shared" si="102"/>
        <v>0.97151556975472242</v>
      </c>
      <c r="AG244" s="799">
        <f t="shared" si="103"/>
        <v>-2</v>
      </c>
      <c r="AH244" s="176">
        <f t="shared" si="104"/>
        <v>4</v>
      </c>
      <c r="AI244" s="224">
        <f t="shared" si="105"/>
        <v>-1.0284844302452776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34.807000000000002</v>
      </c>
      <c r="C245" s="388"/>
      <c r="D245" s="391">
        <f t="shared" si="85"/>
        <v>34.950716927360823</v>
      </c>
      <c r="E245" s="383">
        <f t="shared" si="111"/>
        <v>35.61697682117331</v>
      </c>
      <c r="F245" s="383">
        <f t="shared" si="110"/>
        <v>35.617779529241133</v>
      </c>
      <c r="G245" s="110">
        <f t="shared" si="112"/>
        <v>0.62803582322084772</v>
      </c>
      <c r="I245" s="379">
        <f t="shared" si="86"/>
        <v>35.617779529241133</v>
      </c>
      <c r="J245" s="85">
        <v>2018</v>
      </c>
      <c r="K245" s="197">
        <f t="shared" si="87"/>
        <v>43696</v>
      </c>
      <c r="L245" s="435">
        <f t="shared" si="88"/>
        <v>4.1119879646391855E-3</v>
      </c>
      <c r="M245" s="842"/>
      <c r="N245" s="842"/>
      <c r="O245" s="323">
        <f t="shared" si="89"/>
        <v>1.8706244978557916E-2</v>
      </c>
      <c r="P245" s="169">
        <f>(INDEX(Models!$BJ245:$BT245,,T245)*(1-R245)+INDEX(Models!$BJ245:$BT245,,T245+1)*R245-ERP_i)*Q245*Ramure*Pc/MaxiM</f>
        <v>4.8089062061748427E-5</v>
      </c>
      <c r="Q245" s="304">
        <f t="shared" si="90"/>
        <v>0.6</v>
      </c>
      <c r="R245" s="177">
        <f t="shared" si="91"/>
        <v>0.97257377380416177</v>
      </c>
      <c r="S245" s="799">
        <f t="shared" si="109"/>
        <v>-2</v>
      </c>
      <c r="T245" s="176">
        <f t="shared" si="92"/>
        <v>4</v>
      </c>
      <c r="U245" s="250">
        <f t="shared" si="93"/>
        <v>-1.0274262261958382</v>
      </c>
      <c r="V245" s="382">
        <f t="shared" si="94"/>
        <v>55.420581585974297</v>
      </c>
      <c r="W245" s="58"/>
      <c r="X245" s="157">
        <f t="shared" si="95"/>
        <v>43696</v>
      </c>
      <c r="Y245" s="383">
        <f t="shared" si="96"/>
        <v>34.807000000000002</v>
      </c>
      <c r="Z245" s="383">
        <f t="shared" si="97"/>
        <v>34.950716927360823</v>
      </c>
      <c r="AA245" s="384">
        <f t="shared" si="98"/>
        <v>35.61697682117331</v>
      </c>
      <c r="AB245" s="197">
        <f t="shared" si="99"/>
        <v>43696</v>
      </c>
      <c r="AC245" s="424">
        <f t="shared" si="100"/>
        <v>1.8706244978557916E-2</v>
      </c>
      <c r="AD245" s="169">
        <f>(INDEX(Models!$BJ245:$BT245,,AH245)*(1-AF245)+INDEX(Models!$BJ245:$BT245,,AH245+1)*AF245-ERP_i)*AE245*Ramure*Pc/MaxiM</f>
        <v>4.8089062061748427E-5</v>
      </c>
      <c r="AE245" s="304">
        <f t="shared" si="101"/>
        <v>0.6</v>
      </c>
      <c r="AF245" s="177">
        <f t="shared" si="102"/>
        <v>0.97257377380416177</v>
      </c>
      <c r="AG245" s="799">
        <f t="shared" si="103"/>
        <v>-2</v>
      </c>
      <c r="AH245" s="176">
        <f t="shared" si="104"/>
        <v>4</v>
      </c>
      <c r="AI245" s="224">
        <f t="shared" si="105"/>
        <v>-1.0274262261958382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31.306000000000001</v>
      </c>
      <c r="C246" s="388"/>
      <c r="D246" s="391">
        <f t="shared" si="85"/>
        <v>31.435863877769933</v>
      </c>
      <c r="E246" s="383">
        <f t="shared" si="111"/>
        <v>32.037654454546285</v>
      </c>
      <c r="F246" s="383">
        <f t="shared" si="110"/>
        <v>32.038259269843849</v>
      </c>
      <c r="G246" s="110">
        <f t="shared" si="112"/>
        <v>0.56679603558162928</v>
      </c>
      <c r="I246" s="379">
        <f t="shared" si="86"/>
        <v>32.038259269843849</v>
      </c>
      <c r="J246" s="85">
        <v>2018</v>
      </c>
      <c r="K246" s="197">
        <f t="shared" si="87"/>
        <v>43697</v>
      </c>
      <c r="L246" s="435">
        <f t="shared" si="88"/>
        <v>4.1310739311912759E-3</v>
      </c>
      <c r="M246" s="842"/>
      <c r="N246" s="842"/>
      <c r="O246" s="323">
        <f t="shared" si="89"/>
        <v>1.8783852532967115E-2</v>
      </c>
      <c r="P246" s="169">
        <f>(INDEX(Models!$BJ246:$BT246,,T246)*(1-R246)+INDEX(Models!$BJ246:$BT246,,T246+1)*R246-ERP_i)*Q246*Ramure*Pc/MaxiM</f>
        <v>4.9527253475357323E-5</v>
      </c>
      <c r="Q246" s="304">
        <f t="shared" si="90"/>
        <v>0.6</v>
      </c>
      <c r="R246" s="177">
        <f t="shared" si="91"/>
        <v>0.97359383287344703</v>
      </c>
      <c r="S246" s="799">
        <f t="shared" si="109"/>
        <v>-2</v>
      </c>
      <c r="T246" s="176">
        <f t="shared" si="92"/>
        <v>4</v>
      </c>
      <c r="U246" s="250">
        <f t="shared" si="93"/>
        <v>-1.026406167126553</v>
      </c>
      <c r="V246" s="382">
        <f t="shared" si="94"/>
        <v>55.231579806904051</v>
      </c>
      <c r="W246" s="58"/>
      <c r="X246" s="157">
        <f t="shared" si="95"/>
        <v>43697</v>
      </c>
      <c r="Y246" s="383">
        <f t="shared" si="96"/>
        <v>31.305999999999997</v>
      </c>
      <c r="Z246" s="383">
        <f t="shared" si="97"/>
        <v>31.435863877769929</v>
      </c>
      <c r="AA246" s="384">
        <f t="shared" si="98"/>
        <v>32.037654454546285</v>
      </c>
      <c r="AB246" s="197">
        <f t="shared" si="99"/>
        <v>43697</v>
      </c>
      <c r="AC246" s="424">
        <f t="shared" si="100"/>
        <v>1.8783852532967115E-2</v>
      </c>
      <c r="AD246" s="169">
        <f>(INDEX(Models!$BJ246:$BT246,,AH246)*(1-AF246)+INDEX(Models!$BJ246:$BT246,,AH246+1)*AF246-ERP_i)*AE246*Ramure*Pc/MaxiM</f>
        <v>4.9527253475357323E-5</v>
      </c>
      <c r="AE246" s="304">
        <f t="shared" si="101"/>
        <v>0.6</v>
      </c>
      <c r="AF246" s="177">
        <f t="shared" si="102"/>
        <v>0.97359383287344703</v>
      </c>
      <c r="AG246" s="799">
        <f t="shared" si="103"/>
        <v>-2</v>
      </c>
      <c r="AH246" s="176">
        <f t="shared" si="104"/>
        <v>4</v>
      </c>
      <c r="AI246" s="224">
        <f t="shared" si="105"/>
        <v>-1.026406167126553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49.508000000000003</v>
      </c>
      <c r="C247" s="388"/>
      <c r="D247" s="391">
        <f t="shared" si="85"/>
        <v>49.71432236885429</v>
      </c>
      <c r="E247" s="383">
        <f t="shared" si="111"/>
        <v>50.670026019397341</v>
      </c>
      <c r="F247" s="383">
        <f t="shared" si="110"/>
        <v>50.672240044649257</v>
      </c>
      <c r="G247" s="110">
        <f t="shared" si="112"/>
        <v>0.89950672550704802</v>
      </c>
      <c r="I247" s="379">
        <f t="shared" si="86"/>
        <v>50.672240044649257</v>
      </c>
      <c r="J247" s="85">
        <v>2018</v>
      </c>
      <c r="K247" s="197">
        <f t="shared" si="87"/>
        <v>43698</v>
      </c>
      <c r="L247" s="435">
        <f t="shared" si="88"/>
        <v>4.1501595319651807E-3</v>
      </c>
      <c r="M247" s="842"/>
      <c r="N247" s="842"/>
      <c r="O247" s="323">
        <f t="shared" si="89"/>
        <v>1.8861321487721131E-2</v>
      </c>
      <c r="P247" s="169">
        <f>(INDEX(Models!$BJ247:$BT247,,T247)*(1-R247)+INDEX(Models!$BJ247:$BT247,,T247+1)*R247-ERP_i)*Q247*Ramure*Pc/MaxiM</f>
        <v>5.1016619134173882E-5</v>
      </c>
      <c r="Q247" s="304">
        <f t="shared" si="90"/>
        <v>0.6</v>
      </c>
      <c r="R247" s="177">
        <f t="shared" si="91"/>
        <v>0.97457695735711125</v>
      </c>
      <c r="S247" s="799">
        <f t="shared" si="109"/>
        <v>-2</v>
      </c>
      <c r="T247" s="176">
        <f t="shared" si="92"/>
        <v>4</v>
      </c>
      <c r="U247" s="250">
        <f t="shared" si="93"/>
        <v>-1.0254230426428887</v>
      </c>
      <c r="V247" s="382">
        <f t="shared" si="94"/>
        <v>55.038651747168572</v>
      </c>
      <c r="W247" s="58"/>
      <c r="X247" s="157">
        <f t="shared" si="95"/>
        <v>43698</v>
      </c>
      <c r="Y247" s="383">
        <f t="shared" si="96"/>
        <v>49.508000000000003</v>
      </c>
      <c r="Z247" s="383">
        <f t="shared" si="97"/>
        <v>49.71432236885429</v>
      </c>
      <c r="AA247" s="384">
        <f t="shared" si="98"/>
        <v>50.670026019397341</v>
      </c>
      <c r="AB247" s="197">
        <f t="shared" si="99"/>
        <v>43698</v>
      </c>
      <c r="AC247" s="424">
        <f t="shared" si="100"/>
        <v>1.8861321487721131E-2</v>
      </c>
      <c r="AD247" s="169">
        <f>(INDEX(Models!$BJ247:$BT247,,AH247)*(1-AF247)+INDEX(Models!$BJ247:$BT247,,AH247+1)*AF247-ERP_i)*AE247*Ramure*Pc/MaxiM</f>
        <v>5.1016619134173882E-5</v>
      </c>
      <c r="AE247" s="304">
        <f t="shared" si="101"/>
        <v>0.6</v>
      </c>
      <c r="AF247" s="177">
        <f t="shared" si="102"/>
        <v>0.97457695735711125</v>
      </c>
      <c r="AG247" s="799">
        <f t="shared" si="103"/>
        <v>-2</v>
      </c>
      <c r="AH247" s="176">
        <f t="shared" si="104"/>
        <v>4</v>
      </c>
      <c r="AI247" s="224">
        <f t="shared" si="105"/>
        <v>-1.0254230426428887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55.292000000000002</v>
      </c>
      <c r="C248" s="388"/>
      <c r="D248" s="391">
        <f t="shared" si="85"/>
        <v>55.523491024397259</v>
      </c>
      <c r="E248" s="383">
        <f t="shared" si="111"/>
        <v>56.595330110997637</v>
      </c>
      <c r="F248" s="383">
        <f t="shared" si="110"/>
        <v>56.59830554422004</v>
      </c>
      <c r="G248" s="110">
        <f t="shared" si="112"/>
        <v>1.0082005621178334</v>
      </c>
      <c r="I248" s="379">
        <f t="shared" si="86"/>
        <v>56.59830554422004</v>
      </c>
      <c r="J248" s="85">
        <v>2018</v>
      </c>
      <c r="K248" s="197">
        <f t="shared" si="87"/>
        <v>43699</v>
      </c>
      <c r="L248" s="435">
        <f t="shared" si="88"/>
        <v>4.1692447669678945E-3</v>
      </c>
      <c r="M248" s="842"/>
      <c r="N248" s="842"/>
      <c r="O248" s="323">
        <f t="shared" si="89"/>
        <v>1.8938648904392445E-2</v>
      </c>
      <c r="P248" s="169">
        <f>(INDEX(Models!$BJ248:$BT248,,T248)*(1-R248)+INDEX(Models!$BJ248:$BT248,,T248+1)*R248-ERP_i)*Q248*Ramure*Pc/MaxiM</f>
        <v>5.2571065401922324E-5</v>
      </c>
      <c r="Q248" s="304">
        <f t="shared" si="90"/>
        <v>0.6</v>
      </c>
      <c r="R248" s="177">
        <f t="shared" si="91"/>
        <v>0.97552433170872965</v>
      </c>
      <c r="S248" s="799">
        <f t="shared" si="109"/>
        <v>-2</v>
      </c>
      <c r="T248" s="176">
        <f t="shared" si="92"/>
        <v>4</v>
      </c>
      <c r="U248" s="250">
        <f t="shared" si="93"/>
        <v>-1.0244756682912703</v>
      </c>
      <c r="V248" s="382">
        <f t="shared" si="94"/>
        <v>54.842262618712724</v>
      </c>
      <c r="W248" s="58"/>
      <c r="X248" s="157">
        <f t="shared" si="95"/>
        <v>43699</v>
      </c>
      <c r="Y248" s="383">
        <f t="shared" si="96"/>
        <v>55.292000000000002</v>
      </c>
      <c r="Z248" s="383">
        <f t="shared" si="97"/>
        <v>55.523491024397259</v>
      </c>
      <c r="AA248" s="384">
        <f t="shared" si="98"/>
        <v>56.595330110997637</v>
      </c>
      <c r="AB248" s="197">
        <f t="shared" si="99"/>
        <v>43699</v>
      </c>
      <c r="AC248" s="424">
        <f t="shared" si="100"/>
        <v>1.8938648904392445E-2</v>
      </c>
      <c r="AD248" s="169">
        <f>(INDEX(Models!$BJ248:$BT248,,AH248)*(1-AF248)+INDEX(Models!$BJ248:$BT248,,AH248+1)*AF248-ERP_i)*AE248*Ramure*Pc/MaxiM</f>
        <v>5.2571065401922324E-5</v>
      </c>
      <c r="AE248" s="304">
        <f t="shared" si="101"/>
        <v>0.6</v>
      </c>
      <c r="AF248" s="177">
        <f t="shared" si="102"/>
        <v>0.97552433170872965</v>
      </c>
      <c r="AG248" s="799">
        <f t="shared" si="103"/>
        <v>-2</v>
      </c>
      <c r="AH248" s="176">
        <f t="shared" si="104"/>
        <v>4</v>
      </c>
      <c r="AI248" s="224">
        <f t="shared" si="105"/>
        <v>-1.0244756682912703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52.670999999999999</v>
      </c>
      <c r="C249" s="388"/>
      <c r="D249" s="391">
        <f t="shared" si="85"/>
        <v>52.892531356614889</v>
      </c>
      <c r="E249" s="383">
        <f t="shared" si="111"/>
        <v>53.917823616415951</v>
      </c>
      <c r="F249" s="383">
        <f t="shared" si="110"/>
        <v>53.920594526150673</v>
      </c>
      <c r="G249" s="110">
        <f t="shared" si="112"/>
        <v>0.96391884896817093</v>
      </c>
      <c r="I249" s="379">
        <f t="shared" si="86"/>
        <v>53.920594526150673</v>
      </c>
      <c r="J249" s="85">
        <v>2018</v>
      </c>
      <c r="K249" s="197">
        <f t="shared" si="87"/>
        <v>43700</v>
      </c>
      <c r="L249" s="435">
        <f t="shared" si="88"/>
        <v>4.1883296362064115E-3</v>
      </c>
      <c r="M249" s="842"/>
      <c r="N249" s="842"/>
      <c r="O249" s="323">
        <f t="shared" si="89"/>
        <v>1.9015831705211809E-2</v>
      </c>
      <c r="P249" s="169">
        <f>(INDEX(Models!$BJ249:$BT249,,T249)*(1-R249)+INDEX(Models!$BJ249:$BT249,,T249+1)*R249-ERP_i)*Q249*Ramure*Pc/MaxiM</f>
        <v>5.4181245825167888E-5</v>
      </c>
      <c r="Q249" s="304">
        <f t="shared" si="90"/>
        <v>0.6</v>
      </c>
      <c r="R249" s="177">
        <f t="shared" si="91"/>
        <v>0.97643711399311583</v>
      </c>
      <c r="S249" s="799">
        <f t="shared" si="109"/>
        <v>-2</v>
      </c>
      <c r="T249" s="176">
        <f t="shared" si="92"/>
        <v>4</v>
      </c>
      <c r="U249" s="250">
        <f t="shared" si="93"/>
        <v>-1.0235628860068842</v>
      </c>
      <c r="V249" s="382">
        <f t="shared" si="94"/>
        <v>54.642414102711292</v>
      </c>
      <c r="W249" s="58"/>
      <c r="X249" s="157">
        <f t="shared" si="95"/>
        <v>43700</v>
      </c>
      <c r="Y249" s="383">
        <f t="shared" si="96"/>
        <v>52.670999999999999</v>
      </c>
      <c r="Z249" s="383">
        <f t="shared" si="97"/>
        <v>52.892531356614889</v>
      </c>
      <c r="AA249" s="384">
        <f t="shared" si="98"/>
        <v>53.917823616415951</v>
      </c>
      <c r="AB249" s="197">
        <f t="shared" si="99"/>
        <v>43700</v>
      </c>
      <c r="AC249" s="424">
        <f t="shared" si="100"/>
        <v>1.9015831705211809E-2</v>
      </c>
      <c r="AD249" s="169">
        <f>(INDEX(Models!$BJ249:$BT249,,AH249)*(1-AF249)+INDEX(Models!$BJ249:$BT249,,AH249+1)*AF249-ERP_i)*AE249*Ramure*Pc/MaxiM</f>
        <v>5.4181245825167888E-5</v>
      </c>
      <c r="AE249" s="304">
        <f t="shared" si="101"/>
        <v>0.6</v>
      </c>
      <c r="AF249" s="177">
        <f t="shared" si="102"/>
        <v>0.97643711399311583</v>
      </c>
      <c r="AG249" s="799">
        <f t="shared" si="103"/>
        <v>-2</v>
      </c>
      <c r="AH249" s="176">
        <f t="shared" si="104"/>
        <v>4</v>
      </c>
      <c r="AI249" s="224">
        <f t="shared" si="105"/>
        <v>-1.0235628860068842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52.460999999999999</v>
      </c>
      <c r="C250" s="388"/>
      <c r="D250" s="391">
        <f t="shared" si="85"/>
        <v>52.682657759172272</v>
      </c>
      <c r="E250" s="383">
        <f t="shared" si="111"/>
        <v>53.70809933931757</v>
      </c>
      <c r="F250" s="383">
        <f t="shared" si="110"/>
        <v>53.710943273979339</v>
      </c>
      <c r="G250" s="110">
        <f t="shared" si="112"/>
        <v>0.9636610606394812</v>
      </c>
      <c r="I250" s="379">
        <f t="shared" si="86"/>
        <v>53.710943273979339</v>
      </c>
      <c r="J250" s="85">
        <v>2018</v>
      </c>
      <c r="K250" s="197">
        <f t="shared" si="87"/>
        <v>43701</v>
      </c>
      <c r="L250" s="435">
        <f t="shared" si="88"/>
        <v>4.2074141396878373E-3</v>
      </c>
      <c r="M250" s="842"/>
      <c r="N250" s="842"/>
      <c r="O250" s="323">
        <f t="shared" si="89"/>
        <v>1.9092866676713938E-2</v>
      </c>
      <c r="P250" s="169">
        <f>(INDEX(Models!$BJ250:$BT250,,T250)*(1-R250)+INDEX(Models!$BJ250:$BT250,,T250+1)*R250-ERP_i)*Q250*Ramure*Pc/MaxiM</f>
        <v>5.5847882321157423E-5</v>
      </c>
      <c r="Q250" s="304">
        <f t="shared" si="90"/>
        <v>0.6</v>
      </c>
      <c r="R250" s="177">
        <f t="shared" si="91"/>
        <v>0.97731643554278014</v>
      </c>
      <c r="S250" s="799">
        <f t="shared" si="109"/>
        <v>-2</v>
      </c>
      <c r="T250" s="176">
        <f t="shared" si="92"/>
        <v>4</v>
      </c>
      <c r="U250" s="250">
        <f t="shared" si="93"/>
        <v>-1.0226835644572199</v>
      </c>
      <c r="V250" s="382">
        <f t="shared" si="94"/>
        <v>54.439107327773876</v>
      </c>
      <c r="W250" s="58"/>
      <c r="X250" s="157">
        <f t="shared" si="95"/>
        <v>43701</v>
      </c>
      <c r="Y250" s="383">
        <f t="shared" si="96"/>
        <v>52.460999999999999</v>
      </c>
      <c r="Z250" s="383">
        <f t="shared" si="97"/>
        <v>52.682657759172272</v>
      </c>
      <c r="AA250" s="384">
        <f t="shared" si="98"/>
        <v>53.70809933931757</v>
      </c>
      <c r="AB250" s="197">
        <f t="shared" si="99"/>
        <v>43701</v>
      </c>
      <c r="AC250" s="424">
        <f t="shared" si="100"/>
        <v>1.9092866676713938E-2</v>
      </c>
      <c r="AD250" s="169">
        <f>(INDEX(Models!$BJ250:$BT250,,AH250)*(1-AF250)+INDEX(Models!$BJ250:$BT250,,AH250+1)*AF250-ERP_i)*AE250*Ramure*Pc/MaxiM</f>
        <v>5.5847882321157423E-5</v>
      </c>
      <c r="AE250" s="304">
        <f t="shared" si="101"/>
        <v>0.6</v>
      </c>
      <c r="AF250" s="177">
        <f t="shared" si="102"/>
        <v>0.97731643554278014</v>
      </c>
      <c r="AG250" s="799">
        <f t="shared" si="103"/>
        <v>-2</v>
      </c>
      <c r="AH250" s="176">
        <f t="shared" si="104"/>
        <v>4</v>
      </c>
      <c r="AI250" s="224">
        <f t="shared" si="105"/>
        <v>-1.0226835644572199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46.57</v>
      </c>
      <c r="C251" s="388"/>
      <c r="D251" s="391">
        <f t="shared" si="85"/>
        <v>46.767663449006136</v>
      </c>
      <c r="E251" s="383">
        <f t="shared" si="111"/>
        <v>47.681709930425576</v>
      </c>
      <c r="F251" s="383">
        <f t="shared" si="110"/>
        <v>47.683901077215175</v>
      </c>
      <c r="G251" s="110">
        <f t="shared" si="112"/>
        <v>0.85870268332126787</v>
      </c>
      <c r="I251" s="379">
        <f t="shared" si="86"/>
        <v>47.683901077215175</v>
      </c>
      <c r="J251" s="85">
        <v>2018</v>
      </c>
      <c r="K251" s="197">
        <f t="shared" si="87"/>
        <v>43702</v>
      </c>
      <c r="L251" s="435">
        <f t="shared" si="88"/>
        <v>4.2264982774190551E-3</v>
      </c>
      <c r="M251" s="842"/>
      <c r="N251" s="842"/>
      <c r="O251" s="323">
        <f t="shared" si="89"/>
        <v>1.9169750471473498E-2</v>
      </c>
      <c r="P251" s="169">
        <f>(INDEX(Models!$BJ251:$BT251,,T251)*(1-R251)+INDEX(Models!$BJ251:$BT251,,T251+1)*R251-ERP_i)*Q251*Ramure*Pc/MaxiM</f>
        <v>5.7571722123673963E-5</v>
      </c>
      <c r="Q251" s="304">
        <f t="shared" si="90"/>
        <v>0.6</v>
      </c>
      <c r="R251" s="177">
        <f t="shared" si="91"/>
        <v>0.9781634007107447</v>
      </c>
      <c r="S251" s="799">
        <f t="shared" si="109"/>
        <v>-2</v>
      </c>
      <c r="T251" s="176">
        <f t="shared" si="92"/>
        <v>4</v>
      </c>
      <c r="U251" s="250">
        <f t="shared" si="93"/>
        <v>-1.0218365992892553</v>
      </c>
      <c r="V251" s="382">
        <f t="shared" si="94"/>
        <v>54.232343424474493</v>
      </c>
      <c r="W251" s="58"/>
      <c r="X251" s="157">
        <f t="shared" si="95"/>
        <v>43702</v>
      </c>
      <c r="Y251" s="383">
        <f t="shared" si="96"/>
        <v>46.57</v>
      </c>
      <c r="Z251" s="383">
        <f t="shared" si="97"/>
        <v>46.767663449006136</v>
      </c>
      <c r="AA251" s="384">
        <f t="shared" si="98"/>
        <v>47.681709930425576</v>
      </c>
      <c r="AB251" s="197">
        <f t="shared" si="99"/>
        <v>43702</v>
      </c>
      <c r="AC251" s="424">
        <f t="shared" si="100"/>
        <v>1.9169750471473498E-2</v>
      </c>
      <c r="AD251" s="169">
        <f>(INDEX(Models!$BJ251:$BT251,,AH251)*(1-AF251)+INDEX(Models!$BJ251:$BT251,,AH251+1)*AF251-ERP_i)*AE251*Ramure*Pc/MaxiM</f>
        <v>5.7571722123673963E-5</v>
      </c>
      <c r="AE251" s="304">
        <f t="shared" si="101"/>
        <v>0.6</v>
      </c>
      <c r="AF251" s="177">
        <f t="shared" si="102"/>
        <v>0.9781634007107447</v>
      </c>
      <c r="AG251" s="799">
        <f t="shared" si="103"/>
        <v>-2</v>
      </c>
      <c r="AH251" s="176">
        <f t="shared" si="104"/>
        <v>4</v>
      </c>
      <c r="AI251" s="224">
        <f t="shared" si="105"/>
        <v>-1.0218365992892553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43.43</v>
      </c>
      <c r="C252" s="388"/>
      <c r="D252" s="391">
        <f t="shared" si="85"/>
        <v>43.615171790435276</v>
      </c>
      <c r="E252" s="383">
        <f t="shared" si="111"/>
        <v>44.471083593968906</v>
      </c>
      <c r="F252" s="383">
        <f t="shared" si="110"/>
        <v>44.472983860693894</v>
      </c>
      <c r="G252" s="110">
        <f t="shared" si="112"/>
        <v>0.80391652736889652</v>
      </c>
      <c r="I252" s="379">
        <f t="shared" si="86"/>
        <v>44.472983860693894</v>
      </c>
      <c r="J252" s="85">
        <v>2018</v>
      </c>
      <c r="K252" s="197">
        <f t="shared" si="87"/>
        <v>43703</v>
      </c>
      <c r="L252" s="435">
        <f t="shared" si="88"/>
        <v>4.2455820494070595E-3</v>
      </c>
      <c r="M252" s="842"/>
      <c r="N252" s="842"/>
      <c r="O252" s="323">
        <f t="shared" si="89"/>
        <v>1.9246479607924503E-2</v>
      </c>
      <c r="P252" s="169">
        <f>(INDEX(Models!$BJ252:$BT252,,T252)*(1-R252)+INDEX(Models!$BJ252:$BT252,,T252+1)*R252-ERP_i)*Q252*Ramure*Pc/MaxiM</f>
        <v>5.9353483513067325E-5</v>
      </c>
      <c r="Q252" s="304">
        <f t="shared" si="90"/>
        <v>0.6</v>
      </c>
      <c r="R252" s="177">
        <f t="shared" si="91"/>
        <v>0.97897908671214839</v>
      </c>
      <c r="S252" s="799">
        <f t="shared" si="109"/>
        <v>-2</v>
      </c>
      <c r="T252" s="176">
        <f t="shared" si="92"/>
        <v>4</v>
      </c>
      <c r="U252" s="250">
        <f t="shared" si="93"/>
        <v>-1.0210209132878516</v>
      </c>
      <c r="V252" s="382">
        <f t="shared" si="94"/>
        <v>54.022123529440613</v>
      </c>
      <c r="W252" s="58"/>
      <c r="X252" s="157">
        <f t="shared" si="95"/>
        <v>43703</v>
      </c>
      <c r="Y252" s="383">
        <f t="shared" si="96"/>
        <v>43.43</v>
      </c>
      <c r="Z252" s="383">
        <f t="shared" si="97"/>
        <v>43.615171790435276</v>
      </c>
      <c r="AA252" s="384">
        <f t="shared" si="98"/>
        <v>44.471083593968906</v>
      </c>
      <c r="AB252" s="197">
        <f t="shared" si="99"/>
        <v>43703</v>
      </c>
      <c r="AC252" s="424">
        <f t="shared" si="100"/>
        <v>1.9246479607924503E-2</v>
      </c>
      <c r="AD252" s="169">
        <f>(INDEX(Models!$BJ252:$BT252,,AH252)*(1-AF252)+INDEX(Models!$BJ252:$BT252,,AH252+1)*AF252-ERP_i)*AE252*Ramure*Pc/MaxiM</f>
        <v>5.9353483513067325E-5</v>
      </c>
      <c r="AE252" s="304">
        <f t="shared" si="101"/>
        <v>0.6</v>
      </c>
      <c r="AF252" s="177">
        <f t="shared" si="102"/>
        <v>0.97897908671214839</v>
      </c>
      <c r="AG252" s="799">
        <f t="shared" si="103"/>
        <v>-2</v>
      </c>
      <c r="AH252" s="176">
        <f t="shared" si="104"/>
        <v>4</v>
      </c>
      <c r="AI252" s="224">
        <f t="shared" si="105"/>
        <v>-1.0210209132878516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31.706</v>
      </c>
      <c r="C253" s="388"/>
      <c r="D253" s="391">
        <f t="shared" si="85"/>
        <v>31.841794601483137</v>
      </c>
      <c r="E253" s="383">
        <f t="shared" si="111"/>
        <v>32.46919856400033</v>
      </c>
      <c r="F253" s="383">
        <f t="shared" si="110"/>
        <v>32.470019573915089</v>
      </c>
      <c r="G253" s="110">
        <f t="shared" si="112"/>
        <v>0.58921716139473668</v>
      </c>
      <c r="I253" s="379">
        <f t="shared" si="86"/>
        <v>32.470019573915089</v>
      </c>
      <c r="J253" s="85">
        <v>2018</v>
      </c>
      <c r="K253" s="197">
        <f t="shared" si="87"/>
        <v>43704</v>
      </c>
      <c r="L253" s="435">
        <f t="shared" si="88"/>
        <v>4.2646654556590669E-3</v>
      </c>
      <c r="M253" s="842"/>
      <c r="N253" s="842"/>
      <c r="O253" s="323">
        <f t="shared" si="89"/>
        <v>1.9323050468292628E-2</v>
      </c>
      <c r="P253" s="169">
        <f>(INDEX(Models!$BJ253:$BT253,,T253)*(1-R253)+INDEX(Models!$BJ253:$BT253,,T253+1)*R253-ERP_i)*Q253*Ramure*Pc/MaxiM</f>
        <v>6.1193889786717107E-5</v>
      </c>
      <c r="Q253" s="304">
        <f t="shared" si="90"/>
        <v>0.6</v>
      </c>
      <c r="R253" s="177">
        <f t="shared" si="91"/>
        <v>0.97976454354739562</v>
      </c>
      <c r="S253" s="799">
        <f t="shared" si="109"/>
        <v>-2</v>
      </c>
      <c r="T253" s="176">
        <f t="shared" si="92"/>
        <v>4</v>
      </c>
      <c r="U253" s="250">
        <f t="shared" si="93"/>
        <v>-1.0202354564526044</v>
      </c>
      <c r="V253" s="382">
        <f t="shared" si="94"/>
        <v>53.808448780148368</v>
      </c>
      <c r="W253" s="58"/>
      <c r="X253" s="157">
        <f t="shared" si="95"/>
        <v>43704</v>
      </c>
      <c r="Y253" s="383">
        <f t="shared" si="96"/>
        <v>31.706</v>
      </c>
      <c r="Z253" s="383">
        <f t="shared" si="97"/>
        <v>31.841794601483137</v>
      </c>
      <c r="AA253" s="384">
        <f t="shared" si="98"/>
        <v>32.46919856400033</v>
      </c>
      <c r="AB253" s="197">
        <f t="shared" si="99"/>
        <v>43704</v>
      </c>
      <c r="AC253" s="424">
        <f t="shared" si="100"/>
        <v>1.9323050468292628E-2</v>
      </c>
      <c r="AD253" s="169">
        <f>(INDEX(Models!$BJ253:$BT253,,AH253)*(1-AF253)+INDEX(Models!$BJ253:$BT253,,AH253+1)*AF253-ERP_i)*AE253*Ramure*Pc/MaxiM</f>
        <v>6.1193889786717107E-5</v>
      </c>
      <c r="AE253" s="304">
        <f t="shared" si="101"/>
        <v>0.6</v>
      </c>
      <c r="AF253" s="177">
        <f t="shared" si="102"/>
        <v>0.97976454354739562</v>
      </c>
      <c r="AG253" s="799">
        <f t="shared" si="103"/>
        <v>-2</v>
      </c>
      <c r="AH253" s="176">
        <f t="shared" si="104"/>
        <v>4</v>
      </c>
      <c r="AI253" s="224">
        <f t="shared" si="105"/>
        <v>-1.0202354564526044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38.909999999999997</v>
      </c>
      <c r="C254" s="388"/>
      <c r="D254" s="391">
        <f t="shared" si="85"/>
        <v>39.077397743819787</v>
      </c>
      <c r="E254" s="383">
        <f t="shared" si="111"/>
        <v>39.85047541959689</v>
      </c>
      <c r="F254" s="383">
        <f t="shared" si="110"/>
        <v>39.852005552758627</v>
      </c>
      <c r="G254" s="110">
        <f t="shared" si="112"/>
        <v>0.72603247546182448</v>
      </c>
      <c r="I254" s="379">
        <f t="shared" si="86"/>
        <v>39.852005552758627</v>
      </c>
      <c r="J254" s="85">
        <v>2018</v>
      </c>
      <c r="K254" s="197">
        <f t="shared" si="87"/>
        <v>43705</v>
      </c>
      <c r="L254" s="435">
        <f t="shared" si="88"/>
        <v>4.2837484961818495E-3</v>
      </c>
      <c r="M254" s="842"/>
      <c r="N254" s="842"/>
      <c r="O254" s="323">
        <f t="shared" si="89"/>
        <v>1.9399459294704734E-2</v>
      </c>
      <c r="P254" s="169">
        <f>(INDEX(Models!$BJ254:$BT254,,T254)*(1-R254)+INDEX(Models!$BJ254:$BT254,,T254+1)*R254-ERP_i)*Q254*Ramure*Pc/MaxiM</f>
        <v>6.3083547363801181E-5</v>
      </c>
      <c r="Q254" s="304">
        <f t="shared" si="90"/>
        <v>0.6</v>
      </c>
      <c r="R254" s="177">
        <f t="shared" si="91"/>
        <v>0.9805207939999554</v>
      </c>
      <c r="S254" s="799">
        <f t="shared" si="109"/>
        <v>-2</v>
      </c>
      <c r="T254" s="176">
        <f t="shared" si="92"/>
        <v>4</v>
      </c>
      <c r="U254" s="250">
        <f t="shared" si="93"/>
        <v>-1.0194792060000446</v>
      </c>
      <c r="V254" s="382">
        <f t="shared" si="94"/>
        <v>53.591320859348556</v>
      </c>
      <c r="W254" s="58"/>
      <c r="X254" s="157">
        <f t="shared" si="95"/>
        <v>43705</v>
      </c>
      <c r="Y254" s="383">
        <f t="shared" si="96"/>
        <v>38.909999999999997</v>
      </c>
      <c r="Z254" s="383">
        <f t="shared" si="97"/>
        <v>39.077397743819787</v>
      </c>
      <c r="AA254" s="384">
        <f t="shared" si="98"/>
        <v>39.85047541959689</v>
      </c>
      <c r="AB254" s="197">
        <f t="shared" si="99"/>
        <v>43705</v>
      </c>
      <c r="AC254" s="424">
        <f t="shared" si="100"/>
        <v>1.9399459294704734E-2</v>
      </c>
      <c r="AD254" s="169">
        <f>(INDEX(Models!$BJ254:$BT254,,AH254)*(1-AF254)+INDEX(Models!$BJ254:$BT254,,AH254+1)*AF254-ERP_i)*AE254*Ramure*Pc/MaxiM</f>
        <v>6.3083547363801181E-5</v>
      </c>
      <c r="AE254" s="304">
        <f t="shared" si="101"/>
        <v>0.6</v>
      </c>
      <c r="AF254" s="177">
        <f t="shared" si="102"/>
        <v>0.9805207939999554</v>
      </c>
      <c r="AG254" s="799">
        <f t="shared" si="103"/>
        <v>-2</v>
      </c>
      <c r="AH254" s="176">
        <f t="shared" si="104"/>
        <v>4</v>
      </c>
      <c r="AI254" s="224">
        <f t="shared" si="105"/>
        <v>-1.0194792060000446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50.046999999999997</v>
      </c>
      <c r="C255" s="388"/>
      <c r="D255" s="391">
        <f t="shared" si="85"/>
        <v>50.263274383774146</v>
      </c>
      <c r="E255" s="383">
        <f t="shared" si="111"/>
        <v>51.261630635475143</v>
      </c>
      <c r="F255" s="383">
        <f t="shared" si="110"/>
        <v>51.264666030068604</v>
      </c>
      <c r="G255" s="110">
        <f t="shared" si="112"/>
        <v>0.93771808698252879</v>
      </c>
      <c r="I255" s="379">
        <f t="shared" si="86"/>
        <v>51.264666030068604</v>
      </c>
      <c r="J255" s="85">
        <v>2018</v>
      </c>
      <c r="K255" s="197">
        <f t="shared" si="87"/>
        <v>43706</v>
      </c>
      <c r="L255" s="435">
        <f t="shared" si="88"/>
        <v>4.3028311709825129E-3</v>
      </c>
      <c r="M255" s="842"/>
      <c r="N255" s="842"/>
      <c r="O255" s="323">
        <f t="shared" si="89"/>
        <v>1.9475702183576228E-2</v>
      </c>
      <c r="P255" s="169">
        <f>(INDEX(Models!$BJ255:$BT255,,T255)*(1-R255)+INDEX(Models!$BJ255:$BT255,,T255+1)*R255-ERP_i)*Q255*Ramure*Pc/MaxiM</f>
        <v>6.4992409255395175E-5</v>
      </c>
      <c r="Q255" s="304">
        <f t="shared" si="90"/>
        <v>0.6</v>
      </c>
      <c r="R255" s="177">
        <f t="shared" si="91"/>
        <v>0.98124883370225002</v>
      </c>
      <c r="S255" s="799">
        <f t="shared" si="109"/>
        <v>-2</v>
      </c>
      <c r="T255" s="176">
        <f t="shared" si="92"/>
        <v>4</v>
      </c>
      <c r="U255" s="250">
        <f t="shared" si="93"/>
        <v>-1.01875116629775</v>
      </c>
      <c r="V255" s="382">
        <f t="shared" si="94"/>
        <v>53.370742549144424</v>
      </c>
      <c r="W255" s="58"/>
      <c r="X255" s="157">
        <f t="shared" si="95"/>
        <v>43706</v>
      </c>
      <c r="Y255" s="383">
        <f t="shared" si="96"/>
        <v>50.046999999999997</v>
      </c>
      <c r="Z255" s="383">
        <f t="shared" si="97"/>
        <v>50.263274383774146</v>
      </c>
      <c r="AA255" s="384">
        <f t="shared" si="98"/>
        <v>51.261630635475143</v>
      </c>
      <c r="AB255" s="197">
        <f t="shared" si="99"/>
        <v>43706</v>
      </c>
      <c r="AC255" s="424">
        <f t="shared" si="100"/>
        <v>1.9475702183576228E-2</v>
      </c>
      <c r="AD255" s="169">
        <f>(INDEX(Models!$BJ255:$BT255,,AH255)*(1-AF255)+INDEX(Models!$BJ255:$BT255,,AH255+1)*AF255-ERP_i)*AE255*Ramure*Pc/MaxiM</f>
        <v>6.4992409255395175E-5</v>
      </c>
      <c r="AE255" s="304">
        <f t="shared" si="101"/>
        <v>0.6</v>
      </c>
      <c r="AF255" s="177">
        <f t="shared" si="102"/>
        <v>0.98124883370225002</v>
      </c>
      <c r="AG255" s="799">
        <f t="shared" si="103"/>
        <v>-2</v>
      </c>
      <c r="AH255" s="176">
        <f t="shared" si="104"/>
        <v>4</v>
      </c>
      <c r="AI255" s="224">
        <f t="shared" si="105"/>
        <v>-1.01875116629775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49.268000000000001</v>
      </c>
      <c r="C256" s="388"/>
      <c r="D256" s="391">
        <f t="shared" si="85"/>
        <v>49.481856301769405</v>
      </c>
      <c r="E256" s="383">
        <f t="shared" si="111"/>
        <v>50.468607157432189</v>
      </c>
      <c r="F256" s="383">
        <f t="shared" si="110"/>
        <v>50.471632607079094</v>
      </c>
      <c r="G256" s="110">
        <f t="shared" si="112"/>
        <v>0.92701225721692226</v>
      </c>
      <c r="I256" s="379">
        <f t="shared" si="86"/>
        <v>50.471632607079094</v>
      </c>
      <c r="J256" s="85">
        <v>2018</v>
      </c>
      <c r="K256" s="197">
        <f t="shared" si="87"/>
        <v>43707</v>
      </c>
      <c r="L256" s="435">
        <f t="shared" si="88"/>
        <v>4.3219134800680514E-3</v>
      </c>
      <c r="M256" s="842"/>
      <c r="N256" s="842"/>
      <c r="O256" s="323">
        <f t="shared" si="89"/>
        <v>1.9551775078410771E-2</v>
      </c>
      <c r="P256" s="169">
        <f>(INDEX(Models!$BJ256:$BT256,,T256)*(1-R256)+INDEX(Models!$BJ256:$BT256,,T256+1)*R256-ERP_i)*Q256*Ramure*Pc/MaxiM</f>
        <v>6.6920643014236993E-5</v>
      </c>
      <c r="Q256" s="304">
        <f t="shared" si="90"/>
        <v>0.6</v>
      </c>
      <c r="R256" s="177">
        <f t="shared" si="91"/>
        <v>0.98194963126342483</v>
      </c>
      <c r="S256" s="799">
        <f t="shared" si="109"/>
        <v>-2</v>
      </c>
      <c r="T256" s="176">
        <f t="shared" si="92"/>
        <v>4</v>
      </c>
      <c r="U256" s="250">
        <f t="shared" si="93"/>
        <v>-1.0180503687365752</v>
      </c>
      <c r="V256" s="382">
        <f t="shared" si="94"/>
        <v>53.146714996715247</v>
      </c>
      <c r="W256" s="58"/>
      <c r="X256" s="157">
        <f t="shared" si="95"/>
        <v>43707</v>
      </c>
      <c r="Y256" s="383">
        <f t="shared" si="96"/>
        <v>49.268000000000001</v>
      </c>
      <c r="Z256" s="383">
        <f t="shared" si="97"/>
        <v>49.481856301769405</v>
      </c>
      <c r="AA256" s="384">
        <f t="shared" si="98"/>
        <v>50.468607157432189</v>
      </c>
      <c r="AB256" s="197">
        <f t="shared" si="99"/>
        <v>43707</v>
      </c>
      <c r="AC256" s="424">
        <f t="shared" si="100"/>
        <v>1.9551775078410771E-2</v>
      </c>
      <c r="AD256" s="169">
        <f>(INDEX(Models!$BJ256:$BT256,,AH256)*(1-AF256)+INDEX(Models!$BJ256:$BT256,,AH256+1)*AF256-ERP_i)*AE256*Ramure*Pc/MaxiM</f>
        <v>6.6920643014236993E-5</v>
      </c>
      <c r="AE256" s="304">
        <f t="shared" si="101"/>
        <v>0.6</v>
      </c>
      <c r="AF256" s="177">
        <f t="shared" si="102"/>
        <v>0.98194963126342483</v>
      </c>
      <c r="AG256" s="799">
        <f t="shared" si="103"/>
        <v>-2</v>
      </c>
      <c r="AH256" s="176">
        <f t="shared" si="104"/>
        <v>4</v>
      </c>
      <c r="AI256" s="224">
        <f t="shared" si="105"/>
        <v>-1.0180503687365752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46.918999999999997</v>
      </c>
      <c r="C257" s="388"/>
      <c r="D257" s="391">
        <f t="shared" si="85"/>
        <v>47.123563172066383</v>
      </c>
      <c r="E257" s="383">
        <f t="shared" si="111"/>
        <v>48.067006698215451</v>
      </c>
      <c r="F257" s="383">
        <f t="shared" si="110"/>
        <v>48.069780960366188</v>
      </c>
      <c r="G257" s="110">
        <f t="shared" si="112"/>
        <v>0.88660527157392177</v>
      </c>
      <c r="I257" s="379">
        <f t="shared" si="86"/>
        <v>48.069780960366188</v>
      </c>
      <c r="J257" s="85">
        <v>2018</v>
      </c>
      <c r="K257" s="197">
        <f t="shared" si="87"/>
        <v>43708</v>
      </c>
      <c r="L257" s="435">
        <f t="shared" si="88"/>
        <v>4.3409954234455705E-3</v>
      </c>
      <c r="M257" s="842"/>
      <c r="N257" s="842"/>
      <c r="O257" s="323">
        <f t="shared" si="89"/>
        <v>1.9627673761180808E-2</v>
      </c>
      <c r="P257" s="169">
        <f>(INDEX(Models!$BJ257:$BT257,,T257)*(1-R257)+INDEX(Models!$BJ257:$BT257,,T257+1)*R257-ERP_i)*Q257*Ramure*Pc/MaxiM</f>
        <v>6.8868418428351164E-5</v>
      </c>
      <c r="Q257" s="304">
        <f t="shared" si="90"/>
        <v>0.6</v>
      </c>
      <c r="R257" s="177">
        <f t="shared" si="91"/>
        <v>0.98262412845312497</v>
      </c>
      <c r="S257" s="799">
        <f t="shared" si="109"/>
        <v>-2</v>
      </c>
      <c r="T257" s="176">
        <f t="shared" si="92"/>
        <v>4</v>
      </c>
      <c r="U257" s="250">
        <f t="shared" si="93"/>
        <v>-1.017375871546875</v>
      </c>
      <c r="V257" s="382">
        <f t="shared" si="94"/>
        <v>52.919239354448429</v>
      </c>
      <c r="W257" s="58"/>
      <c r="X257" s="157">
        <f t="shared" si="95"/>
        <v>43708</v>
      </c>
      <c r="Y257" s="383">
        <f t="shared" si="96"/>
        <v>46.918999999999997</v>
      </c>
      <c r="Z257" s="383">
        <f t="shared" si="97"/>
        <v>47.123563172066383</v>
      </c>
      <c r="AA257" s="384">
        <f t="shared" si="98"/>
        <v>48.067006698215451</v>
      </c>
      <c r="AB257" s="197">
        <f t="shared" si="99"/>
        <v>43708</v>
      </c>
      <c r="AC257" s="424">
        <f t="shared" si="100"/>
        <v>1.9627673761180808E-2</v>
      </c>
      <c r="AD257" s="169">
        <f>(INDEX(Models!$BJ257:$BT257,,AH257)*(1-AF257)+INDEX(Models!$BJ257:$BT257,,AH257+1)*AF257-ERP_i)*AE257*Ramure*Pc/MaxiM</f>
        <v>6.8868418428351164E-5</v>
      </c>
      <c r="AE257" s="304">
        <f t="shared" si="101"/>
        <v>0.6</v>
      </c>
      <c r="AF257" s="177">
        <f t="shared" si="102"/>
        <v>0.98262412845312497</v>
      </c>
      <c r="AG257" s="799">
        <f t="shared" si="103"/>
        <v>-2</v>
      </c>
      <c r="AH257" s="176">
        <f t="shared" si="104"/>
        <v>4</v>
      </c>
      <c r="AI257" s="224">
        <f t="shared" si="105"/>
        <v>-1.017375871546875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17.100000000000001</v>
      </c>
      <c r="C258" s="388"/>
      <c r="D258" s="391">
        <f t="shared" si="85"/>
        <v>17.174883815922747</v>
      </c>
      <c r="E258" s="383">
        <f t="shared" si="111"/>
        <v>17.520089030241056</v>
      </c>
      <c r="F258" s="383">
        <f t="shared" si="110"/>
        <v>17.520132556022755</v>
      </c>
      <c r="G258" s="110">
        <f t="shared" si="112"/>
        <v>0.32452794531655421</v>
      </c>
      <c r="I258" s="379">
        <f t="shared" si="86"/>
        <v>17.520132556022755</v>
      </c>
      <c r="J258" s="85">
        <v>2018</v>
      </c>
      <c r="K258" s="197">
        <f t="shared" si="87"/>
        <v>43709</v>
      </c>
      <c r="L258" s="435">
        <f t="shared" si="88"/>
        <v>4.3600770011219536E-3</v>
      </c>
      <c r="M258" s="842"/>
      <c r="N258" s="842"/>
      <c r="O258" s="323">
        <f t="shared" si="89"/>
        <v>1.9703393842488901E-2</v>
      </c>
      <c r="P258" s="169">
        <f>(INDEX(Models!$BJ258:$BT258,,T258)*(1-R258)+INDEX(Models!$BJ258:$BT258,,T258+1)*R258-ERP_i)*Q258*Ramure*Pc/MaxiM</f>
        <v>7.0835906400186334E-5</v>
      </c>
      <c r="Q258" s="304">
        <f t="shared" si="90"/>
        <v>0.6</v>
      </c>
      <c r="R258" s="177">
        <f t="shared" si="91"/>
        <v>0.98327324043574649</v>
      </c>
      <c r="S258" s="799">
        <f t="shared" si="109"/>
        <v>-2</v>
      </c>
      <c r="T258" s="176">
        <f t="shared" si="92"/>
        <v>4</v>
      </c>
      <c r="U258" s="250">
        <f t="shared" si="93"/>
        <v>-1.0167267595642535</v>
      </c>
      <c r="V258" s="382">
        <f t="shared" si="94"/>
        <v>52.688316774853199</v>
      </c>
      <c r="W258" s="58"/>
      <c r="X258" s="157">
        <f t="shared" si="95"/>
        <v>43709</v>
      </c>
      <c r="Y258" s="383">
        <f t="shared" si="96"/>
        <v>17.100000000000001</v>
      </c>
      <c r="Z258" s="383">
        <f t="shared" si="97"/>
        <v>17.174883815922747</v>
      </c>
      <c r="AA258" s="384">
        <f t="shared" si="98"/>
        <v>17.520089030241056</v>
      </c>
      <c r="AB258" s="197">
        <f t="shared" si="99"/>
        <v>43709</v>
      </c>
      <c r="AC258" s="424">
        <f t="shared" si="100"/>
        <v>1.9703393842488901E-2</v>
      </c>
      <c r="AD258" s="169">
        <f>(INDEX(Models!$BJ258:$BT258,,AH258)*(1-AF258)+INDEX(Models!$BJ258:$BT258,,AH258+1)*AF258-ERP_i)*AE258*Ramure*Pc/MaxiM</f>
        <v>7.0835906400186334E-5</v>
      </c>
      <c r="AE258" s="304">
        <f t="shared" si="101"/>
        <v>0.6</v>
      </c>
      <c r="AF258" s="177">
        <f t="shared" si="102"/>
        <v>0.98327324043574649</v>
      </c>
      <c r="AG258" s="799">
        <f t="shared" si="103"/>
        <v>-2</v>
      </c>
      <c r="AH258" s="176">
        <f t="shared" si="104"/>
        <v>4</v>
      </c>
      <c r="AI258" s="224">
        <f t="shared" si="105"/>
        <v>-1.0167267595642535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51.182000000000002</v>
      </c>
      <c r="C259" s="388"/>
      <c r="D259" s="391">
        <f t="shared" si="85"/>
        <v>51.407119911371922</v>
      </c>
      <c r="E259" s="383">
        <f t="shared" si="111"/>
        <v>52.444414351085129</v>
      </c>
      <c r="F259" s="383">
        <f t="shared" si="110"/>
        <v>52.448101483562709</v>
      </c>
      <c r="G259" s="110">
        <f t="shared" si="112"/>
        <v>0.9757486790304658</v>
      </c>
      <c r="I259" s="379">
        <f t="shared" si="86"/>
        <v>52.448101483562709</v>
      </c>
      <c r="J259" s="85">
        <v>2018</v>
      </c>
      <c r="K259" s="197">
        <f t="shared" si="87"/>
        <v>43710</v>
      </c>
      <c r="L259" s="435">
        <f t="shared" si="88"/>
        <v>4.3791582131043061E-3</v>
      </c>
      <c r="M259" s="842"/>
      <c r="N259" s="842"/>
      <c r="O259" s="323">
        <f t="shared" si="89"/>
        <v>1.9778930750739707E-2</v>
      </c>
      <c r="P259" s="169">
        <f>(INDEX(Models!$BJ259:$BT259,,T259)*(1-R259)+INDEX(Models!$BJ259:$BT259,,T259+1)*R259-ERP_i)*Q259*Ramure*Pc/MaxiM</f>
        <v>7.2823277712907701E-5</v>
      </c>
      <c r="Q259" s="304">
        <f t="shared" si="90"/>
        <v>0.6</v>
      </c>
      <c r="R259" s="177">
        <f t="shared" si="91"/>
        <v>0.98389785604995295</v>
      </c>
      <c r="S259" s="799">
        <f t="shared" si="109"/>
        <v>-2</v>
      </c>
      <c r="T259" s="176">
        <f t="shared" si="92"/>
        <v>4</v>
      </c>
      <c r="U259" s="250">
        <f t="shared" si="93"/>
        <v>-1.0161021439500471</v>
      </c>
      <c r="V259" s="382">
        <f t="shared" si="94"/>
        <v>52.453948413821799</v>
      </c>
      <c r="W259" s="58"/>
      <c r="X259" s="157">
        <f t="shared" si="95"/>
        <v>43710</v>
      </c>
      <c r="Y259" s="383">
        <f t="shared" si="96"/>
        <v>51.182000000000002</v>
      </c>
      <c r="Z259" s="383">
        <f t="shared" si="97"/>
        <v>51.407119911371922</v>
      </c>
      <c r="AA259" s="384">
        <f t="shared" si="98"/>
        <v>52.444414351085129</v>
      </c>
      <c r="AB259" s="197">
        <f t="shared" si="99"/>
        <v>43710</v>
      </c>
      <c r="AC259" s="424">
        <f t="shared" si="100"/>
        <v>1.9778930750739707E-2</v>
      </c>
      <c r="AD259" s="169">
        <f>(INDEX(Models!$BJ259:$BT259,,AH259)*(1-AF259)+INDEX(Models!$BJ259:$BT259,,AH259+1)*AF259-ERP_i)*AE259*Ramure*Pc/MaxiM</f>
        <v>7.2823277712907701E-5</v>
      </c>
      <c r="AE259" s="304">
        <f t="shared" si="101"/>
        <v>0.6</v>
      </c>
      <c r="AF259" s="177">
        <f t="shared" si="102"/>
        <v>0.98389785604995295</v>
      </c>
      <c r="AG259" s="799">
        <f t="shared" si="103"/>
        <v>-2</v>
      </c>
      <c r="AH259" s="176">
        <f t="shared" si="104"/>
        <v>4</v>
      </c>
      <c r="AI259" s="224">
        <f t="shared" si="105"/>
        <v>-1.0161021439500471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52.366999999999997</v>
      </c>
      <c r="C260" s="388"/>
      <c r="D260" s="391">
        <f t="shared" si="85"/>
        <v>52.598340073772043</v>
      </c>
      <c r="E260" s="383">
        <f t="shared" si="111"/>
        <v>53.663796092255836</v>
      </c>
      <c r="F260" s="383">
        <f t="shared" si="110"/>
        <v>53.667812092293481</v>
      </c>
      <c r="G260" s="110">
        <f t="shared" si="112"/>
        <v>1.0028892328082124</v>
      </c>
      <c r="I260" s="379">
        <f t="shared" si="86"/>
        <v>53.667812092293481</v>
      </c>
      <c r="J260" s="85">
        <v>2018</v>
      </c>
      <c r="K260" s="197">
        <f t="shared" si="87"/>
        <v>43711</v>
      </c>
      <c r="L260" s="435">
        <f t="shared" si="88"/>
        <v>4.3982390593995113E-3</v>
      </c>
      <c r="M260" s="842"/>
      <c r="N260" s="842"/>
      <c r="O260" s="323">
        <f t="shared" si="89"/>
        <v>1.9854279720579678E-2</v>
      </c>
      <c r="P260" s="169">
        <f>(INDEX(Models!$BJ260:$BT260,,T260)*(1-R260)+INDEX(Models!$BJ260:$BT260,,T260+1)*R260-ERP_i)*Q260*Ramure*Pc/MaxiM</f>
        <v>7.48307017014304E-5</v>
      </c>
      <c r="Q260" s="304">
        <f t="shared" si="90"/>
        <v>0.6</v>
      </c>
      <c r="R260" s="177">
        <f t="shared" si="91"/>
        <v>0.98449883812857841</v>
      </c>
      <c r="S260" s="799">
        <f t="shared" si="109"/>
        <v>-2</v>
      </c>
      <c r="T260" s="176">
        <f t="shared" si="92"/>
        <v>4</v>
      </c>
      <c r="U260" s="250">
        <f t="shared" si="93"/>
        <v>-1.0155011618714216</v>
      </c>
      <c r="V260" s="382">
        <f t="shared" si="94"/>
        <v>52.216135428402197</v>
      </c>
      <c r="W260" s="58"/>
      <c r="X260" s="157">
        <f t="shared" si="95"/>
        <v>43711</v>
      </c>
      <c r="Y260" s="383">
        <f t="shared" si="96"/>
        <v>52.366999999999997</v>
      </c>
      <c r="Z260" s="383">
        <f t="shared" si="97"/>
        <v>52.598340073772043</v>
      </c>
      <c r="AA260" s="384">
        <f t="shared" si="98"/>
        <v>53.663796092255836</v>
      </c>
      <c r="AB260" s="197">
        <f t="shared" si="99"/>
        <v>43711</v>
      </c>
      <c r="AC260" s="424">
        <f t="shared" si="100"/>
        <v>1.9854279720579678E-2</v>
      </c>
      <c r="AD260" s="169">
        <f>(INDEX(Models!$BJ260:$BT260,,AH260)*(1-AF260)+INDEX(Models!$BJ260:$BT260,,AH260+1)*AF260-ERP_i)*AE260*Ramure*Pc/MaxiM</f>
        <v>7.48307017014304E-5</v>
      </c>
      <c r="AE260" s="304">
        <f t="shared" si="101"/>
        <v>0.6</v>
      </c>
      <c r="AF260" s="177">
        <f t="shared" si="102"/>
        <v>0.98449883812857841</v>
      </c>
      <c r="AG260" s="799">
        <f t="shared" si="103"/>
        <v>-2</v>
      </c>
      <c r="AH260" s="176">
        <f t="shared" si="104"/>
        <v>4</v>
      </c>
      <c r="AI260" s="224">
        <f t="shared" si="105"/>
        <v>-1.0155011618714216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52.093000000000004</v>
      </c>
      <c r="C261" s="388"/>
      <c r="D261" s="391">
        <f t="shared" si="85"/>
        <v>52.324132412520143</v>
      </c>
      <c r="E261" s="383">
        <f t="shared" si="111"/>
        <v>53.388127674470248</v>
      </c>
      <c r="F261" s="383">
        <f t="shared" ref="F261:F292" si="113">Wh_sa/(1-Pvg*MEDIAN((-Sdif+Wh/Env_an)/Csdif,0,1))</f>
        <v>53.392231312994895</v>
      </c>
      <c r="G261" s="110">
        <f t="shared" si="112"/>
        <v>1.0022726559456219</v>
      </c>
      <c r="I261" s="379">
        <f t="shared" si="86"/>
        <v>53.392231312994895</v>
      </c>
      <c r="J261" s="85">
        <v>2018</v>
      </c>
      <c r="K261" s="197">
        <f t="shared" si="87"/>
        <v>43712</v>
      </c>
      <c r="L261" s="435">
        <f t="shared" si="88"/>
        <v>4.4173195400146748E-3</v>
      </c>
      <c r="M261" s="842"/>
      <c r="N261" s="842"/>
      <c r="O261" s="323">
        <f t="shared" si="89"/>
        <v>1.9929435780886181E-2</v>
      </c>
      <c r="P261" s="169">
        <f>(INDEX(Models!$BJ261:$BT261,,T261)*(1-R261)+INDEX(Models!$BJ261:$BT261,,T261+1)*R261-ERP_i)*Q261*Ramure*Pc/MaxiM</f>
        <v>7.6858344814128939E-5</v>
      </c>
      <c r="Q261" s="304">
        <f t="shared" si="90"/>
        <v>0.6</v>
      </c>
      <c r="R261" s="177">
        <f t="shared" si="91"/>
        <v>0.9850770238543427</v>
      </c>
      <c r="S261" s="799">
        <f t="shared" si="109"/>
        <v>-2</v>
      </c>
      <c r="T261" s="176">
        <f t="shared" si="92"/>
        <v>4</v>
      </c>
      <c r="U261" s="250">
        <f t="shared" si="93"/>
        <v>-1.0149229761456573</v>
      </c>
      <c r="V261" s="382">
        <f t="shared" si="94"/>
        <v>51.974878982257998</v>
      </c>
      <c r="W261" s="58"/>
      <c r="X261" s="157">
        <f t="shared" si="95"/>
        <v>43712</v>
      </c>
      <c r="Y261" s="383">
        <f t="shared" si="96"/>
        <v>52.093000000000004</v>
      </c>
      <c r="Z261" s="383">
        <f t="shared" si="97"/>
        <v>52.324132412520143</v>
      </c>
      <c r="AA261" s="384">
        <f t="shared" si="98"/>
        <v>53.388127674470248</v>
      </c>
      <c r="AB261" s="197">
        <f t="shared" si="99"/>
        <v>43712</v>
      </c>
      <c r="AC261" s="424">
        <f t="shared" si="100"/>
        <v>1.9929435780886181E-2</v>
      </c>
      <c r="AD261" s="169">
        <f>(INDEX(Models!$BJ261:$BT261,,AH261)*(1-AF261)+INDEX(Models!$BJ261:$BT261,,AH261+1)*AF261-ERP_i)*AE261*Ramure*Pc/MaxiM</f>
        <v>7.6858344814128939E-5</v>
      </c>
      <c r="AE261" s="304">
        <f t="shared" si="101"/>
        <v>0.6</v>
      </c>
      <c r="AF261" s="177">
        <f t="shared" si="102"/>
        <v>0.9850770238543427</v>
      </c>
      <c r="AG261" s="799">
        <f t="shared" si="103"/>
        <v>-2</v>
      </c>
      <c r="AH261" s="176">
        <f t="shared" si="104"/>
        <v>4</v>
      </c>
      <c r="AI261" s="224">
        <f t="shared" si="105"/>
        <v>-1.0149229761456573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37.435000000000002</v>
      </c>
      <c r="C262" s="388"/>
      <c r="D262" s="391">
        <f t="shared" si="85"/>
        <v>37.601816686574068</v>
      </c>
      <c r="E262" s="383">
        <f t="shared" si="111"/>
        <v>38.36937272624683</v>
      </c>
      <c r="F262" s="383">
        <f t="shared" si="113"/>
        <v>38.371206188153231</v>
      </c>
      <c r="G262" s="110">
        <f t="shared" si="112"/>
        <v>0.72363627265820074</v>
      </c>
      <c r="I262" s="379">
        <f t="shared" si="86"/>
        <v>38.371206188153231</v>
      </c>
      <c r="J262" s="85">
        <v>2018</v>
      </c>
      <c r="K262" s="197">
        <f t="shared" si="87"/>
        <v>43713</v>
      </c>
      <c r="L262" s="435">
        <f t="shared" si="88"/>
        <v>4.4363996549567908E-3</v>
      </c>
      <c r="M262" s="842"/>
      <c r="N262" s="842"/>
      <c r="O262" s="323">
        <f t="shared" si="89"/>
        <v>2.0004393742608824E-2</v>
      </c>
      <c r="P262" s="169">
        <f>(INDEX(Models!$BJ262:$BT262,,T262)*(1-R262)+INDEX(Models!$BJ262:$BT262,,T262+1)*R262-ERP_i)*Q262*Ramure*Pc/MaxiM</f>
        <v>7.8949288286537904E-5</v>
      </c>
      <c r="Q262" s="304">
        <f t="shared" si="90"/>
        <v>0.6</v>
      </c>
      <c r="R262" s="177">
        <f t="shared" si="91"/>
        <v>0.98563322514711471</v>
      </c>
      <c r="S262" s="799">
        <f t="shared" si="109"/>
        <v>-2</v>
      </c>
      <c r="T262" s="176">
        <f t="shared" si="92"/>
        <v>4</v>
      </c>
      <c r="U262" s="250">
        <f t="shared" si="93"/>
        <v>-1.0143667748528853</v>
      </c>
      <c r="V262" s="382">
        <f t="shared" si="94"/>
        <v>51.730178018876984</v>
      </c>
      <c r="W262" s="58"/>
      <c r="X262" s="157">
        <f t="shared" si="95"/>
        <v>43713</v>
      </c>
      <c r="Y262" s="383">
        <f t="shared" si="96"/>
        <v>37.435000000000002</v>
      </c>
      <c r="Z262" s="383">
        <f t="shared" si="97"/>
        <v>37.601816686574068</v>
      </c>
      <c r="AA262" s="384">
        <f t="shared" si="98"/>
        <v>38.36937272624683</v>
      </c>
      <c r="AB262" s="197">
        <f t="shared" si="99"/>
        <v>43713</v>
      </c>
      <c r="AC262" s="424">
        <f t="shared" si="100"/>
        <v>2.0004393742608824E-2</v>
      </c>
      <c r="AD262" s="169">
        <f>(INDEX(Models!$BJ262:$BT262,,AH262)*(1-AF262)+INDEX(Models!$BJ262:$BT262,,AH262+1)*AF262-ERP_i)*AE262*Ramure*Pc/MaxiM</f>
        <v>7.8949288286537904E-5</v>
      </c>
      <c r="AE262" s="304">
        <f t="shared" si="101"/>
        <v>0.6</v>
      </c>
      <c r="AF262" s="177">
        <f t="shared" si="102"/>
        <v>0.98563322514711471</v>
      </c>
      <c r="AG262" s="799">
        <f t="shared" si="103"/>
        <v>-2</v>
      </c>
      <c r="AH262" s="176">
        <f t="shared" si="104"/>
        <v>4</v>
      </c>
      <c r="AI262" s="224">
        <f t="shared" si="105"/>
        <v>-1.0143667748528853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53.093000000000004</v>
      </c>
      <c r="C263" s="388"/>
      <c r="D263" s="391">
        <f t="shared" si="85"/>
        <v>53.330613449840875</v>
      </c>
      <c r="E263" s="383">
        <f t="shared" si="111"/>
        <v>54.423388737120455</v>
      </c>
      <c r="F263" s="383">
        <f t="shared" si="113"/>
        <v>54.427802265876565</v>
      </c>
      <c r="G263" s="110">
        <f t="shared" si="112"/>
        <v>1.0312918001857614</v>
      </c>
      <c r="I263" s="379">
        <f t="shared" si="86"/>
        <v>54.427802265876565</v>
      </c>
      <c r="J263" s="85">
        <v>2018</v>
      </c>
      <c r="K263" s="197">
        <f t="shared" si="87"/>
        <v>43714</v>
      </c>
      <c r="L263" s="435">
        <f t="shared" si="88"/>
        <v>4.4554794042328538E-3</v>
      </c>
      <c r="M263" s="842"/>
      <c r="N263" s="842"/>
      <c r="O263" s="323">
        <f t="shared" si="89"/>
        <v>2.0079148186783722E-2</v>
      </c>
      <c r="P263" s="169">
        <f>(INDEX(Models!$BJ263:$BT263,,T263)*(1-R263)+INDEX(Models!$BJ263:$BT263,,T263+1)*R263-ERP_i)*Q263*Ramure*Pc/MaxiM</f>
        <v>8.1089600762338038E-5</v>
      </c>
      <c r="Q263" s="304">
        <f t="shared" si="90"/>
        <v>0.6</v>
      </c>
      <c r="R263" s="177">
        <f t="shared" si="91"/>
        <v>0.98616822907874635</v>
      </c>
      <c r="S263" s="799">
        <f t="shared" si="109"/>
        <v>-2</v>
      </c>
      <c r="T263" s="176">
        <f t="shared" si="92"/>
        <v>4</v>
      </c>
      <c r="U263" s="250">
        <f t="shared" si="93"/>
        <v>-1.0138317709212536</v>
      </c>
      <c r="V263" s="382">
        <f t="shared" si="94"/>
        <v>51.482034464384022</v>
      </c>
      <c r="W263" s="58"/>
      <c r="X263" s="157">
        <f t="shared" si="95"/>
        <v>43714</v>
      </c>
      <c r="Y263" s="383">
        <f t="shared" si="96"/>
        <v>53.093000000000004</v>
      </c>
      <c r="Z263" s="383">
        <f t="shared" si="97"/>
        <v>53.330613449840875</v>
      </c>
      <c r="AA263" s="384">
        <f t="shared" si="98"/>
        <v>54.423388737120455</v>
      </c>
      <c r="AB263" s="197">
        <f t="shared" si="99"/>
        <v>43714</v>
      </c>
      <c r="AC263" s="424">
        <f t="shared" si="100"/>
        <v>2.0079148186783722E-2</v>
      </c>
      <c r="AD263" s="169">
        <f>(INDEX(Models!$BJ263:$BT263,,AH263)*(1-AF263)+INDEX(Models!$BJ263:$BT263,,AH263+1)*AF263-ERP_i)*AE263*Ramure*Pc/MaxiM</f>
        <v>8.1089600762338038E-5</v>
      </c>
      <c r="AE263" s="304">
        <f t="shared" si="101"/>
        <v>0.6</v>
      </c>
      <c r="AF263" s="177">
        <f t="shared" si="102"/>
        <v>0.98616822907874635</v>
      </c>
      <c r="AG263" s="799">
        <f t="shared" si="103"/>
        <v>-2</v>
      </c>
      <c r="AH263" s="176">
        <f t="shared" si="104"/>
        <v>4</v>
      </c>
      <c r="AI263" s="224">
        <f t="shared" si="105"/>
        <v>-1.0138317709212536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48.137</v>
      </c>
      <c r="C264" s="388"/>
      <c r="D264" s="391">
        <f t="shared" si="85"/>
        <v>48.353359951693918</v>
      </c>
      <c r="E264" s="383">
        <f t="shared" si="111"/>
        <v>49.347902450227075</v>
      </c>
      <c r="F264" s="383">
        <f t="shared" si="113"/>
        <v>49.351657913110358</v>
      </c>
      <c r="G264" s="110">
        <f t="shared" si="112"/>
        <v>0.93961022483983636</v>
      </c>
      <c r="I264" s="379">
        <f t="shared" si="86"/>
        <v>49.351657913110358</v>
      </c>
      <c r="J264" s="85">
        <v>2018</v>
      </c>
      <c r="K264" s="197">
        <f t="shared" si="87"/>
        <v>43715</v>
      </c>
      <c r="L264" s="435">
        <f t="shared" si="88"/>
        <v>4.4745587878498583E-3</v>
      </c>
      <c r="M264" s="842"/>
      <c r="N264" s="842"/>
      <c r="O264" s="323">
        <f t="shared" si="89"/>
        <v>2.0153693453055396E-2</v>
      </c>
      <c r="P264" s="169">
        <f>(INDEX(Models!$BJ264:$BT264,,T264)*(1-R264)+INDEX(Models!$BJ264:$BT264,,T264+1)*R264-ERP_i)*Q264*Ramure*Pc/MaxiM</f>
        <v>8.3279821525376752E-5</v>
      </c>
      <c r="Q264" s="304">
        <f t="shared" si="90"/>
        <v>0.6</v>
      </c>
      <c r="R264" s="177">
        <f t="shared" si="91"/>
        <v>0.98668279831178385</v>
      </c>
      <c r="S264" s="799">
        <f t="shared" si="109"/>
        <v>-2</v>
      </c>
      <c r="T264" s="176">
        <f t="shared" si="92"/>
        <v>4</v>
      </c>
      <c r="U264" s="250">
        <f t="shared" si="93"/>
        <v>-1.0133172016882162</v>
      </c>
      <c r="V264" s="382">
        <f t="shared" si="94"/>
        <v>51.230449491347507</v>
      </c>
      <c r="W264" s="58"/>
      <c r="X264" s="157">
        <f t="shared" si="95"/>
        <v>43715</v>
      </c>
      <c r="Y264" s="383">
        <f t="shared" si="96"/>
        <v>48.137</v>
      </c>
      <c r="Z264" s="383">
        <f t="shared" si="97"/>
        <v>48.353359951693918</v>
      </c>
      <c r="AA264" s="384">
        <f t="shared" si="98"/>
        <v>49.347902450227075</v>
      </c>
      <c r="AB264" s="197">
        <f t="shared" si="99"/>
        <v>43715</v>
      </c>
      <c r="AC264" s="424">
        <f t="shared" si="100"/>
        <v>2.0153693453055396E-2</v>
      </c>
      <c r="AD264" s="169">
        <f>(INDEX(Models!$BJ264:$BT264,,AH264)*(1-AF264)+INDEX(Models!$BJ264:$BT264,,AH264+1)*AF264-ERP_i)*AE264*Ramure*Pc/MaxiM</f>
        <v>8.3279821525376752E-5</v>
      </c>
      <c r="AE264" s="304">
        <f t="shared" si="101"/>
        <v>0.6</v>
      </c>
      <c r="AF264" s="177">
        <f t="shared" si="102"/>
        <v>0.98668279831178385</v>
      </c>
      <c r="AG264" s="799">
        <f t="shared" si="103"/>
        <v>-2</v>
      </c>
      <c r="AH264" s="176">
        <f t="shared" si="104"/>
        <v>4</v>
      </c>
      <c r="AI264" s="224">
        <f t="shared" si="105"/>
        <v>-1.0133172016882162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45.777000000000001</v>
      </c>
      <c r="C265" s="388"/>
      <c r="D265" s="391">
        <f t="shared" si="85"/>
        <v>45.983633795271174</v>
      </c>
      <c r="E265" s="383">
        <f t="shared" si="111"/>
        <v>46.932995537995915</v>
      </c>
      <c r="F265" s="383">
        <f t="shared" si="113"/>
        <v>46.936424783059117</v>
      </c>
      <c r="G265" s="110">
        <f t="shared" si="112"/>
        <v>0.8980097815656195</v>
      </c>
      <c r="I265" s="379">
        <f t="shared" si="86"/>
        <v>46.936424783059117</v>
      </c>
      <c r="J265" s="85">
        <v>2018</v>
      </c>
      <c r="K265" s="197">
        <f t="shared" si="87"/>
        <v>43716</v>
      </c>
      <c r="L265" s="435">
        <f t="shared" si="88"/>
        <v>4.4936378058147985E-3</v>
      </c>
      <c r="M265" s="842"/>
      <c r="N265" s="842"/>
      <c r="O265" s="323">
        <f t="shared" si="89"/>
        <v>2.022802362905126E-2</v>
      </c>
      <c r="P265" s="169">
        <f>(INDEX(Models!$BJ265:$BT265,,T265)*(1-R265)+INDEX(Models!$BJ265:$BT265,,T265+1)*R265-ERP_i)*Q265*Ramure*Pc/MaxiM</f>
        <v>8.5520482558985725E-5</v>
      </c>
      <c r="Q265" s="304">
        <f t="shared" si="90"/>
        <v>0.6</v>
      </c>
      <c r="R265" s="177">
        <f t="shared" si="91"/>
        <v>0.98717767155862979</v>
      </c>
      <c r="S265" s="799">
        <f t="shared" si="109"/>
        <v>-2</v>
      </c>
      <c r="T265" s="176">
        <f t="shared" si="92"/>
        <v>4</v>
      </c>
      <c r="U265" s="250">
        <f t="shared" si="93"/>
        <v>-1.0128223284413702</v>
      </c>
      <c r="V265" s="382">
        <f t="shared" si="94"/>
        <v>50.975424280069475</v>
      </c>
      <c r="W265" s="58"/>
      <c r="X265" s="157">
        <f t="shared" si="95"/>
        <v>43716</v>
      </c>
      <c r="Y265" s="383">
        <f t="shared" si="96"/>
        <v>45.777000000000001</v>
      </c>
      <c r="Z265" s="383">
        <f t="shared" si="97"/>
        <v>45.983633795271174</v>
      </c>
      <c r="AA265" s="384">
        <f t="shared" si="98"/>
        <v>46.932995537995915</v>
      </c>
      <c r="AB265" s="197">
        <f t="shared" si="99"/>
        <v>43716</v>
      </c>
      <c r="AC265" s="424">
        <f t="shared" si="100"/>
        <v>2.022802362905126E-2</v>
      </c>
      <c r="AD265" s="169">
        <f>(INDEX(Models!$BJ265:$BT265,,AH265)*(1-AF265)+INDEX(Models!$BJ265:$BT265,,AH265+1)*AF265-ERP_i)*AE265*Ramure*Pc/MaxiM</f>
        <v>8.5520482558985725E-5</v>
      </c>
      <c r="AE265" s="304">
        <f t="shared" si="101"/>
        <v>0.6</v>
      </c>
      <c r="AF265" s="177">
        <f t="shared" si="102"/>
        <v>0.98717767155862979</v>
      </c>
      <c r="AG265" s="799">
        <f t="shared" si="103"/>
        <v>-2</v>
      </c>
      <c r="AH265" s="176">
        <f t="shared" si="104"/>
        <v>4</v>
      </c>
      <c r="AI265" s="224">
        <f t="shared" si="105"/>
        <v>-1.0128223284413702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39.674999999999997</v>
      </c>
      <c r="C266" s="388"/>
      <c r="D266" s="391">
        <f t="shared" si="85"/>
        <v>39.854853654021049</v>
      </c>
      <c r="E266" s="383">
        <f t="shared" si="111"/>
        <v>40.680759831997172</v>
      </c>
      <c r="F266" s="383">
        <f t="shared" si="113"/>
        <v>40.683221181944518</v>
      </c>
      <c r="G266" s="110">
        <f t="shared" si="112"/>
        <v>0.78226132501244006</v>
      </c>
      <c r="I266" s="379">
        <f t="shared" si="86"/>
        <v>40.683221181944518</v>
      </c>
      <c r="J266" s="85">
        <v>2018</v>
      </c>
      <c r="K266" s="197">
        <f t="shared" si="87"/>
        <v>43717</v>
      </c>
      <c r="L266" s="435">
        <f t="shared" si="88"/>
        <v>4.5127164581347801E-3</v>
      </c>
      <c r="M266" s="842"/>
      <c r="N266" s="842"/>
      <c r="O266" s="323">
        <f t="shared" si="89"/>
        <v>2.030213254095891E-2</v>
      </c>
      <c r="P266" s="169">
        <f>(INDEX(Models!$BJ266:$BT266,,T266)*(1-R266)+INDEX(Models!$BJ266:$BT266,,T266+1)*R266-ERP_i)*Q266*Ramure*Pc/MaxiM</f>
        <v>8.7812106766841115E-5</v>
      </c>
      <c r="Q266" s="304">
        <f t="shared" si="90"/>
        <v>0.6</v>
      </c>
      <c r="R266" s="177">
        <f t="shared" si="91"/>
        <v>0.98765356405798488</v>
      </c>
      <c r="S266" s="799">
        <f t="shared" si="109"/>
        <v>-2</v>
      </c>
      <c r="T266" s="176">
        <f t="shared" si="92"/>
        <v>4</v>
      </c>
      <c r="U266" s="250">
        <f t="shared" si="93"/>
        <v>-1.0123464359420151</v>
      </c>
      <c r="V266" s="382">
        <f t="shared" si="94"/>
        <v>50.716960014179172</v>
      </c>
      <c r="W266" s="58"/>
      <c r="X266" s="157">
        <f t="shared" si="95"/>
        <v>43717</v>
      </c>
      <c r="Y266" s="383">
        <f t="shared" si="96"/>
        <v>39.674999999999997</v>
      </c>
      <c r="Z266" s="383">
        <f t="shared" si="97"/>
        <v>39.854853654021049</v>
      </c>
      <c r="AA266" s="384">
        <f t="shared" si="98"/>
        <v>40.680759831997172</v>
      </c>
      <c r="AB266" s="197">
        <f t="shared" si="99"/>
        <v>43717</v>
      </c>
      <c r="AC266" s="424">
        <f t="shared" si="100"/>
        <v>2.030213254095891E-2</v>
      </c>
      <c r="AD266" s="169">
        <f>(INDEX(Models!$BJ266:$BT266,,AH266)*(1-AF266)+INDEX(Models!$BJ266:$BT266,,AH266+1)*AF266-ERP_i)*AE266*Ramure*Pc/MaxiM</f>
        <v>8.7812106766841115E-5</v>
      </c>
      <c r="AE266" s="304">
        <f t="shared" si="101"/>
        <v>0.6</v>
      </c>
      <c r="AF266" s="177">
        <f t="shared" si="102"/>
        <v>0.98765356405798488</v>
      </c>
      <c r="AG266" s="799">
        <f t="shared" si="103"/>
        <v>-2</v>
      </c>
      <c r="AH266" s="176">
        <f t="shared" si="104"/>
        <v>4</v>
      </c>
      <c r="AI266" s="224">
        <f t="shared" si="105"/>
        <v>-1.0123464359420151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13.462999999999999</v>
      </c>
      <c r="C267" s="388"/>
      <c r="D267" s="391">
        <f t="shared" si="85"/>
        <v>13.524289303191583</v>
      </c>
      <c r="E267" s="383">
        <f t="shared" si="111"/>
        <v>13.805592240449949</v>
      </c>
      <c r="F267" s="383">
        <f t="shared" si="113"/>
        <v>13.805592240449949</v>
      </c>
      <c r="G267" s="110">
        <f t="shared" si="112"/>
        <v>0.26680746798116117</v>
      </c>
      <c r="I267" s="379">
        <f t="shared" si="86"/>
        <v>13.805592240449949</v>
      </c>
      <c r="J267" s="85">
        <v>2018</v>
      </c>
      <c r="K267" s="197">
        <f t="shared" si="87"/>
        <v>43718</v>
      </c>
      <c r="L267" s="435">
        <f t="shared" si="88"/>
        <v>4.5317947448166862E-3</v>
      </c>
      <c r="M267" s="842"/>
      <c r="N267" s="842"/>
      <c r="O267" s="323">
        <f t="shared" si="89"/>
        <v>2.0376013745658568E-2</v>
      </c>
      <c r="P267" s="169">
        <f>(INDEX(Models!$BJ267:$BT267,,T267)*(1-R267)+INDEX(Models!$BJ267:$BT267,,T267+1)*R267-ERP_i)*Q267*Ramure*Pc/MaxiM</f>
        <v>9.0155206088515428E-5</v>
      </c>
      <c r="Q267" s="304">
        <f t="shared" si="90"/>
        <v>0.6</v>
      </c>
      <c r="R267" s="177">
        <f t="shared" si="91"/>
        <v>0.9881111680656498</v>
      </c>
      <c r="S267" s="799">
        <f t="shared" si="109"/>
        <v>-2</v>
      </c>
      <c r="T267" s="176">
        <f t="shared" si="92"/>
        <v>4</v>
      </c>
      <c r="U267" s="250">
        <f t="shared" si="93"/>
        <v>-1.0118888319343502</v>
      </c>
      <c r="V267" s="382">
        <f t="shared" si="94"/>
        <v>50.455057882453815</v>
      </c>
      <c r="W267" s="58"/>
      <c r="X267" s="157">
        <f t="shared" si="95"/>
        <v>43718</v>
      </c>
      <c r="Y267" s="383">
        <f t="shared" si="96"/>
        <v>13.462999999999999</v>
      </c>
      <c r="Z267" s="383">
        <f t="shared" si="97"/>
        <v>13.524289303191583</v>
      </c>
      <c r="AA267" s="384">
        <f t="shared" si="98"/>
        <v>13.805592240449949</v>
      </c>
      <c r="AB267" s="197">
        <f t="shared" si="99"/>
        <v>43718</v>
      </c>
      <c r="AC267" s="424">
        <f t="shared" si="100"/>
        <v>2.0376013745658568E-2</v>
      </c>
      <c r="AD267" s="169">
        <f>(INDEX(Models!$BJ267:$BT267,,AH267)*(1-AF267)+INDEX(Models!$BJ267:$BT267,,AH267+1)*AF267-ERP_i)*AE267*Ramure*Pc/MaxiM</f>
        <v>9.0155206088515428E-5</v>
      </c>
      <c r="AE267" s="304">
        <f t="shared" si="101"/>
        <v>0.6</v>
      </c>
      <c r="AF267" s="177">
        <f t="shared" si="102"/>
        <v>0.9881111680656498</v>
      </c>
      <c r="AG267" s="799">
        <f t="shared" si="103"/>
        <v>-2</v>
      </c>
      <c r="AH267" s="176">
        <f t="shared" si="104"/>
        <v>4</v>
      </c>
      <c r="AI267" s="224">
        <f t="shared" si="105"/>
        <v>-1.0118888319343502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46.381999999999998</v>
      </c>
      <c r="C268" s="388"/>
      <c r="D268" s="391">
        <f t="shared" si="85"/>
        <v>46.594043559225923</v>
      </c>
      <c r="E268" s="383">
        <f t="shared" si="111"/>
        <v>47.56676781326729</v>
      </c>
      <c r="F268" s="383">
        <f t="shared" si="113"/>
        <v>47.570695071045627</v>
      </c>
      <c r="G268" s="110">
        <f t="shared" si="112"/>
        <v>0.9241242483382176</v>
      </c>
      <c r="I268" s="379">
        <f t="shared" si="86"/>
        <v>47.570695071045627</v>
      </c>
      <c r="J268" s="85">
        <v>2018</v>
      </c>
      <c r="K268" s="197">
        <f t="shared" si="87"/>
        <v>43719</v>
      </c>
      <c r="L268" s="435">
        <f t="shared" si="88"/>
        <v>4.5508726658676224E-3</v>
      </c>
      <c r="M268" s="842"/>
      <c r="N268" s="842"/>
      <c r="O268" s="323">
        <f t="shared" si="89"/>
        <v>2.0449660524759342E-2</v>
      </c>
      <c r="P268" s="169">
        <f>(INDEX(Models!$BJ268:$BT268,,T268)*(1-R268)+INDEX(Models!$BJ268:$BT268,,T268+1)*R268-ERP_i)*Q268*Ramure*Pc/MaxiM</f>
        <v>9.2591355455210318E-5</v>
      </c>
      <c r="Q268" s="304">
        <f t="shared" si="90"/>
        <v>0.6</v>
      </c>
      <c r="R268" s="177">
        <f t="shared" si="91"/>
        <v>0.9885511533569864</v>
      </c>
      <c r="S268" s="799">
        <f t="shared" si="109"/>
        <v>-2</v>
      </c>
      <c r="T268" s="176">
        <f t="shared" si="92"/>
        <v>4</v>
      </c>
      <c r="U268" s="250">
        <f t="shared" si="93"/>
        <v>-1.0114488466430136</v>
      </c>
      <c r="V268" s="382">
        <f t="shared" si="94"/>
        <v>50.189717017282128</v>
      </c>
      <c r="W268" s="58"/>
      <c r="X268" s="157">
        <f t="shared" si="95"/>
        <v>43719</v>
      </c>
      <c r="Y268" s="383">
        <f t="shared" si="96"/>
        <v>46.381999999999998</v>
      </c>
      <c r="Z268" s="383">
        <f t="shared" si="97"/>
        <v>46.594043559225923</v>
      </c>
      <c r="AA268" s="384">
        <f t="shared" si="98"/>
        <v>47.56676781326729</v>
      </c>
      <c r="AB268" s="197">
        <f t="shared" si="99"/>
        <v>43719</v>
      </c>
      <c r="AC268" s="424">
        <f t="shared" si="100"/>
        <v>2.0449660524759342E-2</v>
      </c>
      <c r="AD268" s="169">
        <f>(INDEX(Models!$BJ268:$BT268,,AH268)*(1-AF268)+INDEX(Models!$BJ268:$BT268,,AH268+1)*AF268-ERP_i)*AE268*Ramure*Pc/MaxiM</f>
        <v>9.2591355455210318E-5</v>
      </c>
      <c r="AE268" s="304">
        <f t="shared" si="101"/>
        <v>0.6</v>
      </c>
      <c r="AF268" s="177">
        <f t="shared" si="102"/>
        <v>0.9885511533569864</v>
      </c>
      <c r="AG268" s="799">
        <f t="shared" si="103"/>
        <v>-2</v>
      </c>
      <c r="AH268" s="176">
        <f t="shared" si="104"/>
        <v>4</v>
      </c>
      <c r="AI268" s="224">
        <f t="shared" si="105"/>
        <v>-1.0114488466430136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49.444000000000003</v>
      </c>
      <c r="C269" s="388"/>
      <c r="D269" s="391">
        <f t="shared" si="85"/>
        <v>49.670993969884599</v>
      </c>
      <c r="E269" s="383">
        <f t="shared" si="111"/>
        <v>50.711754651533084</v>
      </c>
      <c r="F269" s="383">
        <f t="shared" si="113"/>
        <v>50.716513586551613</v>
      </c>
      <c r="G269" s="110">
        <f t="shared" si="112"/>
        <v>0.99044484534175503</v>
      </c>
      <c r="I269" s="379">
        <f t="shared" si="86"/>
        <v>50.716513586551613</v>
      </c>
      <c r="J269" s="85">
        <v>2018</v>
      </c>
      <c r="K269" s="197">
        <f t="shared" si="87"/>
        <v>43720</v>
      </c>
      <c r="L269" s="435">
        <f t="shared" si="88"/>
        <v>4.5699502212945831E-3</v>
      </c>
      <c r="M269" s="842"/>
      <c r="N269" s="842"/>
      <c r="O269" s="323">
        <f t="shared" si="89"/>
        <v>2.0523065880880948E-2</v>
      </c>
      <c r="P269" s="169">
        <f>(INDEX(Models!$BJ269:$BT269,,T269)*(1-R269)+INDEX(Models!$BJ269:$BT269,,T269+1)*R269-ERP_i)*Q269*Ramure*Pc/MaxiM</f>
        <v>9.5132437175429101E-5</v>
      </c>
      <c r="Q269" s="304">
        <f t="shared" si="90"/>
        <v>0.6</v>
      </c>
      <c r="R269" s="177">
        <f t="shared" si="91"/>
        <v>0.9889741677385735</v>
      </c>
      <c r="S269" s="799">
        <f t="shared" si="109"/>
        <v>-2</v>
      </c>
      <c r="T269" s="176">
        <f t="shared" si="92"/>
        <v>4</v>
      </c>
      <c r="U269" s="250">
        <f t="shared" si="93"/>
        <v>-1.0110258322614265</v>
      </c>
      <c r="V269" s="382">
        <f t="shared" si="94"/>
        <v>49.920938079724628</v>
      </c>
      <c r="W269" s="58"/>
      <c r="X269" s="157">
        <f t="shared" si="95"/>
        <v>43720</v>
      </c>
      <c r="Y269" s="383">
        <f t="shared" si="96"/>
        <v>49.444000000000003</v>
      </c>
      <c r="Z269" s="383">
        <f t="shared" si="97"/>
        <v>49.670993969884599</v>
      </c>
      <c r="AA269" s="384">
        <f t="shared" si="98"/>
        <v>50.711754651533084</v>
      </c>
      <c r="AB269" s="197">
        <f t="shared" si="99"/>
        <v>43720</v>
      </c>
      <c r="AC269" s="424">
        <f t="shared" si="100"/>
        <v>2.0523065880880948E-2</v>
      </c>
      <c r="AD269" s="169">
        <f>(INDEX(Models!$BJ269:$BT269,,AH269)*(1-AF269)+INDEX(Models!$BJ269:$BT269,,AH269+1)*AF269-ERP_i)*AE269*Ramure*Pc/MaxiM</f>
        <v>9.5132437175429101E-5</v>
      </c>
      <c r="AE269" s="304">
        <f t="shared" si="101"/>
        <v>0.6</v>
      </c>
      <c r="AF269" s="177">
        <f t="shared" si="102"/>
        <v>0.9889741677385735</v>
      </c>
      <c r="AG269" s="799">
        <f t="shared" si="103"/>
        <v>-2</v>
      </c>
      <c r="AH269" s="176">
        <f t="shared" si="104"/>
        <v>4</v>
      </c>
      <c r="AI269" s="224">
        <f t="shared" si="105"/>
        <v>-1.0110258322614265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38.545999999999999</v>
      </c>
      <c r="C270" s="388"/>
      <c r="D270" s="391">
        <f t="shared" si="85"/>
        <v>38.72370413975684</v>
      </c>
      <c r="E270" s="383">
        <f t="shared" si="111"/>
        <v>39.538038376822946</v>
      </c>
      <c r="F270" s="383">
        <f t="shared" si="113"/>
        <v>39.5406695099092</v>
      </c>
      <c r="G270" s="110">
        <f t="shared" si="112"/>
        <v>0.77635020765143947</v>
      </c>
      <c r="I270" s="379">
        <f t="shared" si="86"/>
        <v>39.5406695099092</v>
      </c>
      <c r="J270" s="85">
        <v>2018</v>
      </c>
      <c r="K270" s="197">
        <f t="shared" si="87"/>
        <v>43721</v>
      </c>
      <c r="L270" s="435">
        <f t="shared" si="88"/>
        <v>4.5890274111044516E-3</v>
      </c>
      <c r="M270" s="842"/>
      <c r="N270" s="842"/>
      <c r="O270" s="323">
        <f t="shared" si="89"/>
        <v>2.0596222536509775E-2</v>
      </c>
      <c r="P270" s="169">
        <f>(INDEX(Models!$BJ270:$BT270,,T270)*(1-R270)+INDEX(Models!$BJ270:$BT270,,T270+1)*R270-ERP_i)*Q270*Ramure*Pc/MaxiM</f>
        <v>9.7779624891010207E-5</v>
      </c>
      <c r="Q270" s="304">
        <f t="shared" si="90"/>
        <v>0.6</v>
      </c>
      <c r="R270" s="177">
        <f t="shared" si="91"/>
        <v>0.98938083756678363</v>
      </c>
      <c r="S270" s="799">
        <f t="shared" si="109"/>
        <v>-2</v>
      </c>
      <c r="T270" s="176">
        <f t="shared" si="92"/>
        <v>4</v>
      </c>
      <c r="U270" s="250">
        <f t="shared" si="93"/>
        <v>-1.0106191624332164</v>
      </c>
      <c r="V270" s="382">
        <f t="shared" si="94"/>
        <v>49.648722280108046</v>
      </c>
      <c r="W270" s="58"/>
      <c r="X270" s="157">
        <f t="shared" si="95"/>
        <v>43721</v>
      </c>
      <c r="Y270" s="383">
        <f t="shared" si="96"/>
        <v>38.545999999999999</v>
      </c>
      <c r="Z270" s="383">
        <f t="shared" si="97"/>
        <v>38.72370413975684</v>
      </c>
      <c r="AA270" s="384">
        <f t="shared" si="98"/>
        <v>39.538038376822946</v>
      </c>
      <c r="AB270" s="197">
        <f t="shared" si="99"/>
        <v>43721</v>
      </c>
      <c r="AC270" s="424">
        <f t="shared" si="100"/>
        <v>2.0596222536509775E-2</v>
      </c>
      <c r="AD270" s="169">
        <f>(INDEX(Models!$BJ270:$BT270,,AH270)*(1-AF270)+INDEX(Models!$BJ270:$BT270,,AH270+1)*AF270-ERP_i)*AE270*Ramure*Pc/MaxiM</f>
        <v>9.7779624891010207E-5</v>
      </c>
      <c r="AE270" s="304">
        <f t="shared" si="101"/>
        <v>0.6</v>
      </c>
      <c r="AF270" s="177">
        <f t="shared" si="102"/>
        <v>0.98938083756678363</v>
      </c>
      <c r="AG270" s="799">
        <f t="shared" si="103"/>
        <v>-2</v>
      </c>
      <c r="AH270" s="176">
        <f t="shared" si="104"/>
        <v>4</v>
      </c>
      <c r="AI270" s="224">
        <f t="shared" si="105"/>
        <v>-1.0106191624332164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40.863</v>
      </c>
      <c r="C271" s="388"/>
      <c r="D271" s="391">
        <f t="shared" ref="D271:D334" si="114">Wh/(1-Ppv)</f>
        <v>41.052172690845133</v>
      </c>
      <c r="E271" s="383">
        <f t="shared" si="111"/>
        <v>41.918593247981029</v>
      </c>
      <c r="F271" s="383">
        <f t="shared" si="113"/>
        <v>41.921770052088476</v>
      </c>
      <c r="G271" s="110">
        <f t="shared" si="112"/>
        <v>0.82761691101738488</v>
      </c>
      <c r="I271" s="379">
        <f t="shared" ref="I271:I334" si="115">Wh_hp</f>
        <v>41.921770052088476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4.6081042353044444E-3</v>
      </c>
      <c r="M271" s="842"/>
      <c r="N271" s="842"/>
      <c r="O271" s="323">
        <f t="shared" ref="O271:O334" si="118">IF(t&lt;T0,0,IF(t&lt;Tnet,Salim_i*(1-EXP((T0-t)/Tau_ij)),Resal+(Salim-Resal)*(1-EXP((Tnet-t)/(Tau_j)))))*Salcycl</f>
        <v>2.0669122935742284E-2</v>
      </c>
      <c r="P271" s="169">
        <f>(INDEX(Models!$BJ271:$BT271,,T271)*(1-R271)+INDEX(Models!$BJ271:$BT271,,T271+1)*R271-ERP_i)*Q271*Ramure*Pc/MaxiM</f>
        <v>1.0053407631318645E-4</v>
      </c>
      <c r="Q271" s="304">
        <f t="shared" ref="Q271:Q334" si="119">IF(OR(t&lt;Ttai,Notai),Dd+PousD*Croivg,Dens+PousD*(Croivg-Croi_tai))</f>
        <v>0.6</v>
      </c>
      <c r="R271" s="177">
        <f t="shared" ref="R271:R334" si="120">(Hp_vg-S271)/(INDEX(Echel_vg,T271+1)-S271)</f>
        <v>0.98977176827121927</v>
      </c>
      <c r="S271" s="799">
        <f t="shared" si="109"/>
        <v>-2</v>
      </c>
      <c r="T271" s="176">
        <f t="shared" ref="T271:T334" si="121">MIN(MATCH(Hp_vg,Echel_vg),10)</f>
        <v>4</v>
      </c>
      <c r="U271" s="250">
        <f t="shared" ref="U271:U334" si="122">IF(OR(t&lt;Ttai,Notai),Hdd+PousH*Croivg,Hdtf+PousH*(Croivg-Croi_tai))</f>
        <v>-1.0102282317287807</v>
      </c>
      <c r="V271" s="382">
        <f t="shared" ref="V271:V334" si="123">MaxiM*(1-Ppv)*(1-Pvg)*(1-Psa)</f>
        <v>49.373070833410395</v>
      </c>
      <c r="W271" s="58"/>
      <c r="X271" s="157">
        <f t="shared" ref="X271:X334" si="124">t</f>
        <v>43722</v>
      </c>
      <c r="Y271" s="383">
        <f t="shared" ref="Y271:Y334" si="125">Wh_pvt_s*(1-Ppv)</f>
        <v>40.863</v>
      </c>
      <c r="Z271" s="383">
        <f t="shared" ref="Z271:Z334" si="126">Wh_sa_s*(1-Psa_s)</f>
        <v>41.052172690845133</v>
      </c>
      <c r="AA271" s="384">
        <f t="shared" ref="AA271:AA334" si="127">Wh_hp*(1-Pvg_s*MEDIAN((-Sdif+Wh/Env_an)/Csdif,0,1))</f>
        <v>41.918593247981029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2.0669122935742284E-2</v>
      </c>
      <c r="AD271" s="169">
        <f>(INDEX(Models!$BJ271:$BT271,,AH271)*(1-AF271)+INDEX(Models!$BJ271:$BT271,,AH271+1)*AF271-ERP_i)*AE271*Ramure*Pc/MaxiM</f>
        <v>1.0053407631318645E-4</v>
      </c>
      <c r="AE271" s="304">
        <f t="shared" ref="AE271:AE334" si="130">Dd+PousD*Croivg</f>
        <v>0.6</v>
      </c>
      <c r="AF271" s="177">
        <f t="shared" ref="AF271:AF334" si="131">(Hp_vg_s-AG271)/(INDEX(Echel_vg,AH271+1)-AG271)</f>
        <v>0.98977176827121927</v>
      </c>
      <c r="AG271" s="799">
        <f t="shared" ref="AG271:AG334" si="132">INDEX(Echel_vg,AH271)</f>
        <v>-2</v>
      </c>
      <c r="AH271" s="176">
        <f t="shared" ref="AH271:AH334" si="133">MIN(MATCH(Hp_vg_s,Echel_vg),10)</f>
        <v>4</v>
      </c>
      <c r="AI271" s="224">
        <f t="shared" ref="AI271:AI334" si="134">Hdd+PousH*Croivg</f>
        <v>-1.0102282317287807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41.381</v>
      </c>
      <c r="C272" s="388"/>
      <c r="D272" s="391">
        <f t="shared" si="114"/>
        <v>41.57336748339965</v>
      </c>
      <c r="E272" s="383">
        <f t="shared" si="111"/>
        <v>42.453936820103273</v>
      </c>
      <c r="F272" s="383">
        <f t="shared" si="113"/>
        <v>42.457341505853137</v>
      </c>
      <c r="G272" s="110">
        <f t="shared" si="112"/>
        <v>0.84287392157150653</v>
      </c>
      <c r="I272" s="379">
        <f t="shared" si="115"/>
        <v>42.457341505853137</v>
      </c>
      <c r="J272" s="85">
        <v>2018</v>
      </c>
      <c r="K272" s="197">
        <f t="shared" si="116"/>
        <v>43723</v>
      </c>
      <c r="L272" s="435">
        <f t="shared" si="117"/>
        <v>4.6271806939013338E-3</v>
      </c>
      <c r="M272" s="842"/>
      <c r="N272" s="842"/>
      <c r="O272" s="323">
        <f t="shared" si="118"/>
        <v>2.0741759249206924E-2</v>
      </c>
      <c r="P272" s="169">
        <f>(INDEX(Models!$BJ272:$BT272,,T272)*(1-R272)+INDEX(Models!$BJ272:$BT272,,T272+1)*R272-ERP_i)*Q272*Ramure*Pc/MaxiM</f>
        <v>1.0339693074486773E-4</v>
      </c>
      <c r="Q272" s="304">
        <f t="shared" si="119"/>
        <v>0.6</v>
      </c>
      <c r="R272" s="177">
        <f t="shared" si="120"/>
        <v>0.99014754488111723</v>
      </c>
      <c r="S272" s="799">
        <f t="shared" ref="S272:S335" si="138">INDEX(Echel_vg,T272)</f>
        <v>-2</v>
      </c>
      <c r="T272" s="176">
        <f t="shared" si="121"/>
        <v>4</v>
      </c>
      <c r="U272" s="250">
        <f t="shared" si="122"/>
        <v>-1.0098524551188828</v>
      </c>
      <c r="V272" s="382">
        <f t="shared" si="123"/>
        <v>49.093984958710578</v>
      </c>
      <c r="W272" s="58"/>
      <c r="X272" s="157">
        <f t="shared" si="124"/>
        <v>43723</v>
      </c>
      <c r="Y272" s="383">
        <f t="shared" si="125"/>
        <v>41.381</v>
      </c>
      <c r="Z272" s="383">
        <f t="shared" si="126"/>
        <v>41.57336748339965</v>
      </c>
      <c r="AA272" s="384">
        <f t="shared" si="127"/>
        <v>42.453936820103273</v>
      </c>
      <c r="AB272" s="197">
        <f t="shared" si="128"/>
        <v>43723</v>
      </c>
      <c r="AC272" s="424">
        <f t="shared" si="129"/>
        <v>2.0741759249206924E-2</v>
      </c>
      <c r="AD272" s="169">
        <f>(INDEX(Models!$BJ272:$BT272,,AH272)*(1-AF272)+INDEX(Models!$BJ272:$BT272,,AH272+1)*AF272-ERP_i)*AE272*Ramure*Pc/MaxiM</f>
        <v>1.0339693074486773E-4</v>
      </c>
      <c r="AE272" s="304">
        <f t="shared" si="130"/>
        <v>0.6</v>
      </c>
      <c r="AF272" s="177">
        <f t="shared" si="131"/>
        <v>0.99014754488111723</v>
      </c>
      <c r="AG272" s="799">
        <f t="shared" si="132"/>
        <v>-2</v>
      </c>
      <c r="AH272" s="176">
        <f t="shared" si="133"/>
        <v>4</v>
      </c>
      <c r="AI272" s="224">
        <f t="shared" si="134"/>
        <v>-1.0098524551188828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42.749000000000002</v>
      </c>
      <c r="C273" s="388"/>
      <c r="D273" s="391">
        <f t="shared" si="114"/>
        <v>42.948549991887425</v>
      </c>
      <c r="E273" s="383">
        <f t="shared" si="111"/>
        <v>43.861488423674864</v>
      </c>
      <c r="F273" s="383">
        <f t="shared" si="113"/>
        <v>43.865326468567289</v>
      </c>
      <c r="G273" s="110">
        <f t="shared" si="112"/>
        <v>0.87578179328427919</v>
      </c>
      <c r="I273" s="379">
        <f t="shared" si="115"/>
        <v>43.865326468567289</v>
      </c>
      <c r="J273" s="85">
        <v>2018</v>
      </c>
      <c r="K273" s="197">
        <f t="shared" si="116"/>
        <v>43724</v>
      </c>
      <c r="L273" s="435">
        <f t="shared" si="117"/>
        <v>4.6462567869023363E-3</v>
      </c>
      <c r="M273" s="842"/>
      <c r="N273" s="842"/>
      <c r="O273" s="323">
        <f t="shared" si="118"/>
        <v>2.081412338243099E-2</v>
      </c>
      <c r="P273" s="169">
        <f>(INDEX(Models!$BJ273:$BT273,,T273)*(1-R273)+INDEX(Models!$BJ273:$BT273,,T273+1)*R273-ERP_i)*Q273*Ramure*Pc/MaxiM</f>
        <v>1.0636930655375625E-4</v>
      </c>
      <c r="Q273" s="304">
        <f t="shared" si="119"/>
        <v>0.6</v>
      </c>
      <c r="R273" s="177">
        <f t="shared" si="120"/>
        <v>0.99050873255301286</v>
      </c>
      <c r="S273" s="799">
        <f t="shared" si="138"/>
        <v>-2</v>
      </c>
      <c r="T273" s="176">
        <f t="shared" si="121"/>
        <v>4</v>
      </c>
      <c r="U273" s="250">
        <f t="shared" si="122"/>
        <v>-1.0094912674469871</v>
      </c>
      <c r="V273" s="382">
        <f t="shared" si="123"/>
        <v>48.811465877004935</v>
      </c>
      <c r="W273" s="58"/>
      <c r="X273" s="157">
        <f t="shared" si="124"/>
        <v>43724</v>
      </c>
      <c r="Y273" s="383">
        <f t="shared" si="125"/>
        <v>42.749000000000002</v>
      </c>
      <c r="Z273" s="383">
        <f t="shared" si="126"/>
        <v>42.948549991887425</v>
      </c>
      <c r="AA273" s="384">
        <f t="shared" si="127"/>
        <v>43.861488423674864</v>
      </c>
      <c r="AB273" s="197">
        <f t="shared" si="128"/>
        <v>43724</v>
      </c>
      <c r="AC273" s="424">
        <f t="shared" si="129"/>
        <v>2.081412338243099E-2</v>
      </c>
      <c r="AD273" s="169">
        <f>(INDEX(Models!$BJ273:$BT273,,AH273)*(1-AF273)+INDEX(Models!$BJ273:$BT273,,AH273+1)*AF273-ERP_i)*AE273*Ramure*Pc/MaxiM</f>
        <v>1.0636930655375625E-4</v>
      </c>
      <c r="AE273" s="304">
        <f t="shared" si="130"/>
        <v>0.6</v>
      </c>
      <c r="AF273" s="177">
        <f t="shared" si="131"/>
        <v>0.99050873255301286</v>
      </c>
      <c r="AG273" s="799">
        <f t="shared" si="132"/>
        <v>-2</v>
      </c>
      <c r="AH273" s="176">
        <f t="shared" si="133"/>
        <v>4</v>
      </c>
      <c r="AI273" s="224">
        <f t="shared" si="134"/>
        <v>-1.0094912674469871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41.570999999999998</v>
      </c>
      <c r="C274" s="388"/>
      <c r="D274" s="391">
        <f t="shared" si="114"/>
        <v>41.765851585389342</v>
      </c>
      <c r="E274" s="383">
        <f t="shared" si="111"/>
        <v>42.656790133557777</v>
      </c>
      <c r="F274" s="383">
        <f t="shared" si="113"/>
        <v>42.660503442175909</v>
      </c>
      <c r="G274" s="110">
        <f t="shared" si="112"/>
        <v>0.85666413866788582</v>
      </c>
      <c r="I274" s="379">
        <f t="shared" si="115"/>
        <v>42.660503442175909</v>
      </c>
      <c r="J274" s="85">
        <v>2018</v>
      </c>
      <c r="K274" s="197">
        <f t="shared" si="116"/>
        <v>43725</v>
      </c>
      <c r="L274" s="435">
        <f t="shared" si="117"/>
        <v>4.6653325143143354E-3</v>
      </c>
      <c r="M274" s="842"/>
      <c r="N274" s="842"/>
      <c r="O274" s="323">
        <f t="shared" si="118"/>
        <v>2.0886206987889119E-2</v>
      </c>
      <c r="P274" s="169">
        <f>(INDEX(Models!$BJ274:$BT274,,T274)*(1-R274)+INDEX(Models!$BJ274:$BT274,,T274+1)*R274-ERP_i)*Q274*Ramure*Pc/MaxiM</f>
        <v>1.0945229862512508E-4</v>
      </c>
      <c r="Q274" s="304">
        <f t="shared" si="119"/>
        <v>0.6</v>
      </c>
      <c r="R274" s="177">
        <f t="shared" si="120"/>
        <v>0.99085587709811129</v>
      </c>
      <c r="S274" s="799">
        <f t="shared" si="138"/>
        <v>-2</v>
      </c>
      <c r="T274" s="176">
        <f t="shared" si="121"/>
        <v>4</v>
      </c>
      <c r="U274" s="250">
        <f t="shared" si="122"/>
        <v>-1.0091441229018887</v>
      </c>
      <c r="V274" s="382">
        <f t="shared" si="123"/>
        <v>48.525514814645682</v>
      </c>
      <c r="W274" s="58"/>
      <c r="X274" s="157">
        <f t="shared" si="124"/>
        <v>43725</v>
      </c>
      <c r="Y274" s="383">
        <f t="shared" si="125"/>
        <v>41.570999999999998</v>
      </c>
      <c r="Z274" s="383">
        <f t="shared" si="126"/>
        <v>41.765851585389342</v>
      </c>
      <c r="AA274" s="384">
        <f t="shared" si="127"/>
        <v>42.656790133557777</v>
      </c>
      <c r="AB274" s="197">
        <f t="shared" si="128"/>
        <v>43725</v>
      </c>
      <c r="AC274" s="424">
        <f t="shared" si="129"/>
        <v>2.0886206987889119E-2</v>
      </c>
      <c r="AD274" s="169">
        <f>(INDEX(Models!$BJ274:$BT274,,AH274)*(1-AF274)+INDEX(Models!$BJ274:$BT274,,AH274+1)*AF274-ERP_i)*AE274*Ramure*Pc/MaxiM</f>
        <v>1.0945229862512508E-4</v>
      </c>
      <c r="AE274" s="304">
        <f t="shared" si="130"/>
        <v>0.6</v>
      </c>
      <c r="AF274" s="177">
        <f t="shared" si="131"/>
        <v>0.99085587709811129</v>
      </c>
      <c r="AG274" s="799">
        <f t="shared" si="132"/>
        <v>-2</v>
      </c>
      <c r="AH274" s="176">
        <f t="shared" si="133"/>
        <v>4</v>
      </c>
      <c r="AI274" s="224">
        <f t="shared" si="134"/>
        <v>-1.0091441229018887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26.959</v>
      </c>
      <c r="C275" s="388"/>
      <c r="D275" s="391">
        <f t="shared" si="114"/>
        <v>27.085881315767892</v>
      </c>
      <c r="E275" s="383">
        <f t="shared" si="111"/>
        <v>27.665699078016118</v>
      </c>
      <c r="F275" s="383">
        <f t="shared" si="113"/>
        <v>27.666851771412482</v>
      </c>
      <c r="G275" s="110">
        <f t="shared" si="112"/>
        <v>0.55885938818932879</v>
      </c>
      <c r="I275" s="379">
        <f t="shared" si="115"/>
        <v>27.666851771412482</v>
      </c>
      <c r="J275" s="85">
        <v>2018</v>
      </c>
      <c r="K275" s="197">
        <f t="shared" si="116"/>
        <v>43726</v>
      </c>
      <c r="L275" s="435">
        <f t="shared" si="117"/>
        <v>4.6844078761443253E-3</v>
      </c>
      <c r="M275" s="842"/>
      <c r="N275" s="842"/>
      <c r="O275" s="323">
        <f t="shared" si="118"/>
        <v>2.0958001480937145E-2</v>
      </c>
      <c r="P275" s="169">
        <f>(INDEX(Models!$BJ275:$BT275,,T275)*(1-R275)+INDEX(Models!$BJ275:$BT275,,T275+1)*R275-ERP_i)*Q275*Ramure*Pc/MaxiM</f>
        <v>1.1264751703277356E-4</v>
      </c>
      <c r="Q275" s="304">
        <f t="shared" si="119"/>
        <v>0.6</v>
      </c>
      <c r="R275" s="177">
        <f t="shared" si="120"/>
        <v>0.99118950550796914</v>
      </c>
      <c r="S275" s="799">
        <f t="shared" si="138"/>
        <v>-2</v>
      </c>
      <c r="T275" s="176">
        <f t="shared" si="121"/>
        <v>4</v>
      </c>
      <c r="U275" s="250">
        <f t="shared" si="122"/>
        <v>-1.0088104944920309</v>
      </c>
      <c r="V275" s="382">
        <f t="shared" si="123"/>
        <v>48.235901243644761</v>
      </c>
      <c r="W275" s="58"/>
      <c r="X275" s="157">
        <f t="shared" si="124"/>
        <v>43726</v>
      </c>
      <c r="Y275" s="383">
        <f t="shared" si="125"/>
        <v>26.959</v>
      </c>
      <c r="Z275" s="383">
        <f t="shared" si="126"/>
        <v>27.085881315767892</v>
      </c>
      <c r="AA275" s="384">
        <f t="shared" si="127"/>
        <v>27.665699078016118</v>
      </c>
      <c r="AB275" s="197">
        <f t="shared" si="128"/>
        <v>43726</v>
      </c>
      <c r="AC275" s="424">
        <f t="shared" si="129"/>
        <v>2.0958001480937145E-2</v>
      </c>
      <c r="AD275" s="169">
        <f>(INDEX(Models!$BJ275:$BT275,,AH275)*(1-AF275)+INDEX(Models!$BJ275:$BT275,,AH275+1)*AF275-ERP_i)*AE275*Ramure*Pc/MaxiM</f>
        <v>1.1264751703277356E-4</v>
      </c>
      <c r="AE275" s="304">
        <f t="shared" si="130"/>
        <v>0.6</v>
      </c>
      <c r="AF275" s="177">
        <f t="shared" si="131"/>
        <v>0.99118950550796914</v>
      </c>
      <c r="AG275" s="799">
        <f t="shared" si="132"/>
        <v>-2</v>
      </c>
      <c r="AH275" s="176">
        <f t="shared" si="133"/>
        <v>4</v>
      </c>
      <c r="AI275" s="224">
        <f t="shared" si="134"/>
        <v>-1.0088104944920309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41.581000000000003</v>
      </c>
      <c r="C276" s="388"/>
      <c r="D276" s="391">
        <f t="shared" si="114"/>
        <v>41.777499754547186</v>
      </c>
      <c r="E276" s="383">
        <f t="shared" si="111"/>
        <v>42.674932157556533</v>
      </c>
      <c r="F276" s="383">
        <f t="shared" si="113"/>
        <v>42.678942947106243</v>
      </c>
      <c r="G276" s="110">
        <f t="shared" si="112"/>
        <v>0.86729134705651123</v>
      </c>
      <c r="I276" s="379">
        <f t="shared" si="115"/>
        <v>42.678942947106243</v>
      </c>
      <c r="J276" s="85">
        <v>2018</v>
      </c>
      <c r="K276" s="197">
        <f t="shared" si="116"/>
        <v>43727</v>
      </c>
      <c r="L276" s="435">
        <f t="shared" si="117"/>
        <v>4.7034828723994115E-3</v>
      </c>
      <c r="M276" s="842"/>
      <c r="N276" s="842"/>
      <c r="O276" s="323">
        <f t="shared" si="118"/>
        <v>2.1029498059798007E-2</v>
      </c>
      <c r="P276" s="169">
        <f>(INDEX(Models!$BJ276:$BT276,,T276)*(1-R276)+INDEX(Models!$BJ276:$BT276,,T276+1)*R276-ERP_i)*Q276*Ramure*Pc/MaxiM</f>
        <v>1.1595607472768044E-4</v>
      </c>
      <c r="Q276" s="304">
        <f t="shared" si="119"/>
        <v>0.6</v>
      </c>
      <c r="R276" s="177">
        <f t="shared" si="120"/>
        <v>0.99151012647723058</v>
      </c>
      <c r="S276" s="799">
        <f t="shared" si="138"/>
        <v>-2</v>
      </c>
      <c r="T276" s="176">
        <f t="shared" si="121"/>
        <v>4</v>
      </c>
      <c r="U276" s="250">
        <f t="shared" si="122"/>
        <v>-1.0084898735227694</v>
      </c>
      <c r="V276" s="382">
        <f t="shared" si="123"/>
        <v>47.942466041099891</v>
      </c>
      <c r="W276" s="58"/>
      <c r="X276" s="157">
        <f t="shared" si="124"/>
        <v>43727</v>
      </c>
      <c r="Y276" s="383">
        <f t="shared" si="125"/>
        <v>41.581000000000003</v>
      </c>
      <c r="Z276" s="383">
        <f t="shared" si="126"/>
        <v>41.777499754547186</v>
      </c>
      <c r="AA276" s="384">
        <f t="shared" si="127"/>
        <v>42.674932157556533</v>
      </c>
      <c r="AB276" s="197">
        <f t="shared" si="128"/>
        <v>43727</v>
      </c>
      <c r="AC276" s="424">
        <f t="shared" si="129"/>
        <v>2.1029498059798007E-2</v>
      </c>
      <c r="AD276" s="169">
        <f>(INDEX(Models!$BJ276:$BT276,,AH276)*(1-AF276)+INDEX(Models!$BJ276:$BT276,,AH276+1)*AF276-ERP_i)*AE276*Ramure*Pc/MaxiM</f>
        <v>1.1595607472768044E-4</v>
      </c>
      <c r="AE276" s="304">
        <f t="shared" si="130"/>
        <v>0.6</v>
      </c>
      <c r="AF276" s="177">
        <f t="shared" si="131"/>
        <v>0.99151012647723058</v>
      </c>
      <c r="AG276" s="799">
        <f t="shared" si="132"/>
        <v>-2</v>
      </c>
      <c r="AH276" s="176">
        <f t="shared" si="133"/>
        <v>4</v>
      </c>
      <c r="AI276" s="224">
        <f t="shared" si="134"/>
        <v>-1.0084898735227694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46.054000000000002</v>
      </c>
      <c r="C277" s="388"/>
      <c r="D277" s="391">
        <f t="shared" si="114"/>
        <v>46.272524658512822</v>
      </c>
      <c r="E277" s="383">
        <f t="shared" si="111"/>
        <v>47.269953179553369</v>
      </c>
      <c r="F277" s="383">
        <f t="shared" si="113"/>
        <v>47.27532550671782</v>
      </c>
      <c r="G277" s="110">
        <f t="shared" si="112"/>
        <v>0.9665952095782564</v>
      </c>
      <c r="I277" s="379">
        <f t="shared" si="115"/>
        <v>47.27532550671782</v>
      </c>
      <c r="J277" s="85">
        <v>2018</v>
      </c>
      <c r="K277" s="197">
        <f t="shared" si="116"/>
        <v>43728</v>
      </c>
      <c r="L277" s="435">
        <f t="shared" si="117"/>
        <v>4.7225575030865885E-3</v>
      </c>
      <c r="M277" s="842"/>
      <c r="N277" s="842"/>
      <c r="O277" s="323">
        <f t="shared" si="118"/>
        <v>2.110068772972655E-2</v>
      </c>
      <c r="P277" s="169">
        <f>(INDEX(Models!$BJ277:$BT277,,T277)*(1-R277)+INDEX(Models!$BJ277:$BT277,,T277+1)*R277-ERP_i)*Q277*Ramure*Pc/MaxiM</f>
        <v>1.1933289875899441E-4</v>
      </c>
      <c r="Q277" s="304">
        <f t="shared" si="119"/>
        <v>0.6</v>
      </c>
      <c r="R277" s="177">
        <f t="shared" si="120"/>
        <v>0.99181823092228938</v>
      </c>
      <c r="S277" s="799">
        <f t="shared" si="138"/>
        <v>-2</v>
      </c>
      <c r="T277" s="176">
        <f t="shared" si="121"/>
        <v>4</v>
      </c>
      <c r="U277" s="250">
        <f t="shared" si="122"/>
        <v>-1.0081817690777106</v>
      </c>
      <c r="V277" s="382">
        <f t="shared" si="123"/>
        <v>47.645319667745248</v>
      </c>
      <c r="W277" s="58"/>
      <c r="X277" s="157">
        <f t="shared" si="124"/>
        <v>43728</v>
      </c>
      <c r="Y277" s="383">
        <f t="shared" si="125"/>
        <v>46.054000000000002</v>
      </c>
      <c r="Z277" s="383">
        <f t="shared" si="126"/>
        <v>46.272524658512822</v>
      </c>
      <c r="AA277" s="384">
        <f t="shared" si="127"/>
        <v>47.269953179553369</v>
      </c>
      <c r="AB277" s="197">
        <f t="shared" si="128"/>
        <v>43728</v>
      </c>
      <c r="AC277" s="424">
        <f t="shared" si="129"/>
        <v>2.110068772972655E-2</v>
      </c>
      <c r="AD277" s="169">
        <f>(INDEX(Models!$BJ277:$BT277,,AH277)*(1-AF277)+INDEX(Models!$BJ277:$BT277,,AH277+1)*AF277-ERP_i)*AE277*Ramure*Pc/MaxiM</f>
        <v>1.1933289875899441E-4</v>
      </c>
      <c r="AE277" s="304">
        <f t="shared" si="130"/>
        <v>0.6</v>
      </c>
      <c r="AF277" s="177">
        <f t="shared" si="131"/>
        <v>0.99181823092228938</v>
      </c>
      <c r="AG277" s="799">
        <f t="shared" si="132"/>
        <v>-2</v>
      </c>
      <c r="AH277" s="176">
        <f t="shared" si="133"/>
        <v>4</v>
      </c>
      <c r="AI277" s="224">
        <f t="shared" si="134"/>
        <v>-1.0081817690777106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33.362000000000002</v>
      </c>
      <c r="C278" s="388"/>
      <c r="D278" s="391">
        <f t="shared" si="114"/>
        <v>33.520943972842112</v>
      </c>
      <c r="E278" s="383">
        <f t="shared" si="111"/>
        <v>34.245984943427366</v>
      </c>
      <c r="F278" s="383">
        <f t="shared" si="113"/>
        <v>34.248415791465085</v>
      </c>
      <c r="G278" s="110">
        <f t="shared" si="112"/>
        <v>0.70462719264221951</v>
      </c>
      <c r="I278" s="379">
        <f t="shared" si="115"/>
        <v>34.248415791465085</v>
      </c>
      <c r="J278" s="85">
        <v>2018</v>
      </c>
      <c r="K278" s="197">
        <f t="shared" si="116"/>
        <v>43729</v>
      </c>
      <c r="L278" s="435">
        <f t="shared" si="117"/>
        <v>4.7416317682127396E-3</v>
      </c>
      <c r="M278" s="842"/>
      <c r="N278" s="842"/>
      <c r="O278" s="323">
        <f t="shared" si="118"/>
        <v>2.1171561331437383E-2</v>
      </c>
      <c r="P278" s="169">
        <f>(INDEX(Models!$BJ278:$BT278,,T278)*(1-R278)+INDEX(Models!$BJ278:$BT278,,T278+1)*R278-ERP_i)*Q278*Ramure*Pc/MaxiM</f>
        <v>1.227781590281155E-4</v>
      </c>
      <c r="Q278" s="304">
        <f t="shared" si="119"/>
        <v>0.6</v>
      </c>
      <c r="R278" s="177">
        <f t="shared" si="120"/>
        <v>0.99211429249487715</v>
      </c>
      <c r="S278" s="799">
        <f t="shared" si="138"/>
        <v>-2</v>
      </c>
      <c r="T278" s="176">
        <f t="shared" si="121"/>
        <v>4</v>
      </c>
      <c r="U278" s="250">
        <f t="shared" si="122"/>
        <v>-1.0078857075051229</v>
      </c>
      <c r="V278" s="382">
        <f t="shared" si="123"/>
        <v>47.344570339732648</v>
      </c>
      <c r="W278" s="58"/>
      <c r="X278" s="157">
        <f t="shared" si="124"/>
        <v>43729</v>
      </c>
      <c r="Y278" s="383">
        <f t="shared" si="125"/>
        <v>33.362000000000002</v>
      </c>
      <c r="Z278" s="383">
        <f t="shared" si="126"/>
        <v>33.520943972842112</v>
      </c>
      <c r="AA278" s="384">
        <f t="shared" si="127"/>
        <v>34.245984943427366</v>
      </c>
      <c r="AB278" s="197">
        <f t="shared" si="128"/>
        <v>43729</v>
      </c>
      <c r="AC278" s="424">
        <f t="shared" si="129"/>
        <v>2.1171561331437383E-2</v>
      </c>
      <c r="AD278" s="169">
        <f>(INDEX(Models!$BJ278:$BT278,,AH278)*(1-AF278)+INDEX(Models!$BJ278:$BT278,,AH278+1)*AF278-ERP_i)*AE278*Ramure*Pc/MaxiM</f>
        <v>1.227781590281155E-4</v>
      </c>
      <c r="AE278" s="304">
        <f t="shared" si="130"/>
        <v>0.6</v>
      </c>
      <c r="AF278" s="177">
        <f t="shared" si="131"/>
        <v>0.99211429249487715</v>
      </c>
      <c r="AG278" s="799">
        <f t="shared" si="132"/>
        <v>-2</v>
      </c>
      <c r="AH278" s="176">
        <f t="shared" si="133"/>
        <v>4</v>
      </c>
      <c r="AI278" s="224">
        <f t="shared" si="134"/>
        <v>-1.0078857075051229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8.6349999999999998</v>
      </c>
      <c r="C279" s="388"/>
      <c r="D279" s="391">
        <f t="shared" si="114"/>
        <v>8.6763053359884736</v>
      </c>
      <c r="E279" s="383">
        <f t="shared" si="111"/>
        <v>8.8646083171913777</v>
      </c>
      <c r="F279" s="383">
        <f t="shared" si="113"/>
        <v>8.8646083171913777</v>
      </c>
      <c r="G279" s="110">
        <f t="shared" si="112"/>
        <v>0.18354272092811388</v>
      </c>
      <c r="I279" s="379">
        <f t="shared" si="115"/>
        <v>8.8646083171913777</v>
      </c>
      <c r="J279" s="85">
        <v>2018</v>
      </c>
      <c r="K279" s="197">
        <f t="shared" si="116"/>
        <v>43730</v>
      </c>
      <c r="L279" s="435">
        <f t="shared" si="117"/>
        <v>4.7607056677849702E-3</v>
      </c>
      <c r="M279" s="842"/>
      <c r="N279" s="842"/>
      <c r="O279" s="323">
        <f t="shared" si="118"/>
        <v>2.1242109573834454E-2</v>
      </c>
      <c r="P279" s="169">
        <f>(INDEX(Models!$BJ279:$BT279,,T279)*(1-R279)+INDEX(Models!$BJ279:$BT279,,T279+1)*R279-ERP_i)*Q279*Ramure*Pc/MaxiM</f>
        <v>1.2629196343426959E-4</v>
      </c>
      <c r="Q279" s="304">
        <f t="shared" si="119"/>
        <v>0.6</v>
      </c>
      <c r="R279" s="177">
        <f t="shared" si="120"/>
        <v>0.99239876808968708</v>
      </c>
      <c r="S279" s="799">
        <f t="shared" si="138"/>
        <v>-2</v>
      </c>
      <c r="T279" s="176">
        <f t="shared" si="121"/>
        <v>4</v>
      </c>
      <c r="U279" s="250">
        <f t="shared" si="122"/>
        <v>-1.0076012319103129</v>
      </c>
      <c r="V279" s="382">
        <f t="shared" si="123"/>
        <v>47.04032622616122</v>
      </c>
      <c r="W279" s="58"/>
      <c r="X279" s="157">
        <f t="shared" si="124"/>
        <v>43730</v>
      </c>
      <c r="Y279" s="383">
        <f t="shared" si="125"/>
        <v>8.6349999999999998</v>
      </c>
      <c r="Z279" s="383">
        <f t="shared" si="126"/>
        <v>8.6763053359884736</v>
      </c>
      <c r="AA279" s="384">
        <f t="shared" si="127"/>
        <v>8.8646083171913777</v>
      </c>
      <c r="AB279" s="197">
        <f t="shared" si="128"/>
        <v>43730</v>
      </c>
      <c r="AC279" s="424">
        <f t="shared" si="129"/>
        <v>2.1242109573834454E-2</v>
      </c>
      <c r="AD279" s="169">
        <f>(INDEX(Models!$BJ279:$BT279,,AH279)*(1-AF279)+INDEX(Models!$BJ279:$BT279,,AH279+1)*AF279-ERP_i)*AE279*Ramure*Pc/MaxiM</f>
        <v>1.2629196343426959E-4</v>
      </c>
      <c r="AE279" s="304">
        <f t="shared" si="130"/>
        <v>0.6</v>
      </c>
      <c r="AF279" s="177">
        <f t="shared" si="131"/>
        <v>0.99239876808968708</v>
      </c>
      <c r="AG279" s="799">
        <f t="shared" si="132"/>
        <v>-2</v>
      </c>
      <c r="AH279" s="176">
        <f t="shared" si="133"/>
        <v>4</v>
      </c>
      <c r="AI279" s="224">
        <f t="shared" si="134"/>
        <v>-1.0076012319103129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40.771000000000001</v>
      </c>
      <c r="C280" s="388"/>
      <c r="D280" s="391">
        <f t="shared" si="114"/>
        <v>40.966812317479551</v>
      </c>
      <c r="E280" s="383">
        <f t="shared" si="111"/>
        <v>41.858923212387559</v>
      </c>
      <c r="F280" s="383">
        <f t="shared" si="113"/>
        <v>41.863369362780062</v>
      </c>
      <c r="G280" s="110">
        <f t="shared" si="112"/>
        <v>0.87240923162018813</v>
      </c>
      <c r="I280" s="379">
        <f t="shared" si="115"/>
        <v>41.863369362780062</v>
      </c>
      <c r="J280" s="85">
        <v>2018</v>
      </c>
      <c r="K280" s="197">
        <f t="shared" si="116"/>
        <v>43731</v>
      </c>
      <c r="L280" s="435">
        <f t="shared" si="117"/>
        <v>4.7797792018102747E-3</v>
      </c>
      <c r="M280" s="842"/>
      <c r="N280" s="842"/>
      <c r="O280" s="323">
        <f t="shared" si="118"/>
        <v>2.1312323071034006E-2</v>
      </c>
      <c r="P280" s="169">
        <f>(INDEX(Models!$BJ280:$BT280,,T280)*(1-R280)+INDEX(Models!$BJ280:$BT280,,T280+1)*R280-ERP_i)*Q280*Ramure*Pc/MaxiM</f>
        <v>1.2987504518022835E-4</v>
      </c>
      <c r="Q280" s="304">
        <f t="shared" si="119"/>
        <v>0.6</v>
      </c>
      <c r="R280" s="177">
        <f t="shared" si="120"/>
        <v>0.99267209834525238</v>
      </c>
      <c r="S280" s="799">
        <f t="shared" si="138"/>
        <v>-2</v>
      </c>
      <c r="T280" s="176">
        <f t="shared" si="121"/>
        <v>4</v>
      </c>
      <c r="U280" s="250">
        <f t="shared" si="122"/>
        <v>-1.0073279016547476</v>
      </c>
      <c r="V280" s="382">
        <f t="shared" si="123"/>
        <v>46.732695412087956</v>
      </c>
      <c r="W280" s="58"/>
      <c r="X280" s="157">
        <f t="shared" si="124"/>
        <v>43731</v>
      </c>
      <c r="Y280" s="383">
        <f t="shared" si="125"/>
        <v>40.771000000000001</v>
      </c>
      <c r="Z280" s="383">
        <f t="shared" si="126"/>
        <v>40.966812317479551</v>
      </c>
      <c r="AA280" s="384">
        <f t="shared" si="127"/>
        <v>41.858923212387559</v>
      </c>
      <c r="AB280" s="197">
        <f t="shared" si="128"/>
        <v>43731</v>
      </c>
      <c r="AC280" s="424">
        <f t="shared" si="129"/>
        <v>2.1312323071034006E-2</v>
      </c>
      <c r="AD280" s="169">
        <f>(INDEX(Models!$BJ280:$BT280,,AH280)*(1-AF280)+INDEX(Models!$BJ280:$BT280,,AH280+1)*AF280-ERP_i)*AE280*Ramure*Pc/MaxiM</f>
        <v>1.2987504518022835E-4</v>
      </c>
      <c r="AE280" s="304">
        <f t="shared" si="130"/>
        <v>0.6</v>
      </c>
      <c r="AF280" s="177">
        <f t="shared" si="131"/>
        <v>0.99267209834525238</v>
      </c>
      <c r="AG280" s="799">
        <f t="shared" si="132"/>
        <v>-2</v>
      </c>
      <c r="AH280" s="176">
        <f t="shared" si="133"/>
        <v>4</v>
      </c>
      <c r="AI280" s="224">
        <f t="shared" si="134"/>
        <v>-1.0073279016547476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28.036999999999999</v>
      </c>
      <c r="C281" s="388"/>
      <c r="D281" s="391">
        <f t="shared" si="114"/>
        <v>28.172194200917502</v>
      </c>
      <c r="E281" s="383">
        <f t="shared" si="111"/>
        <v>28.787739178317882</v>
      </c>
      <c r="F281" s="383">
        <f t="shared" si="113"/>
        <v>28.789408445374761</v>
      </c>
      <c r="G281" s="110">
        <f t="shared" si="112"/>
        <v>0.60391648508310358</v>
      </c>
      <c r="I281" s="379">
        <f t="shared" si="115"/>
        <v>28.789408445374761</v>
      </c>
      <c r="J281" s="85">
        <v>2018</v>
      </c>
      <c r="K281" s="197">
        <f t="shared" si="116"/>
        <v>43732</v>
      </c>
      <c r="L281" s="435">
        <f t="shared" si="117"/>
        <v>4.7988523702956476E-3</v>
      </c>
      <c r="M281" s="842"/>
      <c r="N281" s="842"/>
      <c r="O281" s="323">
        <f t="shared" si="118"/>
        <v>2.1382192383623849E-2</v>
      </c>
      <c r="P281" s="169">
        <f>(INDEX(Models!$BJ281:$BT281,,T281)*(1-R281)+INDEX(Models!$BJ281:$BT281,,T281+1)*R281-ERP_i)*Q281*Ramure*Pc/MaxiM</f>
        <v>1.3352779099699011E-4</v>
      </c>
      <c r="Q281" s="304">
        <f t="shared" si="119"/>
        <v>0.6</v>
      </c>
      <c r="R281" s="177">
        <f t="shared" si="120"/>
        <v>0.99293470813738849</v>
      </c>
      <c r="S281" s="799">
        <f t="shared" si="138"/>
        <v>-2</v>
      </c>
      <c r="T281" s="176">
        <f t="shared" si="121"/>
        <v>4</v>
      </c>
      <c r="U281" s="250">
        <f t="shared" si="122"/>
        <v>-1.0070652918626115</v>
      </c>
      <c r="V281" s="382">
        <f t="shared" si="123"/>
        <v>46.421785945402696</v>
      </c>
      <c r="W281" s="58"/>
      <c r="X281" s="157">
        <f t="shared" si="124"/>
        <v>43732</v>
      </c>
      <c r="Y281" s="383">
        <f t="shared" si="125"/>
        <v>28.036999999999999</v>
      </c>
      <c r="Z281" s="383">
        <f t="shared" si="126"/>
        <v>28.172194200917502</v>
      </c>
      <c r="AA281" s="384">
        <f t="shared" si="127"/>
        <v>28.787739178317882</v>
      </c>
      <c r="AB281" s="197">
        <f t="shared" si="128"/>
        <v>43732</v>
      </c>
      <c r="AC281" s="424">
        <f t="shared" si="129"/>
        <v>2.1382192383623849E-2</v>
      </c>
      <c r="AD281" s="169">
        <f>(INDEX(Models!$BJ281:$BT281,,AH281)*(1-AF281)+INDEX(Models!$BJ281:$BT281,,AH281+1)*AF281-ERP_i)*AE281*Ramure*Pc/MaxiM</f>
        <v>1.3352779099699011E-4</v>
      </c>
      <c r="AE281" s="304">
        <f t="shared" si="130"/>
        <v>0.6</v>
      </c>
      <c r="AF281" s="177">
        <f t="shared" si="131"/>
        <v>0.99293470813738849</v>
      </c>
      <c r="AG281" s="799">
        <f t="shared" si="132"/>
        <v>-2</v>
      </c>
      <c r="AH281" s="176">
        <f t="shared" si="133"/>
        <v>4</v>
      </c>
      <c r="AI281" s="224">
        <f t="shared" si="134"/>
        <v>-1.0070652918626115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29.97</v>
      </c>
      <c r="C282" s="388"/>
      <c r="D282" s="391">
        <f t="shared" si="114"/>
        <v>30.115092261099438</v>
      </c>
      <c r="E282" s="383">
        <f t="shared" si="111"/>
        <v>30.775274464503031</v>
      </c>
      <c r="F282" s="383">
        <f t="shared" si="113"/>
        <v>30.777386946422261</v>
      </c>
      <c r="G282" s="110">
        <f t="shared" si="112"/>
        <v>0.64995520795180994</v>
      </c>
      <c r="I282" s="379">
        <f t="shared" si="115"/>
        <v>30.777386946422261</v>
      </c>
      <c r="J282" s="85">
        <v>2018</v>
      </c>
      <c r="K282" s="197">
        <f t="shared" si="116"/>
        <v>43733</v>
      </c>
      <c r="L282" s="435">
        <f t="shared" si="117"/>
        <v>4.8179251732480832E-3</v>
      </c>
      <c r="M282" s="842"/>
      <c r="N282" s="842"/>
      <c r="O282" s="323">
        <f t="shared" si="118"/>
        <v>2.1451708064052003E-2</v>
      </c>
      <c r="P282" s="169">
        <f>(INDEX(Models!$BJ282:$BT282,,T282)*(1-R282)+INDEX(Models!$BJ282:$BT282,,T282+1)*R282-ERP_i)*Q282*Ramure*Pc/MaxiM</f>
        <v>1.3727500497234829E-4</v>
      </c>
      <c r="Q282" s="304">
        <f t="shared" si="119"/>
        <v>0.6</v>
      </c>
      <c r="R282" s="177">
        <f t="shared" si="120"/>
        <v>0.99318700706460672</v>
      </c>
      <c r="S282" s="799">
        <f t="shared" si="138"/>
        <v>-2</v>
      </c>
      <c r="T282" s="176">
        <f t="shared" si="121"/>
        <v>4</v>
      </c>
      <c r="U282" s="250">
        <f t="shared" si="122"/>
        <v>-1.0068129929353933</v>
      </c>
      <c r="V282" s="382">
        <f t="shared" si="123"/>
        <v>46.107704692851208</v>
      </c>
      <c r="W282" s="58"/>
      <c r="X282" s="157">
        <f t="shared" si="124"/>
        <v>43733</v>
      </c>
      <c r="Y282" s="383">
        <f t="shared" si="125"/>
        <v>29.97</v>
      </c>
      <c r="Z282" s="383">
        <f t="shared" si="126"/>
        <v>30.115092261099438</v>
      </c>
      <c r="AA282" s="384">
        <f t="shared" si="127"/>
        <v>30.775274464503031</v>
      </c>
      <c r="AB282" s="197">
        <f t="shared" si="128"/>
        <v>43733</v>
      </c>
      <c r="AC282" s="424">
        <f t="shared" si="129"/>
        <v>2.1451708064052003E-2</v>
      </c>
      <c r="AD282" s="169">
        <f>(INDEX(Models!$BJ282:$BT282,,AH282)*(1-AF282)+INDEX(Models!$BJ282:$BT282,,AH282+1)*AF282-ERP_i)*AE282*Ramure*Pc/MaxiM</f>
        <v>1.3727500497234829E-4</v>
      </c>
      <c r="AE282" s="304">
        <f t="shared" si="130"/>
        <v>0.6</v>
      </c>
      <c r="AF282" s="177">
        <f t="shared" si="131"/>
        <v>0.99318700706460672</v>
      </c>
      <c r="AG282" s="799">
        <f t="shared" si="132"/>
        <v>-2</v>
      </c>
      <c r="AH282" s="176">
        <f t="shared" si="133"/>
        <v>4</v>
      </c>
      <c r="AI282" s="224">
        <f t="shared" si="134"/>
        <v>-1.0068129929353933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36.959000000000003</v>
      </c>
      <c r="C283" s="388"/>
      <c r="D283" s="391">
        <f t="shared" si="114"/>
        <v>37.138639510576368</v>
      </c>
      <c r="E283" s="383">
        <f t="shared" si="111"/>
        <v>37.955473979110558</v>
      </c>
      <c r="F283" s="383">
        <f t="shared" si="113"/>
        <v>37.9593535581526</v>
      </c>
      <c r="G283" s="110">
        <f t="shared" si="112"/>
        <v>0.80710002156806127</v>
      </c>
      <c r="I283" s="379">
        <f t="shared" si="115"/>
        <v>37.9593535581526</v>
      </c>
      <c r="J283" s="85">
        <v>2018</v>
      </c>
      <c r="K283" s="197">
        <f t="shared" si="116"/>
        <v>43734</v>
      </c>
      <c r="L283" s="435">
        <f t="shared" si="117"/>
        <v>4.836997610674687E-3</v>
      </c>
      <c r="M283" s="842"/>
      <c r="N283" s="842"/>
      <c r="O283" s="323">
        <f t="shared" si="118"/>
        <v>2.1520860705987979E-2</v>
      </c>
      <c r="P283" s="169">
        <f>(INDEX(Models!$BJ283:$BT283,,T283)*(1-R283)+INDEX(Models!$BJ283:$BT283,,T283+1)*R283-ERP_i)*Q283*Ramure*Pc/MaxiM</f>
        <v>1.4107281660552458E-4</v>
      </c>
      <c r="Q283" s="304">
        <f t="shared" si="119"/>
        <v>0.6</v>
      </c>
      <c r="R283" s="177">
        <f t="shared" si="120"/>
        <v>0.99342938992498464</v>
      </c>
      <c r="S283" s="799">
        <f t="shared" si="138"/>
        <v>-2</v>
      </c>
      <c r="T283" s="176">
        <f t="shared" si="121"/>
        <v>4</v>
      </c>
      <c r="U283" s="250">
        <f t="shared" si="122"/>
        <v>-1.0065706100750154</v>
      </c>
      <c r="V283" s="382">
        <f t="shared" si="123"/>
        <v>45.790561633899657</v>
      </c>
      <c r="W283" s="58"/>
      <c r="X283" s="157">
        <f t="shared" si="124"/>
        <v>43734</v>
      </c>
      <c r="Y283" s="383">
        <f t="shared" si="125"/>
        <v>36.959000000000003</v>
      </c>
      <c r="Z283" s="383">
        <f t="shared" si="126"/>
        <v>37.138639510576368</v>
      </c>
      <c r="AA283" s="384">
        <f t="shared" si="127"/>
        <v>37.955473979110558</v>
      </c>
      <c r="AB283" s="197">
        <f t="shared" si="128"/>
        <v>43734</v>
      </c>
      <c r="AC283" s="424">
        <f t="shared" si="129"/>
        <v>2.1520860705987979E-2</v>
      </c>
      <c r="AD283" s="169">
        <f>(INDEX(Models!$BJ283:$BT283,,AH283)*(1-AF283)+INDEX(Models!$BJ283:$BT283,,AH283+1)*AF283-ERP_i)*AE283*Ramure*Pc/MaxiM</f>
        <v>1.4107281660552458E-4</v>
      </c>
      <c r="AE283" s="304">
        <f t="shared" si="130"/>
        <v>0.6</v>
      </c>
      <c r="AF283" s="177">
        <f t="shared" si="131"/>
        <v>0.99342938992498464</v>
      </c>
      <c r="AG283" s="799">
        <f t="shared" si="132"/>
        <v>-2</v>
      </c>
      <c r="AH283" s="176">
        <f t="shared" si="133"/>
        <v>4</v>
      </c>
      <c r="AI283" s="224">
        <f t="shared" si="134"/>
        <v>-1.0065706100750154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36.957000000000001</v>
      </c>
      <c r="C284" s="388"/>
      <c r="D284" s="391">
        <f t="shared" si="114"/>
        <v>37.137341518238422</v>
      </c>
      <c r="E284" s="383">
        <f t="shared" si="111"/>
        <v>37.956815539134745</v>
      </c>
      <c r="F284" s="383">
        <f t="shared" si="113"/>
        <v>37.960845399345402</v>
      </c>
      <c r="G284" s="110">
        <f t="shared" si="112"/>
        <v>0.81273784162119511</v>
      </c>
      <c r="I284" s="379">
        <f t="shared" si="115"/>
        <v>37.960845399345402</v>
      </c>
      <c r="J284" s="85">
        <v>2018</v>
      </c>
      <c r="K284" s="197">
        <f t="shared" si="116"/>
        <v>43735</v>
      </c>
      <c r="L284" s="435">
        <f t="shared" si="117"/>
        <v>4.8560696825822314E-3</v>
      </c>
      <c r="M284" s="842"/>
      <c r="N284" s="842"/>
      <c r="O284" s="323">
        <f t="shared" si="118"/>
        <v>2.1589640997449363E-2</v>
      </c>
      <c r="P284" s="169">
        <f>(INDEX(Models!$BJ284:$BT284,,T284)*(1-R284)+INDEX(Models!$BJ284:$BT284,,T284+1)*R284-ERP_i)*Q284*Ramure*Pc/MaxiM</f>
        <v>1.4492058815488169E-4</v>
      </c>
      <c r="Q284" s="304">
        <f t="shared" si="119"/>
        <v>0.6</v>
      </c>
      <c r="R284" s="177">
        <f t="shared" si="120"/>
        <v>0.993662237184054</v>
      </c>
      <c r="S284" s="799">
        <f t="shared" si="138"/>
        <v>-2</v>
      </c>
      <c r="T284" s="176">
        <f t="shared" si="121"/>
        <v>4</v>
      </c>
      <c r="U284" s="250">
        <f t="shared" si="122"/>
        <v>-1.006337762815946</v>
      </c>
      <c r="V284" s="382">
        <f t="shared" si="123"/>
        <v>45.470464667509383</v>
      </c>
      <c r="W284" s="58"/>
      <c r="X284" s="157">
        <f t="shared" si="124"/>
        <v>43735</v>
      </c>
      <c r="Y284" s="383">
        <f t="shared" si="125"/>
        <v>36.957000000000001</v>
      </c>
      <c r="Z284" s="383">
        <f t="shared" si="126"/>
        <v>37.137341518238422</v>
      </c>
      <c r="AA284" s="384">
        <f t="shared" si="127"/>
        <v>37.956815539134745</v>
      </c>
      <c r="AB284" s="197">
        <f t="shared" si="128"/>
        <v>43735</v>
      </c>
      <c r="AC284" s="424">
        <f t="shared" si="129"/>
        <v>2.1589640997449363E-2</v>
      </c>
      <c r="AD284" s="169">
        <f>(INDEX(Models!$BJ284:$BT284,,AH284)*(1-AF284)+INDEX(Models!$BJ284:$BT284,,AH284+1)*AF284-ERP_i)*AE284*Ramure*Pc/MaxiM</f>
        <v>1.4492058815488169E-4</v>
      </c>
      <c r="AE284" s="304">
        <f t="shared" si="130"/>
        <v>0.6</v>
      </c>
      <c r="AF284" s="177">
        <f t="shared" si="131"/>
        <v>0.993662237184054</v>
      </c>
      <c r="AG284" s="799">
        <f t="shared" si="132"/>
        <v>-2</v>
      </c>
      <c r="AH284" s="176">
        <f t="shared" si="133"/>
        <v>4</v>
      </c>
      <c r="AI284" s="224">
        <f t="shared" si="134"/>
        <v>-1.006337762815946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37.308999999999997</v>
      </c>
      <c r="C285" s="388"/>
      <c r="D285" s="391">
        <f t="shared" si="114"/>
        <v>37.491777717295953</v>
      </c>
      <c r="E285" s="383">
        <f t="shared" si="111"/>
        <v>38.321751740840142</v>
      </c>
      <c r="F285" s="383">
        <f t="shared" si="113"/>
        <v>38.326040675068562</v>
      </c>
      <c r="G285" s="110">
        <f t="shared" si="112"/>
        <v>0.82634929638959487</v>
      </c>
      <c r="I285" s="379">
        <f t="shared" si="115"/>
        <v>38.326040675068562</v>
      </c>
      <c r="J285" s="85">
        <v>2018</v>
      </c>
      <c r="K285" s="197">
        <f t="shared" si="116"/>
        <v>43736</v>
      </c>
      <c r="L285" s="435">
        <f t="shared" si="117"/>
        <v>4.8751413889780437E-3</v>
      </c>
      <c r="M285" s="842"/>
      <c r="N285" s="842"/>
      <c r="O285" s="323">
        <f t="shared" si="118"/>
        <v>2.1658039777437136E-2</v>
      </c>
      <c r="P285" s="169">
        <f>(INDEX(Models!$BJ285:$BT285,,T285)*(1-R285)+INDEX(Models!$BJ285:$BT285,,T285+1)*R285-ERP_i)*Q285*Ramure*Pc/MaxiM</f>
        <v>1.4881758531158171E-4</v>
      </c>
      <c r="Q285" s="304">
        <f t="shared" si="119"/>
        <v>0.6</v>
      </c>
      <c r="R285" s="177">
        <f t="shared" si="120"/>
        <v>0.99388591543334059</v>
      </c>
      <c r="S285" s="799">
        <f t="shared" si="138"/>
        <v>-2</v>
      </c>
      <c r="T285" s="176">
        <f t="shared" si="121"/>
        <v>4</v>
      </c>
      <c r="U285" s="250">
        <f t="shared" si="122"/>
        <v>-1.0061140845666594</v>
      </c>
      <c r="V285" s="382">
        <f t="shared" si="123"/>
        <v>45.147521628348322</v>
      </c>
      <c r="W285" s="58"/>
      <c r="X285" s="157">
        <f t="shared" si="124"/>
        <v>43736</v>
      </c>
      <c r="Y285" s="383">
        <f t="shared" si="125"/>
        <v>37.308999999999997</v>
      </c>
      <c r="Z285" s="383">
        <f t="shared" si="126"/>
        <v>37.491777717295953</v>
      </c>
      <c r="AA285" s="384">
        <f t="shared" si="127"/>
        <v>38.321751740840142</v>
      </c>
      <c r="AB285" s="197">
        <f t="shared" si="128"/>
        <v>43736</v>
      </c>
      <c r="AC285" s="424">
        <f t="shared" si="129"/>
        <v>2.1658039777437136E-2</v>
      </c>
      <c r="AD285" s="169">
        <f>(INDEX(Models!$BJ285:$BT285,,AH285)*(1-AF285)+INDEX(Models!$BJ285:$BT285,,AH285+1)*AF285-ERP_i)*AE285*Ramure*Pc/MaxiM</f>
        <v>1.4881758531158171E-4</v>
      </c>
      <c r="AE285" s="304">
        <f t="shared" si="130"/>
        <v>0.6</v>
      </c>
      <c r="AF285" s="177">
        <f t="shared" si="131"/>
        <v>0.99388591543334059</v>
      </c>
      <c r="AG285" s="799">
        <f t="shared" si="132"/>
        <v>-2</v>
      </c>
      <c r="AH285" s="176">
        <f t="shared" si="133"/>
        <v>4</v>
      </c>
      <c r="AI285" s="224">
        <f t="shared" si="134"/>
        <v>-1.0061140845666594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42.851999999999997</v>
      </c>
      <c r="C286" s="388"/>
      <c r="D286" s="391">
        <f t="shared" si="114"/>
        <v>43.062758299854409</v>
      </c>
      <c r="E286" s="383">
        <f t="shared" si="111"/>
        <v>44.019119814068539</v>
      </c>
      <c r="F286" s="383">
        <f t="shared" si="113"/>
        <v>44.025423023353014</v>
      </c>
      <c r="G286" s="110">
        <f t="shared" si="112"/>
        <v>0.95604260496368154</v>
      </c>
      <c r="I286" s="379">
        <f t="shared" si="115"/>
        <v>44.025423023353014</v>
      </c>
      <c r="J286" s="85">
        <v>2018</v>
      </c>
      <c r="K286" s="197">
        <f t="shared" si="116"/>
        <v>43737</v>
      </c>
      <c r="L286" s="435">
        <f t="shared" si="117"/>
        <v>4.8942127298687854E-3</v>
      </c>
      <c r="M286" s="842"/>
      <c r="N286" s="842"/>
      <c r="O286" s="323">
        <f t="shared" si="118"/>
        <v>2.1726048095774893E-2</v>
      </c>
      <c r="P286" s="169">
        <f>(INDEX(Models!$BJ286:$BT286,,T286)*(1-R286)+INDEX(Models!$BJ286:$BT286,,T286+1)*R286-ERP_i)*Q286*Ramure*Pc/MaxiM</f>
        <v>1.5276297737081031E-4</v>
      </c>
      <c r="Q286" s="304">
        <f t="shared" si="119"/>
        <v>0.6</v>
      </c>
      <c r="R286" s="177">
        <f t="shared" si="120"/>
        <v>0.99410077783925077</v>
      </c>
      <c r="S286" s="799">
        <f t="shared" si="138"/>
        <v>-2</v>
      </c>
      <c r="T286" s="176">
        <f t="shared" si="121"/>
        <v>4</v>
      </c>
      <c r="U286" s="250">
        <f t="shared" si="122"/>
        <v>-1.0058992221607492</v>
      </c>
      <c r="V286" s="382">
        <f t="shared" si="123"/>
        <v>44.82184028984382</v>
      </c>
      <c r="W286" s="58"/>
      <c r="X286" s="157">
        <f t="shared" si="124"/>
        <v>43737</v>
      </c>
      <c r="Y286" s="383">
        <f t="shared" si="125"/>
        <v>42.851999999999997</v>
      </c>
      <c r="Z286" s="383">
        <f t="shared" si="126"/>
        <v>43.062758299854409</v>
      </c>
      <c r="AA286" s="384">
        <f t="shared" si="127"/>
        <v>44.019119814068539</v>
      </c>
      <c r="AB286" s="197">
        <f t="shared" si="128"/>
        <v>43737</v>
      </c>
      <c r="AC286" s="424">
        <f t="shared" si="129"/>
        <v>2.1726048095774893E-2</v>
      </c>
      <c r="AD286" s="169">
        <f>(INDEX(Models!$BJ286:$BT286,,AH286)*(1-AF286)+INDEX(Models!$BJ286:$BT286,,AH286+1)*AF286-ERP_i)*AE286*Ramure*Pc/MaxiM</f>
        <v>1.5276297737081031E-4</v>
      </c>
      <c r="AE286" s="304">
        <f t="shared" si="130"/>
        <v>0.6</v>
      </c>
      <c r="AF286" s="177">
        <f t="shared" si="131"/>
        <v>0.99410077783925077</v>
      </c>
      <c r="AG286" s="799">
        <f t="shared" si="132"/>
        <v>-2</v>
      </c>
      <c r="AH286" s="176">
        <f t="shared" si="133"/>
        <v>4</v>
      </c>
      <c r="AI286" s="224">
        <f t="shared" si="134"/>
        <v>-1.0058992221607492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26.725000000000001</v>
      </c>
      <c r="C287" s="388"/>
      <c r="D287" s="391">
        <f t="shared" si="114"/>
        <v>26.856955843518897</v>
      </c>
      <c r="E287" s="383">
        <f t="shared" si="111"/>
        <v>27.455307403471895</v>
      </c>
      <c r="F287" s="383">
        <f t="shared" si="113"/>
        <v>27.457155996099061</v>
      </c>
      <c r="G287" s="110">
        <f t="shared" si="112"/>
        <v>0.60059543097002899</v>
      </c>
      <c r="I287" s="379">
        <f t="shared" si="115"/>
        <v>27.457155996099061</v>
      </c>
      <c r="J287" s="85">
        <v>2018</v>
      </c>
      <c r="K287" s="197">
        <f t="shared" si="116"/>
        <v>43738</v>
      </c>
      <c r="L287" s="435">
        <f t="shared" si="117"/>
        <v>4.9132837052617839E-3</v>
      </c>
      <c r="M287" s="842"/>
      <c r="N287" s="842"/>
      <c r="O287" s="323">
        <f t="shared" si="118"/>
        <v>2.1793657275799933E-2</v>
      </c>
      <c r="P287" s="169">
        <f>(INDEX(Models!$BJ287:$BT287,,T287)*(1-R287)+INDEX(Models!$BJ287:$BT287,,T287+1)*R287-ERP_i)*Q287*Ramure*Pc/MaxiM</f>
        <v>1.5675583823347817E-4</v>
      </c>
      <c r="Q287" s="304">
        <f t="shared" si="119"/>
        <v>0.6</v>
      </c>
      <c r="R287" s="177">
        <f t="shared" si="120"/>
        <v>0.99430716458205981</v>
      </c>
      <c r="S287" s="799">
        <f t="shared" si="138"/>
        <v>-2</v>
      </c>
      <c r="T287" s="176">
        <f t="shared" si="121"/>
        <v>4</v>
      </c>
      <c r="U287" s="250">
        <f t="shared" si="122"/>
        <v>-1.0056928354179402</v>
      </c>
      <c r="V287" s="382">
        <f t="shared" si="123"/>
        <v>44.493528356202958</v>
      </c>
      <c r="W287" s="58"/>
      <c r="X287" s="157">
        <f t="shared" si="124"/>
        <v>43738</v>
      </c>
      <c r="Y287" s="383">
        <f t="shared" si="125"/>
        <v>26.725000000000001</v>
      </c>
      <c r="Z287" s="383">
        <f t="shared" si="126"/>
        <v>26.856955843518897</v>
      </c>
      <c r="AA287" s="384">
        <f t="shared" si="127"/>
        <v>27.455307403471895</v>
      </c>
      <c r="AB287" s="197">
        <f t="shared" si="128"/>
        <v>43738</v>
      </c>
      <c r="AC287" s="424">
        <f t="shared" si="129"/>
        <v>2.1793657275799933E-2</v>
      </c>
      <c r="AD287" s="169">
        <f>(INDEX(Models!$BJ287:$BT287,,AH287)*(1-AF287)+INDEX(Models!$BJ287:$BT287,,AH287+1)*AF287-ERP_i)*AE287*Ramure*Pc/MaxiM</f>
        <v>1.5675583823347817E-4</v>
      </c>
      <c r="AE287" s="304">
        <f t="shared" si="130"/>
        <v>0.6</v>
      </c>
      <c r="AF287" s="177">
        <f t="shared" si="131"/>
        <v>0.99430716458205981</v>
      </c>
      <c r="AG287" s="799">
        <f t="shared" si="132"/>
        <v>-2</v>
      </c>
      <c r="AH287" s="176">
        <f t="shared" si="133"/>
        <v>4</v>
      </c>
      <c r="AI287" s="224">
        <f t="shared" si="134"/>
        <v>-1.0056928354179402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33.017000000000003</v>
      </c>
      <c r="C288" s="388"/>
      <c r="D288" s="391">
        <f t="shared" si="114"/>
        <v>33.180658765441706</v>
      </c>
      <c r="E288" s="383">
        <f t="shared" si="111"/>
        <v>33.922227803729868</v>
      </c>
      <c r="F288" s="383">
        <f t="shared" si="113"/>
        <v>33.925716115719673</v>
      </c>
      <c r="G288" s="110">
        <f t="shared" si="112"/>
        <v>0.7475786261115811</v>
      </c>
      <c r="I288" s="379">
        <f t="shared" si="115"/>
        <v>33.925716115719673</v>
      </c>
      <c r="J288" s="85">
        <v>2018</v>
      </c>
      <c r="K288" s="197">
        <f t="shared" si="116"/>
        <v>43739</v>
      </c>
      <c r="L288" s="435">
        <f t="shared" si="117"/>
        <v>4.9323543151637006E-3</v>
      </c>
      <c r="M288" s="842"/>
      <c r="N288" s="842"/>
      <c r="O288" s="323">
        <f t="shared" si="118"/>
        <v>2.1860858979510303E-2</v>
      </c>
      <c r="P288" s="169">
        <f>(INDEX(Models!$BJ288:$BT288,,T288)*(1-R288)+INDEX(Models!$BJ288:$BT288,,T288+1)*R288-ERP_i)*Q288*Ramure*Pc/MaxiM</f>
        <v>1.6079514821994942E-4</v>
      </c>
      <c r="Q288" s="304">
        <f t="shared" si="119"/>
        <v>0.6</v>
      </c>
      <c r="R288" s="177">
        <f t="shared" si="120"/>
        <v>0.99450540328480797</v>
      </c>
      <c r="S288" s="799">
        <f t="shared" si="138"/>
        <v>-2</v>
      </c>
      <c r="T288" s="176">
        <f t="shared" si="121"/>
        <v>4</v>
      </c>
      <c r="U288" s="250">
        <f t="shared" si="122"/>
        <v>-1.005494596715192</v>
      </c>
      <c r="V288" s="382">
        <f t="shared" si="123"/>
        <v>44.162693464646232</v>
      </c>
      <c r="W288" s="58"/>
      <c r="X288" s="157">
        <f t="shared" si="124"/>
        <v>43739</v>
      </c>
      <c r="Y288" s="383">
        <f t="shared" si="125"/>
        <v>33.017000000000003</v>
      </c>
      <c r="Z288" s="383">
        <f t="shared" si="126"/>
        <v>33.180658765441706</v>
      </c>
      <c r="AA288" s="384">
        <f t="shared" si="127"/>
        <v>33.922227803729868</v>
      </c>
      <c r="AB288" s="197">
        <f t="shared" si="128"/>
        <v>43739</v>
      </c>
      <c r="AC288" s="424">
        <f t="shared" si="129"/>
        <v>2.1860858979510303E-2</v>
      </c>
      <c r="AD288" s="169">
        <f>(INDEX(Models!$BJ288:$BT288,,AH288)*(1-AF288)+INDEX(Models!$BJ288:$BT288,,AH288+1)*AF288-ERP_i)*AE288*Ramure*Pc/MaxiM</f>
        <v>1.6079514821994942E-4</v>
      </c>
      <c r="AE288" s="304">
        <f t="shared" si="130"/>
        <v>0.6</v>
      </c>
      <c r="AF288" s="177">
        <f t="shared" si="131"/>
        <v>0.99450540328480797</v>
      </c>
      <c r="AG288" s="799">
        <f t="shared" si="132"/>
        <v>-2</v>
      </c>
      <c r="AH288" s="176">
        <f t="shared" si="133"/>
        <v>4</v>
      </c>
      <c r="AI288" s="224">
        <f t="shared" si="134"/>
        <v>-1.005494596715192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23.542000000000002</v>
      </c>
      <c r="C289" s="388"/>
      <c r="D289" s="391">
        <f t="shared" si="114"/>
        <v>23.659146478934542</v>
      </c>
      <c r="E289" s="383">
        <f t="shared" si="111"/>
        <v>24.189566717260028</v>
      </c>
      <c r="F289" s="383">
        <f t="shared" si="113"/>
        <v>24.19091803437507</v>
      </c>
      <c r="G289" s="110">
        <f t="shared" si="112"/>
        <v>0.5370892442072972</v>
      </c>
      <c r="I289" s="379">
        <f t="shared" si="115"/>
        <v>24.19091803437507</v>
      </c>
      <c r="J289" s="85">
        <v>2018</v>
      </c>
      <c r="K289" s="197">
        <f t="shared" si="116"/>
        <v>43740</v>
      </c>
      <c r="L289" s="435">
        <f t="shared" si="117"/>
        <v>4.9514245595818629E-3</v>
      </c>
      <c r="M289" s="842"/>
      <c r="N289" s="842"/>
      <c r="O289" s="323">
        <f t="shared" si="118"/>
        <v>2.1927645274729689E-2</v>
      </c>
      <c r="P289" s="169">
        <f>(INDEX(Models!$BJ289:$BT289,,T289)*(1-R289)+INDEX(Models!$BJ289:$BT289,,T289+1)*R289-ERP_i)*Q289*Ramure*Pc/MaxiM</f>
        <v>1.648860250385538E-4</v>
      </c>
      <c r="Q289" s="304">
        <f t="shared" si="119"/>
        <v>0.6</v>
      </c>
      <c r="R289" s="177">
        <f t="shared" si="120"/>
        <v>0.99469580943196445</v>
      </c>
      <c r="S289" s="799">
        <f t="shared" si="138"/>
        <v>-2</v>
      </c>
      <c r="T289" s="176">
        <f t="shared" si="121"/>
        <v>4</v>
      </c>
      <c r="U289" s="250">
        <f t="shared" si="122"/>
        <v>-1.0053041905680355</v>
      </c>
      <c r="V289" s="382">
        <f t="shared" si="123"/>
        <v>43.827787340588202</v>
      </c>
      <c r="W289" s="58"/>
      <c r="X289" s="157">
        <f t="shared" si="124"/>
        <v>43740</v>
      </c>
      <c r="Y289" s="383">
        <f t="shared" si="125"/>
        <v>23.542000000000002</v>
      </c>
      <c r="Z289" s="383">
        <f t="shared" si="126"/>
        <v>23.659146478934542</v>
      </c>
      <c r="AA289" s="384">
        <f t="shared" si="127"/>
        <v>24.189566717260028</v>
      </c>
      <c r="AB289" s="197">
        <f t="shared" si="128"/>
        <v>43740</v>
      </c>
      <c r="AC289" s="424">
        <f t="shared" si="129"/>
        <v>2.1927645274729689E-2</v>
      </c>
      <c r="AD289" s="169">
        <f>(INDEX(Models!$BJ289:$BT289,,AH289)*(1-AF289)+INDEX(Models!$BJ289:$BT289,,AH289+1)*AF289-ERP_i)*AE289*Ramure*Pc/MaxiM</f>
        <v>1.648860250385538E-4</v>
      </c>
      <c r="AE289" s="304">
        <f t="shared" si="130"/>
        <v>0.6</v>
      </c>
      <c r="AF289" s="177">
        <f t="shared" si="131"/>
        <v>0.99469580943196445</v>
      </c>
      <c r="AG289" s="799">
        <f t="shared" si="132"/>
        <v>-2</v>
      </c>
      <c r="AH289" s="176">
        <f t="shared" si="133"/>
        <v>4</v>
      </c>
      <c r="AI289" s="224">
        <f t="shared" si="134"/>
        <v>-1.0053041905680355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34.439</v>
      </c>
      <c r="C290" s="388"/>
      <c r="D290" s="391">
        <f t="shared" si="114"/>
        <v>34.611033951768803</v>
      </c>
      <c r="E290" s="383">
        <f t="shared" si="111"/>
        <v>35.389388469796152</v>
      </c>
      <c r="F290" s="383">
        <f t="shared" si="113"/>
        <v>35.39360414639436</v>
      </c>
      <c r="G290" s="110">
        <f t="shared" si="112"/>
        <v>0.79188702002145872</v>
      </c>
      <c r="I290" s="379">
        <f t="shared" si="115"/>
        <v>35.39360414639436</v>
      </c>
      <c r="J290" s="85">
        <v>2018</v>
      </c>
      <c r="K290" s="197">
        <f t="shared" si="116"/>
        <v>43741</v>
      </c>
      <c r="L290" s="435">
        <f t="shared" si="117"/>
        <v>4.9704944385231542E-3</v>
      </c>
      <c r="M290" s="842"/>
      <c r="N290" s="842"/>
      <c r="O290" s="323">
        <f t="shared" si="118"/>
        <v>2.1994008703813885E-2</v>
      </c>
      <c r="P290" s="169">
        <f>(INDEX(Models!$BJ290:$BT290,,T290)*(1-R290)+INDEX(Models!$BJ290:$BT290,,T290+1)*R290-ERP_i)*Q290*Ramure*Pc/MaxiM</f>
        <v>1.6948838699226541E-4</v>
      </c>
      <c r="Q290" s="304">
        <f t="shared" si="119"/>
        <v>0.6</v>
      </c>
      <c r="R290" s="177">
        <f t="shared" si="120"/>
        <v>0.9948786867777526</v>
      </c>
      <c r="S290" s="799">
        <f t="shared" si="138"/>
        <v>-2</v>
      </c>
      <c r="T290" s="176">
        <f t="shared" si="121"/>
        <v>4</v>
      </c>
      <c r="U290" s="250">
        <f t="shared" si="122"/>
        <v>-1.0051213132222474</v>
      </c>
      <c r="V290" s="382">
        <f t="shared" si="123"/>
        <v>43.487598467042602</v>
      </c>
      <c r="W290" s="58"/>
      <c r="X290" s="157">
        <f t="shared" si="124"/>
        <v>43741</v>
      </c>
      <c r="Y290" s="383">
        <f t="shared" si="125"/>
        <v>34.439</v>
      </c>
      <c r="Z290" s="383">
        <f t="shared" si="126"/>
        <v>34.611033951768803</v>
      </c>
      <c r="AA290" s="384">
        <f t="shared" si="127"/>
        <v>35.389388469796152</v>
      </c>
      <c r="AB290" s="197">
        <f t="shared" si="128"/>
        <v>43741</v>
      </c>
      <c r="AC290" s="424">
        <f t="shared" si="129"/>
        <v>2.1994008703813885E-2</v>
      </c>
      <c r="AD290" s="169">
        <f>(INDEX(Models!$BJ290:$BT290,,AH290)*(1-AF290)+INDEX(Models!$BJ290:$BT290,,AH290+1)*AF290-ERP_i)*AE290*Ramure*Pc/MaxiM</f>
        <v>1.6948838699226541E-4</v>
      </c>
      <c r="AE290" s="304">
        <f t="shared" si="130"/>
        <v>0.6</v>
      </c>
      <c r="AF290" s="177">
        <f t="shared" si="131"/>
        <v>0.9948786867777526</v>
      </c>
      <c r="AG290" s="799">
        <f t="shared" si="132"/>
        <v>-2</v>
      </c>
      <c r="AH290" s="176">
        <f t="shared" si="133"/>
        <v>4</v>
      </c>
      <c r="AI290" s="224">
        <f t="shared" si="134"/>
        <v>-1.0051213132222474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10.154</v>
      </c>
      <c r="C291" s="388"/>
      <c r="D291" s="391">
        <f t="shared" si="114"/>
        <v>10.204918091442117</v>
      </c>
      <c r="E291" s="383">
        <f t="shared" si="111"/>
        <v>10.435116152210787</v>
      </c>
      <c r="F291" s="383">
        <f t="shared" si="113"/>
        <v>10.435116152210787</v>
      </c>
      <c r="G291" s="110">
        <f t="shared" si="112"/>
        <v>0.23531700028192107</v>
      </c>
      <c r="I291" s="379">
        <f t="shared" si="115"/>
        <v>10.435116152210787</v>
      </c>
      <c r="J291" s="85">
        <v>2018</v>
      </c>
      <c r="K291" s="197">
        <f t="shared" si="116"/>
        <v>43742</v>
      </c>
      <c r="L291" s="435">
        <f t="shared" si="117"/>
        <v>4.9895639519945689E-3</v>
      </c>
      <c r="M291" s="842"/>
      <c r="N291" s="842"/>
      <c r="O291" s="323">
        <f t="shared" si="118"/>
        <v>2.2059942353387266E-2</v>
      </c>
      <c r="P291" s="169">
        <f>(INDEX(Models!$BJ291:$BT291,,T291)*(1-R291)+INDEX(Models!$BJ291:$BT291,,T291+1)*R291-ERP_i)*Q291*Ramure*Pc/MaxiM</f>
        <v>1.746058743628895E-4</v>
      </c>
      <c r="Q291" s="304">
        <f t="shared" si="119"/>
        <v>0.6</v>
      </c>
      <c r="R291" s="177">
        <f t="shared" si="120"/>
        <v>0.99505432774408309</v>
      </c>
      <c r="S291" s="799">
        <f t="shared" si="138"/>
        <v>-2</v>
      </c>
      <c r="T291" s="176">
        <f t="shared" si="121"/>
        <v>4</v>
      </c>
      <c r="U291" s="250">
        <f t="shared" si="122"/>
        <v>-1.0049456722559169</v>
      </c>
      <c r="V291" s="382">
        <f t="shared" si="123"/>
        <v>43.142769284789729</v>
      </c>
      <c r="W291" s="58"/>
      <c r="X291" s="157">
        <f t="shared" si="124"/>
        <v>43742</v>
      </c>
      <c r="Y291" s="383">
        <f t="shared" si="125"/>
        <v>10.154</v>
      </c>
      <c r="Z291" s="383">
        <f t="shared" si="126"/>
        <v>10.204918091442117</v>
      </c>
      <c r="AA291" s="384">
        <f t="shared" si="127"/>
        <v>10.435116152210787</v>
      </c>
      <c r="AB291" s="197">
        <f t="shared" si="128"/>
        <v>43742</v>
      </c>
      <c r="AC291" s="424">
        <f t="shared" si="129"/>
        <v>2.2059942353387266E-2</v>
      </c>
      <c r="AD291" s="169">
        <f>(INDEX(Models!$BJ291:$BT291,,AH291)*(1-AF291)+INDEX(Models!$BJ291:$BT291,,AH291+1)*AF291-ERP_i)*AE291*Ramure*Pc/MaxiM</f>
        <v>1.746058743628895E-4</v>
      </c>
      <c r="AE291" s="304">
        <f t="shared" si="130"/>
        <v>0.6</v>
      </c>
      <c r="AF291" s="177">
        <f t="shared" si="131"/>
        <v>0.99505432774408309</v>
      </c>
      <c r="AG291" s="799">
        <f t="shared" si="132"/>
        <v>-2</v>
      </c>
      <c r="AH291" s="176">
        <f t="shared" si="133"/>
        <v>4</v>
      </c>
      <c r="AI291" s="224">
        <f t="shared" si="134"/>
        <v>-1.0049456722559169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38.624000000000002</v>
      </c>
      <c r="C292" s="388"/>
      <c r="D292" s="391">
        <f t="shared" si="114"/>
        <v>38.818427259662805</v>
      </c>
      <c r="E292" s="383">
        <f t="shared" si="111"/>
        <v>39.696734984769819</v>
      </c>
      <c r="F292" s="383">
        <f t="shared" si="113"/>
        <v>39.702894936148411</v>
      </c>
      <c r="G292" s="110">
        <f t="shared" si="112"/>
        <v>0.90253500743060455</v>
      </c>
      <c r="I292" s="379">
        <f t="shared" si="115"/>
        <v>39.702894936148411</v>
      </c>
      <c r="J292" s="85">
        <v>2018</v>
      </c>
      <c r="K292" s="197">
        <f t="shared" si="116"/>
        <v>43743</v>
      </c>
      <c r="L292" s="435">
        <f t="shared" si="117"/>
        <v>5.0086331000029904E-3</v>
      </c>
      <c r="M292" s="842"/>
      <c r="N292" s="842"/>
      <c r="O292" s="323">
        <f t="shared" si="118"/>
        <v>2.2125439924567787E-2</v>
      </c>
      <c r="P292" s="169">
        <f>(INDEX(Models!$BJ292:$BT292,,T292)*(1-R292)+INDEX(Models!$BJ292:$BT292,,T292+1)*R292-ERP_i)*Q292*Ramure*Pc/MaxiM</f>
        <v>1.802413952606885E-4</v>
      </c>
      <c r="Q292" s="304">
        <f t="shared" si="119"/>
        <v>0.6</v>
      </c>
      <c r="R292" s="177">
        <f t="shared" si="120"/>
        <v>0.99522301380806466</v>
      </c>
      <c r="S292" s="799">
        <f t="shared" si="138"/>
        <v>-2</v>
      </c>
      <c r="T292" s="176">
        <f t="shared" si="121"/>
        <v>4</v>
      </c>
      <c r="U292" s="250">
        <f t="shared" si="122"/>
        <v>-1.0047769861919353</v>
      </c>
      <c r="V292" s="382">
        <f t="shared" si="123"/>
        <v>42.79394200505525</v>
      </c>
      <c r="W292" s="58"/>
      <c r="X292" s="157">
        <f t="shared" si="124"/>
        <v>43743</v>
      </c>
      <c r="Y292" s="383">
        <f t="shared" si="125"/>
        <v>38.624000000000002</v>
      </c>
      <c r="Z292" s="383">
        <f t="shared" si="126"/>
        <v>38.818427259662805</v>
      </c>
      <c r="AA292" s="384">
        <f t="shared" si="127"/>
        <v>39.696734984769819</v>
      </c>
      <c r="AB292" s="197">
        <f t="shared" si="128"/>
        <v>43743</v>
      </c>
      <c r="AC292" s="424">
        <f t="shared" si="129"/>
        <v>2.2125439924567787E-2</v>
      </c>
      <c r="AD292" s="169">
        <f>(INDEX(Models!$BJ292:$BT292,,AH292)*(1-AF292)+INDEX(Models!$BJ292:$BT292,,AH292+1)*AF292-ERP_i)*AE292*Ramure*Pc/MaxiM</f>
        <v>1.802413952606885E-4</v>
      </c>
      <c r="AE292" s="304">
        <f t="shared" si="130"/>
        <v>0.6</v>
      </c>
      <c r="AF292" s="177">
        <f t="shared" si="131"/>
        <v>0.99522301380806466</v>
      </c>
      <c r="AG292" s="799">
        <f t="shared" si="132"/>
        <v>-2</v>
      </c>
      <c r="AH292" s="176">
        <f t="shared" si="133"/>
        <v>4</v>
      </c>
      <c r="AI292" s="224">
        <f t="shared" si="134"/>
        <v>-1.0047769861919353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18.22</v>
      </c>
      <c r="C293" s="388"/>
      <c r="D293" s="391">
        <f t="shared" si="114"/>
        <v>18.312067616830625</v>
      </c>
      <c r="E293" s="383">
        <f t="shared" si="111"/>
        <v>18.727643307037624</v>
      </c>
      <c r="F293" s="383">
        <f t="shared" ref="F293:F324" si="139">Wh_sa/(1-Pvg*MEDIAN((-Sdif+Wh/Env_an)/Csdif,0,1))</f>
        <v>18.728288098004107</v>
      </c>
      <c r="G293" s="110">
        <f t="shared" si="112"/>
        <v>0.4292289396493742</v>
      </c>
      <c r="I293" s="379">
        <f t="shared" si="115"/>
        <v>18.728288098004107</v>
      </c>
      <c r="J293" s="85">
        <v>2018</v>
      </c>
      <c r="K293" s="197">
        <f t="shared" si="116"/>
        <v>43744</v>
      </c>
      <c r="L293" s="435">
        <f t="shared" si="117"/>
        <v>5.0277018825556352E-3</v>
      </c>
      <c r="M293" s="842"/>
      <c r="N293" s="842"/>
      <c r="O293" s="323">
        <f t="shared" si="118"/>
        <v>2.2190495803112109E-2</v>
      </c>
      <c r="P293" s="169">
        <f>(INDEX(Models!$BJ293:$BT293,,T293)*(1-R293)+INDEX(Models!$BJ293:$BT293,,T293+1)*R293-ERP_i)*Q293*Ramure*Pc/MaxiM</f>
        <v>1.8639743113781245E-4</v>
      </c>
      <c r="Q293" s="304">
        <f t="shared" si="119"/>
        <v>0.6</v>
      </c>
      <c r="R293" s="177">
        <f t="shared" si="120"/>
        <v>0.99538501587910377</v>
      </c>
      <c r="S293" s="799">
        <f t="shared" si="138"/>
        <v>-2</v>
      </c>
      <c r="T293" s="176">
        <f t="shared" si="121"/>
        <v>4</v>
      </c>
      <c r="U293" s="250">
        <f t="shared" si="122"/>
        <v>-1.0046149841208962</v>
      </c>
      <c r="V293" s="382">
        <f t="shared" si="123"/>
        <v>42.441758586017883</v>
      </c>
      <c r="W293" s="58"/>
      <c r="X293" s="157">
        <f t="shared" si="124"/>
        <v>43744</v>
      </c>
      <c r="Y293" s="383">
        <f t="shared" si="125"/>
        <v>18.22</v>
      </c>
      <c r="Z293" s="383">
        <f t="shared" si="126"/>
        <v>18.312067616830625</v>
      </c>
      <c r="AA293" s="384">
        <f t="shared" si="127"/>
        <v>18.727643307037624</v>
      </c>
      <c r="AB293" s="197">
        <f t="shared" si="128"/>
        <v>43744</v>
      </c>
      <c r="AC293" s="424">
        <f t="shared" si="129"/>
        <v>2.2190495803112109E-2</v>
      </c>
      <c r="AD293" s="169">
        <f>(INDEX(Models!$BJ293:$BT293,,AH293)*(1-AF293)+INDEX(Models!$BJ293:$BT293,,AH293+1)*AF293-ERP_i)*AE293*Ramure*Pc/MaxiM</f>
        <v>1.8639743113781245E-4</v>
      </c>
      <c r="AE293" s="304">
        <f t="shared" si="130"/>
        <v>0.6</v>
      </c>
      <c r="AF293" s="177">
        <f t="shared" si="131"/>
        <v>0.99538501587910377</v>
      </c>
      <c r="AG293" s="799">
        <f t="shared" si="132"/>
        <v>-2</v>
      </c>
      <c r="AH293" s="176">
        <f t="shared" si="133"/>
        <v>4</v>
      </c>
      <c r="AI293" s="224">
        <f t="shared" si="134"/>
        <v>-1.0046149841208962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29.942</v>
      </c>
      <c r="C294" s="388"/>
      <c r="D294" s="391">
        <f t="shared" si="114"/>
        <v>30.09387688406008</v>
      </c>
      <c r="E294" s="383">
        <f t="shared" si="111"/>
        <v>30.778863732167306</v>
      </c>
      <c r="F294" s="383">
        <f t="shared" si="139"/>
        <v>30.782356997616411</v>
      </c>
      <c r="G294" s="110">
        <f t="shared" si="112"/>
        <v>0.71137680558105099</v>
      </c>
      <c r="I294" s="379">
        <f t="shared" si="115"/>
        <v>30.782356997616411</v>
      </c>
      <c r="J294" s="85">
        <v>2018</v>
      </c>
      <c r="K294" s="197">
        <f t="shared" si="116"/>
        <v>43745</v>
      </c>
      <c r="L294" s="435">
        <f t="shared" si="117"/>
        <v>5.0467702996593866E-3</v>
      </c>
      <c r="M294" s="842"/>
      <c r="N294" s="842"/>
      <c r="O294" s="323">
        <f t="shared" si="118"/>
        <v>2.2255105128892103E-2</v>
      </c>
      <c r="P294" s="169">
        <f>(INDEX(Models!$BJ294:$BT294,,T294)*(1-R294)+INDEX(Models!$BJ294:$BT294,,T294+1)*R294-ERP_i)*Q294*Ramure*Pc/MaxiM</f>
        <v>1.9307594708063797E-4</v>
      </c>
      <c r="Q294" s="304">
        <f t="shared" si="119"/>
        <v>0.6</v>
      </c>
      <c r="R294" s="177">
        <f t="shared" si="120"/>
        <v>0.99554059466562661</v>
      </c>
      <c r="S294" s="799">
        <f t="shared" si="138"/>
        <v>-2</v>
      </c>
      <c r="T294" s="176">
        <f t="shared" si="121"/>
        <v>4</v>
      </c>
      <c r="U294" s="250">
        <f t="shared" si="122"/>
        <v>-1.0044594053343734</v>
      </c>
      <c r="V294" s="382">
        <f t="shared" si="123"/>
        <v>42.086860738329484</v>
      </c>
      <c r="W294" s="58"/>
      <c r="X294" s="157">
        <f t="shared" si="124"/>
        <v>43745</v>
      </c>
      <c r="Y294" s="383">
        <f t="shared" si="125"/>
        <v>29.942</v>
      </c>
      <c r="Z294" s="383">
        <f t="shared" si="126"/>
        <v>30.09387688406008</v>
      </c>
      <c r="AA294" s="384">
        <f t="shared" si="127"/>
        <v>30.778863732167306</v>
      </c>
      <c r="AB294" s="197">
        <f t="shared" si="128"/>
        <v>43745</v>
      </c>
      <c r="AC294" s="424">
        <f t="shared" si="129"/>
        <v>2.2255105128892103E-2</v>
      </c>
      <c r="AD294" s="169">
        <f>(INDEX(Models!$BJ294:$BT294,,AH294)*(1-AF294)+INDEX(Models!$BJ294:$BT294,,AH294+1)*AF294-ERP_i)*AE294*Ramure*Pc/MaxiM</f>
        <v>1.9307594708063797E-4</v>
      </c>
      <c r="AE294" s="304">
        <f t="shared" si="130"/>
        <v>0.6</v>
      </c>
      <c r="AF294" s="177">
        <f t="shared" si="131"/>
        <v>0.99554059466562661</v>
      </c>
      <c r="AG294" s="799">
        <f t="shared" si="132"/>
        <v>-2</v>
      </c>
      <c r="AH294" s="176">
        <f t="shared" si="133"/>
        <v>4</v>
      </c>
      <c r="AI294" s="224">
        <f t="shared" si="134"/>
        <v>-1.0044594053343734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38.933999999999997</v>
      </c>
      <c r="C295" s="388"/>
      <c r="D295" s="391">
        <f t="shared" si="114"/>
        <v>39.132237589956219</v>
      </c>
      <c r="E295" s="383">
        <f t="shared" si="111"/>
        <v>40.025579050088432</v>
      </c>
      <c r="F295" s="383">
        <f t="shared" si="139"/>
        <v>40.032829351489561</v>
      </c>
      <c r="G295" s="110">
        <f t="shared" si="112"/>
        <v>0.93298241609057453</v>
      </c>
      <c r="I295" s="379">
        <f t="shared" si="115"/>
        <v>40.032829351489561</v>
      </c>
      <c r="J295" s="85">
        <v>2018</v>
      </c>
      <c r="K295" s="197">
        <f t="shared" si="116"/>
        <v>43746</v>
      </c>
      <c r="L295" s="435">
        <f t="shared" si="117"/>
        <v>5.0658383513213501E-3</v>
      </c>
      <c r="M295" s="842"/>
      <c r="N295" s="842"/>
      <c r="O295" s="323">
        <f t="shared" si="118"/>
        <v>2.2319263864097317E-2</v>
      </c>
      <c r="P295" s="169">
        <f>(INDEX(Models!$BJ295:$BT295,,T295)*(1-R295)+INDEX(Models!$BJ295:$BT295,,T295+1)*R295-ERP_i)*Q295*Ramure*Pc/MaxiM</f>
        <v>2.0027830019754954E-4</v>
      </c>
      <c r="Q295" s="304">
        <f t="shared" si="119"/>
        <v>0.6</v>
      </c>
      <c r="R295" s="177">
        <f t="shared" si="120"/>
        <v>0.99569000103148797</v>
      </c>
      <c r="S295" s="799">
        <f t="shared" si="138"/>
        <v>-2</v>
      </c>
      <c r="T295" s="176">
        <f t="shared" si="121"/>
        <v>4</v>
      </c>
      <c r="U295" s="250">
        <f t="shared" si="122"/>
        <v>-1.004309998968512</v>
      </c>
      <c r="V295" s="382">
        <f t="shared" si="123"/>
        <v>41.7298899225135</v>
      </c>
      <c r="W295" s="58"/>
      <c r="X295" s="157">
        <f t="shared" si="124"/>
        <v>43746</v>
      </c>
      <c r="Y295" s="383">
        <f t="shared" si="125"/>
        <v>38.933999999999997</v>
      </c>
      <c r="Z295" s="383">
        <f t="shared" si="126"/>
        <v>39.132237589956219</v>
      </c>
      <c r="AA295" s="384">
        <f t="shared" si="127"/>
        <v>40.025579050088432</v>
      </c>
      <c r="AB295" s="197">
        <f t="shared" si="128"/>
        <v>43746</v>
      </c>
      <c r="AC295" s="424">
        <f t="shared" si="129"/>
        <v>2.2319263864097317E-2</v>
      </c>
      <c r="AD295" s="169">
        <f>(INDEX(Models!$BJ295:$BT295,,AH295)*(1-AF295)+INDEX(Models!$BJ295:$BT295,,AH295+1)*AF295-ERP_i)*AE295*Ramure*Pc/MaxiM</f>
        <v>2.0027830019754954E-4</v>
      </c>
      <c r="AE295" s="304">
        <f t="shared" si="130"/>
        <v>0.6</v>
      </c>
      <c r="AF295" s="177">
        <f t="shared" si="131"/>
        <v>0.99569000103148797</v>
      </c>
      <c r="AG295" s="799">
        <f t="shared" si="132"/>
        <v>-2</v>
      </c>
      <c r="AH295" s="176">
        <f t="shared" si="133"/>
        <v>4</v>
      </c>
      <c r="AI295" s="224">
        <f t="shared" si="134"/>
        <v>-1.004309998968512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9.4390000000000001</v>
      </c>
      <c r="C296" s="388"/>
      <c r="D296" s="391">
        <f t="shared" si="114"/>
        <v>9.487241732766627</v>
      </c>
      <c r="E296" s="383">
        <f t="shared" si="111"/>
        <v>9.7044562753772432</v>
      </c>
      <c r="F296" s="383">
        <f t="shared" si="139"/>
        <v>9.7044562753772432</v>
      </c>
      <c r="G296" s="110">
        <f t="shared" si="112"/>
        <v>0.22810484329026459</v>
      </c>
      <c r="I296" s="379">
        <f t="shared" si="115"/>
        <v>9.7044562753772432</v>
      </c>
      <c r="J296" s="85">
        <v>2018</v>
      </c>
      <c r="K296" s="197">
        <f t="shared" si="116"/>
        <v>43747</v>
      </c>
      <c r="L296" s="435">
        <f t="shared" si="117"/>
        <v>5.084906037548409E-3</v>
      </c>
      <c r="M296" s="842"/>
      <c r="N296" s="842"/>
      <c r="O296" s="323">
        <f t="shared" si="118"/>
        <v>2.2382968859548189E-2</v>
      </c>
      <c r="P296" s="169">
        <f>(INDEX(Models!$BJ296:$BT296,,T296)*(1-R296)+INDEX(Models!$BJ296:$BT296,,T296+1)*R296-ERP_i)*Q296*Ramure*Pc/MaxiM</f>
        <v>2.0815378826432213E-4</v>
      </c>
      <c r="Q296" s="304">
        <f t="shared" si="119"/>
        <v>0.6</v>
      </c>
      <c r="R296" s="177">
        <f t="shared" si="120"/>
        <v>0.99583347634215036</v>
      </c>
      <c r="S296" s="799">
        <f t="shared" si="138"/>
        <v>-2</v>
      </c>
      <c r="T296" s="176">
        <f t="shared" si="121"/>
        <v>4</v>
      </c>
      <c r="U296" s="250">
        <f t="shared" si="122"/>
        <v>-1.0041665236578496</v>
      </c>
      <c r="V296" s="382">
        <f t="shared" si="123"/>
        <v>41.371481202544651</v>
      </c>
      <c r="W296" s="58"/>
      <c r="X296" s="157">
        <f t="shared" si="124"/>
        <v>43747</v>
      </c>
      <c r="Y296" s="383">
        <f t="shared" si="125"/>
        <v>9.4390000000000001</v>
      </c>
      <c r="Z296" s="383">
        <f t="shared" si="126"/>
        <v>9.487241732766627</v>
      </c>
      <c r="AA296" s="384">
        <f t="shared" si="127"/>
        <v>9.7044562753772432</v>
      </c>
      <c r="AB296" s="197">
        <f t="shared" si="128"/>
        <v>43747</v>
      </c>
      <c r="AC296" s="424">
        <f t="shared" si="129"/>
        <v>2.2382968859548189E-2</v>
      </c>
      <c r="AD296" s="169">
        <f>(INDEX(Models!$BJ296:$BT296,,AH296)*(1-AF296)+INDEX(Models!$BJ296:$BT296,,AH296+1)*AF296-ERP_i)*AE296*Ramure*Pc/MaxiM</f>
        <v>2.0815378826432213E-4</v>
      </c>
      <c r="AE296" s="304">
        <f t="shared" si="130"/>
        <v>0.6</v>
      </c>
      <c r="AF296" s="177">
        <f t="shared" si="131"/>
        <v>0.99583347634215036</v>
      </c>
      <c r="AG296" s="799">
        <f t="shared" si="132"/>
        <v>-2</v>
      </c>
      <c r="AH296" s="176">
        <f t="shared" si="133"/>
        <v>4</v>
      </c>
      <c r="AI296" s="224">
        <f t="shared" si="134"/>
        <v>-1.0041665236578496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29.207999999999998</v>
      </c>
      <c r="C297" s="388"/>
      <c r="D297" s="391">
        <f t="shared" si="114"/>
        <v>29.357841641597297</v>
      </c>
      <c r="E297" s="383">
        <f t="shared" ref="E297:E360" si="140">Wh_pvt/(1-Psa)</f>
        <v>30.031945228717536</v>
      </c>
      <c r="F297" s="383">
        <f t="shared" si="139"/>
        <v>30.035777339277747</v>
      </c>
      <c r="G297" s="110">
        <f t="shared" ref="G297:G360" si="141">+Wh_hp/MaxiM</f>
        <v>0.71211353733830252</v>
      </c>
      <c r="I297" s="379">
        <f t="shared" si="115"/>
        <v>30.035777339277747</v>
      </c>
      <c r="J297" s="85">
        <v>2018</v>
      </c>
      <c r="K297" s="197">
        <f t="shared" si="116"/>
        <v>43748</v>
      </c>
      <c r="L297" s="435">
        <f t="shared" si="117"/>
        <v>5.1039733583475577E-3</v>
      </c>
      <c r="M297" s="842"/>
      <c r="N297" s="842"/>
      <c r="O297" s="323">
        <f t="shared" si="118"/>
        <v>2.2446217918499666E-2</v>
      </c>
      <c r="P297" s="169">
        <f>(INDEX(Models!$BJ297:$BT297,,T297)*(1-R297)+INDEX(Models!$BJ297:$BT297,,T297+1)*R297-ERP_i)*Q297*Ramure*Pc/MaxiM</f>
        <v>2.1667731513324976E-4</v>
      </c>
      <c r="Q297" s="304">
        <f t="shared" si="119"/>
        <v>0.6</v>
      </c>
      <c r="R297" s="177">
        <f t="shared" si="120"/>
        <v>0.99597125280074161</v>
      </c>
      <c r="S297" s="799">
        <f t="shared" si="138"/>
        <v>-2</v>
      </c>
      <c r="T297" s="176">
        <f t="shared" si="121"/>
        <v>4</v>
      </c>
      <c r="U297" s="250">
        <f t="shared" si="122"/>
        <v>-1.0040287471992584</v>
      </c>
      <c r="V297" s="382">
        <f t="shared" si="123"/>
        <v>41.012276728789246</v>
      </c>
      <c r="W297" s="58"/>
      <c r="X297" s="157">
        <f t="shared" si="124"/>
        <v>43748</v>
      </c>
      <c r="Y297" s="383">
        <f t="shared" si="125"/>
        <v>29.207999999999998</v>
      </c>
      <c r="Z297" s="383">
        <f t="shared" si="126"/>
        <v>29.357841641597297</v>
      </c>
      <c r="AA297" s="384">
        <f t="shared" si="127"/>
        <v>30.031945228717536</v>
      </c>
      <c r="AB297" s="197">
        <f t="shared" si="128"/>
        <v>43748</v>
      </c>
      <c r="AC297" s="424">
        <f t="shared" si="129"/>
        <v>2.2446217918499666E-2</v>
      </c>
      <c r="AD297" s="169">
        <f>(INDEX(Models!$BJ297:$BT297,,AH297)*(1-AF297)+INDEX(Models!$BJ297:$BT297,,AH297+1)*AF297-ERP_i)*AE297*Ramure*Pc/MaxiM</f>
        <v>2.1667731513324976E-4</v>
      </c>
      <c r="AE297" s="304">
        <f t="shared" si="130"/>
        <v>0.6</v>
      </c>
      <c r="AF297" s="177">
        <f t="shared" si="131"/>
        <v>0.99597125280074161</v>
      </c>
      <c r="AG297" s="799">
        <f t="shared" si="132"/>
        <v>-2</v>
      </c>
      <c r="AH297" s="176">
        <f t="shared" si="133"/>
        <v>4</v>
      </c>
      <c r="AI297" s="224">
        <f t="shared" si="134"/>
        <v>-1.0040287471992584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40.503</v>
      </c>
      <c r="C298" s="388"/>
      <c r="D298" s="391">
        <f t="shared" si="114"/>
        <v>40.711566998970682</v>
      </c>
      <c r="E298" s="383">
        <f t="shared" si="140"/>
        <v>41.64904578100311</v>
      </c>
      <c r="F298" s="383">
        <f t="shared" si="139"/>
        <v>41.65840472713716</v>
      </c>
      <c r="G298" s="110">
        <f t="shared" si="141"/>
        <v>0.99631107630652926</v>
      </c>
      <c r="I298" s="379">
        <f t="shared" si="115"/>
        <v>41.65840472713716</v>
      </c>
      <c r="J298" s="85">
        <v>2018</v>
      </c>
      <c r="K298" s="197">
        <f t="shared" si="116"/>
        <v>43749</v>
      </c>
      <c r="L298" s="435">
        <f t="shared" si="117"/>
        <v>5.1230403137259017E-3</v>
      </c>
      <c r="M298" s="842"/>
      <c r="N298" s="842"/>
      <c r="O298" s="323">
        <f t="shared" si="118"/>
        <v>2.2509009857316482E-2</v>
      </c>
      <c r="P298" s="169">
        <f>(INDEX(Models!$BJ298:$BT298,,T298)*(1-R298)+INDEX(Models!$BJ298:$BT298,,T298+1)*R298-ERP_i)*Q298*Ramure*Pc/MaxiM</f>
        <v>2.2584907155793728E-4</v>
      </c>
      <c r="Q298" s="304">
        <f t="shared" si="119"/>
        <v>0.6</v>
      </c>
      <c r="R298" s="177">
        <f t="shared" si="120"/>
        <v>0.99610355377410786</v>
      </c>
      <c r="S298" s="799">
        <f t="shared" si="138"/>
        <v>-2</v>
      </c>
      <c r="T298" s="176">
        <f t="shared" si="121"/>
        <v>4</v>
      </c>
      <c r="U298" s="250">
        <f t="shared" si="122"/>
        <v>-1.0038964462258921</v>
      </c>
      <c r="V298" s="382">
        <f t="shared" si="123"/>
        <v>40.652917307861188</v>
      </c>
      <c r="W298" s="58"/>
      <c r="X298" s="157">
        <f t="shared" si="124"/>
        <v>43749</v>
      </c>
      <c r="Y298" s="383">
        <f t="shared" si="125"/>
        <v>40.503</v>
      </c>
      <c r="Z298" s="383">
        <f t="shared" si="126"/>
        <v>40.711566998970682</v>
      </c>
      <c r="AA298" s="384">
        <f t="shared" si="127"/>
        <v>41.64904578100311</v>
      </c>
      <c r="AB298" s="197">
        <f t="shared" si="128"/>
        <v>43749</v>
      </c>
      <c r="AC298" s="424">
        <f t="shared" si="129"/>
        <v>2.2509009857316482E-2</v>
      </c>
      <c r="AD298" s="169">
        <f>(INDEX(Models!$BJ298:$BT298,,AH298)*(1-AF298)+INDEX(Models!$BJ298:$BT298,,AH298+1)*AF298-ERP_i)*AE298*Ramure*Pc/MaxiM</f>
        <v>2.2584907155793728E-4</v>
      </c>
      <c r="AE298" s="304">
        <f t="shared" si="130"/>
        <v>0.6</v>
      </c>
      <c r="AF298" s="177">
        <f t="shared" si="131"/>
        <v>0.99610355377410786</v>
      </c>
      <c r="AG298" s="799">
        <f t="shared" si="132"/>
        <v>-2</v>
      </c>
      <c r="AH298" s="176">
        <f t="shared" si="133"/>
        <v>4</v>
      </c>
      <c r="AI298" s="224">
        <f t="shared" si="134"/>
        <v>-1.0038964462258921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20.334</v>
      </c>
      <c r="C299" s="388"/>
      <c r="D299" s="391">
        <f t="shared" si="114"/>
        <v>20.43910003740757</v>
      </c>
      <c r="E299" s="383">
        <f t="shared" si="140"/>
        <v>20.911091488572179</v>
      </c>
      <c r="F299" s="383">
        <f t="shared" si="139"/>
        <v>20.912532278728975</v>
      </c>
      <c r="G299" s="110">
        <f t="shared" si="141"/>
        <v>0.50455617883842152</v>
      </c>
      <c r="I299" s="379">
        <f t="shared" si="115"/>
        <v>20.912532278728975</v>
      </c>
      <c r="J299" s="85">
        <v>2018</v>
      </c>
      <c r="K299" s="197">
        <f t="shared" si="116"/>
        <v>43750</v>
      </c>
      <c r="L299" s="435">
        <f t="shared" si="117"/>
        <v>5.1421069036903244E-3</v>
      </c>
      <c r="M299" s="842"/>
      <c r="N299" s="842"/>
      <c r="O299" s="323">
        <f t="shared" si="118"/>
        <v>2.2571344562408439E-2</v>
      </c>
      <c r="P299" s="169">
        <f>(INDEX(Models!$BJ299:$BT299,,T299)*(1-R299)+INDEX(Models!$BJ299:$BT299,,T299+1)*R299-ERP_i)*Q299*Ramure*Pc/MaxiM</f>
        <v>2.3566814863354785E-4</v>
      </c>
      <c r="Q299" s="304">
        <f t="shared" si="119"/>
        <v>0.6</v>
      </c>
      <c r="R299" s="177">
        <f t="shared" si="120"/>
        <v>0.99623059410900927</v>
      </c>
      <c r="S299" s="799">
        <f t="shared" si="138"/>
        <v>-2</v>
      </c>
      <c r="T299" s="176">
        <f t="shared" si="121"/>
        <v>4</v>
      </c>
      <c r="U299" s="250">
        <f t="shared" si="122"/>
        <v>-1.0037694058909907</v>
      </c>
      <c r="V299" s="382">
        <f t="shared" si="123"/>
        <v>40.294043506920566</v>
      </c>
      <c r="W299" s="58"/>
      <c r="X299" s="157">
        <f t="shared" si="124"/>
        <v>43750</v>
      </c>
      <c r="Y299" s="383">
        <f t="shared" si="125"/>
        <v>20.334</v>
      </c>
      <c r="Z299" s="383">
        <f t="shared" si="126"/>
        <v>20.43910003740757</v>
      </c>
      <c r="AA299" s="384">
        <f t="shared" si="127"/>
        <v>20.911091488572179</v>
      </c>
      <c r="AB299" s="197">
        <f t="shared" si="128"/>
        <v>43750</v>
      </c>
      <c r="AC299" s="424">
        <f t="shared" si="129"/>
        <v>2.2571344562408439E-2</v>
      </c>
      <c r="AD299" s="169">
        <f>(INDEX(Models!$BJ299:$BT299,,AH299)*(1-AF299)+INDEX(Models!$BJ299:$BT299,,AH299+1)*AF299-ERP_i)*AE299*Ramure*Pc/MaxiM</f>
        <v>2.3566814863354785E-4</v>
      </c>
      <c r="AE299" s="304">
        <f t="shared" si="130"/>
        <v>0.6</v>
      </c>
      <c r="AF299" s="177">
        <f t="shared" si="131"/>
        <v>0.99623059410900927</v>
      </c>
      <c r="AG299" s="799">
        <f t="shared" si="132"/>
        <v>-2</v>
      </c>
      <c r="AH299" s="176">
        <f t="shared" si="133"/>
        <v>4</v>
      </c>
      <c r="AI299" s="224">
        <f t="shared" si="134"/>
        <v>-1.0037694058909907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38.298999999999999</v>
      </c>
      <c r="C300" s="388"/>
      <c r="D300" s="391">
        <f t="shared" si="114"/>
        <v>38.497693259952797</v>
      </c>
      <c r="E300" s="383">
        <f t="shared" si="140"/>
        <v>39.389197758294294</v>
      </c>
      <c r="F300" s="383">
        <f t="shared" si="139"/>
        <v>39.39832701671196</v>
      </c>
      <c r="G300" s="110">
        <f t="shared" si="141"/>
        <v>0.958988487587767</v>
      </c>
      <c r="I300" s="379">
        <f t="shared" si="115"/>
        <v>39.39832701671196</v>
      </c>
      <c r="J300" s="85">
        <v>2018</v>
      </c>
      <c r="K300" s="197">
        <f t="shared" si="116"/>
        <v>43751</v>
      </c>
      <c r="L300" s="435">
        <f t="shared" si="117"/>
        <v>5.1611731282479312E-3</v>
      </c>
      <c r="M300" s="842"/>
      <c r="N300" s="842"/>
      <c r="O300" s="323">
        <f t="shared" si="118"/>
        <v>2.2633223042827045E-2</v>
      </c>
      <c r="P300" s="169">
        <f>(INDEX(Models!$BJ300:$BT300,,T300)*(1-R300)+INDEX(Models!$BJ300:$BT300,,T300+1)*R300-ERP_i)*Q300*Ramure*Pc/MaxiM</f>
        <v>2.4613241877041649E-4</v>
      </c>
      <c r="Q300" s="304">
        <f t="shared" si="119"/>
        <v>0.6</v>
      </c>
      <c r="R300" s="177">
        <f t="shared" si="120"/>
        <v>0.99635258043860331</v>
      </c>
      <c r="S300" s="799">
        <f t="shared" si="138"/>
        <v>-2</v>
      </c>
      <c r="T300" s="176">
        <f t="shared" si="121"/>
        <v>4</v>
      </c>
      <c r="U300" s="250">
        <f t="shared" si="122"/>
        <v>-1.0036474195613967</v>
      </c>
      <c r="V300" s="382">
        <f t="shared" si="123"/>
        <v>39.936295657346115</v>
      </c>
      <c r="W300" s="58"/>
      <c r="X300" s="157">
        <f t="shared" si="124"/>
        <v>43751</v>
      </c>
      <c r="Y300" s="383">
        <f t="shared" si="125"/>
        <v>38.298999999999999</v>
      </c>
      <c r="Z300" s="383">
        <f t="shared" si="126"/>
        <v>38.497693259952797</v>
      </c>
      <c r="AA300" s="384">
        <f t="shared" si="127"/>
        <v>39.389197758294294</v>
      </c>
      <c r="AB300" s="197">
        <f t="shared" si="128"/>
        <v>43751</v>
      </c>
      <c r="AC300" s="424">
        <f t="shared" si="129"/>
        <v>2.2633223042827045E-2</v>
      </c>
      <c r="AD300" s="169">
        <f>(INDEX(Models!$BJ300:$BT300,,AH300)*(1-AF300)+INDEX(Models!$BJ300:$BT300,,AH300+1)*AF300-ERP_i)*AE300*Ramure*Pc/MaxiM</f>
        <v>2.4613241877041649E-4</v>
      </c>
      <c r="AE300" s="304">
        <f t="shared" si="130"/>
        <v>0.6</v>
      </c>
      <c r="AF300" s="177">
        <f t="shared" si="131"/>
        <v>0.99635258043860331</v>
      </c>
      <c r="AG300" s="799">
        <f t="shared" si="132"/>
        <v>-2</v>
      </c>
      <c r="AH300" s="176">
        <f t="shared" si="133"/>
        <v>4</v>
      </c>
      <c r="AI300" s="224">
        <f t="shared" si="134"/>
        <v>-1.0036474195613967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11.923999999999999</v>
      </c>
      <c r="C301" s="388"/>
      <c r="D301" s="391">
        <f t="shared" si="114"/>
        <v>11.98609081494617</v>
      </c>
      <c r="E301" s="383">
        <f t="shared" si="140"/>
        <v>12.264427677608237</v>
      </c>
      <c r="F301" s="383">
        <f t="shared" si="139"/>
        <v>12.264433360343743</v>
      </c>
      <c r="G301" s="110">
        <f t="shared" si="141"/>
        <v>0.30118351906882257</v>
      </c>
      <c r="I301" s="379">
        <f t="shared" si="115"/>
        <v>12.264433360343743</v>
      </c>
      <c r="J301" s="85">
        <v>2018</v>
      </c>
      <c r="K301" s="197">
        <f t="shared" si="116"/>
        <v>43752</v>
      </c>
      <c r="L301" s="435">
        <f t="shared" si="117"/>
        <v>5.1802389874057164E-3</v>
      </c>
      <c r="M301" s="842"/>
      <c r="N301" s="842"/>
      <c r="O301" s="323">
        <f t="shared" si="118"/>
        <v>2.2694647477944811E-2</v>
      </c>
      <c r="P301" s="169">
        <f>(INDEX(Models!$BJ301:$BT301,,T301)*(1-R301)+INDEX(Models!$BJ301:$BT301,,T301+1)*R301-ERP_i)*Q301*Ramure*Pc/MaxiM</f>
        <v>2.5723841703126886E-4</v>
      </c>
      <c r="Q301" s="304">
        <f t="shared" si="119"/>
        <v>0.6</v>
      </c>
      <c r="R301" s="177">
        <f t="shared" si="120"/>
        <v>0.99646971147938412</v>
      </c>
      <c r="S301" s="799">
        <f t="shared" si="138"/>
        <v>-2</v>
      </c>
      <c r="T301" s="176">
        <f t="shared" si="121"/>
        <v>4</v>
      </c>
      <c r="U301" s="250">
        <f t="shared" si="122"/>
        <v>-1.0035302885206159</v>
      </c>
      <c r="V301" s="382">
        <f t="shared" si="123"/>
        <v>39.58031385498235</v>
      </c>
      <c r="W301" s="58"/>
      <c r="X301" s="157">
        <f t="shared" si="124"/>
        <v>43752</v>
      </c>
      <c r="Y301" s="383">
        <f t="shared" si="125"/>
        <v>11.923999999999999</v>
      </c>
      <c r="Z301" s="383">
        <f t="shared" si="126"/>
        <v>11.98609081494617</v>
      </c>
      <c r="AA301" s="384">
        <f t="shared" si="127"/>
        <v>12.264427677608237</v>
      </c>
      <c r="AB301" s="197">
        <f t="shared" si="128"/>
        <v>43752</v>
      </c>
      <c r="AC301" s="424">
        <f t="shared" si="129"/>
        <v>2.2694647477944811E-2</v>
      </c>
      <c r="AD301" s="169">
        <f>(INDEX(Models!$BJ301:$BT301,,AH301)*(1-AF301)+INDEX(Models!$BJ301:$BT301,,AH301+1)*AF301-ERP_i)*AE301*Ramure*Pc/MaxiM</f>
        <v>2.5723841703126886E-4</v>
      </c>
      <c r="AE301" s="304">
        <f t="shared" si="130"/>
        <v>0.6</v>
      </c>
      <c r="AF301" s="177">
        <f t="shared" si="131"/>
        <v>0.99646971147938412</v>
      </c>
      <c r="AG301" s="799">
        <f t="shared" si="132"/>
        <v>-2</v>
      </c>
      <c r="AH301" s="176">
        <f t="shared" si="133"/>
        <v>4</v>
      </c>
      <c r="AI301" s="224">
        <f t="shared" si="134"/>
        <v>-1.0035302885206159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31.414000000000001</v>
      </c>
      <c r="C302" s="388"/>
      <c r="D302" s="391">
        <f t="shared" si="114"/>
        <v>31.57818459668076</v>
      </c>
      <c r="E302" s="383">
        <f t="shared" si="140"/>
        <v>32.31349832616575</v>
      </c>
      <c r="F302" s="383">
        <f t="shared" si="139"/>
        <v>32.319718219874517</v>
      </c>
      <c r="G302" s="110">
        <f t="shared" si="141"/>
        <v>0.80077001000664627</v>
      </c>
      <c r="I302" s="379">
        <f t="shared" si="115"/>
        <v>32.319718219874517</v>
      </c>
      <c r="J302" s="85">
        <v>2018</v>
      </c>
      <c r="K302" s="197">
        <f t="shared" si="116"/>
        <v>43753</v>
      </c>
      <c r="L302" s="435">
        <f t="shared" si="117"/>
        <v>5.1993044811706746E-3</v>
      </c>
      <c r="M302" s="842"/>
      <c r="N302" s="842"/>
      <c r="O302" s="323">
        <f t="shared" si="118"/>
        <v>2.2755621259663166E-2</v>
      </c>
      <c r="P302" s="169">
        <f>(INDEX(Models!$BJ302:$BT302,,T302)*(1-R302)+INDEX(Models!$BJ302:$BT302,,T302+1)*R302-ERP_i)*Q302*Ramure*Pc/MaxiM</f>
        <v>2.6898122360666308E-4</v>
      </c>
      <c r="Q302" s="304">
        <f t="shared" si="119"/>
        <v>0.6</v>
      </c>
      <c r="R302" s="177">
        <f t="shared" si="120"/>
        <v>0.99658217831875029</v>
      </c>
      <c r="S302" s="799">
        <f t="shared" si="138"/>
        <v>-2</v>
      </c>
      <c r="T302" s="176">
        <f t="shared" si="121"/>
        <v>4</v>
      </c>
      <c r="U302" s="250">
        <f t="shared" si="122"/>
        <v>-1.0034178216812497</v>
      </c>
      <c r="V302" s="382">
        <f t="shared" si="123"/>
        <v>39.226737961948309</v>
      </c>
      <c r="W302" s="58"/>
      <c r="X302" s="157">
        <f t="shared" si="124"/>
        <v>43753</v>
      </c>
      <c r="Y302" s="383">
        <f t="shared" si="125"/>
        <v>31.414000000000005</v>
      </c>
      <c r="Z302" s="383">
        <f t="shared" si="126"/>
        <v>31.578184596680764</v>
      </c>
      <c r="AA302" s="384">
        <f t="shared" si="127"/>
        <v>32.31349832616575</v>
      </c>
      <c r="AB302" s="197">
        <f t="shared" si="128"/>
        <v>43753</v>
      </c>
      <c r="AC302" s="424">
        <f t="shared" si="129"/>
        <v>2.2755621259663166E-2</v>
      </c>
      <c r="AD302" s="169">
        <f>(INDEX(Models!$BJ302:$BT302,,AH302)*(1-AF302)+INDEX(Models!$BJ302:$BT302,,AH302+1)*AF302-ERP_i)*AE302*Ramure*Pc/MaxiM</f>
        <v>2.6898122360666308E-4</v>
      </c>
      <c r="AE302" s="304">
        <f t="shared" si="130"/>
        <v>0.6</v>
      </c>
      <c r="AF302" s="177">
        <f t="shared" si="131"/>
        <v>0.99658217831875029</v>
      </c>
      <c r="AG302" s="799">
        <f t="shared" si="132"/>
        <v>-2</v>
      </c>
      <c r="AH302" s="176">
        <f t="shared" si="133"/>
        <v>4</v>
      </c>
      <c r="AI302" s="224">
        <f t="shared" si="134"/>
        <v>-1.0034178216812497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32.549999999999997</v>
      </c>
      <c r="C303" s="388"/>
      <c r="D303" s="391">
        <f t="shared" si="114"/>
        <v>32.720748961984924</v>
      </c>
      <c r="E303" s="383">
        <f t="shared" si="140"/>
        <v>33.484741821570964</v>
      </c>
      <c r="F303" s="383">
        <f t="shared" si="139"/>
        <v>33.491975682750187</v>
      </c>
      <c r="G303" s="110">
        <f t="shared" si="141"/>
        <v>0.83727763475080708</v>
      </c>
      <c r="I303" s="379">
        <f t="shared" si="115"/>
        <v>33.491975682750187</v>
      </c>
      <c r="J303" s="85">
        <v>2018</v>
      </c>
      <c r="K303" s="197">
        <f t="shared" si="116"/>
        <v>43754</v>
      </c>
      <c r="L303" s="435">
        <f t="shared" si="117"/>
        <v>5.2183696095498E-3</v>
      </c>
      <c r="M303" s="842"/>
      <c r="N303" s="842"/>
      <c r="O303" s="323">
        <f t="shared" si="118"/>
        <v>2.2816149028626356E-2</v>
      </c>
      <c r="P303" s="169">
        <f>(INDEX(Models!$BJ303:$BT303,,T303)*(1-R303)+INDEX(Models!$BJ303:$BT303,,T303+1)*R303-ERP_i)*Q303*Ramure*Pc/MaxiM</f>
        <v>2.8137429332133871E-4</v>
      </c>
      <c r="Q303" s="304">
        <f t="shared" si="119"/>
        <v>0.6</v>
      </c>
      <c r="R303" s="177">
        <f t="shared" si="120"/>
        <v>0.99669016469338323</v>
      </c>
      <c r="S303" s="799">
        <f t="shared" si="138"/>
        <v>-2</v>
      </c>
      <c r="T303" s="176">
        <f t="shared" si="121"/>
        <v>4</v>
      </c>
      <c r="U303" s="250">
        <f t="shared" si="122"/>
        <v>-1.0033098353066168</v>
      </c>
      <c r="V303" s="382">
        <f t="shared" si="123"/>
        <v>38.873451125307604</v>
      </c>
      <c r="W303" s="58"/>
      <c r="X303" s="157">
        <f t="shared" si="124"/>
        <v>43754</v>
      </c>
      <c r="Y303" s="383">
        <f t="shared" si="125"/>
        <v>32.549999999999997</v>
      </c>
      <c r="Z303" s="383">
        <f t="shared" si="126"/>
        <v>32.720748961984924</v>
      </c>
      <c r="AA303" s="384">
        <f t="shared" si="127"/>
        <v>33.484741821570964</v>
      </c>
      <c r="AB303" s="197">
        <f t="shared" si="128"/>
        <v>43754</v>
      </c>
      <c r="AC303" s="424">
        <f t="shared" si="129"/>
        <v>2.2816149028626356E-2</v>
      </c>
      <c r="AD303" s="169">
        <f>(INDEX(Models!$BJ303:$BT303,,AH303)*(1-AF303)+INDEX(Models!$BJ303:$BT303,,AH303+1)*AF303-ERP_i)*AE303*Ramure*Pc/MaxiM</f>
        <v>2.8137429332133871E-4</v>
      </c>
      <c r="AE303" s="304">
        <f t="shared" si="130"/>
        <v>0.6</v>
      </c>
      <c r="AF303" s="177">
        <f t="shared" si="131"/>
        <v>0.99669016469338323</v>
      </c>
      <c r="AG303" s="799">
        <f t="shared" si="132"/>
        <v>-2</v>
      </c>
      <c r="AH303" s="176">
        <f t="shared" si="133"/>
        <v>4</v>
      </c>
      <c r="AI303" s="224">
        <f t="shared" si="134"/>
        <v>-1.0033098353066168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19.739999999999998</v>
      </c>
      <c r="C304" s="388"/>
      <c r="D304" s="391">
        <f t="shared" si="114"/>
        <v>19.843931287813312</v>
      </c>
      <c r="E304" s="383">
        <f t="shared" si="140"/>
        <v>20.308513653250582</v>
      </c>
      <c r="F304" s="383">
        <f t="shared" si="139"/>
        <v>20.310327668561452</v>
      </c>
      <c r="G304" s="110">
        <f t="shared" si="141"/>
        <v>0.51237899880720661</v>
      </c>
      <c r="I304" s="379">
        <f t="shared" si="115"/>
        <v>20.310327668561452</v>
      </c>
      <c r="J304" s="85">
        <v>2018</v>
      </c>
      <c r="K304" s="197">
        <f t="shared" si="116"/>
        <v>43755</v>
      </c>
      <c r="L304" s="435">
        <f t="shared" si="117"/>
        <v>5.2374343725500871E-3</v>
      </c>
      <c r="M304" s="842"/>
      <c r="N304" s="842"/>
      <c r="O304" s="323">
        <f t="shared" si="118"/>
        <v>2.2876236703955499E-2</v>
      </c>
      <c r="P304" s="169">
        <f>(INDEX(Models!$BJ304:$BT304,,T304)*(1-R304)+INDEX(Models!$BJ304:$BT304,,T304+1)*R304-ERP_i)*Q304*Ramure*Pc/MaxiM</f>
        <v>2.9423597427372014E-4</v>
      </c>
      <c r="Q304" s="304">
        <f t="shared" si="119"/>
        <v>0.6</v>
      </c>
      <c r="R304" s="177">
        <f t="shared" si="120"/>
        <v>0.99679384725862796</v>
      </c>
      <c r="S304" s="799">
        <f t="shared" si="138"/>
        <v>-2</v>
      </c>
      <c r="T304" s="176">
        <f t="shared" si="121"/>
        <v>4</v>
      </c>
      <c r="U304" s="250">
        <f t="shared" si="122"/>
        <v>-1.003206152741372</v>
      </c>
      <c r="V304" s="382">
        <f t="shared" si="123"/>
        <v>38.518273666619081</v>
      </c>
      <c r="W304" s="58"/>
      <c r="X304" s="157">
        <f t="shared" si="124"/>
        <v>43755</v>
      </c>
      <c r="Y304" s="383">
        <f t="shared" si="125"/>
        <v>19.739999999999998</v>
      </c>
      <c r="Z304" s="383">
        <f t="shared" si="126"/>
        <v>19.843931287813312</v>
      </c>
      <c r="AA304" s="384">
        <f t="shared" si="127"/>
        <v>20.308513653250582</v>
      </c>
      <c r="AB304" s="197">
        <f t="shared" si="128"/>
        <v>43755</v>
      </c>
      <c r="AC304" s="424">
        <f t="shared" si="129"/>
        <v>2.2876236703955499E-2</v>
      </c>
      <c r="AD304" s="169">
        <f>(INDEX(Models!$BJ304:$BT304,,AH304)*(1-AF304)+INDEX(Models!$BJ304:$BT304,,AH304+1)*AF304-ERP_i)*AE304*Ramure*Pc/MaxiM</f>
        <v>2.9423597427372014E-4</v>
      </c>
      <c r="AE304" s="304">
        <f t="shared" si="130"/>
        <v>0.6</v>
      </c>
      <c r="AF304" s="177">
        <f t="shared" si="131"/>
        <v>0.99679384725862796</v>
      </c>
      <c r="AG304" s="799">
        <f t="shared" si="132"/>
        <v>-2</v>
      </c>
      <c r="AH304" s="176">
        <f t="shared" si="133"/>
        <v>4</v>
      </c>
      <c r="AI304" s="224">
        <f t="shared" si="134"/>
        <v>-1.003206152741372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14.943</v>
      </c>
      <c r="C305" s="388"/>
      <c r="D305" s="391">
        <f t="shared" si="114"/>
        <v>15.021962929665454</v>
      </c>
      <c r="E305" s="383">
        <f t="shared" si="140"/>
        <v>15.374592924941735</v>
      </c>
      <c r="F305" s="383">
        <f t="shared" si="139"/>
        <v>15.37521056257399</v>
      </c>
      <c r="G305" s="110">
        <f t="shared" si="141"/>
        <v>0.39146549637735761</v>
      </c>
      <c r="I305" s="379">
        <f t="shared" si="115"/>
        <v>15.37521056257399</v>
      </c>
      <c r="J305" s="85">
        <v>2018</v>
      </c>
      <c r="K305" s="197">
        <f t="shared" si="116"/>
        <v>43756</v>
      </c>
      <c r="L305" s="435">
        <f t="shared" si="117"/>
        <v>5.2564987701785304E-3</v>
      </c>
      <c r="M305" s="842"/>
      <c r="N305" s="842"/>
      <c r="O305" s="323">
        <f t="shared" si="118"/>
        <v>2.2935891506058698E-2</v>
      </c>
      <c r="P305" s="169">
        <f>(INDEX(Models!$BJ305:$BT305,,T305)*(1-R305)+INDEX(Models!$BJ305:$BT305,,T305+1)*R305-ERP_i)*Q305*Ramure*Pc/MaxiM</f>
        <v>3.0708416923685029E-4</v>
      </c>
      <c r="Q305" s="304">
        <f t="shared" si="119"/>
        <v>0.6</v>
      </c>
      <c r="R305" s="177">
        <f t="shared" si="120"/>
        <v>0.99689339584906866</v>
      </c>
      <c r="S305" s="799">
        <f t="shared" si="138"/>
        <v>-2</v>
      </c>
      <c r="T305" s="176">
        <f t="shared" si="121"/>
        <v>4</v>
      </c>
      <c r="U305" s="250">
        <f t="shared" si="122"/>
        <v>-1.0031066041509313</v>
      </c>
      <c r="V305" s="382">
        <f t="shared" si="123"/>
        <v>38.161757535665473</v>
      </c>
      <c r="W305" s="58"/>
      <c r="X305" s="157">
        <f t="shared" si="124"/>
        <v>43756</v>
      </c>
      <c r="Y305" s="383">
        <f t="shared" si="125"/>
        <v>14.943</v>
      </c>
      <c r="Z305" s="383">
        <f t="shared" si="126"/>
        <v>15.021962929665454</v>
      </c>
      <c r="AA305" s="384">
        <f t="shared" si="127"/>
        <v>15.374592924941735</v>
      </c>
      <c r="AB305" s="197">
        <f t="shared" si="128"/>
        <v>43756</v>
      </c>
      <c r="AC305" s="424">
        <f t="shared" si="129"/>
        <v>2.2935891506058698E-2</v>
      </c>
      <c r="AD305" s="169">
        <f>(INDEX(Models!$BJ305:$BT305,,AH305)*(1-AF305)+INDEX(Models!$BJ305:$BT305,,AH305+1)*AF305-ERP_i)*AE305*Ramure*Pc/MaxiM</f>
        <v>3.0708416923685029E-4</v>
      </c>
      <c r="AE305" s="304">
        <f t="shared" si="130"/>
        <v>0.6</v>
      </c>
      <c r="AF305" s="177">
        <f t="shared" si="131"/>
        <v>0.99689339584906866</v>
      </c>
      <c r="AG305" s="799">
        <f t="shared" si="132"/>
        <v>-2</v>
      </c>
      <c r="AH305" s="176">
        <f t="shared" si="133"/>
        <v>4</v>
      </c>
      <c r="AI305" s="224">
        <f t="shared" si="134"/>
        <v>-1.0031066041509313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29.605</v>
      </c>
      <c r="C306" s="388"/>
      <c r="D306" s="391">
        <f t="shared" si="114"/>
        <v>29.762011360056977</v>
      </c>
      <c r="E306" s="383">
        <f t="shared" si="140"/>
        <v>30.46250026932589</v>
      </c>
      <c r="F306" s="383">
        <f t="shared" si="139"/>
        <v>30.469227535807441</v>
      </c>
      <c r="G306" s="110">
        <f t="shared" si="141"/>
        <v>0.7830315199440343</v>
      </c>
      <c r="I306" s="379">
        <f t="shared" si="115"/>
        <v>30.469227535807441</v>
      </c>
      <c r="J306" s="85">
        <v>2018</v>
      </c>
      <c r="K306" s="197">
        <f t="shared" si="116"/>
        <v>43757</v>
      </c>
      <c r="L306" s="435">
        <f t="shared" si="117"/>
        <v>5.2755628024421242E-3</v>
      </c>
      <c r="M306" s="842"/>
      <c r="N306" s="842"/>
      <c r="O306" s="323">
        <f t="shared" si="118"/>
        <v>2.299512197212079E-2</v>
      </c>
      <c r="P306" s="169">
        <f>(INDEX(Models!$BJ306:$BT306,,T306)*(1-R306)+INDEX(Models!$BJ306:$BT306,,T306+1)*R306-ERP_i)*Q306*Ramure*Pc/MaxiM</f>
        <v>3.1991157538266906E-4</v>
      </c>
      <c r="Q306" s="304">
        <f t="shared" si="119"/>
        <v>0.6</v>
      </c>
      <c r="R306" s="177">
        <f t="shared" si="120"/>
        <v>0.99698897373049866</v>
      </c>
      <c r="S306" s="799">
        <f t="shared" si="138"/>
        <v>-2</v>
      </c>
      <c r="T306" s="176">
        <f t="shared" si="121"/>
        <v>4</v>
      </c>
      <c r="U306" s="250">
        <f t="shared" si="122"/>
        <v>-1.0030110262695013</v>
      </c>
      <c r="V306" s="382">
        <f t="shared" si="123"/>
        <v>37.80443579912118</v>
      </c>
      <c r="W306" s="58"/>
      <c r="X306" s="157">
        <f t="shared" si="124"/>
        <v>43757</v>
      </c>
      <c r="Y306" s="383">
        <f t="shared" si="125"/>
        <v>29.605</v>
      </c>
      <c r="Z306" s="383">
        <f t="shared" si="126"/>
        <v>29.762011360056977</v>
      </c>
      <c r="AA306" s="384">
        <f t="shared" si="127"/>
        <v>30.46250026932589</v>
      </c>
      <c r="AB306" s="197">
        <f t="shared" si="128"/>
        <v>43757</v>
      </c>
      <c r="AC306" s="424">
        <f t="shared" si="129"/>
        <v>2.299512197212079E-2</v>
      </c>
      <c r="AD306" s="169">
        <f>(INDEX(Models!$BJ306:$BT306,,AH306)*(1-AF306)+INDEX(Models!$BJ306:$BT306,,AH306+1)*AF306-ERP_i)*AE306*Ramure*Pc/MaxiM</f>
        <v>3.1991157538266906E-4</v>
      </c>
      <c r="AE306" s="304">
        <f t="shared" si="130"/>
        <v>0.6</v>
      </c>
      <c r="AF306" s="177">
        <f t="shared" si="131"/>
        <v>0.99698897373049866</v>
      </c>
      <c r="AG306" s="799">
        <f t="shared" si="132"/>
        <v>-2</v>
      </c>
      <c r="AH306" s="176">
        <f t="shared" si="133"/>
        <v>4</v>
      </c>
      <c r="AI306" s="224">
        <f t="shared" si="134"/>
        <v>-1.0030110262695013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12.15</v>
      </c>
      <c r="C307" s="388"/>
      <c r="D307" s="391">
        <f t="shared" si="114"/>
        <v>12.214672126354603</v>
      </c>
      <c r="E307" s="383">
        <f t="shared" si="140"/>
        <v>12.502913518989743</v>
      </c>
      <c r="F307" s="383">
        <f t="shared" si="139"/>
        <v>12.503058877371188</v>
      </c>
      <c r="G307" s="110">
        <f t="shared" si="141"/>
        <v>0.32435576293562196</v>
      </c>
      <c r="I307" s="379">
        <f t="shared" si="115"/>
        <v>12.503058877371188</v>
      </c>
      <c r="J307" s="85">
        <v>2018</v>
      </c>
      <c r="K307" s="197">
        <f t="shared" si="116"/>
        <v>43758</v>
      </c>
      <c r="L307" s="435">
        <f t="shared" si="117"/>
        <v>5.2946264693478629E-3</v>
      </c>
      <c r="M307" s="842"/>
      <c r="N307" s="842"/>
      <c r="O307" s="323">
        <f t="shared" si="118"/>
        <v>2.3053937963927434E-2</v>
      </c>
      <c r="P307" s="169">
        <f>(INDEX(Models!$BJ307:$BT307,,T307)*(1-R307)+INDEX(Models!$BJ307:$BT307,,T307+1)*R307-ERP_i)*Q307*Ramure*Pc/MaxiM</f>
        <v>3.3271041605709801E-4</v>
      </c>
      <c r="Q307" s="304">
        <f t="shared" si="119"/>
        <v>0.6</v>
      </c>
      <c r="R307" s="177">
        <f t="shared" si="120"/>
        <v>0.99708073784349205</v>
      </c>
      <c r="S307" s="799">
        <f t="shared" si="138"/>
        <v>-2</v>
      </c>
      <c r="T307" s="176">
        <f t="shared" si="121"/>
        <v>4</v>
      </c>
      <c r="U307" s="250">
        <f t="shared" si="122"/>
        <v>-1.002919262156508</v>
      </c>
      <c r="V307" s="382">
        <f t="shared" si="123"/>
        <v>37.446841292230246</v>
      </c>
      <c r="W307" s="58"/>
      <c r="X307" s="157">
        <f t="shared" si="124"/>
        <v>43758</v>
      </c>
      <c r="Y307" s="383">
        <f t="shared" si="125"/>
        <v>12.15</v>
      </c>
      <c r="Z307" s="383">
        <f t="shared" si="126"/>
        <v>12.214672126354603</v>
      </c>
      <c r="AA307" s="384">
        <f t="shared" si="127"/>
        <v>12.502913518989743</v>
      </c>
      <c r="AB307" s="197">
        <f t="shared" si="128"/>
        <v>43758</v>
      </c>
      <c r="AC307" s="424">
        <f t="shared" si="129"/>
        <v>2.3053937963927434E-2</v>
      </c>
      <c r="AD307" s="169">
        <f>(INDEX(Models!$BJ307:$BT307,,AH307)*(1-AF307)+INDEX(Models!$BJ307:$BT307,,AH307+1)*AF307-ERP_i)*AE307*Ramure*Pc/MaxiM</f>
        <v>3.3271041605709801E-4</v>
      </c>
      <c r="AE307" s="304">
        <f t="shared" si="130"/>
        <v>0.6</v>
      </c>
      <c r="AF307" s="177">
        <f t="shared" si="131"/>
        <v>0.99708073784349205</v>
      </c>
      <c r="AG307" s="799">
        <f t="shared" si="132"/>
        <v>-2</v>
      </c>
      <c r="AH307" s="176">
        <f t="shared" si="133"/>
        <v>4</v>
      </c>
      <c r="AI307" s="224">
        <f t="shared" si="134"/>
        <v>-1.002919262156508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23.722999999999999</v>
      </c>
      <c r="C308" s="388"/>
      <c r="D308" s="391">
        <f t="shared" si="114"/>
        <v>23.849730066694185</v>
      </c>
      <c r="E308" s="383">
        <f t="shared" si="140"/>
        <v>24.413994877503335</v>
      </c>
      <c r="F308" s="383">
        <f t="shared" si="139"/>
        <v>24.418087613545492</v>
      </c>
      <c r="G308" s="110">
        <f t="shared" si="141"/>
        <v>0.6395010891713715</v>
      </c>
      <c r="I308" s="379">
        <f t="shared" si="115"/>
        <v>24.418087613545492</v>
      </c>
      <c r="J308" s="85">
        <v>2018</v>
      </c>
      <c r="K308" s="197">
        <f t="shared" si="116"/>
        <v>43759</v>
      </c>
      <c r="L308" s="435">
        <f t="shared" si="117"/>
        <v>5.3136897709028519E-3</v>
      </c>
      <c r="M308" s="842"/>
      <c r="N308" s="842"/>
      <c r="O308" s="323">
        <f t="shared" si="118"/>
        <v>2.3112350667735201E-2</v>
      </c>
      <c r="P308" s="169">
        <f>(INDEX(Models!$BJ308:$BT308,,T308)*(1-R308)+INDEX(Models!$BJ308:$BT308,,T308+1)*R308-ERP_i)*Q308*Ramure*Pc/MaxiM</f>
        <v>3.4547245752814074E-4</v>
      </c>
      <c r="Q308" s="304">
        <f t="shared" si="119"/>
        <v>0.6</v>
      </c>
      <c r="R308" s="177">
        <f t="shared" si="120"/>
        <v>0.9971688390387774</v>
      </c>
      <c r="S308" s="799">
        <f t="shared" si="138"/>
        <v>-2</v>
      </c>
      <c r="T308" s="176">
        <f t="shared" si="121"/>
        <v>4</v>
      </c>
      <c r="U308" s="250">
        <f t="shared" si="122"/>
        <v>-1.0028311609612226</v>
      </c>
      <c r="V308" s="382">
        <f t="shared" si="123"/>
        <v>37.089506621658884</v>
      </c>
      <c r="W308" s="58"/>
      <c r="X308" s="157">
        <f t="shared" si="124"/>
        <v>43759</v>
      </c>
      <c r="Y308" s="383">
        <f t="shared" si="125"/>
        <v>23.722999999999999</v>
      </c>
      <c r="Z308" s="383">
        <f t="shared" si="126"/>
        <v>23.849730066694185</v>
      </c>
      <c r="AA308" s="384">
        <f t="shared" si="127"/>
        <v>24.413994877503335</v>
      </c>
      <c r="AB308" s="197">
        <f t="shared" si="128"/>
        <v>43759</v>
      </c>
      <c r="AC308" s="424">
        <f t="shared" si="129"/>
        <v>2.3112350667735201E-2</v>
      </c>
      <c r="AD308" s="169">
        <f>(INDEX(Models!$BJ308:$BT308,,AH308)*(1-AF308)+INDEX(Models!$BJ308:$BT308,,AH308+1)*AF308-ERP_i)*AE308*Ramure*Pc/MaxiM</f>
        <v>3.4547245752814074E-4</v>
      </c>
      <c r="AE308" s="304">
        <f t="shared" si="130"/>
        <v>0.6</v>
      </c>
      <c r="AF308" s="177">
        <f t="shared" si="131"/>
        <v>0.9971688390387774</v>
      </c>
      <c r="AG308" s="799">
        <f t="shared" si="132"/>
        <v>-2</v>
      </c>
      <c r="AH308" s="176">
        <f t="shared" si="133"/>
        <v>4</v>
      </c>
      <c r="AI308" s="224">
        <f t="shared" si="134"/>
        <v>-1.0028311609612226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4.7590000000000003</v>
      </c>
      <c r="C309" s="388"/>
      <c r="D309" s="391">
        <f t="shared" si="114"/>
        <v>4.7845146333632949</v>
      </c>
      <c r="E309" s="383">
        <f t="shared" si="140"/>
        <v>4.8980031922550573</v>
      </c>
      <c r="F309" s="383">
        <f t="shared" si="139"/>
        <v>4.8980031922550573</v>
      </c>
      <c r="G309" s="110">
        <f t="shared" si="141"/>
        <v>0.12951025015001025</v>
      </c>
      <c r="I309" s="379">
        <f t="shared" si="115"/>
        <v>4.8980031922550573</v>
      </c>
      <c r="J309" s="85">
        <v>2018</v>
      </c>
      <c r="K309" s="197">
        <f t="shared" si="116"/>
        <v>43760</v>
      </c>
      <c r="L309" s="435">
        <f t="shared" si="117"/>
        <v>5.3327527071139746E-3</v>
      </c>
      <c r="M309" s="842"/>
      <c r="N309" s="842"/>
      <c r="O309" s="323">
        <f t="shared" si="118"/>
        <v>2.31703725859582E-2</v>
      </c>
      <c r="P309" s="169">
        <f>(INDEX(Models!$BJ309:$BT309,,T309)*(1-R309)+INDEX(Models!$BJ309:$BT309,,T309+1)*R309-ERP_i)*Q309*Ramure*Pc/MaxiM</f>
        <v>3.581890262874327E-4</v>
      </c>
      <c r="Q309" s="304">
        <f t="shared" si="119"/>
        <v>0.6</v>
      </c>
      <c r="R309" s="177">
        <f t="shared" si="120"/>
        <v>0.99725342230462322</v>
      </c>
      <c r="S309" s="799">
        <f t="shared" si="138"/>
        <v>-2</v>
      </c>
      <c r="T309" s="176">
        <f t="shared" si="121"/>
        <v>4</v>
      </c>
      <c r="U309" s="250">
        <f t="shared" si="122"/>
        <v>-1.0027465776953768</v>
      </c>
      <c r="V309" s="382">
        <f t="shared" si="123"/>
        <v>36.732964170122266</v>
      </c>
      <c r="W309" s="58"/>
      <c r="X309" s="157">
        <f t="shared" si="124"/>
        <v>43760</v>
      </c>
      <c r="Y309" s="383">
        <f t="shared" si="125"/>
        <v>4.7590000000000003</v>
      </c>
      <c r="Z309" s="383">
        <f t="shared" si="126"/>
        <v>4.7845146333632949</v>
      </c>
      <c r="AA309" s="384">
        <f t="shared" si="127"/>
        <v>4.8980031922550573</v>
      </c>
      <c r="AB309" s="197">
        <f t="shared" si="128"/>
        <v>43760</v>
      </c>
      <c r="AC309" s="424">
        <f t="shared" si="129"/>
        <v>2.31703725859582E-2</v>
      </c>
      <c r="AD309" s="169">
        <f>(INDEX(Models!$BJ309:$BT309,,AH309)*(1-AF309)+INDEX(Models!$BJ309:$BT309,,AH309+1)*AF309-ERP_i)*AE309*Ramure*Pc/MaxiM</f>
        <v>3.581890262874327E-4</v>
      </c>
      <c r="AE309" s="304">
        <f t="shared" si="130"/>
        <v>0.6</v>
      </c>
      <c r="AF309" s="177">
        <f t="shared" si="131"/>
        <v>0.99725342230462322</v>
      </c>
      <c r="AG309" s="799">
        <f t="shared" si="132"/>
        <v>-2</v>
      </c>
      <c r="AH309" s="176">
        <f t="shared" si="133"/>
        <v>4</v>
      </c>
      <c r="AI309" s="224">
        <f t="shared" si="134"/>
        <v>-1.0027465776953768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17.518000000000001</v>
      </c>
      <c r="C310" s="388"/>
      <c r="D310" s="391">
        <f t="shared" si="114"/>
        <v>17.612257549030769</v>
      </c>
      <c r="E310" s="383">
        <f t="shared" si="140"/>
        <v>18.031083881340248</v>
      </c>
      <c r="F310" s="383">
        <f t="shared" si="139"/>
        <v>18.032818335876019</v>
      </c>
      <c r="G310" s="110">
        <f t="shared" si="141"/>
        <v>0.48142586563930195</v>
      </c>
      <c r="I310" s="379">
        <f t="shared" si="115"/>
        <v>18.032818335876019</v>
      </c>
      <c r="J310" s="85">
        <v>2018</v>
      </c>
      <c r="K310" s="197">
        <f t="shared" si="116"/>
        <v>43761</v>
      </c>
      <c r="L310" s="435">
        <f t="shared" si="117"/>
        <v>5.3518152779883366E-3</v>
      </c>
      <c r="M310" s="842"/>
      <c r="N310" s="842"/>
      <c r="O310" s="323">
        <f t="shared" si="118"/>
        <v>2.3228017520505788E-2</v>
      </c>
      <c r="P310" s="169">
        <f>(INDEX(Models!$BJ310:$BT310,,T310)*(1-R310)+INDEX(Models!$BJ310:$BT310,,T310+1)*R310-ERP_i)*Q310*Ramure*Pc/MaxiM</f>
        <v>3.7083577894549938E-4</v>
      </c>
      <c r="Q310" s="304">
        <f t="shared" si="119"/>
        <v>0.6</v>
      </c>
      <c r="R310" s="177">
        <f t="shared" si="120"/>
        <v>0.99733462698644493</v>
      </c>
      <c r="S310" s="799">
        <f t="shared" si="138"/>
        <v>-2</v>
      </c>
      <c r="T310" s="176">
        <f t="shared" si="121"/>
        <v>4</v>
      </c>
      <c r="U310" s="250">
        <f t="shared" si="122"/>
        <v>-1.0026653730135551</v>
      </c>
      <c r="V310" s="382">
        <f t="shared" si="123"/>
        <v>36.377746655555271</v>
      </c>
      <c r="W310" s="58"/>
      <c r="X310" s="157">
        <f t="shared" si="124"/>
        <v>43761</v>
      </c>
      <c r="Y310" s="383">
        <f t="shared" si="125"/>
        <v>17.518000000000001</v>
      </c>
      <c r="Z310" s="383">
        <f t="shared" si="126"/>
        <v>17.612257549030769</v>
      </c>
      <c r="AA310" s="384">
        <f t="shared" si="127"/>
        <v>18.031083881340248</v>
      </c>
      <c r="AB310" s="197">
        <f t="shared" si="128"/>
        <v>43761</v>
      </c>
      <c r="AC310" s="424">
        <f t="shared" si="129"/>
        <v>2.3228017520505788E-2</v>
      </c>
      <c r="AD310" s="169">
        <f>(INDEX(Models!$BJ310:$BT310,,AH310)*(1-AF310)+INDEX(Models!$BJ310:$BT310,,AH310+1)*AF310-ERP_i)*AE310*Ramure*Pc/MaxiM</f>
        <v>3.7083577894549938E-4</v>
      </c>
      <c r="AE310" s="304">
        <f t="shared" si="130"/>
        <v>0.6</v>
      </c>
      <c r="AF310" s="177">
        <f t="shared" si="131"/>
        <v>0.99733462698644493</v>
      </c>
      <c r="AG310" s="799">
        <f t="shared" si="132"/>
        <v>-2</v>
      </c>
      <c r="AH310" s="176">
        <f t="shared" si="133"/>
        <v>4</v>
      </c>
      <c r="AI310" s="224">
        <f t="shared" si="134"/>
        <v>-1.0026653730135551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17.276</v>
      </c>
      <c r="C311" s="388"/>
      <c r="D311" s="391">
        <f t="shared" si="114"/>
        <v>17.369288319540409</v>
      </c>
      <c r="E311" s="383">
        <f t="shared" si="140"/>
        <v>17.783379659669151</v>
      </c>
      <c r="F311" s="383">
        <f t="shared" si="139"/>
        <v>17.785128153170593</v>
      </c>
      <c r="G311" s="110">
        <f t="shared" si="141"/>
        <v>0.47942730456455424</v>
      </c>
      <c r="I311" s="379">
        <f t="shared" si="115"/>
        <v>17.785128153170593</v>
      </c>
      <c r="J311" s="85">
        <v>2018</v>
      </c>
      <c r="K311" s="197">
        <f t="shared" si="116"/>
        <v>43762</v>
      </c>
      <c r="L311" s="435">
        <f t="shared" si="117"/>
        <v>5.370877483532821E-3</v>
      </c>
      <c r="M311" s="842"/>
      <c r="N311" s="842"/>
      <c r="O311" s="323">
        <f t="shared" si="118"/>
        <v>2.3285300547671334E-2</v>
      </c>
      <c r="P311" s="169">
        <f>(INDEX(Models!$BJ311:$BT311,,T311)*(1-R311)+INDEX(Models!$BJ311:$BT311,,T311+1)*R311-ERP_i)*Q311*Ramure*Pc/MaxiM</f>
        <v>3.832532759529023E-4</v>
      </c>
      <c r="Q311" s="304">
        <f t="shared" si="119"/>
        <v>0.6</v>
      </c>
      <c r="R311" s="177">
        <f t="shared" si="120"/>
        <v>0.99741258699883772</v>
      </c>
      <c r="S311" s="799">
        <f t="shared" si="138"/>
        <v>-2</v>
      </c>
      <c r="T311" s="176">
        <f t="shared" si="121"/>
        <v>4</v>
      </c>
      <c r="U311" s="250">
        <f t="shared" si="122"/>
        <v>-1.0025874130011623</v>
      </c>
      <c r="V311" s="382">
        <f t="shared" si="123"/>
        <v>36.024391410343092</v>
      </c>
      <c r="W311" s="58"/>
      <c r="X311" s="157">
        <f t="shared" si="124"/>
        <v>43762</v>
      </c>
      <c r="Y311" s="383">
        <f t="shared" si="125"/>
        <v>17.276</v>
      </c>
      <c r="Z311" s="383">
        <f t="shared" si="126"/>
        <v>17.369288319540409</v>
      </c>
      <c r="AA311" s="384">
        <f t="shared" si="127"/>
        <v>17.783379659669151</v>
      </c>
      <c r="AB311" s="197">
        <f t="shared" si="128"/>
        <v>43762</v>
      </c>
      <c r="AC311" s="424">
        <f t="shared" si="129"/>
        <v>2.3285300547671334E-2</v>
      </c>
      <c r="AD311" s="169">
        <f>(INDEX(Models!$BJ311:$BT311,,AH311)*(1-AF311)+INDEX(Models!$BJ311:$BT311,,AH311+1)*AF311-ERP_i)*AE311*Ramure*Pc/MaxiM</f>
        <v>3.832532759529023E-4</v>
      </c>
      <c r="AE311" s="304">
        <f t="shared" si="130"/>
        <v>0.6</v>
      </c>
      <c r="AF311" s="177">
        <f t="shared" si="131"/>
        <v>0.99741258699883772</v>
      </c>
      <c r="AG311" s="799">
        <f t="shared" si="132"/>
        <v>-2</v>
      </c>
      <c r="AH311" s="176">
        <f t="shared" si="133"/>
        <v>4</v>
      </c>
      <c r="AI311" s="224">
        <f t="shared" si="134"/>
        <v>-1.0025874130011623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29.623000000000001</v>
      </c>
      <c r="C312" s="388"/>
      <c r="D312" s="391">
        <f t="shared" si="114"/>
        <v>29.783531427239957</v>
      </c>
      <c r="E312" s="383">
        <f t="shared" si="140"/>
        <v>30.495361410713389</v>
      </c>
      <c r="F312" s="383">
        <f t="shared" si="139"/>
        <v>30.504501263256913</v>
      </c>
      <c r="G312" s="110">
        <f t="shared" si="141"/>
        <v>0.83031435486593541</v>
      </c>
      <c r="I312" s="379">
        <f t="shared" si="115"/>
        <v>30.504501263256913</v>
      </c>
      <c r="J312" s="85">
        <v>2018</v>
      </c>
      <c r="K312" s="197">
        <f t="shared" si="116"/>
        <v>43763</v>
      </c>
      <c r="L312" s="435">
        <f t="shared" si="117"/>
        <v>5.3899393237544224E-3</v>
      </c>
      <c r="M312" s="842"/>
      <c r="N312" s="842"/>
      <c r="O312" s="323">
        <f t="shared" si="118"/>
        <v>2.3342237984540031E-2</v>
      </c>
      <c r="P312" s="169">
        <f>(INDEX(Models!$BJ312:$BT312,,T312)*(1-R312)+INDEX(Models!$BJ312:$BT312,,T312+1)*R312-ERP_i)*Q312*Ramure*Pc/MaxiM</f>
        <v>3.9543467287596904E-4</v>
      </c>
      <c r="Q312" s="304">
        <f t="shared" si="119"/>
        <v>0.6</v>
      </c>
      <c r="R312" s="177">
        <f t="shared" si="120"/>
        <v>0.99748743103024595</v>
      </c>
      <c r="S312" s="799">
        <f t="shared" si="138"/>
        <v>-2</v>
      </c>
      <c r="T312" s="176">
        <f t="shared" si="121"/>
        <v>4</v>
      </c>
      <c r="U312" s="250">
        <f t="shared" si="122"/>
        <v>-1.002512568969754</v>
      </c>
      <c r="V312" s="382">
        <f t="shared" si="123"/>
        <v>35.673429886969828</v>
      </c>
      <c r="W312" s="58"/>
      <c r="X312" s="157">
        <f t="shared" si="124"/>
        <v>43763</v>
      </c>
      <c r="Y312" s="383">
        <f t="shared" si="125"/>
        <v>29.623000000000001</v>
      </c>
      <c r="Z312" s="383">
        <f t="shared" si="126"/>
        <v>29.783531427239957</v>
      </c>
      <c r="AA312" s="384">
        <f t="shared" si="127"/>
        <v>30.495361410713389</v>
      </c>
      <c r="AB312" s="197">
        <f t="shared" si="128"/>
        <v>43763</v>
      </c>
      <c r="AC312" s="424">
        <f t="shared" si="129"/>
        <v>2.3342237984540031E-2</v>
      </c>
      <c r="AD312" s="169">
        <f>(INDEX(Models!$BJ312:$BT312,,AH312)*(1-AF312)+INDEX(Models!$BJ312:$BT312,,AH312+1)*AF312-ERP_i)*AE312*Ramure*Pc/MaxiM</f>
        <v>3.9543467287596904E-4</v>
      </c>
      <c r="AE312" s="304">
        <f t="shared" si="130"/>
        <v>0.6</v>
      </c>
      <c r="AF312" s="177">
        <f t="shared" si="131"/>
        <v>0.99748743103024595</v>
      </c>
      <c r="AG312" s="799">
        <f t="shared" si="132"/>
        <v>-2</v>
      </c>
      <c r="AH312" s="176">
        <f t="shared" si="133"/>
        <v>4</v>
      </c>
      <c r="AI312" s="224">
        <f t="shared" si="134"/>
        <v>-1.002512568969754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34.856000000000002</v>
      </c>
      <c r="C313" s="388"/>
      <c r="D313" s="391">
        <f t="shared" si="114"/>
        <v>35.045561469980626</v>
      </c>
      <c r="E313" s="383">
        <f t="shared" si="140"/>
        <v>35.885234596309274</v>
      </c>
      <c r="F313" s="383">
        <f t="shared" si="139"/>
        <v>35.899581400046522</v>
      </c>
      <c r="G313" s="110">
        <f t="shared" si="141"/>
        <v>0.98670466096012843</v>
      </c>
      <c r="I313" s="379">
        <f t="shared" si="115"/>
        <v>35.899581400046522</v>
      </c>
      <c r="J313" s="85">
        <v>2018</v>
      </c>
      <c r="K313" s="197">
        <f t="shared" si="116"/>
        <v>43764</v>
      </c>
      <c r="L313" s="435">
        <f t="shared" si="117"/>
        <v>5.4090007986602462E-3</v>
      </c>
      <c r="M313" s="842"/>
      <c r="N313" s="842"/>
      <c r="O313" s="323">
        <f t="shared" si="118"/>
        <v>2.33988473469533E-2</v>
      </c>
      <c r="P313" s="169">
        <f>(INDEX(Models!$BJ313:$BT313,,T313)*(1-R313)+INDEX(Models!$BJ313:$BT313,,T313+1)*R313-ERP_i)*Q313*Ramure*Pc/MaxiM</f>
        <v>4.0736995031215865E-4</v>
      </c>
      <c r="Q313" s="304">
        <f t="shared" si="119"/>
        <v>0.6</v>
      </c>
      <c r="R313" s="177">
        <f t="shared" si="120"/>
        <v>0.99755928274047534</v>
      </c>
      <c r="S313" s="799">
        <f t="shared" si="138"/>
        <v>-2</v>
      </c>
      <c r="T313" s="176">
        <f t="shared" si="121"/>
        <v>4</v>
      </c>
      <c r="U313" s="250">
        <f t="shared" si="122"/>
        <v>-1.0024407172595247</v>
      </c>
      <c r="V313" s="382">
        <f t="shared" si="123"/>
        <v>35.32539343764018</v>
      </c>
      <c r="W313" s="58"/>
      <c r="X313" s="157">
        <f t="shared" si="124"/>
        <v>43764</v>
      </c>
      <c r="Y313" s="383">
        <f t="shared" si="125"/>
        <v>34.856000000000002</v>
      </c>
      <c r="Z313" s="383">
        <f t="shared" si="126"/>
        <v>35.045561469980626</v>
      </c>
      <c r="AA313" s="384">
        <f t="shared" si="127"/>
        <v>35.885234596309274</v>
      </c>
      <c r="AB313" s="197">
        <f t="shared" si="128"/>
        <v>43764</v>
      </c>
      <c r="AC313" s="424">
        <f t="shared" si="129"/>
        <v>2.33988473469533E-2</v>
      </c>
      <c r="AD313" s="169">
        <f>(INDEX(Models!$BJ313:$BT313,,AH313)*(1-AF313)+INDEX(Models!$BJ313:$BT313,,AH313+1)*AF313-ERP_i)*AE313*Ramure*Pc/MaxiM</f>
        <v>4.0736995031215865E-4</v>
      </c>
      <c r="AE313" s="304">
        <f t="shared" si="130"/>
        <v>0.6</v>
      </c>
      <c r="AF313" s="177">
        <f t="shared" si="131"/>
        <v>0.99755928274047534</v>
      </c>
      <c r="AG313" s="799">
        <f t="shared" si="132"/>
        <v>-2</v>
      </c>
      <c r="AH313" s="176">
        <f t="shared" si="133"/>
        <v>4</v>
      </c>
      <c r="AI313" s="224">
        <f t="shared" si="134"/>
        <v>-1.0024407172595247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23.995000000000001</v>
      </c>
      <c r="C314" s="388"/>
      <c r="D314" s="391">
        <f t="shared" si="114"/>
        <v>24.125957189219047</v>
      </c>
      <c r="E314" s="383">
        <f t="shared" si="140"/>
        <v>24.705426609431303</v>
      </c>
      <c r="F314" s="383">
        <f t="shared" si="139"/>
        <v>24.711135971353162</v>
      </c>
      <c r="G314" s="110">
        <f>+Wh_hp/MaxiM</f>
        <v>0.68581846965358451</v>
      </c>
      <c r="I314" s="379">
        <f t="shared" si="115"/>
        <v>24.711135971353162</v>
      </c>
      <c r="J314" s="85">
        <v>2018</v>
      </c>
      <c r="K314" s="197">
        <f t="shared" si="116"/>
        <v>43765</v>
      </c>
      <c r="L314" s="435">
        <f t="shared" si="117"/>
        <v>5.4280619082572867E-3</v>
      </c>
      <c r="M314" s="842"/>
      <c r="N314" s="842"/>
      <c r="O314" s="323">
        <f t="shared" si="118"/>
        <v>2.3455147299138047E-2</v>
      </c>
      <c r="P314" s="169">
        <f>(INDEX(Models!$BJ314:$BT314,,T314)*(1-R314)+INDEX(Models!$BJ314:$BT314,,T314+1)*R314-ERP_i)*Q314*Ramure*Pc/MaxiM</f>
        <v>4.1904891040424124E-4</v>
      </c>
      <c r="Q314" s="304">
        <f t="shared" si="119"/>
        <v>0.6</v>
      </c>
      <c r="R314" s="177">
        <f t="shared" si="120"/>
        <v>0.99762826095125279</v>
      </c>
      <c r="S314" s="799">
        <f t="shared" si="138"/>
        <v>-2</v>
      </c>
      <c r="T314" s="176">
        <f t="shared" si="121"/>
        <v>4</v>
      </c>
      <c r="U314" s="250">
        <f t="shared" si="122"/>
        <v>-1.0023717390487472</v>
      </c>
      <c r="V314" s="382">
        <f t="shared" si="123"/>
        <v>34.980813208383687</v>
      </c>
      <c r="W314" s="58"/>
      <c r="X314" s="157">
        <f t="shared" si="124"/>
        <v>43765</v>
      </c>
      <c r="Y314" s="383">
        <f t="shared" si="125"/>
        <v>23.995000000000001</v>
      </c>
      <c r="Z314" s="383">
        <f t="shared" si="126"/>
        <v>24.125957189219047</v>
      </c>
      <c r="AA314" s="384">
        <f t="shared" si="127"/>
        <v>24.705426609431303</v>
      </c>
      <c r="AB314" s="197">
        <f t="shared" si="128"/>
        <v>43765</v>
      </c>
      <c r="AC314" s="424">
        <f t="shared" si="129"/>
        <v>2.3455147299138047E-2</v>
      </c>
      <c r="AD314" s="169">
        <f>(INDEX(Models!$BJ314:$BT314,,AH314)*(1-AF314)+INDEX(Models!$BJ314:$BT314,,AH314+1)*AF314-ERP_i)*AE314*Ramure*Pc/MaxiM</f>
        <v>4.1904891040424124E-4</v>
      </c>
      <c r="AE314" s="304">
        <f t="shared" si="130"/>
        <v>0.6</v>
      </c>
      <c r="AF314" s="177">
        <f t="shared" si="131"/>
        <v>0.99762826095125279</v>
      </c>
      <c r="AG314" s="799">
        <f t="shared" si="132"/>
        <v>-2</v>
      </c>
      <c r="AH314" s="176">
        <f t="shared" si="133"/>
        <v>4</v>
      </c>
      <c r="AI314" s="224">
        <f t="shared" si="134"/>
        <v>-1.0023717390487472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9.3439999999999994</v>
      </c>
      <c r="C315" s="388"/>
      <c r="D315" s="391">
        <f t="shared" si="114"/>
        <v>9.395176679716819</v>
      </c>
      <c r="E315" s="383">
        <f t="shared" si="140"/>
        <v>9.6213866167473121</v>
      </c>
      <c r="F315" s="383">
        <f t="shared" si="139"/>
        <v>9.6213866167473121</v>
      </c>
      <c r="G315" s="110">
        <f t="shared" si="141"/>
        <v>0.26962812968974503</v>
      </c>
      <c r="I315" s="379">
        <f t="shared" si="115"/>
        <v>9.6213866167473121</v>
      </c>
      <c r="J315" s="85">
        <v>2018</v>
      </c>
      <c r="K315" s="197">
        <f t="shared" si="116"/>
        <v>43766</v>
      </c>
      <c r="L315" s="435">
        <f t="shared" si="117"/>
        <v>5.4471226525525385E-3</v>
      </c>
      <c r="M315" s="842"/>
      <c r="N315" s="842"/>
      <c r="O315" s="323">
        <f t="shared" si="118"/>
        <v>2.3511157595179102E-2</v>
      </c>
      <c r="P315" s="169">
        <f>(INDEX(Models!$BJ315:$BT315,,T315)*(1-R315)+INDEX(Models!$BJ315:$BT315,,T315+1)*R315-ERP_i)*Q315*Ramure*Pc/MaxiM</f>
        <v>4.3046120838270691E-4</v>
      </c>
      <c r="Q315" s="304">
        <f t="shared" si="119"/>
        <v>0.6</v>
      </c>
      <c r="R315" s="177">
        <f t="shared" si="120"/>
        <v>0.9976944798300349</v>
      </c>
      <c r="S315" s="799">
        <f t="shared" si="138"/>
        <v>-2</v>
      </c>
      <c r="T315" s="176">
        <f t="shared" si="121"/>
        <v>4</v>
      </c>
      <c r="U315" s="250">
        <f t="shared" si="122"/>
        <v>-1.0023055201699651</v>
      </c>
      <c r="V315" s="382">
        <f t="shared" si="123"/>
        <v>34.640220147712974</v>
      </c>
      <c r="W315" s="58"/>
      <c r="X315" s="157">
        <f t="shared" si="124"/>
        <v>43766</v>
      </c>
      <c r="Y315" s="383">
        <f t="shared" si="125"/>
        <v>9.3439999999999994</v>
      </c>
      <c r="Z315" s="383">
        <f t="shared" si="126"/>
        <v>9.395176679716819</v>
      </c>
      <c r="AA315" s="384">
        <f t="shared" si="127"/>
        <v>9.6213866167473121</v>
      </c>
      <c r="AB315" s="197">
        <f t="shared" si="128"/>
        <v>43766</v>
      </c>
      <c r="AC315" s="424">
        <f t="shared" si="129"/>
        <v>2.3511157595179102E-2</v>
      </c>
      <c r="AD315" s="169">
        <f>(INDEX(Models!$BJ315:$BT315,,AH315)*(1-AF315)+INDEX(Models!$BJ315:$BT315,,AH315+1)*AF315-ERP_i)*AE315*Ramure*Pc/MaxiM</f>
        <v>4.3046120838270691E-4</v>
      </c>
      <c r="AE315" s="304">
        <f t="shared" si="130"/>
        <v>0.6</v>
      </c>
      <c r="AF315" s="177">
        <f t="shared" si="131"/>
        <v>0.9976944798300349</v>
      </c>
      <c r="AG315" s="799">
        <f t="shared" si="132"/>
        <v>-2</v>
      </c>
      <c r="AH315" s="176">
        <f t="shared" si="133"/>
        <v>4</v>
      </c>
      <c r="AI315" s="224">
        <f t="shared" si="134"/>
        <v>-1.0023055201699651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28.907</v>
      </c>
      <c r="C316" s="388"/>
      <c r="D316" s="391">
        <f t="shared" si="114"/>
        <v>29.065879416865634</v>
      </c>
      <c r="E316" s="383">
        <f t="shared" si="140"/>
        <v>29.767404840611015</v>
      </c>
      <c r="F316" s="383">
        <f t="shared" si="139"/>
        <v>29.777598995663187</v>
      </c>
      <c r="G316" s="110">
        <f t="shared" si="141"/>
        <v>0.8425841802018702</v>
      </c>
      <c r="I316" s="379">
        <f t="shared" si="115"/>
        <v>29.777598995663187</v>
      </c>
      <c r="J316" s="85">
        <v>2018</v>
      </c>
      <c r="K316" s="197">
        <f t="shared" si="116"/>
        <v>43767</v>
      </c>
      <c r="L316" s="435">
        <f t="shared" si="117"/>
        <v>5.4661830315528848E-3</v>
      </c>
      <c r="M316" s="842"/>
      <c r="N316" s="842"/>
      <c r="O316" s="323">
        <f t="shared" si="118"/>
        <v>2.3566899012583954E-2</v>
      </c>
      <c r="P316" s="169">
        <f>(INDEX(Models!$BJ316:$BT316,,T316)*(1-R316)+INDEX(Models!$BJ316:$BT316,,T316+1)*R316-ERP_i)*Q316*Ramure*Pc/MaxiM</f>
        <v>4.4159638324961866E-4</v>
      </c>
      <c r="Q316" s="304">
        <f t="shared" si="119"/>
        <v>0.6</v>
      </c>
      <c r="R316" s="177">
        <f t="shared" si="120"/>
        <v>0.99775804906727106</v>
      </c>
      <c r="S316" s="799">
        <f t="shared" si="138"/>
        <v>-2</v>
      </c>
      <c r="T316" s="176">
        <f t="shared" si="121"/>
        <v>4</v>
      </c>
      <c r="U316" s="250">
        <f t="shared" si="122"/>
        <v>-1.0022419509327289</v>
      </c>
      <c r="V316" s="382">
        <f t="shared" si="123"/>
        <v>34.304145011806462</v>
      </c>
      <c r="W316" s="58"/>
      <c r="X316" s="157">
        <f t="shared" si="124"/>
        <v>43767</v>
      </c>
      <c r="Y316" s="383">
        <f t="shared" si="125"/>
        <v>28.907</v>
      </c>
      <c r="Z316" s="383">
        <f t="shared" si="126"/>
        <v>29.065879416865634</v>
      </c>
      <c r="AA316" s="384">
        <f t="shared" si="127"/>
        <v>29.767404840611015</v>
      </c>
      <c r="AB316" s="197">
        <f t="shared" si="128"/>
        <v>43767</v>
      </c>
      <c r="AC316" s="424">
        <f t="shared" si="129"/>
        <v>2.3566899012583954E-2</v>
      </c>
      <c r="AD316" s="169">
        <f>(INDEX(Models!$BJ316:$BT316,,AH316)*(1-AF316)+INDEX(Models!$BJ316:$BT316,,AH316+1)*AF316-ERP_i)*AE316*Ramure*Pc/MaxiM</f>
        <v>4.4159638324961866E-4</v>
      </c>
      <c r="AE316" s="304">
        <f t="shared" si="130"/>
        <v>0.6</v>
      </c>
      <c r="AF316" s="177">
        <f t="shared" si="131"/>
        <v>0.99775804906727106</v>
      </c>
      <c r="AG316" s="799">
        <f t="shared" si="132"/>
        <v>-2</v>
      </c>
      <c r="AH316" s="176">
        <f t="shared" si="133"/>
        <v>4</v>
      </c>
      <c r="AI316" s="224">
        <f t="shared" si="134"/>
        <v>-1.0022419509327289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22.518000000000001</v>
      </c>
      <c r="C317" s="388"/>
      <c r="D317" s="391">
        <f t="shared" si="114"/>
        <v>22.642197958883489</v>
      </c>
      <c r="E317" s="383">
        <f t="shared" si="140"/>
        <v>23.190001289466572</v>
      </c>
      <c r="F317" s="383">
        <f t="shared" si="139"/>
        <v>23.195441698177916</v>
      </c>
      <c r="G317" s="110">
        <f t="shared" si="141"/>
        <v>0.66271319183532462</v>
      </c>
      <c r="I317" s="379">
        <f t="shared" si="115"/>
        <v>23.195441698177916</v>
      </c>
      <c r="J317" s="85">
        <v>2018</v>
      </c>
      <c r="K317" s="197">
        <f t="shared" si="116"/>
        <v>43768</v>
      </c>
      <c r="L317" s="435">
        <f t="shared" si="117"/>
        <v>5.485243045265431E-3</v>
      </c>
      <c r="M317" s="842"/>
      <c r="N317" s="842"/>
      <c r="O317" s="323">
        <f t="shared" si="118"/>
        <v>2.3622393278257672E-2</v>
      </c>
      <c r="P317" s="169">
        <f>(INDEX(Models!$BJ317:$BT317,,T317)*(1-R317)+INDEX(Models!$BJ317:$BT317,,T317+1)*R317-ERP_i)*Q317*Ramure*Pc/MaxiM</f>
        <v>4.5247084704258436E-4</v>
      </c>
      <c r="Q317" s="304">
        <f t="shared" si="119"/>
        <v>0.6</v>
      </c>
      <c r="R317" s="177">
        <f t="shared" si="120"/>
        <v>0.99781907404731363</v>
      </c>
      <c r="S317" s="799">
        <f t="shared" si="138"/>
        <v>-2</v>
      </c>
      <c r="T317" s="176">
        <f t="shared" si="121"/>
        <v>4</v>
      </c>
      <c r="U317" s="250">
        <f t="shared" si="122"/>
        <v>-1.0021809259526864</v>
      </c>
      <c r="V317" s="382">
        <f t="shared" si="123"/>
        <v>33.971093234219268</v>
      </c>
      <c r="W317" s="58"/>
      <c r="X317" s="157">
        <f t="shared" si="124"/>
        <v>43768</v>
      </c>
      <c r="Y317" s="383">
        <f t="shared" si="125"/>
        <v>22.518000000000001</v>
      </c>
      <c r="Z317" s="383">
        <f t="shared" si="126"/>
        <v>22.642197958883489</v>
      </c>
      <c r="AA317" s="384">
        <f t="shared" si="127"/>
        <v>23.190001289466572</v>
      </c>
      <c r="AB317" s="197">
        <f t="shared" si="128"/>
        <v>43768</v>
      </c>
      <c r="AC317" s="424">
        <f t="shared" si="129"/>
        <v>2.3622393278257672E-2</v>
      </c>
      <c r="AD317" s="169">
        <f>(INDEX(Models!$BJ317:$BT317,,AH317)*(1-AF317)+INDEX(Models!$BJ317:$BT317,,AH317+1)*AF317-ERP_i)*AE317*Ramure*Pc/MaxiM</f>
        <v>4.5247084704258436E-4</v>
      </c>
      <c r="AE317" s="304">
        <f t="shared" si="130"/>
        <v>0.6</v>
      </c>
      <c r="AF317" s="177">
        <f t="shared" si="131"/>
        <v>0.99781907404731363</v>
      </c>
      <c r="AG317" s="799">
        <f t="shared" si="132"/>
        <v>-2</v>
      </c>
      <c r="AH317" s="176">
        <f t="shared" si="133"/>
        <v>4</v>
      </c>
      <c r="AI317" s="224">
        <f t="shared" si="134"/>
        <v>-1.0021809259526864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17.483000000000001</v>
      </c>
      <c r="C318" s="388"/>
      <c r="D318" s="391">
        <f t="shared" si="114"/>
        <v>17.579764344234533</v>
      </c>
      <c r="E318" s="383">
        <f t="shared" si="140"/>
        <v>18.006106874522299</v>
      </c>
      <c r="F318" s="383">
        <f t="shared" si="139"/>
        <v>18.008725125818806</v>
      </c>
      <c r="G318" s="110">
        <f t="shared" si="141"/>
        <v>0.5195523603293889</v>
      </c>
      <c r="I318" s="379">
        <f t="shared" si="115"/>
        <v>18.008725125818806</v>
      </c>
      <c r="J318" s="85">
        <v>2018</v>
      </c>
      <c r="K318" s="197">
        <f t="shared" si="116"/>
        <v>43769</v>
      </c>
      <c r="L318" s="435">
        <f t="shared" si="117"/>
        <v>5.5043026936972828E-3</v>
      </c>
      <c r="M318" s="842"/>
      <c r="N318" s="842"/>
      <c r="O318" s="323">
        <f t="shared" si="118"/>
        <v>2.3677662987273401E-2</v>
      </c>
      <c r="P318" s="169">
        <f>(INDEX(Models!$BJ318:$BT318,,T318)*(1-R318)+INDEX(Models!$BJ318:$BT318,,T318+1)*R318-ERP_i)*Q318*Ramure*Pc/MaxiM</f>
        <v>4.6319263393358658E-4</v>
      </c>
      <c r="Q318" s="304">
        <f t="shared" si="119"/>
        <v>0.6</v>
      </c>
      <c r="R318" s="177">
        <f t="shared" si="120"/>
        <v>0.99787765601317457</v>
      </c>
      <c r="S318" s="799">
        <f t="shared" si="138"/>
        <v>-2</v>
      </c>
      <c r="T318" s="176">
        <f t="shared" si="121"/>
        <v>4</v>
      </c>
      <c r="U318" s="250">
        <f t="shared" si="122"/>
        <v>-1.0021223439868254</v>
      </c>
      <c r="V318" s="382">
        <f t="shared" si="123"/>
        <v>33.639425680579045</v>
      </c>
      <c r="W318" s="58"/>
      <c r="X318" s="157">
        <f t="shared" si="124"/>
        <v>43769</v>
      </c>
      <c r="Y318" s="383">
        <f t="shared" si="125"/>
        <v>17.483000000000001</v>
      </c>
      <c r="Z318" s="383">
        <f t="shared" si="126"/>
        <v>17.579764344234533</v>
      </c>
      <c r="AA318" s="384">
        <f t="shared" si="127"/>
        <v>18.006106874522299</v>
      </c>
      <c r="AB318" s="197">
        <f t="shared" si="128"/>
        <v>43769</v>
      </c>
      <c r="AC318" s="424">
        <f t="shared" si="129"/>
        <v>2.3677662987273401E-2</v>
      </c>
      <c r="AD318" s="169">
        <f>(INDEX(Models!$BJ318:$BT318,,AH318)*(1-AF318)+INDEX(Models!$BJ318:$BT318,,AH318+1)*AF318-ERP_i)*AE318*Ramure*Pc/MaxiM</f>
        <v>4.6319263393358658E-4</v>
      </c>
      <c r="AE318" s="304">
        <f t="shared" si="130"/>
        <v>0.6</v>
      </c>
      <c r="AF318" s="177">
        <f t="shared" si="131"/>
        <v>0.99787765601317457</v>
      </c>
      <c r="AG318" s="799">
        <f t="shared" si="132"/>
        <v>-2</v>
      </c>
      <c r="AH318" s="176">
        <f t="shared" si="133"/>
        <v>4</v>
      </c>
      <c r="AI318" s="224">
        <f t="shared" si="134"/>
        <v>-1.0021223439868254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6.9980000000000002</v>
      </c>
      <c r="C319" s="388"/>
      <c r="D319" s="391">
        <f t="shared" si="114"/>
        <v>7.0368671645327616</v>
      </c>
      <c r="E319" s="383">
        <f t="shared" si="140"/>
        <v>7.2079310570884703</v>
      </c>
      <c r="F319" s="383">
        <f t="shared" si="139"/>
        <v>7.2079310570884703</v>
      </c>
      <c r="G319" s="110">
        <f t="shared" si="141"/>
        <v>0.20999093154093537</v>
      </c>
      <c r="I319" s="379">
        <f t="shared" si="115"/>
        <v>7.2079310570884703</v>
      </c>
      <c r="J319" s="85">
        <v>2018</v>
      </c>
      <c r="K319" s="197">
        <f t="shared" si="116"/>
        <v>43770</v>
      </c>
      <c r="L319" s="435">
        <f t="shared" si="117"/>
        <v>5.5233619768552122E-3</v>
      </c>
      <c r="M319" s="842"/>
      <c r="N319" s="842"/>
      <c r="O319" s="323">
        <f t="shared" si="118"/>
        <v>2.3732731514888767E-2</v>
      </c>
      <c r="P319" s="169">
        <f>(INDEX(Models!$BJ319:$BT319,,T319)*(1-R319)+INDEX(Models!$BJ319:$BT319,,T319+1)*R319-ERP_i)*Q319*Ramure*Pc/MaxiM</f>
        <v>4.7396262348899554E-4</v>
      </c>
      <c r="Q319" s="304">
        <f t="shared" si="119"/>
        <v>0.6</v>
      </c>
      <c r="R319" s="177">
        <f t="shared" si="120"/>
        <v>0.99793389222531625</v>
      </c>
      <c r="S319" s="799">
        <f t="shared" si="138"/>
        <v>-2</v>
      </c>
      <c r="T319" s="176">
        <f t="shared" si="121"/>
        <v>4</v>
      </c>
      <c r="U319" s="250">
        <f t="shared" si="122"/>
        <v>-1.0020661077746837</v>
      </c>
      <c r="V319" s="382">
        <f t="shared" si="123"/>
        <v>33.309453690371818</v>
      </c>
      <c r="W319" s="58"/>
      <c r="X319" s="157">
        <f t="shared" si="124"/>
        <v>43770</v>
      </c>
      <c r="Y319" s="383">
        <f t="shared" si="125"/>
        <v>6.9980000000000002</v>
      </c>
      <c r="Z319" s="383">
        <f t="shared" si="126"/>
        <v>7.0368671645327616</v>
      </c>
      <c r="AA319" s="384">
        <f t="shared" si="127"/>
        <v>7.2079310570884703</v>
      </c>
      <c r="AB319" s="197">
        <f t="shared" si="128"/>
        <v>43770</v>
      </c>
      <c r="AC319" s="424">
        <f t="shared" si="129"/>
        <v>2.3732731514888767E-2</v>
      </c>
      <c r="AD319" s="169">
        <f>(INDEX(Models!$BJ319:$BT319,,AH319)*(1-AF319)+INDEX(Models!$BJ319:$BT319,,AH319+1)*AF319-ERP_i)*AE319*Ramure*Pc/MaxiM</f>
        <v>4.7396262348899554E-4</v>
      </c>
      <c r="AE319" s="304">
        <f t="shared" si="130"/>
        <v>0.6</v>
      </c>
      <c r="AF319" s="177">
        <f t="shared" si="131"/>
        <v>0.99793389222531625</v>
      </c>
      <c r="AG319" s="799">
        <f t="shared" si="132"/>
        <v>-2</v>
      </c>
      <c r="AH319" s="176">
        <f t="shared" si="133"/>
        <v>4</v>
      </c>
      <c r="AI319" s="224">
        <f t="shared" si="134"/>
        <v>-1.0020661077746837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5.452</v>
      </c>
      <c r="C320" s="388"/>
      <c r="D320" s="391">
        <f t="shared" si="114"/>
        <v>5.4823856889957483</v>
      </c>
      <c r="E320" s="383">
        <f t="shared" si="140"/>
        <v>5.6159764183767376</v>
      </c>
      <c r="F320" s="383">
        <f t="shared" si="139"/>
        <v>5.6159764183767376</v>
      </c>
      <c r="G320" s="110">
        <f t="shared" si="141"/>
        <v>0.16522467852950817</v>
      </c>
      <c r="I320" s="379">
        <f t="shared" si="115"/>
        <v>5.6159764183767376</v>
      </c>
      <c r="J320" s="85">
        <v>2018</v>
      </c>
      <c r="K320" s="197">
        <f t="shared" si="116"/>
        <v>43771</v>
      </c>
      <c r="L320" s="435">
        <f t="shared" si="117"/>
        <v>5.5424208947463249E-3</v>
      </c>
      <c r="M320" s="842"/>
      <c r="N320" s="842"/>
      <c r="O320" s="323">
        <f t="shared" si="118"/>
        <v>2.3787622922320444E-2</v>
      </c>
      <c r="P320" s="169">
        <f>(INDEX(Models!$BJ320:$BT320,,T320)*(1-R320)+INDEX(Models!$BJ320:$BT320,,T320+1)*R320-ERP_i)*Q320*Ramure*Pc/MaxiM</f>
        <v>4.8477945139278059E-4</v>
      </c>
      <c r="Q320" s="304">
        <f t="shared" si="119"/>
        <v>0.6</v>
      </c>
      <c r="R320" s="177">
        <f t="shared" si="120"/>
        <v>0.99798787611467032</v>
      </c>
      <c r="S320" s="799">
        <f t="shared" si="138"/>
        <v>-2</v>
      </c>
      <c r="T320" s="176">
        <f t="shared" si="121"/>
        <v>4</v>
      </c>
      <c r="U320" s="250">
        <f t="shared" si="122"/>
        <v>-1.0020121238853297</v>
      </c>
      <c r="V320" s="382">
        <f t="shared" si="123"/>
        <v>32.981495445656343</v>
      </c>
      <c r="W320" s="58"/>
      <c r="X320" s="157">
        <f t="shared" si="124"/>
        <v>43771</v>
      </c>
      <c r="Y320" s="383">
        <f t="shared" si="125"/>
        <v>5.452</v>
      </c>
      <c r="Z320" s="383">
        <f t="shared" si="126"/>
        <v>5.4823856889957483</v>
      </c>
      <c r="AA320" s="384">
        <f t="shared" si="127"/>
        <v>5.6159764183767376</v>
      </c>
      <c r="AB320" s="197">
        <f t="shared" si="128"/>
        <v>43771</v>
      </c>
      <c r="AC320" s="424">
        <f t="shared" si="129"/>
        <v>2.3787622922320444E-2</v>
      </c>
      <c r="AD320" s="169">
        <f>(INDEX(Models!$BJ320:$BT320,,AH320)*(1-AF320)+INDEX(Models!$BJ320:$BT320,,AH320+1)*AF320-ERP_i)*AE320*Ramure*Pc/MaxiM</f>
        <v>4.8477945139278059E-4</v>
      </c>
      <c r="AE320" s="304">
        <f t="shared" si="130"/>
        <v>0.6</v>
      </c>
      <c r="AF320" s="177">
        <f t="shared" si="131"/>
        <v>0.99798787611467032</v>
      </c>
      <c r="AG320" s="799">
        <f t="shared" si="132"/>
        <v>-2</v>
      </c>
      <c r="AH320" s="176">
        <f t="shared" si="133"/>
        <v>4</v>
      </c>
      <c r="AI320" s="224">
        <f t="shared" si="134"/>
        <v>-1.0020121238853297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13.724</v>
      </c>
      <c r="C321" s="388"/>
      <c r="D321" s="391">
        <f t="shared" si="114"/>
        <v>13.800752601954111</v>
      </c>
      <c r="E321" s="383">
        <f t="shared" si="140"/>
        <v>14.137831906131376</v>
      </c>
      <c r="F321" s="383">
        <f t="shared" si="139"/>
        <v>14.139035876872754</v>
      </c>
      <c r="G321" s="110">
        <f t="shared" si="141"/>
        <v>0.42008883458076707</v>
      </c>
      <c r="I321" s="379">
        <f t="shared" si="115"/>
        <v>14.139035876872754</v>
      </c>
      <c r="J321" s="85">
        <v>2018</v>
      </c>
      <c r="K321" s="197">
        <f t="shared" si="116"/>
        <v>43772</v>
      </c>
      <c r="L321" s="435">
        <f t="shared" si="117"/>
        <v>5.5614794473776152E-3</v>
      </c>
      <c r="M321" s="842"/>
      <c r="N321" s="842"/>
      <c r="O321" s="323">
        <f t="shared" si="118"/>
        <v>2.3842361856847342E-2</v>
      </c>
      <c r="P321" s="169">
        <f>(INDEX(Models!$BJ321:$BT321,,T321)*(1-R321)+INDEX(Models!$BJ321:$BT321,,T321+1)*R321-ERP_i)*Q321*Ramure*Pc/MaxiM</f>
        <v>4.9564195069540132E-4</v>
      </c>
      <c r="Q321" s="304">
        <f t="shared" si="119"/>
        <v>0.6</v>
      </c>
      <c r="R321" s="177">
        <f t="shared" si="120"/>
        <v>0.9980396974300636</v>
      </c>
      <c r="S321" s="799">
        <f t="shared" si="138"/>
        <v>-2</v>
      </c>
      <c r="T321" s="176">
        <f t="shared" si="121"/>
        <v>4</v>
      </c>
      <c r="U321" s="250">
        <f t="shared" si="122"/>
        <v>-1.0019603025699364</v>
      </c>
      <c r="V321" s="382">
        <f t="shared" si="123"/>
        <v>32.655869021869592</v>
      </c>
      <c r="W321" s="58"/>
      <c r="X321" s="157">
        <f t="shared" si="124"/>
        <v>43772</v>
      </c>
      <c r="Y321" s="383">
        <f t="shared" si="125"/>
        <v>13.724</v>
      </c>
      <c r="Z321" s="383">
        <f t="shared" si="126"/>
        <v>13.800752601954111</v>
      </c>
      <c r="AA321" s="384">
        <f t="shared" si="127"/>
        <v>14.137831906131376</v>
      </c>
      <c r="AB321" s="197">
        <f t="shared" si="128"/>
        <v>43772</v>
      </c>
      <c r="AC321" s="424">
        <f t="shared" si="129"/>
        <v>2.3842361856847342E-2</v>
      </c>
      <c r="AD321" s="169">
        <f>(INDEX(Models!$BJ321:$BT321,,AH321)*(1-AF321)+INDEX(Models!$BJ321:$BT321,,AH321+1)*AF321-ERP_i)*AE321*Ramure*Pc/MaxiM</f>
        <v>4.9564195069540132E-4</v>
      </c>
      <c r="AE321" s="304">
        <f t="shared" si="130"/>
        <v>0.6</v>
      </c>
      <c r="AF321" s="177">
        <f t="shared" si="131"/>
        <v>0.9980396974300636</v>
      </c>
      <c r="AG321" s="799">
        <f t="shared" si="132"/>
        <v>-2</v>
      </c>
      <c r="AH321" s="176">
        <f t="shared" si="133"/>
        <v>4</v>
      </c>
      <c r="AI321" s="224">
        <f t="shared" si="134"/>
        <v>-1.0019603025699364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12.086</v>
      </c>
      <c r="C322" s="388"/>
      <c r="D322" s="391">
        <f t="shared" si="114"/>
        <v>12.153824877133077</v>
      </c>
      <c r="E322" s="383">
        <f t="shared" si="140"/>
        <v>12.451375056228759</v>
      </c>
      <c r="F322" s="383">
        <f t="shared" si="139"/>
        <v>12.452040044547871</v>
      </c>
      <c r="G322" s="110">
        <f t="shared" si="141"/>
        <v>0.37362951780802217</v>
      </c>
      <c r="I322" s="379">
        <f t="shared" si="115"/>
        <v>12.452040044547871</v>
      </c>
      <c r="J322" s="85">
        <v>2018</v>
      </c>
      <c r="K322" s="197">
        <f t="shared" si="116"/>
        <v>43773</v>
      </c>
      <c r="L322" s="435">
        <f t="shared" si="117"/>
        <v>5.5805376347561886E-3</v>
      </c>
      <c r="M322" s="842"/>
      <c r="N322" s="842"/>
      <c r="O322" s="323">
        <f t="shared" si="118"/>
        <v>2.3896973446867042E-2</v>
      </c>
      <c r="P322" s="169">
        <f>(INDEX(Models!$BJ322:$BT322,,T322)*(1-R322)+INDEX(Models!$BJ322:$BT322,,T322+1)*R322-ERP_i)*Q322*Ramure*Pc/MaxiM</f>
        <v>5.065491474541611E-4</v>
      </c>
      <c r="Q322" s="304">
        <f t="shared" si="119"/>
        <v>0.6</v>
      </c>
      <c r="R322" s="177">
        <f t="shared" si="120"/>
        <v>0.998089442380236</v>
      </c>
      <c r="S322" s="799">
        <f t="shared" si="138"/>
        <v>-2</v>
      </c>
      <c r="T322" s="176">
        <f t="shared" si="121"/>
        <v>4</v>
      </c>
      <c r="U322" s="250">
        <f t="shared" si="122"/>
        <v>-1.001910557619764</v>
      </c>
      <c r="V322" s="382">
        <f t="shared" si="123"/>
        <v>32.332892394884098</v>
      </c>
      <c r="W322" s="58"/>
      <c r="X322" s="157">
        <f t="shared" si="124"/>
        <v>43773</v>
      </c>
      <c r="Y322" s="383">
        <f t="shared" si="125"/>
        <v>12.086</v>
      </c>
      <c r="Z322" s="383">
        <f t="shared" si="126"/>
        <v>12.153824877133077</v>
      </c>
      <c r="AA322" s="384">
        <f t="shared" si="127"/>
        <v>12.451375056228759</v>
      </c>
      <c r="AB322" s="197">
        <f t="shared" si="128"/>
        <v>43773</v>
      </c>
      <c r="AC322" s="424">
        <f t="shared" si="129"/>
        <v>2.3896973446867042E-2</v>
      </c>
      <c r="AD322" s="169">
        <f>(INDEX(Models!$BJ322:$BT322,,AH322)*(1-AF322)+INDEX(Models!$BJ322:$BT322,,AH322+1)*AF322-ERP_i)*AE322*Ramure*Pc/MaxiM</f>
        <v>5.065491474541611E-4</v>
      </c>
      <c r="AE322" s="304">
        <f t="shared" si="130"/>
        <v>0.6</v>
      </c>
      <c r="AF322" s="177">
        <f t="shared" si="131"/>
        <v>0.998089442380236</v>
      </c>
      <c r="AG322" s="799">
        <f t="shared" si="132"/>
        <v>-2</v>
      </c>
      <c r="AH322" s="176">
        <f t="shared" si="133"/>
        <v>4</v>
      </c>
      <c r="AI322" s="224">
        <f t="shared" si="134"/>
        <v>-1.001910557619764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12.923999999999999</v>
      </c>
      <c r="C323" s="388"/>
      <c r="D323" s="391">
        <f t="shared" si="114"/>
        <v>12.996776691717137</v>
      </c>
      <c r="E323" s="383">
        <f t="shared" si="140"/>
        <v>13.315707639440493</v>
      </c>
      <c r="F323" s="383">
        <f t="shared" si="139"/>
        <v>13.316728675360942</v>
      </c>
      <c r="G323" s="110">
        <f t="shared" si="141"/>
        <v>0.40353448120965657</v>
      </c>
      <c r="I323" s="379">
        <f t="shared" si="115"/>
        <v>13.316728675360942</v>
      </c>
      <c r="J323" s="85">
        <v>2018</v>
      </c>
      <c r="K323" s="197">
        <f t="shared" si="116"/>
        <v>43774</v>
      </c>
      <c r="L323" s="435">
        <f t="shared" si="117"/>
        <v>5.5995954568888173E-3</v>
      </c>
      <c r="M323" s="842"/>
      <c r="N323" s="842"/>
      <c r="O323" s="323">
        <f t="shared" si="118"/>
        <v>2.3951483192579105E-2</v>
      </c>
      <c r="P323" s="169">
        <f>(INDEX(Models!$BJ323:$BT323,,T323)*(1-R323)+INDEX(Models!$BJ323:$BT323,,T323+1)*R323-ERP_i)*Q323*Ramure*Pc/MaxiM</f>
        <v>5.1750025108197612E-4</v>
      </c>
      <c r="Q323" s="304">
        <f t="shared" si="119"/>
        <v>0.6</v>
      </c>
      <c r="R323" s="177">
        <f t="shared" si="120"/>
        <v>0.99813719377062537</v>
      </c>
      <c r="S323" s="799">
        <f t="shared" si="138"/>
        <v>-2</v>
      </c>
      <c r="T323" s="176">
        <f t="shared" si="121"/>
        <v>4</v>
      </c>
      <c r="U323" s="250">
        <f t="shared" si="122"/>
        <v>-1.0018628062293746</v>
      </c>
      <c r="V323" s="382">
        <f t="shared" si="123"/>
        <v>32.012883447618108</v>
      </c>
      <c r="W323" s="58"/>
      <c r="X323" s="157">
        <f t="shared" si="124"/>
        <v>43774</v>
      </c>
      <c r="Y323" s="383">
        <f t="shared" si="125"/>
        <v>12.923999999999999</v>
      </c>
      <c r="Z323" s="383">
        <f t="shared" si="126"/>
        <v>12.996776691717137</v>
      </c>
      <c r="AA323" s="384">
        <f t="shared" si="127"/>
        <v>13.315707639440493</v>
      </c>
      <c r="AB323" s="197">
        <f t="shared" si="128"/>
        <v>43774</v>
      </c>
      <c r="AC323" s="424">
        <f t="shared" si="129"/>
        <v>2.3951483192579105E-2</v>
      </c>
      <c r="AD323" s="169">
        <f>(INDEX(Models!$BJ323:$BT323,,AH323)*(1-AF323)+INDEX(Models!$BJ323:$BT323,,AH323+1)*AF323-ERP_i)*AE323*Ramure*Pc/MaxiM</f>
        <v>5.1750025108197612E-4</v>
      </c>
      <c r="AE323" s="304">
        <f t="shared" si="130"/>
        <v>0.6</v>
      </c>
      <c r="AF323" s="177">
        <f t="shared" si="131"/>
        <v>0.99813719377062537</v>
      </c>
      <c r="AG323" s="799">
        <f t="shared" si="132"/>
        <v>-2</v>
      </c>
      <c r="AH323" s="176">
        <f t="shared" si="133"/>
        <v>4</v>
      </c>
      <c r="AI323" s="224">
        <f t="shared" si="134"/>
        <v>-1.0018628062293746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13.179</v>
      </c>
      <c r="C324" s="388"/>
      <c r="D324" s="391">
        <f t="shared" si="114"/>
        <v>13.253466628892147</v>
      </c>
      <c r="E324" s="383">
        <f t="shared" si="140"/>
        <v>13.579453869390052</v>
      </c>
      <c r="F324" s="383">
        <f t="shared" si="139"/>
        <v>13.580641954059386</v>
      </c>
      <c r="G324" s="110">
        <f t="shared" si="141"/>
        <v>0.41560830777777913</v>
      </c>
      <c r="I324" s="379">
        <f t="shared" si="115"/>
        <v>13.580641954059386</v>
      </c>
      <c r="J324" s="85">
        <v>2018</v>
      </c>
      <c r="K324" s="197">
        <f t="shared" si="116"/>
        <v>43775</v>
      </c>
      <c r="L324" s="435">
        <f t="shared" si="117"/>
        <v>5.6186529137827179E-3</v>
      </c>
      <c r="M324" s="842"/>
      <c r="N324" s="842"/>
      <c r="O324" s="323">
        <f t="shared" si="118"/>
        <v>2.4005916853013096E-2</v>
      </c>
      <c r="P324" s="169">
        <f>(INDEX(Models!$BJ324:$BT324,,T324)*(1-R324)+INDEX(Models!$BJ324:$BT324,,T324+1)*R324-ERP_i)*Q324*Ramure*Pc/MaxiM</f>
        <v>5.2886782716943693E-4</v>
      </c>
      <c r="Q324" s="304">
        <f t="shared" si="119"/>
        <v>0.6</v>
      </c>
      <c r="R324" s="177">
        <f t="shared" si="120"/>
        <v>0.99818303113509455</v>
      </c>
      <c r="S324" s="799">
        <f t="shared" si="138"/>
        <v>-2</v>
      </c>
      <c r="T324" s="176">
        <f t="shared" si="121"/>
        <v>4</v>
      </c>
      <c r="U324" s="250">
        <f t="shared" si="122"/>
        <v>-1.0018169688649055</v>
      </c>
      <c r="V324" s="382">
        <f t="shared" si="123"/>
        <v>31.696148135135861</v>
      </c>
      <c r="W324" s="58"/>
      <c r="X324" s="157">
        <f t="shared" si="124"/>
        <v>43775</v>
      </c>
      <c r="Y324" s="383">
        <f t="shared" si="125"/>
        <v>13.179</v>
      </c>
      <c r="Z324" s="383">
        <f t="shared" si="126"/>
        <v>13.253466628892147</v>
      </c>
      <c r="AA324" s="384">
        <f t="shared" si="127"/>
        <v>13.579453869390052</v>
      </c>
      <c r="AB324" s="197">
        <f t="shared" si="128"/>
        <v>43775</v>
      </c>
      <c r="AC324" s="424">
        <f t="shared" si="129"/>
        <v>2.4005916853013096E-2</v>
      </c>
      <c r="AD324" s="169">
        <f>(INDEX(Models!$BJ324:$BT324,,AH324)*(1-AF324)+INDEX(Models!$BJ324:$BT324,,AH324+1)*AF324-ERP_i)*AE324*Ramure*Pc/MaxiM</f>
        <v>5.2886782716943693E-4</v>
      </c>
      <c r="AE324" s="304">
        <f t="shared" si="130"/>
        <v>0.6</v>
      </c>
      <c r="AF324" s="177">
        <f t="shared" si="131"/>
        <v>0.99818303113509455</v>
      </c>
      <c r="AG324" s="799">
        <f t="shared" si="132"/>
        <v>-2</v>
      </c>
      <c r="AH324" s="176">
        <f t="shared" si="133"/>
        <v>4</v>
      </c>
      <c r="AI324" s="224">
        <f t="shared" si="134"/>
        <v>-1.0018169688649055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4.194</v>
      </c>
      <c r="C325" s="388"/>
      <c r="D325" s="391">
        <f t="shared" si="114"/>
        <v>4.2177786126854881</v>
      </c>
      <c r="E325" s="383">
        <f t="shared" si="140"/>
        <v>4.3217614921417251</v>
      </c>
      <c r="F325" s="383">
        <f t="shared" ref="F325:F356" si="142">Wh_sa/(1-Pvg*MEDIAN((-Sdif+Wh/Env_an)/Csdif,0,1))</f>
        <v>4.3217614921417251</v>
      </c>
      <c r="G325" s="110">
        <f t="shared" si="141"/>
        <v>0.13356695998118967</v>
      </c>
      <c r="I325" s="379">
        <f t="shared" si="115"/>
        <v>4.3217614921417251</v>
      </c>
      <c r="J325" s="85">
        <v>2018</v>
      </c>
      <c r="K325" s="197">
        <f t="shared" si="116"/>
        <v>43776</v>
      </c>
      <c r="L325" s="435">
        <f t="shared" si="117"/>
        <v>5.6377100054447737E-3</v>
      </c>
      <c r="M325" s="842"/>
      <c r="N325" s="842"/>
      <c r="O325" s="323">
        <f t="shared" si="118"/>
        <v>2.4060300330156971E-2</v>
      </c>
      <c r="P325" s="169">
        <f>(INDEX(Models!$BJ325:$BT325,,T325)*(1-R325)+INDEX(Models!$BJ325:$BT325,,T325+1)*R325-ERP_i)*Q325*Ramure*Pc/MaxiM</f>
        <v>5.4066698613347986E-4</v>
      </c>
      <c r="Q325" s="304">
        <f t="shared" si="119"/>
        <v>0.6</v>
      </c>
      <c r="R325" s="177">
        <f t="shared" si="120"/>
        <v>0.99822703086276565</v>
      </c>
      <c r="S325" s="799">
        <f t="shared" si="138"/>
        <v>-2</v>
      </c>
      <c r="T325" s="176">
        <f t="shared" si="121"/>
        <v>4</v>
      </c>
      <c r="U325" s="250">
        <f t="shared" si="122"/>
        <v>-1.0017729691372343</v>
      </c>
      <c r="V325" s="382">
        <f t="shared" si="123"/>
        <v>31.383004024726475</v>
      </c>
      <c r="W325" s="58"/>
      <c r="X325" s="157">
        <f t="shared" si="124"/>
        <v>43776</v>
      </c>
      <c r="Y325" s="383">
        <f t="shared" si="125"/>
        <v>4.194</v>
      </c>
      <c r="Z325" s="383">
        <f t="shared" si="126"/>
        <v>4.2177786126854881</v>
      </c>
      <c r="AA325" s="384">
        <f t="shared" si="127"/>
        <v>4.3217614921417251</v>
      </c>
      <c r="AB325" s="197">
        <f t="shared" si="128"/>
        <v>43776</v>
      </c>
      <c r="AC325" s="424">
        <f t="shared" si="129"/>
        <v>2.4060300330156971E-2</v>
      </c>
      <c r="AD325" s="169">
        <f>(INDEX(Models!$BJ325:$BT325,,AH325)*(1-AF325)+INDEX(Models!$BJ325:$BT325,,AH325+1)*AF325-ERP_i)*AE325*Ramure*Pc/MaxiM</f>
        <v>5.4066698613347986E-4</v>
      </c>
      <c r="AE325" s="304">
        <f t="shared" si="130"/>
        <v>0.6</v>
      </c>
      <c r="AF325" s="177">
        <f t="shared" si="131"/>
        <v>0.99822703086276565</v>
      </c>
      <c r="AG325" s="799">
        <f t="shared" si="132"/>
        <v>-2</v>
      </c>
      <c r="AH325" s="176">
        <f t="shared" si="133"/>
        <v>4</v>
      </c>
      <c r="AI325" s="224">
        <f t="shared" si="134"/>
        <v>-1.0017729691372343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13.144</v>
      </c>
      <c r="C326" s="388"/>
      <c r="D326" s="391">
        <f t="shared" si="114"/>
        <v>13.218775529652353</v>
      </c>
      <c r="E326" s="383">
        <f t="shared" si="140"/>
        <v>13.545418689833079</v>
      </c>
      <c r="F326" s="383">
        <f t="shared" si="142"/>
        <v>13.546734711418843</v>
      </c>
      <c r="G326" s="110">
        <f t="shared" si="141"/>
        <v>0.4228006261834068</v>
      </c>
      <c r="I326" s="379">
        <f t="shared" si="115"/>
        <v>13.546734711418843</v>
      </c>
      <c r="J326" s="85">
        <v>2018</v>
      </c>
      <c r="K326" s="197">
        <f t="shared" si="116"/>
        <v>43777</v>
      </c>
      <c r="L326" s="435">
        <f t="shared" si="117"/>
        <v>5.6567667318819792E-3</v>
      </c>
      <c r="M326" s="842"/>
      <c r="N326" s="842"/>
      <c r="O326" s="323">
        <f t="shared" si="118"/>
        <v>2.4114659550974138E-2</v>
      </c>
      <c r="P326" s="169">
        <f>(INDEX(Models!$BJ326:$BT326,,T326)*(1-R326)+INDEX(Models!$BJ326:$BT326,,T326+1)*R326-ERP_i)*Q326*Ramure*Pc/MaxiM</f>
        <v>5.5289738172626995E-4</v>
      </c>
      <c r="Q326" s="304">
        <f t="shared" si="119"/>
        <v>0.6</v>
      </c>
      <c r="R326" s="177">
        <f t="shared" si="120"/>
        <v>0.9982692663201318</v>
      </c>
      <c r="S326" s="799">
        <f t="shared" si="138"/>
        <v>-2</v>
      </c>
      <c r="T326" s="176">
        <f t="shared" si="121"/>
        <v>4</v>
      </c>
      <c r="U326" s="250">
        <f t="shared" si="122"/>
        <v>-1.0017307336798682</v>
      </c>
      <c r="V326" s="382">
        <f t="shared" si="123"/>
        <v>31.073769096831221</v>
      </c>
      <c r="W326" s="58"/>
      <c r="X326" s="157">
        <f t="shared" si="124"/>
        <v>43777</v>
      </c>
      <c r="Y326" s="383">
        <f t="shared" si="125"/>
        <v>13.144</v>
      </c>
      <c r="Z326" s="383">
        <f t="shared" si="126"/>
        <v>13.218775529652353</v>
      </c>
      <c r="AA326" s="384">
        <f t="shared" si="127"/>
        <v>13.545418689833079</v>
      </c>
      <c r="AB326" s="197">
        <f t="shared" si="128"/>
        <v>43777</v>
      </c>
      <c r="AC326" s="424">
        <f t="shared" si="129"/>
        <v>2.4114659550974138E-2</v>
      </c>
      <c r="AD326" s="169">
        <f>(INDEX(Models!$BJ326:$BT326,,AH326)*(1-AF326)+INDEX(Models!$BJ326:$BT326,,AH326+1)*AF326-ERP_i)*AE326*Ramure*Pc/MaxiM</f>
        <v>5.5289738172626995E-4</v>
      </c>
      <c r="AE326" s="304">
        <f t="shared" si="130"/>
        <v>0.6</v>
      </c>
      <c r="AF326" s="177">
        <f t="shared" si="131"/>
        <v>0.9982692663201318</v>
      </c>
      <c r="AG326" s="799">
        <f t="shared" si="132"/>
        <v>-2</v>
      </c>
      <c r="AH326" s="176">
        <f t="shared" si="133"/>
        <v>4</v>
      </c>
      <c r="AI326" s="224">
        <f t="shared" si="134"/>
        <v>-1.0017307336798682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19.541</v>
      </c>
      <c r="C327" s="388"/>
      <c r="D327" s="391">
        <f t="shared" si="114"/>
        <v>19.652544365145896</v>
      </c>
      <c r="E327" s="383">
        <f t="shared" si="140"/>
        <v>20.139291306530183</v>
      </c>
      <c r="F327" s="383">
        <f t="shared" si="142"/>
        <v>20.144745187811864</v>
      </c>
      <c r="G327" s="110">
        <f t="shared" si="141"/>
        <v>0.63490490007191436</v>
      </c>
      <c r="I327" s="379">
        <f t="shared" si="115"/>
        <v>20.144745187811864</v>
      </c>
      <c r="J327" s="85">
        <v>2018</v>
      </c>
      <c r="K327" s="197">
        <f t="shared" si="116"/>
        <v>43778</v>
      </c>
      <c r="L327" s="435">
        <f t="shared" si="117"/>
        <v>5.6758230931014397E-3</v>
      </c>
      <c r="M327" s="842"/>
      <c r="N327" s="842"/>
      <c r="O327" s="323">
        <f t="shared" si="118"/>
        <v>2.4169020348122114E-2</v>
      </c>
      <c r="P327" s="169">
        <f>(INDEX(Models!$BJ327:$BT327,,T327)*(1-R327)+INDEX(Models!$BJ327:$BT327,,T327+1)*R327-ERP_i)*Q327*Ramure*Pc/MaxiM</f>
        <v>5.6555863087272718E-4</v>
      </c>
      <c r="Q327" s="304">
        <f t="shared" si="119"/>
        <v>0.6</v>
      </c>
      <c r="R327" s="177">
        <f t="shared" si="120"/>
        <v>0.99830980796860125</v>
      </c>
      <c r="S327" s="799">
        <f t="shared" si="138"/>
        <v>-2</v>
      </c>
      <c r="T327" s="176">
        <f t="shared" si="121"/>
        <v>4</v>
      </c>
      <c r="U327" s="250">
        <f t="shared" si="122"/>
        <v>-1.0016901920313988</v>
      </c>
      <c r="V327" s="382">
        <f t="shared" si="123"/>
        <v>30.768761247443315</v>
      </c>
      <c r="W327" s="58"/>
      <c r="X327" s="157">
        <f t="shared" si="124"/>
        <v>43778</v>
      </c>
      <c r="Y327" s="383">
        <f t="shared" si="125"/>
        <v>19.541</v>
      </c>
      <c r="Z327" s="383">
        <f t="shared" si="126"/>
        <v>19.652544365145896</v>
      </c>
      <c r="AA327" s="384">
        <f t="shared" si="127"/>
        <v>20.139291306530183</v>
      </c>
      <c r="AB327" s="197">
        <f t="shared" si="128"/>
        <v>43778</v>
      </c>
      <c r="AC327" s="424">
        <f t="shared" si="129"/>
        <v>2.4169020348122114E-2</v>
      </c>
      <c r="AD327" s="169">
        <f>(INDEX(Models!$BJ327:$BT327,,AH327)*(1-AF327)+INDEX(Models!$BJ327:$BT327,,AH327+1)*AF327-ERP_i)*AE327*Ramure*Pc/MaxiM</f>
        <v>5.6555863087272718E-4</v>
      </c>
      <c r="AE327" s="304">
        <f t="shared" si="130"/>
        <v>0.6</v>
      </c>
      <c r="AF327" s="177">
        <f t="shared" si="131"/>
        <v>0.99830980796860125</v>
      </c>
      <c r="AG327" s="799">
        <f t="shared" si="132"/>
        <v>-2</v>
      </c>
      <c r="AH327" s="176">
        <f t="shared" si="133"/>
        <v>4</v>
      </c>
      <c r="AI327" s="224">
        <f t="shared" si="134"/>
        <v>-1.0016901920313988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18.576000000000001</v>
      </c>
      <c r="C328" s="388"/>
      <c r="D328" s="391">
        <f t="shared" si="114"/>
        <v>18.682393974781498</v>
      </c>
      <c r="E328" s="383">
        <f t="shared" si="140"/>
        <v>19.146179703904117</v>
      </c>
      <c r="F328" s="383">
        <f t="shared" si="142"/>
        <v>19.151082328690954</v>
      </c>
      <c r="G328" s="110">
        <f t="shared" si="141"/>
        <v>0.60948611849269485</v>
      </c>
      <c r="I328" s="379">
        <f t="shared" si="115"/>
        <v>19.151082328690954</v>
      </c>
      <c r="J328" s="85">
        <v>2018</v>
      </c>
      <c r="K328" s="197">
        <f t="shared" si="116"/>
        <v>43779</v>
      </c>
      <c r="L328" s="435">
        <f t="shared" si="117"/>
        <v>5.6948790891100387E-3</v>
      </c>
      <c r="M328" s="842"/>
      <c r="N328" s="842"/>
      <c r="O328" s="323">
        <f t="shared" si="118"/>
        <v>2.4223408340205362E-2</v>
      </c>
      <c r="P328" s="169">
        <f>(INDEX(Models!$BJ328:$BT328,,T328)*(1-R328)+INDEX(Models!$BJ328:$BT328,,T328+1)*R328-ERP_i)*Q328*Ramure*Pc/MaxiM</f>
        <v>5.7865028226101697E-4</v>
      </c>
      <c r="Q328" s="304">
        <f t="shared" si="119"/>
        <v>0.6</v>
      </c>
      <c r="R328" s="177">
        <f t="shared" si="120"/>
        <v>0.99834872347763648</v>
      </c>
      <c r="S328" s="799">
        <f t="shared" si="138"/>
        <v>-2</v>
      </c>
      <c r="T328" s="176">
        <f t="shared" si="121"/>
        <v>4</v>
      </c>
      <c r="U328" s="250">
        <f t="shared" si="122"/>
        <v>-1.0016512765223635</v>
      </c>
      <c r="V328" s="382">
        <f t="shared" si="123"/>
        <v>30.468298291721368</v>
      </c>
      <c r="W328" s="58"/>
      <c r="X328" s="157">
        <f t="shared" si="124"/>
        <v>43779</v>
      </c>
      <c r="Y328" s="383">
        <f t="shared" si="125"/>
        <v>18.576000000000001</v>
      </c>
      <c r="Z328" s="383">
        <f t="shared" si="126"/>
        <v>18.682393974781498</v>
      </c>
      <c r="AA328" s="384">
        <f t="shared" si="127"/>
        <v>19.146179703904117</v>
      </c>
      <c r="AB328" s="197">
        <f t="shared" si="128"/>
        <v>43779</v>
      </c>
      <c r="AC328" s="424">
        <f t="shared" si="129"/>
        <v>2.4223408340205362E-2</v>
      </c>
      <c r="AD328" s="169">
        <f>(INDEX(Models!$BJ328:$BT328,,AH328)*(1-AF328)+INDEX(Models!$BJ328:$BT328,,AH328+1)*AF328-ERP_i)*AE328*Ramure*Pc/MaxiM</f>
        <v>5.7865028226101697E-4</v>
      </c>
      <c r="AE328" s="304">
        <f t="shared" si="130"/>
        <v>0.6</v>
      </c>
      <c r="AF328" s="177">
        <f t="shared" si="131"/>
        <v>0.99834872347763648</v>
      </c>
      <c r="AG328" s="799">
        <f t="shared" si="132"/>
        <v>-2</v>
      </c>
      <c r="AH328" s="176">
        <f t="shared" si="133"/>
        <v>4</v>
      </c>
      <c r="AI328" s="224">
        <f t="shared" si="134"/>
        <v>-1.0016512765223635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23.495999999999999</v>
      </c>
      <c r="C329" s="388"/>
      <c r="D329" s="391">
        <f t="shared" si="114"/>
        <v>23.631026140732747</v>
      </c>
      <c r="E329" s="383">
        <f t="shared" si="140"/>
        <v>24.21901164380699</v>
      </c>
      <c r="F329" s="383">
        <f t="shared" si="142"/>
        <v>24.228823723355269</v>
      </c>
      <c r="G329" s="110">
        <f t="shared" si="141"/>
        <v>0.77857140526509849</v>
      </c>
      <c r="I329" s="379">
        <f t="shared" si="115"/>
        <v>24.228823723355269</v>
      </c>
      <c r="J329" s="85">
        <v>2018</v>
      </c>
      <c r="K329" s="197">
        <f t="shared" si="116"/>
        <v>43780</v>
      </c>
      <c r="L329" s="435">
        <f t="shared" si="117"/>
        <v>5.7139347199148816E-3</v>
      </c>
      <c r="M329" s="842"/>
      <c r="N329" s="842"/>
      <c r="O329" s="323">
        <f t="shared" si="118"/>
        <v>2.4277848812405873E-2</v>
      </c>
      <c r="P329" s="169">
        <f>(INDEX(Models!$BJ329:$BT329,,T329)*(1-R329)+INDEX(Models!$BJ329:$BT329,,T329+1)*R329-ERP_i)*Q329*Ramure*Pc/MaxiM</f>
        <v>5.9217177658685229E-4</v>
      </c>
      <c r="Q329" s="304">
        <f t="shared" si="119"/>
        <v>0.6</v>
      </c>
      <c r="R329" s="177">
        <f t="shared" si="120"/>
        <v>0.99838607783363353</v>
      </c>
      <c r="S329" s="799">
        <f t="shared" si="138"/>
        <v>-2</v>
      </c>
      <c r="T329" s="176">
        <f t="shared" si="121"/>
        <v>4</v>
      </c>
      <c r="U329" s="250">
        <f t="shared" si="122"/>
        <v>-1.0016139221663665</v>
      </c>
      <c r="V329" s="382">
        <f t="shared" si="123"/>
        <v>30.172697963259395</v>
      </c>
      <c r="W329" s="58"/>
      <c r="X329" s="157">
        <f t="shared" si="124"/>
        <v>43780</v>
      </c>
      <c r="Y329" s="383">
        <f t="shared" si="125"/>
        <v>23.495999999999999</v>
      </c>
      <c r="Z329" s="383">
        <f t="shared" si="126"/>
        <v>23.631026140732747</v>
      </c>
      <c r="AA329" s="384">
        <f t="shared" si="127"/>
        <v>24.21901164380699</v>
      </c>
      <c r="AB329" s="197">
        <f t="shared" si="128"/>
        <v>43780</v>
      </c>
      <c r="AC329" s="424">
        <f t="shared" si="129"/>
        <v>2.4277848812405873E-2</v>
      </c>
      <c r="AD329" s="169">
        <f>(INDEX(Models!$BJ329:$BT329,,AH329)*(1-AF329)+INDEX(Models!$BJ329:$BT329,,AH329+1)*AF329-ERP_i)*AE329*Ramure*Pc/MaxiM</f>
        <v>5.9217177658685229E-4</v>
      </c>
      <c r="AE329" s="304">
        <f t="shared" si="130"/>
        <v>0.6</v>
      </c>
      <c r="AF329" s="177">
        <f t="shared" si="131"/>
        <v>0.99838607783363353</v>
      </c>
      <c r="AG329" s="799">
        <f t="shared" si="132"/>
        <v>-2</v>
      </c>
      <c r="AH329" s="176">
        <f t="shared" si="133"/>
        <v>4</v>
      </c>
      <c r="AI329" s="224">
        <f t="shared" si="134"/>
        <v>-1.0016139221663665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18.504000000000001</v>
      </c>
      <c r="C330" s="388"/>
      <c r="D330" s="391">
        <f t="shared" si="114"/>
        <v>18.610694927643806</v>
      </c>
      <c r="E330" s="383">
        <f t="shared" si="140"/>
        <v>19.074830701063345</v>
      </c>
      <c r="F330" s="383">
        <f t="shared" si="142"/>
        <v>19.080104779824872</v>
      </c>
      <c r="G330" s="110">
        <f t="shared" si="141"/>
        <v>0.61902568164730987</v>
      </c>
      <c r="I330" s="379">
        <f t="shared" si="115"/>
        <v>19.080104779824872</v>
      </c>
      <c r="J330" s="85">
        <v>2018</v>
      </c>
      <c r="K330" s="197">
        <f t="shared" si="116"/>
        <v>43781</v>
      </c>
      <c r="L330" s="435">
        <f t="shared" si="117"/>
        <v>5.7329899855228517E-3</v>
      </c>
      <c r="M330" s="842"/>
      <c r="N330" s="842"/>
      <c r="O330" s="323">
        <f t="shared" si="118"/>
        <v>2.433236659833973E-2</v>
      </c>
      <c r="P330" s="169">
        <f>(INDEX(Models!$BJ330:$BT330,,T330)*(1-R330)+INDEX(Models!$BJ330:$BT330,,T330+1)*R330-ERP_i)*Q330*Ramure*Pc/MaxiM</f>
        <v>6.0612239755741609E-4</v>
      </c>
      <c r="Q330" s="304">
        <f t="shared" si="119"/>
        <v>0.6</v>
      </c>
      <c r="R330" s="177">
        <f t="shared" si="120"/>
        <v>0.99842193344469665</v>
      </c>
      <c r="S330" s="799">
        <f t="shared" si="138"/>
        <v>-2</v>
      </c>
      <c r="T330" s="176">
        <f t="shared" si="121"/>
        <v>4</v>
      </c>
      <c r="U330" s="250">
        <f t="shared" si="122"/>
        <v>-1.0015780665553033</v>
      </c>
      <c r="V330" s="382">
        <f t="shared" si="123"/>
        <v>29.882277918228336</v>
      </c>
      <c r="W330" s="58"/>
      <c r="X330" s="157">
        <f t="shared" si="124"/>
        <v>43781</v>
      </c>
      <c r="Y330" s="383">
        <f t="shared" si="125"/>
        <v>18.504000000000001</v>
      </c>
      <c r="Z330" s="383">
        <f t="shared" si="126"/>
        <v>18.610694927643806</v>
      </c>
      <c r="AA330" s="384">
        <f t="shared" si="127"/>
        <v>19.074830701063345</v>
      </c>
      <c r="AB330" s="197">
        <f t="shared" si="128"/>
        <v>43781</v>
      </c>
      <c r="AC330" s="424">
        <f t="shared" si="129"/>
        <v>2.433236659833973E-2</v>
      </c>
      <c r="AD330" s="169">
        <f>(INDEX(Models!$BJ330:$BT330,,AH330)*(1-AF330)+INDEX(Models!$BJ330:$BT330,,AH330+1)*AF330-ERP_i)*AE330*Ramure*Pc/MaxiM</f>
        <v>6.0612239755741609E-4</v>
      </c>
      <c r="AE330" s="304">
        <f t="shared" si="130"/>
        <v>0.6</v>
      </c>
      <c r="AF330" s="177">
        <f t="shared" si="131"/>
        <v>0.99842193344469665</v>
      </c>
      <c r="AG330" s="799">
        <f t="shared" si="132"/>
        <v>-2</v>
      </c>
      <c r="AH330" s="176">
        <f t="shared" si="133"/>
        <v>4</v>
      </c>
      <c r="AI330" s="224">
        <f t="shared" si="134"/>
        <v>-1.0015780665553033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18.808</v>
      </c>
      <c r="C331" s="388"/>
      <c r="D331" s="391">
        <f t="shared" si="114"/>
        <v>18.916810342187095</v>
      </c>
      <c r="E331" s="383">
        <f t="shared" si="140"/>
        <v>19.389665851145342</v>
      </c>
      <c r="F331" s="383">
        <f t="shared" si="142"/>
        <v>19.395434452759567</v>
      </c>
      <c r="G331" s="110">
        <f t="shared" si="141"/>
        <v>0.63529868023134728</v>
      </c>
      <c r="I331" s="379">
        <f t="shared" si="115"/>
        <v>19.395434452759567</v>
      </c>
      <c r="J331" s="85">
        <v>2018</v>
      </c>
      <c r="K331" s="197">
        <f t="shared" si="116"/>
        <v>43782</v>
      </c>
      <c r="L331" s="435">
        <f t="shared" si="117"/>
        <v>5.7520448859410545E-3</v>
      </c>
      <c r="M331" s="842"/>
      <c r="N331" s="842"/>
      <c r="O331" s="323">
        <f t="shared" si="118"/>
        <v>2.4386985963985312E-2</v>
      </c>
      <c r="P331" s="169">
        <f>(INDEX(Models!$BJ331:$BT331,,T331)*(1-R331)+INDEX(Models!$BJ331:$BT331,,T331+1)*R331-ERP_i)*Q331*Ramure*Pc/MaxiM</f>
        <v>6.205421140250641E-4</v>
      </c>
      <c r="Q331" s="304">
        <f t="shared" si="119"/>
        <v>0.6</v>
      </c>
      <c r="R331" s="177">
        <f t="shared" si="120"/>
        <v>0.99845635024144741</v>
      </c>
      <c r="S331" s="799">
        <f t="shared" si="138"/>
        <v>-2</v>
      </c>
      <c r="T331" s="176">
        <f t="shared" si="121"/>
        <v>4</v>
      </c>
      <c r="U331" s="250">
        <f t="shared" si="122"/>
        <v>-1.0015436497585526</v>
      </c>
      <c r="V331" s="382">
        <f t="shared" si="123"/>
        <v>29.595403717100016</v>
      </c>
      <c r="W331" s="58"/>
      <c r="X331" s="157">
        <f t="shared" si="124"/>
        <v>43782</v>
      </c>
      <c r="Y331" s="383">
        <f t="shared" si="125"/>
        <v>18.808</v>
      </c>
      <c r="Z331" s="383">
        <f t="shared" si="126"/>
        <v>18.916810342187095</v>
      </c>
      <c r="AA331" s="384">
        <f t="shared" si="127"/>
        <v>19.389665851145342</v>
      </c>
      <c r="AB331" s="197">
        <f t="shared" si="128"/>
        <v>43782</v>
      </c>
      <c r="AC331" s="424">
        <f t="shared" si="129"/>
        <v>2.4386985963985312E-2</v>
      </c>
      <c r="AD331" s="169">
        <f>(INDEX(Models!$BJ331:$BT331,,AH331)*(1-AF331)+INDEX(Models!$BJ331:$BT331,,AH331+1)*AF331-ERP_i)*AE331*Ramure*Pc/MaxiM</f>
        <v>6.205421140250641E-4</v>
      </c>
      <c r="AE331" s="304">
        <f t="shared" si="130"/>
        <v>0.6</v>
      </c>
      <c r="AF331" s="177">
        <f t="shared" si="131"/>
        <v>0.99845635024144741</v>
      </c>
      <c r="AG331" s="799">
        <f t="shared" si="132"/>
        <v>-2</v>
      </c>
      <c r="AH331" s="176">
        <f t="shared" si="133"/>
        <v>4</v>
      </c>
      <c r="AI331" s="224">
        <f t="shared" si="134"/>
        <v>-1.0015436497585526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5.8070000000000004</v>
      </c>
      <c r="C332" s="388"/>
      <c r="D332" s="391">
        <f t="shared" si="114"/>
        <v>5.840707302532909</v>
      </c>
      <c r="E332" s="383">
        <f t="shared" si="140"/>
        <v>5.9870409437394345</v>
      </c>
      <c r="F332" s="383">
        <f t="shared" si="142"/>
        <v>5.9870409437394345</v>
      </c>
      <c r="G332" s="110">
        <f t="shared" si="141"/>
        <v>0.19799366433944557</v>
      </c>
      <c r="I332" s="379">
        <f t="shared" si="115"/>
        <v>5.9870409437394345</v>
      </c>
      <c r="J332" s="85">
        <v>2018</v>
      </c>
      <c r="K332" s="197">
        <f t="shared" si="116"/>
        <v>43783</v>
      </c>
      <c r="L332" s="435">
        <f t="shared" si="117"/>
        <v>5.7710994211763733E-3</v>
      </c>
      <c r="M332" s="842"/>
      <c r="N332" s="842"/>
      <c r="O332" s="323">
        <f t="shared" si="118"/>
        <v>2.4441730494518279E-2</v>
      </c>
      <c r="P332" s="169">
        <f>(INDEX(Models!$BJ332:$BT332,,T332)*(1-R332)+INDEX(Models!$BJ332:$BT332,,T332+1)*R332-ERP_i)*Q332*Ramure*Pc/MaxiM</f>
        <v>6.3444026809275525E-4</v>
      </c>
      <c r="Q332" s="304">
        <f t="shared" si="119"/>
        <v>0.6</v>
      </c>
      <c r="R332" s="177">
        <f t="shared" si="120"/>
        <v>0.99848938577400914</v>
      </c>
      <c r="S332" s="799">
        <f t="shared" si="138"/>
        <v>-2</v>
      </c>
      <c r="T332" s="176">
        <f t="shared" si="121"/>
        <v>4</v>
      </c>
      <c r="U332" s="250">
        <f t="shared" si="122"/>
        <v>-1.0015106142259909</v>
      </c>
      <c r="V332" s="382">
        <f t="shared" si="123"/>
        <v>29.310613674050842</v>
      </c>
      <c r="W332" s="58"/>
      <c r="X332" s="157">
        <f t="shared" si="124"/>
        <v>43783</v>
      </c>
      <c r="Y332" s="383">
        <f t="shared" si="125"/>
        <v>5.8070000000000004</v>
      </c>
      <c r="Z332" s="383">
        <f t="shared" si="126"/>
        <v>5.840707302532909</v>
      </c>
      <c r="AA332" s="384">
        <f t="shared" si="127"/>
        <v>5.9870409437394345</v>
      </c>
      <c r="AB332" s="197">
        <f t="shared" si="128"/>
        <v>43783</v>
      </c>
      <c r="AC332" s="424">
        <f t="shared" si="129"/>
        <v>2.4441730494518279E-2</v>
      </c>
      <c r="AD332" s="169">
        <f>(INDEX(Models!$BJ332:$BT332,,AH332)*(1-AF332)+INDEX(Models!$BJ332:$BT332,,AH332+1)*AF332-ERP_i)*AE332*Ramure*Pc/MaxiM</f>
        <v>6.3444026809275525E-4</v>
      </c>
      <c r="AE332" s="304">
        <f t="shared" si="130"/>
        <v>0.6</v>
      </c>
      <c r="AF332" s="177">
        <f t="shared" si="131"/>
        <v>0.99848938577400914</v>
      </c>
      <c r="AG332" s="799">
        <f t="shared" si="132"/>
        <v>-2</v>
      </c>
      <c r="AH332" s="176">
        <f t="shared" si="133"/>
        <v>4</v>
      </c>
      <c r="AI332" s="224">
        <f t="shared" si="134"/>
        <v>-1.0015106142259909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11.558</v>
      </c>
      <c r="C333" s="388"/>
      <c r="D333" s="391">
        <f t="shared" si="114"/>
        <v>11.625312344017955</v>
      </c>
      <c r="E333" s="383">
        <f t="shared" si="140"/>
        <v>11.917244591801818</v>
      </c>
      <c r="F333" s="383">
        <f t="shared" si="142"/>
        <v>11.918327154289393</v>
      </c>
      <c r="G333" s="110">
        <f t="shared" si="141"/>
        <v>0.39793948652358374</v>
      </c>
      <c r="I333" s="379">
        <f t="shared" si="115"/>
        <v>11.918327154289393</v>
      </c>
      <c r="J333" s="85">
        <v>2018</v>
      </c>
      <c r="K333" s="197">
        <f t="shared" si="116"/>
        <v>43784</v>
      </c>
      <c r="L333" s="435">
        <f t="shared" si="117"/>
        <v>5.7901535912359137E-3</v>
      </c>
      <c r="M333" s="842"/>
      <c r="N333" s="842"/>
      <c r="O333" s="323">
        <f t="shared" si="118"/>
        <v>2.4496622984871232E-2</v>
      </c>
      <c r="P333" s="169">
        <f>(INDEX(Models!$BJ333:$BT333,,T333)*(1-R333)+INDEX(Models!$BJ333:$BT333,,T333+1)*R333-ERP_i)*Q333*Ramure*Pc/MaxiM</f>
        <v>6.477324616902721E-4</v>
      </c>
      <c r="Q333" s="304">
        <f t="shared" si="119"/>
        <v>0.6</v>
      </c>
      <c r="R333" s="177">
        <f t="shared" si="120"/>
        <v>0.99852109530530431</v>
      </c>
      <c r="S333" s="799">
        <f t="shared" si="138"/>
        <v>-2</v>
      </c>
      <c r="T333" s="176">
        <f t="shared" si="121"/>
        <v>4</v>
      </c>
      <c r="U333" s="250">
        <f t="shared" si="122"/>
        <v>-1.0014789046946957</v>
      </c>
      <c r="V333" s="382">
        <f t="shared" si="123"/>
        <v>29.02844062487744</v>
      </c>
      <c r="W333" s="58"/>
      <c r="X333" s="157">
        <f t="shared" si="124"/>
        <v>43784</v>
      </c>
      <c r="Y333" s="383">
        <f t="shared" si="125"/>
        <v>11.558</v>
      </c>
      <c r="Z333" s="383">
        <f t="shared" si="126"/>
        <v>11.625312344017955</v>
      </c>
      <c r="AA333" s="384">
        <f t="shared" si="127"/>
        <v>11.917244591801818</v>
      </c>
      <c r="AB333" s="197">
        <f t="shared" si="128"/>
        <v>43784</v>
      </c>
      <c r="AC333" s="424">
        <f t="shared" si="129"/>
        <v>2.4496622984871232E-2</v>
      </c>
      <c r="AD333" s="169">
        <f>(INDEX(Models!$BJ333:$BT333,,AH333)*(1-AF333)+INDEX(Models!$BJ333:$BT333,,AH333+1)*AF333-ERP_i)*AE333*Ramure*Pc/MaxiM</f>
        <v>6.477324616902721E-4</v>
      </c>
      <c r="AE333" s="304">
        <f t="shared" si="130"/>
        <v>0.6</v>
      </c>
      <c r="AF333" s="177">
        <f t="shared" si="131"/>
        <v>0.99852109530530431</v>
      </c>
      <c r="AG333" s="799">
        <f t="shared" si="132"/>
        <v>-2</v>
      </c>
      <c r="AH333" s="176">
        <f t="shared" si="133"/>
        <v>4</v>
      </c>
      <c r="AI333" s="224">
        <f t="shared" si="134"/>
        <v>-1.0014789046946957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14.265000000000001</v>
      </c>
      <c r="C334" s="388"/>
      <c r="D334" s="391">
        <f t="shared" si="114"/>
        <v>14.348352555789324</v>
      </c>
      <c r="E334" s="383">
        <f t="shared" si="140"/>
        <v>14.709495459750967</v>
      </c>
      <c r="F334" s="383">
        <f t="shared" si="142"/>
        <v>14.712218560239544</v>
      </c>
      <c r="G334" s="110">
        <f t="shared" si="141"/>
        <v>0.49594811990975357</v>
      </c>
      <c r="I334" s="379">
        <f t="shared" si="115"/>
        <v>14.712218560239544</v>
      </c>
      <c r="J334" s="85">
        <v>2018</v>
      </c>
      <c r="K334" s="197">
        <f t="shared" si="116"/>
        <v>43785</v>
      </c>
      <c r="L334" s="435">
        <f t="shared" si="117"/>
        <v>5.8092073961266699E-3</v>
      </c>
      <c r="M334" s="842"/>
      <c r="N334" s="842"/>
      <c r="O334" s="323">
        <f t="shared" si="118"/>
        <v>2.4551685334811457E-2</v>
      </c>
      <c r="P334" s="169">
        <f>(INDEX(Models!$BJ334:$BT334,,T334)*(1-R334)+INDEX(Models!$BJ334:$BT334,,T334+1)*R334-ERP_i)*Q334*Ramure*Pc/MaxiM</f>
        <v>6.6041955472410528E-4</v>
      </c>
      <c r="Q334" s="304">
        <f t="shared" si="119"/>
        <v>0.6</v>
      </c>
      <c r="R334" s="177">
        <f t="shared" si="120"/>
        <v>0.99855153190079382</v>
      </c>
      <c r="S334" s="799">
        <f t="shared" si="138"/>
        <v>-2</v>
      </c>
      <c r="T334" s="176">
        <f t="shared" si="121"/>
        <v>4</v>
      </c>
      <c r="U334" s="250">
        <f t="shared" si="122"/>
        <v>-1.0014484680992062</v>
      </c>
      <c r="V334" s="382">
        <f t="shared" si="123"/>
        <v>28.749414730542771</v>
      </c>
      <c r="W334" s="58"/>
      <c r="X334" s="157">
        <f t="shared" si="124"/>
        <v>43785</v>
      </c>
      <c r="Y334" s="383">
        <f t="shared" si="125"/>
        <v>14.265000000000001</v>
      </c>
      <c r="Z334" s="383">
        <f t="shared" si="126"/>
        <v>14.348352555789324</v>
      </c>
      <c r="AA334" s="384">
        <f t="shared" si="127"/>
        <v>14.709495459750967</v>
      </c>
      <c r="AB334" s="197">
        <f t="shared" si="128"/>
        <v>43785</v>
      </c>
      <c r="AC334" s="424">
        <f t="shared" si="129"/>
        <v>2.4551685334811457E-2</v>
      </c>
      <c r="AD334" s="169">
        <f>(INDEX(Models!$BJ334:$BT334,,AH334)*(1-AF334)+INDEX(Models!$BJ334:$BT334,,AH334+1)*AF334-ERP_i)*AE334*Ramure*Pc/MaxiM</f>
        <v>6.6041955472410528E-4</v>
      </c>
      <c r="AE334" s="304">
        <f t="shared" si="130"/>
        <v>0.6</v>
      </c>
      <c r="AF334" s="177">
        <f t="shared" si="131"/>
        <v>0.99855153190079382</v>
      </c>
      <c r="AG334" s="799">
        <f t="shared" si="132"/>
        <v>-2</v>
      </c>
      <c r="AH334" s="176">
        <f t="shared" si="133"/>
        <v>4</v>
      </c>
      <c r="AI334" s="224">
        <f t="shared" si="134"/>
        <v>-1.0014484680992062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12.523</v>
      </c>
      <c r="C335" s="388"/>
      <c r="D335" s="391">
        <f t="shared" ref="D335:D379" si="143">Wh/(1-Ppv)</f>
        <v>12.596415193343539</v>
      </c>
      <c r="E335" s="383">
        <f t="shared" si="140"/>
        <v>12.914193969472652</v>
      </c>
      <c r="F335" s="383">
        <f t="shared" si="142"/>
        <v>12.915928729496512</v>
      </c>
      <c r="G335" s="110">
        <f t="shared" si="141"/>
        <v>0.43956698429073099</v>
      </c>
      <c r="I335" s="379">
        <f t="shared" ref="I335:I380" si="144">Wh_hp</f>
        <v>12.915928729496512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5.8282608358555255E-3</v>
      </c>
      <c r="M335" s="842"/>
      <c r="N335" s="842"/>
      <c r="O335" s="323">
        <f t="shared" ref="O335:O379" si="147">IF(t&lt;T0,0,IF(t&lt;Tnet,Salim_i*(1-EXP((T0-t)/Tau_ij)),Resal+(Salim-Resal)*(1-EXP((Tnet-t)/(Tau_j)))))*Salcycl</f>
        <v>2.4606938449298239E-2</v>
      </c>
      <c r="P335" s="169">
        <f>(INDEX(Models!$BJ335:$BT335,,T335)*(1-R335)+INDEX(Models!$BJ335:$BT335,,T335+1)*R335-ERP_i)*Q335*Ramure*Pc/MaxiM</f>
        <v>6.7250125202685635E-4</v>
      </c>
      <c r="Q335" s="304">
        <f t="shared" ref="Q335:Q379" si="148">IF(OR(t&lt;Ttai,Notai),Dd+PousD*Croivg,Dens+PousD*(Croivg-Croi_tai))</f>
        <v>0.6</v>
      </c>
      <c r="R335" s="177">
        <f t="shared" ref="R335:R379" si="149">(Hp_vg-S335)/(INDEX(Echel_vg,T335+1)-S335)</f>
        <v>0.99858074651478801</v>
      </c>
      <c r="S335" s="799">
        <f t="shared" si="138"/>
        <v>-2</v>
      </c>
      <c r="T335" s="176">
        <f t="shared" ref="T335:T379" si="150">MIN(MATCH(Hp_vg,Echel_vg),10)</f>
        <v>4</v>
      </c>
      <c r="U335" s="250">
        <f t="shared" ref="U335:U379" si="151">IF(OR(t&lt;Ttai,Notai),Hdd+PousH*Croivg,Hdtf+PousH*(Croivg-Croi_tai))</f>
        <v>-1.001419253485212</v>
      </c>
      <c r="V335" s="382">
        <f t="shared" ref="V335:V379" si="152">MaxiM*(1-Ppv)*(1-Pvg)*(1-Psa)</f>
        <v>28.474066055657417</v>
      </c>
      <c r="W335" s="58"/>
      <c r="X335" s="157">
        <f t="shared" ref="X335:X379" si="153">t</f>
        <v>43786</v>
      </c>
      <c r="Y335" s="383">
        <f t="shared" ref="Y335:Y379" si="154">Wh_pvt_s*(1-Ppv)</f>
        <v>12.523</v>
      </c>
      <c r="Z335" s="383">
        <f t="shared" ref="Z335:Z379" si="155">Wh_sa_s*(1-Psa_s)</f>
        <v>12.596415193343539</v>
      </c>
      <c r="AA335" s="384">
        <f t="shared" ref="AA335:AA379" si="156">Wh_hp*(1-Pvg_s*MEDIAN((-Sdif+Wh/Env_an)/Csdif,0,1))</f>
        <v>12.914193969472652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2.4606938449298239E-2</v>
      </c>
      <c r="AD335" s="169">
        <f>(INDEX(Models!$BJ335:$BT335,,AH335)*(1-AF335)+INDEX(Models!$BJ335:$BT335,,AH335+1)*AF335-ERP_i)*AE335*Ramure*Pc/MaxiM</f>
        <v>6.7250125202685635E-4</v>
      </c>
      <c r="AE335" s="304">
        <f t="shared" ref="AE335:AE379" si="159">Dd+PousD*Croivg</f>
        <v>0.6</v>
      </c>
      <c r="AF335" s="177">
        <f t="shared" ref="AF335:AF379" si="160">(Hp_vg_s-AG335)/(INDEX(Echel_vg,AH335+1)-AG335)</f>
        <v>0.99858074651478801</v>
      </c>
      <c r="AG335" s="799">
        <f t="shared" ref="AG335:AG379" si="161">INDEX(Echel_vg,AH335)</f>
        <v>-2</v>
      </c>
      <c r="AH335" s="176">
        <f t="shared" ref="AH335:AH379" si="162">MIN(MATCH(Hp_vg_s,Echel_vg),10)</f>
        <v>4</v>
      </c>
      <c r="AI335" s="224">
        <f t="shared" ref="AI335:AI379" si="163">Hdd+PousH*Croivg</f>
        <v>-1.001419253485212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11.513</v>
      </c>
      <c r="C336" s="388"/>
      <c r="D336" s="391">
        <f t="shared" si="143"/>
        <v>11.58071608224042</v>
      </c>
      <c r="E336" s="383">
        <f t="shared" si="140"/>
        <v>11.873546254863257</v>
      </c>
      <c r="F336" s="383">
        <f t="shared" si="142"/>
        <v>11.874801929224448</v>
      </c>
      <c r="G336" s="110">
        <f t="shared" si="141"/>
        <v>0.40798400405860058</v>
      </c>
      <c r="I336" s="379">
        <f t="shared" si="144"/>
        <v>11.874801929224448</v>
      </c>
      <c r="J336" s="85">
        <v>2018</v>
      </c>
      <c r="K336" s="197">
        <f t="shared" si="145"/>
        <v>43787</v>
      </c>
      <c r="L336" s="435">
        <f t="shared" si="146"/>
        <v>5.8473139104295857E-3</v>
      </c>
      <c r="M336" s="842"/>
      <c r="N336" s="842"/>
      <c r="O336" s="323">
        <f t="shared" si="147"/>
        <v>2.4662402144843349E-2</v>
      </c>
      <c r="P336" s="169">
        <f>(INDEX(Models!$BJ336:$BT336,,T336)*(1-R336)+INDEX(Models!$BJ336:$BT336,,T336+1)*R336-ERP_i)*Q336*Ramure*Pc/MaxiM</f>
        <v>6.8397599534522234E-4</v>
      </c>
      <c r="Q336" s="304">
        <f t="shared" si="148"/>
        <v>0.6</v>
      </c>
      <c r="R336" s="177">
        <f t="shared" si="149"/>
        <v>0.99860878807345133</v>
      </c>
      <c r="S336" s="799">
        <f t="shared" ref="S336:S379" si="167">INDEX(Echel_vg,T336)</f>
        <v>-2</v>
      </c>
      <c r="T336" s="176">
        <f t="shared" si="150"/>
        <v>4</v>
      </c>
      <c r="U336" s="250">
        <f t="shared" si="151"/>
        <v>-1.0013912119265487</v>
      </c>
      <c r="V336" s="382">
        <f t="shared" si="152"/>
        <v>28.202924581115408</v>
      </c>
      <c r="W336" s="58"/>
      <c r="X336" s="157">
        <f t="shared" si="153"/>
        <v>43787</v>
      </c>
      <c r="Y336" s="383">
        <f t="shared" si="154"/>
        <v>11.513</v>
      </c>
      <c r="Z336" s="383">
        <f t="shared" si="155"/>
        <v>11.58071608224042</v>
      </c>
      <c r="AA336" s="384">
        <f t="shared" si="156"/>
        <v>11.873546254863257</v>
      </c>
      <c r="AB336" s="197">
        <f t="shared" si="157"/>
        <v>43787</v>
      </c>
      <c r="AC336" s="424">
        <f t="shared" si="158"/>
        <v>2.4662402144843349E-2</v>
      </c>
      <c r="AD336" s="169">
        <f>(INDEX(Models!$BJ336:$BT336,,AH336)*(1-AF336)+INDEX(Models!$BJ336:$BT336,,AH336+1)*AF336-ERP_i)*AE336*Ramure*Pc/MaxiM</f>
        <v>6.8397599534522234E-4</v>
      </c>
      <c r="AE336" s="304">
        <f t="shared" si="159"/>
        <v>0.6</v>
      </c>
      <c r="AF336" s="177">
        <f t="shared" si="160"/>
        <v>0.99860878807345133</v>
      </c>
      <c r="AG336" s="799">
        <f t="shared" si="161"/>
        <v>-2</v>
      </c>
      <c r="AH336" s="176">
        <f t="shared" si="162"/>
        <v>4</v>
      </c>
      <c r="AI336" s="224">
        <f t="shared" si="163"/>
        <v>-1.0013912119265487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18.334</v>
      </c>
      <c r="C337" s="388"/>
      <c r="D337" s="391">
        <f t="shared" si="143"/>
        <v>18.442188639833805</v>
      </c>
      <c r="E337" s="383">
        <f t="shared" si="140"/>
        <v>18.909597877771208</v>
      </c>
      <c r="F337" s="383">
        <f t="shared" si="142"/>
        <v>18.916287580653556</v>
      </c>
      <c r="G337" s="110">
        <f t="shared" si="141"/>
        <v>0.65604958033953431</v>
      </c>
      <c r="I337" s="379">
        <f t="shared" si="144"/>
        <v>18.916287580653556</v>
      </c>
      <c r="J337" s="85">
        <v>2018</v>
      </c>
      <c r="K337" s="197">
        <f t="shared" si="145"/>
        <v>43788</v>
      </c>
      <c r="L337" s="435">
        <f t="shared" si="146"/>
        <v>5.8663666198558451E-3</v>
      </c>
      <c r="M337" s="842"/>
      <c r="N337" s="842"/>
      <c r="O337" s="323">
        <f t="shared" si="147"/>
        <v>2.4718095062553215E-2</v>
      </c>
      <c r="P337" s="169">
        <f>(INDEX(Models!$BJ337:$BT337,,T337)*(1-R337)+INDEX(Models!$BJ337:$BT337,,T337+1)*R337-ERP_i)*Q337*Ramure*Pc/MaxiM</f>
        <v>6.9484085994728922E-4</v>
      </c>
      <c r="Q337" s="304">
        <f t="shared" si="148"/>
        <v>0.6</v>
      </c>
      <c r="R337" s="177">
        <f t="shared" si="149"/>
        <v>0.99863570355462183</v>
      </c>
      <c r="S337" s="799">
        <f t="shared" si="167"/>
        <v>-2</v>
      </c>
      <c r="T337" s="176">
        <f t="shared" si="150"/>
        <v>4</v>
      </c>
      <c r="U337" s="250">
        <f t="shared" si="151"/>
        <v>-1.0013642964453782</v>
      </c>
      <c r="V337" s="382">
        <f t="shared" si="152"/>
        <v>27.936520199227118</v>
      </c>
      <c r="W337" s="58"/>
      <c r="X337" s="157">
        <f t="shared" si="153"/>
        <v>43788</v>
      </c>
      <c r="Y337" s="383">
        <f t="shared" si="154"/>
        <v>18.334</v>
      </c>
      <c r="Z337" s="383">
        <f t="shared" si="155"/>
        <v>18.442188639833805</v>
      </c>
      <c r="AA337" s="384">
        <f t="shared" si="156"/>
        <v>18.909597877771208</v>
      </c>
      <c r="AB337" s="197">
        <f t="shared" si="157"/>
        <v>43788</v>
      </c>
      <c r="AC337" s="424">
        <f t="shared" si="158"/>
        <v>2.4718095062553215E-2</v>
      </c>
      <c r="AD337" s="169">
        <f>(INDEX(Models!$BJ337:$BT337,,AH337)*(1-AF337)+INDEX(Models!$BJ337:$BT337,,AH337+1)*AF337-ERP_i)*AE337*Ramure*Pc/MaxiM</f>
        <v>6.9484085994728922E-4</v>
      </c>
      <c r="AE337" s="304">
        <f t="shared" si="159"/>
        <v>0.6</v>
      </c>
      <c r="AF337" s="177">
        <f t="shared" si="160"/>
        <v>0.99863570355462183</v>
      </c>
      <c r="AG337" s="799">
        <f t="shared" si="161"/>
        <v>-2</v>
      </c>
      <c r="AH337" s="176">
        <f t="shared" si="162"/>
        <v>4</v>
      </c>
      <c r="AI337" s="224">
        <f t="shared" si="163"/>
        <v>-1.0013642964453782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27.77</v>
      </c>
      <c r="C338" s="388"/>
      <c r="D338" s="391">
        <f t="shared" si="143"/>
        <v>27.934405680946657</v>
      </c>
      <c r="E338" s="383">
        <f t="shared" si="140"/>
        <v>28.644033969254583</v>
      </c>
      <c r="F338" s="383">
        <f t="shared" si="142"/>
        <v>28.66422438766487</v>
      </c>
      <c r="G338" s="110">
        <f t="shared" si="141"/>
        <v>1.0034181070029984</v>
      </c>
      <c r="I338" s="379">
        <f t="shared" si="144"/>
        <v>28.66422438766487</v>
      </c>
      <c r="J338" s="85">
        <v>2018</v>
      </c>
      <c r="K338" s="197">
        <f t="shared" si="145"/>
        <v>43789</v>
      </c>
      <c r="L338" s="435">
        <f t="shared" si="146"/>
        <v>5.8854189641411869E-3</v>
      </c>
      <c r="M338" s="842"/>
      <c r="N338" s="842"/>
      <c r="O338" s="323">
        <f t="shared" si="147"/>
        <v>2.477403458848064E-2</v>
      </c>
      <c r="P338" s="169">
        <f>(INDEX(Models!$BJ338:$BT338,,T338)*(1-R338)+INDEX(Models!$BJ338:$BT338,,T338+1)*R338-ERP_i)*Q338*Ramure*Pc/MaxiM</f>
        <v>7.0437693123061404E-4</v>
      </c>
      <c r="Q338" s="304">
        <f t="shared" si="148"/>
        <v>0.6</v>
      </c>
      <c r="R338" s="177">
        <f t="shared" si="149"/>
        <v>0.99866153806456093</v>
      </c>
      <c r="S338" s="799">
        <f t="shared" si="167"/>
        <v>-2</v>
      </c>
      <c r="T338" s="176">
        <f t="shared" si="150"/>
        <v>4</v>
      </c>
      <c r="U338" s="250">
        <f t="shared" si="151"/>
        <v>-1.0013384619354391</v>
      </c>
      <c r="V338" s="382">
        <f t="shared" si="152"/>
        <v>27.675402512859993</v>
      </c>
      <c r="W338" s="58"/>
      <c r="X338" s="157">
        <f t="shared" si="153"/>
        <v>43789</v>
      </c>
      <c r="Y338" s="383">
        <f t="shared" si="154"/>
        <v>27.77</v>
      </c>
      <c r="Z338" s="383">
        <f t="shared" si="155"/>
        <v>27.934405680946657</v>
      </c>
      <c r="AA338" s="384">
        <f t="shared" si="156"/>
        <v>28.644033969254583</v>
      </c>
      <c r="AB338" s="197">
        <f t="shared" si="157"/>
        <v>43789</v>
      </c>
      <c r="AC338" s="424">
        <f t="shared" si="158"/>
        <v>2.477403458848064E-2</v>
      </c>
      <c r="AD338" s="169">
        <f>(INDEX(Models!$BJ338:$BT338,,AH338)*(1-AF338)+INDEX(Models!$BJ338:$BT338,,AH338+1)*AF338-ERP_i)*AE338*Ramure*Pc/MaxiM</f>
        <v>7.0437693123061404E-4</v>
      </c>
      <c r="AE338" s="304">
        <f t="shared" si="159"/>
        <v>0.6</v>
      </c>
      <c r="AF338" s="177">
        <f t="shared" si="160"/>
        <v>0.99866153806456093</v>
      </c>
      <c r="AG338" s="799">
        <f t="shared" si="161"/>
        <v>-2</v>
      </c>
      <c r="AH338" s="176">
        <f t="shared" si="162"/>
        <v>4</v>
      </c>
      <c r="AI338" s="224">
        <f t="shared" si="163"/>
        <v>-1.0013384619354391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27.106999999999999</v>
      </c>
      <c r="C339" s="388"/>
      <c r="D339" s="391">
        <f t="shared" si="143"/>
        <v>27.268003132175547</v>
      </c>
      <c r="E339" s="383">
        <f t="shared" si="140"/>
        <v>27.962314010012815</v>
      </c>
      <c r="F339" s="383">
        <f t="shared" si="142"/>
        <v>27.981917732937102</v>
      </c>
      <c r="G339" s="110">
        <f t="shared" si="141"/>
        <v>0.98856947941851248</v>
      </c>
      <c r="I339" s="379">
        <f t="shared" si="144"/>
        <v>27.981917732937102</v>
      </c>
      <c r="J339" s="85">
        <v>2018</v>
      </c>
      <c r="K339" s="197">
        <f t="shared" si="145"/>
        <v>43790</v>
      </c>
      <c r="L339" s="435">
        <f t="shared" si="146"/>
        <v>5.9044709432928277E-3</v>
      </c>
      <c r="M339" s="842"/>
      <c r="N339" s="842"/>
      <c r="O339" s="323">
        <f t="shared" si="147"/>
        <v>2.483023678185748E-2</v>
      </c>
      <c r="P339" s="169">
        <f>(INDEX(Models!$BJ339:$BT339,,T339)*(1-R339)+INDEX(Models!$BJ339:$BT339,,T339+1)*R339-ERP_i)*Q339*Ramure*Pc/MaxiM</f>
        <v>7.1220349778812453E-4</v>
      </c>
      <c r="Q339" s="304">
        <f t="shared" si="148"/>
        <v>0.6</v>
      </c>
      <c r="R339" s="177">
        <f t="shared" si="149"/>
        <v>0.99868633491174608</v>
      </c>
      <c r="S339" s="799">
        <f t="shared" si="167"/>
        <v>-2</v>
      </c>
      <c r="T339" s="176">
        <f t="shared" si="150"/>
        <v>4</v>
      </c>
      <c r="U339" s="250">
        <f t="shared" si="151"/>
        <v>-1.0013136650882539</v>
      </c>
      <c r="V339" s="382">
        <f t="shared" si="152"/>
        <v>27.420110990353631</v>
      </c>
      <c r="W339" s="58"/>
      <c r="X339" s="157">
        <f t="shared" si="153"/>
        <v>43790</v>
      </c>
      <c r="Y339" s="383">
        <f t="shared" si="154"/>
        <v>27.106999999999999</v>
      </c>
      <c r="Z339" s="383">
        <f t="shared" si="155"/>
        <v>27.268003132175547</v>
      </c>
      <c r="AA339" s="384">
        <f t="shared" si="156"/>
        <v>27.962314010012815</v>
      </c>
      <c r="AB339" s="197">
        <f t="shared" si="157"/>
        <v>43790</v>
      </c>
      <c r="AC339" s="424">
        <f t="shared" si="158"/>
        <v>2.483023678185748E-2</v>
      </c>
      <c r="AD339" s="169">
        <f>(INDEX(Models!$BJ339:$BT339,,AH339)*(1-AF339)+INDEX(Models!$BJ339:$BT339,,AH339+1)*AF339-ERP_i)*AE339*Ramure*Pc/MaxiM</f>
        <v>7.1220349778812453E-4</v>
      </c>
      <c r="AE339" s="304">
        <f t="shared" si="159"/>
        <v>0.6</v>
      </c>
      <c r="AF339" s="177">
        <f t="shared" si="160"/>
        <v>0.99868633491174608</v>
      </c>
      <c r="AG339" s="799">
        <f t="shared" si="161"/>
        <v>-2</v>
      </c>
      <c r="AH339" s="176">
        <f t="shared" si="162"/>
        <v>4</v>
      </c>
      <c r="AI339" s="224">
        <f t="shared" si="163"/>
        <v>-1.0013136650882539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13.29</v>
      </c>
      <c r="C340" s="388"/>
      <c r="D340" s="391">
        <f t="shared" si="143"/>
        <v>13.369192714618165</v>
      </c>
      <c r="E340" s="383">
        <f t="shared" si="140"/>
        <v>13.710399538451931</v>
      </c>
      <c r="F340" s="383">
        <f t="shared" si="142"/>
        <v>13.713060811847985</v>
      </c>
      <c r="G340" s="110">
        <f t="shared" si="141"/>
        <v>0.48886482416501664</v>
      </c>
      <c r="I340" s="379">
        <f t="shared" si="144"/>
        <v>13.713060811847985</v>
      </c>
      <c r="J340" s="85">
        <v>2018</v>
      </c>
      <c r="K340" s="197">
        <f t="shared" si="145"/>
        <v>43791</v>
      </c>
      <c r="L340" s="435">
        <f t="shared" si="146"/>
        <v>5.9235225573175398E-3</v>
      </c>
      <c r="M340" s="842"/>
      <c r="N340" s="842"/>
      <c r="O340" s="323">
        <f t="shared" si="147"/>
        <v>2.4886716311718265E-2</v>
      </c>
      <c r="P340" s="169">
        <f>(INDEX(Models!$BJ340:$BT340,,T340)*(1-R340)+INDEX(Models!$BJ340:$BT340,,T340+1)*R340-ERP_i)*Q340*Ramure*Pc/MaxiM</f>
        <v>7.1831130881664024E-4</v>
      </c>
      <c r="Q340" s="304">
        <f t="shared" si="148"/>
        <v>0.6</v>
      </c>
      <c r="R340" s="177">
        <f t="shared" si="149"/>
        <v>0.99871013567781475</v>
      </c>
      <c r="S340" s="799">
        <f t="shared" si="167"/>
        <v>-2</v>
      </c>
      <c r="T340" s="176">
        <f t="shared" si="150"/>
        <v>4</v>
      </c>
      <c r="U340" s="250">
        <f t="shared" si="151"/>
        <v>-1.0012898643221853</v>
      </c>
      <c r="V340" s="382">
        <f t="shared" si="152"/>
        <v>27.171174534044887</v>
      </c>
      <c r="W340" s="58"/>
      <c r="X340" s="157">
        <f t="shared" si="153"/>
        <v>43791</v>
      </c>
      <c r="Y340" s="383">
        <f t="shared" si="154"/>
        <v>13.29</v>
      </c>
      <c r="Z340" s="383">
        <f t="shared" si="155"/>
        <v>13.369192714618165</v>
      </c>
      <c r="AA340" s="384">
        <f t="shared" si="156"/>
        <v>13.710399538451931</v>
      </c>
      <c r="AB340" s="197">
        <f t="shared" si="157"/>
        <v>43791</v>
      </c>
      <c r="AC340" s="424">
        <f t="shared" si="158"/>
        <v>2.4886716311718265E-2</v>
      </c>
      <c r="AD340" s="169">
        <f>(INDEX(Models!$BJ340:$BT340,,AH340)*(1-AF340)+INDEX(Models!$BJ340:$BT340,,AH340+1)*AF340-ERP_i)*AE340*Ramure*Pc/MaxiM</f>
        <v>7.1831130881664024E-4</v>
      </c>
      <c r="AE340" s="304">
        <f t="shared" si="159"/>
        <v>0.6</v>
      </c>
      <c r="AF340" s="177">
        <f t="shared" si="160"/>
        <v>0.99871013567781475</v>
      </c>
      <c r="AG340" s="799">
        <f t="shared" si="161"/>
        <v>-2</v>
      </c>
      <c r="AH340" s="176">
        <f t="shared" si="162"/>
        <v>4</v>
      </c>
      <c r="AI340" s="224">
        <f t="shared" si="163"/>
        <v>-1.0012898643221853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6.8159999999999998</v>
      </c>
      <c r="C341" s="388"/>
      <c r="D341" s="391">
        <f t="shared" si="143"/>
        <v>6.8567467234748225</v>
      </c>
      <c r="E341" s="383">
        <f t="shared" si="140"/>
        <v>7.0321531396940848</v>
      </c>
      <c r="F341" s="383">
        <f t="shared" si="142"/>
        <v>7.0321531396940848</v>
      </c>
      <c r="G341" s="110">
        <f t="shared" si="141"/>
        <v>0.25292596417557645</v>
      </c>
      <c r="I341" s="379">
        <f t="shared" si="144"/>
        <v>7.0321531396940848</v>
      </c>
      <c r="J341" s="85">
        <v>2018</v>
      </c>
      <c r="K341" s="197">
        <f t="shared" si="145"/>
        <v>43792</v>
      </c>
      <c r="L341" s="435">
        <f t="shared" si="146"/>
        <v>5.9425738062224287E-3</v>
      </c>
      <c r="M341" s="842"/>
      <c r="N341" s="842"/>
      <c r="O341" s="323">
        <f t="shared" si="147"/>
        <v>2.494348640235855E-2</v>
      </c>
      <c r="P341" s="169">
        <f>(INDEX(Models!$BJ341:$BT341,,T341)*(1-R341)+INDEX(Models!$BJ341:$BT341,,T341+1)*R341-ERP_i)*Q341*Ramure*Pc/MaxiM</f>
        <v>7.2268483101550936E-4</v>
      </c>
      <c r="Q341" s="304">
        <f t="shared" si="148"/>
        <v>0.6</v>
      </c>
      <c r="R341" s="177">
        <f t="shared" si="149"/>
        <v>0.99873298028576429</v>
      </c>
      <c r="S341" s="799">
        <f t="shared" si="167"/>
        <v>-2</v>
      </c>
      <c r="T341" s="176">
        <f t="shared" si="150"/>
        <v>4</v>
      </c>
      <c r="U341" s="250">
        <f t="shared" si="151"/>
        <v>-1.0012670197142357</v>
      </c>
      <c r="V341" s="382">
        <f t="shared" si="152"/>
        <v>26.929122134189743</v>
      </c>
      <c r="W341" s="58"/>
      <c r="X341" s="157">
        <f t="shared" si="153"/>
        <v>43792</v>
      </c>
      <c r="Y341" s="383">
        <f t="shared" si="154"/>
        <v>6.8159999999999998</v>
      </c>
      <c r="Z341" s="383">
        <f t="shared" si="155"/>
        <v>6.8567467234748225</v>
      </c>
      <c r="AA341" s="384">
        <f t="shared" si="156"/>
        <v>7.0321531396940848</v>
      </c>
      <c r="AB341" s="197">
        <f t="shared" si="157"/>
        <v>43792</v>
      </c>
      <c r="AC341" s="424">
        <f t="shared" si="158"/>
        <v>2.494348640235855E-2</v>
      </c>
      <c r="AD341" s="169">
        <f>(INDEX(Models!$BJ341:$BT341,,AH341)*(1-AF341)+INDEX(Models!$BJ341:$BT341,,AH341+1)*AF341-ERP_i)*AE341*Ramure*Pc/MaxiM</f>
        <v>7.2268483101550936E-4</v>
      </c>
      <c r="AE341" s="304">
        <f t="shared" si="159"/>
        <v>0.6</v>
      </c>
      <c r="AF341" s="177">
        <f t="shared" si="160"/>
        <v>0.99873298028576429</v>
      </c>
      <c r="AG341" s="799">
        <f t="shared" si="161"/>
        <v>-2</v>
      </c>
      <c r="AH341" s="176">
        <f t="shared" si="162"/>
        <v>4</v>
      </c>
      <c r="AI341" s="224">
        <f t="shared" si="163"/>
        <v>-1.0012670197142357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13.776999999999999</v>
      </c>
      <c r="C342" s="388"/>
      <c r="D342" s="391">
        <f t="shared" si="143"/>
        <v>13.859625887887594</v>
      </c>
      <c r="E342" s="383">
        <f t="shared" si="140"/>
        <v>14.215009057501637</v>
      </c>
      <c r="F342" s="383">
        <f t="shared" si="142"/>
        <v>14.218192690380274</v>
      </c>
      <c r="G342" s="110">
        <f t="shared" si="141"/>
        <v>0.51584032825669512</v>
      </c>
      <c r="I342" s="379">
        <f t="shared" si="144"/>
        <v>14.218192690380274</v>
      </c>
      <c r="J342" s="85">
        <v>2018</v>
      </c>
      <c r="K342" s="197">
        <f t="shared" si="145"/>
        <v>43793</v>
      </c>
      <c r="L342" s="435">
        <f t="shared" si="146"/>
        <v>5.9616246900144887E-3</v>
      </c>
      <c r="M342" s="842"/>
      <c r="N342" s="842"/>
      <c r="O342" s="323">
        <f t="shared" si="147"/>
        <v>2.5000558788001614E-2</v>
      </c>
      <c r="P342" s="169">
        <f>(INDEX(Models!$BJ342:$BT342,,T342)*(1-R342)+INDEX(Models!$BJ342:$BT342,,T342+1)*R342-ERP_i)*Q342*Ramure*Pc/MaxiM</f>
        <v>7.2530981273127816E-4</v>
      </c>
      <c r="Q342" s="304">
        <f t="shared" si="148"/>
        <v>0.6</v>
      </c>
      <c r="R342" s="177">
        <f t="shared" si="149"/>
        <v>0.9987549070655124</v>
      </c>
      <c r="S342" s="799">
        <f t="shared" si="167"/>
        <v>-2</v>
      </c>
      <c r="T342" s="176">
        <f t="shared" si="150"/>
        <v>4</v>
      </c>
      <c r="U342" s="250">
        <f t="shared" si="151"/>
        <v>-1.0012450929344876</v>
      </c>
      <c r="V342" s="382">
        <f t="shared" si="152"/>
        <v>26.694482671473619</v>
      </c>
      <c r="W342" s="58"/>
      <c r="X342" s="157">
        <f t="shared" si="153"/>
        <v>43793</v>
      </c>
      <c r="Y342" s="383">
        <f t="shared" si="154"/>
        <v>13.776999999999999</v>
      </c>
      <c r="Z342" s="383">
        <f t="shared" si="155"/>
        <v>13.859625887887594</v>
      </c>
      <c r="AA342" s="384">
        <f t="shared" si="156"/>
        <v>14.215009057501637</v>
      </c>
      <c r="AB342" s="197">
        <f t="shared" si="157"/>
        <v>43793</v>
      </c>
      <c r="AC342" s="424">
        <f t="shared" si="158"/>
        <v>2.5000558788001614E-2</v>
      </c>
      <c r="AD342" s="169">
        <f>(INDEX(Models!$BJ342:$BT342,,AH342)*(1-AF342)+INDEX(Models!$BJ342:$BT342,,AH342+1)*AF342-ERP_i)*AE342*Ramure*Pc/MaxiM</f>
        <v>7.2530981273127816E-4</v>
      </c>
      <c r="AE342" s="304">
        <f t="shared" si="159"/>
        <v>0.6</v>
      </c>
      <c r="AF342" s="177">
        <f t="shared" si="160"/>
        <v>0.9987549070655124</v>
      </c>
      <c r="AG342" s="799">
        <f t="shared" si="161"/>
        <v>-2</v>
      </c>
      <c r="AH342" s="176">
        <f t="shared" si="162"/>
        <v>4</v>
      </c>
      <c r="AI342" s="224">
        <f t="shared" si="163"/>
        <v>-1.0012450929344876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11.683999999999999</v>
      </c>
      <c r="C343" s="388"/>
      <c r="D343" s="391">
        <f t="shared" si="143"/>
        <v>11.754298642486784</v>
      </c>
      <c r="E343" s="383">
        <f t="shared" si="140"/>
        <v>12.056407420578287</v>
      </c>
      <c r="F343" s="383">
        <f t="shared" si="142"/>
        <v>12.05817673007094</v>
      </c>
      <c r="G343" s="110">
        <f t="shared" si="141"/>
        <v>0.44118647775324571</v>
      </c>
      <c r="I343" s="379">
        <f t="shared" si="144"/>
        <v>12.05817673007094</v>
      </c>
      <c r="J343" s="85">
        <v>2018</v>
      </c>
      <c r="K343" s="197">
        <f t="shared" si="145"/>
        <v>43794</v>
      </c>
      <c r="L343" s="435">
        <f t="shared" si="146"/>
        <v>5.9806752087007142E-3</v>
      </c>
      <c r="M343" s="842"/>
      <c r="N343" s="842"/>
      <c r="O343" s="323">
        <f t="shared" si="147"/>
        <v>2.5057943676973962E-2</v>
      </c>
      <c r="P343" s="169">
        <f>(INDEX(Models!$BJ343:$BT343,,T343)*(1-R343)+INDEX(Models!$BJ343:$BT343,,T343+1)*R343-ERP_i)*Q343*Ramure*Pc/MaxiM</f>
        <v>7.2617429951674832E-4</v>
      </c>
      <c r="Q343" s="304">
        <f t="shared" si="148"/>
        <v>0.6</v>
      </c>
      <c r="R343" s="177">
        <f t="shared" si="149"/>
        <v>0.99877595281690956</v>
      </c>
      <c r="S343" s="799">
        <f t="shared" si="167"/>
        <v>-2</v>
      </c>
      <c r="T343" s="176">
        <f t="shared" si="150"/>
        <v>4</v>
      </c>
      <c r="U343" s="250">
        <f t="shared" si="151"/>
        <v>-1.0012240471830904</v>
      </c>
      <c r="V343" s="382">
        <f t="shared" si="152"/>
        <v>26.467784895709137</v>
      </c>
      <c r="W343" s="58"/>
      <c r="X343" s="157">
        <f t="shared" si="153"/>
        <v>43794</v>
      </c>
      <c r="Y343" s="383">
        <f t="shared" si="154"/>
        <v>11.683999999999999</v>
      </c>
      <c r="Z343" s="383">
        <f t="shared" si="155"/>
        <v>11.754298642486784</v>
      </c>
      <c r="AA343" s="384">
        <f t="shared" si="156"/>
        <v>12.056407420578287</v>
      </c>
      <c r="AB343" s="197">
        <f t="shared" si="157"/>
        <v>43794</v>
      </c>
      <c r="AC343" s="424">
        <f t="shared" si="158"/>
        <v>2.5057943676973962E-2</v>
      </c>
      <c r="AD343" s="169">
        <f>(INDEX(Models!$BJ343:$BT343,,AH343)*(1-AF343)+INDEX(Models!$BJ343:$BT343,,AH343+1)*AF343-ERP_i)*AE343*Ramure*Pc/MaxiM</f>
        <v>7.2617429951674832E-4</v>
      </c>
      <c r="AE343" s="304">
        <f t="shared" si="159"/>
        <v>0.6</v>
      </c>
      <c r="AF343" s="177">
        <f t="shared" si="160"/>
        <v>0.99877595281690956</v>
      </c>
      <c r="AG343" s="799">
        <f t="shared" si="161"/>
        <v>-2</v>
      </c>
      <c r="AH343" s="176">
        <f t="shared" si="162"/>
        <v>4</v>
      </c>
      <c r="AI343" s="224">
        <f t="shared" si="163"/>
        <v>-1.0012240471830904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19.134</v>
      </c>
      <c r="C344" s="388"/>
      <c r="D344" s="391">
        <f t="shared" si="143"/>
        <v>19.249491663343719</v>
      </c>
      <c r="E344" s="383">
        <f t="shared" si="140"/>
        <v>19.745410476561496</v>
      </c>
      <c r="F344" s="383">
        <f t="shared" si="142"/>
        <v>19.75418939353608</v>
      </c>
      <c r="G344" s="110">
        <f t="shared" si="141"/>
        <v>0.72872175716111287</v>
      </c>
      <c r="I344" s="379">
        <f t="shared" si="144"/>
        <v>19.75418939353608</v>
      </c>
      <c r="J344" s="85">
        <v>2018</v>
      </c>
      <c r="K344" s="197">
        <f t="shared" si="145"/>
        <v>43795</v>
      </c>
      <c r="L344" s="435">
        <f t="shared" si="146"/>
        <v>5.9997253622880997E-3</v>
      </c>
      <c r="M344" s="842"/>
      <c r="N344" s="842"/>
      <c r="O344" s="323">
        <f t="shared" si="147"/>
        <v>2.5115649725613538E-2</v>
      </c>
      <c r="P344" s="169">
        <f>(INDEX(Models!$BJ344:$BT344,,T344)*(1-R344)+INDEX(Models!$BJ344:$BT344,,T344+1)*R344-ERP_i)*Q344*Ramure*Pc/MaxiM</f>
        <v>7.2526516145017636E-4</v>
      </c>
      <c r="Q344" s="304">
        <f t="shared" si="148"/>
        <v>0.6</v>
      </c>
      <c r="R344" s="177">
        <f t="shared" si="149"/>
        <v>0.99879615287030798</v>
      </c>
      <c r="S344" s="799">
        <f t="shared" si="167"/>
        <v>-2</v>
      </c>
      <c r="T344" s="176">
        <f t="shared" si="150"/>
        <v>4</v>
      </c>
      <c r="U344" s="250">
        <f t="shared" si="151"/>
        <v>-1.001203847129692</v>
      </c>
      <c r="V344" s="382">
        <f t="shared" si="152"/>
        <v>26.249557528760938</v>
      </c>
      <c r="W344" s="58"/>
      <c r="X344" s="157">
        <f t="shared" si="153"/>
        <v>43795</v>
      </c>
      <c r="Y344" s="383">
        <f t="shared" si="154"/>
        <v>19.134</v>
      </c>
      <c r="Z344" s="383">
        <f t="shared" si="155"/>
        <v>19.249491663343719</v>
      </c>
      <c r="AA344" s="384">
        <f t="shared" si="156"/>
        <v>19.745410476561496</v>
      </c>
      <c r="AB344" s="197">
        <f t="shared" si="157"/>
        <v>43795</v>
      </c>
      <c r="AC344" s="424">
        <f t="shared" si="158"/>
        <v>2.5115649725613538E-2</v>
      </c>
      <c r="AD344" s="169">
        <f>(INDEX(Models!$BJ344:$BT344,,AH344)*(1-AF344)+INDEX(Models!$BJ344:$BT344,,AH344+1)*AF344-ERP_i)*AE344*Ramure*Pc/MaxiM</f>
        <v>7.2526516145017636E-4</v>
      </c>
      <c r="AE344" s="304">
        <f t="shared" si="159"/>
        <v>0.6</v>
      </c>
      <c r="AF344" s="177">
        <f t="shared" si="160"/>
        <v>0.99879615287030798</v>
      </c>
      <c r="AG344" s="799">
        <f t="shared" si="161"/>
        <v>-2</v>
      </c>
      <c r="AH344" s="176">
        <f t="shared" si="162"/>
        <v>4</v>
      </c>
      <c r="AI344" s="224">
        <f t="shared" si="163"/>
        <v>-1.001203847129692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18.959</v>
      </c>
      <c r="C345" s="388"/>
      <c r="D345" s="391">
        <f t="shared" si="143"/>
        <v>19.073800919002284</v>
      </c>
      <c r="E345" s="383">
        <f t="shared" si="140"/>
        <v>19.566358238767378</v>
      </c>
      <c r="F345" s="383">
        <f t="shared" si="142"/>
        <v>19.57501016284418</v>
      </c>
      <c r="G345" s="110">
        <f t="shared" si="141"/>
        <v>0.72793438194132232</v>
      </c>
      <c r="I345" s="379">
        <f t="shared" si="144"/>
        <v>19.57501016284418</v>
      </c>
      <c r="J345" s="85">
        <v>2018</v>
      </c>
      <c r="K345" s="197">
        <f t="shared" si="145"/>
        <v>43796</v>
      </c>
      <c r="L345" s="435">
        <f t="shared" si="146"/>
        <v>6.0187751507836396E-3</v>
      </c>
      <c r="M345" s="842"/>
      <c r="N345" s="842"/>
      <c r="O345" s="323">
        <f t="shared" si="147"/>
        <v>2.517368402205666E-2</v>
      </c>
      <c r="P345" s="169">
        <f>(INDEX(Models!$BJ345:$BT345,,T345)*(1-R345)+INDEX(Models!$BJ345:$BT345,,T345+1)*R345-ERP_i)*Q345*Ramure*Pc/MaxiM</f>
        <v>7.2264354434562698E-4</v>
      </c>
      <c r="Q345" s="304">
        <f t="shared" si="148"/>
        <v>0.6</v>
      </c>
      <c r="R345" s="177">
        <f t="shared" si="149"/>
        <v>0.99881554114476856</v>
      </c>
      <c r="S345" s="799">
        <f t="shared" si="167"/>
        <v>-2</v>
      </c>
      <c r="T345" s="176">
        <f t="shared" si="150"/>
        <v>4</v>
      </c>
      <c r="U345" s="250">
        <f t="shared" si="151"/>
        <v>-1.0011844588552314</v>
      </c>
      <c r="V345" s="382">
        <f t="shared" si="152"/>
        <v>26.037617089189489</v>
      </c>
      <c r="W345" s="58"/>
      <c r="X345" s="157">
        <f t="shared" si="153"/>
        <v>43796</v>
      </c>
      <c r="Y345" s="383">
        <f t="shared" si="154"/>
        <v>18.959</v>
      </c>
      <c r="Z345" s="383">
        <f t="shared" si="155"/>
        <v>19.073800919002284</v>
      </c>
      <c r="AA345" s="384">
        <f t="shared" si="156"/>
        <v>19.566358238767378</v>
      </c>
      <c r="AB345" s="197">
        <f t="shared" si="157"/>
        <v>43796</v>
      </c>
      <c r="AC345" s="424">
        <f t="shared" si="158"/>
        <v>2.517368402205666E-2</v>
      </c>
      <c r="AD345" s="169">
        <f>(INDEX(Models!$BJ345:$BT345,,AH345)*(1-AF345)+INDEX(Models!$BJ345:$BT345,,AH345+1)*AF345-ERP_i)*AE345*Ramure*Pc/MaxiM</f>
        <v>7.2264354434562698E-4</v>
      </c>
      <c r="AE345" s="304">
        <f t="shared" si="159"/>
        <v>0.6</v>
      </c>
      <c r="AF345" s="177">
        <f t="shared" si="160"/>
        <v>0.99881554114476856</v>
      </c>
      <c r="AG345" s="799">
        <f t="shared" si="161"/>
        <v>-2</v>
      </c>
      <c r="AH345" s="176">
        <f t="shared" si="162"/>
        <v>4</v>
      </c>
      <c r="AI345" s="224">
        <f t="shared" si="163"/>
        <v>-1.0011844588552314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11.706</v>
      </c>
      <c r="C346" s="388"/>
      <c r="D346" s="391">
        <f t="shared" si="143"/>
        <v>11.777108112776263</v>
      </c>
      <c r="E346" s="383">
        <f t="shared" si="140"/>
        <v>12.081960776312334</v>
      </c>
      <c r="F346" s="383">
        <f t="shared" si="142"/>
        <v>12.083864737284379</v>
      </c>
      <c r="G346" s="110">
        <f t="shared" si="141"/>
        <v>0.45294236470243937</v>
      </c>
      <c r="I346" s="379">
        <f t="shared" si="144"/>
        <v>12.083864737284379</v>
      </c>
      <c r="J346" s="85">
        <v>2018</v>
      </c>
      <c r="K346" s="197">
        <f t="shared" si="145"/>
        <v>43797</v>
      </c>
      <c r="L346" s="435">
        <f t="shared" si="146"/>
        <v>6.0378245741943282E-3</v>
      </c>
      <c r="M346" s="842"/>
      <c r="N346" s="842"/>
      <c r="O346" s="323">
        <f t="shared" si="147"/>
        <v>2.5232052079970202E-2</v>
      </c>
      <c r="P346" s="169">
        <f>(INDEX(Models!$BJ346:$BT346,,T346)*(1-R346)+INDEX(Models!$BJ346:$BT346,,T346+1)*R346-ERP_i)*Q346*Ramure*Pc/MaxiM</f>
        <v>7.1994477798921898E-4</v>
      </c>
      <c r="Q346" s="304">
        <f t="shared" si="148"/>
        <v>0.6</v>
      </c>
      <c r="R346" s="177">
        <f t="shared" si="149"/>
        <v>0.99883415020400346</v>
      </c>
      <c r="S346" s="799">
        <f t="shared" si="167"/>
        <v>-2</v>
      </c>
      <c r="T346" s="176">
        <f t="shared" si="150"/>
        <v>4</v>
      </c>
      <c r="U346" s="250">
        <f t="shared" si="151"/>
        <v>-1.0011658497959965</v>
      </c>
      <c r="V346" s="382">
        <f t="shared" si="152"/>
        <v>25.829811085195708</v>
      </c>
      <c r="W346" s="58"/>
      <c r="X346" s="157">
        <f t="shared" si="153"/>
        <v>43797</v>
      </c>
      <c r="Y346" s="383">
        <f t="shared" si="154"/>
        <v>11.706</v>
      </c>
      <c r="Z346" s="383">
        <f t="shared" si="155"/>
        <v>11.777108112776263</v>
      </c>
      <c r="AA346" s="384">
        <f t="shared" si="156"/>
        <v>12.081960776312334</v>
      </c>
      <c r="AB346" s="197">
        <f t="shared" si="157"/>
        <v>43797</v>
      </c>
      <c r="AC346" s="424">
        <f t="shared" si="158"/>
        <v>2.5232052079970202E-2</v>
      </c>
      <c r="AD346" s="169">
        <f>(INDEX(Models!$BJ346:$BT346,,AH346)*(1-AF346)+INDEX(Models!$BJ346:$BT346,,AH346+1)*AF346-ERP_i)*AE346*Ramure*Pc/MaxiM</f>
        <v>7.1994477798921898E-4</v>
      </c>
      <c r="AE346" s="304">
        <f t="shared" si="159"/>
        <v>0.6</v>
      </c>
      <c r="AF346" s="177">
        <f t="shared" si="160"/>
        <v>0.99883415020400346</v>
      </c>
      <c r="AG346" s="799">
        <f t="shared" si="161"/>
        <v>-2</v>
      </c>
      <c r="AH346" s="176">
        <f t="shared" si="162"/>
        <v>4</v>
      </c>
      <c r="AI346" s="224">
        <f t="shared" si="163"/>
        <v>-1.0011658497959965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15.666</v>
      </c>
      <c r="C347" s="388"/>
      <c r="D347" s="391">
        <f t="shared" si="143"/>
        <v>15.761465202998034</v>
      </c>
      <c r="E347" s="383">
        <f t="shared" si="140"/>
        <v>16.170427570898713</v>
      </c>
      <c r="F347" s="383">
        <f t="shared" si="142"/>
        <v>16.175594142321199</v>
      </c>
      <c r="G347" s="110">
        <f t="shared" si="141"/>
        <v>0.61107048756855498</v>
      </c>
      <c r="I347" s="379">
        <f t="shared" si="144"/>
        <v>16.175594142321199</v>
      </c>
      <c r="J347" s="85">
        <v>2018</v>
      </c>
      <c r="K347" s="197">
        <f t="shared" si="145"/>
        <v>43798</v>
      </c>
      <c r="L347" s="435">
        <f t="shared" si="146"/>
        <v>6.0568736325271599E-3</v>
      </c>
      <c r="M347" s="842"/>
      <c r="N347" s="842"/>
      <c r="O347" s="323">
        <f t="shared" si="147"/>
        <v>2.5290757842215194E-2</v>
      </c>
      <c r="P347" s="169">
        <f>(INDEX(Models!$BJ347:$BT347,,T347)*(1-R347)+INDEX(Models!$BJ347:$BT347,,T347+1)*R347-ERP_i)*Q347*Ramure*Pc/MaxiM</f>
        <v>7.1819288104302509E-4</v>
      </c>
      <c r="Q347" s="304">
        <f t="shared" si="148"/>
        <v>0.6</v>
      </c>
      <c r="R347" s="177">
        <f t="shared" si="149"/>
        <v>0.99885201131013246</v>
      </c>
      <c r="S347" s="799">
        <f t="shared" si="167"/>
        <v>-2</v>
      </c>
      <c r="T347" s="176">
        <f t="shared" si="150"/>
        <v>4</v>
      </c>
      <c r="U347" s="250">
        <f t="shared" si="151"/>
        <v>-1.0011479886898675</v>
      </c>
      <c r="V347" s="382">
        <f t="shared" si="152"/>
        <v>25.626749969331399</v>
      </c>
      <c r="W347" s="58"/>
      <c r="X347" s="157">
        <f t="shared" si="153"/>
        <v>43798</v>
      </c>
      <c r="Y347" s="383">
        <f t="shared" si="154"/>
        <v>15.666</v>
      </c>
      <c r="Z347" s="383">
        <f t="shared" si="155"/>
        <v>15.761465202998034</v>
      </c>
      <c r="AA347" s="384">
        <f t="shared" si="156"/>
        <v>16.170427570898713</v>
      </c>
      <c r="AB347" s="197">
        <f t="shared" si="157"/>
        <v>43798</v>
      </c>
      <c r="AC347" s="424">
        <f t="shared" si="158"/>
        <v>2.5290757842215194E-2</v>
      </c>
      <c r="AD347" s="169">
        <f>(INDEX(Models!$BJ347:$BT347,,AH347)*(1-AF347)+INDEX(Models!$BJ347:$BT347,,AH347+1)*AF347-ERP_i)*AE347*Ramure*Pc/MaxiM</f>
        <v>7.1819288104302509E-4</v>
      </c>
      <c r="AE347" s="304">
        <f t="shared" si="159"/>
        <v>0.6</v>
      </c>
      <c r="AF347" s="177">
        <f t="shared" si="160"/>
        <v>0.99885201131013246</v>
      </c>
      <c r="AG347" s="799">
        <f t="shared" si="161"/>
        <v>-2</v>
      </c>
      <c r="AH347" s="176">
        <f t="shared" si="162"/>
        <v>4</v>
      </c>
      <c r="AI347" s="224">
        <f t="shared" si="163"/>
        <v>-1.0011479886898675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11.48</v>
      </c>
      <c r="C348" s="388"/>
      <c r="D348" s="391">
        <f t="shared" si="143"/>
        <v>11.550177984281534</v>
      </c>
      <c r="E348" s="383">
        <f t="shared" si="140"/>
        <v>11.850588065402066</v>
      </c>
      <c r="F348" s="383">
        <f t="shared" si="142"/>
        <v>11.852427690707582</v>
      </c>
      <c r="G348" s="110">
        <f t="shared" si="141"/>
        <v>0.45119797132590506</v>
      </c>
      <c r="I348" s="379">
        <f t="shared" si="144"/>
        <v>11.852427690707582</v>
      </c>
      <c r="J348" s="85">
        <v>2018</v>
      </c>
      <c r="K348" s="197">
        <f t="shared" si="145"/>
        <v>43799</v>
      </c>
      <c r="L348" s="435">
        <f t="shared" si="146"/>
        <v>6.0759223257891293E-3</v>
      </c>
      <c r="M348" s="842"/>
      <c r="N348" s="842"/>
      <c r="O348" s="323">
        <f t="shared" si="147"/>
        <v>2.5349803694348628E-2</v>
      </c>
      <c r="P348" s="169">
        <f>(INDEX(Models!$BJ348:$BT348,,T348)*(1-R348)+INDEX(Models!$BJ348:$BT348,,T348+1)*R348-ERP_i)*Q348*Ramure*Pc/MaxiM</f>
        <v>7.1737404631098836E-4</v>
      </c>
      <c r="Q348" s="304">
        <f t="shared" si="148"/>
        <v>0.6</v>
      </c>
      <c r="R348" s="177">
        <f t="shared" si="149"/>
        <v>0.99886915447534164</v>
      </c>
      <c r="S348" s="799">
        <f t="shared" si="167"/>
        <v>-2</v>
      </c>
      <c r="T348" s="176">
        <f t="shared" si="150"/>
        <v>4</v>
      </c>
      <c r="U348" s="250">
        <f t="shared" si="151"/>
        <v>-1.0011308455246584</v>
      </c>
      <c r="V348" s="382">
        <f t="shared" si="152"/>
        <v>25.429071258657732</v>
      </c>
      <c r="W348" s="58"/>
      <c r="X348" s="157">
        <f t="shared" si="153"/>
        <v>43799</v>
      </c>
      <c r="Y348" s="383">
        <f t="shared" si="154"/>
        <v>11.48</v>
      </c>
      <c r="Z348" s="383">
        <f t="shared" si="155"/>
        <v>11.550177984281534</v>
      </c>
      <c r="AA348" s="384">
        <f t="shared" si="156"/>
        <v>11.850588065402066</v>
      </c>
      <c r="AB348" s="197">
        <f t="shared" si="157"/>
        <v>43799</v>
      </c>
      <c r="AC348" s="424">
        <f t="shared" si="158"/>
        <v>2.5349803694348628E-2</v>
      </c>
      <c r="AD348" s="169">
        <f>(INDEX(Models!$BJ348:$BT348,,AH348)*(1-AF348)+INDEX(Models!$BJ348:$BT348,,AH348+1)*AF348-ERP_i)*AE348*Ramure*Pc/MaxiM</f>
        <v>7.1737404631098836E-4</v>
      </c>
      <c r="AE348" s="304">
        <f t="shared" si="159"/>
        <v>0.6</v>
      </c>
      <c r="AF348" s="177">
        <f t="shared" si="160"/>
        <v>0.99886915447534164</v>
      </c>
      <c r="AG348" s="799">
        <f t="shared" si="161"/>
        <v>-2</v>
      </c>
      <c r="AH348" s="176">
        <f t="shared" si="162"/>
        <v>4</v>
      </c>
      <c r="AI348" s="224">
        <f t="shared" si="163"/>
        <v>-1.0011308455246584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7.9050000000000002</v>
      </c>
      <c r="C349" s="388"/>
      <c r="D349" s="391">
        <f t="shared" si="143"/>
        <v>7.9534762040609372</v>
      </c>
      <c r="E349" s="383">
        <f t="shared" si="140"/>
        <v>8.1608364520097574</v>
      </c>
      <c r="F349" s="383">
        <f t="shared" si="142"/>
        <v>8.160947078517955</v>
      </c>
      <c r="G349" s="110">
        <f t="shared" si="141"/>
        <v>0.31300496918263032</v>
      </c>
      <c r="I349" s="379">
        <f t="shared" si="144"/>
        <v>8.160947078517955</v>
      </c>
      <c r="J349" s="85">
        <v>2018</v>
      </c>
      <c r="K349" s="197">
        <f t="shared" si="145"/>
        <v>43800</v>
      </c>
      <c r="L349" s="435">
        <f t="shared" si="146"/>
        <v>6.0949706539872306E-3</v>
      </c>
      <c r="M349" s="842"/>
      <c r="N349" s="842"/>
      <c r="O349" s="323">
        <f t="shared" si="147"/>
        <v>2.5409190487790608E-2</v>
      </c>
      <c r="P349" s="169">
        <f>(INDEX(Models!$BJ349:$BT349,,T349)*(1-R349)+INDEX(Models!$BJ349:$BT349,,T349+1)*R349-ERP_i)*Q349*Ramure*Pc/MaxiM</f>
        <v>7.1747370201988617E-4</v>
      </c>
      <c r="Q349" s="304">
        <f t="shared" si="148"/>
        <v>0.6</v>
      </c>
      <c r="R349" s="177">
        <f t="shared" si="149"/>
        <v>0.9988856085115172</v>
      </c>
      <c r="S349" s="799">
        <f t="shared" si="167"/>
        <v>-2</v>
      </c>
      <c r="T349" s="176">
        <f t="shared" si="150"/>
        <v>4</v>
      </c>
      <c r="U349" s="250">
        <f t="shared" si="151"/>
        <v>-1.0011143914884828</v>
      </c>
      <c r="V349" s="382">
        <f t="shared" si="152"/>
        <v>25.237412276795013</v>
      </c>
      <c r="W349" s="58"/>
      <c r="X349" s="157">
        <f t="shared" si="153"/>
        <v>43800</v>
      </c>
      <c r="Y349" s="383">
        <f t="shared" si="154"/>
        <v>7.9049999999999994</v>
      </c>
      <c r="Z349" s="383">
        <f t="shared" si="155"/>
        <v>7.9534762040609364</v>
      </c>
      <c r="AA349" s="384">
        <f t="shared" si="156"/>
        <v>8.1608364520097574</v>
      </c>
      <c r="AB349" s="197">
        <f t="shared" si="157"/>
        <v>43800</v>
      </c>
      <c r="AC349" s="424">
        <f t="shared" si="158"/>
        <v>2.5409190487790608E-2</v>
      </c>
      <c r="AD349" s="169">
        <f>(INDEX(Models!$BJ349:$BT349,,AH349)*(1-AF349)+INDEX(Models!$BJ349:$BT349,,AH349+1)*AF349-ERP_i)*AE349*Ramure*Pc/MaxiM</f>
        <v>7.1747370201988617E-4</v>
      </c>
      <c r="AE349" s="304">
        <f t="shared" si="159"/>
        <v>0.6</v>
      </c>
      <c r="AF349" s="177">
        <f t="shared" si="160"/>
        <v>0.9988856085115172</v>
      </c>
      <c r="AG349" s="799">
        <f t="shared" si="161"/>
        <v>-2</v>
      </c>
      <c r="AH349" s="176">
        <f t="shared" si="162"/>
        <v>4</v>
      </c>
      <c r="AI349" s="224">
        <f t="shared" si="163"/>
        <v>-1.0011143914884828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4.1319999999999997</v>
      </c>
      <c r="C350" s="388"/>
      <c r="D350" s="391">
        <f t="shared" si="143"/>
        <v>4.1574185343180146</v>
      </c>
      <c r="E350" s="383">
        <f t="shared" si="140"/>
        <v>4.2660707383100913</v>
      </c>
      <c r="F350" s="383">
        <f t="shared" si="142"/>
        <v>4.2660707383100913</v>
      </c>
      <c r="G350" s="110">
        <f t="shared" si="141"/>
        <v>0.16481572953539741</v>
      </c>
      <c r="I350" s="379">
        <f t="shared" si="144"/>
        <v>4.2660707383100913</v>
      </c>
      <c r="J350" s="85">
        <v>2018</v>
      </c>
      <c r="K350" s="197">
        <f t="shared" si="145"/>
        <v>43801</v>
      </c>
      <c r="L350" s="435">
        <f t="shared" si="146"/>
        <v>6.1140186171284583E-3</v>
      </c>
      <c r="M350" s="842"/>
      <c r="N350" s="842"/>
      <c r="O350" s="323">
        <f t="shared" si="147"/>
        <v>2.5468917572407025E-2</v>
      </c>
      <c r="P350" s="169">
        <f>(INDEX(Models!$BJ350:$BT350,,T350)*(1-R350)+INDEX(Models!$BJ350:$BT350,,T350+1)*R350-ERP_i)*Q350*Ramure*Pc/MaxiM</f>
        <v>7.1847632461256709E-4</v>
      </c>
      <c r="Q350" s="304">
        <f t="shared" si="148"/>
        <v>0.6</v>
      </c>
      <c r="R350" s="177">
        <f t="shared" si="149"/>
        <v>0.9989014010779389</v>
      </c>
      <c r="S350" s="799">
        <f t="shared" si="167"/>
        <v>-2</v>
      </c>
      <c r="T350" s="176">
        <f t="shared" si="150"/>
        <v>4</v>
      </c>
      <c r="U350" s="250">
        <f t="shared" si="151"/>
        <v>-1.0010985989220611</v>
      </c>
      <c r="V350" s="382">
        <f t="shared" si="152"/>
        <v>25.052410152029264</v>
      </c>
      <c r="W350" s="58"/>
      <c r="X350" s="157">
        <f t="shared" si="153"/>
        <v>43801</v>
      </c>
      <c r="Y350" s="383">
        <f t="shared" si="154"/>
        <v>4.1319999999999997</v>
      </c>
      <c r="Z350" s="383">
        <f t="shared" si="155"/>
        <v>4.1574185343180146</v>
      </c>
      <c r="AA350" s="384">
        <f t="shared" si="156"/>
        <v>4.2660707383100913</v>
      </c>
      <c r="AB350" s="197">
        <f t="shared" si="157"/>
        <v>43801</v>
      </c>
      <c r="AC350" s="424">
        <f t="shared" si="158"/>
        <v>2.5468917572407025E-2</v>
      </c>
      <c r="AD350" s="169">
        <f>(INDEX(Models!$BJ350:$BT350,,AH350)*(1-AF350)+INDEX(Models!$BJ350:$BT350,,AH350+1)*AF350-ERP_i)*AE350*Ramure*Pc/MaxiM</f>
        <v>7.1847632461256709E-4</v>
      </c>
      <c r="AE350" s="304">
        <f t="shared" si="159"/>
        <v>0.6</v>
      </c>
      <c r="AF350" s="177">
        <f t="shared" si="160"/>
        <v>0.9989014010779389</v>
      </c>
      <c r="AG350" s="799">
        <f t="shared" si="161"/>
        <v>-2</v>
      </c>
      <c r="AH350" s="176">
        <f t="shared" si="162"/>
        <v>4</v>
      </c>
      <c r="AI350" s="224">
        <f t="shared" si="163"/>
        <v>-1.0010985989220611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4.6120000000000001</v>
      </c>
      <c r="C351" s="388"/>
      <c r="D351" s="391">
        <f t="shared" si="143"/>
        <v>4.6404602499822367</v>
      </c>
      <c r="E351" s="383">
        <f t="shared" si="140"/>
        <v>4.7620300329688083</v>
      </c>
      <c r="F351" s="383">
        <f t="shared" si="142"/>
        <v>4.7620300329688083</v>
      </c>
      <c r="G351" s="110">
        <f t="shared" si="141"/>
        <v>0.18527569537311228</v>
      </c>
      <c r="I351" s="379">
        <f t="shared" si="144"/>
        <v>4.7620300329688083</v>
      </c>
      <c r="J351" s="85">
        <v>2018</v>
      </c>
      <c r="K351" s="197">
        <f t="shared" si="145"/>
        <v>43802</v>
      </c>
      <c r="L351" s="435">
        <f t="shared" si="146"/>
        <v>6.1330662152198068E-3</v>
      </c>
      <c r="M351" s="842"/>
      <c r="N351" s="842"/>
      <c r="O351" s="323">
        <f t="shared" si="147"/>
        <v>2.5528982838182744E-2</v>
      </c>
      <c r="P351" s="169">
        <f>(INDEX(Models!$BJ351:$BT351,,T351)*(1-R351)+INDEX(Models!$BJ351:$BT351,,T351+1)*R351-ERP_i)*Q351*Ramure*Pc/MaxiM</f>
        <v>7.2036524334421754E-4</v>
      </c>
      <c r="Q351" s="304">
        <f t="shared" si="148"/>
        <v>0.6</v>
      </c>
      <c r="R351" s="177">
        <f t="shared" si="149"/>
        <v>0.99891655872710161</v>
      </c>
      <c r="S351" s="799">
        <f t="shared" si="167"/>
        <v>-2</v>
      </c>
      <c r="T351" s="176">
        <f t="shared" si="150"/>
        <v>4</v>
      </c>
      <c r="U351" s="250">
        <f t="shared" si="151"/>
        <v>-1.0010834412728984</v>
      </c>
      <c r="V351" s="382">
        <f t="shared" si="152"/>
        <v>24.874701812434925</v>
      </c>
      <c r="W351" s="58"/>
      <c r="X351" s="157">
        <f t="shared" si="153"/>
        <v>43802</v>
      </c>
      <c r="Y351" s="383">
        <f t="shared" si="154"/>
        <v>4.6120000000000001</v>
      </c>
      <c r="Z351" s="383">
        <f t="shared" si="155"/>
        <v>4.6404602499822367</v>
      </c>
      <c r="AA351" s="384">
        <f t="shared" si="156"/>
        <v>4.7620300329688083</v>
      </c>
      <c r="AB351" s="197">
        <f t="shared" si="157"/>
        <v>43802</v>
      </c>
      <c r="AC351" s="424">
        <f t="shared" si="158"/>
        <v>2.5528982838182744E-2</v>
      </c>
      <c r="AD351" s="169">
        <f>(INDEX(Models!$BJ351:$BT351,,AH351)*(1-AF351)+INDEX(Models!$BJ351:$BT351,,AH351+1)*AF351-ERP_i)*AE351*Ramure*Pc/MaxiM</f>
        <v>7.2036524334421754E-4</v>
      </c>
      <c r="AE351" s="304">
        <f t="shared" si="159"/>
        <v>0.6</v>
      </c>
      <c r="AF351" s="177">
        <f t="shared" si="160"/>
        <v>0.99891655872710161</v>
      </c>
      <c r="AG351" s="799">
        <f t="shared" si="161"/>
        <v>-2</v>
      </c>
      <c r="AH351" s="176">
        <f t="shared" si="162"/>
        <v>4</v>
      </c>
      <c r="AI351" s="224">
        <f t="shared" si="163"/>
        <v>-1.0010834412728984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6.0949999999999998</v>
      </c>
      <c r="C352" s="388"/>
      <c r="D352" s="391">
        <f t="shared" si="143"/>
        <v>6.1327292460693315</v>
      </c>
      <c r="E352" s="383">
        <f t="shared" si="140"/>
        <v>6.2937832753458105</v>
      </c>
      <c r="F352" s="383">
        <f t="shared" si="142"/>
        <v>6.2937832753458105</v>
      </c>
      <c r="G352" s="110">
        <f t="shared" si="141"/>
        <v>0.24653354837484387</v>
      </c>
      <c r="I352" s="379">
        <f t="shared" si="144"/>
        <v>6.2937832753458105</v>
      </c>
      <c r="J352" s="85">
        <v>2018</v>
      </c>
      <c r="K352" s="197">
        <f t="shared" si="145"/>
        <v>43803</v>
      </c>
      <c r="L352" s="435">
        <f t="shared" si="146"/>
        <v>6.1521134482682704E-3</v>
      </c>
      <c r="M352" s="842"/>
      <c r="N352" s="842"/>
      <c r="O352" s="323">
        <f t="shared" si="147"/>
        <v>2.5589382765587816E-2</v>
      </c>
      <c r="P352" s="169">
        <f>(INDEX(Models!$BJ352:$BT352,,T352)*(1-R352)+INDEX(Models!$BJ352:$BT352,,T352+1)*R352-ERP_i)*Q352*Ramure*Pc/MaxiM</f>
        <v>7.239654193137657E-4</v>
      </c>
      <c r="Q352" s="304">
        <f t="shared" si="148"/>
        <v>0.6</v>
      </c>
      <c r="R352" s="177">
        <f t="shared" si="149"/>
        <v>0.99893110694873655</v>
      </c>
      <c r="S352" s="799">
        <f t="shared" si="167"/>
        <v>-2</v>
      </c>
      <c r="T352" s="176">
        <f t="shared" si="150"/>
        <v>4</v>
      </c>
      <c r="U352" s="250">
        <f t="shared" si="151"/>
        <v>-1.0010688930512635</v>
      </c>
      <c r="V352" s="382">
        <f t="shared" si="152"/>
        <v>24.704903129487274</v>
      </c>
      <c r="W352" s="58"/>
      <c r="X352" s="157">
        <f t="shared" si="153"/>
        <v>43803</v>
      </c>
      <c r="Y352" s="383">
        <f t="shared" si="154"/>
        <v>6.0949999999999998</v>
      </c>
      <c r="Z352" s="383">
        <f t="shared" si="155"/>
        <v>6.1327292460693315</v>
      </c>
      <c r="AA352" s="384">
        <f t="shared" si="156"/>
        <v>6.2937832753458105</v>
      </c>
      <c r="AB352" s="197">
        <f t="shared" si="157"/>
        <v>43803</v>
      </c>
      <c r="AC352" s="424">
        <f t="shared" si="158"/>
        <v>2.5589382765587816E-2</v>
      </c>
      <c r="AD352" s="169">
        <f>(INDEX(Models!$BJ352:$BT352,,AH352)*(1-AF352)+INDEX(Models!$BJ352:$BT352,,AH352+1)*AF352-ERP_i)*AE352*Ramure*Pc/MaxiM</f>
        <v>7.239654193137657E-4</v>
      </c>
      <c r="AE352" s="304">
        <f t="shared" si="159"/>
        <v>0.6</v>
      </c>
      <c r="AF352" s="177">
        <f t="shared" si="160"/>
        <v>0.99893110694873655</v>
      </c>
      <c r="AG352" s="799">
        <f t="shared" si="161"/>
        <v>-2</v>
      </c>
      <c r="AH352" s="176">
        <f t="shared" si="162"/>
        <v>4</v>
      </c>
      <c r="AI352" s="224">
        <f t="shared" si="163"/>
        <v>-1.0010688930512635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8.9540000000000006</v>
      </c>
      <c r="C353" s="388"/>
      <c r="D353" s="391">
        <f t="shared" si="143"/>
        <v>9.0095996840356989</v>
      </c>
      <c r="E353" s="383">
        <f t="shared" si="140"/>
        <v>9.2467806477673911</v>
      </c>
      <c r="F353" s="383">
        <f t="shared" si="142"/>
        <v>9.2474057354658896</v>
      </c>
      <c r="G353" s="110">
        <f t="shared" si="141"/>
        <v>0.36457799517882439</v>
      </c>
      <c r="I353" s="379">
        <f t="shared" si="144"/>
        <v>9.2474057354658896</v>
      </c>
      <c r="J353" s="85">
        <v>2018</v>
      </c>
      <c r="K353" s="197">
        <f t="shared" si="145"/>
        <v>43804</v>
      </c>
      <c r="L353" s="435">
        <f t="shared" si="146"/>
        <v>6.1711603162809547E-3</v>
      </c>
      <c r="M353" s="842"/>
      <c r="N353" s="842"/>
      <c r="O353" s="323">
        <f t="shared" si="147"/>
        <v>2.5650112484171254E-2</v>
      </c>
      <c r="P353" s="169">
        <f>(INDEX(Models!$BJ353:$BT353,,T353)*(1-R353)+INDEX(Models!$BJ353:$BT353,,T353+1)*R353-ERP_i)*Q353*Ramure*Pc/MaxiM</f>
        <v>7.2998226692570875E-4</v>
      </c>
      <c r="Q353" s="304">
        <f t="shared" si="148"/>
        <v>0.6</v>
      </c>
      <c r="R353" s="177">
        <f t="shared" si="149"/>
        <v>0.99894507021210543</v>
      </c>
      <c r="S353" s="799">
        <f t="shared" si="167"/>
        <v>-2</v>
      </c>
      <c r="T353" s="176">
        <f t="shared" si="150"/>
        <v>4</v>
      </c>
      <c r="U353" s="250">
        <f t="shared" si="151"/>
        <v>-1.0010549297878946</v>
      </c>
      <c r="V353" s="382">
        <f t="shared" si="152"/>
        <v>24.543633216524693</v>
      </c>
      <c r="W353" s="58"/>
      <c r="X353" s="157">
        <f t="shared" si="153"/>
        <v>43804</v>
      </c>
      <c r="Y353" s="383">
        <f t="shared" si="154"/>
        <v>8.9540000000000006</v>
      </c>
      <c r="Z353" s="383">
        <f t="shared" si="155"/>
        <v>9.0095996840356989</v>
      </c>
      <c r="AA353" s="384">
        <f t="shared" si="156"/>
        <v>9.2467806477673911</v>
      </c>
      <c r="AB353" s="197">
        <f t="shared" si="157"/>
        <v>43804</v>
      </c>
      <c r="AC353" s="424">
        <f t="shared" si="158"/>
        <v>2.5650112484171254E-2</v>
      </c>
      <c r="AD353" s="169">
        <f>(INDEX(Models!$BJ353:$BT353,,AH353)*(1-AF353)+INDEX(Models!$BJ353:$BT353,,AH353+1)*AF353-ERP_i)*AE353*Ramure*Pc/MaxiM</f>
        <v>7.2998226692570875E-4</v>
      </c>
      <c r="AE353" s="304">
        <f t="shared" si="159"/>
        <v>0.6</v>
      </c>
      <c r="AF353" s="177">
        <f t="shared" si="160"/>
        <v>0.99894507021210543</v>
      </c>
      <c r="AG353" s="799">
        <f t="shared" si="161"/>
        <v>-2</v>
      </c>
      <c r="AH353" s="176">
        <f t="shared" si="162"/>
        <v>4</v>
      </c>
      <c r="AI353" s="224">
        <f t="shared" si="163"/>
        <v>-1.0010549297878946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8.782</v>
      </c>
      <c r="C354" s="388"/>
      <c r="D354" s="391">
        <f t="shared" si="143"/>
        <v>8.8367010068322962</v>
      </c>
      <c r="E354" s="383">
        <f t="shared" si="140"/>
        <v>9.0698986758281013</v>
      </c>
      <c r="F354" s="383">
        <f t="shared" si="142"/>
        <v>9.0704731698901107</v>
      </c>
      <c r="G354" s="110">
        <f t="shared" si="141"/>
        <v>0.3597999638181944</v>
      </c>
      <c r="I354" s="379">
        <f t="shared" si="144"/>
        <v>9.0704731698901107</v>
      </c>
      <c r="J354" s="85">
        <v>2018</v>
      </c>
      <c r="K354" s="197">
        <f t="shared" si="145"/>
        <v>43805</v>
      </c>
      <c r="L354" s="435">
        <f t="shared" si="146"/>
        <v>6.190206819264632E-3</v>
      </c>
      <c r="M354" s="842"/>
      <c r="N354" s="842"/>
      <c r="O354" s="323">
        <f t="shared" si="147"/>
        <v>2.5711165838852502E-2</v>
      </c>
      <c r="P354" s="169">
        <f>(INDEX(Models!$BJ354:$BT354,,T354)*(1-R354)+INDEX(Models!$BJ354:$BT354,,T354+1)*R354-ERP_i)*Q354*Ramure*Pc/MaxiM</f>
        <v>7.3839889179929492E-4</v>
      </c>
      <c r="Q354" s="304">
        <f t="shared" si="148"/>
        <v>0.6</v>
      </c>
      <c r="R354" s="177">
        <f t="shared" si="149"/>
        <v>0.99895847200662846</v>
      </c>
      <c r="S354" s="799">
        <f t="shared" si="167"/>
        <v>-2</v>
      </c>
      <c r="T354" s="176">
        <f t="shared" si="150"/>
        <v>4</v>
      </c>
      <c r="U354" s="250">
        <f t="shared" si="151"/>
        <v>-1.0010415279933715</v>
      </c>
      <c r="V354" s="382">
        <f t="shared" si="152"/>
        <v>24.391528935711722</v>
      </c>
      <c r="W354" s="58"/>
      <c r="X354" s="157">
        <f t="shared" si="153"/>
        <v>43805</v>
      </c>
      <c r="Y354" s="383">
        <f t="shared" si="154"/>
        <v>8.782</v>
      </c>
      <c r="Z354" s="383">
        <f t="shared" si="155"/>
        <v>8.8367010068322962</v>
      </c>
      <c r="AA354" s="384">
        <f t="shared" si="156"/>
        <v>9.0698986758281013</v>
      </c>
      <c r="AB354" s="197">
        <f t="shared" si="157"/>
        <v>43805</v>
      </c>
      <c r="AC354" s="424">
        <f t="shared" si="158"/>
        <v>2.5711165838852502E-2</v>
      </c>
      <c r="AD354" s="169">
        <f>(INDEX(Models!$BJ354:$BT354,,AH354)*(1-AF354)+INDEX(Models!$BJ354:$BT354,,AH354+1)*AF354-ERP_i)*AE354*Ramure*Pc/MaxiM</f>
        <v>7.3839889179929492E-4</v>
      </c>
      <c r="AE354" s="304">
        <f t="shared" si="159"/>
        <v>0.6</v>
      </c>
      <c r="AF354" s="177">
        <f t="shared" si="160"/>
        <v>0.99895847200662846</v>
      </c>
      <c r="AG354" s="799">
        <f t="shared" si="161"/>
        <v>-2</v>
      </c>
      <c r="AH354" s="176">
        <f t="shared" si="162"/>
        <v>4</v>
      </c>
      <c r="AI354" s="224">
        <f t="shared" si="163"/>
        <v>-1.0010415279933715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15.117000000000001</v>
      </c>
      <c r="C355" s="388"/>
      <c r="D355" s="391">
        <f t="shared" si="143"/>
        <v>15.211451751773408</v>
      </c>
      <c r="E355" s="383">
        <f t="shared" si="140"/>
        <v>15.613860525896424</v>
      </c>
      <c r="F355" s="383">
        <f t="shared" si="142"/>
        <v>15.619266818048127</v>
      </c>
      <c r="G355" s="110">
        <f t="shared" si="141"/>
        <v>0.6231499595984471</v>
      </c>
      <c r="I355" s="379">
        <f t="shared" si="144"/>
        <v>15.619266818048127</v>
      </c>
      <c r="J355" s="85">
        <v>2018</v>
      </c>
      <c r="K355" s="197">
        <f t="shared" si="145"/>
        <v>43806</v>
      </c>
      <c r="L355" s="435">
        <f t="shared" si="146"/>
        <v>6.2092529572265187E-3</v>
      </c>
      <c r="M355" s="842"/>
      <c r="N355" s="842"/>
      <c r="O355" s="323">
        <f t="shared" si="147"/>
        <v>2.5772535463321103E-2</v>
      </c>
      <c r="P355" s="169">
        <f>(INDEX(Models!$BJ355:$BT355,,T355)*(1-R355)+INDEX(Models!$BJ355:$BT355,,T355+1)*R355-ERP_i)*Q355*Ramure*Pc/MaxiM</f>
        <v>7.4919543272933026E-4</v>
      </c>
      <c r="Q355" s="304">
        <f t="shared" si="148"/>
        <v>0.6</v>
      </c>
      <c r="R355" s="177">
        <f t="shared" si="149"/>
        <v>0.9989713348809135</v>
      </c>
      <c r="S355" s="799">
        <f t="shared" si="167"/>
        <v>-2</v>
      </c>
      <c r="T355" s="176">
        <f t="shared" si="150"/>
        <v>4</v>
      </c>
      <c r="U355" s="250">
        <f t="shared" si="151"/>
        <v>-1.0010286651190865</v>
      </c>
      <c r="V355" s="382">
        <f t="shared" si="152"/>
        <v>24.249226872004293</v>
      </c>
      <c r="W355" s="58"/>
      <c r="X355" s="157">
        <f t="shared" si="153"/>
        <v>43806</v>
      </c>
      <c r="Y355" s="383">
        <f t="shared" si="154"/>
        <v>15.117000000000001</v>
      </c>
      <c r="Z355" s="383">
        <f t="shared" si="155"/>
        <v>15.211451751773408</v>
      </c>
      <c r="AA355" s="384">
        <f t="shared" si="156"/>
        <v>15.613860525896424</v>
      </c>
      <c r="AB355" s="197">
        <f t="shared" si="157"/>
        <v>43806</v>
      </c>
      <c r="AC355" s="424">
        <f t="shared" si="158"/>
        <v>2.5772535463321103E-2</v>
      </c>
      <c r="AD355" s="169">
        <f>(INDEX(Models!$BJ355:$BT355,,AH355)*(1-AF355)+INDEX(Models!$BJ355:$BT355,,AH355+1)*AF355-ERP_i)*AE355*Ramure*Pc/MaxiM</f>
        <v>7.4919543272933026E-4</v>
      </c>
      <c r="AE355" s="304">
        <f t="shared" si="159"/>
        <v>0.6</v>
      </c>
      <c r="AF355" s="177">
        <f t="shared" si="160"/>
        <v>0.9989713348809135</v>
      </c>
      <c r="AG355" s="799">
        <f t="shared" si="161"/>
        <v>-2</v>
      </c>
      <c r="AH355" s="176">
        <f t="shared" si="162"/>
        <v>4</v>
      </c>
      <c r="AI355" s="224">
        <f t="shared" si="163"/>
        <v>-1.0010286651190865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16.524999999999999</v>
      </c>
      <c r="C356" s="388"/>
      <c r="D356" s="391">
        <f t="shared" si="143"/>
        <v>16.628567687009603</v>
      </c>
      <c r="E356" s="383">
        <f t="shared" si="140"/>
        <v>17.069545971047528</v>
      </c>
      <c r="F356" s="383">
        <f t="shared" si="142"/>
        <v>17.076709643331426</v>
      </c>
      <c r="G356" s="110">
        <f t="shared" si="141"/>
        <v>0.68495597260018271</v>
      </c>
      <c r="I356" s="379">
        <f t="shared" si="144"/>
        <v>17.076709643331426</v>
      </c>
      <c r="J356" s="85">
        <v>2018</v>
      </c>
      <c r="K356" s="197">
        <f t="shared" si="145"/>
        <v>43807</v>
      </c>
      <c r="L356" s="435">
        <f t="shared" si="146"/>
        <v>6.2282987301734982E-3</v>
      </c>
      <c r="M356" s="842"/>
      <c r="N356" s="842"/>
      <c r="O356" s="323">
        <f t="shared" si="147"/>
        <v>2.583421285990194E-2</v>
      </c>
      <c r="P356" s="169">
        <f>(INDEX(Models!$BJ356:$BT356,,T356)*(1-R356)+INDEX(Models!$BJ356:$BT356,,T356+1)*R356-ERP_i)*Q356*Ramure*Pc/MaxiM</f>
        <v>7.6234830330727268E-4</v>
      </c>
      <c r="Q356" s="304">
        <f t="shared" si="148"/>
        <v>0.6</v>
      </c>
      <c r="R356" s="177">
        <f t="shared" si="149"/>
        <v>0.99898368048024766</v>
      </c>
      <c r="S356" s="799">
        <f t="shared" si="167"/>
        <v>-2</v>
      </c>
      <c r="T356" s="176">
        <f t="shared" si="150"/>
        <v>4</v>
      </c>
      <c r="U356" s="250">
        <f t="shared" si="151"/>
        <v>-1.0010163195197523</v>
      </c>
      <c r="V356" s="382">
        <f t="shared" si="152"/>
        <v>24.117363316363829</v>
      </c>
      <c r="W356" s="58"/>
      <c r="X356" s="157">
        <f t="shared" si="153"/>
        <v>43807</v>
      </c>
      <c r="Y356" s="383">
        <f t="shared" si="154"/>
        <v>16.524999999999999</v>
      </c>
      <c r="Z356" s="383">
        <f t="shared" si="155"/>
        <v>16.628567687009603</v>
      </c>
      <c r="AA356" s="384">
        <f t="shared" si="156"/>
        <v>17.069545971047528</v>
      </c>
      <c r="AB356" s="197">
        <f t="shared" si="157"/>
        <v>43807</v>
      </c>
      <c r="AC356" s="424">
        <f t="shared" si="158"/>
        <v>2.583421285990194E-2</v>
      </c>
      <c r="AD356" s="169">
        <f>(INDEX(Models!$BJ356:$BT356,,AH356)*(1-AF356)+INDEX(Models!$BJ356:$BT356,,AH356+1)*AF356-ERP_i)*AE356*Ramure*Pc/MaxiM</f>
        <v>7.6234830330727268E-4</v>
      </c>
      <c r="AE356" s="304">
        <f t="shared" si="159"/>
        <v>0.6</v>
      </c>
      <c r="AF356" s="177">
        <f t="shared" si="160"/>
        <v>0.99898368048024766</v>
      </c>
      <c r="AG356" s="799">
        <f t="shared" si="161"/>
        <v>-2</v>
      </c>
      <c r="AH356" s="176">
        <f t="shared" si="162"/>
        <v>4</v>
      </c>
      <c r="AI356" s="224">
        <f t="shared" si="163"/>
        <v>-1.0010163195197523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11.446999999999999</v>
      </c>
      <c r="C357" s="388"/>
      <c r="D357" s="391">
        <f t="shared" si="143"/>
        <v>11.518962925509818</v>
      </c>
      <c r="E357" s="383">
        <f t="shared" si="140"/>
        <v>11.825190281923804</v>
      </c>
      <c r="F357" s="383">
        <f t="shared" ref="F357:F379" si="168">Wh_sa/(1-Pvg*MEDIAN((-Sdif+Wh/Env_an)/Csdif,0,1))</f>
        <v>11.827516861952027</v>
      </c>
      <c r="G357" s="110">
        <f t="shared" si="141"/>
        <v>0.47674915935397899</v>
      </c>
      <c r="I357" s="379">
        <f t="shared" si="144"/>
        <v>11.827516861952027</v>
      </c>
      <c r="J357" s="85">
        <v>2018</v>
      </c>
      <c r="K357" s="197">
        <f t="shared" si="145"/>
        <v>43808</v>
      </c>
      <c r="L357" s="435">
        <f t="shared" si="146"/>
        <v>6.2473441381125649E-3</v>
      </c>
      <c r="M357" s="842"/>
      <c r="N357" s="842"/>
      <c r="O357" s="323">
        <f t="shared" si="147"/>
        <v>2.5896188485194302E-2</v>
      </c>
      <c r="P357" s="169">
        <f>(INDEX(Models!$BJ357:$BT357,,T357)*(1-R357)+INDEX(Models!$BJ357:$BT357,,T357+1)*R357-ERP_i)*Q357*Ramure*Pc/MaxiM</f>
        <v>7.778294175793273E-4</v>
      </c>
      <c r="Q357" s="304">
        <f t="shared" si="148"/>
        <v>0.6</v>
      </c>
      <c r="R357" s="177">
        <f t="shared" si="149"/>
        <v>0.99899552958260762</v>
      </c>
      <c r="S357" s="799">
        <f t="shared" si="167"/>
        <v>-2</v>
      </c>
      <c r="T357" s="176">
        <f t="shared" si="150"/>
        <v>4</v>
      </c>
      <c r="U357" s="250">
        <f t="shared" si="151"/>
        <v>-1.0010044704173924</v>
      </c>
      <c r="V357" s="382">
        <f t="shared" si="152"/>
        <v>23.996574261988357</v>
      </c>
      <c r="W357" s="58"/>
      <c r="X357" s="157">
        <f t="shared" si="153"/>
        <v>43808</v>
      </c>
      <c r="Y357" s="383">
        <f t="shared" si="154"/>
        <v>11.446999999999999</v>
      </c>
      <c r="Z357" s="383">
        <f t="shared" si="155"/>
        <v>11.518962925509818</v>
      </c>
      <c r="AA357" s="384">
        <f t="shared" si="156"/>
        <v>11.825190281923804</v>
      </c>
      <c r="AB357" s="197">
        <f t="shared" si="157"/>
        <v>43808</v>
      </c>
      <c r="AC357" s="424">
        <f t="shared" si="158"/>
        <v>2.5896188485194302E-2</v>
      </c>
      <c r="AD357" s="169">
        <f>(INDEX(Models!$BJ357:$BT357,,AH357)*(1-AF357)+INDEX(Models!$BJ357:$BT357,,AH357+1)*AF357-ERP_i)*AE357*Ramure*Pc/MaxiM</f>
        <v>7.778294175793273E-4</v>
      </c>
      <c r="AE357" s="304">
        <f t="shared" si="159"/>
        <v>0.6</v>
      </c>
      <c r="AF357" s="177">
        <f t="shared" si="160"/>
        <v>0.99899552958260762</v>
      </c>
      <c r="AG357" s="799">
        <f t="shared" si="161"/>
        <v>-2</v>
      </c>
      <c r="AH357" s="176">
        <f t="shared" si="162"/>
        <v>4</v>
      </c>
      <c r="AI357" s="224">
        <f t="shared" si="163"/>
        <v>-1.0010044704173924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20.876000000000001</v>
      </c>
      <c r="C358" s="388"/>
      <c r="D358" s="391">
        <f t="shared" si="143"/>
        <v>21.007642060929999</v>
      </c>
      <c r="E358" s="383">
        <f t="shared" si="140"/>
        <v>21.567500996882966</v>
      </c>
      <c r="F358" s="383">
        <f t="shared" si="168"/>
        <v>21.581579026303849</v>
      </c>
      <c r="G358" s="110">
        <f t="shared" si="141"/>
        <v>0.87380474140960318</v>
      </c>
      <c r="I358" s="379">
        <f t="shared" si="144"/>
        <v>21.581579026303849</v>
      </c>
      <c r="J358" s="85">
        <v>2018</v>
      </c>
      <c r="K358" s="197">
        <f t="shared" si="145"/>
        <v>43809</v>
      </c>
      <c r="L358" s="435">
        <f t="shared" si="146"/>
        <v>6.2663891810507133E-3</v>
      </c>
      <c r="M358" s="842"/>
      <c r="N358" s="842"/>
      <c r="O358" s="323">
        <f t="shared" si="147"/>
        <v>2.5958451840752406E-2</v>
      </c>
      <c r="P358" s="169">
        <f>(INDEX(Models!$BJ358:$BT358,,T358)*(1-R358)+INDEX(Models!$BJ358:$BT358,,T358+1)*R358-ERP_i)*Q358*Ramure*Pc/MaxiM</f>
        <v>7.9560541336027983E-4</v>
      </c>
      <c r="Q358" s="304">
        <f t="shared" si="148"/>
        <v>0.6</v>
      </c>
      <c r="R358" s="177">
        <f t="shared" si="149"/>
        <v>0.99900690213325216</v>
      </c>
      <c r="S358" s="799">
        <f t="shared" si="167"/>
        <v>-2</v>
      </c>
      <c r="T358" s="176">
        <f t="shared" si="150"/>
        <v>4</v>
      </c>
      <c r="U358" s="250">
        <f t="shared" si="151"/>
        <v>-1.0009930978667478</v>
      </c>
      <c r="V358" s="382">
        <f t="shared" si="152"/>
        <v>23.887495418542663</v>
      </c>
      <c r="W358" s="58"/>
      <c r="X358" s="157">
        <f t="shared" si="153"/>
        <v>43809</v>
      </c>
      <c r="Y358" s="383">
        <f t="shared" si="154"/>
        <v>20.876000000000001</v>
      </c>
      <c r="Z358" s="383">
        <f t="shared" si="155"/>
        <v>21.007642060929999</v>
      </c>
      <c r="AA358" s="384">
        <f t="shared" si="156"/>
        <v>21.567500996882966</v>
      </c>
      <c r="AB358" s="197">
        <f t="shared" si="157"/>
        <v>43809</v>
      </c>
      <c r="AC358" s="424">
        <f t="shared" si="158"/>
        <v>2.5958451840752406E-2</v>
      </c>
      <c r="AD358" s="169">
        <f>(INDEX(Models!$BJ358:$BT358,,AH358)*(1-AF358)+INDEX(Models!$BJ358:$BT358,,AH358+1)*AF358-ERP_i)*AE358*Ramure*Pc/MaxiM</f>
        <v>7.9560541336027983E-4</v>
      </c>
      <c r="AE358" s="304">
        <f t="shared" si="159"/>
        <v>0.6</v>
      </c>
      <c r="AF358" s="177">
        <f t="shared" si="160"/>
        <v>0.99900690213325216</v>
      </c>
      <c r="AG358" s="799">
        <f t="shared" si="161"/>
        <v>-2</v>
      </c>
      <c r="AH358" s="176">
        <f t="shared" si="162"/>
        <v>4</v>
      </c>
      <c r="AI358" s="224">
        <f t="shared" si="163"/>
        <v>-1.0009930978667478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1.897</v>
      </c>
      <c r="C359" s="388"/>
      <c r="D359" s="391">
        <f t="shared" si="143"/>
        <v>1.9089988862363336</v>
      </c>
      <c r="E359" s="383">
        <f t="shared" si="140"/>
        <v>1.9600000305034191</v>
      </c>
      <c r="F359" s="383">
        <f t="shared" si="168"/>
        <v>1.9600000305034191</v>
      </c>
      <c r="G359" s="110">
        <f t="shared" si="141"/>
        <v>7.9680788552110887E-2</v>
      </c>
      <c r="I359" s="379">
        <f t="shared" si="144"/>
        <v>1.9600000305034191</v>
      </c>
      <c r="J359" s="85">
        <v>2018</v>
      </c>
      <c r="K359" s="197">
        <f t="shared" si="145"/>
        <v>43810</v>
      </c>
      <c r="L359" s="435">
        <f t="shared" si="146"/>
        <v>6.2854338589950487E-3</v>
      </c>
      <c r="M359" s="842"/>
      <c r="N359" s="842"/>
      <c r="O359" s="323">
        <f t="shared" si="147"/>
        <v>2.6020991568038977E-2</v>
      </c>
      <c r="P359" s="169">
        <f>(INDEX(Models!$BJ359:$BT359,,T359)*(1-R359)+INDEX(Models!$BJ359:$BT359,,T359+1)*R359-ERP_i)*Q359*Ramure*Pc/MaxiM</f>
        <v>8.1572895808935931E-4</v>
      </c>
      <c r="Q359" s="304">
        <f t="shared" si="148"/>
        <v>0.6</v>
      </c>
      <c r="R359" s="177">
        <f t="shared" si="149"/>
        <v>0.99901781727794359</v>
      </c>
      <c r="S359" s="799">
        <f t="shared" si="167"/>
        <v>-2</v>
      </c>
      <c r="T359" s="176">
        <f t="shared" si="150"/>
        <v>4</v>
      </c>
      <c r="U359" s="250">
        <f t="shared" si="151"/>
        <v>-1.0009821827220564</v>
      </c>
      <c r="V359" s="382">
        <f t="shared" si="152"/>
        <v>23.788074849772435</v>
      </c>
      <c r="W359" s="58"/>
      <c r="X359" s="157">
        <f t="shared" si="153"/>
        <v>43810</v>
      </c>
      <c r="Y359" s="383">
        <f t="shared" si="154"/>
        <v>1.897</v>
      </c>
      <c r="Z359" s="383">
        <f t="shared" si="155"/>
        <v>1.9089988862363336</v>
      </c>
      <c r="AA359" s="384">
        <f t="shared" si="156"/>
        <v>1.9600000305034191</v>
      </c>
      <c r="AB359" s="197">
        <f t="shared" si="157"/>
        <v>43810</v>
      </c>
      <c r="AC359" s="424">
        <f t="shared" si="158"/>
        <v>2.6020991568038977E-2</v>
      </c>
      <c r="AD359" s="169">
        <f>(INDEX(Models!$BJ359:$BT359,,AH359)*(1-AF359)+INDEX(Models!$BJ359:$BT359,,AH359+1)*AF359-ERP_i)*AE359*Ramure*Pc/MaxiM</f>
        <v>8.1572895808935931E-4</v>
      </c>
      <c r="AE359" s="304">
        <f t="shared" si="159"/>
        <v>0.6</v>
      </c>
      <c r="AF359" s="177">
        <f t="shared" si="160"/>
        <v>0.99901781727794359</v>
      </c>
      <c r="AG359" s="799">
        <f t="shared" si="161"/>
        <v>-2</v>
      </c>
      <c r="AH359" s="176">
        <f t="shared" si="162"/>
        <v>4</v>
      </c>
      <c r="AI359" s="224">
        <f t="shared" si="163"/>
        <v>-1.0009821827220564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4.6219999999999999</v>
      </c>
      <c r="C360" s="388"/>
      <c r="D360" s="391">
        <f t="shared" si="143"/>
        <v>4.6513241717112273</v>
      </c>
      <c r="E360" s="383">
        <f t="shared" si="140"/>
        <v>4.7758977111618721</v>
      </c>
      <c r="F360" s="383">
        <f t="shared" si="168"/>
        <v>4.7758977111618721</v>
      </c>
      <c r="G360" s="110">
        <f t="shared" si="141"/>
        <v>0.19488909006228575</v>
      </c>
      <c r="I360" s="379">
        <f t="shared" si="144"/>
        <v>4.7758977111618721</v>
      </c>
      <c r="J360" s="85">
        <v>2018</v>
      </c>
      <c r="K360" s="197">
        <f t="shared" si="145"/>
        <v>43811</v>
      </c>
      <c r="L360" s="435">
        <f t="shared" si="146"/>
        <v>6.3044781719523435E-3</v>
      </c>
      <c r="M360" s="842"/>
      <c r="N360" s="842"/>
      <c r="O360" s="323">
        <f t="shared" si="147"/>
        <v>2.6083795546856203E-2</v>
      </c>
      <c r="P360" s="169">
        <f>(INDEX(Models!$BJ360:$BT360,,T360)*(1-R360)+INDEX(Models!$BJ360:$BT360,,T360+1)*R360-ERP_i)*Q360*Ramure*Pc/MaxiM</f>
        <v>8.3826054220517026E-4</v>
      </c>
      <c r="Q360" s="304">
        <f t="shared" si="148"/>
        <v>0.6</v>
      </c>
      <c r="R360" s="177">
        <f t="shared" si="149"/>
        <v>0.99902829339485821</v>
      </c>
      <c r="S360" s="799">
        <f t="shared" si="167"/>
        <v>-2</v>
      </c>
      <c r="T360" s="176">
        <f t="shared" si="150"/>
        <v>4</v>
      </c>
      <c r="U360" s="250">
        <f t="shared" si="151"/>
        <v>-1.0009717066051418</v>
      </c>
      <c r="V360" s="382">
        <f t="shared" si="152"/>
        <v>23.696172824748647</v>
      </c>
      <c r="W360" s="58"/>
      <c r="X360" s="157">
        <f t="shared" si="153"/>
        <v>43811</v>
      </c>
      <c r="Y360" s="383">
        <f t="shared" si="154"/>
        <v>4.6219999999999999</v>
      </c>
      <c r="Z360" s="383">
        <f t="shared" si="155"/>
        <v>4.6513241717112273</v>
      </c>
      <c r="AA360" s="384">
        <f t="shared" si="156"/>
        <v>4.7758977111618721</v>
      </c>
      <c r="AB360" s="197">
        <f t="shared" si="157"/>
        <v>43811</v>
      </c>
      <c r="AC360" s="424">
        <f t="shared" si="158"/>
        <v>2.6083795546856203E-2</v>
      </c>
      <c r="AD360" s="169">
        <f>(INDEX(Models!$BJ360:$BT360,,AH360)*(1-AF360)+INDEX(Models!$BJ360:$BT360,,AH360+1)*AF360-ERP_i)*AE360*Ramure*Pc/MaxiM</f>
        <v>8.3826054220517026E-4</v>
      </c>
      <c r="AE360" s="304">
        <f t="shared" si="159"/>
        <v>0.6</v>
      </c>
      <c r="AF360" s="177">
        <f t="shared" si="160"/>
        <v>0.99902829339485821</v>
      </c>
      <c r="AG360" s="799">
        <f t="shared" si="161"/>
        <v>-2</v>
      </c>
      <c r="AH360" s="176">
        <f t="shared" si="162"/>
        <v>4</v>
      </c>
      <c r="AI360" s="224">
        <f t="shared" si="163"/>
        <v>-1.0009717066051418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2.383</v>
      </c>
      <c r="C361" s="388"/>
      <c r="D361" s="391">
        <f t="shared" si="143"/>
        <v>2.3981648484665161</v>
      </c>
      <c r="E361" s="383">
        <f t="shared" ref="E361:E379" si="169">Wh_pvt/(1-Psa)</f>
        <v>2.4625528509306509</v>
      </c>
      <c r="F361" s="383">
        <f t="shared" si="168"/>
        <v>2.4625528509306509</v>
      </c>
      <c r="G361" s="110">
        <f t="shared" ref="G361:G379" si="170">+Wh_hp/MaxiM</f>
        <v>0.10083489420494873</v>
      </c>
      <c r="I361" s="379">
        <f t="shared" si="144"/>
        <v>2.4625528509306509</v>
      </c>
      <c r="J361" s="85">
        <v>2018</v>
      </c>
      <c r="K361" s="197">
        <f t="shared" si="145"/>
        <v>43812</v>
      </c>
      <c r="L361" s="435">
        <f t="shared" si="146"/>
        <v>6.3235221199298142E-3</v>
      </c>
      <c r="M361" s="842"/>
      <c r="N361" s="842"/>
      <c r="O361" s="323">
        <f t="shared" si="147"/>
        <v>2.6146850996436967E-2</v>
      </c>
      <c r="P361" s="169">
        <f>(INDEX(Models!$BJ361:$BT361,,T361)*(1-R361)+INDEX(Models!$BJ361:$BT361,,T361+1)*R361-ERP_i)*Q361*Ramure*Pc/MaxiM</f>
        <v>8.5974675702671388E-4</v>
      </c>
      <c r="Q361" s="304">
        <f t="shared" si="148"/>
        <v>0.6</v>
      </c>
      <c r="R361" s="177">
        <f t="shared" si="149"/>
        <v>0.99903834812523407</v>
      </c>
      <c r="S361" s="799">
        <f t="shared" si="167"/>
        <v>-2</v>
      </c>
      <c r="T361" s="176">
        <f t="shared" si="150"/>
        <v>4</v>
      </c>
      <c r="U361" s="250">
        <f t="shared" si="151"/>
        <v>-1.0009616518747659</v>
      </c>
      <c r="V361" s="382">
        <f t="shared" si="152"/>
        <v>23.612373893492457</v>
      </c>
      <c r="W361" s="58"/>
      <c r="X361" s="157">
        <f t="shared" si="153"/>
        <v>43812</v>
      </c>
      <c r="Y361" s="383">
        <f t="shared" si="154"/>
        <v>2.383</v>
      </c>
      <c r="Z361" s="383">
        <f t="shared" si="155"/>
        <v>2.3981648484665161</v>
      </c>
      <c r="AA361" s="384">
        <f t="shared" si="156"/>
        <v>2.4625528509306509</v>
      </c>
      <c r="AB361" s="197">
        <f t="shared" si="157"/>
        <v>43812</v>
      </c>
      <c r="AC361" s="424">
        <f t="shared" si="158"/>
        <v>2.6146850996436967E-2</v>
      </c>
      <c r="AD361" s="169">
        <f>(INDEX(Models!$BJ361:$BT361,,AH361)*(1-AF361)+INDEX(Models!$BJ361:$BT361,,AH361+1)*AF361-ERP_i)*AE361*Ramure*Pc/MaxiM</f>
        <v>8.5974675702671388E-4</v>
      </c>
      <c r="AE361" s="304">
        <f t="shared" si="159"/>
        <v>0.6</v>
      </c>
      <c r="AF361" s="177">
        <f t="shared" si="160"/>
        <v>0.99903834812523407</v>
      </c>
      <c r="AG361" s="799">
        <f t="shared" si="161"/>
        <v>-2</v>
      </c>
      <c r="AH361" s="176">
        <f t="shared" si="162"/>
        <v>4</v>
      </c>
      <c r="AI361" s="224">
        <f t="shared" si="163"/>
        <v>-1.0009616518747659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18.283000000000001</v>
      </c>
      <c r="C362" s="388"/>
      <c r="D362" s="391">
        <f t="shared" si="143"/>
        <v>18.399701314501595</v>
      </c>
      <c r="E362" s="383">
        <f t="shared" si="169"/>
        <v>18.894940435105319</v>
      </c>
      <c r="F362" s="383">
        <f t="shared" si="168"/>
        <v>18.906274254752212</v>
      </c>
      <c r="G362" s="110">
        <f t="shared" si="170"/>
        <v>0.77655287239523463</v>
      </c>
      <c r="I362" s="379">
        <f t="shared" si="144"/>
        <v>18.906274254752212</v>
      </c>
      <c r="J362" s="85">
        <v>2018</v>
      </c>
      <c r="K362" s="197">
        <f t="shared" si="145"/>
        <v>43813</v>
      </c>
      <c r="L362" s="435">
        <f t="shared" si="146"/>
        <v>6.3425657029343441E-3</v>
      </c>
      <c r="M362" s="842"/>
      <c r="N362" s="842"/>
      <c r="O362" s="323">
        <f t="shared" si="147"/>
        <v>2.6210144578366051E-2</v>
      </c>
      <c r="P362" s="169">
        <f>(INDEX(Models!$BJ362:$BT362,,T362)*(1-R362)+INDEX(Models!$BJ362:$BT362,,T362+1)*R362-ERP_i)*Q362*Ramure*Pc/MaxiM</f>
        <v>8.8015371860153944E-4</v>
      </c>
      <c r="Q362" s="304">
        <f t="shared" si="148"/>
        <v>0.6</v>
      </c>
      <c r="R362" s="177">
        <f t="shared" si="149"/>
        <v>0.99904799840280356</v>
      </c>
      <c r="S362" s="799">
        <f t="shared" si="167"/>
        <v>-2</v>
      </c>
      <c r="T362" s="176">
        <f t="shared" si="150"/>
        <v>4</v>
      </c>
      <c r="U362" s="250">
        <f t="shared" si="151"/>
        <v>-1.0009520015971964</v>
      </c>
      <c r="V362" s="382">
        <f t="shared" si="152"/>
        <v>23.537180666117901</v>
      </c>
      <c r="W362" s="58"/>
      <c r="X362" s="157">
        <f t="shared" si="153"/>
        <v>43813</v>
      </c>
      <c r="Y362" s="383">
        <f t="shared" si="154"/>
        <v>18.283000000000001</v>
      </c>
      <c r="Z362" s="383">
        <f t="shared" si="155"/>
        <v>18.399701314501595</v>
      </c>
      <c r="AA362" s="384">
        <f t="shared" si="156"/>
        <v>18.894940435105319</v>
      </c>
      <c r="AB362" s="197">
        <f t="shared" si="157"/>
        <v>43813</v>
      </c>
      <c r="AC362" s="424">
        <f t="shared" si="158"/>
        <v>2.6210144578366051E-2</v>
      </c>
      <c r="AD362" s="169">
        <f>(INDEX(Models!$BJ362:$BT362,,AH362)*(1-AF362)+INDEX(Models!$BJ362:$BT362,,AH362+1)*AF362-ERP_i)*AE362*Ramure*Pc/MaxiM</f>
        <v>8.8015371860153944E-4</v>
      </c>
      <c r="AE362" s="304">
        <f t="shared" si="159"/>
        <v>0.6</v>
      </c>
      <c r="AF362" s="177">
        <f t="shared" si="160"/>
        <v>0.99904799840280356</v>
      </c>
      <c r="AG362" s="799">
        <f t="shared" si="161"/>
        <v>-2</v>
      </c>
      <c r="AH362" s="176">
        <f t="shared" si="162"/>
        <v>4</v>
      </c>
      <c r="AI362" s="224">
        <f t="shared" si="163"/>
        <v>-1.0009520015971964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24.021999999999998</v>
      </c>
      <c r="C363" s="388"/>
      <c r="D363" s="391">
        <f t="shared" si="143"/>
        <v>24.175796965648299</v>
      </c>
      <c r="E363" s="383">
        <f t="shared" si="169"/>
        <v>24.828122681502997</v>
      </c>
      <c r="F363" s="383">
        <f t="shared" si="168"/>
        <v>24.850474320764231</v>
      </c>
      <c r="G363" s="110">
        <f t="shared" si="170"/>
        <v>1.0234716081453485</v>
      </c>
      <c r="I363" s="379">
        <f t="shared" si="144"/>
        <v>24.850474320764231</v>
      </c>
      <c r="J363" s="85">
        <v>2018</v>
      </c>
      <c r="K363" s="197">
        <f t="shared" si="145"/>
        <v>43814</v>
      </c>
      <c r="L363" s="435">
        <f t="shared" si="146"/>
        <v>6.3616089209730387E-3</v>
      </c>
      <c r="M363" s="842"/>
      <c r="N363" s="842"/>
      <c r="O363" s="323">
        <f t="shared" si="147"/>
        <v>2.6273662500495131E-2</v>
      </c>
      <c r="P363" s="169">
        <f>(INDEX(Models!$BJ363:$BT363,,T363)*(1-R363)+INDEX(Models!$BJ363:$BT363,,T363+1)*R363-ERP_i)*Q363*Ramure*Pc/MaxiM</f>
        <v>8.9944517648747331E-4</v>
      </c>
      <c r="Q363" s="304">
        <f t="shared" si="148"/>
        <v>0.6</v>
      </c>
      <c r="R363" s="177">
        <f t="shared" si="149"/>
        <v>0.99905726048206001</v>
      </c>
      <c r="S363" s="799">
        <f t="shared" si="167"/>
        <v>-2</v>
      </c>
      <c r="T363" s="176">
        <f t="shared" si="150"/>
        <v>4</v>
      </c>
      <c r="U363" s="250">
        <f t="shared" si="151"/>
        <v>-1.00094273951794</v>
      </c>
      <c r="V363" s="382">
        <f t="shared" si="152"/>
        <v>23.471095640386839</v>
      </c>
      <c r="W363" s="58"/>
      <c r="X363" s="157">
        <f t="shared" si="153"/>
        <v>43814</v>
      </c>
      <c r="Y363" s="383">
        <f t="shared" si="154"/>
        <v>24.021999999999998</v>
      </c>
      <c r="Z363" s="383">
        <f t="shared" si="155"/>
        <v>24.175796965648299</v>
      </c>
      <c r="AA363" s="384">
        <f t="shared" si="156"/>
        <v>24.828122681502997</v>
      </c>
      <c r="AB363" s="197">
        <f t="shared" si="157"/>
        <v>43814</v>
      </c>
      <c r="AC363" s="424">
        <f t="shared" si="158"/>
        <v>2.6273662500495131E-2</v>
      </c>
      <c r="AD363" s="169">
        <f>(INDEX(Models!$BJ363:$BT363,,AH363)*(1-AF363)+INDEX(Models!$BJ363:$BT363,,AH363+1)*AF363-ERP_i)*AE363*Ramure*Pc/MaxiM</f>
        <v>8.9944517648747331E-4</v>
      </c>
      <c r="AE363" s="304">
        <f t="shared" si="159"/>
        <v>0.6</v>
      </c>
      <c r="AF363" s="177">
        <f t="shared" si="160"/>
        <v>0.99905726048206001</v>
      </c>
      <c r="AG363" s="799">
        <f t="shared" si="161"/>
        <v>-2</v>
      </c>
      <c r="AH363" s="176">
        <f t="shared" si="162"/>
        <v>4</v>
      </c>
      <c r="AI363" s="224">
        <f t="shared" si="163"/>
        <v>-1.00094273951794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14.061</v>
      </c>
      <c r="C364" s="388"/>
      <c r="D364" s="391">
        <f t="shared" si="143"/>
        <v>14.151294482243268</v>
      </c>
      <c r="E364" s="383">
        <f t="shared" si="169"/>
        <v>14.534084338792852</v>
      </c>
      <c r="F364" s="383">
        <f t="shared" si="168"/>
        <v>14.539812070698289</v>
      </c>
      <c r="G364" s="110">
        <f t="shared" si="170"/>
        <v>0.60020762053449994</v>
      </c>
      <c r="I364" s="379">
        <f t="shared" si="144"/>
        <v>14.539812070698289</v>
      </c>
      <c r="J364" s="85">
        <v>2018</v>
      </c>
      <c r="K364" s="197">
        <f t="shared" si="145"/>
        <v>43815</v>
      </c>
      <c r="L364" s="435">
        <f t="shared" si="146"/>
        <v>6.3806517740526703E-3</v>
      </c>
      <c r="M364" s="842"/>
      <c r="N364" s="842"/>
      <c r="O364" s="323">
        <f t="shared" si="147"/>
        <v>2.63373906210164E-2</v>
      </c>
      <c r="P364" s="169">
        <f>(INDEX(Models!$BJ364:$BT364,,T364)*(1-R364)+INDEX(Models!$BJ364:$BT364,,T364+1)*R364-ERP_i)*Q364*Ramure*Pc/MaxiM</f>
        <v>9.1758300054252341E-4</v>
      </c>
      <c r="Q364" s="304">
        <f t="shared" si="148"/>
        <v>0.6</v>
      </c>
      <c r="R364" s="177">
        <f t="shared" si="149"/>
        <v>0.99906614996540521</v>
      </c>
      <c r="S364" s="799">
        <f t="shared" si="167"/>
        <v>-2</v>
      </c>
      <c r="T364" s="176">
        <f t="shared" si="150"/>
        <v>4</v>
      </c>
      <c r="U364" s="250">
        <f t="shared" si="151"/>
        <v>-1.0009338500345948</v>
      </c>
      <c r="V364" s="382">
        <f t="shared" si="152"/>
        <v>23.414621198229192</v>
      </c>
      <c r="W364" s="58"/>
      <c r="X364" s="157">
        <f t="shared" si="153"/>
        <v>43815</v>
      </c>
      <c r="Y364" s="383">
        <f t="shared" si="154"/>
        <v>14.061</v>
      </c>
      <c r="Z364" s="383">
        <f t="shared" si="155"/>
        <v>14.151294482243268</v>
      </c>
      <c r="AA364" s="384">
        <f t="shared" si="156"/>
        <v>14.534084338792852</v>
      </c>
      <c r="AB364" s="197">
        <f t="shared" si="157"/>
        <v>43815</v>
      </c>
      <c r="AC364" s="424">
        <f t="shared" si="158"/>
        <v>2.63373906210164E-2</v>
      </c>
      <c r="AD364" s="169">
        <f>(INDEX(Models!$BJ364:$BT364,,AH364)*(1-AF364)+INDEX(Models!$BJ364:$BT364,,AH364+1)*AF364-ERP_i)*AE364*Ramure*Pc/MaxiM</f>
        <v>9.1758300054252341E-4</v>
      </c>
      <c r="AE364" s="304">
        <f t="shared" si="159"/>
        <v>0.6</v>
      </c>
      <c r="AF364" s="177">
        <f t="shared" si="160"/>
        <v>0.99906614996540521</v>
      </c>
      <c r="AG364" s="799">
        <f t="shared" si="161"/>
        <v>-2</v>
      </c>
      <c r="AH364" s="176">
        <f t="shared" si="162"/>
        <v>4</v>
      </c>
      <c r="AI364" s="224">
        <f t="shared" si="163"/>
        <v>-1.0009338500345948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12.568</v>
      </c>
      <c r="C365" s="388"/>
      <c r="D365" s="391">
        <f t="shared" si="143"/>
        <v>12.648949408955101</v>
      </c>
      <c r="E365" s="383">
        <f t="shared" si="169"/>
        <v>12.991954075136213</v>
      </c>
      <c r="F365" s="383">
        <f t="shared" si="168"/>
        <v>12.996080380515796</v>
      </c>
      <c r="G365" s="110">
        <f t="shared" si="170"/>
        <v>0.53749158074598857</v>
      </c>
      <c r="I365" s="379">
        <f t="shared" si="144"/>
        <v>12.996080380515796</v>
      </c>
      <c r="J365" s="85">
        <v>2018</v>
      </c>
      <c r="K365" s="197">
        <f t="shared" si="145"/>
        <v>43816</v>
      </c>
      <c r="L365" s="435">
        <f t="shared" si="146"/>
        <v>6.3996942621804553E-3</v>
      </c>
      <c r="M365" s="842"/>
      <c r="N365" s="842"/>
      <c r="O365" s="323">
        <f t="shared" si="147"/>
        <v>2.6401314551869354E-2</v>
      </c>
      <c r="P365" s="169">
        <f>(INDEX(Models!$BJ365:$BT365,,T365)*(1-R365)+INDEX(Models!$BJ365:$BT365,,T365+1)*R365-ERP_i)*Q365*Ramure*Pc/MaxiM</f>
        <v>9.3452771391334998E-4</v>
      </c>
      <c r="Q365" s="304">
        <f t="shared" si="148"/>
        <v>0.6</v>
      </c>
      <c r="R365" s="177">
        <f t="shared" si="149"/>
        <v>0.99907468182921777</v>
      </c>
      <c r="S365" s="799">
        <f t="shared" si="167"/>
        <v>-2</v>
      </c>
      <c r="T365" s="176">
        <f t="shared" si="150"/>
        <v>4</v>
      </c>
      <c r="U365" s="250">
        <f t="shared" si="151"/>
        <v>-1.0009253181707822</v>
      </c>
      <c r="V365" s="382">
        <f t="shared" si="152"/>
        <v>23.368259580045404</v>
      </c>
      <c r="W365" s="58"/>
      <c r="X365" s="157">
        <f t="shared" si="153"/>
        <v>43816</v>
      </c>
      <c r="Y365" s="383">
        <f t="shared" si="154"/>
        <v>12.568</v>
      </c>
      <c r="Z365" s="383">
        <f t="shared" si="155"/>
        <v>12.648949408955101</v>
      </c>
      <c r="AA365" s="384">
        <f t="shared" si="156"/>
        <v>12.991954075136213</v>
      </c>
      <c r="AB365" s="197">
        <f t="shared" si="157"/>
        <v>43816</v>
      </c>
      <c r="AC365" s="424">
        <f t="shared" si="158"/>
        <v>2.6401314551869354E-2</v>
      </c>
      <c r="AD365" s="169">
        <f>(INDEX(Models!$BJ365:$BT365,,AH365)*(1-AF365)+INDEX(Models!$BJ365:$BT365,,AH365+1)*AF365-ERP_i)*AE365*Ramure*Pc/MaxiM</f>
        <v>9.3452771391334998E-4</v>
      </c>
      <c r="AE365" s="304">
        <f t="shared" si="159"/>
        <v>0.6</v>
      </c>
      <c r="AF365" s="177">
        <f t="shared" si="160"/>
        <v>0.99907468182921777</v>
      </c>
      <c r="AG365" s="799">
        <f t="shared" si="161"/>
        <v>-2</v>
      </c>
      <c r="AH365" s="176">
        <f t="shared" si="162"/>
        <v>4</v>
      </c>
      <c r="AI365" s="224">
        <f t="shared" si="163"/>
        <v>-1.0009253181707822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18.443999999999999</v>
      </c>
      <c r="C366" s="388"/>
      <c r="D366" s="391">
        <f t="shared" si="143"/>
        <v>18.56315197903486</v>
      </c>
      <c r="E366" s="383">
        <f t="shared" si="169"/>
        <v>19.067789019339592</v>
      </c>
      <c r="F366" s="383">
        <f t="shared" si="168"/>
        <v>19.080468817938161</v>
      </c>
      <c r="G366" s="110">
        <f t="shared" si="170"/>
        <v>0.79025894915555794</v>
      </c>
      <c r="I366" s="379">
        <f t="shared" si="144"/>
        <v>19.080468817938161</v>
      </c>
      <c r="J366" s="85">
        <v>2018</v>
      </c>
      <c r="K366" s="197">
        <f t="shared" si="145"/>
        <v>43817</v>
      </c>
      <c r="L366" s="435">
        <f t="shared" si="146"/>
        <v>6.4187363853632773E-3</v>
      </c>
      <c r="M366" s="842"/>
      <c r="N366" s="842"/>
      <c r="O366" s="323">
        <f t="shared" si="147"/>
        <v>2.6465419760670805E-2</v>
      </c>
      <c r="P366" s="169">
        <f>(INDEX(Models!$BJ366:$BT366,,T366)*(1-R366)+INDEX(Models!$BJ366:$BT366,,T366+1)*R366-ERP_i)*Q366*Ramure*Pc/MaxiM</f>
        <v>9.4841182285051464E-4</v>
      </c>
      <c r="Q366" s="304">
        <f t="shared" si="148"/>
        <v>0.6</v>
      </c>
      <c r="R366" s="177">
        <f t="shared" si="149"/>
        <v>0.99908287044888699</v>
      </c>
      <c r="S366" s="799">
        <f t="shared" si="167"/>
        <v>-2</v>
      </c>
      <c r="T366" s="176">
        <f t="shared" si="150"/>
        <v>4</v>
      </c>
      <c r="U366" s="250">
        <f t="shared" si="151"/>
        <v>-1.000917129551113</v>
      </c>
      <c r="V366" s="382">
        <f t="shared" si="152"/>
        <v>23.332555572928705</v>
      </c>
      <c r="W366" s="58"/>
      <c r="X366" s="157">
        <f t="shared" si="153"/>
        <v>43817</v>
      </c>
      <c r="Y366" s="383">
        <f t="shared" si="154"/>
        <v>18.443999999999999</v>
      </c>
      <c r="Z366" s="383">
        <f t="shared" si="155"/>
        <v>18.56315197903486</v>
      </c>
      <c r="AA366" s="384">
        <f t="shared" si="156"/>
        <v>19.067789019339592</v>
      </c>
      <c r="AB366" s="197">
        <f t="shared" si="157"/>
        <v>43817</v>
      </c>
      <c r="AC366" s="424">
        <f t="shared" si="158"/>
        <v>2.6465419760670805E-2</v>
      </c>
      <c r="AD366" s="169">
        <f>(INDEX(Models!$BJ366:$BT366,,AH366)*(1-AF366)+INDEX(Models!$BJ366:$BT366,,AH366+1)*AF366-ERP_i)*AE366*Ramure*Pc/MaxiM</f>
        <v>9.4841182285051464E-4</v>
      </c>
      <c r="AE366" s="304">
        <f t="shared" si="159"/>
        <v>0.6</v>
      </c>
      <c r="AF366" s="177">
        <f t="shared" si="160"/>
        <v>0.99908287044888699</v>
      </c>
      <c r="AG366" s="799">
        <f t="shared" si="161"/>
        <v>-2</v>
      </c>
      <c r="AH366" s="176">
        <f t="shared" si="162"/>
        <v>4</v>
      </c>
      <c r="AI366" s="224">
        <f t="shared" si="163"/>
        <v>-1.000917129551113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10.648</v>
      </c>
      <c r="C367" s="388"/>
      <c r="D367" s="391">
        <f t="shared" si="143"/>
        <v>10.716993627339273</v>
      </c>
      <c r="E367" s="383">
        <f t="shared" si="169"/>
        <v>11.009060610927735</v>
      </c>
      <c r="F367" s="383">
        <f t="shared" si="168"/>
        <v>11.011425028980904</v>
      </c>
      <c r="G367" s="110">
        <f t="shared" si="170"/>
        <v>0.45649846160290392</v>
      </c>
      <c r="I367" s="379">
        <f t="shared" si="144"/>
        <v>11.011425028980904</v>
      </c>
      <c r="J367" s="85">
        <v>2018</v>
      </c>
      <c r="K367" s="197">
        <f t="shared" si="145"/>
        <v>43818</v>
      </c>
      <c r="L367" s="435">
        <f t="shared" si="146"/>
        <v>6.4377781436081305E-3</v>
      </c>
      <c r="M367" s="842"/>
      <c r="N367" s="842"/>
      <c r="O367" s="323">
        <f t="shared" si="147"/>
        <v>2.6529691670382258E-2</v>
      </c>
      <c r="P367" s="169">
        <f>(INDEX(Models!$BJ367:$BT367,,T367)*(1-R367)+INDEX(Models!$BJ367:$BT367,,T367+1)*R367-ERP_i)*Q367*Ramure*Pc/MaxiM</f>
        <v>9.5835581331634064E-4</v>
      </c>
      <c r="Q367" s="304">
        <f t="shared" si="148"/>
        <v>0.6</v>
      </c>
      <c r="R367" s="177">
        <f t="shared" si="149"/>
        <v>0.99909072962285306</v>
      </c>
      <c r="S367" s="799">
        <f t="shared" si="167"/>
        <v>-2</v>
      </c>
      <c r="T367" s="176">
        <f t="shared" si="150"/>
        <v>4</v>
      </c>
      <c r="U367" s="250">
        <f t="shared" si="151"/>
        <v>-1.0009092703771469</v>
      </c>
      <c r="V367" s="382">
        <f t="shared" si="152"/>
        <v>23.308030592913592</v>
      </c>
      <c r="W367" s="58"/>
      <c r="X367" s="157">
        <f t="shared" si="153"/>
        <v>43818</v>
      </c>
      <c r="Y367" s="383">
        <f t="shared" si="154"/>
        <v>10.648</v>
      </c>
      <c r="Z367" s="383">
        <f t="shared" si="155"/>
        <v>10.716993627339273</v>
      </c>
      <c r="AA367" s="384">
        <f t="shared" si="156"/>
        <v>11.009060610927735</v>
      </c>
      <c r="AB367" s="197">
        <f t="shared" si="157"/>
        <v>43818</v>
      </c>
      <c r="AC367" s="424">
        <f t="shared" si="158"/>
        <v>2.6529691670382258E-2</v>
      </c>
      <c r="AD367" s="169">
        <f>(INDEX(Models!$BJ367:$BT367,,AH367)*(1-AF367)+INDEX(Models!$BJ367:$BT367,,AH367+1)*AF367-ERP_i)*AE367*Ramure*Pc/MaxiM</f>
        <v>9.5835581331634064E-4</v>
      </c>
      <c r="AE367" s="304">
        <f t="shared" si="159"/>
        <v>0.6</v>
      </c>
      <c r="AF367" s="177">
        <f t="shared" si="160"/>
        <v>0.99909072962285306</v>
      </c>
      <c r="AG367" s="799">
        <f t="shared" si="161"/>
        <v>-2</v>
      </c>
      <c r="AH367" s="176">
        <f t="shared" si="162"/>
        <v>4</v>
      </c>
      <c r="AI367" s="224">
        <f t="shared" si="163"/>
        <v>-1.0009092703771469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8.6180000000000003</v>
      </c>
      <c r="C368" s="388"/>
      <c r="D368" s="391">
        <f t="shared" si="143"/>
        <v>8.6740064945977071</v>
      </c>
      <c r="E368" s="383">
        <f t="shared" si="169"/>
        <v>8.9109862956438199</v>
      </c>
      <c r="F368" s="383">
        <f t="shared" si="168"/>
        <v>8.9118450513711291</v>
      </c>
      <c r="G368" s="110">
        <f t="shared" si="170"/>
        <v>0.36962654238960319</v>
      </c>
      <c r="I368" s="379">
        <f t="shared" si="144"/>
        <v>8.9118450513711291</v>
      </c>
      <c r="J368" s="85">
        <v>2018</v>
      </c>
      <c r="K368" s="197">
        <f t="shared" si="145"/>
        <v>43819</v>
      </c>
      <c r="L368" s="435">
        <f t="shared" si="146"/>
        <v>6.4568195369220094E-3</v>
      </c>
      <c r="M368" s="842"/>
      <c r="N368" s="842"/>
      <c r="O368" s="323">
        <f t="shared" si="147"/>
        <v>2.6594115755958603E-2</v>
      </c>
      <c r="P368" s="169">
        <f>(INDEX(Models!$BJ368:$BT368,,T368)*(1-R368)+INDEX(Models!$BJ368:$BT368,,T368+1)*R368-ERP_i)*Q368*Ramure*Pc/MaxiM</f>
        <v>9.6433240751566502E-4</v>
      </c>
      <c r="Q368" s="304">
        <f t="shared" si="148"/>
        <v>0.6</v>
      </c>
      <c r="R368" s="177">
        <f t="shared" si="149"/>
        <v>0.99909827259569139</v>
      </c>
      <c r="S368" s="799">
        <f t="shared" si="167"/>
        <v>-2</v>
      </c>
      <c r="T368" s="176">
        <f t="shared" si="150"/>
        <v>4</v>
      </c>
      <c r="U368" s="250">
        <f t="shared" si="151"/>
        <v>-1.0009017274043086</v>
      </c>
      <c r="V368" s="382">
        <f t="shared" si="152"/>
        <v>23.295186128288147</v>
      </c>
      <c r="W368" s="58"/>
      <c r="X368" s="157">
        <f t="shared" si="153"/>
        <v>43819</v>
      </c>
      <c r="Y368" s="383">
        <f t="shared" si="154"/>
        <v>8.6180000000000003</v>
      </c>
      <c r="Z368" s="383">
        <f t="shared" si="155"/>
        <v>8.6740064945977071</v>
      </c>
      <c r="AA368" s="384">
        <f t="shared" si="156"/>
        <v>8.9109862956438199</v>
      </c>
      <c r="AB368" s="197">
        <f t="shared" si="157"/>
        <v>43819</v>
      </c>
      <c r="AC368" s="424">
        <f t="shared" si="158"/>
        <v>2.6594115755958603E-2</v>
      </c>
      <c r="AD368" s="169">
        <f>(INDEX(Models!$BJ368:$BT368,,AH368)*(1-AF368)+INDEX(Models!$BJ368:$BT368,,AH368+1)*AF368-ERP_i)*AE368*Ramure*Pc/MaxiM</f>
        <v>9.6433240751566502E-4</v>
      </c>
      <c r="AE368" s="304">
        <f t="shared" si="159"/>
        <v>0.6</v>
      </c>
      <c r="AF368" s="177">
        <f t="shared" si="160"/>
        <v>0.99909827259569139</v>
      </c>
      <c r="AG368" s="799">
        <f t="shared" si="161"/>
        <v>-2</v>
      </c>
      <c r="AH368" s="176">
        <f t="shared" si="162"/>
        <v>4</v>
      </c>
      <c r="AI368" s="224">
        <f t="shared" si="163"/>
        <v>-1.0009017274043086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19.038</v>
      </c>
      <c r="C369" s="388"/>
      <c r="D369" s="391">
        <f t="shared" si="143"/>
        <v>19.162091029647815</v>
      </c>
      <c r="E369" s="383">
        <f t="shared" si="169"/>
        <v>19.686918236588099</v>
      </c>
      <c r="F369" s="383">
        <f t="shared" si="168"/>
        <v>19.700986215963447</v>
      </c>
      <c r="G369" s="110">
        <f t="shared" si="170"/>
        <v>0.81706733516379426</v>
      </c>
      <c r="I369" s="379">
        <f t="shared" si="144"/>
        <v>19.700986215963447</v>
      </c>
      <c r="J369" s="85">
        <v>2018</v>
      </c>
      <c r="K369" s="197">
        <f t="shared" si="145"/>
        <v>43820</v>
      </c>
      <c r="L369" s="435">
        <f t="shared" si="146"/>
        <v>6.4758605653119083E-3</v>
      </c>
      <c r="M369" s="842"/>
      <c r="N369" s="842"/>
      <c r="O369" s="323">
        <f t="shared" si="147"/>
        <v>2.6658677637259393E-2</v>
      </c>
      <c r="P369" s="169">
        <f>(INDEX(Models!$BJ369:$BT369,,T369)*(1-R369)+INDEX(Models!$BJ369:$BT369,,T369+1)*R369-ERP_i)*Q369*Ramure*Pc/MaxiM</f>
        <v>9.6632107428396507E-4</v>
      </c>
      <c r="Q369" s="304">
        <f t="shared" si="148"/>
        <v>0.6</v>
      </c>
      <c r="R369" s="177">
        <f t="shared" si="149"/>
        <v>0.99910551208027831</v>
      </c>
      <c r="S369" s="799">
        <f t="shared" si="167"/>
        <v>-2</v>
      </c>
      <c r="T369" s="176">
        <f t="shared" si="150"/>
        <v>4</v>
      </c>
      <c r="U369" s="250">
        <f t="shared" si="151"/>
        <v>-1.0008944879197217</v>
      </c>
      <c r="V369" s="382">
        <f t="shared" si="152"/>
        <v>23.294523579894339</v>
      </c>
      <c r="W369" s="58"/>
      <c r="X369" s="157">
        <f t="shared" si="153"/>
        <v>43820</v>
      </c>
      <c r="Y369" s="383">
        <f t="shared" si="154"/>
        <v>19.038</v>
      </c>
      <c r="Z369" s="383">
        <f t="shared" si="155"/>
        <v>19.162091029647815</v>
      </c>
      <c r="AA369" s="384">
        <f t="shared" si="156"/>
        <v>19.686918236588099</v>
      </c>
      <c r="AB369" s="197">
        <f t="shared" si="157"/>
        <v>43820</v>
      </c>
      <c r="AC369" s="424">
        <f t="shared" si="158"/>
        <v>2.6658677637259393E-2</v>
      </c>
      <c r="AD369" s="169">
        <f>(INDEX(Models!$BJ369:$BT369,,AH369)*(1-AF369)+INDEX(Models!$BJ369:$BT369,,AH369+1)*AF369-ERP_i)*AE369*Ramure*Pc/MaxiM</f>
        <v>9.6632107428396507E-4</v>
      </c>
      <c r="AE369" s="304">
        <f t="shared" si="159"/>
        <v>0.6</v>
      </c>
      <c r="AF369" s="177">
        <f t="shared" si="160"/>
        <v>0.99910551208027831</v>
      </c>
      <c r="AG369" s="799">
        <f t="shared" si="161"/>
        <v>-2</v>
      </c>
      <c r="AH369" s="176">
        <f t="shared" si="162"/>
        <v>4</v>
      </c>
      <c r="AI369" s="224">
        <f t="shared" si="163"/>
        <v>-1.0008944879197217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7.1509999999999998</v>
      </c>
      <c r="C370" s="388"/>
      <c r="D370" s="391">
        <f t="shared" si="143"/>
        <v>7.1977486666595718</v>
      </c>
      <c r="E370" s="383">
        <f t="shared" si="169"/>
        <v>7.3953780397778548</v>
      </c>
      <c r="F370" s="383">
        <f>Wh_sa/(1-Pvg*MEDIAN((-Sdif+Wh/Env_an)/Csdif,0,1))</f>
        <v>7.3954475585945838</v>
      </c>
      <c r="G370" s="110">
        <f t="shared" si="170"/>
        <v>0.30653070233822127</v>
      </c>
      <c r="I370" s="379">
        <f t="shared" si="144"/>
        <v>7.3954475585945838</v>
      </c>
      <c r="J370" s="85">
        <v>2018</v>
      </c>
      <c r="K370" s="197">
        <f t="shared" si="145"/>
        <v>43821</v>
      </c>
      <c r="L370" s="435">
        <f t="shared" si="146"/>
        <v>6.4949012287849328E-3</v>
      </c>
      <c r="M370" s="842"/>
      <c r="N370" s="842"/>
      <c r="O370" s="323">
        <f t="shared" si="147"/>
        <v>2.672336316754664E-2</v>
      </c>
      <c r="P370" s="169">
        <f>(INDEX(Models!$BJ370:$BT370,,T370)*(1-R370)+INDEX(Models!$BJ370:$BT370,,T370+1)*R370-ERP_i)*Q370*Ramure*Pc/MaxiM</f>
        <v>9.6430943278788647E-4</v>
      </c>
      <c r="Q370" s="304">
        <f t="shared" si="148"/>
        <v>0.6</v>
      </c>
      <c r="R370" s="177">
        <f t="shared" si="149"/>
        <v>0.99911246027907574</v>
      </c>
      <c r="S370" s="799">
        <f t="shared" si="167"/>
        <v>-2</v>
      </c>
      <c r="T370" s="176">
        <f t="shared" si="150"/>
        <v>4</v>
      </c>
      <c r="U370" s="250">
        <f t="shared" si="151"/>
        <v>-1.0008875397209243</v>
      </c>
      <c r="V370" s="382">
        <f t="shared" si="152"/>
        <v>23.306544256468385</v>
      </c>
      <c r="W370" s="58"/>
      <c r="X370" s="157">
        <f t="shared" si="153"/>
        <v>43821</v>
      </c>
      <c r="Y370" s="383">
        <f t="shared" si="154"/>
        <v>7.1509999999999998</v>
      </c>
      <c r="Z370" s="383">
        <f t="shared" si="155"/>
        <v>7.1977486666595718</v>
      </c>
      <c r="AA370" s="384">
        <f t="shared" si="156"/>
        <v>7.3953780397778548</v>
      </c>
      <c r="AB370" s="197">
        <f t="shared" si="157"/>
        <v>43821</v>
      </c>
      <c r="AC370" s="424">
        <f t="shared" si="158"/>
        <v>2.672336316754664E-2</v>
      </c>
      <c r="AD370" s="169">
        <f>(INDEX(Models!$BJ370:$BT370,,AH370)*(1-AF370)+INDEX(Models!$BJ370:$BT370,,AH370+1)*AF370-ERP_i)*AE370*Ramure*Pc/MaxiM</f>
        <v>9.6430943278788647E-4</v>
      </c>
      <c r="AE370" s="304">
        <f t="shared" si="159"/>
        <v>0.6</v>
      </c>
      <c r="AF370" s="177">
        <f t="shared" si="160"/>
        <v>0.99911246027907574</v>
      </c>
      <c r="AG370" s="799">
        <f t="shared" si="161"/>
        <v>-2</v>
      </c>
      <c r="AH370" s="176">
        <f t="shared" si="162"/>
        <v>4</v>
      </c>
      <c r="AI370" s="224">
        <f t="shared" si="163"/>
        <v>-1.0008875397209243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6.6550000000000002</v>
      </c>
      <c r="C371" s="388"/>
      <c r="D371" s="391">
        <f t="shared" si="143"/>
        <v>6.6986345135342376</v>
      </c>
      <c r="E371" s="383">
        <f t="shared" si="169"/>
        <v>6.8830178877872292</v>
      </c>
      <c r="F371" s="383">
        <f t="shared" si="168"/>
        <v>6.8830178877872292</v>
      </c>
      <c r="G371" s="110">
        <f t="shared" si="170"/>
        <v>0.28496031086119317</v>
      </c>
      <c r="I371" s="379">
        <f t="shared" si="144"/>
        <v>6.8830178877872292</v>
      </c>
      <c r="J371" s="85">
        <v>2018</v>
      </c>
      <c r="K371" s="197">
        <f t="shared" si="145"/>
        <v>43822</v>
      </c>
      <c r="L371" s="435">
        <f t="shared" si="146"/>
        <v>6.5139415273479662E-3</v>
      </c>
      <c r="M371" s="842"/>
      <c r="N371" s="842"/>
      <c r="O371" s="323">
        <f t="shared" si="147"/>
        <v>2.6788158516942082E-2</v>
      </c>
      <c r="P371" s="169">
        <f>(INDEX(Models!$BJ371:$BT371,,T371)*(1-R371)+INDEX(Models!$BJ371:$BT371,,T371+1)*R371-ERP_i)*Q371*Ramure*Pc/MaxiM</f>
        <v>9.5828246502643346E-4</v>
      </c>
      <c r="Q371" s="304">
        <f t="shared" si="148"/>
        <v>0.6</v>
      </c>
      <c r="R371" s="177">
        <f t="shared" si="149"/>
        <v>0.99911246027907574</v>
      </c>
      <c r="S371" s="799">
        <f t="shared" si="167"/>
        <v>-2</v>
      </c>
      <c r="T371" s="176">
        <f t="shared" si="150"/>
        <v>4</v>
      </c>
      <c r="U371" s="250">
        <f t="shared" si="151"/>
        <v>-1.0008875397209243</v>
      </c>
      <c r="V371" s="382">
        <f t="shared" si="152"/>
        <v>23.331749639457179</v>
      </c>
      <c r="W371" s="58"/>
      <c r="X371" s="157">
        <f t="shared" si="153"/>
        <v>43822</v>
      </c>
      <c r="Y371" s="383">
        <f t="shared" si="154"/>
        <v>6.6550000000000002</v>
      </c>
      <c r="Z371" s="383">
        <f t="shared" si="155"/>
        <v>6.6986345135342376</v>
      </c>
      <c r="AA371" s="384">
        <f t="shared" si="156"/>
        <v>6.8830178877872292</v>
      </c>
      <c r="AB371" s="197">
        <f t="shared" si="157"/>
        <v>43822</v>
      </c>
      <c r="AC371" s="424">
        <f t="shared" si="158"/>
        <v>2.6788158516942082E-2</v>
      </c>
      <c r="AD371" s="169">
        <f>(INDEX(Models!$BJ371:$BT371,,AH371)*(1-AF371)+INDEX(Models!$BJ371:$BT371,,AH371+1)*AF371-ERP_i)*AE371*Ramure*Pc/MaxiM</f>
        <v>9.5828246502643346E-4</v>
      </c>
      <c r="AE371" s="304">
        <f t="shared" si="159"/>
        <v>0.6</v>
      </c>
      <c r="AF371" s="177">
        <f t="shared" si="160"/>
        <v>0.99911246027907574</v>
      </c>
      <c r="AG371" s="799">
        <f t="shared" si="161"/>
        <v>-2</v>
      </c>
      <c r="AH371" s="176">
        <f t="shared" si="162"/>
        <v>4</v>
      </c>
      <c r="AI371" s="224">
        <f t="shared" si="163"/>
        <v>-1.0008875397209243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13.207000000000001</v>
      </c>
      <c r="C372" s="388"/>
      <c r="D372" s="391">
        <f t="shared" si="143"/>
        <v>13.293848465571026</v>
      </c>
      <c r="E372" s="383">
        <f t="shared" si="169"/>
        <v>13.660679375288485</v>
      </c>
      <c r="F372" s="383">
        <f t="shared" si="168"/>
        <v>13.665587151375444</v>
      </c>
      <c r="G372" s="110">
        <f t="shared" si="170"/>
        <v>0.56477770048972176</v>
      </c>
      <c r="I372" s="379">
        <f t="shared" si="144"/>
        <v>13.665587151375444</v>
      </c>
      <c r="J372" s="85">
        <v>2018</v>
      </c>
      <c r="K372" s="197">
        <f t="shared" si="145"/>
        <v>43823</v>
      </c>
      <c r="L372" s="435">
        <f t="shared" si="146"/>
        <v>6.5329814610080028E-3</v>
      </c>
      <c r="M372" s="842"/>
      <c r="N372" s="842"/>
      <c r="O372" s="323">
        <f t="shared" si="147"/>
        <v>2.6853050250270766E-2</v>
      </c>
      <c r="P372" s="169">
        <f>(INDEX(Models!$BJ372:$BT372,,T372)*(1-R372)+INDEX(Models!$BJ372:$BT372,,T372+1)*R372-ERP_i)*Q372*Ramure*Pc/MaxiM</f>
        <v>9.4825940772525928E-4</v>
      </c>
      <c r="Q372" s="304">
        <f t="shared" si="148"/>
        <v>0.6</v>
      </c>
      <c r="R372" s="177">
        <f t="shared" si="149"/>
        <v>0.99911246027907574</v>
      </c>
      <c r="S372" s="799">
        <f t="shared" si="167"/>
        <v>-2</v>
      </c>
      <c r="T372" s="176">
        <f t="shared" si="150"/>
        <v>4</v>
      </c>
      <c r="U372" s="250">
        <f t="shared" si="151"/>
        <v>-1.0008875397209243</v>
      </c>
      <c r="V372" s="382">
        <f t="shared" si="152"/>
        <v>23.370640542573831</v>
      </c>
      <c r="W372" s="58"/>
      <c r="X372" s="157">
        <f t="shared" si="153"/>
        <v>43823</v>
      </c>
      <c r="Y372" s="383">
        <f t="shared" si="154"/>
        <v>13.207000000000001</v>
      </c>
      <c r="Z372" s="383">
        <f t="shared" si="155"/>
        <v>13.293848465571026</v>
      </c>
      <c r="AA372" s="384">
        <f t="shared" si="156"/>
        <v>13.660679375288485</v>
      </c>
      <c r="AB372" s="197">
        <f t="shared" si="157"/>
        <v>43823</v>
      </c>
      <c r="AC372" s="424">
        <f t="shared" si="158"/>
        <v>2.6853050250270766E-2</v>
      </c>
      <c r="AD372" s="169">
        <f>(INDEX(Models!$BJ372:$BT372,,AH372)*(1-AF372)+INDEX(Models!$BJ372:$BT372,,AH372+1)*AF372-ERP_i)*AE372*Ramure*Pc/MaxiM</f>
        <v>9.4825940772525928E-4</v>
      </c>
      <c r="AE372" s="304">
        <f t="shared" si="159"/>
        <v>0.6</v>
      </c>
      <c r="AF372" s="177">
        <f t="shared" si="160"/>
        <v>0.99911246027907574</v>
      </c>
      <c r="AG372" s="799">
        <f t="shared" si="161"/>
        <v>-2</v>
      </c>
      <c r="AH372" s="176">
        <f t="shared" si="162"/>
        <v>4</v>
      </c>
      <c r="AI372" s="224">
        <f t="shared" si="163"/>
        <v>-1.0008875397209243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11.131</v>
      </c>
      <c r="C373" s="388"/>
      <c r="D373" s="391">
        <f t="shared" si="143"/>
        <v>11.20441154003654</v>
      </c>
      <c r="E373" s="383">
        <f t="shared" si="169"/>
        <v>11.514355247026538</v>
      </c>
      <c r="F373" s="383">
        <f t="shared" si="168"/>
        <v>11.517048363491462</v>
      </c>
      <c r="G373" s="110">
        <f t="shared" si="170"/>
        <v>0.47487121395044568</v>
      </c>
      <c r="I373" s="379">
        <f t="shared" si="144"/>
        <v>11.517048363491462</v>
      </c>
      <c r="J373" s="85">
        <v>2018</v>
      </c>
      <c r="K373" s="197">
        <f t="shared" si="145"/>
        <v>43824</v>
      </c>
      <c r="L373" s="435">
        <f t="shared" si="146"/>
        <v>6.5520210297720372E-3</v>
      </c>
      <c r="M373" s="842"/>
      <c r="N373" s="842"/>
      <c r="O373" s="323">
        <f t="shared" si="147"/>
        <v>2.6918025398776607E-2</v>
      </c>
      <c r="P373" s="169">
        <f>(INDEX(Models!$BJ373:$BT373,,T373)*(1-R373)+INDEX(Models!$BJ373:$BT373,,T373+1)*R373-ERP_i)*Q373*Ramure*Pc/MaxiM</f>
        <v>9.3425973470482519E-4</v>
      </c>
      <c r="Q373" s="304">
        <f t="shared" si="148"/>
        <v>0.6</v>
      </c>
      <c r="R373" s="177">
        <f t="shared" si="149"/>
        <v>0.99911246027907574</v>
      </c>
      <c r="S373" s="799">
        <f t="shared" si="167"/>
        <v>-2</v>
      </c>
      <c r="T373" s="176">
        <f t="shared" si="150"/>
        <v>4</v>
      </c>
      <c r="U373" s="250">
        <f t="shared" si="151"/>
        <v>-1.0008875397209243</v>
      </c>
      <c r="V373" s="382">
        <f t="shared" si="152"/>
        <v>23.423617706300139</v>
      </c>
      <c r="W373" s="58"/>
      <c r="X373" s="157">
        <f t="shared" si="153"/>
        <v>43824</v>
      </c>
      <c r="Y373" s="383">
        <f t="shared" si="154"/>
        <v>11.131</v>
      </c>
      <c r="Z373" s="383">
        <f t="shared" si="155"/>
        <v>11.20441154003654</v>
      </c>
      <c r="AA373" s="384">
        <f t="shared" si="156"/>
        <v>11.514355247026538</v>
      </c>
      <c r="AB373" s="197">
        <f t="shared" si="157"/>
        <v>43824</v>
      </c>
      <c r="AC373" s="424">
        <f t="shared" si="158"/>
        <v>2.6918025398776607E-2</v>
      </c>
      <c r="AD373" s="169">
        <f>(INDEX(Models!$BJ373:$BT373,,AH373)*(1-AF373)+INDEX(Models!$BJ373:$BT373,,AH373+1)*AF373-ERP_i)*AE373*Ramure*Pc/MaxiM</f>
        <v>9.3425973470482519E-4</v>
      </c>
      <c r="AE373" s="304">
        <f t="shared" si="159"/>
        <v>0.6</v>
      </c>
      <c r="AF373" s="177">
        <f t="shared" si="160"/>
        <v>0.99911246027907574</v>
      </c>
      <c r="AG373" s="799">
        <f t="shared" si="161"/>
        <v>-2</v>
      </c>
      <c r="AH373" s="176">
        <f t="shared" si="162"/>
        <v>4</v>
      </c>
      <c r="AI373" s="224">
        <f t="shared" si="163"/>
        <v>-1.0008875397209243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8.1690000000000005</v>
      </c>
      <c r="C374" s="388"/>
      <c r="D374" s="391">
        <f t="shared" si="143"/>
        <v>8.223034052059413</v>
      </c>
      <c r="E374" s="383">
        <f t="shared" si="169"/>
        <v>8.4510698749604227</v>
      </c>
      <c r="F374" s="383">
        <f t="shared" si="168"/>
        <v>8.4515982622369421</v>
      </c>
      <c r="G374" s="110">
        <f t="shared" si="170"/>
        <v>0.34746193166324379</v>
      </c>
      <c r="I374" s="379">
        <f t="shared" si="144"/>
        <v>8.4515982622369421</v>
      </c>
      <c r="J374" s="85">
        <v>2018</v>
      </c>
      <c r="K374" s="197">
        <f t="shared" si="145"/>
        <v>43825</v>
      </c>
      <c r="L374" s="435">
        <f t="shared" si="146"/>
        <v>6.5710602336470636E-3</v>
      </c>
      <c r="M374" s="842"/>
      <c r="N374" s="842"/>
      <c r="O374" s="323">
        <f t="shared" si="147"/>
        <v>2.698307152525806E-2</v>
      </c>
      <c r="P374" s="169">
        <f>(INDEX(Models!$BJ374:$BT374,,T374)*(1-R374)+INDEX(Models!$BJ374:$BT374,,T374+1)*R374-ERP_i)*Q374*Ramure*Pc/MaxiM</f>
        <v>9.1634172414343574E-4</v>
      </c>
      <c r="Q374" s="304">
        <f t="shared" si="148"/>
        <v>0.6</v>
      </c>
      <c r="R374" s="177">
        <f t="shared" si="149"/>
        <v>0.99911246027907574</v>
      </c>
      <c r="S374" s="799">
        <f t="shared" si="167"/>
        <v>-2</v>
      </c>
      <c r="T374" s="176">
        <f t="shared" si="150"/>
        <v>4</v>
      </c>
      <c r="U374" s="250">
        <f t="shared" si="151"/>
        <v>-1.0008875397209243</v>
      </c>
      <c r="V374" s="382">
        <f t="shared" si="152"/>
        <v>23.490414183647605</v>
      </c>
      <c r="W374" s="58"/>
      <c r="X374" s="157">
        <f t="shared" si="153"/>
        <v>43825</v>
      </c>
      <c r="Y374" s="383">
        <f t="shared" si="154"/>
        <v>8.1690000000000005</v>
      </c>
      <c r="Z374" s="383">
        <f t="shared" si="155"/>
        <v>8.223034052059413</v>
      </c>
      <c r="AA374" s="384">
        <f t="shared" si="156"/>
        <v>8.4510698749604227</v>
      </c>
      <c r="AB374" s="197">
        <f t="shared" si="157"/>
        <v>43825</v>
      </c>
      <c r="AC374" s="424">
        <f t="shared" si="158"/>
        <v>2.698307152525806E-2</v>
      </c>
      <c r="AD374" s="169">
        <f>(INDEX(Models!$BJ374:$BT374,,AH374)*(1-AF374)+INDEX(Models!$BJ374:$BT374,,AH374+1)*AF374-ERP_i)*AE374*Ramure*Pc/MaxiM</f>
        <v>9.1634172414343574E-4</v>
      </c>
      <c r="AE374" s="304">
        <f t="shared" si="159"/>
        <v>0.6</v>
      </c>
      <c r="AF374" s="177">
        <f t="shared" si="160"/>
        <v>0.99911246027907574</v>
      </c>
      <c r="AG374" s="799">
        <f t="shared" si="161"/>
        <v>-2</v>
      </c>
      <c r="AH374" s="176">
        <f t="shared" si="162"/>
        <v>4</v>
      </c>
      <c r="AI374" s="224">
        <f t="shared" si="163"/>
        <v>-1.0008875397209243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20.562999999999999</v>
      </c>
      <c r="C375" s="388"/>
      <c r="D375" s="391">
        <f t="shared" si="143"/>
        <v>20.699411170357973</v>
      </c>
      <c r="E375" s="383">
        <f t="shared" si="169"/>
        <v>21.274857270836456</v>
      </c>
      <c r="F375" s="383">
        <f t="shared" si="168"/>
        <v>21.290446008401918</v>
      </c>
      <c r="G375" s="110">
        <f t="shared" si="170"/>
        <v>0.87226119347010544</v>
      </c>
      <c r="I375" s="379">
        <f t="shared" si="144"/>
        <v>21.290446008401918</v>
      </c>
      <c r="J375" s="85">
        <v>2018</v>
      </c>
      <c r="K375" s="197">
        <f t="shared" si="145"/>
        <v>43826</v>
      </c>
      <c r="L375" s="435">
        <f t="shared" si="146"/>
        <v>6.5900990726401876E-3</v>
      </c>
      <c r="M375" s="842"/>
      <c r="N375" s="842"/>
      <c r="O375" s="323">
        <f t="shared" si="147"/>
        <v>2.7048176782238791E-2</v>
      </c>
      <c r="P375" s="169">
        <f>(INDEX(Models!$BJ375:$BT375,,T375)*(1-R375)+INDEX(Models!$BJ375:$BT375,,T375+1)*R375-ERP_i)*Q375*Ramure*Pc/MaxiM</f>
        <v>8.9540971749397049E-4</v>
      </c>
      <c r="Q375" s="304">
        <f t="shared" si="148"/>
        <v>0.6</v>
      </c>
      <c r="R375" s="177">
        <f t="shared" si="149"/>
        <v>0.99911246027907574</v>
      </c>
      <c r="S375" s="799">
        <f t="shared" si="167"/>
        <v>-2</v>
      </c>
      <c r="T375" s="176">
        <f t="shared" si="150"/>
        <v>4</v>
      </c>
      <c r="U375" s="250">
        <f t="shared" si="151"/>
        <v>-1.0008875397209243</v>
      </c>
      <c r="V375" s="382">
        <f t="shared" si="152"/>
        <v>23.570510175892696</v>
      </c>
      <c r="W375" s="58"/>
      <c r="X375" s="157">
        <f t="shared" si="153"/>
        <v>43826</v>
      </c>
      <c r="Y375" s="383">
        <f t="shared" si="154"/>
        <v>20.562999999999999</v>
      </c>
      <c r="Z375" s="383">
        <f t="shared" si="155"/>
        <v>20.699411170357973</v>
      </c>
      <c r="AA375" s="384">
        <f t="shared" si="156"/>
        <v>21.274857270836456</v>
      </c>
      <c r="AB375" s="197">
        <f t="shared" si="157"/>
        <v>43826</v>
      </c>
      <c r="AC375" s="424">
        <f t="shared" si="158"/>
        <v>2.7048176782238791E-2</v>
      </c>
      <c r="AD375" s="169">
        <f>(INDEX(Models!$BJ375:$BT375,,AH375)*(1-AF375)+INDEX(Models!$BJ375:$BT375,,AH375+1)*AF375-ERP_i)*AE375*Ramure*Pc/MaxiM</f>
        <v>8.9540971749397049E-4</v>
      </c>
      <c r="AE375" s="304">
        <f t="shared" si="159"/>
        <v>0.6</v>
      </c>
      <c r="AF375" s="177">
        <f t="shared" si="160"/>
        <v>0.99911246027907574</v>
      </c>
      <c r="AG375" s="799">
        <f t="shared" si="161"/>
        <v>-2</v>
      </c>
      <c r="AH375" s="176">
        <f t="shared" si="162"/>
        <v>4</v>
      </c>
      <c r="AI375" s="224">
        <f t="shared" si="163"/>
        <v>-1.0008875397209243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4.319</v>
      </c>
      <c r="C376" s="388"/>
      <c r="D376" s="391">
        <f t="shared" si="143"/>
        <v>4.3477347771590686</v>
      </c>
      <c r="E376" s="383">
        <f t="shared" si="169"/>
        <v>4.4689015802766416</v>
      </c>
      <c r="F376" s="383">
        <f t="shared" si="168"/>
        <v>4.4689015802766416</v>
      </c>
      <c r="G376" s="110">
        <f t="shared" si="170"/>
        <v>0.18235903545330487</v>
      </c>
      <c r="I376" s="379">
        <f t="shared" si="144"/>
        <v>4.4689015802766416</v>
      </c>
      <c r="J376" s="85">
        <v>2018</v>
      </c>
      <c r="K376" s="197">
        <f t="shared" si="145"/>
        <v>43827</v>
      </c>
      <c r="L376" s="435">
        <f t="shared" si="146"/>
        <v>6.6091375467581814E-3</v>
      </c>
      <c r="M376" s="842"/>
      <c r="N376" s="842"/>
      <c r="O376" s="323">
        <f t="shared" si="147"/>
        <v>2.7113329962856775E-2</v>
      </c>
      <c r="P376" s="169">
        <f>(INDEX(Models!$BJ376:$BT376,,T376)*(1-R376)+INDEX(Models!$BJ376:$BT376,,T376+1)*R376-ERP_i)*Q376*Ramure*Pc/MaxiM</f>
        <v>8.7331608798014179E-4</v>
      </c>
      <c r="Q376" s="304">
        <f t="shared" si="148"/>
        <v>0.6</v>
      </c>
      <c r="R376" s="177">
        <f t="shared" si="149"/>
        <v>0.99911246027907574</v>
      </c>
      <c r="S376" s="799">
        <f t="shared" si="167"/>
        <v>-2</v>
      </c>
      <c r="T376" s="176">
        <f t="shared" si="150"/>
        <v>4</v>
      </c>
      <c r="U376" s="250">
        <f t="shared" si="151"/>
        <v>-1.0008875397209243</v>
      </c>
      <c r="V376" s="382">
        <f t="shared" si="152"/>
        <v>23.663363523991539</v>
      </c>
      <c r="W376" s="58"/>
      <c r="X376" s="157">
        <f t="shared" si="153"/>
        <v>43827</v>
      </c>
      <c r="Y376" s="383">
        <f t="shared" si="154"/>
        <v>4.319</v>
      </c>
      <c r="Z376" s="383">
        <f t="shared" si="155"/>
        <v>4.3477347771590686</v>
      </c>
      <c r="AA376" s="384">
        <f t="shared" si="156"/>
        <v>4.4689015802766416</v>
      </c>
      <c r="AB376" s="197">
        <f t="shared" si="157"/>
        <v>43827</v>
      </c>
      <c r="AC376" s="424">
        <f t="shared" si="158"/>
        <v>2.7113329962856775E-2</v>
      </c>
      <c r="AD376" s="169">
        <f>(INDEX(Models!$BJ376:$BT376,,AH376)*(1-AF376)+INDEX(Models!$BJ376:$BT376,,AH376+1)*AF376-ERP_i)*AE376*Ramure*Pc/MaxiM</f>
        <v>8.7331608798014179E-4</v>
      </c>
      <c r="AE376" s="304">
        <f t="shared" si="159"/>
        <v>0.6</v>
      </c>
      <c r="AF376" s="177">
        <f t="shared" si="160"/>
        <v>0.99911246027907574</v>
      </c>
      <c r="AG376" s="799">
        <f t="shared" si="161"/>
        <v>-2</v>
      </c>
      <c r="AH376" s="176">
        <f t="shared" si="162"/>
        <v>4</v>
      </c>
      <c r="AI376" s="224">
        <f t="shared" si="163"/>
        <v>-1.0008875397209243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24.161000000000001</v>
      </c>
      <c r="C377" s="388"/>
      <c r="D377" s="391">
        <f t="shared" si="143"/>
        <v>24.322211892767921</v>
      </c>
      <c r="E377" s="383">
        <f t="shared" si="169"/>
        <v>25.001721699622141</v>
      </c>
      <c r="F377" s="383">
        <f t="shared" si="168"/>
        <v>25.022994124609578</v>
      </c>
      <c r="G377" s="110">
        <f t="shared" si="170"/>
        <v>1.0165145469522567</v>
      </c>
      <c r="I377" s="379">
        <f t="shared" si="144"/>
        <v>25.022994124609578</v>
      </c>
      <c r="J377" s="85">
        <v>2018</v>
      </c>
      <c r="K377" s="197">
        <f t="shared" si="145"/>
        <v>43828</v>
      </c>
      <c r="L377" s="435">
        <f t="shared" si="146"/>
        <v>6.6281756560082616E-3</v>
      </c>
      <c r="M377" s="842"/>
      <c r="N377" s="842"/>
      <c r="O377" s="323">
        <f t="shared" si="147"/>
        <v>2.7178520544226713E-2</v>
      </c>
      <c r="P377" s="169">
        <f>(INDEX(Models!$BJ377:$BT377,,T377)*(1-R377)+INDEX(Models!$BJ377:$BT377,,T377+1)*R377-ERP_i)*Q377*Ramure*Pc/MaxiM</f>
        <v>8.5011509340180054E-4</v>
      </c>
      <c r="Q377" s="304">
        <f t="shared" si="148"/>
        <v>0.6</v>
      </c>
      <c r="R377" s="177">
        <f t="shared" si="149"/>
        <v>0.99911246027907574</v>
      </c>
      <c r="S377" s="799">
        <f t="shared" si="167"/>
        <v>-2</v>
      </c>
      <c r="T377" s="176">
        <f t="shared" si="150"/>
        <v>4</v>
      </c>
      <c r="U377" s="250">
        <f t="shared" si="151"/>
        <v>-1.0008875397209243</v>
      </c>
      <c r="V377" s="382">
        <f t="shared" si="152"/>
        <v>23.768474413317755</v>
      </c>
      <c r="W377" s="58"/>
      <c r="X377" s="157">
        <f t="shared" si="153"/>
        <v>43828</v>
      </c>
      <c r="Y377" s="383">
        <f t="shared" si="154"/>
        <v>24.161000000000001</v>
      </c>
      <c r="Z377" s="383">
        <f t="shared" si="155"/>
        <v>24.322211892767921</v>
      </c>
      <c r="AA377" s="384">
        <f t="shared" si="156"/>
        <v>25.001721699622141</v>
      </c>
      <c r="AB377" s="197">
        <f t="shared" si="157"/>
        <v>43828</v>
      </c>
      <c r="AC377" s="424">
        <f t="shared" si="158"/>
        <v>2.7178520544226713E-2</v>
      </c>
      <c r="AD377" s="169">
        <f>(INDEX(Models!$BJ377:$BT377,,AH377)*(1-AF377)+INDEX(Models!$BJ377:$BT377,,AH377+1)*AF377-ERP_i)*AE377*Ramure*Pc/MaxiM</f>
        <v>8.5011509340180054E-4</v>
      </c>
      <c r="AE377" s="304">
        <f t="shared" si="159"/>
        <v>0.6</v>
      </c>
      <c r="AF377" s="177">
        <f t="shared" si="160"/>
        <v>0.99911246027907574</v>
      </c>
      <c r="AG377" s="799">
        <f t="shared" si="161"/>
        <v>-2</v>
      </c>
      <c r="AH377" s="176">
        <f t="shared" si="162"/>
        <v>4</v>
      </c>
      <c r="AI377" s="224">
        <f t="shared" si="163"/>
        <v>-1.0008875397209243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24.164000000000001</v>
      </c>
      <c r="C378" s="388"/>
      <c r="D378" s="391">
        <f t="shared" si="143"/>
        <v>24.325698106427062</v>
      </c>
      <c r="E378" s="383">
        <f t="shared" si="169"/>
        <v>25.006981784415071</v>
      </c>
      <c r="F378" s="383">
        <f t="shared" si="168"/>
        <v>25.027651179472095</v>
      </c>
      <c r="G378" s="110">
        <f t="shared" si="170"/>
        <v>1.0116664366368666</v>
      </c>
      <c r="I378" s="379">
        <f t="shared" si="144"/>
        <v>25.027651179472095</v>
      </c>
      <c r="J378" s="85">
        <v>2018</v>
      </c>
      <c r="K378" s="197">
        <f t="shared" si="145"/>
        <v>43829</v>
      </c>
      <c r="L378" s="435">
        <f t="shared" si="146"/>
        <v>6.6472134003973116E-3</v>
      </c>
      <c r="M378" s="842"/>
      <c r="N378" s="842"/>
      <c r="O378" s="323">
        <f t="shared" si="147"/>
        <v>2.7243738723103414E-2</v>
      </c>
      <c r="P378" s="169">
        <f>(INDEX(Models!$BJ378:$BT378,,T378)*(1-R378)+INDEX(Models!$BJ378:$BT378,,T378+1)*R378-ERP_i)*Q378*Ramure*Pc/MaxiM</f>
        <v>8.258623595479484E-4</v>
      </c>
      <c r="Q378" s="304">
        <f t="shared" si="148"/>
        <v>0.6</v>
      </c>
      <c r="R378" s="177">
        <f t="shared" si="149"/>
        <v>0.99911246027907574</v>
      </c>
      <c r="S378" s="799">
        <f t="shared" si="167"/>
        <v>-2</v>
      </c>
      <c r="T378" s="176">
        <f t="shared" si="150"/>
        <v>4</v>
      </c>
      <c r="U378" s="250">
        <f t="shared" si="151"/>
        <v>-1.0008875397209243</v>
      </c>
      <c r="V378" s="382">
        <f t="shared" si="152"/>
        <v>23.885343157503179</v>
      </c>
      <c r="W378" s="58"/>
      <c r="X378" s="157">
        <f t="shared" si="153"/>
        <v>43829</v>
      </c>
      <c r="Y378" s="383">
        <f t="shared" si="154"/>
        <v>24.164000000000001</v>
      </c>
      <c r="Z378" s="383">
        <f t="shared" si="155"/>
        <v>24.325698106427062</v>
      </c>
      <c r="AA378" s="384">
        <f t="shared" si="156"/>
        <v>25.006981784415071</v>
      </c>
      <c r="AB378" s="197">
        <f t="shared" si="157"/>
        <v>43829</v>
      </c>
      <c r="AC378" s="424">
        <f t="shared" si="158"/>
        <v>2.7243738723103414E-2</v>
      </c>
      <c r="AD378" s="169">
        <f>(INDEX(Models!$BJ378:$BT378,,AH378)*(1-AF378)+INDEX(Models!$BJ378:$BT378,,AH378+1)*AF378-ERP_i)*AE378*Ramure*Pc/MaxiM</f>
        <v>8.258623595479484E-4</v>
      </c>
      <c r="AE378" s="304">
        <f t="shared" si="159"/>
        <v>0.6</v>
      </c>
      <c r="AF378" s="177">
        <f t="shared" si="160"/>
        <v>0.99911246027907574</v>
      </c>
      <c r="AG378" s="799">
        <f t="shared" si="161"/>
        <v>-2</v>
      </c>
      <c r="AH378" s="176">
        <f t="shared" si="162"/>
        <v>4</v>
      </c>
      <c r="AI378" s="224">
        <f t="shared" si="163"/>
        <v>-1.0008875397209243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17.335000000000001</v>
      </c>
      <c r="C379" s="388"/>
      <c r="D379" s="391">
        <f t="shared" si="143"/>
        <v>17.451334975390559</v>
      </c>
      <c r="E379" s="383">
        <f t="shared" si="169"/>
        <v>17.941293313929723</v>
      </c>
      <c r="F379" s="383">
        <f t="shared" si="168"/>
        <v>17.949954639040605</v>
      </c>
      <c r="G379" s="110">
        <f t="shared" si="170"/>
        <v>0.72165676703149995</v>
      </c>
      <c r="I379" s="379">
        <f t="shared" si="144"/>
        <v>17.949954639040605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6.6662507799323256E-3</v>
      </c>
      <c r="M379" s="842"/>
      <c r="N379" s="842"/>
      <c r="O379" s="323">
        <f t="shared" si="147"/>
        <v>2.7308975443746754E-2</v>
      </c>
      <c r="P379" s="169">
        <f>(INDEX(Models!$BJ379:$BT379,,T379)*(1-R379)+INDEX(Models!$BJ379:$BT379,,T379+1)*R379-ERP_i)*Q379*Ramure*Pc/MaxiM</f>
        <v>8.0061439634258381E-4</v>
      </c>
      <c r="Q379" s="305">
        <f t="shared" si="148"/>
        <v>0.6</v>
      </c>
      <c r="R379" s="177">
        <f t="shared" si="149"/>
        <v>0.99911246027907574</v>
      </c>
      <c r="S379" s="799">
        <f t="shared" si="167"/>
        <v>-2</v>
      </c>
      <c r="T379" s="176">
        <f t="shared" si="150"/>
        <v>4</v>
      </c>
      <c r="U379" s="306">
        <f t="shared" si="151"/>
        <v>-1.0008875397209243</v>
      </c>
      <c r="V379" s="382">
        <f t="shared" si="152"/>
        <v>24.013470215333125</v>
      </c>
      <c r="W379" s="390"/>
      <c r="X379" s="157">
        <f t="shared" si="153"/>
        <v>43830</v>
      </c>
      <c r="Y379" s="383">
        <f t="shared" si="154"/>
        <v>17.335000000000001</v>
      </c>
      <c r="Z379" s="383">
        <f t="shared" si="155"/>
        <v>17.451334975390559</v>
      </c>
      <c r="AA379" s="384">
        <f t="shared" si="156"/>
        <v>17.941293313929723</v>
      </c>
      <c r="AB379" s="197">
        <f t="shared" si="157"/>
        <v>43830</v>
      </c>
      <c r="AC379" s="424">
        <f t="shared" si="158"/>
        <v>2.7308975443746754E-2</v>
      </c>
      <c r="AD379" s="169">
        <f>(INDEX(Models!$BJ379:$BT379,,AH379)*(1-AF379)+INDEX(Models!$BJ379:$BT379,,AH379+1)*AF379-ERP_i)*AE379*Ramure*Pc/MaxiM</f>
        <v>8.0061439634258381E-4</v>
      </c>
      <c r="AE379" s="305">
        <f t="shared" si="159"/>
        <v>0.6</v>
      </c>
      <c r="AF379" s="177">
        <f t="shared" si="160"/>
        <v>0.99911246027907574</v>
      </c>
      <c r="AG379" s="799">
        <f t="shared" si="161"/>
        <v>-2</v>
      </c>
      <c r="AH379" s="176">
        <f t="shared" si="162"/>
        <v>4</v>
      </c>
      <c r="AI379" s="221">
        <f t="shared" si="163"/>
        <v>-1.0008875397209243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25.018618300755818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1.897</v>
      </c>
      <c r="C381" s="374"/>
      <c r="D381" s="372">
        <f>MIN(D15:D380)</f>
        <v>1.9089988862363336</v>
      </c>
      <c r="E381" s="372">
        <f>MIN(E15:E380)</f>
        <v>1.9600000305034191</v>
      </c>
      <c r="F381" s="373">
        <f>MIN(F15:F380)</f>
        <v>1.9600000305034191</v>
      </c>
      <c r="G381" s="125">
        <f>+MIN(G15:G380)</f>
        <v>7.9680788552110887E-2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1.8516552066306652E-9</v>
      </c>
      <c r="Q381" s="309">
        <f t="shared" si="172"/>
        <v>0.6</v>
      </c>
      <c r="R381" s="310">
        <f t="shared" si="172"/>
        <v>0.49911373331524667</v>
      </c>
      <c r="S381" s="799">
        <f t="shared" si="172"/>
        <v>-2</v>
      </c>
      <c r="T381" s="176">
        <f t="shared" si="172"/>
        <v>4</v>
      </c>
      <c r="U381" s="251">
        <f>+MIN(U15:U380)</f>
        <v>-1.5008862666847533</v>
      </c>
      <c r="V381" s="372">
        <f>MIN(V15:V380)</f>
        <v>23.294523579894339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1.8516552066306652E-9</v>
      </c>
      <c r="AE381" s="309">
        <f t="shared" si="173"/>
        <v>0.6</v>
      </c>
      <c r="AF381" s="310">
        <f t="shared" si="173"/>
        <v>0.49911373331524667</v>
      </c>
      <c r="AG381" s="799">
        <f t="shared" si="173"/>
        <v>-2</v>
      </c>
      <c r="AH381" s="176">
        <f t="shared" si="173"/>
        <v>4</v>
      </c>
      <c r="AI381" s="225">
        <f>MIN(AI15:AI380)</f>
        <v>-1.5008862666847533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34.656317567567577</v>
      </c>
      <c r="C382" s="374"/>
      <c r="D382" s="374">
        <f>AVERAGE(D15:D380)</f>
        <v>34.774923465466671</v>
      </c>
      <c r="E382" s="374">
        <f>AVERAGE(E15:E380)</f>
        <v>35.318078922062</v>
      </c>
      <c r="F382" s="375">
        <f>AVERAGE(F15:F380)</f>
        <v>35.320157939770283</v>
      </c>
      <c r="G382" s="126">
        <f>AVERAGE(G15:G380)</f>
        <v>0.68118059928138885</v>
      </c>
      <c r="H382" s="94"/>
      <c r="I382" s="375">
        <f>AVERAGE(I15:I380)</f>
        <v>28.564936475879794</v>
      </c>
      <c r="J382" s="166">
        <f>AVERAGE(J15:J380)</f>
        <v>2018</v>
      </c>
      <c r="K382" s="200" t="s">
        <v>8</v>
      </c>
      <c r="L382" s="147">
        <f t="shared" ref="L382:V382" si="174">AVERAGE(L15:L380)</f>
        <v>3.1997003651434539E-3</v>
      </c>
      <c r="M382" s="832"/>
      <c r="N382" s="832"/>
      <c r="O382" s="48">
        <f t="shared" si="174"/>
        <v>1.4149480147644044E-2</v>
      </c>
      <c r="P382" s="169">
        <f t="shared" si="174"/>
        <v>1.652668687272225E-4</v>
      </c>
      <c r="Q382" s="311">
        <f t="shared" si="174"/>
        <v>0.59999999999999631</v>
      </c>
      <c r="R382" s="177">
        <f t="shared" si="174"/>
        <v>0.77899733031439178</v>
      </c>
      <c r="S382" s="799">
        <f t="shared" si="174"/>
        <v>-2</v>
      </c>
      <c r="T382" s="176">
        <f t="shared" si="174"/>
        <v>4</v>
      </c>
      <c r="U382" s="250">
        <f t="shared" si="174"/>
        <v>-1.2210026696856087</v>
      </c>
      <c r="V382" s="374">
        <f t="shared" si="174"/>
        <v>46.453914073579305</v>
      </c>
      <c r="X382" s="112" t="s">
        <v>8</v>
      </c>
      <c r="Y382" s="374">
        <f>AVERAGE(Y15:Y380)</f>
        <v>28.104849315068499</v>
      </c>
      <c r="Z382" s="374">
        <f>AVERAGE(Z15:Z380)</f>
        <v>28.201033824049684</v>
      </c>
      <c r="AA382" s="374">
        <f>AVERAGE(AA15:AA380)</f>
        <v>28.641510577891378</v>
      </c>
      <c r="AB382" s="200" t="s">
        <v>8</v>
      </c>
      <c r="AC382" s="48">
        <f t="shared" ref="AC382:AH382" si="175">AVERAGE(AC15:AC380)</f>
        <v>1.4149480147644044E-2</v>
      </c>
      <c r="AD382" s="169">
        <f t="shared" si="175"/>
        <v>1.652668687272225E-4</v>
      </c>
      <c r="AE382" s="311">
        <f t="shared" si="175"/>
        <v>0.59999999999999631</v>
      </c>
      <c r="AF382" s="177">
        <f t="shared" si="175"/>
        <v>0.77899733031439178</v>
      </c>
      <c r="AG382" s="799">
        <f t="shared" si="175"/>
        <v>-2</v>
      </c>
      <c r="AH382" s="176">
        <f t="shared" si="175"/>
        <v>4</v>
      </c>
      <c r="AI382" s="224">
        <f>AVERAGE(AI15:AI380)</f>
        <v>-1.2210026696856087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63.923000000000002</v>
      </c>
      <c r="C383" s="376"/>
      <c r="D383" s="376">
        <f>MAX(D15:D380)</f>
        <v>64.066495349446981</v>
      </c>
      <c r="E383" s="376">
        <f>MAX(E15:E380)</f>
        <v>64.734833010730028</v>
      </c>
      <c r="F383" s="377">
        <f>MAX(F15:F380)</f>
        <v>64.735176440204555</v>
      </c>
      <c r="G383" s="127">
        <f>+MAX(G15:G380)</f>
        <v>1.0312918001857614</v>
      </c>
      <c r="H383" s="94"/>
      <c r="I383" s="377">
        <f>MAX(I15:I380)</f>
        <v>64.735176440204555</v>
      </c>
      <c r="J383" s="167">
        <f>MAX(J15:J380)</f>
        <v>2018</v>
      </c>
      <c r="K383" s="200" t="s">
        <v>9</v>
      </c>
      <c r="L383" s="148">
        <f t="shared" ref="L383:T383" si="176">MAX(L15:L380)</f>
        <v>6.6662507799323256E-3</v>
      </c>
      <c r="M383" s="834"/>
      <c r="N383" s="834"/>
      <c r="O383" s="49">
        <f t="shared" si="176"/>
        <v>2.7308975443746754E-2</v>
      </c>
      <c r="P383" s="170">
        <f t="shared" si="176"/>
        <v>9.6632107428396507E-4</v>
      </c>
      <c r="Q383" s="312">
        <f t="shared" si="176"/>
        <v>0.6</v>
      </c>
      <c r="R383" s="313">
        <f t="shared" si="176"/>
        <v>0.99911246027907574</v>
      </c>
      <c r="S383" s="800">
        <f t="shared" si="176"/>
        <v>-2</v>
      </c>
      <c r="T383" s="232">
        <f t="shared" si="176"/>
        <v>4</v>
      </c>
      <c r="U383" s="252">
        <f>+MAX(U15:U380)</f>
        <v>-1.0008875397209243</v>
      </c>
      <c r="V383" s="376">
        <f>MAX(V15:V380)</f>
        <v>63.165895996073218</v>
      </c>
      <c r="X383" s="112" t="s">
        <v>9</v>
      </c>
      <c r="Y383" s="376">
        <f>MAX(Y15:Y380)</f>
        <v>63.923000000000002</v>
      </c>
      <c r="Z383" s="376">
        <f>MAX(Z15:Z380)</f>
        <v>64.066495349446981</v>
      </c>
      <c r="AA383" s="376">
        <f>MAX(AA15:AA380)</f>
        <v>64.734833010730028</v>
      </c>
      <c r="AB383" s="200" t="s">
        <v>9</v>
      </c>
      <c r="AC383" s="49">
        <f t="shared" ref="AC383:AH383" si="177">MAX(AC15:AC380)</f>
        <v>2.7308975443746754E-2</v>
      </c>
      <c r="AD383" s="170">
        <f t="shared" si="177"/>
        <v>9.6632107428396507E-4</v>
      </c>
      <c r="AE383" s="312">
        <f t="shared" si="177"/>
        <v>0.6</v>
      </c>
      <c r="AF383" s="313">
        <f t="shared" si="177"/>
        <v>0.99911246027907574</v>
      </c>
      <c r="AG383" s="800">
        <f t="shared" si="177"/>
        <v>-2</v>
      </c>
      <c r="AH383" s="232">
        <f t="shared" si="177"/>
        <v>4</v>
      </c>
      <c r="AI383" s="226">
        <f>MAX(AI15:AI380)</f>
        <v>-1.0008875397209243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'2019'!An+1</f>
        <v>2020</v>
      </c>
      <c r="K1" s="1279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11377.776000000003</v>
      </c>
      <c r="AK6" s="514">
        <f>SUMIF(AK15:AK380,"FAUX",Wh)</f>
        <v>11377.776000000003</v>
      </c>
      <c r="AL6" s="514">
        <f>SUMIF(AJ15:AJ380,"FAUX",Wh_s)</f>
        <v>11377.776000000003</v>
      </c>
      <c r="AM6" s="514">
        <f>SUMIF(AK15:AK380,"FAUX",Wh_s)</f>
        <v>11377.776000000003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0</v>
      </c>
      <c r="F7" s="319" t="b">
        <f>YEAR(Tnet)=An</f>
        <v>0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11492.633876395104</v>
      </c>
      <c r="AK8" s="514">
        <f>SUMIF(AK15:AK380,"FAUX",Wh_sa)</f>
        <v>11958.512849955363</v>
      </c>
      <c r="AL8" s="514">
        <f>SUMIF(AJ15:AJ380,"FAUX",Wh_pvt_s)</f>
        <v>11492.633876395104</v>
      </c>
      <c r="AM8" s="514">
        <f>SUMIF(AK15:AK380,"FAUX",Wh_sa_s)</f>
        <v>11958.512849955363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11492.633876395104</v>
      </c>
      <c r="E9" s="184">
        <f>SUM(E$15:E$380)</f>
        <v>11958.512849955363</v>
      </c>
      <c r="F9" s="184">
        <f>SUM(F$15:F$380)</f>
        <v>11960.850030837801</v>
      </c>
      <c r="H9" s="1280">
        <f>+SUM(Wh)</f>
        <v>11377.776000000003</v>
      </c>
      <c r="I9" s="1281"/>
      <c r="J9" s="1282"/>
      <c r="K9" s="191"/>
      <c r="L9" s="114"/>
      <c r="M9" s="114"/>
      <c r="N9" s="114"/>
      <c r="O9" s="222">
        <f>Tnet_2020</f>
        <v>43481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11377.776000000003</v>
      </c>
      <c r="Y9" s="1275"/>
      <c r="Z9" s="514">
        <f>SUM(Z$15:Z$380)</f>
        <v>11492.633876395104</v>
      </c>
      <c r="AA9" s="514">
        <f>SUM(AA$15:AA$380)</f>
        <v>11958.512849955363</v>
      </c>
      <c r="AB9" s="514">
        <f>F9</f>
        <v>11960.850030837801</v>
      </c>
      <c r="AC9" s="324">
        <f>IF(An_Tnet,Tnet,'2019'!Tnet_s)</f>
        <v>43481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0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6"/>
      <c r="AE10" s="426"/>
      <c r="AF10" s="259"/>
      <c r="AG10" s="260"/>
      <c r="AH10" s="261"/>
      <c r="AI10" s="521"/>
      <c r="AJ10" s="514">
        <f>SUMIF(AJ15:AJ380,"FAUX",Wh_sa)</f>
        <v>11958.512849955363</v>
      </c>
      <c r="AK10" s="514">
        <f>SUMIF(AK15:AK380,"FAUX",Wh_hp)</f>
        <v>11960.850030837801</v>
      </c>
      <c r="AL10" s="514">
        <f>SUMIF(AJ15:AJ380,"FAUX",Wh_sa_s)</f>
        <v>11958.512849955363</v>
      </c>
      <c r="AM10" s="514">
        <f>SUMIF(AK15:AK380,"FAUX",Wh_hp)</f>
        <v>11960.850030837801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114.8578763951009</v>
      </c>
      <c r="E11" s="51">
        <f>(E$9-D$9)*Prod_an/D$9</f>
        <v>461.22295909605776</v>
      </c>
      <c r="F11" s="186">
        <f>(F$9-E$9)*Prod_an/E$9</f>
        <v>2.2236812290549581</v>
      </c>
      <c r="G11" s="185" t="s">
        <v>6</v>
      </c>
      <c r="H11" s="334"/>
      <c r="K11" s="194"/>
      <c r="L11" s="182">
        <f>Tvie_2020</f>
        <v>43481</v>
      </c>
      <c r="M11" s="831"/>
      <c r="N11" s="831"/>
      <c r="O11" s="202">
        <f>IF(An_Tnet,Salim_2020,'2019'!Salim)</f>
        <v>0.1</v>
      </c>
      <c r="P11" s="255">
        <f>Ttai_2020</f>
        <v>43466</v>
      </c>
      <c r="Q11" s="271">
        <f>Dens_2020</f>
        <v>0.6</v>
      </c>
      <c r="R11" s="276"/>
      <c r="S11" s="229"/>
      <c r="T11" s="229"/>
      <c r="U11" s="265">
        <f>Htf_2020</f>
        <v>-0.50088753972092426</v>
      </c>
      <c r="V11" s="426"/>
      <c r="W11" s="517"/>
      <c r="X11" s="524" t="s">
        <v>43</v>
      </c>
      <c r="Y11" s="50">
        <f>Z$9-Prod_an_s</f>
        <v>114.8578763951009</v>
      </c>
      <c r="Z11" s="51">
        <f>(AA$9-Z$9)*Prod_an_s/Z$9</f>
        <v>461.22295909605776</v>
      </c>
      <c r="AA11" s="186">
        <f>(AB$9-AA$9)*Prod_an_s/AA$9</f>
        <v>2.2236812290549581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4.690149922644915E-2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0.6</v>
      </c>
      <c r="R12" s="277"/>
      <c r="S12" s="278"/>
      <c r="T12" s="278"/>
      <c r="U12" s="266">
        <f>'2019'!Hdf</f>
        <v>-1.0008875397209243</v>
      </c>
      <c r="V12" s="516"/>
      <c r="W12" s="503"/>
      <c r="X12" s="504"/>
      <c r="Y12" s="503"/>
      <c r="Z12" s="426"/>
      <c r="AA12" s="426"/>
      <c r="AB12" s="530"/>
      <c r="AC12" s="317" t="b">
        <f>NOT(An_Tnet)</f>
        <v>1</v>
      </c>
      <c r="AD12" s="426"/>
      <c r="AE12" s="295">
        <f>'2019'!Df_s</f>
        <v>0.6</v>
      </c>
      <c r="AF12" s="203"/>
      <c r="AG12" s="203"/>
      <c r="AH12" s="203"/>
      <c r="AI12" s="296">
        <f>'2019'!Hdf_s</f>
        <v>-1.0008875397209243</v>
      </c>
      <c r="AJ12" s="821">
        <f>IF($AJ8=0,0,($AJ10-$AJ8)*$AJ6/$AJ8)</f>
        <v>461.22295909605776</v>
      </c>
      <c r="AK12" s="822">
        <f>IF($AK8=0,0,($AK10-$AK8)*$AK6/$AK8)</f>
        <v>2.2236812290549581</v>
      </c>
      <c r="AL12" s="821">
        <f>IF($AL8=0,0,($AL10-$AL8)*$AL6/$AL8)</f>
        <v>461.22295909605776</v>
      </c>
      <c r="AM12" s="822">
        <f>IF($AM8=0,0,($AM10-$AM8)*$AM6/$AM8)</f>
        <v>2.2236812290549581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461.22295909605776</v>
      </c>
      <c r="AK13" s="73">
        <f>+AK11+AK12</f>
        <v>2.2236812290549581</v>
      </c>
      <c r="AL13" s="73">
        <f>+AL11+AL12</f>
        <v>461.22295909605776</v>
      </c>
      <c r="AM13" s="73">
        <f>+AM11+AM12</f>
        <v>2.2236812290549581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14.833</v>
      </c>
      <c r="C15" s="388"/>
      <c r="D15" s="391">
        <f t="shared" ref="D15:D78" si="0">Wh/(1-Ppv)</f>
        <v>14.932830267929322</v>
      </c>
      <c r="E15" s="383">
        <f t="shared" ref="E15:E79" si="1">Wh_pvt/(1-Psa)</f>
        <v>15.353109707880218</v>
      </c>
      <c r="F15" s="383">
        <f t="shared" ref="F15:F78" si="2">Wh_sa/(1-Pvg*MEDIAN((-Sdif+Wh/Env_an)/Csdif,0,1))</f>
        <v>15.358447464851398</v>
      </c>
      <c r="G15" s="110">
        <f>+Wh_hp/MaxiM</f>
        <v>0.61388072202835986</v>
      </c>
      <c r="H15" s="412" t="b">
        <f>Wh_hp&gt;='2019'!Maxi_hp</f>
        <v>1</v>
      </c>
      <c r="I15" s="394">
        <f>IF(H15,Wh_hp,'2019'!Maxi_hp)</f>
        <v>15.358447464851398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6.6852877946201872E-3</v>
      </c>
      <c r="M15" s="833"/>
      <c r="N15" s="833"/>
      <c r="O15" s="420">
        <f>IF(t&lt;Tnet,'2019'!Resal+('2019'!Salim-'2019'!Resal)*(1-EXP(('2019'!Tnet-t)/('2019'!Tau_j))),Resal+(Salim-Resal)*(1-EXP((Tnet-t)/(Tau_j))))*Salcycl</f>
        <v>2.7374222417962678E-2</v>
      </c>
      <c r="P15" s="301">
        <f>(INDEX(Models!$BJ15:$BT15,,T15)*(1-R15)+INDEX(Models!$BJ15:$BT15,,T15+1)*R15-ERP_i)*Q15*Ramure*Pc/MaxiM</f>
        <v>7.7442998292207726E-4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0.99911365577730504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49">
        <f>IF(OR(t&lt;Ttai,Notai),Hdd+PousH*Croivg,Hdtf+PousH*(Croivg-Croi_tai))</f>
        <v>-1.000886344222695</v>
      </c>
      <c r="V15" s="381">
        <f t="shared" ref="V15:V78" si="8">MaxiM*(1-Ppv)*(1-Pvg)*(1-Psa)</f>
        <v>24.152356128414507</v>
      </c>
      <c r="W15" s="421"/>
      <c r="X15" s="422">
        <f t="shared" ref="X15:X78" si="9">t</f>
        <v>43831</v>
      </c>
      <c r="Y15" s="383">
        <f t="shared" ref="Y15:Y78" si="10">Wh_pvt_s*(1-Ppv)</f>
        <v>14.833</v>
      </c>
      <c r="Z15" s="383">
        <f t="shared" ref="Z15:Z78" si="11">Wh_sa_s*(1-Psa_s)</f>
        <v>14.932830267929322</v>
      </c>
      <c r="AA15" s="384">
        <f t="shared" ref="AA15:AA78" si="12">Wh_hp*(1-Pvg_s*MEDIAN((-Sdif+Wh/Env_an)/Csdif,0,1))</f>
        <v>15.353109707880218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2.7374222417962678E-2</v>
      </c>
      <c r="AD15" s="230">
        <f>(INDEX(Models!$BJ15:$BT15,,AH15)*(1-AF15)+INDEX(Models!$BJ15:$BT15,,AH15+1)*AF15-ERP_i)*AE15*Ramure*Pc/MaxiM</f>
        <v>7.7442998292207726E-4</v>
      </c>
      <c r="AE15" s="302">
        <f t="shared" ref="AE15:AE78" si="14">IF(OR(t&lt;Ttai,Notai),Dd_s+PousD*Croivg,Dens_s+PousD*(Croivg-Croi_tai))</f>
        <v>0.6</v>
      </c>
      <c r="AF15" s="303">
        <f t="shared" ref="AF15:AF78" si="15">(Hp_vg_s-AG15)/(INDEX(Echel_vg,AH15+1)-AG15)</f>
        <v>0.99911365577730504</v>
      </c>
      <c r="AG15" s="248">
        <f t="shared" ref="AG15:AG78" si="16">INDEX(Echel_vg,AH15)</f>
        <v>-2</v>
      </c>
      <c r="AH15" s="248">
        <f t="shared" ref="AH15:AH78" si="17">MIN(MATCH(Hp_vg_s,Echel_vg),10)</f>
        <v>4</v>
      </c>
      <c r="AI15" s="223">
        <f>IF(OR(t&lt;Ttai,Notai),Hdd_s+PousH*Croivg,Hdtai_s+PousH*(Croivg-Croi_tai))</f>
        <v>-1.000886344222695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23.25</v>
      </c>
      <c r="C16" s="388"/>
      <c r="D16" s="391">
        <f t="shared" si="0"/>
        <v>23.406927637127492</v>
      </c>
      <c r="E16" s="383">
        <f t="shared" si="1"/>
        <v>24.067322255580525</v>
      </c>
      <c r="F16" s="383">
        <f t="shared" si="2"/>
        <v>24.084283353934023</v>
      </c>
      <c r="G16" s="110">
        <f>+Wh_hp/MaxiM</f>
        <v>0.95668971211412146</v>
      </c>
      <c r="H16" s="412" t="b">
        <f>Wh_hp&gt;='2019'!Maxi_hp</f>
        <v>1</v>
      </c>
      <c r="I16" s="388">
        <f>IF(H16,Wh_hp,'2019'!Maxi_hp)</f>
        <v>24.084283353934023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6.7043244444681127E-3</v>
      </c>
      <c r="M16" s="832"/>
      <c r="N16" s="832"/>
      <c r="O16" s="48">
        <f>IF(t&lt;Tnet,'2019'!Resal+('2019'!Salim-'2019'!Resal)*(1-EXP(('2019'!Tnet-t)/('2019'!Tau_j))),Resal+(Salim-Resal)*(1-EXP((Tnet-t)/(Tau_j))))*Salcycl</f>
        <v>2.7439472137366947E-2</v>
      </c>
      <c r="P16" s="169">
        <f>(INDEX(Models!$BJ16:$BT16,,T16)*(1-R16)+INDEX(Models!$BJ16:$BT16,,T16+1)*R16-ERP_i)*Q16*Ramure*Pc/MaxiM</f>
        <v>7.5063480312851337E-4</v>
      </c>
      <c r="Q16" s="304">
        <f t="shared" si="4"/>
        <v>0.6</v>
      </c>
      <c r="R16" s="177">
        <f t="shared" si="5"/>
        <v>0.99914287039129945</v>
      </c>
      <c r="S16" s="799">
        <f t="shared" si="6"/>
        <v>-2</v>
      </c>
      <c r="T16" s="176">
        <f t="shared" si="7"/>
        <v>4</v>
      </c>
      <c r="U16" s="250">
        <f t="shared" ref="U16:U78" si="21">IF(OR(t&lt;Ttai,Notai),Hdd+PousH*Croivg,Hdtf+PousH*(Croivg-Croi_tai))</f>
        <v>-1.0008571296087005</v>
      </c>
      <c r="V16" s="382">
        <f t="shared" si="8"/>
        <v>24.301422132470968</v>
      </c>
      <c r="W16" s="58"/>
      <c r="X16" s="157">
        <f t="shared" si="9"/>
        <v>43832</v>
      </c>
      <c r="Y16" s="383">
        <f t="shared" si="10"/>
        <v>23.25</v>
      </c>
      <c r="Z16" s="383">
        <f t="shared" si="11"/>
        <v>23.406927637127492</v>
      </c>
      <c r="AA16" s="384">
        <f t="shared" si="12"/>
        <v>24.067322255580525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2.7439472137366947E-2</v>
      </c>
      <c r="AD16" s="230">
        <f>(INDEX(Models!$BJ16:$BT16,,AH16)*(1-AF16)+INDEX(Models!$BJ16:$BT16,,AH16+1)*AF16-ERP_i)*AE16*Ramure*Pc/MaxiM</f>
        <v>7.5063480312851337E-4</v>
      </c>
      <c r="AE16" s="304">
        <f t="shared" si="14"/>
        <v>0.6</v>
      </c>
      <c r="AF16" s="177">
        <f t="shared" si="15"/>
        <v>0.99914287039129945</v>
      </c>
      <c r="AG16" s="176">
        <f t="shared" si="16"/>
        <v>-2</v>
      </c>
      <c r="AH16" s="176">
        <f t="shared" si="17"/>
        <v>4</v>
      </c>
      <c r="AI16" s="224">
        <f t="shared" ref="AI16:AI78" si="22">IF(OR(t&lt;Ttai,Notai),Hdd_s+PousH*Croivg,Hdtai_s+PousH*(Croivg-Croi_tai))</f>
        <v>-1.0008571296087005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8.0660000000000007</v>
      </c>
      <c r="C17" s="388"/>
      <c r="D17" s="391">
        <f t="shared" si="0"/>
        <v>8.12059770772807</v>
      </c>
      <c r="E17" s="383">
        <f>Wh_pvt/(1-Psa)</f>
        <v>8.3502695149417221</v>
      </c>
      <c r="F17" s="383">
        <f t="shared" si="2"/>
        <v>8.3505283899085825</v>
      </c>
      <c r="G17" s="110">
        <f t="shared" ref="G17:G79" si="23">+Wh_hp/MaxiM</f>
        <v>0.32953034580841278</v>
      </c>
      <c r="H17" s="412" t="b">
        <f>Wh_hp&gt;='2019'!Maxi_hp</f>
        <v>1</v>
      </c>
      <c r="I17" s="388">
        <f>IF(H17,Wh_hp,'2019'!Maxi_hp)</f>
        <v>8.3505283899085825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6.7233607294829856E-3</v>
      </c>
      <c r="M17" s="832"/>
      <c r="N17" s="832"/>
      <c r="O17" s="48">
        <f>IF(t&lt;Tnet,'2019'!Resal+('2019'!Salim-'2019'!Resal)*(1-EXP(('2019'!Tnet-t)/('2019'!Tau_j))),Resal+(Salim-Resal)*(1-EXP((Tnet-t)/(Tau_j))))*Salcycl</f>
        <v>2.7504717877990022E-2</v>
      </c>
      <c r="P17" s="169">
        <f>(INDEX(Models!$BJ17:$BT17,,T17)*(1-R17)+INDEX(Models!$BJ17:$BT17,,T17+1)*R17-ERP_i)*Q17*Ramure*Pc/MaxiM</f>
        <v>7.2917655151397468E-4</v>
      </c>
      <c r="Q17" s="304">
        <f t="shared" si="4"/>
        <v>0.6</v>
      </c>
      <c r="R17" s="177">
        <f t="shared" si="5"/>
        <v>0.99917330698678897</v>
      </c>
      <c r="S17" s="799">
        <f t="shared" si="6"/>
        <v>-2</v>
      </c>
      <c r="T17" s="176">
        <f t="shared" si="7"/>
        <v>4</v>
      </c>
      <c r="U17" s="250">
        <f t="shared" si="21"/>
        <v>-1.000826693013211</v>
      </c>
      <c r="V17" s="382">
        <f t="shared" si="8"/>
        <v>24.460170191211287</v>
      </c>
      <c r="W17" s="58"/>
      <c r="X17" s="157">
        <f t="shared" si="9"/>
        <v>43833</v>
      </c>
      <c r="Y17" s="383">
        <f t="shared" si="10"/>
        <v>8.0660000000000007</v>
      </c>
      <c r="Z17" s="383">
        <f t="shared" si="11"/>
        <v>8.12059770772807</v>
      </c>
      <c r="AA17" s="384">
        <f t="shared" si="12"/>
        <v>8.3502695149417221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2.7504717877990022E-2</v>
      </c>
      <c r="AD17" s="230">
        <f>(INDEX(Models!$BJ17:$BT17,,AH17)*(1-AF17)+INDEX(Models!$BJ17:$BT17,,AH17+1)*AF17-ERP_i)*AE17*Ramure*Pc/MaxiM</f>
        <v>7.2917655151397468E-4</v>
      </c>
      <c r="AE17" s="304">
        <f t="shared" si="14"/>
        <v>0.6</v>
      </c>
      <c r="AF17" s="177">
        <f t="shared" si="15"/>
        <v>0.99917330698678897</v>
      </c>
      <c r="AG17" s="176">
        <f t="shared" si="16"/>
        <v>-2</v>
      </c>
      <c r="AH17" s="176">
        <f t="shared" si="17"/>
        <v>4</v>
      </c>
      <c r="AI17" s="224">
        <f t="shared" si="22"/>
        <v>-1.000826693013211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6.2590000000000003</v>
      </c>
      <c r="C18" s="388"/>
      <c r="D18" s="391">
        <f t="shared" si="0"/>
        <v>6.3014871256841634</v>
      </c>
      <c r="E18" s="383">
        <f>Wh_pvt/(1-Psa)</f>
        <v>6.4801444069359215</v>
      </c>
      <c r="F18" s="383">
        <f t="shared" si="2"/>
        <v>6.4801444069359215</v>
      </c>
      <c r="G18" s="110">
        <f>+Wh_hp/MaxiM</f>
        <v>0.25396013140494905</v>
      </c>
      <c r="H18" s="412" t="b">
        <f>Wh_hp&gt;='2019'!Maxi_hp</f>
        <v>1</v>
      </c>
      <c r="I18" s="388">
        <f>IF(H18,Wh_hp,'2019'!Maxi_hp)</f>
        <v>6.4801444069359215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6.7423966496718002E-3</v>
      </c>
      <c r="M18" s="832"/>
      <c r="N18" s="832"/>
      <c r="O18" s="48">
        <f>IF(t&lt;Tnet,'2019'!Resal+('2019'!Salim-'2019'!Resal)*(1-EXP(('2019'!Tnet-t)/('2019'!Tau_j))),Resal+(Salim-Resal)*(1-EXP((Tnet-t)/(Tau_j))))*Salcycl</f>
        <v>2.7569953697410693E-2</v>
      </c>
      <c r="P18" s="169">
        <f>(INDEX(Models!$BJ18:$BT18,,T18)*(1-R18)+INDEX(Models!$BJ18:$BT18,,T18+1)*R18-ERP_i)*Q18*Ramure*Pc/MaxiM</f>
        <v>7.1004044538825579E-4</v>
      </c>
      <c r="Q18" s="304">
        <f>IF(OR(t&lt;Ttai,Notai),Dd+PousD*Croivg,Dens+PousD*(Croivg-Croi_tai))</f>
        <v>0.6</v>
      </c>
      <c r="R18" s="177">
        <f t="shared" si="5"/>
        <v>0.99920501651808413</v>
      </c>
      <c r="S18" s="799">
        <f t="shared" si="6"/>
        <v>-2</v>
      </c>
      <c r="T18" s="176">
        <f t="shared" si="7"/>
        <v>4</v>
      </c>
      <c r="U18" s="250">
        <f t="shared" si="21"/>
        <v>-1.0007949834819159</v>
      </c>
      <c r="V18" s="382">
        <f t="shared" si="8"/>
        <v>24.628101356898373</v>
      </c>
      <c r="W18" s="58"/>
      <c r="X18" s="157">
        <f t="shared" si="9"/>
        <v>43834</v>
      </c>
      <c r="Y18" s="383">
        <f t="shared" si="10"/>
        <v>6.2590000000000003</v>
      </c>
      <c r="Z18" s="383">
        <f>Wh_sa_s*(1-Psa_s)</f>
        <v>6.3014871256841634</v>
      </c>
      <c r="AA18" s="384">
        <f t="shared" si="12"/>
        <v>6.4801444069359215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2.7569953697410693E-2</v>
      </c>
      <c r="AD18" s="230">
        <f>(INDEX(Models!$BJ18:$BT18,,AH18)*(1-AF18)+INDEX(Models!$BJ18:$BT18,,AH18+1)*AF18-ERP_i)*AE18*Ramure*Pc/MaxiM</f>
        <v>7.1004044538825579E-4</v>
      </c>
      <c r="AE18" s="304">
        <f t="shared" si="14"/>
        <v>0.6</v>
      </c>
      <c r="AF18" s="177">
        <f t="shared" si="15"/>
        <v>0.99920501651808413</v>
      </c>
      <c r="AG18" s="176">
        <f t="shared" si="16"/>
        <v>-2</v>
      </c>
      <c r="AH18" s="176">
        <f t="shared" si="17"/>
        <v>4</v>
      </c>
      <c r="AI18" s="224">
        <f t="shared" si="22"/>
        <v>-1.0007949834819159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13.637</v>
      </c>
      <c r="C19" s="388"/>
      <c r="D19" s="391">
        <f t="shared" si="0"/>
        <v>13.72983333729665</v>
      </c>
      <c r="E19" s="383">
        <f>Wh_pvt/(1-Psa)</f>
        <v>14.12004319384239</v>
      </c>
      <c r="F19" s="383">
        <f t="shared" si="2"/>
        <v>14.123536657491783</v>
      </c>
      <c r="G19" s="110">
        <f>+Wh_hp/MaxiM</f>
        <v>0.54952928755210517</v>
      </c>
      <c r="H19" s="412" t="b">
        <f>Wh_hp&gt;='2019'!Maxi_hp</f>
        <v>1</v>
      </c>
      <c r="I19" s="388">
        <f>IF(H19,Wh_hp,'2019'!Maxi_hp)</f>
        <v>14.123536657491783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6.761432205041551E-3</v>
      </c>
      <c r="M19" s="832"/>
      <c r="N19" s="832"/>
      <c r="O19" s="48">
        <f>IF(t&lt;Tnet,'2019'!Resal+('2019'!Salim-'2019'!Resal)*(1-EXP(('2019'!Tnet-t)/('2019'!Tau_j))),Resal+(Salim-Resal)*(1-EXP((Tnet-t)/(Tau_j))))*Salcycl</f>
        <v>2.7635174424672174E-2</v>
      </c>
      <c r="P19" s="169">
        <f>(INDEX(Models!$BJ19:$BT19,,T19)*(1-R19)+INDEX(Models!$BJ19:$BT19,,T19+1)*R19-ERP_i)*Q19*Ramure*Pc/MaxiM</f>
        <v>6.9320671904305625E-4</v>
      </c>
      <c r="Q19" s="304">
        <f t="shared" si="4"/>
        <v>0.6</v>
      </c>
      <c r="R19" s="177">
        <f t="shared" si="5"/>
        <v>0.99923805205064564</v>
      </c>
      <c r="S19" s="799">
        <f t="shared" si="6"/>
        <v>-2</v>
      </c>
      <c r="T19" s="176">
        <f t="shared" si="7"/>
        <v>4</v>
      </c>
      <c r="U19" s="250">
        <f t="shared" si="21"/>
        <v>-1.0007619479493544</v>
      </c>
      <c r="V19" s="382">
        <f t="shared" si="8"/>
        <v>24.804716805840613</v>
      </c>
      <c r="W19" s="58"/>
      <c r="X19" s="157">
        <f t="shared" si="9"/>
        <v>43835</v>
      </c>
      <c r="Y19" s="383">
        <f t="shared" si="10"/>
        <v>13.637</v>
      </c>
      <c r="Z19" s="383">
        <f t="shared" si="11"/>
        <v>13.72983333729665</v>
      </c>
      <c r="AA19" s="384">
        <f t="shared" si="12"/>
        <v>14.12004319384239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2.7635174424672174E-2</v>
      </c>
      <c r="AD19" s="230">
        <f>(INDEX(Models!$BJ19:$BT19,,AH19)*(1-AF19)+INDEX(Models!$BJ19:$BT19,,AH19+1)*AF19-ERP_i)*AE19*Ramure*Pc/MaxiM</f>
        <v>6.9320671904305625E-4</v>
      </c>
      <c r="AE19" s="304">
        <f t="shared" si="14"/>
        <v>0.6</v>
      </c>
      <c r="AF19" s="177">
        <f t="shared" si="15"/>
        <v>0.99923805205064564</v>
      </c>
      <c r="AG19" s="176">
        <f t="shared" si="16"/>
        <v>-2</v>
      </c>
      <c r="AH19" s="176">
        <f t="shared" si="17"/>
        <v>4</v>
      </c>
      <c r="AI19" s="224">
        <f t="shared" si="22"/>
        <v>-1.0007619479493544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25.068999999999999</v>
      </c>
      <c r="C20" s="388"/>
      <c r="D20" s="391">
        <f t="shared" si="0"/>
        <v>25.240139945963971</v>
      </c>
      <c r="E20" s="383">
        <f t="shared" si="1"/>
        <v>25.959220093974114</v>
      </c>
      <c r="F20" s="383">
        <f t="shared" si="2"/>
        <v>25.97684931198668</v>
      </c>
      <c r="G20" s="110">
        <f t="shared" si="23"/>
        <v>1.0031806202652456</v>
      </c>
      <c r="H20" s="412" t="b">
        <f>Wh_hp&gt;='2019'!Maxi_hp</f>
        <v>1</v>
      </c>
      <c r="I20" s="388">
        <f>IF(H20,Wh_hp,'2019'!Maxi_hp)</f>
        <v>25.97684931198668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6.7804673955992323E-3</v>
      </c>
      <c r="M20" s="832"/>
      <c r="N20" s="832"/>
      <c r="O20" s="48">
        <f>IF(t&lt;Tnet,'2019'!Resal+('2019'!Salim-'2019'!Resal)*(1-EXP(('2019'!Tnet-t)/('2019'!Tau_j))),Resal+(Salim-Resal)*(1-EXP((Tnet-t)/(Tau_j))))*Salcycl</f>
        <v>2.7700375643298462E-2</v>
      </c>
      <c r="P20" s="169">
        <f>(INDEX(Models!$BJ20:$BT20,,T20)*(1-R20)+INDEX(Models!$BJ20:$BT20,,T20+1)*R20-ERP_i)*Q20*Ramure*Pc/MaxiM</f>
        <v>6.7865112511665679E-4</v>
      </c>
      <c r="Q20" s="304">
        <f t="shared" si="4"/>
        <v>0.6</v>
      </c>
      <c r="R20" s="177">
        <f t="shared" si="5"/>
        <v>0.9992724688473964</v>
      </c>
      <c r="S20" s="799">
        <f t="shared" si="6"/>
        <v>-2</v>
      </c>
      <c r="T20" s="176">
        <f t="shared" si="7"/>
        <v>4</v>
      </c>
      <c r="U20" s="250">
        <f t="shared" si="21"/>
        <v>-1.0007275311526036</v>
      </c>
      <c r="V20" s="382">
        <f t="shared" si="8"/>
        <v>24.989517833161131</v>
      </c>
      <c r="W20" s="58"/>
      <c r="X20" s="157">
        <f t="shared" si="9"/>
        <v>43836</v>
      </c>
      <c r="Y20" s="383">
        <f t="shared" si="10"/>
        <v>25.068999999999999</v>
      </c>
      <c r="Z20" s="383">
        <f t="shared" si="11"/>
        <v>25.240139945963971</v>
      </c>
      <c r="AA20" s="384">
        <f t="shared" si="12"/>
        <v>25.959220093974114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2.7700375643298462E-2</v>
      </c>
      <c r="AD20" s="230">
        <f>(INDEX(Models!$BJ20:$BT20,,AH20)*(1-AF20)+INDEX(Models!$BJ20:$BT20,,AH20+1)*AF20-ERP_i)*AE20*Ramure*Pc/MaxiM</f>
        <v>6.7865112511665679E-4</v>
      </c>
      <c r="AE20" s="304">
        <f>IF(OR(t&lt;Ttai,Notai),Dd_s+PousD*Croivg,Dens_s+PousD*(Croivg-Croi_tai))</f>
        <v>0.6</v>
      </c>
      <c r="AF20" s="177">
        <f t="shared" si="15"/>
        <v>0.9992724688473964</v>
      </c>
      <c r="AG20" s="176">
        <f t="shared" si="16"/>
        <v>-2</v>
      </c>
      <c r="AH20" s="176">
        <f t="shared" si="17"/>
        <v>4</v>
      </c>
      <c r="AI20" s="224">
        <f>IF(OR(t&lt;Ttai,Notai),Hdd_s+PousH*Croivg,Hdtai_s+PousH*(Croivg-Croi_tai))</f>
        <v>-1.0007275311526036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7.0620000000000003</v>
      </c>
      <c r="C21" s="388"/>
      <c r="D21" s="391">
        <f t="shared" si="0"/>
        <v>7.1103468189903056</v>
      </c>
      <c r="E21" s="383">
        <f t="shared" si="1"/>
        <v>7.313407631065048</v>
      </c>
      <c r="F21" s="383">
        <f t="shared" si="2"/>
        <v>7.313407631065048</v>
      </c>
      <c r="G21" s="110">
        <f t="shared" si="23"/>
        <v>0.28025147425738683</v>
      </c>
      <c r="H21" s="412" t="b">
        <f>Wh_hp&gt;='2019'!Maxi_hp</f>
        <v>1</v>
      </c>
      <c r="I21" s="388">
        <f>IF(H21,Wh_hp,'2019'!Maxi_hp)</f>
        <v>7.313407631065048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6.7995022213517275E-3</v>
      </c>
      <c r="M21" s="832"/>
      <c r="N21" s="832"/>
      <c r="O21" s="48">
        <f>IF(t&lt;Tnet,'2019'!Resal+('2019'!Salim-'2019'!Resal)*(1-EXP(('2019'!Tnet-t)/('2019'!Tau_j))),Resal+(Salim-Resal)*(1-EXP((Tnet-t)/(Tau_j))))*Salcycl</f>
        <v>2.7765553667787289E-2</v>
      </c>
      <c r="P21" s="169">
        <f>(INDEX(Models!$BJ21:$BT21,,T21)*(1-R21)+INDEX(Models!$BJ21:$BT21,,T21+1)*R21-ERP_i)*Q21*Ramure*Pc/MaxiM</f>
        <v>6.6634544748125338E-4</v>
      </c>
      <c r="Q21" s="304">
        <f t="shared" si="4"/>
        <v>0.6</v>
      </c>
      <c r="R21" s="177">
        <f t="shared" si="5"/>
        <v>0.99930832445845952</v>
      </c>
      <c r="S21" s="799">
        <f t="shared" si="6"/>
        <v>-2</v>
      </c>
      <c r="T21" s="176">
        <f t="shared" si="7"/>
        <v>4</v>
      </c>
      <c r="U21" s="250">
        <f t="shared" si="21"/>
        <v>-1.0006916755415405</v>
      </c>
      <c r="V21" s="382">
        <f t="shared" si="8"/>
        <v>25.182005865090904</v>
      </c>
      <c r="W21" s="58"/>
      <c r="X21" s="157">
        <f t="shared" si="9"/>
        <v>43837</v>
      </c>
      <c r="Y21" s="383">
        <f t="shared" si="10"/>
        <v>7.0620000000000003</v>
      </c>
      <c r="Z21" s="383">
        <f t="shared" si="11"/>
        <v>7.1103468189903056</v>
      </c>
      <c r="AA21" s="384">
        <f t="shared" si="12"/>
        <v>7.313407631065048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2.7765553667787289E-2</v>
      </c>
      <c r="AD21" s="230">
        <f>(INDEX(Models!$BJ21:$BT21,,AH21)*(1-AF21)+INDEX(Models!$BJ21:$BT21,,AH21+1)*AF21-ERP_i)*AE21*Ramure*Pc/MaxiM</f>
        <v>6.6634544748125338E-4</v>
      </c>
      <c r="AE21" s="304">
        <f t="shared" si="14"/>
        <v>0.6</v>
      </c>
      <c r="AF21" s="177">
        <f t="shared" si="15"/>
        <v>0.99930832445845952</v>
      </c>
      <c r="AG21" s="176">
        <f t="shared" si="16"/>
        <v>-2</v>
      </c>
      <c r="AH21" s="176">
        <f t="shared" si="17"/>
        <v>4</v>
      </c>
      <c r="AI21" s="224">
        <f t="shared" si="22"/>
        <v>-1.0006916755415405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12.936</v>
      </c>
      <c r="C22" s="388"/>
      <c r="D22" s="391">
        <f t="shared" si="0"/>
        <v>13.024810145758932</v>
      </c>
      <c r="E22" s="383">
        <f t="shared" si="1"/>
        <v>13.397676947455423</v>
      </c>
      <c r="F22" s="383">
        <f t="shared" si="2"/>
        <v>13.400310880494983</v>
      </c>
      <c r="G22" s="110">
        <f t="shared" si="23"/>
        <v>0.50942454916415558</v>
      </c>
      <c r="H22" s="412" t="b">
        <f>Wh_hp&gt;='2019'!Maxi_hp</f>
        <v>1</v>
      </c>
      <c r="I22" s="388">
        <f>IF(H22,Wh_hp,'2019'!Maxi_hp)</f>
        <v>13.400310880494983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6.8185366823062532E-3</v>
      </c>
      <c r="M22" s="832"/>
      <c r="N22" s="832"/>
      <c r="O22" s="48">
        <f>IF(t&lt;Tnet,'2019'!Resal+('2019'!Salim-'2019'!Resal)*(1-EXP(('2019'!Tnet-t)/('2019'!Tau_j))),Resal+(Salim-Resal)*(1-EXP((Tnet-t)/(Tau_j))))*Salcycl</f>
        <v>2.7830705514011386E-2</v>
      </c>
      <c r="P22" s="169">
        <f>(INDEX(Models!$BJ22:$BT22,,T22)*(1-R22)+INDEX(Models!$BJ22:$BT22,,T22+1)*R22-ERP_i)*Q22*Ramure*Pc/MaxiM</f>
        <v>6.5625801874101108E-4</v>
      </c>
      <c r="Q22" s="304">
        <f t="shared" si="4"/>
        <v>0.6</v>
      </c>
      <c r="R22" s="177">
        <f t="shared" si="5"/>
        <v>0.99934567881445679</v>
      </c>
      <c r="S22" s="799">
        <f t="shared" si="6"/>
        <v>-2</v>
      </c>
      <c r="T22" s="176">
        <f t="shared" si="7"/>
        <v>4</v>
      </c>
      <c r="U22" s="250">
        <f t="shared" si="21"/>
        <v>-1.0006543211855432</v>
      </c>
      <c r="V22" s="382">
        <f t="shared" si="8"/>
        <v>25.381682464248776</v>
      </c>
      <c r="W22" s="58"/>
      <c r="X22" s="157">
        <f t="shared" si="9"/>
        <v>43838</v>
      </c>
      <c r="Y22" s="383">
        <f t="shared" si="10"/>
        <v>12.936</v>
      </c>
      <c r="Z22" s="383">
        <f t="shared" si="11"/>
        <v>13.024810145758932</v>
      </c>
      <c r="AA22" s="384">
        <f t="shared" si="12"/>
        <v>13.397676947455423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2.7830705514011386E-2</v>
      </c>
      <c r="AD22" s="230">
        <f>(INDEX(Models!$BJ22:$BT22,,AH22)*(1-AF22)+INDEX(Models!$BJ22:$BT22,,AH22+1)*AF22-ERP_i)*AE22*Ramure*Pc/MaxiM</f>
        <v>6.5625801874101108E-4</v>
      </c>
      <c r="AE22" s="304">
        <f t="shared" si="14"/>
        <v>0.6</v>
      </c>
      <c r="AF22" s="177">
        <f t="shared" si="15"/>
        <v>0.99934567881445679</v>
      </c>
      <c r="AG22" s="176">
        <f t="shared" si="16"/>
        <v>-2</v>
      </c>
      <c r="AH22" s="176">
        <f t="shared" si="17"/>
        <v>4</v>
      </c>
      <c r="AI22" s="224">
        <f t="shared" si="22"/>
        <v>-1.0006543211855432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24.748000000000001</v>
      </c>
      <c r="C23" s="388"/>
      <c r="D23" s="391">
        <f t="shared" si="0"/>
        <v>24.918381195106431</v>
      </c>
      <c r="E23" s="383">
        <f t="shared" si="1"/>
        <v>25.633447458606295</v>
      </c>
      <c r="F23" s="383">
        <f t="shared" si="2"/>
        <v>25.649292652260151</v>
      </c>
      <c r="G23" s="110">
        <f t="shared" si="23"/>
        <v>0.9670235856080992</v>
      </c>
      <c r="H23" s="412" t="b">
        <f>Wh_hp&gt;='2019'!Maxi_hp</f>
        <v>1</v>
      </c>
      <c r="I23" s="388">
        <f>IF(H23,Wh_hp,'2019'!Maxi_hp)</f>
        <v>25.649292652260151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6.8375707784696926E-3</v>
      </c>
      <c r="M23" s="832"/>
      <c r="N23" s="832"/>
      <c r="O23" s="48">
        <f>IF(t&lt;Tnet,'2019'!Resal+('2019'!Salim-'2019'!Resal)*(1-EXP(('2019'!Tnet-t)/('2019'!Tau_j))),Resal+(Salim-Resal)*(1-EXP((Tnet-t)/(Tau_j))))*Salcycl</f>
        <v>2.789582886400966E-2</v>
      </c>
      <c r="P23" s="169">
        <f>(INDEX(Models!$BJ23:$BT23,,T23)*(1-R23)+INDEX(Models!$BJ23:$BT23,,T23+1)*R23-ERP_i)*Q23*Ramure*Pc/MaxiM</f>
        <v>6.4827576246166642E-4</v>
      </c>
      <c r="Q23" s="304">
        <f t="shared" si="4"/>
        <v>0.6</v>
      </c>
      <c r="R23" s="177">
        <f t="shared" si="5"/>
        <v>0.9993845943234918</v>
      </c>
      <c r="S23" s="799">
        <f t="shared" si="6"/>
        <v>-2</v>
      </c>
      <c r="T23" s="176">
        <f t="shared" si="7"/>
        <v>4</v>
      </c>
      <c r="U23" s="250">
        <f t="shared" si="21"/>
        <v>-1.0006154056765082</v>
      </c>
      <c r="V23" s="382">
        <f t="shared" si="8"/>
        <v>25.59114873827567</v>
      </c>
      <c r="W23" s="58"/>
      <c r="X23" s="157">
        <f t="shared" si="9"/>
        <v>43839</v>
      </c>
      <c r="Y23" s="383">
        <f t="shared" si="10"/>
        <v>24.748000000000001</v>
      </c>
      <c r="Z23" s="383">
        <f t="shared" si="11"/>
        <v>24.918381195106431</v>
      </c>
      <c r="AA23" s="384">
        <f t="shared" si="12"/>
        <v>25.633447458606295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2.789582886400966E-2</v>
      </c>
      <c r="AD23" s="230">
        <f>(INDEX(Models!$BJ23:$BT23,,AH23)*(1-AF23)+INDEX(Models!$BJ23:$BT23,,AH23+1)*AF23-ERP_i)*AE23*Ramure*Pc/MaxiM</f>
        <v>6.4827576246166642E-4</v>
      </c>
      <c r="AE23" s="304">
        <f t="shared" si="14"/>
        <v>0.6</v>
      </c>
      <c r="AF23" s="177">
        <f t="shared" si="15"/>
        <v>0.9993845943234918</v>
      </c>
      <c r="AG23" s="176">
        <f t="shared" si="16"/>
        <v>-2</v>
      </c>
      <c r="AH23" s="176">
        <f t="shared" si="17"/>
        <v>4</v>
      </c>
      <c r="AI23" s="224">
        <f t="shared" si="22"/>
        <v>-1.0006154056765082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8.7219999999999995</v>
      </c>
      <c r="C24" s="388"/>
      <c r="D24" s="391">
        <f t="shared" si="0"/>
        <v>8.7822161830874244</v>
      </c>
      <c r="E24" s="383">
        <f t="shared" si="1"/>
        <v>9.0348386007167996</v>
      </c>
      <c r="F24" s="383">
        <f t="shared" si="2"/>
        <v>9.0351524420219071</v>
      </c>
      <c r="G24" s="110">
        <f t="shared" si="23"/>
        <v>0.33768921440042832</v>
      </c>
      <c r="H24" s="412" t="b">
        <f>Wh_hp&gt;='2019'!Maxi_hp</f>
        <v>1</v>
      </c>
      <c r="I24" s="388">
        <f>IF(H24,Wh_hp,'2019'!Maxi_hp)</f>
        <v>9.0351524420219071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6.8566045098489292E-3</v>
      </c>
      <c r="M24" s="832"/>
      <c r="N24" s="832"/>
      <c r="O24" s="48">
        <f>IF(t&lt;Tnet,'2019'!Resal+('2019'!Salim-'2019'!Resal)*(1-EXP(('2019'!Tnet-t)/('2019'!Tau_j))),Resal+(Salim-Resal)*(1-EXP((Tnet-t)/(Tau_j))))*Salcycl</f>
        <v>2.7960922025694369E-2</v>
      </c>
      <c r="P24" s="169">
        <f>(INDEX(Models!$BJ24:$BT24,,T24)*(1-R24)+INDEX(Models!$BJ24:$BT24,,T24+1)*R24-ERP_i)*Q24*Ramure*Pc/MaxiM</f>
        <v>6.4165092965328557E-4</v>
      </c>
      <c r="Q24" s="304">
        <f t="shared" si="4"/>
        <v>0.6</v>
      </c>
      <c r="R24" s="177">
        <f t="shared" si="5"/>
        <v>0.99942513597196148</v>
      </c>
      <c r="S24" s="799">
        <f t="shared" si="6"/>
        <v>-2</v>
      </c>
      <c r="T24" s="176">
        <f t="shared" si="7"/>
        <v>4</v>
      </c>
      <c r="U24" s="250">
        <f t="shared" si="21"/>
        <v>-1.0005748640280385</v>
      </c>
      <c r="V24" s="382">
        <f t="shared" si="8"/>
        <v>25.812806357941572</v>
      </c>
      <c r="W24" s="58"/>
      <c r="X24" s="157">
        <f t="shared" si="9"/>
        <v>43840</v>
      </c>
      <c r="Y24" s="383">
        <f t="shared" si="10"/>
        <v>8.7219999999999995</v>
      </c>
      <c r="Z24" s="383">
        <f t="shared" si="11"/>
        <v>8.7822161830874244</v>
      </c>
      <c r="AA24" s="384">
        <f t="shared" si="12"/>
        <v>9.0348386007167996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2.7960922025694369E-2</v>
      </c>
      <c r="AD24" s="230">
        <f>(INDEX(Models!$BJ24:$BT24,,AH24)*(1-AF24)+INDEX(Models!$BJ24:$BT24,,AH24+1)*AF24-ERP_i)*AE24*Ramure*Pc/MaxiM</f>
        <v>6.4165092965328557E-4</v>
      </c>
      <c r="AE24" s="304">
        <f t="shared" si="14"/>
        <v>0.6</v>
      </c>
      <c r="AF24" s="177">
        <f t="shared" si="15"/>
        <v>0.99942513597196148</v>
      </c>
      <c r="AG24" s="176">
        <f t="shared" si="16"/>
        <v>-2</v>
      </c>
      <c r="AH24" s="176">
        <f t="shared" si="17"/>
        <v>4</v>
      </c>
      <c r="AI24" s="224">
        <f t="shared" si="22"/>
        <v>-1.0005748640280385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26.308</v>
      </c>
      <c r="C25" s="388"/>
      <c r="D25" s="391">
        <f t="shared" si="0"/>
        <v>26.490136586466271</v>
      </c>
      <c r="E25" s="383">
        <f t="shared" si="1"/>
        <v>27.253955504315563</v>
      </c>
      <c r="F25" s="383">
        <f t="shared" si="2"/>
        <v>27.27128998791828</v>
      </c>
      <c r="G25" s="110">
        <f t="shared" si="23"/>
        <v>1.0100648455091663</v>
      </c>
      <c r="H25" s="412" t="b">
        <f>Wh_hp&gt;='2019'!Maxi_hp</f>
        <v>1</v>
      </c>
      <c r="I25" s="388">
        <f>IF(H25,Wh_hp,'2019'!Maxi_hp)</f>
        <v>27.27128998791828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6.8756378764510684E-3</v>
      </c>
      <c r="M25" s="832"/>
      <c r="N25" s="832"/>
      <c r="O25" s="48">
        <f>IF(t&lt;Tnet,'2019'!Resal+('2019'!Salim-'2019'!Resal)*(1-EXP(('2019'!Tnet-t)/('2019'!Tau_j))),Resal+(Salim-Resal)*(1-EXP((Tnet-t)/(Tau_j))))*Salcycl</f>
        <v>2.8025983888039483E-2</v>
      </c>
      <c r="P25" s="169">
        <f>(INDEX(Models!$BJ25:$BT25,,T25)*(1-R25)+INDEX(Models!$BJ25:$BT25,,T25+1)*R25-ERP_i)*Q25*Ramure*Pc/MaxiM</f>
        <v>6.3563123014713052E-4</v>
      </c>
      <c r="Q25" s="304">
        <f t="shared" si="4"/>
        <v>0.6</v>
      </c>
      <c r="R25" s="177">
        <f t="shared" si="5"/>
        <v>0.9994673714293274</v>
      </c>
      <c r="S25" s="799">
        <f t="shared" si="6"/>
        <v>-2</v>
      </c>
      <c r="T25" s="176">
        <f t="shared" si="7"/>
        <v>4</v>
      </c>
      <c r="U25" s="250">
        <f t="shared" si="21"/>
        <v>-1.0005326285706726</v>
      </c>
      <c r="V25" s="382">
        <f t="shared" si="8"/>
        <v>26.045852518249291</v>
      </c>
      <c r="W25" s="58"/>
      <c r="X25" s="157">
        <f t="shared" si="9"/>
        <v>43841</v>
      </c>
      <c r="Y25" s="383">
        <f t="shared" si="10"/>
        <v>26.308</v>
      </c>
      <c r="Z25" s="383">
        <f t="shared" si="11"/>
        <v>26.490136586466271</v>
      </c>
      <c r="AA25" s="384">
        <f t="shared" si="12"/>
        <v>27.253955504315563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2.8025983888039483E-2</v>
      </c>
      <c r="AD25" s="230">
        <f>(INDEX(Models!$BJ25:$BT25,,AH25)*(1-AF25)+INDEX(Models!$BJ25:$BT25,,AH25+1)*AF25-ERP_i)*AE25*Ramure*Pc/MaxiM</f>
        <v>6.3563123014713052E-4</v>
      </c>
      <c r="AE25" s="304">
        <f t="shared" si="14"/>
        <v>0.6</v>
      </c>
      <c r="AF25" s="177">
        <f t="shared" si="15"/>
        <v>0.9994673714293274</v>
      </c>
      <c r="AG25" s="176">
        <f t="shared" si="16"/>
        <v>-2</v>
      </c>
      <c r="AH25" s="176">
        <f t="shared" si="17"/>
        <v>4</v>
      </c>
      <c r="AI25" s="224">
        <f t="shared" si="22"/>
        <v>-1.0005326285706726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26.402000000000001</v>
      </c>
      <c r="C26" s="388"/>
      <c r="D26" s="391">
        <f t="shared" si="0"/>
        <v>26.585296872134819</v>
      </c>
      <c r="E26" s="383">
        <f t="shared" si="1"/>
        <v>27.353689750372432</v>
      </c>
      <c r="F26" s="383">
        <f t="shared" si="2"/>
        <v>27.37093962937724</v>
      </c>
      <c r="G26" s="110">
        <f t="shared" si="23"/>
        <v>1.0042806015305528</v>
      </c>
      <c r="H26" s="412" t="b">
        <f>Wh_hp&gt;='2019'!Maxi_hp</f>
        <v>1</v>
      </c>
      <c r="I26" s="388">
        <f>IF(H26,Wh_hp,'2019'!Maxi_hp)</f>
        <v>27.37093962937724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6.8946708782831045E-3</v>
      </c>
      <c r="M26" s="832"/>
      <c r="N26" s="832"/>
      <c r="O26" s="48">
        <f>IF(t&lt;Tnet,'2019'!Resal+('2019'!Salim-'2019'!Resal)*(1-EXP(('2019'!Tnet-t)/('2019'!Tau_j))),Resal+(Salim-Resal)*(1-EXP((Tnet-t)/(Tau_j))))*Salcycl</f>
        <v>2.8091013872347942E-2</v>
      </c>
      <c r="P26" s="169">
        <f>(INDEX(Models!$BJ26:$BT26,,T26)*(1-R26)+INDEX(Models!$BJ26:$BT26,,T26+1)*R26-ERP_i)*Q26*Ramure*Pc/MaxiM</f>
        <v>6.3022604405921863E-4</v>
      </c>
      <c r="Q26" s="304">
        <f t="shared" si="4"/>
        <v>0.6</v>
      </c>
      <c r="R26" s="177">
        <f t="shared" si="5"/>
        <v>0.99951137115699851</v>
      </c>
      <c r="S26" s="799">
        <f t="shared" si="6"/>
        <v>-2</v>
      </c>
      <c r="T26" s="176">
        <f t="shared" si="7"/>
        <v>4</v>
      </c>
      <c r="U26" s="250">
        <f t="shared" si="21"/>
        <v>-1.0004886288430015</v>
      </c>
      <c r="V26" s="382">
        <f t="shared" si="8"/>
        <v>26.28946527470767</v>
      </c>
      <c r="W26" s="58"/>
      <c r="X26" s="157">
        <f t="shared" si="9"/>
        <v>43842</v>
      </c>
      <c r="Y26" s="383">
        <f t="shared" si="10"/>
        <v>26.402000000000001</v>
      </c>
      <c r="Z26" s="383">
        <f t="shared" si="11"/>
        <v>26.585296872134819</v>
      </c>
      <c r="AA26" s="384">
        <f t="shared" si="12"/>
        <v>27.353689750372432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2.8091013872347942E-2</v>
      </c>
      <c r="AD26" s="230">
        <f>(INDEX(Models!$BJ26:$BT26,,AH26)*(1-AF26)+INDEX(Models!$BJ26:$BT26,,AH26+1)*AF26-ERP_i)*AE26*Ramure*Pc/MaxiM</f>
        <v>6.3022604405921863E-4</v>
      </c>
      <c r="AE26" s="304">
        <f t="shared" si="14"/>
        <v>0.6</v>
      </c>
      <c r="AF26" s="177">
        <f t="shared" si="15"/>
        <v>0.99951137115699851</v>
      </c>
      <c r="AG26" s="176">
        <f t="shared" si="16"/>
        <v>-2</v>
      </c>
      <c r="AH26" s="176">
        <f t="shared" si="17"/>
        <v>4</v>
      </c>
      <c r="AI26" s="224">
        <f t="shared" si="22"/>
        <v>-1.0004886288430015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15.603</v>
      </c>
      <c r="C27" s="388"/>
      <c r="D27" s="391">
        <f t="shared" si="0"/>
        <v>15.711625520593621</v>
      </c>
      <c r="E27" s="383">
        <f t="shared" si="1"/>
        <v>16.166818658816663</v>
      </c>
      <c r="F27" s="383">
        <f t="shared" si="2"/>
        <v>16.17097757884445</v>
      </c>
      <c r="G27" s="110">
        <f t="shared" si="23"/>
        <v>0.58762598921904163</v>
      </c>
      <c r="H27" s="412" t="b">
        <f>Wh_hp&gt;='2019'!Maxi_hp</f>
        <v>1</v>
      </c>
      <c r="I27" s="388">
        <f>IF(H27,Wh_hp,'2019'!Maxi_hp)</f>
        <v>16.17097757884445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6.9137035153519211E-3</v>
      </c>
      <c r="M27" s="832"/>
      <c r="N27" s="832"/>
      <c r="O27" s="48">
        <f>IF(t&lt;Tnet,'2019'!Resal+('2019'!Salim-'2019'!Resal)*(1-EXP(('2019'!Tnet-t)/('2019'!Tau_j))),Resal+(Salim-Resal)*(1-EXP((Tnet-t)/(Tau_j))))*Salcycl</f>
        <v>2.8156011880222345E-2</v>
      </c>
      <c r="P27" s="169">
        <f>(INDEX(Models!$BJ27:$BT27,,T27)*(1-R27)+INDEX(Models!$BJ27:$BT27,,T27+1)*R27-ERP_i)*Q27*Ramure*Pc/MaxiM</f>
        <v>6.2544248990962386E-4</v>
      </c>
      <c r="Q27" s="304">
        <f t="shared" si="4"/>
        <v>0.6</v>
      </c>
      <c r="R27" s="177">
        <f t="shared" si="5"/>
        <v>0.99955720852146768</v>
      </c>
      <c r="S27" s="799">
        <f t="shared" si="6"/>
        <v>-2</v>
      </c>
      <c r="T27" s="176">
        <f t="shared" si="7"/>
        <v>4</v>
      </c>
      <c r="U27" s="250">
        <f t="shared" si="21"/>
        <v>-1.0004427914785323</v>
      </c>
      <c r="V27" s="382">
        <f t="shared" si="8"/>
        <v>26.54282294181769</v>
      </c>
      <c r="W27" s="58"/>
      <c r="X27" s="157">
        <f t="shared" si="9"/>
        <v>43843</v>
      </c>
      <c r="Y27" s="383">
        <f t="shared" si="10"/>
        <v>15.603</v>
      </c>
      <c r="Z27" s="383">
        <f t="shared" si="11"/>
        <v>15.711625520593621</v>
      </c>
      <c r="AA27" s="384">
        <f t="shared" si="12"/>
        <v>16.166818658816663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2.8156011880222345E-2</v>
      </c>
      <c r="AD27" s="230">
        <f>(INDEX(Models!$BJ27:$BT27,,AH27)*(1-AF27)+INDEX(Models!$BJ27:$BT27,,AH27+1)*AF27-ERP_i)*AE27*Ramure*Pc/MaxiM</f>
        <v>6.2544248990962386E-4</v>
      </c>
      <c r="AE27" s="304">
        <f t="shared" si="14"/>
        <v>0.6</v>
      </c>
      <c r="AF27" s="177">
        <f t="shared" si="15"/>
        <v>0.99955720852146768</v>
      </c>
      <c r="AG27" s="176">
        <f t="shared" si="16"/>
        <v>-2</v>
      </c>
      <c r="AH27" s="299">
        <f t="shared" si="17"/>
        <v>4</v>
      </c>
      <c r="AI27" s="224">
        <f t="shared" si="22"/>
        <v>-1.0004427914785323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26.172999999999998</v>
      </c>
      <c r="C28" s="388"/>
      <c r="D28" s="391">
        <f t="shared" si="0"/>
        <v>26.355717224008455</v>
      </c>
      <c r="E28" s="383">
        <f t="shared" si="1"/>
        <v>27.121101231682314</v>
      </c>
      <c r="F28" s="383">
        <f t="shared" si="2"/>
        <v>27.13739332527097</v>
      </c>
      <c r="G28" s="110">
        <f t="shared" si="23"/>
        <v>0.9763980685377337</v>
      </c>
      <c r="H28" s="412" t="b">
        <f>Wh_hp&gt;='2019'!Maxi_hp</f>
        <v>1</v>
      </c>
      <c r="I28" s="388">
        <f>IF(H28,Wh_hp,'2019'!Maxi_hp)</f>
        <v>27.13739332527097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6.9327357876647344E-3</v>
      </c>
      <c r="M28" s="832"/>
      <c r="N28" s="832"/>
      <c r="O28" s="48">
        <f>IF(t&lt;Tnet,'2019'!Resal+('2019'!Salim-'2019'!Resal)*(1-EXP(('2019'!Tnet-t)/('2019'!Tau_j))),Resal+(Salim-Resal)*(1-EXP((Tnet-t)/(Tau_j))))*Salcycl</f>
        <v>2.82209782388834E-2</v>
      </c>
      <c r="P28" s="169">
        <f>(INDEX(Models!$BJ28:$BT28,,T28)*(1-R28)+INDEX(Models!$BJ28:$BT28,,T28+1)*R28-ERP_i)*Q28*Ramure*Pc/MaxiM</f>
        <v>6.2128564464390798E-4</v>
      </c>
      <c r="Q28" s="304">
        <f t="shared" si="4"/>
        <v>0.6</v>
      </c>
      <c r="R28" s="177">
        <f t="shared" si="5"/>
        <v>0.99960495991185727</v>
      </c>
      <c r="S28" s="799">
        <f t="shared" si="6"/>
        <v>-2</v>
      </c>
      <c r="T28" s="176">
        <f t="shared" si="7"/>
        <v>4</v>
      </c>
      <c r="U28" s="250">
        <f t="shared" si="21"/>
        <v>-1.0003950400881427</v>
      </c>
      <c r="V28" s="382">
        <f t="shared" si="8"/>
        <v>26.80510410609164</v>
      </c>
      <c r="W28" s="58"/>
      <c r="X28" s="157">
        <f t="shared" si="9"/>
        <v>43844</v>
      </c>
      <c r="Y28" s="383">
        <f t="shared" si="10"/>
        <v>26.172999999999998</v>
      </c>
      <c r="Z28" s="383">
        <f t="shared" si="11"/>
        <v>26.355717224008455</v>
      </c>
      <c r="AA28" s="384">
        <f t="shared" si="12"/>
        <v>27.121101231682314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2.82209782388834E-2</v>
      </c>
      <c r="AD28" s="230">
        <f>(INDEX(Models!$BJ28:$BT28,,AH28)*(1-AF28)+INDEX(Models!$BJ28:$BT28,,AH28+1)*AF28-ERP_i)*AE28*Ramure*Pc/MaxiM</f>
        <v>6.2128564464390798E-4</v>
      </c>
      <c r="AE28" s="304">
        <f t="shared" si="14"/>
        <v>0.6</v>
      </c>
      <c r="AF28" s="177">
        <f t="shared" si="15"/>
        <v>0.99960495991185727</v>
      </c>
      <c r="AG28" s="176">
        <f t="shared" si="16"/>
        <v>-2</v>
      </c>
      <c r="AH28" s="176">
        <f t="shared" si="17"/>
        <v>4</v>
      </c>
      <c r="AI28" s="224">
        <f t="shared" si="22"/>
        <v>-1.0003950400881427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22.597999999999999</v>
      </c>
      <c r="C29" s="388"/>
      <c r="D29" s="391">
        <f t="shared" si="0"/>
        <v>22.756195786736523</v>
      </c>
      <c r="E29" s="383">
        <f t="shared" si="1"/>
        <v>23.4186126415904</v>
      </c>
      <c r="F29" s="383">
        <f t="shared" si="2"/>
        <v>23.429667161752757</v>
      </c>
      <c r="G29" s="110">
        <f t="shared" si="23"/>
        <v>0.83450760975965943</v>
      </c>
      <c r="H29" s="412" t="b">
        <f>Wh_hp&gt;='2019'!Maxi_hp</f>
        <v>1</v>
      </c>
      <c r="I29" s="388">
        <f>IF(H29,Wh_hp,'2019'!Maxi_hp)</f>
        <v>23.429667161752757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6.9517676952283169E-3</v>
      </c>
      <c r="M29" s="832"/>
      <c r="N29" s="832"/>
      <c r="O29" s="48">
        <f>IF(t&lt;Tnet,'2019'!Resal+('2019'!Salim-'2019'!Resal)*(1-EXP(('2019'!Tnet-t)/('2019'!Tau_j))),Resal+(Salim-Resal)*(1-EXP((Tnet-t)/(Tau_j))))*Salcycl</f>
        <v>2.8285913644493815E-2</v>
      </c>
      <c r="P29" s="169">
        <f>(INDEX(Models!$BJ29:$BT29,,T29)*(1-R29)+INDEX(Models!$BJ29:$BT29,,T29+1)*R29-ERP_i)*Q29*Ramure*Pc/MaxiM</f>
        <v>6.1775876930340835E-4</v>
      </c>
      <c r="Q29" s="304">
        <f t="shared" si="4"/>
        <v>0.6</v>
      </c>
      <c r="R29" s="177">
        <f t="shared" si="5"/>
        <v>0.99965470486202945</v>
      </c>
      <c r="S29" s="799">
        <f t="shared" si="6"/>
        <v>-2</v>
      </c>
      <c r="T29" s="176">
        <f t="shared" si="7"/>
        <v>4</v>
      </c>
      <c r="U29" s="250">
        <f t="shared" si="21"/>
        <v>-1.0003452951379705</v>
      </c>
      <c r="V29" s="382">
        <f t="shared" si="8"/>
        <v>27.075487618789222</v>
      </c>
      <c r="W29" s="58"/>
      <c r="X29" s="157">
        <f t="shared" si="9"/>
        <v>43845</v>
      </c>
      <c r="Y29" s="383">
        <f t="shared" si="10"/>
        <v>22.597999999999999</v>
      </c>
      <c r="Z29" s="383">
        <f t="shared" si="11"/>
        <v>22.756195786736523</v>
      </c>
      <c r="AA29" s="384">
        <f t="shared" si="12"/>
        <v>23.4186126415904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2.8285913644493815E-2</v>
      </c>
      <c r="AD29" s="230">
        <f>(INDEX(Models!$BJ29:$BT29,,AH29)*(1-AF29)+INDEX(Models!$BJ29:$BT29,,AH29+1)*AF29-ERP_i)*AE29*Ramure*Pc/MaxiM</f>
        <v>6.1775876930340835E-4</v>
      </c>
      <c r="AE29" s="304">
        <f t="shared" si="14"/>
        <v>0.6</v>
      </c>
      <c r="AF29" s="177">
        <f t="shared" si="15"/>
        <v>0.99965470486202945</v>
      </c>
      <c r="AG29" s="176">
        <f t="shared" si="16"/>
        <v>-2</v>
      </c>
      <c r="AH29" s="176">
        <f t="shared" si="17"/>
        <v>4</v>
      </c>
      <c r="AI29" s="224">
        <f t="shared" si="22"/>
        <v>-1.0003452951379705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23.838999999999999</v>
      </c>
      <c r="C30" s="388"/>
      <c r="D30" s="391">
        <f t="shared" si="0"/>
        <v>24.00634340028305</v>
      </c>
      <c r="E30" s="383">
        <f t="shared" si="1"/>
        <v>24.706801459091974</v>
      </c>
      <c r="F30" s="383">
        <f t="shared" si="2"/>
        <v>24.71919313908694</v>
      </c>
      <c r="G30" s="110">
        <f t="shared" si="23"/>
        <v>0.87142757172433738</v>
      </c>
      <c r="H30" s="412" t="b">
        <f>Wh_hp&gt;='2019'!Maxi_hp</f>
        <v>1</v>
      </c>
      <c r="I30" s="388">
        <f>IF(H30,Wh_hp,'2019'!Maxi_hp)</f>
        <v>24.71919313908694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6.9707992380496631E-3</v>
      </c>
      <c r="M30" s="832"/>
      <c r="N30" s="832"/>
      <c r="O30" s="48">
        <f>IF(t&lt;Tnet,'2019'!Resal+('2019'!Salim-'2019'!Resal)*(1-EXP(('2019'!Tnet-t)/('2019'!Tau_j))),Resal+(Salim-Resal)*(1-EXP((Tnet-t)/(Tau_j))))*Salcycl</f>
        <v>2.8350819104152263E-2</v>
      </c>
      <c r="P30" s="169">
        <f>(INDEX(Models!$BJ30:$BT30,,T30)*(1-R30)+INDEX(Models!$BJ30:$BT30,,T30+1)*R30-ERP_i)*Q30*Ramure*Pc/MaxiM</f>
        <v>6.1398544355141429E-4</v>
      </c>
      <c r="Q30" s="304">
        <f t="shared" si="4"/>
        <v>0.6</v>
      </c>
      <c r="R30" s="177">
        <f t="shared" si="5"/>
        <v>0.99970652617742273</v>
      </c>
      <c r="S30" s="799">
        <f t="shared" si="6"/>
        <v>-2</v>
      </c>
      <c r="T30" s="176">
        <f t="shared" si="7"/>
        <v>4</v>
      </c>
      <c r="U30" s="250">
        <f t="shared" si="21"/>
        <v>-1.0002934738225773</v>
      </c>
      <c r="V30" s="382">
        <f t="shared" si="8"/>
        <v>27.353176635796654</v>
      </c>
      <c r="W30" s="58"/>
      <c r="X30" s="157">
        <f t="shared" si="9"/>
        <v>43846</v>
      </c>
      <c r="Y30" s="383">
        <f t="shared" si="10"/>
        <v>23.838999999999999</v>
      </c>
      <c r="Z30" s="383">
        <f t="shared" si="11"/>
        <v>24.00634340028305</v>
      </c>
      <c r="AA30" s="384">
        <f t="shared" si="12"/>
        <v>24.706801459091974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2.8350819104152263E-2</v>
      </c>
      <c r="AD30" s="230">
        <f>(INDEX(Models!$BJ30:$BT30,,AH30)*(1-AF30)+INDEX(Models!$BJ30:$BT30,,AH30+1)*AF30-ERP_i)*AE30*Ramure*Pc/MaxiM</f>
        <v>6.1398544355141429E-4</v>
      </c>
      <c r="AE30" s="304">
        <f t="shared" si="14"/>
        <v>0.6</v>
      </c>
      <c r="AF30" s="177">
        <f t="shared" si="15"/>
        <v>0.99970652617742273</v>
      </c>
      <c r="AG30" s="176">
        <f t="shared" si="16"/>
        <v>-2</v>
      </c>
      <c r="AH30" s="176">
        <f t="shared" si="17"/>
        <v>4</v>
      </c>
      <c r="AI30" s="224">
        <f t="shared" si="22"/>
        <v>-1.0002934738225773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4.5709999999999997</v>
      </c>
      <c r="C31" s="388"/>
      <c r="D31" s="391">
        <f t="shared" si="0"/>
        <v>4.6031754155302824</v>
      </c>
      <c r="E31" s="383">
        <f t="shared" si="1"/>
        <v>4.7378033959558312</v>
      </c>
      <c r="F31" s="383">
        <f t="shared" si="2"/>
        <v>4.7378033959558312</v>
      </c>
      <c r="G31" s="110">
        <f t="shared" si="23"/>
        <v>0.1652912319824944</v>
      </c>
      <c r="H31" s="412" t="b">
        <f>Wh_hp&gt;='2019'!Maxi_hp</f>
        <v>1</v>
      </c>
      <c r="I31" s="388">
        <f>IF(H31,Wh_hp,'2019'!Maxi_hp)</f>
        <v>4.7378033959558312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6.9898304161358782E-3</v>
      </c>
      <c r="M31" s="832"/>
      <c r="N31" s="832"/>
      <c r="O31" s="48">
        <f>IF(t&lt;Tnet,'2019'!Resal+('2019'!Salim-'2019'!Resal)*(1-EXP(('2019'!Tnet-t)/('2019'!Tau_j))),Resal+(Salim-Resal)*(1-EXP((Tnet-t)/(Tau_j))))*Salcycl</f>
        <v>2.8415695877221609E-2</v>
      </c>
      <c r="P31" s="169">
        <f>(INDEX(Models!$BJ31:$BT31,,T31)*(1-R31)+INDEX(Models!$BJ31:$BT31,,T31+1)*R31-ERP_i)*Q31*Ramure*Pc/MaxiM</f>
        <v>6.0867414432989409E-4</v>
      </c>
      <c r="Q31" s="304">
        <f t="shared" si="4"/>
        <v>0.6</v>
      </c>
      <c r="R31" s="177">
        <f t="shared" si="5"/>
        <v>0.9997605100667768</v>
      </c>
      <c r="S31" s="799">
        <f t="shared" si="6"/>
        <v>-2</v>
      </c>
      <c r="T31" s="176">
        <f t="shared" si="7"/>
        <v>4</v>
      </c>
      <c r="U31" s="250">
        <f t="shared" si="21"/>
        <v>-1.0002394899332232</v>
      </c>
      <c r="V31" s="382">
        <f t="shared" si="8"/>
        <v>27.6373870270994</v>
      </c>
      <c r="W31" s="58"/>
      <c r="X31" s="157">
        <f t="shared" si="9"/>
        <v>43847</v>
      </c>
      <c r="Y31" s="383">
        <f t="shared" si="10"/>
        <v>4.5709999999999997</v>
      </c>
      <c r="Z31" s="383">
        <f t="shared" si="11"/>
        <v>4.6031754155302824</v>
      </c>
      <c r="AA31" s="384">
        <f t="shared" si="12"/>
        <v>4.7378033959558312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2.8415695877221609E-2</v>
      </c>
      <c r="AD31" s="230">
        <f>(INDEX(Models!$BJ31:$BT31,,AH31)*(1-AF31)+INDEX(Models!$BJ31:$BT31,,AH31+1)*AF31-ERP_i)*AE31*Ramure*Pc/MaxiM</f>
        <v>6.0867414432989409E-4</v>
      </c>
      <c r="AE31" s="304">
        <f t="shared" si="14"/>
        <v>0.6</v>
      </c>
      <c r="AF31" s="177">
        <f t="shared" si="15"/>
        <v>0.9997605100667768</v>
      </c>
      <c r="AG31" s="176">
        <f t="shared" si="16"/>
        <v>-2</v>
      </c>
      <c r="AH31" s="176">
        <f t="shared" si="17"/>
        <v>4</v>
      </c>
      <c r="AI31" s="224">
        <f t="shared" si="22"/>
        <v>-1.0002394899332232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18.234999999999999</v>
      </c>
      <c r="C32" s="388"/>
      <c r="D32" s="391">
        <f t="shared" si="0"/>
        <v>18.363708685837889</v>
      </c>
      <c r="E32" s="383">
        <f t="shared" si="1"/>
        <v>18.902049361135457</v>
      </c>
      <c r="F32" s="383">
        <f t="shared" si="2"/>
        <v>18.907787474388673</v>
      </c>
      <c r="G32" s="110">
        <f t="shared" si="23"/>
        <v>0.65275045521038466</v>
      </c>
      <c r="H32" s="412" t="b">
        <f>Wh_hp&gt;='2019'!Maxi_hp</f>
        <v>1</v>
      </c>
      <c r="I32" s="388">
        <f>IF(H32,Wh_hp,'2019'!Maxi_hp)</f>
        <v>18.907787474388673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7.0088612294939567E-3</v>
      </c>
      <c r="M32" s="832"/>
      <c r="N32" s="832"/>
      <c r="O32" s="48">
        <f>IF(t&lt;Tnet,'2019'!Resal+('2019'!Salim-'2019'!Resal)*(1-EXP(('2019'!Tnet-t)/('2019'!Tau_j))),Resal+(Salim-Resal)*(1-EXP((Tnet-t)/(Tau_j))))*Salcycl</f>
        <v>2.8480545416649603E-2</v>
      </c>
      <c r="P32" s="169">
        <f>(INDEX(Models!$BJ32:$BT32,,T32)*(1-R32)+INDEX(Models!$BJ32:$BT32,,T32+1)*R32-ERP_i)*Q32*Ramure*Pc/MaxiM</f>
        <v>6.0189254471695376E-4</v>
      </c>
      <c r="Q32" s="304">
        <f t="shared" si="4"/>
        <v>0.6</v>
      </c>
      <c r="R32" s="177">
        <f t="shared" si="5"/>
        <v>0.99981674627891848</v>
      </c>
      <c r="S32" s="799">
        <f t="shared" si="6"/>
        <v>-2</v>
      </c>
      <c r="T32" s="176">
        <f t="shared" si="7"/>
        <v>4</v>
      </c>
      <c r="U32" s="250">
        <f t="shared" si="21"/>
        <v>-1.0001832537210815</v>
      </c>
      <c r="V32" s="382">
        <f t="shared" si="8"/>
        <v>27.927298446945152</v>
      </c>
      <c r="W32" s="58"/>
      <c r="X32" s="157">
        <f t="shared" si="9"/>
        <v>43848</v>
      </c>
      <c r="Y32" s="383">
        <f t="shared" si="10"/>
        <v>18.234999999999999</v>
      </c>
      <c r="Z32" s="383">
        <f t="shared" si="11"/>
        <v>18.363708685837889</v>
      </c>
      <c r="AA32" s="384">
        <f t="shared" si="12"/>
        <v>18.902049361135457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2.8480545416649603E-2</v>
      </c>
      <c r="AD32" s="230">
        <f>(INDEX(Models!$BJ32:$BT32,,AH32)*(1-AF32)+INDEX(Models!$BJ32:$BT32,,AH32+1)*AF32-ERP_i)*AE32*Ramure*Pc/MaxiM</f>
        <v>6.0189254471695376E-4</v>
      </c>
      <c r="AE32" s="304">
        <f t="shared" si="14"/>
        <v>0.6</v>
      </c>
      <c r="AF32" s="177">
        <f t="shared" si="15"/>
        <v>0.99981674627891848</v>
      </c>
      <c r="AG32" s="176">
        <f t="shared" si="16"/>
        <v>-2</v>
      </c>
      <c r="AH32" s="176">
        <f t="shared" si="17"/>
        <v>4</v>
      </c>
      <c r="AI32" s="224">
        <f t="shared" si="22"/>
        <v>-1.0001832537210815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27.359000000000002</v>
      </c>
      <c r="C33" s="388"/>
      <c r="D33" s="391">
        <f t="shared" si="0"/>
        <v>27.552636947916824</v>
      </c>
      <c r="E33" s="383">
        <f t="shared" si="1"/>
        <v>28.362247785440232</v>
      </c>
      <c r="F33" s="383">
        <f t="shared" si="2"/>
        <v>28.378360122370157</v>
      </c>
      <c r="G33" s="110">
        <f t="shared" si="23"/>
        <v>0.96939273977953755</v>
      </c>
      <c r="H33" s="412" t="b">
        <f>Wh_hp&gt;='2019'!Maxi_hp</f>
        <v>1</v>
      </c>
      <c r="I33" s="388">
        <f>IF(H33,Wh_hp,'2019'!Maxi_hp)</f>
        <v>28.378360122370157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7.0278916781307821E-3</v>
      </c>
      <c r="M33" s="832"/>
      <c r="N33" s="832"/>
      <c r="O33" s="48">
        <f>IF(t&lt;Tnet,'2019'!Resal+('2019'!Salim-'2019'!Resal)*(1-EXP(('2019'!Tnet-t)/('2019'!Tau_j))),Resal+(Salim-Resal)*(1-EXP((Tnet-t)/(Tau_j))))*Salcycl</f>
        <v>2.8545369310926876E-2</v>
      </c>
      <c r="P33" s="169">
        <f>(INDEX(Models!$BJ33:$BT33,,T33)*(1-R33)+INDEX(Models!$BJ33:$BT33,,T33+1)*R33-ERP_i)*Q33*Ramure*Pc/MaxiM</f>
        <v>5.9370671217482329E-4</v>
      </c>
      <c r="Q33" s="304">
        <f t="shared" si="4"/>
        <v>0.6</v>
      </c>
      <c r="R33" s="177">
        <f t="shared" si="5"/>
        <v>0.99987532824477943</v>
      </c>
      <c r="S33" s="799">
        <f t="shared" si="6"/>
        <v>-2</v>
      </c>
      <c r="T33" s="176">
        <f t="shared" si="7"/>
        <v>4</v>
      </c>
      <c r="U33" s="250">
        <f t="shared" si="21"/>
        <v>-1.0001246717552206</v>
      </c>
      <c r="V33" s="382">
        <f t="shared" si="8"/>
        <v>28.222090829332487</v>
      </c>
      <c r="W33" s="58"/>
      <c r="X33" s="157">
        <f t="shared" si="9"/>
        <v>43849</v>
      </c>
      <c r="Y33" s="383">
        <f t="shared" si="10"/>
        <v>27.359000000000002</v>
      </c>
      <c r="Z33" s="383">
        <f t="shared" si="11"/>
        <v>27.552636947916824</v>
      </c>
      <c r="AA33" s="384">
        <f t="shared" si="12"/>
        <v>28.362247785440232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2.8545369310926876E-2</v>
      </c>
      <c r="AD33" s="230">
        <f>(INDEX(Models!$BJ33:$BT33,,AH33)*(1-AF33)+INDEX(Models!$BJ33:$BT33,,AH33+1)*AF33-ERP_i)*AE33*Ramure*Pc/MaxiM</f>
        <v>5.9370671217482329E-4</v>
      </c>
      <c r="AE33" s="304">
        <f t="shared" si="14"/>
        <v>0.6</v>
      </c>
      <c r="AF33" s="177">
        <f t="shared" si="15"/>
        <v>0.99987532824477943</v>
      </c>
      <c r="AG33" s="176">
        <f t="shared" si="16"/>
        <v>-2</v>
      </c>
      <c r="AH33" s="176">
        <f t="shared" si="17"/>
        <v>4</v>
      </c>
      <c r="AI33" s="224">
        <f t="shared" si="22"/>
        <v>-1.0001246717552206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11.826000000000001</v>
      </c>
      <c r="C34" s="388"/>
      <c r="D34" s="391">
        <f t="shared" si="0"/>
        <v>11.90992833315541</v>
      </c>
      <c r="E34" s="383">
        <f t="shared" si="1"/>
        <v>12.260709301106905</v>
      </c>
      <c r="F34" s="383">
        <f t="shared" si="2"/>
        <v>12.26188245483894</v>
      </c>
      <c r="G34" s="110">
        <f t="shared" si="23"/>
        <v>0.41444007670462213</v>
      </c>
      <c r="H34" s="412" t="b">
        <f>Wh_hp&gt;='2019'!Maxi_hp</f>
        <v>1</v>
      </c>
      <c r="I34" s="388">
        <f>IF(H34,Wh_hp,'2019'!Maxi_hp)</f>
        <v>12.26188245483894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7.0469217620534597E-3</v>
      </c>
      <c r="M34" s="832"/>
      <c r="N34" s="832"/>
      <c r="O34" s="48">
        <f>IF(t&lt;Tnet,'2019'!Resal+('2019'!Salim-'2019'!Resal)*(1-EXP(('2019'!Tnet-t)/('2019'!Tau_j))),Resal+(Salim-Resal)*(1-EXP((Tnet-t)/(Tau_j))))*Salcycl</f>
        <v>2.861016922730782E-2</v>
      </c>
      <c r="P34" s="169">
        <f>(INDEX(Models!$BJ34:$BT34,,T34)*(1-R34)+INDEX(Models!$BJ34:$BT34,,T34+1)*R34-ERP_i)*Q34*Ramure*Pc/MaxiM</f>
        <v>5.841839098974194E-4</v>
      </c>
      <c r="Q34" s="304">
        <f t="shared" si="4"/>
        <v>0.6</v>
      </c>
      <c r="R34" s="177">
        <f t="shared" si="5"/>
        <v>0.99993635322482222</v>
      </c>
      <c r="S34" s="799">
        <f t="shared" si="6"/>
        <v>-2</v>
      </c>
      <c r="T34" s="176">
        <f t="shared" si="7"/>
        <v>4</v>
      </c>
      <c r="U34" s="250">
        <f t="shared" si="21"/>
        <v>-1.0000636467751778</v>
      </c>
      <c r="V34" s="382">
        <f t="shared" si="8"/>
        <v>28.520944289550176</v>
      </c>
      <c r="W34" s="58"/>
      <c r="X34" s="157">
        <f t="shared" si="9"/>
        <v>43850</v>
      </c>
      <c r="Y34" s="383">
        <f t="shared" si="10"/>
        <v>11.826000000000001</v>
      </c>
      <c r="Z34" s="383">
        <f t="shared" si="11"/>
        <v>11.90992833315541</v>
      </c>
      <c r="AA34" s="384">
        <f t="shared" si="12"/>
        <v>12.260709301106905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2.861016922730782E-2</v>
      </c>
      <c r="AD34" s="230">
        <f>(INDEX(Models!$BJ34:$BT34,,AH34)*(1-AF34)+INDEX(Models!$BJ34:$BT34,,AH34+1)*AF34-ERP_i)*AE34*Ramure*Pc/MaxiM</f>
        <v>5.841839098974194E-4</v>
      </c>
      <c r="AE34" s="304">
        <f t="shared" si="14"/>
        <v>0.6</v>
      </c>
      <c r="AF34" s="177">
        <f t="shared" si="15"/>
        <v>0.99993635322482222</v>
      </c>
      <c r="AG34" s="176">
        <f t="shared" si="16"/>
        <v>-2</v>
      </c>
      <c r="AH34" s="176">
        <f t="shared" si="17"/>
        <v>4</v>
      </c>
      <c r="AI34" s="224">
        <f t="shared" si="22"/>
        <v>-1.0000636467751778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3.4740000000000002</v>
      </c>
      <c r="C35" s="388"/>
      <c r="D35" s="391">
        <f t="shared" si="0"/>
        <v>3.4987217984744787</v>
      </c>
      <c r="E35" s="383">
        <f t="shared" si="1"/>
        <v>3.602009221478419</v>
      </c>
      <c r="F35" s="383">
        <f t="shared" si="2"/>
        <v>3.602009221478419</v>
      </c>
      <c r="G35" s="110">
        <f t="shared" si="23"/>
        <v>0.12045947068360394</v>
      </c>
      <c r="H35" s="412" t="b">
        <f>Wh_hp&gt;='2019'!Maxi_hp</f>
        <v>1</v>
      </c>
      <c r="I35" s="388">
        <f>IF(H35,Wh_hp,'2019'!Maxi_hp)</f>
        <v>3.602009221478419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7.0659514812688728E-3</v>
      </c>
      <c r="M35" s="832"/>
      <c r="N35" s="832"/>
      <c r="O35" s="48">
        <f>IF(t&lt;Tnet,'2019'!Resal+('2019'!Salim-'2019'!Resal)*(1-EXP(('2019'!Tnet-t)/('2019'!Tau_j))),Resal+(Salim-Resal)*(1-EXP((Tnet-t)/(Tau_j))))*Salcycl</f>
        <v>2.8674946856895228E-2</v>
      </c>
      <c r="P35" s="169">
        <f>(INDEX(Models!$BJ35:$BT35,,T35)*(1-R35)+INDEX(Models!$BJ35:$BT35,,T35+1)*R35-ERP_i)*Q35*Ramure*Pc/MaxiM</f>
        <v>5.7339015513940275E-4</v>
      </c>
      <c r="Q35" s="304">
        <f t="shared" si="4"/>
        <v>0.6</v>
      </c>
      <c r="R35" s="177">
        <f t="shared" si="5"/>
        <v>0.99999992246205838</v>
      </c>
      <c r="S35" s="799">
        <f t="shared" si="6"/>
        <v>-2</v>
      </c>
      <c r="T35" s="176">
        <f t="shared" si="7"/>
        <v>4</v>
      </c>
      <c r="U35" s="250">
        <f t="shared" si="21"/>
        <v>-1.0000000775379416</v>
      </c>
      <c r="V35" s="382">
        <f t="shared" si="8"/>
        <v>28.823039175728596</v>
      </c>
      <c r="W35" s="58"/>
      <c r="X35" s="157">
        <f t="shared" si="9"/>
        <v>43851</v>
      </c>
      <c r="Y35" s="383">
        <f t="shared" si="10"/>
        <v>3.4740000000000002</v>
      </c>
      <c r="Z35" s="383">
        <f t="shared" si="11"/>
        <v>3.4987217984744787</v>
      </c>
      <c r="AA35" s="384">
        <f t="shared" si="12"/>
        <v>3.602009221478419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2.8674946856895228E-2</v>
      </c>
      <c r="AD35" s="230">
        <f>(INDEX(Models!$BJ35:$BT35,,AH35)*(1-AF35)+INDEX(Models!$BJ35:$BT35,,AH35+1)*AF35-ERP_i)*AE35*Ramure*Pc/MaxiM</f>
        <v>5.7339015513940275E-4</v>
      </c>
      <c r="AE35" s="304">
        <f t="shared" si="14"/>
        <v>0.6</v>
      </c>
      <c r="AF35" s="177">
        <f t="shared" si="15"/>
        <v>0.99999992246205838</v>
      </c>
      <c r="AG35" s="176">
        <f t="shared" si="16"/>
        <v>-2</v>
      </c>
      <c r="AH35" s="176">
        <f t="shared" si="17"/>
        <v>4</v>
      </c>
      <c r="AI35" s="224">
        <f t="shared" si="22"/>
        <v>-1.0000000775379416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1.153</v>
      </c>
      <c r="C36" s="388"/>
      <c r="D36" s="391">
        <f t="shared" si="0"/>
        <v>1.1612272729750179</v>
      </c>
      <c r="E36" s="383">
        <f t="shared" si="1"/>
        <v>1.1955881215288715</v>
      </c>
      <c r="F36" s="383">
        <f t="shared" si="2"/>
        <v>1.1955881215288715</v>
      </c>
      <c r="G36" s="110">
        <f t="shared" si="23"/>
        <v>3.9562286454627983E-2</v>
      </c>
      <c r="H36" s="412" t="b">
        <f>Wh_hp&gt;='2019'!Maxi_hp</f>
        <v>1</v>
      </c>
      <c r="I36" s="388">
        <f>IF(H36,Wh_hp,'2019'!Maxi_hp)</f>
        <v>1.1955881215288715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7.0849808357841271E-3</v>
      </c>
      <c r="M36" s="832"/>
      <c r="N36" s="832"/>
      <c r="O36" s="48">
        <f>IF(t&lt;Tnet,'2019'!Resal+('2019'!Salim-'2019'!Resal)*(1-EXP(('2019'!Tnet-t)/('2019'!Tau_j))),Resal+(Salim-Resal)*(1-EXP((Tnet-t)/(Tau_j))))*Salcycl</f>
        <v>2.8739703862158125E-2</v>
      </c>
      <c r="P36" s="169">
        <f>(INDEX(Models!$BJ36:$BT36,,T36)*(1-R36)+INDEX(Models!$BJ36:$BT36,,T36+1)*R36-ERP_i)*Q36*Ramure*Pc/MaxiM</f>
        <v>5.6142687066283086E-4</v>
      </c>
      <c r="Q36" s="304">
        <f t="shared" si="4"/>
        <v>0.6</v>
      </c>
      <c r="R36" s="177">
        <f t="shared" si="5"/>
        <v>6.6141340840375484E-5</v>
      </c>
      <c r="S36" s="799">
        <f t="shared" si="6"/>
        <v>-1</v>
      </c>
      <c r="T36" s="176">
        <f t="shared" si="7"/>
        <v>5</v>
      </c>
      <c r="U36" s="250">
        <f t="shared" si="21"/>
        <v>-0.99993385865915962</v>
      </c>
      <c r="V36" s="382">
        <f t="shared" si="8"/>
        <v>29.127555004681078</v>
      </c>
      <c r="W36" s="58"/>
      <c r="X36" s="157">
        <f t="shared" si="9"/>
        <v>43852</v>
      </c>
      <c r="Y36" s="383">
        <f t="shared" si="10"/>
        <v>1.153</v>
      </c>
      <c r="Z36" s="383">
        <f t="shared" si="11"/>
        <v>1.1612272729750179</v>
      </c>
      <c r="AA36" s="384">
        <f t="shared" si="12"/>
        <v>1.1955881215288715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2.8739703862158125E-2</v>
      </c>
      <c r="AD36" s="230">
        <f>(INDEX(Models!$BJ36:$BT36,,AH36)*(1-AF36)+INDEX(Models!$BJ36:$BT36,,AH36+1)*AF36-ERP_i)*AE36*Ramure*Pc/MaxiM</f>
        <v>5.6142687066283086E-4</v>
      </c>
      <c r="AE36" s="304">
        <f t="shared" si="14"/>
        <v>0.6</v>
      </c>
      <c r="AF36" s="177">
        <f t="shared" si="15"/>
        <v>6.6141340840375484E-5</v>
      </c>
      <c r="AG36" s="176">
        <f t="shared" si="16"/>
        <v>-1</v>
      </c>
      <c r="AH36" s="176">
        <f t="shared" si="17"/>
        <v>5</v>
      </c>
      <c r="AI36" s="224">
        <f t="shared" si="22"/>
        <v>-0.99993385865915962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13.63</v>
      </c>
      <c r="C37" s="388"/>
      <c r="D37" s="391">
        <f t="shared" si="0"/>
        <v>13.727520440087591</v>
      </c>
      <c r="E37" s="383">
        <f t="shared" si="1"/>
        <v>14.134661474273532</v>
      </c>
      <c r="F37" s="383">
        <f t="shared" si="2"/>
        <v>14.136466257593549</v>
      </c>
      <c r="G37" s="110">
        <f t="shared" si="23"/>
        <v>0.46281564817968263</v>
      </c>
      <c r="H37" s="412" t="b">
        <f>Wh_hp&gt;='2019'!Maxi_hp</f>
        <v>1</v>
      </c>
      <c r="I37" s="388">
        <f>IF(H37,Wh_hp,'2019'!Maxi_hp)</f>
        <v>14.136466257593549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7.1040098256061057E-3</v>
      </c>
      <c r="M37" s="832"/>
      <c r="N37" s="832"/>
      <c r="O37" s="48">
        <f>IF(t&lt;Tnet,'2019'!Resal+('2019'!Salim-'2019'!Resal)*(1-EXP(('2019'!Tnet-t)/('2019'!Tau_j))),Resal+(Salim-Resal)*(1-EXP((Tnet-t)/(Tau_j))))*Salcycl</f>
        <v>2.8804441827416687E-2</v>
      </c>
      <c r="P37" s="169">
        <f>(INDEX(Models!$BJ37:$BT37,,T37)*(1-R37)+INDEX(Models!$BJ37:$BT37,,T37+1)*R37-ERP_i)*Q37*Ramure*Pc/MaxiM</f>
        <v>5.4823522371524956E-4</v>
      </c>
      <c r="Q37" s="304">
        <f t="shared" si="4"/>
        <v>0.6</v>
      </c>
      <c r="R37" s="177">
        <f t="shared" si="5"/>
        <v>1.3511955161771283E-4</v>
      </c>
      <c r="S37" s="799">
        <f t="shared" si="6"/>
        <v>-1</v>
      </c>
      <c r="T37" s="176">
        <f t="shared" si="7"/>
        <v>5</v>
      </c>
      <c r="U37" s="250">
        <f t="shared" si="21"/>
        <v>-0.99986488044838229</v>
      </c>
      <c r="V37" s="382">
        <f t="shared" si="8"/>
        <v>29.437783702908433</v>
      </c>
      <c r="W37" s="58"/>
      <c r="X37" s="157">
        <f t="shared" si="9"/>
        <v>43853</v>
      </c>
      <c r="Y37" s="383">
        <f t="shared" si="10"/>
        <v>13.63</v>
      </c>
      <c r="Z37" s="383">
        <f t="shared" si="11"/>
        <v>13.727520440087591</v>
      </c>
      <c r="AA37" s="384">
        <f t="shared" si="12"/>
        <v>14.134661474273532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2.8804441827416687E-2</v>
      </c>
      <c r="AD37" s="230">
        <f>(INDEX(Models!$BJ37:$BT37,,AH37)*(1-AF37)+INDEX(Models!$BJ37:$BT37,,AH37+1)*AF37-ERP_i)*AE37*Ramure*Pc/MaxiM</f>
        <v>5.4823522371524956E-4</v>
      </c>
      <c r="AE37" s="304">
        <f t="shared" si="14"/>
        <v>0.6</v>
      </c>
      <c r="AF37" s="177">
        <f t="shared" si="15"/>
        <v>1.3511955161771283E-4</v>
      </c>
      <c r="AG37" s="176">
        <f t="shared" si="16"/>
        <v>-1</v>
      </c>
      <c r="AH37" s="176">
        <f t="shared" si="17"/>
        <v>5</v>
      </c>
      <c r="AI37" s="224">
        <f t="shared" si="22"/>
        <v>-0.99986488044838229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16.231000000000002</v>
      </c>
      <c r="C38" s="388"/>
      <c r="D38" s="391">
        <f t="shared" si="0"/>
        <v>16.347443468396719</v>
      </c>
      <c r="E38" s="383">
        <f t="shared" si="1"/>
        <v>16.833409909673424</v>
      </c>
      <c r="F38" s="383">
        <f t="shared" si="2"/>
        <v>16.836563054291389</v>
      </c>
      <c r="G38" s="110">
        <f t="shared" si="23"/>
        <v>0.54526380894016457</v>
      </c>
      <c r="H38" s="412" t="b">
        <f>Wh_hp&gt;='2019'!Maxi_hp</f>
        <v>1</v>
      </c>
      <c r="I38" s="388">
        <f>IF(H38,Wh_hp,'2019'!Maxi_hp)</f>
        <v>16.836563054291389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7.1230384507418032E-3</v>
      </c>
      <c r="M38" s="832"/>
      <c r="N38" s="832"/>
      <c r="O38" s="48">
        <f>IF(t&lt;Tnet,'2019'!Resal+('2019'!Salim-'2019'!Resal)*(1-EXP(('2019'!Tnet-t)/('2019'!Tau_j))),Resal+(Salim-Resal)*(1-EXP((Tnet-t)/(Tau_j))))*Salcycl</f>
        <v>2.8869162212787392E-2</v>
      </c>
      <c r="P38" s="169">
        <f>(INDEX(Models!$BJ38:$BT38,,T38)*(1-R38)+INDEX(Models!$BJ38:$BT38,,T38+1)*R38-ERP_i)*Q38*Ramure*Pc/MaxiM</f>
        <v>5.3409697015052086E-4</v>
      </c>
      <c r="Q38" s="304">
        <f t="shared" si="4"/>
        <v>0.6</v>
      </c>
      <c r="R38" s="177">
        <f t="shared" si="5"/>
        <v>2.0697126184721082E-4</v>
      </c>
      <c r="S38" s="799">
        <f t="shared" si="6"/>
        <v>-1</v>
      </c>
      <c r="T38" s="176">
        <f t="shared" si="7"/>
        <v>5</v>
      </c>
      <c r="U38" s="250">
        <f t="shared" si="21"/>
        <v>-0.99979302873815279</v>
      </c>
      <c r="V38" s="382">
        <f t="shared" si="8"/>
        <v>29.756916719270684</v>
      </c>
      <c r="W38" s="58"/>
      <c r="X38" s="157">
        <f t="shared" si="9"/>
        <v>43854</v>
      </c>
      <c r="Y38" s="383">
        <f t="shared" si="10"/>
        <v>16.231000000000002</v>
      </c>
      <c r="Z38" s="383">
        <f t="shared" si="11"/>
        <v>16.347443468396719</v>
      </c>
      <c r="AA38" s="384">
        <f t="shared" si="12"/>
        <v>16.833409909673424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2.8869162212787392E-2</v>
      </c>
      <c r="AD38" s="230">
        <f>(INDEX(Models!$BJ38:$BT38,,AH38)*(1-AF38)+INDEX(Models!$BJ38:$BT38,,AH38+1)*AF38-ERP_i)*AE38*Ramure*Pc/MaxiM</f>
        <v>5.3409697015052086E-4</v>
      </c>
      <c r="AE38" s="304">
        <f t="shared" si="14"/>
        <v>0.6</v>
      </c>
      <c r="AF38" s="177">
        <f t="shared" si="15"/>
        <v>2.0697126184721082E-4</v>
      </c>
      <c r="AG38" s="176">
        <f t="shared" si="16"/>
        <v>-1</v>
      </c>
      <c r="AH38" s="176">
        <f t="shared" si="17"/>
        <v>5</v>
      </c>
      <c r="AI38" s="224">
        <f t="shared" si="22"/>
        <v>-0.99979302873815279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16.327999999999999</v>
      </c>
      <c r="C39" s="388"/>
      <c r="D39" s="391">
        <f t="shared" si="0"/>
        <v>16.445454533373329</v>
      </c>
      <c r="E39" s="383">
        <f t="shared" si="1"/>
        <v>16.935462954429219</v>
      </c>
      <c r="F39" s="383">
        <f t="shared" si="2"/>
        <v>16.938515203837024</v>
      </c>
      <c r="G39" s="110">
        <f t="shared" si="23"/>
        <v>0.54256303155492536</v>
      </c>
      <c r="H39" s="412" t="b">
        <f>Wh_hp&gt;='2019'!Maxi_hp</f>
        <v>1</v>
      </c>
      <c r="I39" s="388">
        <f>IF(H39,Wh_hp,'2019'!Maxi_hp)</f>
        <v>16.938515203837024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7.1420667111982139E-3</v>
      </c>
      <c r="M39" s="832"/>
      <c r="N39" s="832"/>
      <c r="O39" s="48">
        <f>IF(t&lt;Tnet,'2019'!Resal+('2019'!Salim-'2019'!Resal)*(1-EXP(('2019'!Tnet-t)/('2019'!Tau_j))),Resal+(Salim-Resal)*(1-EXP((Tnet-t)/(Tau_j))))*Salcycl</f>
        <v>2.8933866312035709E-2</v>
      </c>
      <c r="P39" s="169">
        <f>(INDEX(Models!$BJ39:$BT39,,T39)*(1-R39)+INDEX(Models!$BJ39:$BT39,,T39+1)*R39-ERP_i)*Q39*Ramure*Pc/MaxiM</f>
        <v>5.196229610532285E-4</v>
      </c>
      <c r="Q39" s="304">
        <f t="shared" si="4"/>
        <v>0.6</v>
      </c>
      <c r="R39" s="177">
        <f t="shared" si="5"/>
        <v>2.8181529325543853E-4</v>
      </c>
      <c r="S39" s="799">
        <f t="shared" si="6"/>
        <v>-1</v>
      </c>
      <c r="T39" s="176">
        <f t="shared" si="7"/>
        <v>5</v>
      </c>
      <c r="U39" s="250">
        <f t="shared" si="21"/>
        <v>-0.99971818470674456</v>
      </c>
      <c r="V39" s="382">
        <f t="shared" si="8"/>
        <v>30.083982662413778</v>
      </c>
      <c r="W39" s="58"/>
      <c r="X39" s="157">
        <f t="shared" si="9"/>
        <v>43855</v>
      </c>
      <c r="Y39" s="383">
        <f t="shared" si="10"/>
        <v>16.327999999999999</v>
      </c>
      <c r="Z39" s="383">
        <f t="shared" si="11"/>
        <v>16.445454533373329</v>
      </c>
      <c r="AA39" s="384">
        <f t="shared" si="12"/>
        <v>16.935462954429219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2.8933866312035709E-2</v>
      </c>
      <c r="AD39" s="230">
        <f>(INDEX(Models!$BJ39:$BT39,,AH39)*(1-AF39)+INDEX(Models!$BJ39:$BT39,,AH39+1)*AF39-ERP_i)*AE39*Ramure*Pc/MaxiM</f>
        <v>5.196229610532285E-4</v>
      </c>
      <c r="AE39" s="304">
        <f t="shared" si="14"/>
        <v>0.6</v>
      </c>
      <c r="AF39" s="177">
        <f t="shared" si="15"/>
        <v>2.8181529325543853E-4</v>
      </c>
      <c r="AG39" s="176">
        <f t="shared" si="16"/>
        <v>-1</v>
      </c>
      <c r="AH39" s="176">
        <f t="shared" si="17"/>
        <v>5</v>
      </c>
      <c r="AI39" s="224">
        <f t="shared" si="22"/>
        <v>-0.99971818470674456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6.7439999999999998</v>
      </c>
      <c r="C40" s="388"/>
      <c r="D40" s="391">
        <f t="shared" si="0"/>
        <v>6.7926427574172994</v>
      </c>
      <c r="E40" s="383">
        <f t="shared" si="1"/>
        <v>6.9955022146434427</v>
      </c>
      <c r="F40" s="383">
        <f t="shared" si="2"/>
        <v>6.9955022146434427</v>
      </c>
      <c r="G40" s="110">
        <f t="shared" si="23"/>
        <v>0.22159870085292735</v>
      </c>
      <c r="H40" s="412" t="b">
        <f>Wh_hp&gt;='2019'!Maxi_hp</f>
        <v>1</v>
      </c>
      <c r="I40" s="388">
        <f>IF(H40,Wh_hp,'2019'!Maxi_hp)</f>
        <v>6.9955022146434427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7.1610946069824433E-3</v>
      </c>
      <c r="M40" s="832"/>
      <c r="N40" s="832"/>
      <c r="O40" s="48">
        <f>IF(t&lt;Tnet,'2019'!Resal+('2019'!Salim-'2019'!Resal)*(1-EXP(('2019'!Tnet-t)/('2019'!Tau_j))),Resal+(Salim-Resal)*(1-EXP((Tnet-t)/(Tau_j))))*Salcycl</f>
        <v>2.8998555214735652E-2</v>
      </c>
      <c r="P40" s="169">
        <f>(INDEX(Models!$BJ40:$BT40,,T40)*(1-R40)+INDEX(Models!$BJ40:$BT40,,T40+1)*R40-ERP_i)*Q40*Ramure*Pc/MaxiM</f>
        <v>5.0485158871355117E-4</v>
      </c>
      <c r="Q40" s="304">
        <f t="shared" si="4"/>
        <v>0.6</v>
      </c>
      <c r="R40" s="177">
        <f t="shared" si="5"/>
        <v>3.5977530564812454E-4</v>
      </c>
      <c r="S40" s="799">
        <f t="shared" si="6"/>
        <v>-1</v>
      </c>
      <c r="T40" s="176">
        <f t="shared" si="7"/>
        <v>5</v>
      </c>
      <c r="U40" s="250">
        <f t="shared" si="21"/>
        <v>-0.99964022469435188</v>
      </c>
      <c r="V40" s="382">
        <f t="shared" si="8"/>
        <v>30.418027068486179</v>
      </c>
      <c r="W40" s="58"/>
      <c r="X40" s="157">
        <f t="shared" si="9"/>
        <v>43856</v>
      </c>
      <c r="Y40" s="383">
        <f t="shared" si="10"/>
        <v>6.7439999999999998</v>
      </c>
      <c r="Z40" s="383">
        <f t="shared" si="11"/>
        <v>6.7926427574172994</v>
      </c>
      <c r="AA40" s="384">
        <f t="shared" si="12"/>
        <v>6.9955022146434427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2.8998555214735652E-2</v>
      </c>
      <c r="AD40" s="230">
        <f>(INDEX(Models!$BJ40:$BT40,,AH40)*(1-AF40)+INDEX(Models!$BJ40:$BT40,,AH40+1)*AF40-ERP_i)*AE40*Ramure*Pc/MaxiM</f>
        <v>5.0485158871355117E-4</v>
      </c>
      <c r="AE40" s="304">
        <f t="shared" si="14"/>
        <v>0.6</v>
      </c>
      <c r="AF40" s="177">
        <f t="shared" si="15"/>
        <v>3.5977530564812454E-4</v>
      </c>
      <c r="AG40" s="176">
        <f t="shared" si="16"/>
        <v>-1</v>
      </c>
      <c r="AH40" s="176">
        <f t="shared" si="17"/>
        <v>5</v>
      </c>
      <c r="AI40" s="224">
        <f t="shared" si="22"/>
        <v>-0.99964022469435188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11.04</v>
      </c>
      <c r="C41" s="388"/>
      <c r="D41" s="391">
        <f t="shared" si="0"/>
        <v>11.119841822441497</v>
      </c>
      <c r="E41" s="383">
        <f t="shared" si="1"/>
        <v>11.45269410266817</v>
      </c>
      <c r="F41" s="383">
        <f t="shared" si="2"/>
        <v>11.453166380846145</v>
      </c>
      <c r="G41" s="110">
        <f t="shared" si="23"/>
        <v>0.35876887548096664</v>
      </c>
      <c r="H41" s="412" t="b">
        <f>Wh_hp&gt;='2019'!Maxi_hp</f>
        <v>1</v>
      </c>
      <c r="I41" s="388">
        <f>IF(H41,Wh_hp,'2019'!Maxi_hp)</f>
        <v>11.453166380846145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7.1801221381013747E-3</v>
      </c>
      <c r="M41" s="832"/>
      <c r="N41" s="832"/>
      <c r="O41" s="48">
        <f>IF(t&lt;Tnet,'2019'!Resal+('2019'!Salim-'2019'!Resal)*(1-EXP(('2019'!Tnet-t)/('2019'!Tau_j))),Resal+(Salim-Resal)*(1-EXP((Tnet-t)/(Tau_j))))*Salcycl</f>
        <v>2.9063229773082611E-2</v>
      </c>
      <c r="P41" s="169">
        <f>(INDEX(Models!$BJ41:$BT41,,T41)*(1-R41)+INDEX(Models!$BJ41:$BT41,,T41+1)*R41-ERP_i)*Q41*Ramure*Pc/MaxiM</f>
        <v>4.8981796095410289E-4</v>
      </c>
      <c r="Q41" s="304">
        <f t="shared" si="4"/>
        <v>0.6</v>
      </c>
      <c r="R41" s="177">
        <f t="shared" si="5"/>
        <v>4.4097998746983613E-4</v>
      </c>
      <c r="S41" s="799">
        <f t="shared" si="6"/>
        <v>-1</v>
      </c>
      <c r="T41" s="176">
        <f t="shared" si="7"/>
        <v>5</v>
      </c>
      <c r="U41" s="250">
        <f t="shared" si="21"/>
        <v>-0.99955902001253016</v>
      </c>
      <c r="V41" s="382">
        <f t="shared" si="8"/>
        <v>30.758095812270906</v>
      </c>
      <c r="W41" s="58"/>
      <c r="X41" s="157">
        <f t="shared" si="9"/>
        <v>43857</v>
      </c>
      <c r="Y41" s="383">
        <f t="shared" si="10"/>
        <v>11.04</v>
      </c>
      <c r="Z41" s="383">
        <f t="shared" si="11"/>
        <v>11.119841822441497</v>
      </c>
      <c r="AA41" s="384">
        <f t="shared" si="12"/>
        <v>11.45269410266817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2.9063229773082611E-2</v>
      </c>
      <c r="AD41" s="230">
        <f>(INDEX(Models!$BJ41:$BT41,,AH41)*(1-AF41)+INDEX(Models!$BJ41:$BT41,,AH41+1)*AF41-ERP_i)*AE41*Ramure*Pc/MaxiM</f>
        <v>4.8981796095410289E-4</v>
      </c>
      <c r="AE41" s="304">
        <f t="shared" si="14"/>
        <v>0.6</v>
      </c>
      <c r="AF41" s="177">
        <f t="shared" si="15"/>
        <v>4.4097998746983613E-4</v>
      </c>
      <c r="AG41" s="176">
        <f t="shared" si="16"/>
        <v>-1</v>
      </c>
      <c r="AH41" s="176">
        <f t="shared" si="17"/>
        <v>5</v>
      </c>
      <c r="AI41" s="224">
        <f t="shared" si="22"/>
        <v>-0.99955902001253016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17.626000000000001</v>
      </c>
      <c r="C42" s="388"/>
      <c r="D42" s="391">
        <f t="shared" si="0"/>
        <v>17.753812345802608</v>
      </c>
      <c r="E42" s="383">
        <f t="shared" si="1"/>
        <v>18.286458302208985</v>
      </c>
      <c r="F42" s="383">
        <f t="shared" si="2"/>
        <v>18.289765102832149</v>
      </c>
      <c r="G42" s="110">
        <f t="shared" si="23"/>
        <v>0.56652696426070193</v>
      </c>
      <c r="H42" s="412" t="b">
        <f>Wh_hp&gt;='2019'!Maxi_hp</f>
        <v>1</v>
      </c>
      <c r="I42" s="388">
        <f>IF(H42,Wh_hp,'2019'!Maxi_hp)</f>
        <v>18.289765102832149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7.1991493045618915E-3</v>
      </c>
      <c r="M42" s="832"/>
      <c r="N42" s="832"/>
      <c r="O42" s="48">
        <f>IF(t&lt;Tnet,'2019'!Resal+('2019'!Salim-'2019'!Resal)*(1-EXP(('2019'!Tnet-t)/('2019'!Tau_j))),Resal+(Salim-Resal)*(1-EXP((Tnet-t)/(Tau_j))))*Salcycl</f>
        <v>2.9127890573651102E-2</v>
      </c>
      <c r="P42" s="169">
        <f>(INDEX(Models!$BJ42:$BT42,,T42)*(1-R42)+INDEX(Models!$BJ42:$BT42,,T42+1)*R42-ERP_i)*Q42*Ramure*Pc/MaxiM</f>
        <v>4.7455390689452509E-4</v>
      </c>
      <c r="Q42" s="304">
        <f t="shared" si="4"/>
        <v>0.6</v>
      </c>
      <c r="R42" s="177">
        <f t="shared" si="5"/>
        <v>5.2556325331576392E-4</v>
      </c>
      <c r="S42" s="799">
        <f t="shared" si="6"/>
        <v>-1</v>
      </c>
      <c r="T42" s="176">
        <f t="shared" si="7"/>
        <v>5</v>
      </c>
      <c r="U42" s="250">
        <f t="shared" si="21"/>
        <v>-0.99947443674668424</v>
      </c>
      <c r="V42" s="382">
        <f t="shared" si="8"/>
        <v>31.10323511436361</v>
      </c>
      <c r="W42" s="58"/>
      <c r="X42" s="157">
        <f t="shared" si="9"/>
        <v>43858</v>
      </c>
      <c r="Y42" s="383">
        <f t="shared" si="10"/>
        <v>17.626000000000001</v>
      </c>
      <c r="Z42" s="383">
        <f t="shared" si="11"/>
        <v>17.753812345802608</v>
      </c>
      <c r="AA42" s="384">
        <f t="shared" si="12"/>
        <v>18.286458302208985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2.9127890573651102E-2</v>
      </c>
      <c r="AD42" s="230">
        <f>(INDEX(Models!$BJ42:$BT42,,AH42)*(1-AF42)+INDEX(Models!$BJ42:$BT42,,AH42+1)*AF42-ERP_i)*AE42*Ramure*Pc/MaxiM</f>
        <v>4.7455390689452509E-4</v>
      </c>
      <c r="AE42" s="304">
        <f t="shared" si="14"/>
        <v>0.6</v>
      </c>
      <c r="AF42" s="177">
        <f t="shared" si="15"/>
        <v>5.2556325331576392E-4</v>
      </c>
      <c r="AG42" s="176">
        <f t="shared" si="16"/>
        <v>-1</v>
      </c>
      <c r="AH42" s="176">
        <f t="shared" si="17"/>
        <v>5</v>
      </c>
      <c r="AI42" s="224">
        <f t="shared" si="22"/>
        <v>-0.99947443674668424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19.056000000000001</v>
      </c>
      <c r="C43" s="388"/>
      <c r="D43" s="391">
        <f t="shared" si="0"/>
        <v>19.19454963958098</v>
      </c>
      <c r="E43" s="383">
        <f t="shared" si="1"/>
        <v>19.771736816220709</v>
      </c>
      <c r="F43" s="383">
        <f t="shared" si="2"/>
        <v>19.775703807846384</v>
      </c>
      <c r="G43" s="110">
        <f t="shared" si="23"/>
        <v>0.60570951046104793</v>
      </c>
      <c r="H43" s="412" t="b">
        <f>Wh_hp&gt;='2019'!Maxi_hp</f>
        <v>1</v>
      </c>
      <c r="I43" s="388">
        <f>IF(H43,Wh_hp,'2019'!Maxi_hp)</f>
        <v>19.775703807846384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7.2181761063712102E-3</v>
      </c>
      <c r="M43" s="832"/>
      <c r="N43" s="832"/>
      <c r="O43" s="48">
        <f>IF(t&lt;Tnet,'2019'!Resal+('2019'!Salim-'2019'!Resal)*(1-EXP(('2019'!Tnet-t)/('2019'!Tau_j))),Resal+(Salim-Resal)*(1-EXP((Tnet-t)/(Tau_j))))*Salcycl</f>
        <v>2.9192537914332666E-2</v>
      </c>
      <c r="P43" s="169">
        <f>(INDEX(Models!$BJ43:$BT43,,T43)*(1-R43)+INDEX(Models!$BJ43:$BT43,,T43+1)*R43-ERP_i)*Q43*Ramure*Pc/MaxiM</f>
        <v>4.5908801614800537E-4</v>
      </c>
      <c r="Q43" s="304">
        <f t="shared" si="4"/>
        <v>0.6</v>
      </c>
      <c r="R43" s="177">
        <f t="shared" si="5"/>
        <v>6.1366444860100344E-4</v>
      </c>
      <c r="S43" s="799">
        <f t="shared" si="6"/>
        <v>-1</v>
      </c>
      <c r="T43" s="176">
        <f t="shared" si="7"/>
        <v>5</v>
      </c>
      <c r="U43" s="250">
        <f t="shared" si="21"/>
        <v>-0.999386335551399</v>
      </c>
      <c r="V43" s="382">
        <f t="shared" si="8"/>
        <v>31.452491534320473</v>
      </c>
      <c r="W43" s="58"/>
      <c r="X43" s="157">
        <f t="shared" si="9"/>
        <v>43859</v>
      </c>
      <c r="Y43" s="383">
        <f t="shared" si="10"/>
        <v>19.056000000000001</v>
      </c>
      <c r="Z43" s="383">
        <f t="shared" si="11"/>
        <v>19.19454963958098</v>
      </c>
      <c r="AA43" s="384">
        <f t="shared" si="12"/>
        <v>19.771736816220709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2.9192537914332666E-2</v>
      </c>
      <c r="AD43" s="230">
        <f>(INDEX(Models!$BJ43:$BT43,,AH43)*(1-AF43)+INDEX(Models!$BJ43:$BT43,,AH43+1)*AF43-ERP_i)*AE43*Ramure*Pc/MaxiM</f>
        <v>4.5908801614800537E-4</v>
      </c>
      <c r="AE43" s="304">
        <f t="shared" si="14"/>
        <v>0.6</v>
      </c>
      <c r="AF43" s="177">
        <f t="shared" si="15"/>
        <v>6.1366444860100344E-4</v>
      </c>
      <c r="AG43" s="176">
        <f t="shared" si="16"/>
        <v>-1</v>
      </c>
      <c r="AH43" s="176">
        <f t="shared" si="17"/>
        <v>5</v>
      </c>
      <c r="AI43" s="224">
        <f t="shared" si="22"/>
        <v>-0.999386335551399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11.372999999999999</v>
      </c>
      <c r="C44" s="388"/>
      <c r="D44" s="391">
        <f t="shared" si="0"/>
        <v>11.455908731812391</v>
      </c>
      <c r="E44" s="383">
        <f t="shared" si="1"/>
        <v>11.801177818533802</v>
      </c>
      <c r="F44" s="383">
        <f t="shared" si="2"/>
        <v>11.80160840972839</v>
      </c>
      <c r="G44" s="110">
        <f t="shared" si="23"/>
        <v>0.35744074639052992</v>
      </c>
      <c r="H44" s="412" t="b">
        <f>Wh_hp&gt;='2019'!Maxi_hp</f>
        <v>1</v>
      </c>
      <c r="I44" s="388">
        <f>IF(H44,Wh_hp,'2019'!Maxi_hp)</f>
        <v>11.80160840972839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7.2372025435362142E-3</v>
      </c>
      <c r="M44" s="832"/>
      <c r="N44" s="832"/>
      <c r="O44" s="48">
        <f>IF(t&lt;Tnet,'2019'!Resal+('2019'!Salim-'2019'!Resal)*(1-EXP(('2019'!Tnet-t)/('2019'!Tau_j))),Resal+(Salim-Resal)*(1-EXP((Tnet-t)/(Tau_j))))*Salcycl</f>
        <v>2.9257171786629888E-2</v>
      </c>
      <c r="P44" s="169">
        <f>(INDEX(Models!$BJ44:$BT44,,T44)*(1-R44)+INDEX(Models!$BJ44:$BT44,,T44+1)*R44-ERP_i)*Q44*Ramure*Pc/MaxiM</f>
        <v>4.4350939674029331E-4</v>
      </c>
      <c r="Q44" s="304">
        <f t="shared" si="4"/>
        <v>0.6</v>
      </c>
      <c r="R44" s="177">
        <f t="shared" si="5"/>
        <v>7.0542856159450107E-4</v>
      </c>
      <c r="S44" s="799">
        <f t="shared" si="6"/>
        <v>-1</v>
      </c>
      <c r="T44" s="176">
        <f t="shared" si="7"/>
        <v>5</v>
      </c>
      <c r="U44" s="250">
        <f t="shared" si="21"/>
        <v>-0.9992945714384055</v>
      </c>
      <c r="V44" s="382">
        <f t="shared" si="8"/>
        <v>31.804909951087573</v>
      </c>
      <c r="W44" s="58"/>
      <c r="X44" s="157">
        <f t="shared" si="9"/>
        <v>43860</v>
      </c>
      <c r="Y44" s="383">
        <f t="shared" si="10"/>
        <v>11.372999999999999</v>
      </c>
      <c r="Z44" s="383">
        <f t="shared" si="11"/>
        <v>11.455908731812391</v>
      </c>
      <c r="AA44" s="384">
        <f t="shared" si="12"/>
        <v>11.801177818533802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2.9257171786629888E-2</v>
      </c>
      <c r="AD44" s="230">
        <f>(INDEX(Models!$BJ44:$BT44,,AH44)*(1-AF44)+INDEX(Models!$BJ44:$BT44,,AH44+1)*AF44-ERP_i)*AE44*Ramure*Pc/MaxiM</f>
        <v>4.4350939674029331E-4</v>
      </c>
      <c r="AE44" s="304">
        <f t="shared" si="14"/>
        <v>0.6</v>
      </c>
      <c r="AF44" s="177">
        <f t="shared" si="15"/>
        <v>7.0542856159450107E-4</v>
      </c>
      <c r="AG44" s="176">
        <f t="shared" si="16"/>
        <v>-1</v>
      </c>
      <c r="AH44" s="176">
        <f t="shared" si="17"/>
        <v>5</v>
      </c>
      <c r="AI44" s="224">
        <f t="shared" si="22"/>
        <v>-0.9992945714384055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22.277999999999999</v>
      </c>
      <c r="C45" s="388"/>
      <c r="D45" s="391">
        <f t="shared" si="0"/>
        <v>22.440835835155447</v>
      </c>
      <c r="E45" s="383">
        <f t="shared" si="1"/>
        <v>23.118718074690708</v>
      </c>
      <c r="F45" s="383">
        <f t="shared" si="2"/>
        <v>23.12427848668732</v>
      </c>
      <c r="G45" s="110">
        <f t="shared" si="23"/>
        <v>0.69260400438004943</v>
      </c>
      <c r="H45" s="412" t="b">
        <f>Wh_hp&gt;='2019'!Maxi_hp</f>
        <v>1</v>
      </c>
      <c r="I45" s="388">
        <f>IF(H45,Wh_hp,'2019'!Maxi_hp)</f>
        <v>23.12427848668732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7.2562286160638978E-3</v>
      </c>
      <c r="M45" s="832"/>
      <c r="N45" s="832"/>
      <c r="O45" s="48">
        <f>IF(t&lt;Tnet,'2019'!Resal+('2019'!Salim-'2019'!Resal)*(1-EXP(('2019'!Tnet-t)/('2019'!Tau_j))),Resal+(Salim-Resal)*(1-EXP((Tnet-t)/(Tau_j))))*Salcycl</f>
        <v>2.9321791863424113E-2</v>
      </c>
      <c r="P45" s="169">
        <f>(INDEX(Models!$BJ45:$BT45,,T45)*(1-R45)+INDEX(Models!$BJ45:$BT45,,T45+1)*R45-ERP_i)*Q45*Ramure*Pc/MaxiM</f>
        <v>4.2858594356508315E-4</v>
      </c>
      <c r="Q45" s="304">
        <f t="shared" si="4"/>
        <v>0.6</v>
      </c>
      <c r="R45" s="177">
        <f t="shared" si="5"/>
        <v>8.0100644302460999E-4</v>
      </c>
      <c r="S45" s="799">
        <f t="shared" si="6"/>
        <v>-1</v>
      </c>
      <c r="T45" s="176">
        <f t="shared" si="7"/>
        <v>5</v>
      </c>
      <c r="U45" s="250">
        <f t="shared" si="21"/>
        <v>-0.99919899355697539</v>
      </c>
      <c r="V45" s="382">
        <f t="shared" si="8"/>
        <v>32.159513562200615</v>
      </c>
      <c r="W45" s="58"/>
      <c r="X45" s="157">
        <f t="shared" si="9"/>
        <v>43861</v>
      </c>
      <c r="Y45" s="383">
        <f t="shared" si="10"/>
        <v>22.277999999999999</v>
      </c>
      <c r="Z45" s="383">
        <f t="shared" si="11"/>
        <v>22.440835835155447</v>
      </c>
      <c r="AA45" s="384">
        <f t="shared" si="12"/>
        <v>23.118718074690708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2.9321791863424113E-2</v>
      </c>
      <c r="AD45" s="230">
        <f>(INDEX(Models!$BJ45:$BT45,,AH45)*(1-AF45)+INDEX(Models!$BJ45:$BT45,,AH45+1)*AF45-ERP_i)*AE45*Ramure*Pc/MaxiM</f>
        <v>4.2858594356508315E-4</v>
      </c>
      <c r="AE45" s="304">
        <f t="shared" si="14"/>
        <v>0.6</v>
      </c>
      <c r="AF45" s="177">
        <f t="shared" si="15"/>
        <v>8.0100644302460999E-4</v>
      </c>
      <c r="AG45" s="176">
        <f t="shared" si="16"/>
        <v>-1</v>
      </c>
      <c r="AH45" s="176">
        <f t="shared" si="17"/>
        <v>5</v>
      </c>
      <c r="AI45" s="224">
        <f t="shared" si="22"/>
        <v>-0.99919899355697539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11.956</v>
      </c>
      <c r="C46" s="388"/>
      <c r="D46" s="391">
        <f t="shared" si="0"/>
        <v>12.043620401401443</v>
      </c>
      <c r="E46" s="383">
        <f t="shared" si="1"/>
        <v>12.408254294278326</v>
      </c>
      <c r="F46" s="383">
        <f t="shared" si="2"/>
        <v>12.408751534589424</v>
      </c>
      <c r="G46" s="110">
        <f t="shared" si="23"/>
        <v>0.36756564012456916</v>
      </c>
      <c r="H46" s="412" t="b">
        <f>Wh_hp&gt;='2019'!Maxi_hp</f>
        <v>1</v>
      </c>
      <c r="I46" s="388">
        <f>IF(H46,Wh_hp,'2019'!Maxi_hp)</f>
        <v>12.408751534589424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7.2752543239612555E-3</v>
      </c>
      <c r="M46" s="832"/>
      <c r="N46" s="832"/>
      <c r="O46" s="48">
        <f>IF(t&lt;Tnet,'2019'!Resal+('2019'!Salim-'2019'!Resal)*(1-EXP(('2019'!Tnet-t)/('2019'!Tau_j))),Resal+(Salim-Resal)*(1-EXP((Tnet-t)/(Tau_j))))*Salcycl</f>
        <v>2.9386397492274313E-2</v>
      </c>
      <c r="P46" s="169">
        <f>(INDEX(Models!$BJ46:$BT46,,T46)*(1-R46)+INDEX(Models!$BJ46:$BT46,,T46+1)*R46-ERP_i)*Q46*Ramure*Pc/MaxiM</f>
        <v>4.1431125728834216E-4</v>
      </c>
      <c r="Q46" s="304">
        <f t="shared" si="4"/>
        <v>0.6</v>
      </c>
      <c r="R46" s="177">
        <f t="shared" si="5"/>
        <v>9.0055503346508914E-4</v>
      </c>
      <c r="S46" s="799">
        <f t="shared" si="6"/>
        <v>-1</v>
      </c>
      <c r="T46" s="176">
        <f t="shared" si="7"/>
        <v>5</v>
      </c>
      <c r="U46" s="250">
        <f t="shared" si="21"/>
        <v>-0.99909944496653491</v>
      </c>
      <c r="V46" s="382">
        <f t="shared" si="8"/>
        <v>32.515349935920547</v>
      </c>
      <c r="W46" s="58"/>
      <c r="X46" s="157">
        <f t="shared" si="9"/>
        <v>43862</v>
      </c>
      <c r="Y46" s="383">
        <f t="shared" si="10"/>
        <v>11.956</v>
      </c>
      <c r="Z46" s="383">
        <f t="shared" si="11"/>
        <v>12.043620401401443</v>
      </c>
      <c r="AA46" s="384">
        <f t="shared" si="12"/>
        <v>12.408254294278326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2.9386397492274313E-2</v>
      </c>
      <c r="AD46" s="230">
        <f>(INDEX(Models!$BJ46:$BT46,,AH46)*(1-AF46)+INDEX(Models!$BJ46:$BT46,,AH46+1)*AF46-ERP_i)*AE46*Ramure*Pc/MaxiM</f>
        <v>4.1431125728834216E-4</v>
      </c>
      <c r="AE46" s="304">
        <f t="shared" si="14"/>
        <v>0.6</v>
      </c>
      <c r="AF46" s="177">
        <f t="shared" si="15"/>
        <v>9.0055503346508914E-4</v>
      </c>
      <c r="AG46" s="176">
        <f t="shared" si="16"/>
        <v>-1</v>
      </c>
      <c r="AH46" s="176">
        <f t="shared" si="17"/>
        <v>5</v>
      </c>
      <c r="AI46" s="224">
        <f t="shared" si="22"/>
        <v>-0.99909944496653491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28.681999999999999</v>
      </c>
      <c r="C47" s="388"/>
      <c r="D47" s="391">
        <f t="shared" si="0"/>
        <v>28.892751812073278</v>
      </c>
      <c r="E47" s="383">
        <f t="shared" si="1"/>
        <v>29.76949277752821</v>
      </c>
      <c r="F47" s="383">
        <f t="shared" si="2"/>
        <v>29.779252196304661</v>
      </c>
      <c r="G47" s="110">
        <f t="shared" si="23"/>
        <v>0.87248637006037688</v>
      </c>
      <c r="H47" s="412" t="b">
        <f>Wh_hp&gt;='2019'!Maxi_hp</f>
        <v>1</v>
      </c>
      <c r="I47" s="388">
        <f>IF(H47,Wh_hp,'2019'!Maxi_hp)</f>
        <v>29.779252196304661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7.2942796672351706E-3</v>
      </c>
      <c r="M47" s="832"/>
      <c r="N47" s="832"/>
      <c r="O47" s="48">
        <f>IF(t&lt;Tnet,'2019'!Resal+('2019'!Salim-'2019'!Resal)*(1-EXP(('2019'!Tnet-t)/('2019'!Tau_j))),Resal+(Salim-Resal)*(1-EXP((Tnet-t)/(Tau_j))))*Salcycl</f>
        <v>2.9450987694246158E-2</v>
      </c>
      <c r="P47" s="169">
        <f>(INDEX(Models!$BJ47:$BT47,,T47)*(1-R47)+INDEX(Models!$BJ47:$BT47,,T47+1)*R47-ERP_i)*Q47*Ramure*Pc/MaxiM</f>
        <v>4.0067731334515088E-4</v>
      </c>
      <c r="Q47" s="304">
        <f t="shared" si="4"/>
        <v>0.6</v>
      </c>
      <c r="R47" s="177">
        <f t="shared" si="5"/>
        <v>1.0042375987099339E-3</v>
      </c>
      <c r="S47" s="799">
        <f t="shared" si="6"/>
        <v>-1</v>
      </c>
      <c r="T47" s="176">
        <f t="shared" si="7"/>
        <v>5</v>
      </c>
      <c r="U47" s="250">
        <f t="shared" si="21"/>
        <v>-0.99899576240129007</v>
      </c>
      <c r="V47" s="382">
        <f t="shared" si="8"/>
        <v>32.871466985396182</v>
      </c>
      <c r="W47" s="58"/>
      <c r="X47" s="157">
        <f t="shared" si="9"/>
        <v>43863</v>
      </c>
      <c r="Y47" s="383">
        <f t="shared" si="10"/>
        <v>28.681999999999999</v>
      </c>
      <c r="Z47" s="383">
        <f t="shared" si="11"/>
        <v>28.892751812073278</v>
      </c>
      <c r="AA47" s="384">
        <f t="shared" si="12"/>
        <v>29.76949277752821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2.9450987694246158E-2</v>
      </c>
      <c r="AD47" s="230">
        <f>(INDEX(Models!$BJ47:$BT47,,AH47)*(1-AF47)+INDEX(Models!$BJ47:$BT47,,AH47+1)*AF47-ERP_i)*AE47*Ramure*Pc/MaxiM</f>
        <v>4.0067731334515088E-4</v>
      </c>
      <c r="AE47" s="304">
        <f t="shared" si="14"/>
        <v>0.6</v>
      </c>
      <c r="AF47" s="177">
        <f t="shared" si="15"/>
        <v>1.0042375987099339E-3</v>
      </c>
      <c r="AG47" s="176">
        <f t="shared" si="16"/>
        <v>-1</v>
      </c>
      <c r="AH47" s="176">
        <f t="shared" si="17"/>
        <v>5</v>
      </c>
      <c r="AI47" s="224">
        <f t="shared" si="22"/>
        <v>-0.99899576240129007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26.571000000000002</v>
      </c>
      <c r="C48" s="388"/>
      <c r="D48" s="391">
        <f t="shared" si="0"/>
        <v>26.766753422157734</v>
      </c>
      <c r="E48" s="383">
        <f t="shared" si="1"/>
        <v>27.580816704673769</v>
      </c>
      <c r="F48" s="383">
        <f t="shared" si="2"/>
        <v>27.588451395254136</v>
      </c>
      <c r="G48" s="110">
        <f t="shared" si="23"/>
        <v>0.79959433594381812</v>
      </c>
      <c r="H48" s="412" t="b">
        <f>Wh_hp&gt;='2019'!Maxi_hp</f>
        <v>1</v>
      </c>
      <c r="I48" s="388">
        <f>IF(H48,Wh_hp,'2019'!Maxi_hp)</f>
        <v>27.588451395254136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7.3133046458927486E-3</v>
      </c>
      <c r="M48" s="832"/>
      <c r="N48" s="832"/>
      <c r="O48" s="48">
        <f>IF(t&lt;Tnet,'2019'!Resal+('2019'!Salim-'2019'!Resal)*(1-EXP(('2019'!Tnet-t)/('2019'!Tau_j))),Resal+(Salim-Resal)*(1-EXP((Tnet-t)/(Tau_j))))*Salcycl</f>
        <v>2.9515561168211694E-2</v>
      </c>
      <c r="P48" s="169">
        <f>(INDEX(Models!$BJ48:$BT48,,T48)*(1-R48)+INDEX(Models!$BJ48:$BT48,,T48+1)*R48-ERP_i)*Q48*Ramure*Pc/MaxiM</f>
        <v>3.8767475052589991E-4</v>
      </c>
      <c r="Q48" s="304">
        <f t="shared" si="4"/>
        <v>0.6</v>
      </c>
      <c r="R48" s="177">
        <f t="shared" si="5"/>
        <v>1.112223973342874E-3</v>
      </c>
      <c r="S48" s="799">
        <f t="shared" si="6"/>
        <v>-1</v>
      </c>
      <c r="T48" s="176">
        <f t="shared" si="7"/>
        <v>5</v>
      </c>
      <c r="U48" s="250">
        <f t="shared" si="21"/>
        <v>-0.99888777602665713</v>
      </c>
      <c r="V48" s="382">
        <f t="shared" si="8"/>
        <v>33.226912960826091</v>
      </c>
      <c r="W48" s="58"/>
      <c r="X48" s="157">
        <f t="shared" si="9"/>
        <v>43864</v>
      </c>
      <c r="Y48" s="383">
        <f t="shared" si="10"/>
        <v>26.571000000000002</v>
      </c>
      <c r="Z48" s="383">
        <f t="shared" si="11"/>
        <v>26.766753422157734</v>
      </c>
      <c r="AA48" s="384">
        <f t="shared" si="12"/>
        <v>27.580816704673769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2.9515561168211694E-2</v>
      </c>
      <c r="AD48" s="230">
        <f>(INDEX(Models!$BJ48:$BT48,,AH48)*(1-AF48)+INDEX(Models!$BJ48:$BT48,,AH48+1)*AF48-ERP_i)*AE48*Ramure*Pc/MaxiM</f>
        <v>3.8767475052589991E-4</v>
      </c>
      <c r="AE48" s="304">
        <f t="shared" si="14"/>
        <v>0.6</v>
      </c>
      <c r="AF48" s="177">
        <f t="shared" si="15"/>
        <v>1.112223973342874E-3</v>
      </c>
      <c r="AG48" s="176">
        <f t="shared" si="16"/>
        <v>-1</v>
      </c>
      <c r="AH48" s="176">
        <f t="shared" si="17"/>
        <v>5</v>
      </c>
      <c r="AI48" s="224">
        <f t="shared" si="22"/>
        <v>-0.99888777602665713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18.635000000000002</v>
      </c>
      <c r="C49" s="388"/>
      <c r="D49" s="391">
        <f t="shared" si="0"/>
        <v>18.772647230575298</v>
      </c>
      <c r="E49" s="383">
        <f t="shared" si="1"/>
        <v>19.344870757397331</v>
      </c>
      <c r="F49" s="383">
        <f t="shared" si="2"/>
        <v>19.347515119040757</v>
      </c>
      <c r="G49" s="110">
        <f t="shared" si="23"/>
        <v>0.5547988147144951</v>
      </c>
      <c r="H49" s="412" t="b">
        <f>Wh_hp&gt;='2019'!Maxi_hp</f>
        <v>1</v>
      </c>
      <c r="I49" s="388">
        <f>IF(H49,Wh_hp,'2019'!Maxi_hp)</f>
        <v>19.347515119040757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7.3323292599409839E-3</v>
      </c>
      <c r="M49" s="832"/>
      <c r="N49" s="832"/>
      <c r="O49" s="48">
        <f>IF(t&lt;Tnet,'2019'!Resal+('2019'!Salim-'2019'!Resal)*(1-EXP(('2019'!Tnet-t)/('2019'!Tau_j))),Resal+(Salim-Resal)*(1-EXP((Tnet-t)/(Tau_j))))*Salcycl</f>
        <v>2.9580116300504059E-2</v>
      </c>
      <c r="P49" s="169">
        <f>(INDEX(Models!$BJ49:$BT49,,T49)*(1-R49)+INDEX(Models!$BJ49:$BT49,,T49+1)*R49-ERP_i)*Q49*Ramure*Pc/MaxiM</f>
        <v>3.7529313635611684E-4</v>
      </c>
      <c r="Q49" s="304">
        <f t="shared" si="4"/>
        <v>0.6</v>
      </c>
      <c r="R49" s="177">
        <f t="shared" si="5"/>
        <v>1.2246908127089284E-3</v>
      </c>
      <c r="S49" s="799">
        <f t="shared" si="6"/>
        <v>-1</v>
      </c>
      <c r="T49" s="176">
        <f t="shared" si="7"/>
        <v>5</v>
      </c>
      <c r="U49" s="250">
        <f t="shared" si="21"/>
        <v>-0.99877530918729107</v>
      </c>
      <c r="V49" s="382">
        <f t="shared" si="8"/>
        <v>33.580736453672174</v>
      </c>
      <c r="W49" s="58"/>
      <c r="X49" s="157">
        <f t="shared" si="9"/>
        <v>43865</v>
      </c>
      <c r="Y49" s="383">
        <f t="shared" si="10"/>
        <v>18.635000000000002</v>
      </c>
      <c r="Z49" s="383">
        <f t="shared" si="11"/>
        <v>18.772647230575298</v>
      </c>
      <c r="AA49" s="384">
        <f t="shared" si="12"/>
        <v>19.344870757397331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2.9580116300504059E-2</v>
      </c>
      <c r="AD49" s="230">
        <f>(INDEX(Models!$BJ49:$BT49,,AH49)*(1-AF49)+INDEX(Models!$BJ49:$BT49,,AH49+1)*AF49-ERP_i)*AE49*Ramure*Pc/MaxiM</f>
        <v>3.7529313635611684E-4</v>
      </c>
      <c r="AE49" s="304">
        <f t="shared" si="14"/>
        <v>0.6</v>
      </c>
      <c r="AF49" s="177">
        <f t="shared" si="15"/>
        <v>1.2246908127089284E-3</v>
      </c>
      <c r="AG49" s="176">
        <f t="shared" si="16"/>
        <v>-1</v>
      </c>
      <c r="AH49" s="176">
        <f t="shared" si="17"/>
        <v>5</v>
      </c>
      <c r="AI49" s="224">
        <f t="shared" si="22"/>
        <v>-0.99877530918729107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34.356999999999999</v>
      </c>
      <c r="C50" s="388"/>
      <c r="D50" s="391">
        <f t="shared" si="0"/>
        <v>34.611440937803053</v>
      </c>
      <c r="E50" s="383">
        <f t="shared" si="1"/>
        <v>35.668830990506336</v>
      </c>
      <c r="F50" s="383">
        <f t="shared" si="2"/>
        <v>35.681802082367859</v>
      </c>
      <c r="G50" s="110">
        <f t="shared" si="23"/>
        <v>1.0125254560803041</v>
      </c>
      <c r="H50" s="412" t="b">
        <f>Wh_hp&gt;='2019'!Maxi_hp</f>
        <v>1</v>
      </c>
      <c r="I50" s="388">
        <f>IF(H50,Wh_hp,'2019'!Maxi_hp)</f>
        <v>35.681802082367859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7.3513535093868709E-3</v>
      </c>
      <c r="M50" s="832"/>
      <c r="N50" s="832"/>
      <c r="O50" s="48">
        <f>IF(t&lt;Tnet,'2019'!Resal+('2019'!Salim-'2019'!Resal)*(1-EXP(('2019'!Tnet-t)/('2019'!Tau_j))),Resal+(Salim-Resal)*(1-EXP((Tnet-t)/(Tau_j))))*Salcycl</f>
        <v>2.9644651179757484E-2</v>
      </c>
      <c r="P50" s="169">
        <f>(INDEX(Models!$BJ50:$BT50,,T50)*(1-R50)+INDEX(Models!$BJ50:$BT50,,T50+1)*R50-ERP_i)*Q50*Ramure*Pc/MaxiM</f>
        <v>3.6352120981949333E-4</v>
      </c>
      <c r="Q50" s="304">
        <f t="shared" si="4"/>
        <v>0.6</v>
      </c>
      <c r="R50" s="177">
        <f t="shared" si="5"/>
        <v>1.3418218534897441E-3</v>
      </c>
      <c r="S50" s="799">
        <f t="shared" si="6"/>
        <v>-1</v>
      </c>
      <c r="T50" s="176">
        <f t="shared" si="7"/>
        <v>5</v>
      </c>
      <c r="U50" s="250">
        <f t="shared" si="21"/>
        <v>-0.99865817814651026</v>
      </c>
      <c r="V50" s="382">
        <f t="shared" si="8"/>
        <v>33.931986394695755</v>
      </c>
      <c r="W50" s="58"/>
      <c r="X50" s="157">
        <f t="shared" si="9"/>
        <v>43866</v>
      </c>
      <c r="Y50" s="383">
        <f t="shared" si="10"/>
        <v>34.356999999999999</v>
      </c>
      <c r="Z50" s="383">
        <f t="shared" si="11"/>
        <v>34.611440937803053</v>
      </c>
      <c r="AA50" s="384">
        <f t="shared" si="12"/>
        <v>35.668830990506336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2.9644651179757484E-2</v>
      </c>
      <c r="AD50" s="230">
        <f>(INDEX(Models!$BJ50:$BT50,,AH50)*(1-AF50)+INDEX(Models!$BJ50:$BT50,,AH50+1)*AF50-ERP_i)*AE50*Ramure*Pc/MaxiM</f>
        <v>3.6352120981949333E-4</v>
      </c>
      <c r="AE50" s="304">
        <f t="shared" si="14"/>
        <v>0.6</v>
      </c>
      <c r="AF50" s="177">
        <f t="shared" si="15"/>
        <v>1.3418218534897441E-3</v>
      </c>
      <c r="AG50" s="176">
        <f t="shared" si="16"/>
        <v>-1</v>
      </c>
      <c r="AH50" s="176">
        <f t="shared" si="17"/>
        <v>5</v>
      </c>
      <c r="AI50" s="224">
        <f t="shared" si="22"/>
        <v>-0.99865817814651026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35.697000000000003</v>
      </c>
      <c r="C51" s="388"/>
      <c r="D51" s="391">
        <f t="shared" si="0"/>
        <v>35.962053909182586</v>
      </c>
      <c r="E51" s="383">
        <f t="shared" si="1"/>
        <v>37.063169681401249</v>
      </c>
      <c r="F51" s="383">
        <f t="shared" si="2"/>
        <v>37.076232391062831</v>
      </c>
      <c r="G51" s="110">
        <f t="shared" si="23"/>
        <v>1.041265590460617</v>
      </c>
      <c r="H51" s="412" t="b">
        <f>Wh_hp&gt;='2019'!Maxi_hp</f>
        <v>1</v>
      </c>
      <c r="I51" s="388">
        <f>IF(H51,Wh_hp,'2019'!Maxi_hp)</f>
        <v>37.076232391062831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7.370377394237293E-3</v>
      </c>
      <c r="M51" s="832"/>
      <c r="N51" s="832"/>
      <c r="O51" s="48">
        <f>IF(t&lt;Tnet,'2019'!Resal+('2019'!Salim-'2019'!Resal)*(1-EXP(('2019'!Tnet-t)/('2019'!Tau_j))),Resal+(Salim-Resal)*(1-EXP((Tnet-t)/(Tau_j))))*Salcycl</f>
        <v>2.9709163616710756E-2</v>
      </c>
      <c r="P51" s="169">
        <f>(INDEX(Models!$BJ51:$BT51,,T51)*(1-R51)+INDEX(Models!$BJ51:$BT51,,T51+1)*R51-ERP_i)*Q51*Ramure*Pc/MaxiM</f>
        <v>3.5232030924293051E-4</v>
      </c>
      <c r="Q51" s="304">
        <f t="shared" si="4"/>
        <v>0.6</v>
      </c>
      <c r="R51" s="177">
        <f t="shared" si="5"/>
        <v>1.4638081830838923E-3</v>
      </c>
      <c r="S51" s="799">
        <f t="shared" si="6"/>
        <v>-1</v>
      </c>
      <c r="T51" s="176">
        <f t="shared" si="7"/>
        <v>5</v>
      </c>
      <c r="U51" s="250">
        <f t="shared" si="21"/>
        <v>-0.99853619181691611</v>
      </c>
      <c r="V51" s="382">
        <f t="shared" si="8"/>
        <v>34.282319829861066</v>
      </c>
      <c r="W51" s="58"/>
      <c r="X51" s="157">
        <f t="shared" si="9"/>
        <v>43867</v>
      </c>
      <c r="Y51" s="383">
        <f t="shared" si="10"/>
        <v>35.697000000000003</v>
      </c>
      <c r="Z51" s="383">
        <f t="shared" si="11"/>
        <v>35.962053909182586</v>
      </c>
      <c r="AA51" s="384">
        <f t="shared" si="12"/>
        <v>37.063169681401249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2.9709163616710756E-2</v>
      </c>
      <c r="AD51" s="230">
        <f>(INDEX(Models!$BJ51:$BT51,,AH51)*(1-AF51)+INDEX(Models!$BJ51:$BT51,,AH51+1)*AF51-ERP_i)*AE51*Ramure*Pc/MaxiM</f>
        <v>3.5232030924293051E-4</v>
      </c>
      <c r="AE51" s="304">
        <f t="shared" si="14"/>
        <v>0.6</v>
      </c>
      <c r="AF51" s="177">
        <f t="shared" si="15"/>
        <v>1.4638081830838923E-3</v>
      </c>
      <c r="AG51" s="176">
        <f t="shared" si="16"/>
        <v>-1</v>
      </c>
      <c r="AH51" s="176">
        <f t="shared" si="17"/>
        <v>5</v>
      </c>
      <c r="AI51" s="224">
        <f t="shared" si="22"/>
        <v>-0.99853619181691611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23.544</v>
      </c>
      <c r="C52" s="388"/>
      <c r="D52" s="391">
        <f t="shared" si="0"/>
        <v>23.719271204328525</v>
      </c>
      <c r="E52" s="383">
        <f t="shared" si="1"/>
        <v>24.447152185569919</v>
      </c>
      <c r="F52" s="383">
        <f t="shared" si="2"/>
        <v>24.451684563184926</v>
      </c>
      <c r="G52" s="110">
        <f t="shared" si="23"/>
        <v>0.679689000196949</v>
      </c>
      <c r="H52" s="412" t="b">
        <f>Wh_hp&gt;='2019'!Maxi_hp</f>
        <v>1</v>
      </c>
      <c r="I52" s="388">
        <f>IF(H52,Wh_hp,'2019'!Maxi_hp)</f>
        <v>24.451684563184926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7.3894009144993555E-3</v>
      </c>
      <c r="M52" s="832"/>
      <c r="N52" s="832"/>
      <c r="O52" s="48">
        <f>IF(t&lt;Tnet,'2019'!Resal+('2019'!Salim-'2019'!Resal)*(1-EXP(('2019'!Tnet-t)/('2019'!Tau_j))),Resal+(Salim-Resal)*(1-EXP((Tnet-t)/(Tau_j))))*Salcycl</f>
        <v>2.9773651168704653E-2</v>
      </c>
      <c r="P52" s="169">
        <f>(INDEX(Models!$BJ52:$BT52,,T52)*(1-R52)+INDEX(Models!$BJ52:$BT52,,T52+1)*R52-ERP_i)*Q52*Ramure*Pc/MaxiM</f>
        <v>3.4163771247255746E-4</v>
      </c>
      <c r="Q52" s="304">
        <f t="shared" si="4"/>
        <v>0.6</v>
      </c>
      <c r="R52" s="177">
        <f t="shared" si="5"/>
        <v>1.5908485179852994E-3</v>
      </c>
      <c r="S52" s="799">
        <f t="shared" si="6"/>
        <v>-1</v>
      </c>
      <c r="T52" s="176">
        <f t="shared" si="7"/>
        <v>5</v>
      </c>
      <c r="U52" s="250">
        <f t="shared" si="21"/>
        <v>-0.9984091514820147</v>
      </c>
      <c r="V52" s="382">
        <f t="shared" si="8"/>
        <v>34.633957473851403</v>
      </c>
      <c r="W52" s="58"/>
      <c r="X52" s="157">
        <f t="shared" si="9"/>
        <v>43868</v>
      </c>
      <c r="Y52" s="383">
        <f t="shared" si="10"/>
        <v>23.544</v>
      </c>
      <c r="Z52" s="383">
        <f t="shared" si="11"/>
        <v>23.719271204328525</v>
      </c>
      <c r="AA52" s="384">
        <f t="shared" si="12"/>
        <v>24.447152185569919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2.9773651168704653E-2</v>
      </c>
      <c r="AD52" s="230">
        <f>(INDEX(Models!$BJ52:$BT52,,AH52)*(1-AF52)+INDEX(Models!$BJ52:$BT52,,AH52+1)*AF52-ERP_i)*AE52*Ramure*Pc/MaxiM</f>
        <v>3.4163771247255746E-4</v>
      </c>
      <c r="AE52" s="304">
        <f t="shared" si="14"/>
        <v>0.6</v>
      </c>
      <c r="AF52" s="177">
        <f t="shared" si="15"/>
        <v>1.5908485179852994E-3</v>
      </c>
      <c r="AG52" s="176">
        <f t="shared" si="16"/>
        <v>-1</v>
      </c>
      <c r="AH52" s="176">
        <f t="shared" si="17"/>
        <v>5</v>
      </c>
      <c r="AI52" s="224">
        <f t="shared" si="22"/>
        <v>-0.9984091514820147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28.515000000000001</v>
      </c>
      <c r="C53" s="388"/>
      <c r="D53" s="391">
        <f t="shared" si="0"/>
        <v>28.727827931934936</v>
      </c>
      <c r="E53" s="383">
        <f t="shared" si="1"/>
        <v>29.611375444295767</v>
      </c>
      <c r="F53" s="383">
        <f t="shared" si="2"/>
        <v>29.618593127205017</v>
      </c>
      <c r="G53" s="110">
        <f t="shared" si="23"/>
        <v>0.81495026522283853</v>
      </c>
      <c r="H53" s="412" t="b">
        <f>Wh_hp&gt;='2019'!Maxi_hp</f>
        <v>1</v>
      </c>
      <c r="I53" s="388">
        <f>IF(H53,Wh_hp,'2019'!Maxi_hp)</f>
        <v>29.618593127205017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7.408424070179942E-3</v>
      </c>
      <c r="M53" s="832"/>
      <c r="N53" s="832"/>
      <c r="O53" s="48">
        <f>IF(t&lt;Tnet,'2019'!Resal+('2019'!Salim-'2019'!Resal)*(1-EXP(('2019'!Tnet-t)/('2019'!Tau_j))),Resal+(Salim-Resal)*(1-EXP((Tnet-t)/(Tau_j))))*Salcycl</f>
        <v>2.9838111168558824E-2</v>
      </c>
      <c r="P53" s="169">
        <f>(INDEX(Models!$BJ53:$BT53,,T53)*(1-R53)+INDEX(Models!$BJ53:$BT53,,T53+1)*R53-ERP_i)*Q53*Ramure*Pc/MaxiM</f>
        <v>3.3121191733755058E-4</v>
      </c>
      <c r="Q53" s="304">
        <f t="shared" si="4"/>
        <v>0.6</v>
      </c>
      <c r="R53" s="177">
        <f t="shared" si="5"/>
        <v>1.7231494913515499E-3</v>
      </c>
      <c r="S53" s="799">
        <f t="shared" si="6"/>
        <v>-1</v>
      </c>
      <c r="T53" s="176">
        <f t="shared" si="7"/>
        <v>5</v>
      </c>
      <c r="U53" s="250">
        <f t="shared" si="21"/>
        <v>-0.99827685050864845</v>
      </c>
      <c r="V53" s="382">
        <f t="shared" si="8"/>
        <v>34.986802080532158</v>
      </c>
      <c r="W53" s="58"/>
      <c r="X53" s="157">
        <f t="shared" si="9"/>
        <v>43869</v>
      </c>
      <c r="Y53" s="383">
        <f t="shared" si="10"/>
        <v>28.515000000000001</v>
      </c>
      <c r="Z53" s="383">
        <f t="shared" si="11"/>
        <v>28.727827931934936</v>
      </c>
      <c r="AA53" s="384">
        <f t="shared" si="12"/>
        <v>29.611375444295767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2.9838111168558824E-2</v>
      </c>
      <c r="AD53" s="230">
        <f>(INDEX(Models!$BJ53:$BT53,,AH53)*(1-AF53)+INDEX(Models!$BJ53:$BT53,,AH53+1)*AF53-ERP_i)*AE53*Ramure*Pc/MaxiM</f>
        <v>3.3121191733755058E-4</v>
      </c>
      <c r="AE53" s="304">
        <f t="shared" si="14"/>
        <v>0.6</v>
      </c>
      <c r="AF53" s="177">
        <f t="shared" si="15"/>
        <v>1.7231494913515499E-3</v>
      </c>
      <c r="AG53" s="176">
        <f t="shared" si="16"/>
        <v>-1</v>
      </c>
      <c r="AH53" s="176">
        <f t="shared" si="17"/>
        <v>5</v>
      </c>
      <c r="AI53" s="224">
        <f t="shared" si="22"/>
        <v>-0.99827685050864845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29.129000000000001</v>
      </c>
      <c r="C54" s="388"/>
      <c r="D54" s="391">
        <f t="shared" si="0"/>
        <v>29.346973083114428</v>
      </c>
      <c r="E54" s="383">
        <f t="shared" si="1"/>
        <v>30.251571946213701</v>
      </c>
      <c r="F54" s="383">
        <f t="shared" si="2"/>
        <v>30.258846944858497</v>
      </c>
      <c r="G54" s="110">
        <f t="shared" si="23"/>
        <v>0.82416624250162418</v>
      </c>
      <c r="H54" s="412" t="b">
        <f>Wh_hp&gt;='2019'!Maxi_hp</f>
        <v>1</v>
      </c>
      <c r="I54" s="388">
        <f>IF(H54,Wh_hp,'2019'!Maxi_hp)</f>
        <v>30.258846944858497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7.4274468612861577E-3</v>
      </c>
      <c r="M54" s="832"/>
      <c r="N54" s="832"/>
      <c r="O54" s="48">
        <f>IF(t&lt;Tnet,'2019'!Resal+('2019'!Salim-'2019'!Resal)*(1-EXP(('2019'!Tnet-t)/('2019'!Tau_j))),Resal+(Salim-Resal)*(1-EXP((Tnet-t)/(Tau_j))))*Salcycl</f>
        <v>2.9902540757472836E-2</v>
      </c>
      <c r="P54" s="169">
        <f>(INDEX(Models!$BJ54:$BT54,,T54)*(1-R54)+INDEX(Models!$BJ54:$BT54,,T54+1)*R54-ERP_i)*Q54*Ramure*Pc/MaxiM</f>
        <v>3.2103654595661945E-4</v>
      </c>
      <c r="Q54" s="304">
        <f t="shared" si="4"/>
        <v>0.6</v>
      </c>
      <c r="R54" s="177">
        <f t="shared" si="5"/>
        <v>1.8609259499426933E-3</v>
      </c>
      <c r="S54" s="799">
        <f t="shared" si="6"/>
        <v>-1</v>
      </c>
      <c r="T54" s="176">
        <f t="shared" si="7"/>
        <v>5</v>
      </c>
      <c r="U54" s="250">
        <f t="shared" si="21"/>
        <v>-0.99813907405005731</v>
      </c>
      <c r="V54" s="382">
        <f t="shared" si="8"/>
        <v>35.340747793769552</v>
      </c>
      <c r="W54" s="58"/>
      <c r="X54" s="157">
        <f t="shared" si="9"/>
        <v>43870</v>
      </c>
      <c r="Y54" s="383">
        <f t="shared" si="10"/>
        <v>29.129000000000001</v>
      </c>
      <c r="Z54" s="383">
        <f t="shared" si="11"/>
        <v>29.346973083114428</v>
      </c>
      <c r="AA54" s="384">
        <f t="shared" si="12"/>
        <v>30.251571946213701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2.9902540757472836E-2</v>
      </c>
      <c r="AD54" s="230">
        <f>(INDEX(Models!$BJ54:$BT54,,AH54)*(1-AF54)+INDEX(Models!$BJ54:$BT54,,AH54+1)*AF54-ERP_i)*AE54*Ramure*Pc/MaxiM</f>
        <v>3.2103654595661945E-4</v>
      </c>
      <c r="AE54" s="304">
        <f t="shared" si="14"/>
        <v>0.6</v>
      </c>
      <c r="AF54" s="177">
        <f t="shared" si="15"/>
        <v>1.8609259499426933E-3</v>
      </c>
      <c r="AG54" s="176">
        <f t="shared" si="16"/>
        <v>-1</v>
      </c>
      <c r="AH54" s="176">
        <f t="shared" si="17"/>
        <v>5</v>
      </c>
      <c r="AI54" s="224">
        <f t="shared" si="22"/>
        <v>-0.99813907405005731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9.157</v>
      </c>
      <c r="C55" s="388"/>
      <c r="D55" s="391">
        <f t="shared" si="0"/>
        <v>9.225698883393914</v>
      </c>
      <c r="E55" s="383">
        <f t="shared" si="1"/>
        <v>9.5107055981326898</v>
      </c>
      <c r="F55" s="383">
        <f t="shared" si="2"/>
        <v>9.5107055981326898</v>
      </c>
      <c r="G55" s="110">
        <f t="shared" si="23"/>
        <v>0.25644977070233993</v>
      </c>
      <c r="H55" s="412" t="b">
        <f>Wh_hp&gt;='2019'!Maxi_hp</f>
        <v>1</v>
      </c>
      <c r="I55" s="388">
        <f>IF(H55,Wh_hp,'2019'!Maxi_hp)</f>
        <v>9.5107055981326898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7.4464692878248862E-3</v>
      </c>
      <c r="M55" s="832"/>
      <c r="N55" s="832"/>
      <c r="O55" s="48">
        <f>IF(t&lt;Tnet,'2019'!Resal+('2019'!Salim-'2019'!Resal)*(1-EXP(('2019'!Tnet-t)/('2019'!Tau_j))),Resal+(Salim-Resal)*(1-EXP((Tnet-t)/(Tau_j))))*Salcycl</f>
        <v>2.996693692156057E-2</v>
      </c>
      <c r="P55" s="169">
        <f>(INDEX(Models!$BJ55:$BT55,,T55)*(1-R55)+INDEX(Models!$BJ55:$BT55,,T55+1)*R55-ERP_i)*Q55*Ramure*Pc/MaxiM</f>
        <v>3.1110529006724832E-4</v>
      </c>
      <c r="Q55" s="304">
        <f t="shared" si="4"/>
        <v>0.6</v>
      </c>
      <c r="R55" s="177">
        <f t="shared" si="5"/>
        <v>2.0044012606051931E-3</v>
      </c>
      <c r="S55" s="799">
        <f t="shared" si="6"/>
        <v>-1</v>
      </c>
      <c r="T55" s="176">
        <f t="shared" si="7"/>
        <v>5</v>
      </c>
      <c r="U55" s="250">
        <f t="shared" si="21"/>
        <v>-0.99799559873939481</v>
      </c>
      <c r="V55" s="382">
        <f t="shared" si="8"/>
        <v>35.695688804042788</v>
      </c>
      <c r="W55" s="58"/>
      <c r="X55" s="157">
        <f t="shared" si="9"/>
        <v>43871</v>
      </c>
      <c r="Y55" s="383">
        <f t="shared" si="10"/>
        <v>9.157</v>
      </c>
      <c r="Z55" s="383">
        <f t="shared" si="11"/>
        <v>9.225698883393914</v>
      </c>
      <c r="AA55" s="384">
        <f t="shared" si="12"/>
        <v>9.5107055981326898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2.996693692156057E-2</v>
      </c>
      <c r="AD55" s="230">
        <f>(INDEX(Models!$BJ55:$BT55,,AH55)*(1-AF55)+INDEX(Models!$BJ55:$BT55,,AH55+1)*AF55-ERP_i)*AE55*Ramure*Pc/MaxiM</f>
        <v>3.1110529006724832E-4</v>
      </c>
      <c r="AE55" s="304">
        <f t="shared" si="14"/>
        <v>0.6</v>
      </c>
      <c r="AF55" s="177">
        <f t="shared" si="15"/>
        <v>2.0044012606051931E-3</v>
      </c>
      <c r="AG55" s="176">
        <f t="shared" si="16"/>
        <v>-1</v>
      </c>
      <c r="AH55" s="176">
        <f t="shared" si="17"/>
        <v>5</v>
      </c>
      <c r="AI55" s="224">
        <f t="shared" si="22"/>
        <v>-0.99799559873939481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8.4220000000000006</v>
      </c>
      <c r="C56" s="388"/>
      <c r="D56" s="391">
        <f t="shared" si="0"/>
        <v>8.4853472867694535</v>
      </c>
      <c r="E56" s="383">
        <f t="shared" si="1"/>
        <v>8.7480629595858375</v>
      </c>
      <c r="F56" s="383">
        <f t="shared" si="2"/>
        <v>8.7480629595858375</v>
      </c>
      <c r="G56" s="110">
        <f t="shared" si="23"/>
        <v>0.2335397137532193</v>
      </c>
      <c r="H56" s="412" t="b">
        <f>Wh_hp&gt;='2019'!Maxi_hp</f>
        <v>1</v>
      </c>
      <c r="I56" s="388">
        <f>IF(H56,Wh_hp,'2019'!Maxi_hp)</f>
        <v>8.7480629595858375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7.4654913498031217E-3</v>
      </c>
      <c r="M56" s="832"/>
      <c r="N56" s="832"/>
      <c r="O56" s="48">
        <f>IF(t&lt;Tnet,'2019'!Resal+('2019'!Salim-'2019'!Resal)*(1-EXP(('2019'!Tnet-t)/('2019'!Tau_j))),Resal+(Salim-Resal)*(1-EXP((Tnet-t)/(Tau_j))))*Salcycl</f>
        <v>3.0031296531594968E-2</v>
      </c>
      <c r="P56" s="169">
        <f>(INDEX(Models!$BJ56:$BT56,,T56)*(1-R56)+INDEX(Models!$BJ56:$BT56,,T56+1)*R56-ERP_i)*Q56*Ramure*Pc/MaxiM</f>
        <v>3.0141192635839057E-4</v>
      </c>
      <c r="Q56" s="304">
        <f t="shared" si="4"/>
        <v>0.6</v>
      </c>
      <c r="R56" s="177">
        <f t="shared" si="5"/>
        <v>2.1538076264664419E-3</v>
      </c>
      <c r="S56" s="799">
        <f t="shared" si="6"/>
        <v>-1</v>
      </c>
      <c r="T56" s="176">
        <f t="shared" si="7"/>
        <v>5</v>
      </c>
      <c r="U56" s="250">
        <f t="shared" si="21"/>
        <v>-0.99784619237353356</v>
      </c>
      <c r="V56" s="382">
        <f t="shared" si="8"/>
        <v>36.05151934738187</v>
      </c>
      <c r="W56" s="58"/>
      <c r="X56" s="157">
        <f t="shared" si="9"/>
        <v>43872</v>
      </c>
      <c r="Y56" s="383">
        <f t="shared" si="10"/>
        <v>8.4220000000000006</v>
      </c>
      <c r="Z56" s="383">
        <f t="shared" si="11"/>
        <v>8.4853472867694535</v>
      </c>
      <c r="AA56" s="384">
        <f t="shared" si="12"/>
        <v>8.7480629595858375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3.0031296531594968E-2</v>
      </c>
      <c r="AD56" s="230">
        <f>(INDEX(Models!$BJ56:$BT56,,AH56)*(1-AF56)+INDEX(Models!$BJ56:$BT56,,AH56+1)*AF56-ERP_i)*AE56*Ramure*Pc/MaxiM</f>
        <v>3.0141192635839057E-4</v>
      </c>
      <c r="AE56" s="304">
        <f t="shared" si="14"/>
        <v>0.6</v>
      </c>
      <c r="AF56" s="177">
        <f t="shared" si="15"/>
        <v>2.1538076264664419E-3</v>
      </c>
      <c r="AG56" s="176">
        <f t="shared" si="16"/>
        <v>-1</v>
      </c>
      <c r="AH56" s="176">
        <f t="shared" si="17"/>
        <v>5</v>
      </c>
      <c r="AI56" s="224">
        <f t="shared" si="22"/>
        <v>-0.99784619237353356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20.038</v>
      </c>
      <c r="C57" s="388"/>
      <c r="D57" s="391">
        <f t="shared" si="0"/>
        <v>20.189105624458119</v>
      </c>
      <c r="E57" s="383">
        <f t="shared" si="1"/>
        <v>20.81556281787341</v>
      </c>
      <c r="F57" s="383">
        <f t="shared" si="2"/>
        <v>20.817736666864409</v>
      </c>
      <c r="G57" s="110">
        <f t="shared" si="23"/>
        <v>0.55026830259131687</v>
      </c>
      <c r="H57" s="412" t="b">
        <f>Wh_hp&gt;='2019'!Maxi_hp</f>
        <v>1</v>
      </c>
      <c r="I57" s="388">
        <f>IF(H57,Wh_hp,'2019'!Maxi_hp)</f>
        <v>20.817736666864409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7.4845130472278587E-3</v>
      </c>
      <c r="M57" s="832"/>
      <c r="N57" s="832"/>
      <c r="O57" s="48">
        <f>IF(t&lt;Tnet,'2019'!Resal+('2019'!Salim-'2019'!Resal)*(1-EXP(('2019'!Tnet-t)/('2019'!Tau_j))),Resal+(Salim-Resal)*(1-EXP((Tnet-t)/(Tau_j))))*Salcycl</f>
        <v>3.0095616385514206E-2</v>
      </c>
      <c r="P57" s="169">
        <f>(INDEX(Models!$BJ57:$BT57,,T57)*(1-R57)+INDEX(Models!$BJ57:$BT57,,T57+1)*R57-ERP_i)*Q57*Ramure*Pc/MaxiM</f>
        <v>2.9195032971047856E-4</v>
      </c>
      <c r="Q57" s="304">
        <f t="shared" si="4"/>
        <v>0.6</v>
      </c>
      <c r="R57" s="177">
        <f t="shared" si="5"/>
        <v>2.3093864129892783E-3</v>
      </c>
      <c r="S57" s="799">
        <f t="shared" si="6"/>
        <v>-1</v>
      </c>
      <c r="T57" s="176">
        <f t="shared" si="7"/>
        <v>5</v>
      </c>
      <c r="U57" s="250">
        <f t="shared" si="21"/>
        <v>-0.99769061358701072</v>
      </c>
      <c r="V57" s="382">
        <f t="shared" si="8"/>
        <v>36.408133703369963</v>
      </c>
      <c r="W57" s="58"/>
      <c r="X57" s="157">
        <f t="shared" si="9"/>
        <v>43873</v>
      </c>
      <c r="Y57" s="383">
        <f t="shared" si="10"/>
        <v>20.038</v>
      </c>
      <c r="Z57" s="383">
        <f t="shared" si="11"/>
        <v>20.189105624458119</v>
      </c>
      <c r="AA57" s="384">
        <f t="shared" si="12"/>
        <v>20.81556281787341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3.0095616385514206E-2</v>
      </c>
      <c r="AD57" s="230">
        <f>(INDEX(Models!$BJ57:$BT57,,AH57)*(1-AF57)+INDEX(Models!$BJ57:$BT57,,AH57+1)*AF57-ERP_i)*AE57*Ramure*Pc/MaxiM</f>
        <v>2.9195032971047856E-4</v>
      </c>
      <c r="AE57" s="304">
        <f t="shared" si="14"/>
        <v>0.6</v>
      </c>
      <c r="AF57" s="177">
        <f t="shared" si="15"/>
        <v>2.3093864129892783E-3</v>
      </c>
      <c r="AG57" s="176">
        <f t="shared" si="16"/>
        <v>-1</v>
      </c>
      <c r="AH57" s="176">
        <f t="shared" si="17"/>
        <v>5</v>
      </c>
      <c r="AI57" s="224">
        <f t="shared" si="22"/>
        <v>-0.99769061358701072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16.951000000000001</v>
      </c>
      <c r="C58" s="388"/>
      <c r="D58" s="391">
        <f t="shared" si="0"/>
        <v>17.079154019367451</v>
      </c>
      <c r="E58" s="383">
        <f t="shared" si="1"/>
        <v>17.61027812786331</v>
      </c>
      <c r="F58" s="383">
        <f t="shared" si="2"/>
        <v>17.611423187384954</v>
      </c>
      <c r="G58" s="110">
        <f t="shared" si="23"/>
        <v>0.46095778947456056</v>
      </c>
      <c r="H58" s="412" t="b">
        <f>Wh_hp&gt;='2019'!Maxi_hp</f>
        <v>1</v>
      </c>
      <c r="I58" s="388">
        <f>IF(H58,Wh_hp,'2019'!Maxi_hp)</f>
        <v>17.611423187384954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7.5035343801060916E-3</v>
      </c>
      <c r="M58" s="832"/>
      <c r="N58" s="832"/>
      <c r="O58" s="48">
        <f>IF(t&lt;Tnet,'2019'!Resal+('2019'!Salim-'2019'!Resal)*(1-EXP(('2019'!Tnet-t)/('2019'!Tau_j))),Resal+(Salim-Resal)*(1-EXP((Tnet-t)/(Tau_j))))*Salcycl</f>
        <v>3.0159893253219234E-2</v>
      </c>
      <c r="P58" s="169">
        <f>(INDEX(Models!$BJ58:$BT58,,T58)*(1-R58)+INDEX(Models!$BJ58:$BT58,,T58+1)*R58-ERP_i)*Q58*Ramure*Pc/MaxiM</f>
        <v>2.8258497008302455E-4</v>
      </c>
      <c r="Q58" s="304">
        <f t="shared" si="4"/>
        <v>0.6</v>
      </c>
      <c r="R58" s="177">
        <f t="shared" si="5"/>
        <v>2.4713884840285028E-3</v>
      </c>
      <c r="S58" s="799">
        <f t="shared" si="6"/>
        <v>-1</v>
      </c>
      <c r="T58" s="176">
        <f t="shared" si="7"/>
        <v>5</v>
      </c>
      <c r="U58" s="250">
        <f t="shared" si="21"/>
        <v>-0.9975286115159715</v>
      </c>
      <c r="V58" s="382">
        <f t="shared" si="8"/>
        <v>36.765430955871508</v>
      </c>
      <c r="W58" s="58"/>
      <c r="X58" s="157">
        <f t="shared" si="9"/>
        <v>43874</v>
      </c>
      <c r="Y58" s="383">
        <f t="shared" si="10"/>
        <v>16.951000000000001</v>
      </c>
      <c r="Z58" s="383">
        <f t="shared" si="11"/>
        <v>17.079154019367451</v>
      </c>
      <c r="AA58" s="384">
        <f t="shared" si="12"/>
        <v>17.61027812786331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3.0159893253219234E-2</v>
      </c>
      <c r="AD58" s="230">
        <f>(INDEX(Models!$BJ58:$BT58,,AH58)*(1-AF58)+INDEX(Models!$BJ58:$BT58,,AH58+1)*AF58-ERP_i)*AE58*Ramure*Pc/MaxiM</f>
        <v>2.8258497008302455E-4</v>
      </c>
      <c r="AE58" s="304">
        <f t="shared" si="14"/>
        <v>0.6</v>
      </c>
      <c r="AF58" s="177">
        <f t="shared" si="15"/>
        <v>2.4713884840285028E-3</v>
      </c>
      <c r="AG58" s="176">
        <f t="shared" si="16"/>
        <v>-1</v>
      </c>
      <c r="AH58" s="176">
        <f t="shared" si="17"/>
        <v>5</v>
      </c>
      <c r="AI58" s="224">
        <f t="shared" si="22"/>
        <v>-0.9975286115159715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30.757999999999999</v>
      </c>
      <c r="C59" s="388"/>
      <c r="D59" s="391">
        <f t="shared" si="0"/>
        <v>30.991132509614566</v>
      </c>
      <c r="E59" s="383">
        <f t="shared" si="1"/>
        <v>31.957004988603682</v>
      </c>
      <c r="F59" s="383">
        <f t="shared" si="2"/>
        <v>31.963599822298601</v>
      </c>
      <c r="G59" s="110">
        <f t="shared" si="23"/>
        <v>0.82848061874930357</v>
      </c>
      <c r="H59" s="412" t="b">
        <f>Wh_hp&gt;='2019'!Maxi_hp</f>
        <v>1</v>
      </c>
      <c r="I59" s="388">
        <f>IF(H59,Wh_hp,'2019'!Maxi_hp)</f>
        <v>31.963599822298601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7.5225553484449259E-3</v>
      </c>
      <c r="M59" s="832"/>
      <c r="N59" s="832"/>
      <c r="O59" s="48">
        <f>IF(t&lt;Tnet,'2019'!Resal+('2019'!Salim-'2019'!Resal)*(1-EXP(('2019'!Tnet-t)/('2019'!Tau_j))),Resal+(Salim-Resal)*(1-EXP((Tnet-t)/(Tau_j))))*Salcycl</f>
        <v>3.0224123923176169E-2</v>
      </c>
      <c r="P59" s="169">
        <f>(INDEX(Models!$BJ59:$BT59,,T59)*(1-R59)+INDEX(Models!$BJ59:$BT59,,T59+1)*R59-ERP_i)*Q59*Ramure*Pc/MaxiM</f>
        <v>2.7325716487016868E-4</v>
      </c>
      <c r="Q59" s="304">
        <f t="shared" si="4"/>
        <v>0.6</v>
      </c>
      <c r="R59" s="177">
        <f t="shared" si="5"/>
        <v>2.640074548010185E-3</v>
      </c>
      <c r="S59" s="799">
        <f t="shared" si="6"/>
        <v>-1</v>
      </c>
      <c r="T59" s="176">
        <f t="shared" si="7"/>
        <v>5</v>
      </c>
      <c r="U59" s="250">
        <f t="shared" si="21"/>
        <v>-0.99735992545198981</v>
      </c>
      <c r="V59" s="382">
        <f t="shared" si="8"/>
        <v>37.123307565265428</v>
      </c>
      <c r="W59" s="58"/>
      <c r="X59" s="157">
        <f t="shared" si="9"/>
        <v>43875</v>
      </c>
      <c r="Y59" s="383">
        <f t="shared" si="10"/>
        <v>30.757999999999999</v>
      </c>
      <c r="Z59" s="383">
        <f t="shared" si="11"/>
        <v>30.991132509614566</v>
      </c>
      <c r="AA59" s="384">
        <f t="shared" si="12"/>
        <v>31.957004988603682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3.0224123923176169E-2</v>
      </c>
      <c r="AD59" s="230">
        <f>(INDEX(Models!$BJ59:$BT59,,AH59)*(1-AF59)+INDEX(Models!$BJ59:$BT59,,AH59+1)*AF59-ERP_i)*AE59*Ramure*Pc/MaxiM</f>
        <v>2.7325716487016868E-4</v>
      </c>
      <c r="AE59" s="304">
        <f t="shared" si="14"/>
        <v>0.6</v>
      </c>
      <c r="AF59" s="177">
        <f t="shared" si="15"/>
        <v>2.640074548010185E-3</v>
      </c>
      <c r="AG59" s="176">
        <f t="shared" si="16"/>
        <v>-1</v>
      </c>
      <c r="AH59" s="176">
        <f t="shared" si="17"/>
        <v>5</v>
      </c>
      <c r="AI59" s="224">
        <f t="shared" si="22"/>
        <v>-0.99735992545198981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36.521000000000001</v>
      </c>
      <c r="C60" s="388"/>
      <c r="D60" s="391">
        <f t="shared" si="0"/>
        <v>36.798518824646415</v>
      </c>
      <c r="E60" s="383">
        <f t="shared" si="1"/>
        <v>37.947896291119612</v>
      </c>
      <c r="F60" s="383">
        <f t="shared" si="2"/>
        <v>37.957548920378891</v>
      </c>
      <c r="G60" s="110">
        <f t="shared" si="23"/>
        <v>0.97436049859415608</v>
      </c>
      <c r="H60" s="412" t="b">
        <f>Wh_hp&gt;='2019'!Maxi_hp</f>
        <v>1</v>
      </c>
      <c r="I60" s="388">
        <f>IF(H60,Wh_hp,'2019'!Maxi_hp)</f>
        <v>37.957548920378891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7.5415759522511339E-3</v>
      </c>
      <c r="M60" s="832"/>
      <c r="N60" s="832"/>
      <c r="O60" s="48">
        <f>IF(t&lt;Tnet,'2019'!Resal+('2019'!Salim-'2019'!Resal)*(1-EXP(('2019'!Tnet-t)/('2019'!Tau_j))),Resal+(Salim-Resal)*(1-EXP((Tnet-t)/(Tau_j))))*Salcycl</f>
        <v>3.0288305250327382E-2</v>
      </c>
      <c r="P60" s="169">
        <f>(INDEX(Models!$BJ60:$BT60,,T60)*(1-R60)+INDEX(Models!$BJ60:$BT60,,T60+1)*R60-ERP_i)*Q60*Ramure*Pc/MaxiM</f>
        <v>2.6396558962764869E-4</v>
      </c>
      <c r="Q60" s="304">
        <f t="shared" si="4"/>
        <v>0.6</v>
      </c>
      <c r="R60" s="177">
        <f t="shared" si="5"/>
        <v>2.8157155143405665E-3</v>
      </c>
      <c r="S60" s="799">
        <f t="shared" si="6"/>
        <v>-1</v>
      </c>
      <c r="T60" s="176">
        <f t="shared" si="7"/>
        <v>5</v>
      </c>
      <c r="U60" s="250">
        <f t="shared" si="21"/>
        <v>-0.99718428448565943</v>
      </c>
      <c r="V60" s="382">
        <f t="shared" si="8"/>
        <v>37.481657958783615</v>
      </c>
      <c r="W60" s="58"/>
      <c r="X60" s="157">
        <f t="shared" si="9"/>
        <v>43876</v>
      </c>
      <c r="Y60" s="383">
        <f t="shared" si="10"/>
        <v>36.521000000000001</v>
      </c>
      <c r="Z60" s="383">
        <f t="shared" si="11"/>
        <v>36.798518824646415</v>
      </c>
      <c r="AA60" s="384">
        <f t="shared" si="12"/>
        <v>37.947896291119612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3.0288305250327382E-2</v>
      </c>
      <c r="AD60" s="230">
        <f>(INDEX(Models!$BJ60:$BT60,,AH60)*(1-AF60)+INDEX(Models!$BJ60:$BT60,,AH60+1)*AF60-ERP_i)*AE60*Ramure*Pc/MaxiM</f>
        <v>2.6396558962764869E-4</v>
      </c>
      <c r="AE60" s="304">
        <f t="shared" si="14"/>
        <v>0.6</v>
      </c>
      <c r="AF60" s="177">
        <f t="shared" si="15"/>
        <v>2.8157155143405665E-3</v>
      </c>
      <c r="AG60" s="176">
        <f t="shared" si="16"/>
        <v>-1</v>
      </c>
      <c r="AH60" s="176">
        <f t="shared" si="17"/>
        <v>5</v>
      </c>
      <c r="AI60" s="224">
        <f t="shared" si="22"/>
        <v>-0.99718428448565943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21.6</v>
      </c>
      <c r="C61" s="388"/>
      <c r="D61" s="391">
        <f t="shared" si="0"/>
        <v>21.764552996495702</v>
      </c>
      <c r="E61" s="383">
        <f t="shared" si="1"/>
        <v>22.445838843154295</v>
      </c>
      <c r="F61" s="383">
        <f t="shared" si="2"/>
        <v>22.448050936605757</v>
      </c>
      <c r="G61" s="110">
        <f t="shared" si="23"/>
        <v>0.5707296919384941</v>
      </c>
      <c r="H61" s="412" t="b">
        <f>Wh_hp&gt;='2019'!Maxi_hp</f>
        <v>1</v>
      </c>
      <c r="I61" s="388">
        <f>IF(H61,Wh_hp,'2019'!Maxi_hp)</f>
        <v>22.448050936605757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7.560596191531932E-3</v>
      </c>
      <c r="M61" s="832"/>
      <c r="N61" s="832"/>
      <c r="O61" s="48">
        <f>IF(t&lt;Tnet,'2019'!Resal+('2019'!Salim-'2019'!Resal)*(1-EXP(('2019'!Tnet-t)/('2019'!Tau_j))),Resal+(Salim-Resal)*(1-EXP((Tnet-t)/(Tau_j))))*Salcycl</f>
        <v>3.0352434204809264E-2</v>
      </c>
      <c r="P61" s="169">
        <f>(INDEX(Models!$BJ61:$BT61,,T61)*(1-R61)+INDEX(Models!$BJ61:$BT61,,T61+1)*R61-ERP_i)*Q61*Ramure*Pc/MaxiM</f>
        <v>2.5470882490280831E-4</v>
      </c>
      <c r="Q61" s="304">
        <f t="shared" si="4"/>
        <v>0.6</v>
      </c>
      <c r="R61" s="177">
        <f t="shared" si="5"/>
        <v>2.9985928601287126E-3</v>
      </c>
      <c r="S61" s="799">
        <f t="shared" si="6"/>
        <v>-1</v>
      </c>
      <c r="T61" s="176">
        <f t="shared" si="7"/>
        <v>5</v>
      </c>
      <c r="U61" s="250">
        <f t="shared" si="21"/>
        <v>-0.99700140713987129</v>
      </c>
      <c r="V61" s="382">
        <f t="shared" si="8"/>
        <v>37.840376602351576</v>
      </c>
      <c r="W61" s="58"/>
      <c r="X61" s="157">
        <f t="shared" si="9"/>
        <v>43877</v>
      </c>
      <c r="Y61" s="383">
        <f t="shared" si="10"/>
        <v>21.6</v>
      </c>
      <c r="Z61" s="383">
        <f t="shared" si="11"/>
        <v>21.764552996495702</v>
      </c>
      <c r="AA61" s="384">
        <f t="shared" si="12"/>
        <v>22.445838843154295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3.0352434204809264E-2</v>
      </c>
      <c r="AD61" s="230">
        <f>(INDEX(Models!$BJ61:$BT61,,AH61)*(1-AF61)+INDEX(Models!$BJ61:$BT61,,AH61+1)*AF61-ERP_i)*AE61*Ramure*Pc/MaxiM</f>
        <v>2.5470882490280831E-4</v>
      </c>
      <c r="AE61" s="304">
        <f t="shared" si="14"/>
        <v>0.6</v>
      </c>
      <c r="AF61" s="177">
        <f t="shared" si="15"/>
        <v>2.9985928601287126E-3</v>
      </c>
      <c r="AG61" s="176">
        <f t="shared" si="16"/>
        <v>-1</v>
      </c>
      <c r="AH61" s="176">
        <f t="shared" si="17"/>
        <v>5</v>
      </c>
      <c r="AI61" s="224">
        <f t="shared" si="22"/>
        <v>-0.99700140713987129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5.7690000000000001</v>
      </c>
      <c r="C62" s="388"/>
      <c r="D62" s="391">
        <f t="shared" si="0"/>
        <v>5.8130607687975218</v>
      </c>
      <c r="E62" s="383">
        <f t="shared" si="1"/>
        <v>5.9954205246759074</v>
      </c>
      <c r="F62" s="383">
        <f t="shared" si="2"/>
        <v>5.9954205246759074</v>
      </c>
      <c r="G62" s="110">
        <f t="shared" si="23"/>
        <v>0.15098640650973319</v>
      </c>
      <c r="H62" s="412" t="b">
        <f>Wh_hp&gt;='2019'!Maxi_hp</f>
        <v>1</v>
      </c>
      <c r="I62" s="388">
        <f>IF(H62,Wh_hp,'2019'!Maxi_hp)</f>
        <v>5.9954205246759074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7.5796160662940926E-3</v>
      </c>
      <c r="M62" s="832"/>
      <c r="N62" s="832"/>
      <c r="O62" s="48">
        <f>IF(t&lt;Tnet,'2019'!Resal+('2019'!Salim-'2019'!Resal)*(1-EXP(('2019'!Tnet-t)/('2019'!Tau_j))),Resal+(Salim-Resal)*(1-EXP((Tnet-t)/(Tau_j))))*Salcycl</f>
        <v>3.0416507920975795E-2</v>
      </c>
      <c r="P62" s="169">
        <f>(INDEX(Models!$BJ62:$BT62,,T62)*(1-R62)+INDEX(Models!$BJ62:$BT62,,T62+1)*R62-ERP_i)*Q62*Ramure*Pc/MaxiM</f>
        <v>2.4548536204689229E-4</v>
      </c>
      <c r="Q62" s="304">
        <f t="shared" si="4"/>
        <v>0.6</v>
      </c>
      <c r="R62" s="177">
        <f t="shared" si="5"/>
        <v>3.1889990072849761E-3</v>
      </c>
      <c r="S62" s="799">
        <f t="shared" si="6"/>
        <v>-1</v>
      </c>
      <c r="T62" s="176">
        <f t="shared" si="7"/>
        <v>5</v>
      </c>
      <c r="U62" s="250">
        <f t="shared" si="21"/>
        <v>-0.99681100099271502</v>
      </c>
      <c r="V62" s="382">
        <f t="shared" si="8"/>
        <v>38.19935799700319</v>
      </c>
      <c r="W62" s="58"/>
      <c r="X62" s="157">
        <f t="shared" si="9"/>
        <v>43878</v>
      </c>
      <c r="Y62" s="383">
        <f t="shared" si="10"/>
        <v>5.7690000000000001</v>
      </c>
      <c r="Z62" s="383">
        <f t="shared" si="11"/>
        <v>5.8130607687975218</v>
      </c>
      <c r="AA62" s="384">
        <f t="shared" si="12"/>
        <v>5.9954205246759074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3.0416507920975795E-2</v>
      </c>
      <c r="AD62" s="230">
        <f>(INDEX(Models!$BJ62:$BT62,,AH62)*(1-AF62)+INDEX(Models!$BJ62:$BT62,,AH62+1)*AF62-ERP_i)*AE62*Ramure*Pc/MaxiM</f>
        <v>2.4548536204689229E-4</v>
      </c>
      <c r="AE62" s="304">
        <f t="shared" si="14"/>
        <v>0.6</v>
      </c>
      <c r="AF62" s="177">
        <f t="shared" si="15"/>
        <v>3.1889990072849761E-3</v>
      </c>
      <c r="AG62" s="176">
        <f t="shared" si="16"/>
        <v>-1</v>
      </c>
      <c r="AH62" s="176">
        <f t="shared" si="17"/>
        <v>5</v>
      </c>
      <c r="AI62" s="224">
        <f t="shared" si="22"/>
        <v>-0.99681100099271502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28.812999999999999</v>
      </c>
      <c r="C63" s="388"/>
      <c r="D63" s="391">
        <f t="shared" si="0"/>
        <v>29.033615866438453</v>
      </c>
      <c r="E63" s="383">
        <f t="shared" si="1"/>
        <v>29.946397754302581</v>
      </c>
      <c r="F63" s="383">
        <f t="shared" si="2"/>
        <v>29.950919629336866</v>
      </c>
      <c r="G63" s="110">
        <f t="shared" si="23"/>
        <v>0.74719047317004905</v>
      </c>
      <c r="H63" s="412" t="b">
        <f>Wh_hp&gt;='2019'!Maxi_hp</f>
        <v>1</v>
      </c>
      <c r="I63" s="388">
        <f>IF(H63,Wh_hp,'2019'!Maxi_hp)</f>
        <v>29.950919629336866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7.5986355765447211E-3</v>
      </c>
      <c r="M63" s="832"/>
      <c r="N63" s="832"/>
      <c r="O63" s="48">
        <f>IF(t&lt;Tnet,'2019'!Resal+('2019'!Salim-'2019'!Resal)*(1-EXP(('2019'!Tnet-t)/('2019'!Tau_j))),Resal+(Salim-Resal)*(1-EXP((Tnet-t)/(Tau_j))))*Salcycl</f>
        <v>3.0480523746232013E-2</v>
      </c>
      <c r="P63" s="169">
        <f>(INDEX(Models!$BJ63:$BT63,,T63)*(1-R63)+INDEX(Models!$BJ63:$BT63,,T63+1)*R63-ERP_i)*Q63*Ramure*Pc/MaxiM</f>
        <v>2.3629360669291097E-4</v>
      </c>
      <c r="Q63" s="304">
        <f t="shared" si="4"/>
        <v>0.6</v>
      </c>
      <c r="R63" s="177">
        <f t="shared" si="5"/>
        <v>3.3872377100333528E-3</v>
      </c>
      <c r="S63" s="799">
        <f t="shared" si="6"/>
        <v>-1</v>
      </c>
      <c r="T63" s="176">
        <f t="shared" si="7"/>
        <v>5</v>
      </c>
      <c r="U63" s="250">
        <f t="shared" si="21"/>
        <v>-0.99661276228996665</v>
      </c>
      <c r="V63" s="382">
        <f t="shared" si="8"/>
        <v>38.558496677795247</v>
      </c>
      <c r="W63" s="58"/>
      <c r="X63" s="157">
        <f t="shared" si="9"/>
        <v>43879</v>
      </c>
      <c r="Y63" s="383">
        <f t="shared" si="10"/>
        <v>28.812999999999999</v>
      </c>
      <c r="Z63" s="383">
        <f t="shared" si="11"/>
        <v>29.033615866438453</v>
      </c>
      <c r="AA63" s="384">
        <f t="shared" si="12"/>
        <v>29.946397754302581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3.0480523746232013E-2</v>
      </c>
      <c r="AD63" s="230">
        <f>(INDEX(Models!$BJ63:$BT63,,AH63)*(1-AF63)+INDEX(Models!$BJ63:$BT63,,AH63+1)*AF63-ERP_i)*AE63*Ramure*Pc/MaxiM</f>
        <v>2.3629360669291097E-4</v>
      </c>
      <c r="AE63" s="304">
        <f t="shared" si="14"/>
        <v>0.6</v>
      </c>
      <c r="AF63" s="177">
        <f t="shared" si="15"/>
        <v>3.3872377100333528E-3</v>
      </c>
      <c r="AG63" s="176">
        <f t="shared" si="16"/>
        <v>-1</v>
      </c>
      <c r="AH63" s="176">
        <f t="shared" si="17"/>
        <v>5</v>
      </c>
      <c r="AI63" s="224">
        <f t="shared" si="22"/>
        <v>-0.99661276228996665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26.882000000000001</v>
      </c>
      <c r="C64" s="388"/>
      <c r="D64" s="391">
        <f t="shared" si="0"/>
        <v>27.088349694972973</v>
      </c>
      <c r="E64" s="383">
        <f t="shared" si="1"/>
        <v>27.94181797542576</v>
      </c>
      <c r="F64" s="383">
        <f t="shared" si="2"/>
        <v>27.945361027693011</v>
      </c>
      <c r="G64" s="110">
        <f t="shared" si="23"/>
        <v>0.69067059374688689</v>
      </c>
      <c r="H64" s="412" t="b">
        <f>Wh_hp&gt;='2019'!Maxi_hp</f>
        <v>1</v>
      </c>
      <c r="I64" s="388">
        <f>IF(H64,Wh_hp,'2019'!Maxi_hp)</f>
        <v>27.945361027693011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7.617654722290701E-3</v>
      </c>
      <c r="M64" s="832"/>
      <c r="N64" s="832"/>
      <c r="O64" s="48">
        <f>IF(t&lt;Tnet,'2019'!Resal+('2019'!Salim-'2019'!Resal)*(1-EXP(('2019'!Tnet-t)/('2019'!Tau_j))),Resal+(Salim-Resal)*(1-EXP((Tnet-t)/(Tau_j))))*Salcycl</f>
        <v>3.0544479289192801E-2</v>
      </c>
      <c r="P64" s="169">
        <f>(INDEX(Models!$BJ64:$BT64,,T64)*(1-R64)+INDEX(Models!$BJ64:$BT64,,T64+1)*R64-ERP_i)*Q64*Ramure*Pc/MaxiM</f>
        <v>2.27131879933276E-4</v>
      </c>
      <c r="Q64" s="304">
        <f t="shared" si="4"/>
        <v>0.6</v>
      </c>
      <c r="R64" s="177">
        <f t="shared" si="5"/>
        <v>3.5936244528422812E-3</v>
      </c>
      <c r="S64" s="799">
        <f t="shared" si="6"/>
        <v>-1</v>
      </c>
      <c r="T64" s="176">
        <f t="shared" si="7"/>
        <v>5</v>
      </c>
      <c r="U64" s="250">
        <f t="shared" si="21"/>
        <v>-0.99640637554715772</v>
      </c>
      <c r="V64" s="382">
        <f t="shared" si="8"/>
        <v>38.917687210318803</v>
      </c>
      <c r="W64" s="58"/>
      <c r="X64" s="157">
        <f t="shared" si="9"/>
        <v>43880</v>
      </c>
      <c r="Y64" s="383">
        <f t="shared" si="10"/>
        <v>26.882000000000001</v>
      </c>
      <c r="Z64" s="383">
        <f t="shared" si="11"/>
        <v>27.088349694972973</v>
      </c>
      <c r="AA64" s="384">
        <f t="shared" si="12"/>
        <v>27.94181797542576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3.0544479289192801E-2</v>
      </c>
      <c r="AD64" s="230">
        <f>(INDEX(Models!$BJ64:$BT64,,AH64)*(1-AF64)+INDEX(Models!$BJ64:$BT64,,AH64+1)*AF64-ERP_i)*AE64*Ramure*Pc/MaxiM</f>
        <v>2.27131879933276E-4</v>
      </c>
      <c r="AE64" s="304">
        <f t="shared" si="14"/>
        <v>0.6</v>
      </c>
      <c r="AF64" s="177">
        <f t="shared" si="15"/>
        <v>3.5936244528422812E-3</v>
      </c>
      <c r="AG64" s="176">
        <f t="shared" si="16"/>
        <v>-1</v>
      </c>
      <c r="AH64" s="176">
        <f t="shared" si="17"/>
        <v>5</v>
      </c>
      <c r="AI64" s="224">
        <f t="shared" si="22"/>
        <v>-0.99640637554715772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39.883000000000003</v>
      </c>
      <c r="C65" s="388"/>
      <c r="D65" s="391">
        <f t="shared" si="0"/>
        <v>40.189917276373919</v>
      </c>
      <c r="E65" s="383">
        <f t="shared" si="1"/>
        <v>41.4589069421205</v>
      </c>
      <c r="F65" s="383">
        <f t="shared" si="2"/>
        <v>41.467946828147284</v>
      </c>
      <c r="G65" s="110">
        <f t="shared" si="23"/>
        <v>1.0154265973490231</v>
      </c>
      <c r="H65" s="412" t="b">
        <f>Wh_hp&gt;='2019'!Maxi_hp</f>
        <v>1</v>
      </c>
      <c r="I65" s="388">
        <f>IF(H65,Wh_hp,'2019'!Maxi_hp)</f>
        <v>41.467946828147284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7.6366735035391375E-3</v>
      </c>
      <c r="M65" s="832"/>
      <c r="N65" s="832"/>
      <c r="O65" s="48">
        <f>IF(t&lt;Tnet,'2019'!Resal+('2019'!Salim-'2019'!Resal)*(1-EXP(('2019'!Tnet-t)/('2019'!Tau_j))),Resal+(Salim-Resal)*(1-EXP((Tnet-t)/(Tau_j))))*Salcycl</f>
        <v>3.0608372466697707E-2</v>
      </c>
      <c r="P65" s="169">
        <f>(INDEX(Models!$BJ65:$BT65,,T65)*(1-R65)+INDEX(Models!$BJ65:$BT65,,T65+1)*R65-ERP_i)*Q65*Ramure*Pc/MaxiM</f>
        <v>2.179969523026115E-4</v>
      </c>
      <c r="Q65" s="304">
        <f t="shared" si="4"/>
        <v>0.6</v>
      </c>
      <c r="R65" s="177">
        <f t="shared" si="5"/>
        <v>3.8084868587525689E-3</v>
      </c>
      <c r="S65" s="799">
        <f t="shared" si="6"/>
        <v>-1</v>
      </c>
      <c r="T65" s="176">
        <f t="shared" si="7"/>
        <v>5</v>
      </c>
      <c r="U65" s="250">
        <f t="shared" si="21"/>
        <v>-0.99619151314124743</v>
      </c>
      <c r="V65" s="382">
        <f t="shared" si="8"/>
        <v>39.277088175671842</v>
      </c>
      <c r="W65" s="58"/>
      <c r="X65" s="157">
        <f t="shared" si="9"/>
        <v>43881</v>
      </c>
      <c r="Y65" s="383">
        <f t="shared" si="10"/>
        <v>39.883000000000003</v>
      </c>
      <c r="Z65" s="383">
        <f t="shared" si="11"/>
        <v>40.189917276373919</v>
      </c>
      <c r="AA65" s="384">
        <f t="shared" si="12"/>
        <v>41.4589069421205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3.0608372466697707E-2</v>
      </c>
      <c r="AD65" s="230">
        <f>(INDEX(Models!$BJ65:$BT65,,AH65)*(1-AF65)+INDEX(Models!$BJ65:$BT65,,AH65+1)*AF65-ERP_i)*AE65*Ramure*Pc/MaxiM</f>
        <v>2.179969523026115E-4</v>
      </c>
      <c r="AE65" s="304">
        <f t="shared" si="14"/>
        <v>0.6</v>
      </c>
      <c r="AF65" s="177">
        <f t="shared" si="15"/>
        <v>3.8084868587525689E-3</v>
      </c>
      <c r="AG65" s="176">
        <f t="shared" si="16"/>
        <v>-1</v>
      </c>
      <c r="AH65" s="176">
        <f t="shared" si="17"/>
        <v>5</v>
      </c>
      <c r="AI65" s="224">
        <f t="shared" si="22"/>
        <v>-0.99619151314124743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13.829000000000001</v>
      </c>
      <c r="C66" s="388"/>
      <c r="D66" s="391">
        <f t="shared" si="0"/>
        <v>13.93568732888755</v>
      </c>
      <c r="E66" s="383">
        <f t="shared" si="1"/>
        <v>14.376650861721219</v>
      </c>
      <c r="F66" s="383">
        <f t="shared" si="2"/>
        <v>14.376860709433835</v>
      </c>
      <c r="G66" s="110">
        <f t="shared" si="23"/>
        <v>0.34882403013484914</v>
      </c>
      <c r="H66" s="412" t="b">
        <f>Wh_hp&gt;='2019'!Maxi_hp</f>
        <v>1</v>
      </c>
      <c r="I66" s="388">
        <f>IF(H66,Wh_hp,'2019'!Maxi_hp)</f>
        <v>14.376860709433835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7.6556919202970253E-3</v>
      </c>
      <c r="M66" s="832"/>
      <c r="N66" s="832"/>
      <c r="O66" s="48">
        <f>IF(t&lt;Tnet,'2019'!Resal+('2019'!Salim-'2019'!Resal)*(1-EXP(('2019'!Tnet-t)/('2019'!Tau_j))),Resal+(Salim-Resal)*(1-EXP((Tnet-t)/(Tau_j))))*Salcycl</f>
        <v>3.0672201549233113E-2</v>
      </c>
      <c r="P66" s="169">
        <f>(INDEX(Models!$BJ66:$BT66,,T66)*(1-R66)+INDEX(Models!$BJ66:$BT66,,T66+1)*R66-ERP_i)*Q66*Ramure*Pc/MaxiM</f>
        <v>2.0897856755288868E-4</v>
      </c>
      <c r="Q66" s="304">
        <f t="shared" si="4"/>
        <v>0.6</v>
      </c>
      <c r="R66" s="177">
        <f t="shared" si="5"/>
        <v>4.0321651080391652E-3</v>
      </c>
      <c r="S66" s="799">
        <f t="shared" si="6"/>
        <v>-1</v>
      </c>
      <c r="T66" s="176">
        <f t="shared" si="7"/>
        <v>5</v>
      </c>
      <c r="U66" s="250">
        <f t="shared" si="21"/>
        <v>-0.99596783489196083</v>
      </c>
      <c r="V66" s="382">
        <f t="shared" si="8"/>
        <v>39.636924789352349</v>
      </c>
      <c r="W66" s="58"/>
      <c r="X66" s="157">
        <f t="shared" si="9"/>
        <v>43882</v>
      </c>
      <c r="Y66" s="383">
        <f t="shared" si="10"/>
        <v>13.829000000000001</v>
      </c>
      <c r="Z66" s="383">
        <f t="shared" si="11"/>
        <v>13.93568732888755</v>
      </c>
      <c r="AA66" s="384">
        <f t="shared" si="12"/>
        <v>14.376650861721219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3.0672201549233113E-2</v>
      </c>
      <c r="AD66" s="230">
        <f>(INDEX(Models!$BJ66:$BT66,,AH66)*(1-AF66)+INDEX(Models!$BJ66:$BT66,,AH66+1)*AF66-ERP_i)*AE66*Ramure*Pc/MaxiM</f>
        <v>2.0897856755288868E-4</v>
      </c>
      <c r="AE66" s="304">
        <f t="shared" si="14"/>
        <v>0.6</v>
      </c>
      <c r="AF66" s="177">
        <f t="shared" si="15"/>
        <v>4.0321651080391652E-3</v>
      </c>
      <c r="AG66" s="176">
        <f t="shared" si="16"/>
        <v>-1</v>
      </c>
      <c r="AH66" s="176">
        <f t="shared" si="17"/>
        <v>5</v>
      </c>
      <c r="AI66" s="224">
        <f t="shared" si="22"/>
        <v>-0.99596783489196083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38.417000000000002</v>
      </c>
      <c r="C67" s="388"/>
      <c r="D67" s="391">
        <f t="shared" si="0"/>
        <v>38.714119640081051</v>
      </c>
      <c r="E67" s="383">
        <f t="shared" si="1"/>
        <v>39.941768445212823</v>
      </c>
      <c r="F67" s="383">
        <f t="shared" si="2"/>
        <v>39.949310572645629</v>
      </c>
      <c r="G67" s="110">
        <f t="shared" si="23"/>
        <v>0.96048146736965789</v>
      </c>
      <c r="H67" s="412" t="b">
        <f>Wh_hp&gt;='2019'!Maxi_hp</f>
        <v>1</v>
      </c>
      <c r="I67" s="388">
        <f>IF(H67,Wh_hp,'2019'!Maxi_hp)</f>
        <v>39.949310572645629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7.6747099725712475E-3</v>
      </c>
      <c r="M67" s="832"/>
      <c r="N67" s="832"/>
      <c r="O67" s="48">
        <f>IF(t&lt;Tnet,'2019'!Resal+('2019'!Salim-'2019'!Resal)*(1-EXP(('2019'!Tnet-t)/('2019'!Tau_j))),Resal+(Salim-Resal)*(1-EXP((Tnet-t)/(Tau_j))))*Salcycl</f>
        <v>3.0735965204337613E-2</v>
      </c>
      <c r="P67" s="169">
        <f>(INDEX(Models!$BJ67:$BT67,,T67)*(1-R67)+INDEX(Models!$BJ67:$BT67,,T67+1)*R67-ERP_i)*Q67*Ramure*Pc/MaxiM</f>
        <v>2.0008514562419011E-4</v>
      </c>
      <c r="Q67" s="304">
        <f t="shared" si="4"/>
        <v>0.6</v>
      </c>
      <c r="R67" s="177">
        <f t="shared" si="5"/>
        <v>4.2650123671084117E-3</v>
      </c>
      <c r="S67" s="799">
        <f t="shared" si="6"/>
        <v>-1</v>
      </c>
      <c r="T67" s="176">
        <f t="shared" si="7"/>
        <v>5</v>
      </c>
      <c r="U67" s="250">
        <f t="shared" si="21"/>
        <v>-0.99573498763289159</v>
      </c>
      <c r="V67" s="382">
        <f t="shared" si="8"/>
        <v>39.99719660499327</v>
      </c>
      <c r="W67" s="58"/>
      <c r="X67" s="157">
        <f t="shared" si="9"/>
        <v>43883</v>
      </c>
      <c r="Y67" s="383">
        <f t="shared" si="10"/>
        <v>38.417000000000002</v>
      </c>
      <c r="Z67" s="383">
        <f t="shared" si="11"/>
        <v>38.714119640081051</v>
      </c>
      <c r="AA67" s="384">
        <f t="shared" si="12"/>
        <v>39.941768445212823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3.0735965204337613E-2</v>
      </c>
      <c r="AD67" s="230">
        <f>(INDEX(Models!$BJ67:$BT67,,AH67)*(1-AF67)+INDEX(Models!$BJ67:$BT67,,AH67+1)*AF67-ERP_i)*AE67*Ramure*Pc/MaxiM</f>
        <v>2.0008514562419011E-4</v>
      </c>
      <c r="AE67" s="304">
        <f t="shared" si="14"/>
        <v>0.6</v>
      </c>
      <c r="AF67" s="177">
        <f t="shared" si="15"/>
        <v>4.2650123671084117E-3</v>
      </c>
      <c r="AG67" s="176">
        <f t="shared" si="16"/>
        <v>-1</v>
      </c>
      <c r="AH67" s="176">
        <f t="shared" si="17"/>
        <v>5</v>
      </c>
      <c r="AI67" s="224">
        <f t="shared" si="22"/>
        <v>-0.99573498763289159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39.973999999999997</v>
      </c>
      <c r="C68" s="388"/>
      <c r="D68" s="391">
        <f t="shared" si="0"/>
        <v>40.283933614316929</v>
      </c>
      <c r="E68" s="383">
        <f t="shared" si="1"/>
        <v>41.564093673130344</v>
      </c>
      <c r="F68" s="383">
        <f t="shared" si="2"/>
        <v>41.571938803017574</v>
      </c>
      <c r="G68" s="110">
        <f t="shared" si="23"/>
        <v>0.99048494624725036</v>
      </c>
      <c r="H68" s="412" t="b">
        <f>Wh_hp&gt;='2019'!Maxi_hp</f>
        <v>1</v>
      </c>
      <c r="I68" s="388">
        <f>IF(H68,Wh_hp,'2019'!Maxi_hp)</f>
        <v>41.571938803017574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7.6937276603687987E-3</v>
      </c>
      <c r="M68" s="832"/>
      <c r="N68" s="832"/>
      <c r="O68" s="48">
        <f>IF(t&lt;Tnet,'2019'!Resal+('2019'!Salim-'2019'!Resal)*(1-EXP(('2019'!Tnet-t)/('2019'!Tau_j))),Resal+(Salim-Resal)*(1-EXP((Tnet-t)/(Tau_j))))*Salcycl</f>
        <v>3.0799662537595279E-2</v>
      </c>
      <c r="P68" s="169">
        <f>(INDEX(Models!$BJ68:$BT68,,T68)*(1-R68)+INDEX(Models!$BJ68:$BT68,,T68+1)*R68-ERP_i)*Q68*Ramure*Pc/MaxiM</f>
        <v>1.9131193505250932E-4</v>
      </c>
      <c r="Q68" s="304">
        <f t="shared" si="4"/>
        <v>0.6</v>
      </c>
      <c r="R68" s="177">
        <f t="shared" si="5"/>
        <v>4.5073952274863327E-3</v>
      </c>
      <c r="S68" s="799">
        <f t="shared" si="6"/>
        <v>-1</v>
      </c>
      <c r="T68" s="176">
        <f t="shared" si="7"/>
        <v>5</v>
      </c>
      <c r="U68" s="250">
        <f t="shared" si="21"/>
        <v>-0.99549260477251367</v>
      </c>
      <c r="V68" s="382">
        <f t="shared" si="8"/>
        <v>40.357903679372939</v>
      </c>
      <c r="W68" s="58"/>
      <c r="X68" s="157">
        <f t="shared" si="9"/>
        <v>43884</v>
      </c>
      <c r="Y68" s="383">
        <f t="shared" si="10"/>
        <v>39.973999999999997</v>
      </c>
      <c r="Z68" s="383">
        <f t="shared" si="11"/>
        <v>40.283933614316929</v>
      </c>
      <c r="AA68" s="384">
        <f t="shared" si="12"/>
        <v>41.564093673130344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3.0799662537595279E-2</v>
      </c>
      <c r="AD68" s="230">
        <f>(INDEX(Models!$BJ68:$BT68,,AH68)*(1-AF68)+INDEX(Models!$BJ68:$BT68,,AH68+1)*AF68-ERP_i)*AE68*Ramure*Pc/MaxiM</f>
        <v>1.9131193505250932E-4</v>
      </c>
      <c r="AE68" s="304">
        <f t="shared" si="14"/>
        <v>0.6</v>
      </c>
      <c r="AF68" s="177">
        <f t="shared" si="15"/>
        <v>4.5073952274863327E-3</v>
      </c>
      <c r="AG68" s="176">
        <f t="shared" si="16"/>
        <v>-1</v>
      </c>
      <c r="AH68" s="176">
        <f t="shared" si="17"/>
        <v>5</v>
      </c>
      <c r="AI68" s="224">
        <f t="shared" si="22"/>
        <v>-0.99549260477251367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39.926000000000002</v>
      </c>
      <c r="C69" s="388"/>
      <c r="D69" s="391">
        <f t="shared" si="0"/>
        <v>40.23633257220866</v>
      </c>
      <c r="E69" s="383">
        <f t="shared" si="1"/>
        <v>41.517705693136435</v>
      </c>
      <c r="F69" s="383">
        <f t="shared" si="2"/>
        <v>41.52507944394246</v>
      </c>
      <c r="G69" s="110">
        <f t="shared" si="23"/>
        <v>0.980518970259736</v>
      </c>
      <c r="H69" s="412" t="b">
        <f>Wh_hp&gt;='2019'!Maxi_hp</f>
        <v>1</v>
      </c>
      <c r="I69" s="388">
        <f>IF(H69,Wh_hp,'2019'!Maxi_hp)</f>
        <v>41.52507944394246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7.7127449836967843E-3</v>
      </c>
      <c r="M69" s="832"/>
      <c r="N69" s="832"/>
      <c r="O69" s="48">
        <f>IF(t&lt;Tnet,'2019'!Resal+('2019'!Salim-'2019'!Resal)*(1-EXP(('2019'!Tnet-t)/('2019'!Tau_j))),Resal+(Salim-Resal)*(1-EXP((Tnet-t)/(Tau_j))))*Salcycl</f>
        <v>3.0863293130853429E-2</v>
      </c>
      <c r="P69" s="169">
        <f>(INDEX(Models!$BJ69:$BT69,,T69)*(1-R69)+INDEX(Models!$BJ69:$BT69,,T69+1)*R69-ERP_i)*Q69*Ramure*Pc/MaxiM</f>
        <v>1.8265543856778015E-4</v>
      </c>
      <c r="Q69" s="304">
        <f t="shared" si="4"/>
        <v>0.6</v>
      </c>
      <c r="R69" s="177">
        <f t="shared" si="5"/>
        <v>4.7596941547045635E-3</v>
      </c>
      <c r="S69" s="799">
        <f t="shared" si="6"/>
        <v>-1</v>
      </c>
      <c r="T69" s="176">
        <f t="shared" si="7"/>
        <v>5</v>
      </c>
      <c r="U69" s="250">
        <f t="shared" si="21"/>
        <v>-0.99524030584529544</v>
      </c>
      <c r="V69" s="382">
        <f t="shared" si="8"/>
        <v>40.719046005943525</v>
      </c>
      <c r="W69" s="58"/>
      <c r="X69" s="157">
        <f t="shared" si="9"/>
        <v>43885</v>
      </c>
      <c r="Y69" s="383">
        <f t="shared" si="10"/>
        <v>39.926000000000002</v>
      </c>
      <c r="Z69" s="383">
        <f t="shared" si="11"/>
        <v>40.23633257220866</v>
      </c>
      <c r="AA69" s="384">
        <f t="shared" si="12"/>
        <v>41.517705693136435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3.0863293130853429E-2</v>
      </c>
      <c r="AD69" s="230">
        <f>(INDEX(Models!$BJ69:$BT69,,AH69)*(1-AF69)+INDEX(Models!$BJ69:$BT69,,AH69+1)*AF69-ERP_i)*AE69*Ramure*Pc/MaxiM</f>
        <v>1.8265543856778015E-4</v>
      </c>
      <c r="AE69" s="304">
        <f t="shared" si="14"/>
        <v>0.6</v>
      </c>
      <c r="AF69" s="177">
        <f t="shared" si="15"/>
        <v>4.7596941547045635E-3</v>
      </c>
      <c r="AG69" s="176">
        <f t="shared" si="16"/>
        <v>-1</v>
      </c>
      <c r="AH69" s="176">
        <f t="shared" si="17"/>
        <v>5</v>
      </c>
      <c r="AI69" s="224">
        <f t="shared" si="22"/>
        <v>-0.99524030584529544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16.076000000000001</v>
      </c>
      <c r="C70" s="388"/>
      <c r="D70" s="391">
        <f t="shared" si="0"/>
        <v>16.201264318882121</v>
      </c>
      <c r="E70" s="383">
        <f t="shared" si="1"/>
        <v>16.718309074194487</v>
      </c>
      <c r="F70" s="383">
        <f t="shared" si="2"/>
        <v>16.718688859203585</v>
      </c>
      <c r="G70" s="110">
        <f t="shared" si="23"/>
        <v>0.39126879558616007</v>
      </c>
      <c r="H70" s="412" t="b">
        <f>Wh_hp&gt;='2019'!Maxi_hp</f>
        <v>1</v>
      </c>
      <c r="I70" s="388">
        <f>IF(H70,Wh_hp,'2019'!Maxi_hp)</f>
        <v>16.718688859203585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7.7317619425620876E-3</v>
      </c>
      <c r="M70" s="832"/>
      <c r="N70" s="832"/>
      <c r="O70" s="48">
        <f>IF(t&lt;Tnet,'2019'!Resal+('2019'!Salim-'2019'!Resal)*(1-EXP(('2019'!Tnet-t)/('2019'!Tau_j))),Resal+(Salim-Resal)*(1-EXP((Tnet-t)/(Tau_j))))*Salcycl</f>
        <v>3.0926857077337333E-2</v>
      </c>
      <c r="P70" s="169">
        <f>(INDEX(Models!$BJ70:$BT70,,T70)*(1-R70)+INDEX(Models!$BJ70:$BT70,,T70+1)*R70-ERP_i)*Q70*Ramure*Pc/MaxiM</f>
        <v>1.7411231649585863E-4</v>
      </c>
      <c r="Q70" s="304">
        <f t="shared" si="4"/>
        <v>0.6</v>
      </c>
      <c r="R70" s="177">
        <f t="shared" si="5"/>
        <v>5.0223039468406672E-3</v>
      </c>
      <c r="S70" s="799">
        <f t="shared" si="6"/>
        <v>-1</v>
      </c>
      <c r="T70" s="176">
        <f t="shared" si="7"/>
        <v>5</v>
      </c>
      <c r="U70" s="250">
        <f t="shared" si="21"/>
        <v>-0.99497769605315933</v>
      </c>
      <c r="V70" s="382">
        <f t="shared" si="8"/>
        <v>41.080623555973617</v>
      </c>
      <c r="W70" s="58"/>
      <c r="X70" s="157">
        <f t="shared" si="9"/>
        <v>43886</v>
      </c>
      <c r="Y70" s="383">
        <f t="shared" si="10"/>
        <v>16.076000000000001</v>
      </c>
      <c r="Z70" s="383">
        <f t="shared" si="11"/>
        <v>16.201264318882121</v>
      </c>
      <c r="AA70" s="384">
        <f t="shared" si="12"/>
        <v>16.718309074194487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3.0926857077337333E-2</v>
      </c>
      <c r="AD70" s="230">
        <f>(INDEX(Models!$BJ70:$BT70,,AH70)*(1-AF70)+INDEX(Models!$BJ70:$BT70,,AH70+1)*AF70-ERP_i)*AE70*Ramure*Pc/MaxiM</f>
        <v>1.7411231649585863E-4</v>
      </c>
      <c r="AE70" s="304">
        <f t="shared" si="14"/>
        <v>0.6</v>
      </c>
      <c r="AF70" s="177">
        <f t="shared" si="15"/>
        <v>5.0223039468406672E-3</v>
      </c>
      <c r="AG70" s="176">
        <f t="shared" si="16"/>
        <v>-1</v>
      </c>
      <c r="AH70" s="176">
        <f t="shared" si="17"/>
        <v>5</v>
      </c>
      <c r="AI70" s="224">
        <f t="shared" si="22"/>
        <v>-0.99497769605315933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19.751000000000001</v>
      </c>
      <c r="C71" s="388"/>
      <c r="D71" s="391">
        <f t="shared" si="0"/>
        <v>19.905281428065027</v>
      </c>
      <c r="E71" s="383">
        <f t="shared" si="1"/>
        <v>20.541881632498828</v>
      </c>
      <c r="F71" s="383">
        <f t="shared" si="2"/>
        <v>20.542740223257699</v>
      </c>
      <c r="G71" s="110">
        <f t="shared" si="23"/>
        <v>0.47652743258737884</v>
      </c>
      <c r="H71" s="412" t="b">
        <f>Wh_hp&gt;='2019'!Maxi_hp</f>
        <v>1</v>
      </c>
      <c r="I71" s="388">
        <f>IF(H71,Wh_hp,'2019'!Maxi_hp)</f>
        <v>20.542740223257699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7.750778536971703E-3</v>
      </c>
      <c r="M71" s="832"/>
      <c r="N71" s="832"/>
      <c r="O71" s="48">
        <f>IF(t&lt;Tnet,'2019'!Resal+('2019'!Salim-'2019'!Resal)*(1-EXP(('2019'!Tnet-t)/('2019'!Tau_j))),Resal+(Salim-Resal)*(1-EXP((Tnet-t)/(Tau_j))))*Salcycl</f>
        <v>3.099035501337187E-2</v>
      </c>
      <c r="P71" s="169">
        <f>(INDEX(Models!$BJ71:$BT71,,T71)*(1-R71)+INDEX(Models!$BJ71:$BT71,,T71+1)*R71-ERP_i)*Q71*Ramure*Pc/MaxiM</f>
        <v>1.6567937003039943E-4</v>
      </c>
      <c r="Q71" s="304">
        <f t="shared" si="4"/>
        <v>0.6</v>
      </c>
      <c r="R71" s="177">
        <f t="shared" si="5"/>
        <v>5.2956342024059744E-3</v>
      </c>
      <c r="S71" s="799">
        <f t="shared" si="6"/>
        <v>-1</v>
      </c>
      <c r="T71" s="176">
        <f t="shared" si="7"/>
        <v>5</v>
      </c>
      <c r="U71" s="250">
        <f t="shared" si="21"/>
        <v>-0.99470436579759403</v>
      </c>
      <c r="V71" s="382">
        <f t="shared" si="8"/>
        <v>41.442636275887253</v>
      </c>
      <c r="W71" s="58"/>
      <c r="X71" s="157">
        <f t="shared" si="9"/>
        <v>43887</v>
      </c>
      <c r="Y71" s="383">
        <f t="shared" si="10"/>
        <v>19.751000000000001</v>
      </c>
      <c r="Z71" s="383">
        <f t="shared" si="11"/>
        <v>19.905281428065027</v>
      </c>
      <c r="AA71" s="384">
        <f t="shared" si="12"/>
        <v>20.541881632498828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3.099035501337187E-2</v>
      </c>
      <c r="AD71" s="230">
        <f>(INDEX(Models!$BJ71:$BT71,,AH71)*(1-AF71)+INDEX(Models!$BJ71:$BT71,,AH71+1)*AF71-ERP_i)*AE71*Ramure*Pc/MaxiM</f>
        <v>1.6567937003039943E-4</v>
      </c>
      <c r="AE71" s="304">
        <f t="shared" si="14"/>
        <v>0.6</v>
      </c>
      <c r="AF71" s="177">
        <f t="shared" si="15"/>
        <v>5.2956342024059744E-3</v>
      </c>
      <c r="AG71" s="176">
        <f t="shared" si="16"/>
        <v>-1</v>
      </c>
      <c r="AH71" s="176">
        <f t="shared" si="17"/>
        <v>5</v>
      </c>
      <c r="AI71" s="224">
        <f t="shared" si="22"/>
        <v>-0.99470436579759403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8.0790000000000006</v>
      </c>
      <c r="C72" s="388"/>
      <c r="D72" s="391">
        <f t="shared" si="0"/>
        <v>8.1422637180273139</v>
      </c>
      <c r="E72" s="383">
        <f t="shared" si="1"/>
        <v>8.4032153884492988</v>
      </c>
      <c r="F72" s="383">
        <f t="shared" si="2"/>
        <v>8.4032153884492988</v>
      </c>
      <c r="G72" s="110">
        <f t="shared" si="23"/>
        <v>0.19322359749902174</v>
      </c>
      <c r="H72" s="412" t="b">
        <f>Wh_hp&gt;='2019'!Maxi_hp</f>
        <v>1</v>
      </c>
      <c r="I72" s="388">
        <f>IF(H72,Wh_hp,'2019'!Maxi_hp)</f>
        <v>8.4032153884492988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7.7697947669326251E-3</v>
      </c>
      <c r="M72" s="832"/>
      <c r="N72" s="832"/>
      <c r="O72" s="48">
        <f>IF(t&lt;Tnet,'2019'!Resal+('2019'!Salim-'2019'!Resal)*(1-EXP(('2019'!Tnet-t)/('2019'!Tau_j))),Resal+(Salim-Resal)*(1-EXP((Tnet-t)/(Tau_j))))*Salcycl</f>
        <v>3.1053788146460995E-2</v>
      </c>
      <c r="P72" s="169">
        <f>(INDEX(Models!$BJ72:$BT72,,T72)*(1-R72)+INDEX(Models!$BJ72:$BT72,,T72+1)*R72-ERP_i)*Q72*Ramure*Pc/MaxiM</f>
        <v>1.5762900460074725E-4</v>
      </c>
      <c r="Q72" s="304">
        <f t="shared" si="4"/>
        <v>0.6</v>
      </c>
      <c r="R72" s="177">
        <f t="shared" si="5"/>
        <v>5.5801097972161262E-3</v>
      </c>
      <c r="S72" s="799">
        <f t="shared" si="6"/>
        <v>-1</v>
      </c>
      <c r="T72" s="176">
        <f t="shared" si="7"/>
        <v>5</v>
      </c>
      <c r="U72" s="250">
        <f t="shared" si="21"/>
        <v>-0.99441989020278387</v>
      </c>
      <c r="V72" s="382">
        <f t="shared" si="8"/>
        <v>41.805072567871669</v>
      </c>
      <c r="W72" s="58"/>
      <c r="X72" s="157">
        <f t="shared" si="9"/>
        <v>43888</v>
      </c>
      <c r="Y72" s="383">
        <f t="shared" si="10"/>
        <v>8.0790000000000006</v>
      </c>
      <c r="Z72" s="383">
        <f t="shared" si="11"/>
        <v>8.1422637180273139</v>
      </c>
      <c r="AA72" s="384">
        <f t="shared" si="12"/>
        <v>8.4032153884492988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3.1053788146460995E-2</v>
      </c>
      <c r="AD72" s="230">
        <f>(INDEX(Models!$BJ72:$BT72,,AH72)*(1-AF72)+INDEX(Models!$BJ72:$BT72,,AH72+1)*AF72-ERP_i)*AE72*Ramure*Pc/MaxiM</f>
        <v>1.5762900460074725E-4</v>
      </c>
      <c r="AE72" s="304">
        <f t="shared" si="14"/>
        <v>0.6</v>
      </c>
      <c r="AF72" s="177">
        <f t="shared" si="15"/>
        <v>5.5801097972161262E-3</v>
      </c>
      <c r="AG72" s="176">
        <f t="shared" si="16"/>
        <v>-1</v>
      </c>
      <c r="AH72" s="176">
        <f t="shared" si="17"/>
        <v>5</v>
      </c>
      <c r="AI72" s="224">
        <f t="shared" si="22"/>
        <v>-0.99441989020278387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18.189</v>
      </c>
      <c r="C73" s="388"/>
      <c r="D73" s="391">
        <f t="shared" si="0"/>
        <v>18.331782784664995</v>
      </c>
      <c r="E73" s="383">
        <f t="shared" si="1"/>
        <v>18.920536101261263</v>
      </c>
      <c r="F73" s="383">
        <f t="shared" si="2"/>
        <v>18.921068884574435</v>
      </c>
      <c r="G73" s="110">
        <f t="shared" si="23"/>
        <v>0.43129420019547743</v>
      </c>
      <c r="H73" s="412" t="b">
        <f>Wh_hp&gt;='2019'!Maxi_hp</f>
        <v>1</v>
      </c>
      <c r="I73" s="388">
        <f>IF(H73,Wh_hp,'2019'!Maxi_hp)</f>
        <v>18.921068884574435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7.788810632451848E-3</v>
      </c>
      <c r="M73" s="832"/>
      <c r="N73" s="832"/>
      <c r="O73" s="48">
        <f>IF(t&lt;Tnet,'2019'!Resal+('2019'!Salim-'2019'!Resal)*(1-EXP(('2019'!Tnet-t)/('2019'!Tau_j))),Resal+(Salim-Resal)*(1-EXP((Tnet-t)/(Tau_j))))*Salcycl</f>
        <v>3.1117158279517252E-2</v>
      </c>
      <c r="P73" s="169">
        <f>(INDEX(Models!$BJ73:$BT73,,T73)*(1-R73)+INDEX(Models!$BJ73:$BT73,,T73+1)*R73-ERP_i)*Q73*Ramure*Pc/MaxiM</f>
        <v>1.5006642475921551E-4</v>
      </c>
      <c r="Q73" s="304">
        <f t="shared" si="4"/>
        <v>0.6</v>
      </c>
      <c r="R73" s="177">
        <f t="shared" si="5"/>
        <v>5.8761713698037843E-3</v>
      </c>
      <c r="S73" s="799">
        <f t="shared" si="6"/>
        <v>-1</v>
      </c>
      <c r="T73" s="176">
        <f t="shared" si="7"/>
        <v>5</v>
      </c>
      <c r="U73" s="250">
        <f t="shared" si="21"/>
        <v>-0.99412382863019622</v>
      </c>
      <c r="V73" s="382">
        <f t="shared" si="8"/>
        <v>42.167927462706622</v>
      </c>
      <c r="W73" s="58"/>
      <c r="X73" s="157">
        <f t="shared" si="9"/>
        <v>43889</v>
      </c>
      <c r="Y73" s="383">
        <f t="shared" si="10"/>
        <v>18.189</v>
      </c>
      <c r="Z73" s="383">
        <f t="shared" si="11"/>
        <v>18.331782784664995</v>
      </c>
      <c r="AA73" s="384">
        <f t="shared" si="12"/>
        <v>18.920536101261263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3.1117158279517252E-2</v>
      </c>
      <c r="AD73" s="230">
        <f>(INDEX(Models!$BJ73:$BT73,,AH73)*(1-AF73)+INDEX(Models!$BJ73:$BT73,,AH73+1)*AF73-ERP_i)*AE73*Ramure*Pc/MaxiM</f>
        <v>1.5006642475921551E-4</v>
      </c>
      <c r="AE73" s="304">
        <f t="shared" si="14"/>
        <v>0.6</v>
      </c>
      <c r="AF73" s="177">
        <f t="shared" si="15"/>
        <v>5.8761713698037843E-3</v>
      </c>
      <c r="AG73" s="176">
        <f t="shared" si="16"/>
        <v>-1</v>
      </c>
      <c r="AH73" s="176">
        <f t="shared" si="17"/>
        <v>5</v>
      </c>
      <c r="AI73" s="224">
        <f t="shared" si="22"/>
        <v>-0.99412382863019622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15.598000000000001</v>
      </c>
      <c r="C74" s="388"/>
      <c r="D74" s="391">
        <f t="shared" si="0"/>
        <v>15.720744842419297</v>
      </c>
      <c r="E74" s="383">
        <f t="shared" si="1"/>
        <v>16.2267009700195</v>
      </c>
      <c r="F74" s="383">
        <f t="shared" si="2"/>
        <v>16.226922185785103</v>
      </c>
      <c r="G74" s="110">
        <f t="shared" si="23"/>
        <v>0.3666950880110153</v>
      </c>
      <c r="H74" s="412" t="b">
        <f>Wh_hp&gt;='2019'!Maxi_hp</f>
        <v>1</v>
      </c>
      <c r="I74" s="388">
        <f>IF(H74,Wh_hp,'2019'!Maxi_hp)</f>
        <v>16.226922185785103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7.8078261335362553E-3</v>
      </c>
      <c r="M74" s="832"/>
      <c r="N74" s="832"/>
      <c r="O74" s="48">
        <f>IF(t&lt;Tnet,'2019'!Resal+('2019'!Salim-'2019'!Resal)*(1-EXP(('2019'!Tnet-t)/('2019'!Tau_j))),Resal+(Salim-Resal)*(1-EXP((Tnet-t)/(Tau_j))))*Salcycl</f>
        <v>3.1180467831077148E-2</v>
      </c>
      <c r="P74" s="169">
        <f>(INDEX(Models!$BJ74:$BT74,,T74)*(1-R74)+INDEX(Models!$BJ74:$BT74,,T74+1)*R74-ERP_i)*Q74*Ramure*Pc/MaxiM</f>
        <v>1.4298001002509137E-4</v>
      </c>
      <c r="Q74" s="304">
        <f t="shared" si="4"/>
        <v>0.6</v>
      </c>
      <c r="R74" s="177">
        <f t="shared" si="5"/>
        <v>6.1842758148625832E-3</v>
      </c>
      <c r="S74" s="799">
        <f t="shared" si="6"/>
        <v>-1</v>
      </c>
      <c r="T74" s="176">
        <f t="shared" si="7"/>
        <v>5</v>
      </c>
      <c r="U74" s="250">
        <f t="shared" si="21"/>
        <v>-0.99381572418513742</v>
      </c>
      <c r="V74" s="382">
        <f t="shared" si="8"/>
        <v>42.531200777161303</v>
      </c>
      <c r="W74" s="58"/>
      <c r="X74" s="157">
        <f t="shared" si="9"/>
        <v>43890</v>
      </c>
      <c r="Y74" s="383">
        <f t="shared" si="10"/>
        <v>15.598000000000003</v>
      </c>
      <c r="Z74" s="383">
        <f t="shared" si="11"/>
        <v>15.720744842419299</v>
      </c>
      <c r="AA74" s="384">
        <f t="shared" si="12"/>
        <v>16.2267009700195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3.1180467831077148E-2</v>
      </c>
      <c r="AD74" s="230">
        <f>(INDEX(Models!$BJ74:$BT74,,AH74)*(1-AF74)+INDEX(Models!$BJ74:$BT74,,AH74+1)*AF74-ERP_i)*AE74*Ramure*Pc/MaxiM</f>
        <v>1.4298001002509137E-4</v>
      </c>
      <c r="AE74" s="304">
        <f t="shared" si="14"/>
        <v>0.6</v>
      </c>
      <c r="AF74" s="177">
        <f t="shared" si="15"/>
        <v>6.1842758148625832E-3</v>
      </c>
      <c r="AG74" s="176">
        <f t="shared" si="16"/>
        <v>-1</v>
      </c>
      <c r="AH74" s="176">
        <f t="shared" si="17"/>
        <v>5</v>
      </c>
      <c r="AI74" s="224">
        <f t="shared" si="22"/>
        <v>-0.99381572418513742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29.762</v>
      </c>
      <c r="C75" s="388"/>
      <c r="D75" s="391">
        <f t="shared" si="0"/>
        <v>29.996780035958341</v>
      </c>
      <c r="E75" s="383">
        <f t="shared" si="1"/>
        <v>30.964217368847923</v>
      </c>
      <c r="F75" s="383">
        <f t="shared" si="2"/>
        <v>30.966593074683484</v>
      </c>
      <c r="G75" s="110">
        <f t="shared" si="23"/>
        <v>0.69379413864993666</v>
      </c>
      <c r="H75" s="412" t="b">
        <f>Wh_hp&gt;='2019'!Maxi_hp</f>
        <v>1</v>
      </c>
      <c r="I75" s="388">
        <f>IF(H75,Wh_hp,'2019'!Maxi_hp)</f>
        <v>30.966593074683484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7.8268412701930634E-3</v>
      </c>
      <c r="M75" s="832"/>
      <c r="N75" s="832"/>
      <c r="O75" s="48">
        <f>IF(t&lt;Tnet,'2019'!Resal+('2019'!Salim-'2019'!Resal)*(1-EXP(('2019'!Tnet-t)/('2019'!Tau_j))),Resal+(Salim-Resal)*(1-EXP((Tnet-t)/(Tau_j))))*Salcycl</f>
        <v>3.1243719851381947E-2</v>
      </c>
      <c r="P75" s="169">
        <f>(INDEX(Models!$BJ75:$BT75,,T75)*(1-R75)+INDEX(Models!$BJ75:$BT75,,T75+1)*R75-ERP_i)*Q75*Ramure*Pc/MaxiM</f>
        <v>1.3635855558057541E-4</v>
      </c>
      <c r="Q75" s="304">
        <f t="shared" si="4"/>
        <v>0.6</v>
      </c>
      <c r="R75" s="177">
        <f t="shared" si="5"/>
        <v>6.5048967841241367E-3</v>
      </c>
      <c r="S75" s="799">
        <f t="shared" si="6"/>
        <v>-1</v>
      </c>
      <c r="T75" s="176">
        <f t="shared" si="7"/>
        <v>5</v>
      </c>
      <c r="U75" s="250">
        <f t="shared" si="21"/>
        <v>-0.99349510321587586</v>
      </c>
      <c r="V75" s="382">
        <f t="shared" si="8"/>
        <v>42.894892294476811</v>
      </c>
      <c r="W75" s="58"/>
      <c r="X75" s="157">
        <f t="shared" si="9"/>
        <v>43891</v>
      </c>
      <c r="Y75" s="383">
        <f t="shared" si="10"/>
        <v>29.762</v>
      </c>
      <c r="Z75" s="383">
        <f t="shared" si="11"/>
        <v>29.996780035958341</v>
      </c>
      <c r="AA75" s="384">
        <f t="shared" si="12"/>
        <v>30.964217368847923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3.1243719851381947E-2</v>
      </c>
      <c r="AD75" s="230">
        <f>(INDEX(Models!$BJ75:$BT75,,AH75)*(1-AF75)+INDEX(Models!$BJ75:$BT75,,AH75+1)*AF75-ERP_i)*AE75*Ramure*Pc/MaxiM</f>
        <v>1.3635855558057541E-4</v>
      </c>
      <c r="AE75" s="304">
        <f t="shared" si="14"/>
        <v>0.6</v>
      </c>
      <c r="AF75" s="177">
        <f t="shared" si="15"/>
        <v>6.5048967841241367E-3</v>
      </c>
      <c r="AG75" s="176">
        <f t="shared" si="16"/>
        <v>-1</v>
      </c>
      <c r="AH75" s="176">
        <f t="shared" si="17"/>
        <v>5</v>
      </c>
      <c r="AI75" s="224">
        <f t="shared" si="22"/>
        <v>-0.99349510321587586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23.271000000000001</v>
      </c>
      <c r="C76" s="388"/>
      <c r="D76" s="391">
        <f t="shared" si="0"/>
        <v>23.455024747641609</v>
      </c>
      <c r="E76" s="383">
        <f t="shared" si="1"/>
        <v>24.213061065786405</v>
      </c>
      <c r="F76" s="383">
        <f t="shared" si="2"/>
        <v>24.214132661085298</v>
      </c>
      <c r="G76" s="110">
        <f t="shared" si="23"/>
        <v>0.53789960793849623</v>
      </c>
      <c r="H76" s="412" t="b">
        <f>Wh_hp&gt;='2019'!Maxi_hp</f>
        <v>1</v>
      </c>
      <c r="I76" s="388">
        <f>IF(H76,Wh_hp,'2019'!Maxi_hp)</f>
        <v>24.214132661085298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7.8458560424290447E-3</v>
      </c>
      <c r="M76" s="832"/>
      <c r="N76" s="832"/>
      <c r="O76" s="48">
        <f>IF(t&lt;Tnet,'2019'!Resal+('2019'!Salim-'2019'!Resal)*(1-EXP(('2019'!Tnet-t)/('2019'!Tau_j))),Resal+(Salim-Resal)*(1-EXP((Tnet-t)/(Tau_j))))*Salcycl</f>
        <v>3.130691803424715E-2</v>
      </c>
      <c r="P76" s="169">
        <f>(INDEX(Models!$BJ76:$BT76,,T76)*(1-R76)+INDEX(Models!$BJ76:$BT76,,T76+1)*R76-ERP_i)*Q76*Ramure*Pc/MaxiM</f>
        <v>1.3019125321939149E-4</v>
      </c>
      <c r="Q76" s="304">
        <f t="shared" si="4"/>
        <v>0.6</v>
      </c>
      <c r="R76" s="177">
        <f t="shared" si="5"/>
        <v>6.8385251939819813E-3</v>
      </c>
      <c r="S76" s="799">
        <f t="shared" si="6"/>
        <v>-1</v>
      </c>
      <c r="T76" s="176">
        <f t="shared" si="7"/>
        <v>5</v>
      </c>
      <c r="U76" s="250">
        <f t="shared" si="21"/>
        <v>-0.99316147480601802</v>
      </c>
      <c r="V76" s="382">
        <f t="shared" si="8"/>
        <v>43.259001762478263</v>
      </c>
      <c r="W76" s="58"/>
      <c r="X76" s="157">
        <f t="shared" si="9"/>
        <v>43892</v>
      </c>
      <c r="Y76" s="383">
        <f t="shared" si="10"/>
        <v>23.271000000000001</v>
      </c>
      <c r="Z76" s="383">
        <f t="shared" si="11"/>
        <v>23.455024747641609</v>
      </c>
      <c r="AA76" s="384">
        <f t="shared" si="12"/>
        <v>24.213061065786405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3.130691803424715E-2</v>
      </c>
      <c r="AD76" s="230">
        <f>(INDEX(Models!$BJ76:$BT76,,AH76)*(1-AF76)+INDEX(Models!$BJ76:$BT76,,AH76+1)*AF76-ERP_i)*AE76*Ramure*Pc/MaxiM</f>
        <v>1.3019125321939149E-4</v>
      </c>
      <c r="AE76" s="304">
        <f t="shared" si="14"/>
        <v>0.6</v>
      </c>
      <c r="AF76" s="177">
        <f t="shared" si="15"/>
        <v>6.8385251939819813E-3</v>
      </c>
      <c r="AG76" s="176">
        <f t="shared" si="16"/>
        <v>-1</v>
      </c>
      <c r="AH76" s="176">
        <f t="shared" si="17"/>
        <v>5</v>
      </c>
      <c r="AI76" s="224">
        <f t="shared" si="22"/>
        <v>-0.99316147480601802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5.3719999999999999</v>
      </c>
      <c r="C77" s="388"/>
      <c r="D77" s="391">
        <f t="shared" si="0"/>
        <v>5.4145850096427122</v>
      </c>
      <c r="E77" s="383">
        <f t="shared" si="1"/>
        <v>5.5899418587384631</v>
      </c>
      <c r="F77" s="383">
        <f t="shared" si="2"/>
        <v>5.5899418587384631</v>
      </c>
      <c r="G77" s="110">
        <f t="shared" si="23"/>
        <v>0.12312922626852597</v>
      </c>
      <c r="H77" s="412" t="b">
        <f>Wh_hp&gt;='2019'!Maxi_hp</f>
        <v>1</v>
      </c>
      <c r="I77" s="388">
        <f>IF(H77,Wh_hp,'2019'!Maxi_hp)</f>
        <v>5.5899418587384631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7.8648704502511935E-3</v>
      </c>
      <c r="M77" s="832"/>
      <c r="N77" s="832"/>
      <c r="O77" s="48">
        <f>IF(t&lt;Tnet,'2019'!Resal+('2019'!Salim-'2019'!Resal)*(1-EXP(('2019'!Tnet-t)/('2019'!Tau_j))),Resal+(Salim-Resal)*(1-EXP((Tnet-t)/(Tau_j))))*Salcycl</f>
        <v>3.1370066724687756E-2</v>
      </c>
      <c r="P77" s="169">
        <f>(INDEX(Models!$BJ77:$BT77,,T77)*(1-R77)+INDEX(Models!$BJ77:$BT77,,T77+1)*R77-ERP_i)*Q77*Ramure*Pc/MaxiM</f>
        <v>1.244676749168943E-4</v>
      </c>
      <c r="Q77" s="304">
        <f t="shared" si="4"/>
        <v>0.6</v>
      </c>
      <c r="R77" s="177">
        <f t="shared" si="5"/>
        <v>7.1856697390803026E-3</v>
      </c>
      <c r="S77" s="799">
        <f t="shared" si="6"/>
        <v>-1</v>
      </c>
      <c r="T77" s="176">
        <f t="shared" si="7"/>
        <v>5</v>
      </c>
      <c r="U77" s="250">
        <f t="shared" si="21"/>
        <v>-0.9928143302609197</v>
      </c>
      <c r="V77" s="382">
        <f t="shared" si="8"/>
        <v>43.623528892614793</v>
      </c>
      <c r="W77" s="58"/>
      <c r="X77" s="157">
        <f t="shared" si="9"/>
        <v>43893</v>
      </c>
      <c r="Y77" s="383">
        <f t="shared" si="10"/>
        <v>5.3719999999999999</v>
      </c>
      <c r="Z77" s="383">
        <f t="shared" si="11"/>
        <v>5.4145850096427122</v>
      </c>
      <c r="AA77" s="384">
        <f t="shared" si="12"/>
        <v>5.5899418587384631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3.1370066724687756E-2</v>
      </c>
      <c r="AD77" s="230">
        <f>(INDEX(Models!$BJ77:$BT77,,AH77)*(1-AF77)+INDEX(Models!$BJ77:$BT77,,AH77+1)*AF77-ERP_i)*AE77*Ramure*Pc/MaxiM</f>
        <v>1.244676749168943E-4</v>
      </c>
      <c r="AE77" s="304">
        <f t="shared" si="14"/>
        <v>0.6</v>
      </c>
      <c r="AF77" s="177">
        <f t="shared" si="15"/>
        <v>7.1856697390803026E-3</v>
      </c>
      <c r="AG77" s="176">
        <f t="shared" si="16"/>
        <v>-1</v>
      </c>
      <c r="AH77" s="176">
        <f t="shared" si="17"/>
        <v>5</v>
      </c>
      <c r="AI77" s="224">
        <f t="shared" si="22"/>
        <v>-0.9928143302609197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8.7349999999999994</v>
      </c>
      <c r="C78" s="388"/>
      <c r="D78" s="391">
        <f t="shared" si="0"/>
        <v>8.8044129749288782</v>
      </c>
      <c r="E78" s="383">
        <f t="shared" si="1"/>
        <v>9.0901450582535439</v>
      </c>
      <c r="F78" s="383">
        <f t="shared" si="2"/>
        <v>9.0901450582535439</v>
      </c>
      <c r="G78" s="110">
        <f t="shared" si="23"/>
        <v>0.19855108203745525</v>
      </c>
      <c r="H78" s="412" t="b">
        <f>Wh_hp&gt;='2019'!Maxi_hp</f>
        <v>1</v>
      </c>
      <c r="I78" s="388">
        <f>IF(H78,Wh_hp,'2019'!Maxi_hp)</f>
        <v>9.0901450582535439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7.8838844936666153E-3</v>
      </c>
      <c r="M78" s="832"/>
      <c r="N78" s="832"/>
      <c r="O78" s="48">
        <f>IF(t&lt;Tnet,'2019'!Resal+('2019'!Salim-'2019'!Resal)*(1-EXP(('2019'!Tnet-t)/('2019'!Tau_j))),Resal+(Salim-Resal)*(1-EXP((Tnet-t)/(Tau_j))))*Salcycl</f>
        <v>3.1433170922309066E-2</v>
      </c>
      <c r="P78" s="169">
        <f>(INDEX(Models!$BJ78:$BT78,,T78)*(1-R78)+INDEX(Models!$BJ78:$BT78,,T78+1)*R78-ERP_i)*Q78*Ramure*Pc/MaxiM</f>
        <v>1.191777590080276E-4</v>
      </c>
      <c r="Q78" s="304">
        <f t="shared" si="4"/>
        <v>0.6</v>
      </c>
      <c r="R78" s="177">
        <f t="shared" si="5"/>
        <v>7.5468574109759379E-3</v>
      </c>
      <c r="S78" s="799">
        <f t="shared" si="6"/>
        <v>-1</v>
      </c>
      <c r="T78" s="176">
        <f t="shared" si="7"/>
        <v>5</v>
      </c>
      <c r="U78" s="250">
        <f t="shared" si="21"/>
        <v>-0.99245314258902406</v>
      </c>
      <c r="V78" s="382">
        <f t="shared" si="8"/>
        <v>43.988473357337149</v>
      </c>
      <c r="W78" s="58"/>
      <c r="X78" s="157">
        <f t="shared" si="9"/>
        <v>43894</v>
      </c>
      <c r="Y78" s="383">
        <f t="shared" si="10"/>
        <v>8.7349999999999994</v>
      </c>
      <c r="Z78" s="383">
        <f t="shared" si="11"/>
        <v>8.8044129749288782</v>
      </c>
      <c r="AA78" s="384">
        <f t="shared" si="12"/>
        <v>9.0901450582535439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3.1433170922309066E-2</v>
      </c>
      <c r="AD78" s="230">
        <f>(INDEX(Models!$BJ78:$BT78,,AH78)*(1-AF78)+INDEX(Models!$BJ78:$BT78,,AH78+1)*AF78-ERP_i)*AE78*Ramure*Pc/MaxiM</f>
        <v>1.191777590080276E-4</v>
      </c>
      <c r="AE78" s="304">
        <f t="shared" si="14"/>
        <v>0.6</v>
      </c>
      <c r="AF78" s="177">
        <f t="shared" si="15"/>
        <v>7.5468574109759379E-3</v>
      </c>
      <c r="AG78" s="176">
        <f t="shared" si="16"/>
        <v>-1</v>
      </c>
      <c r="AH78" s="176">
        <f t="shared" si="17"/>
        <v>5</v>
      </c>
      <c r="AI78" s="224">
        <f t="shared" si="22"/>
        <v>-0.99245314258902406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11</v>
      </c>
      <c r="C79" s="388"/>
      <c r="D79" s="391">
        <f t="shared" ref="D79:D142" si="24">Wh/(1-Ppv)</f>
        <v>11.087624366344169</v>
      </c>
      <c r="E79" s="383">
        <f t="shared" si="1"/>
        <v>11.448199564824353</v>
      </c>
      <c r="F79" s="383">
        <f t="shared" ref="F79:F142" si="25">Wh_sa/(1-Pvg*MEDIAN((-Sdif+Wh/Env_an)/Csdif,0,1))</f>
        <v>11.448199564824353</v>
      </c>
      <c r="G79" s="110">
        <f t="shared" si="23"/>
        <v>0.24797087617757202</v>
      </c>
      <c r="H79" s="412" t="b">
        <f>Wh_hp&gt;='2019'!Maxi_hp</f>
        <v>1</v>
      </c>
      <c r="I79" s="388">
        <f>IF(H79,Wh_hp,'2019'!Maxi_hp)</f>
        <v>11.448199564824353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7.9028981726823044E-3</v>
      </c>
      <c r="M79" s="832"/>
      <c r="N79" s="832"/>
      <c r="O79" s="48">
        <f>IF(t&lt;Tnet,'2019'!Resal+('2019'!Salim-'2019'!Resal)*(1-EXP(('2019'!Tnet-t)/('2019'!Tau_j))),Resal+(Salim-Resal)*(1-EXP((Tnet-t)/(Tau_j))))*Salcycl</f>
        <v>3.1496236280513908E-2</v>
      </c>
      <c r="P79" s="169">
        <f>(INDEX(Models!$BJ79:$BT79,,T79)*(1-R79)+INDEX(Models!$BJ79:$BT79,,T79+1)*R79-ERP_i)*Q79*Ramure*Pc/MaxiM</f>
        <v>1.1430885457729766E-4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7.9226340208740087E-3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-0.99207736597912599</v>
      </c>
      <c r="V79" s="382">
        <f t="shared" ref="V79:V142" si="32">MaxiM*(1-Ppv)*(1-Pvg)*(1-Psa)</f>
        <v>44.35497737534083</v>
      </c>
      <c r="W79" s="58"/>
      <c r="X79" s="157">
        <f t="shared" ref="X79:X142" si="33">t</f>
        <v>43895</v>
      </c>
      <c r="Y79" s="383">
        <f t="shared" ref="Y79:Y142" si="34">Wh_pvt_s*(1-Ppv)</f>
        <v>11</v>
      </c>
      <c r="Z79" s="383">
        <f t="shared" ref="Z79:Z142" si="35">Wh_sa_s*(1-Psa_s)</f>
        <v>11.087624366344169</v>
      </c>
      <c r="AA79" s="384">
        <f t="shared" ref="AA79:AA142" si="36">Wh_hp*(1-Pvg_s*MEDIAN((-Sdif+Wh/Env_an)/Csdif,0,1))</f>
        <v>11.448199564824353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3.1496236280513908E-2</v>
      </c>
      <c r="AD79" s="230">
        <f>(INDEX(Models!$BJ79:$BT79,,AH79)*(1-AF79)+INDEX(Models!$BJ79:$BT79,,AH79+1)*AF79-ERP_i)*AE79*Ramure*Pc/MaxiM</f>
        <v>1.1430885457729766E-4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7.9226340208740087E-3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-0.99207736597912599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21.175000000000001</v>
      </c>
      <c r="C80" s="388"/>
      <c r="D80" s="391">
        <f t="shared" si="24"/>
        <v>21.344085959750576</v>
      </c>
      <c r="E80" s="383">
        <f t="shared" ref="E80:E143" si="46">Wh_pvt/(1-Psa)</f>
        <v>22.039640918397282</v>
      </c>
      <c r="F80" s="383">
        <f t="shared" si="25"/>
        <v>22.040240976103327</v>
      </c>
      <c r="G80" s="110">
        <f t="shared" ref="G80:G143" si="47">+Wh_hp/MaxiM</f>
        <v>0.47342210647840954</v>
      </c>
      <c r="H80" s="412" t="b">
        <f>Wh_hp&gt;='2019'!Maxi_hp</f>
        <v>1</v>
      </c>
      <c r="I80" s="388">
        <f>IF(H80,Wh_hp,'2019'!Maxi_hp)</f>
        <v>22.040240976103327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7.9219114873050334E-3</v>
      </c>
      <c r="M80" s="832"/>
      <c r="N80" s="832"/>
      <c r="O80" s="48">
        <f>IF(t&lt;Tnet,'2019'!Resal+('2019'!Salim-'2019'!Resal)*(1-EXP(('2019'!Tnet-t)/('2019'!Tau_j))),Resal+(Salim-Resal)*(1-EXP((Tnet-t)/(Tau_j))))*Salcycl</f>
        <v>3.1559269101616903E-2</v>
      </c>
      <c r="P80" s="169">
        <f>(INDEX(Models!$BJ80:$BT80,,T80)*(1-R80)+INDEX(Models!$BJ80:$BT80,,T80+1)*R80-ERP_i)*Q80*Ramure*Pc/MaxiM</f>
        <v>1.0986826922958607E-4</v>
      </c>
      <c r="Q80" s="304">
        <f t="shared" si="27"/>
        <v>0.6</v>
      </c>
      <c r="R80" s="177">
        <f t="shared" si="28"/>
        <v>8.3135647253096412E-3</v>
      </c>
      <c r="S80" s="799">
        <f t="shared" si="29"/>
        <v>-1</v>
      </c>
      <c r="T80" s="176">
        <f t="shared" si="30"/>
        <v>5</v>
      </c>
      <c r="U80" s="250">
        <f t="shared" si="31"/>
        <v>-0.99168643527469036</v>
      </c>
      <c r="V80" s="382">
        <f t="shared" si="32"/>
        <v>44.723830389537241</v>
      </c>
      <c r="W80" s="58"/>
      <c r="X80" s="157">
        <f t="shared" si="33"/>
        <v>43896</v>
      </c>
      <c r="Y80" s="383">
        <f t="shared" si="34"/>
        <v>21.175000000000001</v>
      </c>
      <c r="Z80" s="383">
        <f t="shared" si="35"/>
        <v>21.344085959750576</v>
      </c>
      <c r="AA80" s="384">
        <f t="shared" si="36"/>
        <v>22.039640918397282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3.1559269101616903E-2</v>
      </c>
      <c r="AD80" s="230">
        <f>(INDEX(Models!$BJ80:$BT80,,AH80)*(1-AF80)+INDEX(Models!$BJ80:$BT80,,AH80+1)*AF80-ERP_i)*AE80*Ramure*Pc/MaxiM</f>
        <v>1.0986826922958607E-4</v>
      </c>
      <c r="AE80" s="304">
        <f t="shared" si="38"/>
        <v>0.6</v>
      </c>
      <c r="AF80" s="177">
        <f t="shared" si="39"/>
        <v>8.3135647253096412E-3</v>
      </c>
      <c r="AG80" s="176">
        <f t="shared" si="40"/>
        <v>-1</v>
      </c>
      <c r="AH80" s="176">
        <f t="shared" si="41"/>
        <v>5</v>
      </c>
      <c r="AI80" s="224">
        <f t="shared" si="42"/>
        <v>-0.99168643527469036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27.581</v>
      </c>
      <c r="C81" s="388"/>
      <c r="D81" s="391">
        <f t="shared" si="24"/>
        <v>27.801771768846198</v>
      </c>
      <c r="E81" s="383">
        <f t="shared" si="46"/>
        <v>28.709635805565856</v>
      </c>
      <c r="F81" s="383">
        <f t="shared" si="25"/>
        <v>28.71098765149868</v>
      </c>
      <c r="G81" s="110">
        <f t="shared" si="47"/>
        <v>0.6115906948595603</v>
      </c>
      <c r="H81" s="412" t="b">
        <f>Wh_hp&gt;='2019'!Maxi_hp</f>
        <v>1</v>
      </c>
      <c r="I81" s="388">
        <f>IF(H81,Wh_hp,'2019'!Maxi_hp)</f>
        <v>28.71098765149868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7.9409244375420185E-3</v>
      </c>
      <c r="M81" s="832"/>
      <c r="N81" s="832"/>
      <c r="O81" s="48">
        <f>IF(t&lt;Tnet,'2019'!Resal+('2019'!Salim-'2019'!Resal)*(1-EXP(('2019'!Tnet-t)/('2019'!Tau_j))),Resal+(Salim-Resal)*(1-EXP((Tnet-t)/(Tau_j))))*Salcycl</f>
        <v>3.1622276327993443E-2</v>
      </c>
      <c r="P81" s="169">
        <f>(INDEX(Models!$BJ81:$BT81,,T81)*(1-R81)+INDEX(Models!$BJ81:$BT81,,T81+1)*R81-ERP_i)*Q81*Ramure*Pc/MaxiM</f>
        <v>1.057651532444653E-4</v>
      </c>
      <c r="Q81" s="304">
        <f t="shared" si="27"/>
        <v>0.6</v>
      </c>
      <c r="R81" s="177">
        <f t="shared" si="28"/>
        <v>8.7202345535196679E-3</v>
      </c>
      <c r="S81" s="799">
        <f t="shared" si="29"/>
        <v>-1</v>
      </c>
      <c r="T81" s="176">
        <f t="shared" si="30"/>
        <v>5</v>
      </c>
      <c r="U81" s="250">
        <f t="shared" si="31"/>
        <v>-0.99127976544648033</v>
      </c>
      <c r="V81" s="382">
        <f t="shared" si="32"/>
        <v>45.09450795736349</v>
      </c>
      <c r="W81" s="58"/>
      <c r="X81" s="157">
        <f t="shared" si="33"/>
        <v>43897</v>
      </c>
      <c r="Y81" s="383">
        <f t="shared" si="34"/>
        <v>27.581</v>
      </c>
      <c r="Z81" s="383">
        <f t="shared" si="35"/>
        <v>27.801771768846198</v>
      </c>
      <c r="AA81" s="384">
        <f t="shared" si="36"/>
        <v>28.709635805565856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3.1622276327993443E-2</v>
      </c>
      <c r="AD81" s="230">
        <f>(INDEX(Models!$BJ81:$BT81,,AH81)*(1-AF81)+INDEX(Models!$BJ81:$BT81,,AH81+1)*AF81-ERP_i)*AE81*Ramure*Pc/MaxiM</f>
        <v>1.057651532444653E-4</v>
      </c>
      <c r="AE81" s="304">
        <f t="shared" si="38"/>
        <v>0.6</v>
      </c>
      <c r="AF81" s="177">
        <f t="shared" si="39"/>
        <v>8.7202345535196679E-3</v>
      </c>
      <c r="AG81" s="176">
        <f t="shared" si="40"/>
        <v>-1</v>
      </c>
      <c r="AH81" s="176">
        <f t="shared" si="41"/>
        <v>5</v>
      </c>
      <c r="AI81" s="224">
        <f t="shared" si="42"/>
        <v>-0.99127976544648033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32.066000000000003</v>
      </c>
      <c r="C82" s="388"/>
      <c r="D82" s="391">
        <f t="shared" si="24"/>
        <v>32.323291363643619</v>
      </c>
      <c r="E82" s="383">
        <f t="shared" si="46"/>
        <v>33.380976466619984</v>
      </c>
      <c r="F82" s="383">
        <f t="shared" si="25"/>
        <v>33.382947719665616</v>
      </c>
      <c r="G82" s="110">
        <f t="shared" si="47"/>
        <v>0.70523650491552958</v>
      </c>
      <c r="H82" s="412" t="b">
        <f>Wh_hp&gt;='2019'!Maxi_hp</f>
        <v>1</v>
      </c>
      <c r="I82" s="388">
        <f>IF(H82,Wh_hp,'2019'!Maxi_hp)</f>
        <v>33.382947719665616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7.9599370234001432E-3</v>
      </c>
      <c r="M82" s="832"/>
      <c r="N82" s="832"/>
      <c r="O82" s="48">
        <f>IF(t&lt;Tnet,'2019'!Resal+('2019'!Salim-'2019'!Resal)*(1-EXP(('2019'!Tnet-t)/('2019'!Tau_j))),Resal+(Salim-Resal)*(1-EXP((Tnet-t)/(Tau_j))))*Salcycl</f>
        <v>3.1685265529425737E-2</v>
      </c>
      <c r="P82" s="169">
        <f>(INDEX(Models!$BJ82:$BT82,,T82)*(1-R82)+INDEX(Models!$BJ82:$BT82,,T82+1)*R82-ERP_i)*Q82*Ramure*Pc/MaxiM</f>
        <v>1.0199402115478085E-4</v>
      </c>
      <c r="Q82" s="304">
        <f t="shared" si="27"/>
        <v>0.6</v>
      </c>
      <c r="R82" s="177">
        <f t="shared" si="28"/>
        <v>9.1432489351066515E-3</v>
      </c>
      <c r="S82" s="799">
        <f t="shared" si="29"/>
        <v>-1</v>
      </c>
      <c r="T82" s="176">
        <f t="shared" si="30"/>
        <v>5</v>
      </c>
      <c r="U82" s="250">
        <f t="shared" si="31"/>
        <v>-0.99085675106489335</v>
      </c>
      <c r="V82" s="382">
        <f t="shared" si="32"/>
        <v>45.466482013600306</v>
      </c>
      <c r="W82" s="58"/>
      <c r="X82" s="157">
        <f t="shared" si="33"/>
        <v>43898</v>
      </c>
      <c r="Y82" s="383">
        <f t="shared" si="34"/>
        <v>32.066000000000003</v>
      </c>
      <c r="Z82" s="383">
        <f t="shared" si="35"/>
        <v>32.323291363643619</v>
      </c>
      <c r="AA82" s="384">
        <f t="shared" si="36"/>
        <v>33.380976466619984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3.1685265529425737E-2</v>
      </c>
      <c r="AD82" s="230">
        <f>(INDEX(Models!$BJ82:$BT82,,AH82)*(1-AF82)+INDEX(Models!$BJ82:$BT82,,AH82+1)*AF82-ERP_i)*AE82*Ramure*Pc/MaxiM</f>
        <v>1.0199402115478085E-4</v>
      </c>
      <c r="AE82" s="304">
        <f t="shared" si="38"/>
        <v>0.6</v>
      </c>
      <c r="AF82" s="177">
        <f t="shared" si="39"/>
        <v>9.1432489351066515E-3</v>
      </c>
      <c r="AG82" s="176">
        <f t="shared" si="40"/>
        <v>-1</v>
      </c>
      <c r="AH82" s="176">
        <f t="shared" si="41"/>
        <v>5</v>
      </c>
      <c r="AI82" s="224">
        <f t="shared" si="42"/>
        <v>-0.99085675106489335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26.501000000000001</v>
      </c>
      <c r="C83" s="388"/>
      <c r="D83" s="391">
        <f t="shared" si="24"/>
        <v>26.71415085378257</v>
      </c>
      <c r="E83" s="383">
        <f t="shared" si="46"/>
        <v>27.590087715008032</v>
      </c>
      <c r="F83" s="383">
        <f t="shared" si="25"/>
        <v>27.591168085810995</v>
      </c>
      <c r="G83" s="110">
        <f t="shared" si="47"/>
        <v>0.57809498699560935</v>
      </c>
      <c r="H83" s="412" t="b">
        <f>Wh_hp&gt;='2019'!Maxi_hp</f>
        <v>1</v>
      </c>
      <c r="I83" s="388">
        <f>IF(H83,Wh_hp,'2019'!Maxi_hp)</f>
        <v>27.591168085810995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7.9789492448864019E-3</v>
      </c>
      <c r="M83" s="832"/>
      <c r="N83" s="832"/>
      <c r="O83" s="48">
        <f>IF(t&lt;Tnet,'2019'!Resal+('2019'!Salim-'2019'!Resal)*(1-EXP(('2019'!Tnet-t)/('2019'!Tau_j))),Resal+(Salim-Resal)*(1-EXP((Tnet-t)/(Tau_j))))*Salcycl</f>
        <v>3.1748244886839715E-2</v>
      </c>
      <c r="P83" s="169">
        <f>(INDEX(Models!$BJ83:$BT83,,T83)*(1-R83)+INDEX(Models!$BJ83:$BT83,,T83+1)*R83-ERP_i)*Q83*Ramure*Pc/MaxiM</f>
        <v>9.8549405753879939E-5</v>
      </c>
      <c r="Q83" s="304">
        <f t="shared" si="27"/>
        <v>0.6</v>
      </c>
      <c r="R83" s="177">
        <f t="shared" si="28"/>
        <v>9.5832342264433601E-3</v>
      </c>
      <c r="S83" s="799">
        <f t="shared" si="29"/>
        <v>-1</v>
      </c>
      <c r="T83" s="176">
        <f t="shared" si="30"/>
        <v>5</v>
      </c>
      <c r="U83" s="250">
        <f t="shared" si="31"/>
        <v>-0.99041676577355664</v>
      </c>
      <c r="V83" s="382">
        <f t="shared" si="32"/>
        <v>45.839224626439417</v>
      </c>
      <c r="W83" s="58"/>
      <c r="X83" s="157">
        <f t="shared" si="33"/>
        <v>43899</v>
      </c>
      <c r="Y83" s="383">
        <f t="shared" si="34"/>
        <v>26.501000000000001</v>
      </c>
      <c r="Z83" s="383">
        <f t="shared" si="35"/>
        <v>26.71415085378257</v>
      </c>
      <c r="AA83" s="384">
        <f t="shared" si="36"/>
        <v>27.590087715008032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3.1748244886839715E-2</v>
      </c>
      <c r="AD83" s="230">
        <f>(INDEX(Models!$BJ83:$BT83,,AH83)*(1-AF83)+INDEX(Models!$BJ83:$BT83,,AH83+1)*AF83-ERP_i)*AE83*Ramure*Pc/MaxiM</f>
        <v>9.8549405753879939E-5</v>
      </c>
      <c r="AE83" s="304">
        <f t="shared" si="38"/>
        <v>0.6</v>
      </c>
      <c r="AF83" s="177">
        <f t="shared" si="39"/>
        <v>9.5832342264433601E-3</v>
      </c>
      <c r="AG83" s="176">
        <f t="shared" si="40"/>
        <v>-1</v>
      </c>
      <c r="AH83" s="176">
        <f t="shared" si="41"/>
        <v>5</v>
      </c>
      <c r="AI83" s="224">
        <f t="shared" si="42"/>
        <v>-0.99041676577355664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32.311999999999998</v>
      </c>
      <c r="C84" s="388"/>
      <c r="D84" s="391">
        <f t="shared" si="24"/>
        <v>32.572513697547599</v>
      </c>
      <c r="E84" s="383">
        <f t="shared" si="46"/>
        <v>33.642730092662681</v>
      </c>
      <c r="F84" s="383">
        <f t="shared" si="25"/>
        <v>33.644561072825525</v>
      </c>
      <c r="G84" s="110">
        <f t="shared" si="47"/>
        <v>0.6991805063392259</v>
      </c>
      <c r="H84" s="412" t="b">
        <f>Wh_hp&gt;='2019'!Maxi_hp</f>
        <v>1</v>
      </c>
      <c r="I84" s="388">
        <f>IF(H84,Wh_hp,'2019'!Maxi_hp)</f>
        <v>33.644561072825525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7.997961102007678E-3</v>
      </c>
      <c r="M84" s="832"/>
      <c r="N84" s="832"/>
      <c r="O84" s="48">
        <f>IF(t&lt;Tnet,'2019'!Resal+('2019'!Salim-'2019'!Resal)*(1-EXP(('2019'!Tnet-t)/('2019'!Tau_j))),Resal+(Salim-Resal)*(1-EXP((Tnet-t)/(Tau_j))))*Salcycl</f>
        <v>3.181122317265489E-2</v>
      </c>
      <c r="P84" s="169">
        <f>(INDEX(Models!$BJ84:$BT84,,T84)*(1-R84)+INDEX(Models!$BJ84:$BT84,,T84+1)*R84-ERP_i)*Q84*Ramure*Pc/MaxiM</f>
        <v>9.5425906477073473E-5</v>
      </c>
      <c r="Q84" s="304">
        <f t="shared" si="27"/>
        <v>0.6</v>
      </c>
      <c r="R84" s="177">
        <f t="shared" si="28"/>
        <v>1.0040838234108174E-2</v>
      </c>
      <c r="S84" s="799">
        <f t="shared" si="29"/>
        <v>-1</v>
      </c>
      <c r="T84" s="176">
        <f t="shared" si="30"/>
        <v>5</v>
      </c>
      <c r="U84" s="250">
        <f t="shared" si="31"/>
        <v>-0.98995916176589183</v>
      </c>
      <c r="V84" s="382">
        <f t="shared" si="32"/>
        <v>46.212207997121773</v>
      </c>
      <c r="W84" s="58"/>
      <c r="X84" s="157">
        <f t="shared" si="33"/>
        <v>43900</v>
      </c>
      <c r="Y84" s="383">
        <f t="shared" si="34"/>
        <v>32.311999999999998</v>
      </c>
      <c r="Z84" s="383">
        <f t="shared" si="35"/>
        <v>32.572513697547599</v>
      </c>
      <c r="AA84" s="384">
        <f t="shared" si="36"/>
        <v>33.642730092662681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3.181122317265489E-2</v>
      </c>
      <c r="AD84" s="230">
        <f>(INDEX(Models!$BJ84:$BT84,,AH84)*(1-AF84)+INDEX(Models!$BJ84:$BT84,,AH84+1)*AF84-ERP_i)*AE84*Ramure*Pc/MaxiM</f>
        <v>9.5425906477073473E-5</v>
      </c>
      <c r="AE84" s="304">
        <f t="shared" si="38"/>
        <v>0.6</v>
      </c>
      <c r="AF84" s="177">
        <f t="shared" si="39"/>
        <v>1.0040838234108174E-2</v>
      </c>
      <c r="AG84" s="176">
        <f t="shared" si="40"/>
        <v>-1</v>
      </c>
      <c r="AH84" s="176">
        <f t="shared" si="41"/>
        <v>5</v>
      </c>
      <c r="AI84" s="224">
        <f t="shared" si="42"/>
        <v>-0.98995916176589183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41.677999999999997</v>
      </c>
      <c r="C85" s="388"/>
      <c r="D85" s="391">
        <f t="shared" si="24"/>
        <v>42.014831754751768</v>
      </c>
      <c r="E85" s="383">
        <f t="shared" si="46"/>
        <v>43.398112287605947</v>
      </c>
      <c r="F85" s="383">
        <f t="shared" si="25"/>
        <v>43.401527185164618</v>
      </c>
      <c r="G85" s="110">
        <f t="shared" si="47"/>
        <v>0.89465503006954028</v>
      </c>
      <c r="H85" s="412" t="b">
        <f>Wh_hp&gt;='2019'!Maxi_hp</f>
        <v>1</v>
      </c>
      <c r="I85" s="388">
        <f>IF(H85,Wh_hp,'2019'!Maxi_hp)</f>
        <v>43.401527185164618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8.0169725947711878E-3</v>
      </c>
      <c r="M85" s="832"/>
      <c r="N85" s="832"/>
      <c r="O85" s="48">
        <f>IF(t&lt;Tnet,'2019'!Resal+('2019'!Salim-'2019'!Resal)*(1-EXP(('2019'!Tnet-t)/('2019'!Tau_j))),Resal+(Salim-Resal)*(1-EXP((Tnet-t)/(Tau_j))))*Salcycl</f>
        <v>3.1874209727993812E-2</v>
      </c>
      <c r="P85" s="169">
        <f>(INDEX(Models!$BJ85:$BT85,,T85)*(1-R85)+INDEX(Models!$BJ85:$BT85,,T85+1)*R85-ERP_i)*Q85*Ramure*Pc/MaxiM</f>
        <v>9.2618235933517691E-5</v>
      </c>
      <c r="Q85" s="304">
        <f t="shared" si="27"/>
        <v>0.6</v>
      </c>
      <c r="R85" s="177">
        <f t="shared" si="28"/>
        <v>1.0516730733463486E-2</v>
      </c>
      <c r="S85" s="799">
        <f t="shared" si="29"/>
        <v>-1</v>
      </c>
      <c r="T85" s="176">
        <f t="shared" si="30"/>
        <v>5</v>
      </c>
      <c r="U85" s="250">
        <f t="shared" si="31"/>
        <v>-0.98948326926653651</v>
      </c>
      <c r="V85" s="382">
        <f t="shared" si="32"/>
        <v>46.584904458716039</v>
      </c>
      <c r="W85" s="58"/>
      <c r="X85" s="157">
        <f t="shared" si="33"/>
        <v>43901</v>
      </c>
      <c r="Y85" s="383">
        <f t="shared" si="34"/>
        <v>41.677999999999997</v>
      </c>
      <c r="Z85" s="383">
        <f t="shared" si="35"/>
        <v>42.014831754751768</v>
      </c>
      <c r="AA85" s="384">
        <f t="shared" si="36"/>
        <v>43.398112287605947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3.1874209727993812E-2</v>
      </c>
      <c r="AD85" s="230">
        <f>(INDEX(Models!$BJ85:$BT85,,AH85)*(1-AF85)+INDEX(Models!$BJ85:$BT85,,AH85+1)*AF85-ERP_i)*AE85*Ramure*Pc/MaxiM</f>
        <v>9.2618235933517691E-5</v>
      </c>
      <c r="AE85" s="304">
        <f t="shared" si="38"/>
        <v>0.6</v>
      </c>
      <c r="AF85" s="177">
        <f t="shared" si="39"/>
        <v>1.0516730733463486E-2</v>
      </c>
      <c r="AG85" s="176">
        <f t="shared" si="40"/>
        <v>-1</v>
      </c>
      <c r="AH85" s="176">
        <f t="shared" si="41"/>
        <v>5</v>
      </c>
      <c r="AI85" s="224">
        <f t="shared" si="42"/>
        <v>-0.98948326926653651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16.687000000000001</v>
      </c>
      <c r="C86" s="388"/>
      <c r="D86" s="391">
        <f t="shared" si="24"/>
        <v>16.82218278706528</v>
      </c>
      <c r="E86" s="383">
        <f t="shared" si="46"/>
        <v>17.377160901069303</v>
      </c>
      <c r="F86" s="383">
        <f t="shared" si="25"/>
        <v>17.377284775492466</v>
      </c>
      <c r="G86" s="110">
        <f t="shared" si="47"/>
        <v>0.35533979947681105</v>
      </c>
      <c r="H86" s="412" t="b">
        <f>Wh_hp&gt;='2019'!Maxi_hp</f>
        <v>0</v>
      </c>
      <c r="I86" s="388">
        <f>IF(H86,Wh_hp,'2019'!Maxi_hp)</f>
        <v>27.973421127248677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8.0359837231837039E-3</v>
      </c>
      <c r="M86" s="832"/>
      <c r="N86" s="832"/>
      <c r="O86" s="48">
        <f>IF(t&lt;Tnet,'2019'!Resal+('2019'!Salim-'2019'!Resal)*(1-EXP(('2019'!Tnet-t)/('2019'!Tau_j))),Resal+(Salim-Resal)*(1-EXP((Tnet-t)/(Tau_j))))*Salcycl</f>
        <v>3.193721443701851E-2</v>
      </c>
      <c r="P86" s="169">
        <f>(INDEX(Models!$BJ86:$BT86,,T86)*(1-R86)+INDEX(Models!$BJ86:$BT86,,T86+1)*R86-ERP_i)*Q86*Ramure*Pc/MaxiM</f>
        <v>9.0121578474028065E-5</v>
      </c>
      <c r="Q86" s="304">
        <f t="shared" si="27"/>
        <v>0.6</v>
      </c>
      <c r="R86" s="177">
        <f t="shared" si="28"/>
        <v>1.1011603980309204E-2</v>
      </c>
      <c r="S86" s="799">
        <f t="shared" si="29"/>
        <v>-1</v>
      </c>
      <c r="T86" s="176">
        <f t="shared" si="30"/>
        <v>5</v>
      </c>
      <c r="U86" s="250">
        <f t="shared" si="31"/>
        <v>-0.9889883960196908</v>
      </c>
      <c r="V86" s="382">
        <f t="shared" si="32"/>
        <v>46.956786460805112</v>
      </c>
      <c r="W86" s="58"/>
      <c r="X86" s="157">
        <f t="shared" si="33"/>
        <v>43902</v>
      </c>
      <c r="Y86" s="383">
        <f t="shared" si="34"/>
        <v>16.687000000000001</v>
      </c>
      <c r="Z86" s="383">
        <f t="shared" si="35"/>
        <v>16.82218278706528</v>
      </c>
      <c r="AA86" s="384">
        <f t="shared" si="36"/>
        <v>17.377160901069303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3.193721443701851E-2</v>
      </c>
      <c r="AD86" s="230">
        <f>(INDEX(Models!$BJ86:$BT86,,AH86)*(1-AF86)+INDEX(Models!$BJ86:$BT86,,AH86+1)*AF86-ERP_i)*AE86*Ramure*Pc/MaxiM</f>
        <v>9.0121578474028065E-5</v>
      </c>
      <c r="AE86" s="304">
        <f t="shared" si="38"/>
        <v>0.6</v>
      </c>
      <c r="AF86" s="177">
        <f t="shared" si="39"/>
        <v>1.1011603980309204E-2</v>
      </c>
      <c r="AG86" s="176">
        <f t="shared" si="40"/>
        <v>-1</v>
      </c>
      <c r="AH86" s="176">
        <f t="shared" si="41"/>
        <v>5</v>
      </c>
      <c r="AI86" s="224">
        <f t="shared" si="42"/>
        <v>-0.9889883960196908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40.29</v>
      </c>
      <c r="C87" s="388"/>
      <c r="D87" s="391">
        <f t="shared" si="24"/>
        <v>40.617171089211382</v>
      </c>
      <c r="E87" s="383">
        <f t="shared" si="46"/>
        <v>41.959898225849898</v>
      </c>
      <c r="F87" s="383">
        <f t="shared" si="25"/>
        <v>41.9627960937136</v>
      </c>
      <c r="G87" s="110">
        <f t="shared" si="47"/>
        <v>0.85128914837645253</v>
      </c>
      <c r="H87" s="412" t="b">
        <f>Wh_hp&gt;='2019'!Maxi_hp</f>
        <v>1</v>
      </c>
      <c r="I87" s="388">
        <f>IF(H87,Wh_hp,'2019'!Maxi_hp)</f>
        <v>41.9627960937136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8.0549944872523316E-3</v>
      </c>
      <c r="M87" s="832"/>
      <c r="N87" s="832"/>
      <c r="O87" s="48">
        <f>IF(t&lt;Tnet,'2019'!Resal+('2019'!Salim-'2019'!Resal)*(1-EXP(('2019'!Tnet-t)/('2019'!Tau_j))),Resal+(Salim-Resal)*(1-EXP((Tnet-t)/(Tau_j))))*Salcycl</f>
        <v>3.2000247698677924E-2</v>
      </c>
      <c r="P87" s="169">
        <f>(INDEX(Models!$BJ87:$BT87,,T87)*(1-R87)+INDEX(Models!$BJ87:$BT87,,T87+1)*R87-ERP_i)*Q87*Ramure*Pc/MaxiM</f>
        <v>8.7683981985159834E-5</v>
      </c>
      <c r="Q87" s="304">
        <f t="shared" si="27"/>
        <v>0.6</v>
      </c>
      <c r="R87" s="177">
        <f t="shared" si="28"/>
        <v>1.1526173213346924E-2</v>
      </c>
      <c r="S87" s="799">
        <f t="shared" si="29"/>
        <v>-1</v>
      </c>
      <c r="T87" s="176">
        <f t="shared" si="30"/>
        <v>5</v>
      </c>
      <c r="U87" s="250">
        <f t="shared" si="31"/>
        <v>-0.98847382678665308</v>
      </c>
      <c r="V87" s="382">
        <f t="shared" si="32"/>
        <v>47.327338290690186</v>
      </c>
      <c r="W87" s="58"/>
      <c r="X87" s="157">
        <f t="shared" si="33"/>
        <v>43903</v>
      </c>
      <c r="Y87" s="383">
        <f t="shared" si="34"/>
        <v>40.29</v>
      </c>
      <c r="Z87" s="383">
        <f t="shared" si="35"/>
        <v>40.617171089211382</v>
      </c>
      <c r="AA87" s="384">
        <f t="shared" si="36"/>
        <v>41.959898225849898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3.2000247698677924E-2</v>
      </c>
      <c r="AD87" s="230">
        <f>(INDEX(Models!$BJ87:$BT87,,AH87)*(1-AF87)+INDEX(Models!$BJ87:$BT87,,AH87+1)*AF87-ERP_i)*AE87*Ramure*Pc/MaxiM</f>
        <v>8.7683981985159834E-5</v>
      </c>
      <c r="AE87" s="304">
        <f t="shared" si="38"/>
        <v>0.6</v>
      </c>
      <c r="AF87" s="177">
        <f t="shared" si="39"/>
        <v>1.1526173213346924E-2</v>
      </c>
      <c r="AG87" s="176">
        <f t="shared" si="40"/>
        <v>-1</v>
      </c>
      <c r="AH87" s="176">
        <f t="shared" si="41"/>
        <v>5</v>
      </c>
      <c r="AI87" s="224">
        <f t="shared" si="42"/>
        <v>-0.98847382678665308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32.552999999999997</v>
      </c>
      <c r="C88" s="388"/>
      <c r="D88" s="391">
        <f t="shared" si="24"/>
        <v>32.817972470104529</v>
      </c>
      <c r="E88" s="383">
        <f t="shared" si="46"/>
        <v>33.905081976577719</v>
      </c>
      <c r="F88" s="383">
        <f t="shared" si="25"/>
        <v>33.906662518762403</v>
      </c>
      <c r="G88" s="110">
        <f t="shared" si="47"/>
        <v>0.68248318729107815</v>
      </c>
      <c r="H88" s="412" t="b">
        <f>Wh_hp&gt;='2019'!Maxi_hp</f>
        <v>1</v>
      </c>
      <c r="I88" s="388">
        <f>IF(H88,Wh_hp,'2019'!Maxi_hp)</f>
        <v>33.906662518762403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8.0740048869839542E-3</v>
      </c>
      <c r="M88" s="832"/>
      <c r="N88" s="832"/>
      <c r="O88" s="48">
        <f>IF(t&lt;Tnet,'2019'!Resal+('2019'!Salim-'2019'!Resal)*(1-EXP(('2019'!Tnet-t)/('2019'!Tau_j))),Resal+(Salim-Resal)*(1-EXP((Tnet-t)/(Tau_j))))*Salcycl</f>
        <v>3.2063320396163247E-2</v>
      </c>
      <c r="P88" s="169">
        <f>(INDEX(Models!$BJ88:$BT88,,T88)*(1-R88)+INDEX(Models!$BJ88:$BT88,,T88+1)*R88-ERP_i)*Q88*Ramure*Pc/MaxiM</f>
        <v>8.530544520425688E-5</v>
      </c>
      <c r="Q88" s="304">
        <f t="shared" si="27"/>
        <v>0.6</v>
      </c>
      <c r="R88" s="177">
        <f t="shared" si="28"/>
        <v>1.2061177144978452E-2</v>
      </c>
      <c r="S88" s="799">
        <f t="shared" si="29"/>
        <v>-1</v>
      </c>
      <c r="T88" s="176">
        <f t="shared" si="30"/>
        <v>5</v>
      </c>
      <c r="U88" s="250">
        <f t="shared" si="31"/>
        <v>-0.98793882285502155</v>
      </c>
      <c r="V88" s="382">
        <f t="shared" si="32"/>
        <v>47.696032724577016</v>
      </c>
      <c r="W88" s="58"/>
      <c r="X88" s="157">
        <f t="shared" si="33"/>
        <v>43904</v>
      </c>
      <c r="Y88" s="383">
        <f t="shared" si="34"/>
        <v>32.552999999999997</v>
      </c>
      <c r="Z88" s="383">
        <f t="shared" si="35"/>
        <v>32.817972470104529</v>
      </c>
      <c r="AA88" s="384">
        <f t="shared" si="36"/>
        <v>33.905081976577719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3.2063320396163247E-2</v>
      </c>
      <c r="AD88" s="230">
        <f>(INDEX(Models!$BJ88:$BT88,,AH88)*(1-AF88)+INDEX(Models!$BJ88:$BT88,,AH88+1)*AF88-ERP_i)*AE88*Ramure*Pc/MaxiM</f>
        <v>8.530544520425688E-5</v>
      </c>
      <c r="AE88" s="304">
        <f t="shared" si="38"/>
        <v>0.6</v>
      </c>
      <c r="AF88" s="177">
        <f t="shared" si="39"/>
        <v>1.2061177144978452E-2</v>
      </c>
      <c r="AG88" s="176">
        <f t="shared" si="40"/>
        <v>-1</v>
      </c>
      <c r="AH88" s="176">
        <f t="shared" si="41"/>
        <v>5</v>
      </c>
      <c r="AI88" s="224">
        <f t="shared" si="42"/>
        <v>-0.98793882285502155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48.665999999999997</v>
      </c>
      <c r="C89" s="388"/>
      <c r="D89" s="391">
        <f t="shared" si="24"/>
        <v>49.06306814261621</v>
      </c>
      <c r="E89" s="383">
        <f t="shared" si="46"/>
        <v>50.691609282629486</v>
      </c>
      <c r="F89" s="383">
        <f t="shared" si="25"/>
        <v>50.695816320188271</v>
      </c>
      <c r="G89" s="110">
        <f t="shared" si="47"/>
        <v>1.0125598814102907</v>
      </c>
      <c r="H89" s="412" t="b">
        <f>Wh_hp&gt;='2019'!Maxi_hp</f>
        <v>1</v>
      </c>
      <c r="I89" s="388">
        <f>IF(H89,Wh_hp,'2019'!Maxi_hp)</f>
        <v>50.695816320188271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8.0930149223855663E-3</v>
      </c>
      <c r="M89" s="832"/>
      <c r="N89" s="832"/>
      <c r="O89" s="48">
        <f>IF(t&lt;Tnet,'2019'!Resal+('2019'!Salim-'2019'!Resal)*(1-EXP(('2019'!Tnet-t)/('2019'!Tau_j))),Resal+(Salim-Resal)*(1-EXP((Tnet-t)/(Tau_j))))*Salcycl</f>
        <v>3.2126443864376047E-2</v>
      </c>
      <c r="P89" s="169">
        <f>(INDEX(Models!$BJ89:$BT89,,T89)*(1-R89)+INDEX(Models!$BJ89:$BT89,,T89+1)*R89-ERP_i)*Q89*Ramure*Pc/MaxiM</f>
        <v>8.2985892409905243E-5</v>
      </c>
      <c r="Q89" s="304">
        <f t="shared" si="27"/>
        <v>0.6</v>
      </c>
      <c r="R89" s="177">
        <f t="shared" si="28"/>
        <v>1.2617378437750348E-2</v>
      </c>
      <c r="S89" s="799">
        <f t="shared" si="29"/>
        <v>-1</v>
      </c>
      <c r="T89" s="176">
        <f t="shared" si="30"/>
        <v>5</v>
      </c>
      <c r="U89" s="250">
        <f t="shared" si="31"/>
        <v>-0.98738262156224965</v>
      </c>
      <c r="V89" s="382">
        <f t="shared" si="32"/>
        <v>48.062342675692548</v>
      </c>
      <c r="W89" s="58"/>
      <c r="X89" s="157">
        <f t="shared" si="33"/>
        <v>43905</v>
      </c>
      <c r="Y89" s="383">
        <f t="shared" si="34"/>
        <v>48.665999999999997</v>
      </c>
      <c r="Z89" s="383">
        <f t="shared" si="35"/>
        <v>49.06306814261621</v>
      </c>
      <c r="AA89" s="384">
        <f t="shared" si="36"/>
        <v>50.691609282629486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3.2126443864376047E-2</v>
      </c>
      <c r="AD89" s="230">
        <f>(INDEX(Models!$BJ89:$BT89,,AH89)*(1-AF89)+INDEX(Models!$BJ89:$BT89,,AH89+1)*AF89-ERP_i)*AE89*Ramure*Pc/MaxiM</f>
        <v>8.2985892409905243E-5</v>
      </c>
      <c r="AE89" s="304">
        <f t="shared" si="38"/>
        <v>0.6</v>
      </c>
      <c r="AF89" s="177">
        <f t="shared" si="39"/>
        <v>1.2617378437750348E-2</v>
      </c>
      <c r="AG89" s="176">
        <f t="shared" si="40"/>
        <v>-1</v>
      </c>
      <c r="AH89" s="176">
        <f t="shared" si="41"/>
        <v>5</v>
      </c>
      <c r="AI89" s="224">
        <f t="shared" si="42"/>
        <v>-0.98738262156224965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9.4250000000000007</v>
      </c>
      <c r="C90" s="388"/>
      <c r="D90" s="391">
        <f t="shared" si="24"/>
        <v>9.5020811156996494</v>
      </c>
      <c r="E90" s="383">
        <f t="shared" si="46"/>
        <v>9.8181228563226455</v>
      </c>
      <c r="F90" s="383">
        <f t="shared" si="25"/>
        <v>9.8181228563226455</v>
      </c>
      <c r="G90" s="110">
        <f t="shared" si="47"/>
        <v>0.19461218211181844</v>
      </c>
      <c r="H90" s="412" t="b">
        <f>Wh_hp&gt;='2019'!Maxi_hp</f>
        <v>0</v>
      </c>
      <c r="I90" s="388">
        <f>IF(H90,Wh_hp,'2019'!Maxi_hp)</f>
        <v>15.866798805277901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8.1120245934642732E-3</v>
      </c>
      <c r="M90" s="832"/>
      <c r="N90" s="832"/>
      <c r="O90" s="48">
        <f>IF(t&lt;Tnet,'2019'!Resal+('2019'!Salim-'2019'!Resal)*(1-EXP(('2019'!Tnet-t)/('2019'!Tau_j))),Resal+(Salim-Resal)*(1-EXP((Tnet-t)/(Tau_j))))*Salcycl</f>
        <v>3.21896298557185E-2</v>
      </c>
      <c r="P90" s="169">
        <f>(INDEX(Models!$BJ90:$BT90,,T90)*(1-R90)+INDEX(Models!$BJ90:$BT90,,T90+1)*R90-ERP_i)*Q90*Ramure*Pc/MaxiM</f>
        <v>8.0725182584291054E-5</v>
      </c>
      <c r="Q90" s="304">
        <f t="shared" si="27"/>
        <v>0.6</v>
      </c>
      <c r="R90" s="177">
        <f t="shared" si="28"/>
        <v>1.3195564163514639E-2</v>
      </c>
      <c r="S90" s="799">
        <f t="shared" si="29"/>
        <v>-1</v>
      </c>
      <c r="T90" s="176">
        <f t="shared" si="30"/>
        <v>5</v>
      </c>
      <c r="U90" s="250">
        <f t="shared" si="31"/>
        <v>-0.98680443583648536</v>
      </c>
      <c r="V90" s="382">
        <f t="shared" si="32"/>
        <v>48.425741199177622</v>
      </c>
      <c r="W90" s="58"/>
      <c r="X90" s="157">
        <f t="shared" si="33"/>
        <v>43906</v>
      </c>
      <c r="Y90" s="383">
        <f t="shared" si="34"/>
        <v>9.4250000000000007</v>
      </c>
      <c r="Z90" s="383">
        <f t="shared" si="35"/>
        <v>9.5020811156996494</v>
      </c>
      <c r="AA90" s="384">
        <f t="shared" si="36"/>
        <v>9.8181228563226455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3.21896298557185E-2</v>
      </c>
      <c r="AD90" s="230">
        <f>(INDEX(Models!$BJ90:$BT90,,AH90)*(1-AF90)+INDEX(Models!$BJ90:$BT90,,AH90+1)*AF90-ERP_i)*AE90*Ramure*Pc/MaxiM</f>
        <v>8.0725182584291054E-5</v>
      </c>
      <c r="AE90" s="304">
        <f t="shared" si="38"/>
        <v>0.6</v>
      </c>
      <c r="AF90" s="177">
        <f t="shared" si="39"/>
        <v>1.3195564163514639E-2</v>
      </c>
      <c r="AG90" s="176">
        <f t="shared" si="40"/>
        <v>-1</v>
      </c>
      <c r="AH90" s="176">
        <f t="shared" si="41"/>
        <v>5</v>
      </c>
      <c r="AI90" s="224">
        <f t="shared" si="42"/>
        <v>-0.98680443583648536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13.103</v>
      </c>
      <c r="C91" s="388"/>
      <c r="D91" s="391">
        <f t="shared" si="24"/>
        <v>13.210414326726656</v>
      </c>
      <c r="E91" s="383">
        <f t="shared" si="46"/>
        <v>13.65068848783608</v>
      </c>
      <c r="F91" s="383">
        <f t="shared" si="25"/>
        <v>13.65068848783608</v>
      </c>
      <c r="G91" s="110">
        <f t="shared" si="47"/>
        <v>0.26856170377020722</v>
      </c>
      <c r="H91" s="412" t="b">
        <f>Wh_hp&gt;='2019'!Maxi_hp</f>
        <v>0</v>
      </c>
      <c r="I91" s="388">
        <f>IF(H91,Wh_hp,'2019'!Maxi_hp)</f>
        <v>34.112652515484889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8.1310339002268472E-3</v>
      </c>
      <c r="M91" s="832"/>
      <c r="N91" s="832"/>
      <c r="O91" s="48">
        <f>IF(t&lt;Tnet,'2019'!Resal+('2019'!Salim-'2019'!Resal)*(1-EXP(('2019'!Tnet-t)/('2019'!Tau_j))),Resal+(Salim-Resal)*(1-EXP((Tnet-t)/(Tau_j))))*Salcycl</f>
        <v>3.225289050451513E-2</v>
      </c>
      <c r="P91" s="169">
        <f>(INDEX(Models!$BJ91:$BT91,,T91)*(1-R91)+INDEX(Models!$BJ91:$BT91,,T91+1)*R91-ERP_i)*Q91*Ramure*Pc/MaxiM</f>
        <v>7.8523118568755E-5</v>
      </c>
      <c r="Q91" s="304">
        <f t="shared" si="27"/>
        <v>0.6</v>
      </c>
      <c r="R91" s="177">
        <f t="shared" si="28"/>
        <v>1.3796546242140106E-2</v>
      </c>
      <c r="S91" s="799">
        <f t="shared" si="29"/>
        <v>-1</v>
      </c>
      <c r="T91" s="176">
        <f t="shared" si="30"/>
        <v>5</v>
      </c>
      <c r="U91" s="250">
        <f t="shared" si="31"/>
        <v>-0.98620345375785989</v>
      </c>
      <c r="V91" s="382">
        <f t="shared" si="32"/>
        <v>48.785701489248808</v>
      </c>
      <c r="W91" s="58"/>
      <c r="X91" s="157">
        <f t="shared" si="33"/>
        <v>43907</v>
      </c>
      <c r="Y91" s="383">
        <f t="shared" si="34"/>
        <v>13.103</v>
      </c>
      <c r="Z91" s="383">
        <f t="shared" si="35"/>
        <v>13.210414326726656</v>
      </c>
      <c r="AA91" s="384">
        <f t="shared" si="36"/>
        <v>13.65068848783608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3.225289050451513E-2</v>
      </c>
      <c r="AD91" s="230">
        <f>(INDEX(Models!$BJ91:$BT91,,AH91)*(1-AF91)+INDEX(Models!$BJ91:$BT91,,AH91+1)*AF91-ERP_i)*AE91*Ramure*Pc/MaxiM</f>
        <v>7.8523118568755E-5</v>
      </c>
      <c r="AE91" s="304">
        <f t="shared" si="38"/>
        <v>0.6</v>
      </c>
      <c r="AF91" s="177">
        <f t="shared" si="39"/>
        <v>1.3796546242140106E-2</v>
      </c>
      <c r="AG91" s="176">
        <f t="shared" si="40"/>
        <v>-1</v>
      </c>
      <c r="AH91" s="176">
        <f t="shared" si="41"/>
        <v>5</v>
      </c>
      <c r="AI91" s="224">
        <f t="shared" si="42"/>
        <v>-0.98620345375785989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44.927</v>
      </c>
      <c r="C92" s="388"/>
      <c r="D92" s="391">
        <f t="shared" si="24"/>
        <v>45.296165690990726</v>
      </c>
      <c r="E92" s="383">
        <f t="shared" si="46"/>
        <v>46.808851696513898</v>
      </c>
      <c r="F92" s="383">
        <f t="shared" si="25"/>
        <v>46.811989092410982</v>
      </c>
      <c r="G92" s="110">
        <f t="shared" si="47"/>
        <v>0.91422523810936929</v>
      </c>
      <c r="H92" s="412" t="b">
        <f>Wh_hp&gt;='2019'!Maxi_hp</f>
        <v>1</v>
      </c>
      <c r="I92" s="388">
        <f>IF(H92,Wh_hp,'2019'!Maxi_hp)</f>
        <v>46.811989092410982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8.1500428426805049E-3</v>
      </c>
      <c r="M92" s="832"/>
      <c r="N92" s="832"/>
      <c r="O92" s="48">
        <f>IF(t&lt;Tnet,'2019'!Resal+('2019'!Salim-'2019'!Resal)*(1-EXP(('2019'!Tnet-t)/('2019'!Tau_j))),Resal+(Salim-Resal)*(1-EXP((Tnet-t)/(Tau_j))))*Salcycl</f>
        <v>3.2316238290370815E-2</v>
      </c>
      <c r="P92" s="169">
        <f>(INDEX(Models!$BJ92:$BT92,,T92)*(1-R92)+INDEX(Models!$BJ92:$BT92,,T92+1)*R92-ERP_i)*Q92*Ramure*Pc/MaxiM</f>
        <v>7.637945621085251E-5</v>
      </c>
      <c r="Q92" s="304">
        <f t="shared" si="27"/>
        <v>0.6</v>
      </c>
      <c r="R92" s="177">
        <f t="shared" si="28"/>
        <v>1.4421161856346676E-2</v>
      </c>
      <c r="S92" s="799">
        <f t="shared" si="29"/>
        <v>-1</v>
      </c>
      <c r="T92" s="176">
        <f t="shared" si="30"/>
        <v>5</v>
      </c>
      <c r="U92" s="250">
        <f t="shared" si="31"/>
        <v>-0.98557883814365332</v>
      </c>
      <c r="V92" s="382">
        <f t="shared" si="32"/>
        <v>49.141696882659872</v>
      </c>
      <c r="W92" s="58"/>
      <c r="X92" s="157">
        <f t="shared" si="33"/>
        <v>43908</v>
      </c>
      <c r="Y92" s="383">
        <f t="shared" si="34"/>
        <v>44.927</v>
      </c>
      <c r="Z92" s="383">
        <f t="shared" si="35"/>
        <v>45.296165690990726</v>
      </c>
      <c r="AA92" s="384">
        <f t="shared" si="36"/>
        <v>46.808851696513898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3.2316238290370815E-2</v>
      </c>
      <c r="AD92" s="230">
        <f>(INDEX(Models!$BJ92:$BT92,,AH92)*(1-AF92)+INDEX(Models!$BJ92:$BT92,,AH92+1)*AF92-ERP_i)*AE92*Ramure*Pc/MaxiM</f>
        <v>7.637945621085251E-5</v>
      </c>
      <c r="AE92" s="304">
        <f t="shared" si="38"/>
        <v>0.6</v>
      </c>
      <c r="AF92" s="177">
        <f t="shared" si="39"/>
        <v>1.4421161856346676E-2</v>
      </c>
      <c r="AG92" s="176">
        <f t="shared" si="40"/>
        <v>-1</v>
      </c>
      <c r="AH92" s="176">
        <f t="shared" si="41"/>
        <v>5</v>
      </c>
      <c r="AI92" s="224">
        <f t="shared" si="42"/>
        <v>-0.98557883814365332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46.67</v>
      </c>
      <c r="C93" s="388"/>
      <c r="D93" s="391">
        <f t="shared" si="24"/>
        <v>47.05438972927432</v>
      </c>
      <c r="E93" s="383">
        <f t="shared" si="46"/>
        <v>48.62898086006016</v>
      </c>
      <c r="F93" s="383">
        <f t="shared" si="25"/>
        <v>48.632298998213152</v>
      </c>
      <c r="G93" s="110">
        <f t="shared" si="47"/>
        <v>0.94289221612954421</v>
      </c>
      <c r="H93" s="412" t="b">
        <f>Wh_hp&gt;='2019'!Maxi_hp</f>
        <v>0</v>
      </c>
      <c r="I93" s="388">
        <f>IF(H93,Wh_hp,'2019'!Maxi_hp)</f>
        <v>50.974512464979433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8.1690514208321297E-3</v>
      </c>
      <c r="M93" s="832"/>
      <c r="N93" s="832"/>
      <c r="O93" s="48">
        <f>IF(t&lt;Tnet,'2019'!Resal+('2019'!Salim-'2019'!Resal)*(1-EXP(('2019'!Tnet-t)/('2019'!Tau_j))),Resal+(Salim-Resal)*(1-EXP((Tnet-t)/(Tau_j))))*Salcycl</f>
        <v>3.2379686000762589E-2</v>
      </c>
      <c r="P93" s="169">
        <f>(INDEX(Models!$BJ93:$BT93,,T93)*(1-R93)+INDEX(Models!$BJ93:$BT93,,T93+1)*R93-ERP_i)*Q93*Ramure*Pc/MaxiM</f>
        <v>7.4289199034875773E-5</v>
      </c>
      <c r="Q93" s="304">
        <f t="shared" si="27"/>
        <v>0.6</v>
      </c>
      <c r="R93" s="177">
        <f t="shared" si="28"/>
        <v>1.5070273838968085E-2</v>
      </c>
      <c r="S93" s="799">
        <f t="shared" si="29"/>
        <v>-1</v>
      </c>
      <c r="T93" s="176">
        <f t="shared" si="30"/>
        <v>5</v>
      </c>
      <c r="U93" s="250">
        <f t="shared" si="31"/>
        <v>-0.98492972616103192</v>
      </c>
      <c r="V93" s="382">
        <f t="shared" si="32"/>
        <v>49.496343651672255</v>
      </c>
      <c r="W93" s="58"/>
      <c r="X93" s="157">
        <f t="shared" si="33"/>
        <v>43909</v>
      </c>
      <c r="Y93" s="383">
        <f t="shared" si="34"/>
        <v>46.67</v>
      </c>
      <c r="Z93" s="383">
        <f t="shared" si="35"/>
        <v>47.05438972927432</v>
      </c>
      <c r="AA93" s="384">
        <f t="shared" si="36"/>
        <v>48.62898086006016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3.2379686000762589E-2</v>
      </c>
      <c r="AD93" s="230">
        <f>(INDEX(Models!$BJ93:$BT93,,AH93)*(1-AF93)+INDEX(Models!$BJ93:$BT93,,AH93+1)*AF93-ERP_i)*AE93*Ramure*Pc/MaxiM</f>
        <v>7.4289199034875773E-5</v>
      </c>
      <c r="AE93" s="304">
        <f t="shared" si="38"/>
        <v>0.6</v>
      </c>
      <c r="AF93" s="177">
        <f t="shared" si="39"/>
        <v>1.5070273838968085E-2</v>
      </c>
      <c r="AG93" s="176">
        <f t="shared" si="40"/>
        <v>-1</v>
      </c>
      <c r="AH93" s="176">
        <f t="shared" si="41"/>
        <v>5</v>
      </c>
      <c r="AI93" s="224">
        <f t="shared" si="42"/>
        <v>-0.98492972616103192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50.042000000000002</v>
      </c>
      <c r="C94" s="388"/>
      <c r="D94" s="391">
        <f t="shared" si="24"/>
        <v>50.455129610123635</v>
      </c>
      <c r="E94" s="383">
        <f t="shared" si="46"/>
        <v>52.146945838248257</v>
      </c>
      <c r="F94" s="383">
        <f t="shared" si="25"/>
        <v>52.150714918937091</v>
      </c>
      <c r="G94" s="110">
        <f t="shared" si="47"/>
        <v>1.0038103702350845</v>
      </c>
      <c r="H94" s="412" t="b">
        <f>Wh_hp&gt;='2019'!Maxi_hp</f>
        <v>1</v>
      </c>
      <c r="I94" s="388">
        <f>IF(H94,Wh_hp,'2019'!Maxi_hp)</f>
        <v>52.150714918937091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8.1880596346886048E-3</v>
      </c>
      <c r="M94" s="832"/>
      <c r="N94" s="832"/>
      <c r="O94" s="48">
        <f>IF(t&lt;Tnet,'2019'!Resal+('2019'!Salim-'2019'!Resal)*(1-EXP(('2019'!Tnet-t)/('2019'!Tau_j))),Resal+(Salim-Resal)*(1-EXP((Tnet-t)/(Tau_j))))*Salcycl</f>
        <v>3.2443246693150046E-2</v>
      </c>
      <c r="P94" s="169">
        <f>(INDEX(Models!$BJ94:$BT94,,T94)*(1-R94)+INDEX(Models!$BJ94:$BT94,,T94+1)*R94-ERP_i)*Q94*Ramure*Pc/MaxiM</f>
        <v>7.2272847931150616E-5</v>
      </c>
      <c r="Q94" s="304">
        <f t="shared" si="27"/>
        <v>0.6</v>
      </c>
      <c r="R94" s="177">
        <f t="shared" si="28"/>
        <v>1.5744771028668336E-2</v>
      </c>
      <c r="S94" s="799">
        <f t="shared" si="29"/>
        <v>-1</v>
      </c>
      <c r="T94" s="176">
        <f t="shared" si="30"/>
        <v>5</v>
      </c>
      <c r="U94" s="250">
        <f t="shared" si="31"/>
        <v>-0.98425522897133166</v>
      </c>
      <c r="V94" s="382">
        <f t="shared" si="32"/>
        <v>49.852045250618957</v>
      </c>
      <c r="W94" s="58"/>
      <c r="X94" s="157">
        <f t="shared" si="33"/>
        <v>43910</v>
      </c>
      <c r="Y94" s="383">
        <f t="shared" si="34"/>
        <v>50.042000000000002</v>
      </c>
      <c r="Z94" s="383">
        <f t="shared" si="35"/>
        <v>50.455129610123635</v>
      </c>
      <c r="AA94" s="384">
        <f t="shared" si="36"/>
        <v>52.146945838248257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3.2443246693150046E-2</v>
      </c>
      <c r="AD94" s="230">
        <f>(INDEX(Models!$BJ94:$BT94,,AH94)*(1-AF94)+INDEX(Models!$BJ94:$BT94,,AH94+1)*AF94-ERP_i)*AE94*Ramure*Pc/MaxiM</f>
        <v>7.2272847931150616E-5</v>
      </c>
      <c r="AE94" s="304">
        <f t="shared" si="38"/>
        <v>0.6</v>
      </c>
      <c r="AF94" s="177">
        <f t="shared" si="39"/>
        <v>1.5744771028668336E-2</v>
      </c>
      <c r="AG94" s="176">
        <f t="shared" si="40"/>
        <v>-1</v>
      </c>
      <c r="AH94" s="176">
        <f t="shared" si="41"/>
        <v>5</v>
      </c>
      <c r="AI94" s="224">
        <f t="shared" si="42"/>
        <v>-0.98425522897133166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48.831000000000003</v>
      </c>
      <c r="C95" s="388"/>
      <c r="D95" s="391">
        <f t="shared" si="24"/>
        <v>49.235075587942745</v>
      </c>
      <c r="E95" s="383">
        <f t="shared" si="46"/>
        <v>50.889331717940529</v>
      </c>
      <c r="F95" s="383">
        <f t="shared" si="25"/>
        <v>50.892769880316351</v>
      </c>
      <c r="G95" s="110">
        <f t="shared" si="47"/>
        <v>0.97257220873211914</v>
      </c>
      <c r="H95" s="412" t="b">
        <f>Wh_hp&gt;='2019'!Maxi_hp</f>
        <v>1</v>
      </c>
      <c r="I95" s="388">
        <f>IF(H95,Wh_hp,'2019'!Maxi_hp)</f>
        <v>50.892769880316351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8.2070674842570357E-3</v>
      </c>
      <c r="M95" s="832"/>
      <c r="N95" s="832"/>
      <c r="O95" s="48">
        <f>IF(t&lt;Tnet,'2019'!Resal+('2019'!Salim-'2019'!Resal)*(1-EXP(('2019'!Tnet-t)/('2019'!Tau_j))),Resal+(Salim-Resal)*(1-EXP((Tnet-t)/(Tau_j))))*Salcycl</f>
        <v>3.250693365687473E-2</v>
      </c>
      <c r="P95" s="169">
        <f>(INDEX(Models!$BJ95:$BT95,,T95)*(1-R95)+INDEX(Models!$BJ95:$BT95,,T95+1)*R95-ERP_i)*Q95*Ramure*Pc/MaxiM</f>
        <v>7.0311714352443922E-5</v>
      </c>
      <c r="Q95" s="304">
        <f t="shared" si="27"/>
        <v>0.6</v>
      </c>
      <c r="R95" s="177">
        <f t="shared" si="28"/>
        <v>1.6445568589843029E-2</v>
      </c>
      <c r="S95" s="799">
        <f t="shared" si="29"/>
        <v>-1</v>
      </c>
      <c r="T95" s="176">
        <f t="shared" si="30"/>
        <v>5</v>
      </c>
      <c r="U95" s="250">
        <f t="shared" si="31"/>
        <v>-0.98355443141015697</v>
      </c>
      <c r="V95" s="382">
        <f t="shared" si="32"/>
        <v>50.207958891457004</v>
      </c>
      <c r="W95" s="58"/>
      <c r="X95" s="157">
        <f t="shared" si="33"/>
        <v>43911</v>
      </c>
      <c r="Y95" s="383">
        <f t="shared" si="34"/>
        <v>48.831000000000003</v>
      </c>
      <c r="Z95" s="383">
        <f t="shared" si="35"/>
        <v>49.235075587942745</v>
      </c>
      <c r="AA95" s="384">
        <f t="shared" si="36"/>
        <v>50.889331717940529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3.250693365687473E-2</v>
      </c>
      <c r="AD95" s="230">
        <f>(INDEX(Models!$BJ95:$BT95,,AH95)*(1-AF95)+INDEX(Models!$BJ95:$BT95,,AH95+1)*AF95-ERP_i)*AE95*Ramure*Pc/MaxiM</f>
        <v>7.0311714352443922E-5</v>
      </c>
      <c r="AE95" s="304">
        <f t="shared" si="38"/>
        <v>0.6</v>
      </c>
      <c r="AF95" s="177">
        <f t="shared" si="39"/>
        <v>1.6445568589843029E-2</v>
      </c>
      <c r="AG95" s="176">
        <f t="shared" si="40"/>
        <v>-1</v>
      </c>
      <c r="AH95" s="176">
        <f t="shared" si="41"/>
        <v>5</v>
      </c>
      <c r="AI95" s="224">
        <f t="shared" si="42"/>
        <v>-0.98355443141015697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45.335999999999999</v>
      </c>
      <c r="C96" s="388"/>
      <c r="D96" s="391">
        <f t="shared" si="24"/>
        <v>45.71203059064878</v>
      </c>
      <c r="E96" s="383">
        <f t="shared" si="46"/>
        <v>47.251032652654395</v>
      </c>
      <c r="F96" s="383">
        <f t="shared" si="25"/>
        <v>47.253787703961521</v>
      </c>
      <c r="G96" s="110">
        <f t="shared" si="47"/>
        <v>0.89661067933021499</v>
      </c>
      <c r="H96" s="412" t="b">
        <f>Wh_hp&gt;='2019'!Maxi_hp</f>
        <v>1</v>
      </c>
      <c r="I96" s="388">
        <f>IF(H96,Wh_hp,'2019'!Maxi_hp)</f>
        <v>47.253787703961521</v>
      </c>
      <c r="J96" s="85">
        <f>IF(H96,An,'2019'!An_max)</f>
        <v>2020</v>
      </c>
      <c r="K96" s="197">
        <f t="shared" si="26"/>
        <v>43912</v>
      </c>
      <c r="L96" s="147">
        <f>IF(t&lt;Tvie,1-EXP((T0-t)*PertePVj)+'2019'!Pspv,1-EXP((T0-t)*PertePVj)+Pspv)</f>
        <v>8.2260749695444169E-3</v>
      </c>
      <c r="M96" s="832"/>
      <c r="N96" s="832"/>
      <c r="O96" s="48">
        <f>IF(t&lt;Tnet,'2019'!Resal+('2019'!Salim-'2019'!Resal)*(1-EXP(('2019'!Tnet-t)/('2019'!Tau_j))),Resal+(Salim-Resal)*(1-EXP((Tnet-t)/(Tau_j))))*Salcycl</f>
        <v>3.2570760375099636E-2</v>
      </c>
      <c r="P96" s="169">
        <f>(INDEX(Models!$BJ96:$BT96,,T96)*(1-R96)+INDEX(Models!$BJ96:$BT96,,T96+1)*R96-ERP_i)*Q96*Ramure*Pc/MaxiM</f>
        <v>6.8405888506725218E-5</v>
      </c>
      <c r="Q96" s="304">
        <f t="shared" si="27"/>
        <v>0.6</v>
      </c>
      <c r="R96" s="177">
        <f t="shared" si="28"/>
        <v>1.7173608292137654E-2</v>
      </c>
      <c r="S96" s="799">
        <f t="shared" si="29"/>
        <v>-1</v>
      </c>
      <c r="T96" s="176">
        <f t="shared" si="30"/>
        <v>5</v>
      </c>
      <c r="U96" s="250">
        <f t="shared" si="31"/>
        <v>-0.98282639170786235</v>
      </c>
      <c r="V96" s="382">
        <f t="shared" si="32"/>
        <v>50.563241111263274</v>
      </c>
      <c r="W96" s="58"/>
      <c r="X96" s="157">
        <f t="shared" si="33"/>
        <v>43912</v>
      </c>
      <c r="Y96" s="383">
        <f t="shared" si="34"/>
        <v>45.335999999999999</v>
      </c>
      <c r="Z96" s="383">
        <f t="shared" si="35"/>
        <v>45.71203059064878</v>
      </c>
      <c r="AA96" s="384">
        <f t="shared" si="36"/>
        <v>47.251032652654395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3.2570760375099636E-2</v>
      </c>
      <c r="AD96" s="230">
        <f>(INDEX(Models!$BJ96:$BT96,,AH96)*(1-AF96)+INDEX(Models!$BJ96:$BT96,,AH96+1)*AF96-ERP_i)*AE96*Ramure*Pc/MaxiM</f>
        <v>6.8405888506725218E-5</v>
      </c>
      <c r="AE96" s="304">
        <f t="shared" si="38"/>
        <v>0.6</v>
      </c>
      <c r="AF96" s="177">
        <f t="shared" si="39"/>
        <v>1.7173608292137654E-2</v>
      </c>
      <c r="AG96" s="176">
        <f t="shared" si="40"/>
        <v>-1</v>
      </c>
      <c r="AH96" s="176">
        <f t="shared" si="41"/>
        <v>5</v>
      </c>
      <c r="AI96" s="224">
        <f t="shared" si="42"/>
        <v>-0.98282639170786235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35.000999999999998</v>
      </c>
      <c r="C97" s="388"/>
      <c r="D97" s="391">
        <f t="shared" si="24"/>
        <v>35.291985316069749</v>
      </c>
      <c r="E97" s="383">
        <f t="shared" si="46"/>
        <v>36.482585010172329</v>
      </c>
      <c r="F97" s="383">
        <f t="shared" si="25"/>
        <v>36.483928887346444</v>
      </c>
      <c r="G97" s="110">
        <f t="shared" si="47"/>
        <v>0.68739175976765954</v>
      </c>
      <c r="H97" s="412" t="b">
        <f>Wh_hp&gt;='2019'!Maxi_hp</f>
        <v>0</v>
      </c>
      <c r="I97" s="388">
        <f>IF(H97,Wh_hp,'2019'!Maxi_hp)</f>
        <v>51.335617588086507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8.2450820905576316E-3</v>
      </c>
      <c r="M97" s="832"/>
      <c r="N97" s="832"/>
      <c r="O97" s="48">
        <f>IF(t&lt;Tnet,'2019'!Resal+('2019'!Salim-'2019'!Resal)*(1-EXP(('2019'!Tnet-t)/('2019'!Tau_j))),Resal+(Salim-Resal)*(1-EXP((Tnet-t)/(Tau_j))))*Salcycl</f>
        <v>3.263474048701881E-2</v>
      </c>
      <c r="P97" s="169">
        <f>(INDEX(Models!$BJ97:$BT97,,T97)*(1-R97)+INDEX(Models!$BJ97:$BT97,,T97+1)*R97-ERP_i)*Q97*Ramure*Pc/MaxiM</f>
        <v>6.6555313627146513E-5</v>
      </c>
      <c r="Q97" s="304">
        <f t="shared" si="27"/>
        <v>0.6</v>
      </c>
      <c r="R97" s="177">
        <f t="shared" si="28"/>
        <v>1.7929858744697547E-2</v>
      </c>
      <c r="S97" s="799">
        <f t="shared" si="29"/>
        <v>-1</v>
      </c>
      <c r="T97" s="176">
        <f t="shared" si="30"/>
        <v>5</v>
      </c>
      <c r="U97" s="250">
        <f t="shared" si="31"/>
        <v>-0.98207014125530245</v>
      </c>
      <c r="V97" s="382">
        <f t="shared" si="32"/>
        <v>50.917048707140303</v>
      </c>
      <c r="W97" s="58"/>
      <c r="X97" s="157">
        <f t="shared" si="33"/>
        <v>43913</v>
      </c>
      <c r="Y97" s="383">
        <f t="shared" si="34"/>
        <v>35.000999999999998</v>
      </c>
      <c r="Z97" s="383">
        <f t="shared" si="35"/>
        <v>35.291985316069749</v>
      </c>
      <c r="AA97" s="384">
        <f t="shared" si="36"/>
        <v>36.482585010172329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3.263474048701881E-2</v>
      </c>
      <c r="AD97" s="230">
        <f>(INDEX(Models!$BJ97:$BT97,,AH97)*(1-AF97)+INDEX(Models!$BJ97:$BT97,,AH97+1)*AF97-ERP_i)*AE97*Ramure*Pc/MaxiM</f>
        <v>6.6555313627146513E-5</v>
      </c>
      <c r="AE97" s="304">
        <f t="shared" si="38"/>
        <v>0.6</v>
      </c>
      <c r="AF97" s="177">
        <f t="shared" si="39"/>
        <v>1.7929858744697547E-2</v>
      </c>
      <c r="AG97" s="176">
        <f t="shared" si="40"/>
        <v>-1</v>
      </c>
      <c r="AH97" s="176">
        <f t="shared" si="41"/>
        <v>5</v>
      </c>
      <c r="AI97" s="224">
        <f t="shared" si="42"/>
        <v>-0.98207014125530245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42.533000000000001</v>
      </c>
      <c r="C98" s="388"/>
      <c r="D98" s="391">
        <f t="shared" si="24"/>
        <v>42.887425494720489</v>
      </c>
      <c r="E98" s="383">
        <f t="shared" si="46"/>
        <v>44.337202709284462</v>
      </c>
      <c r="F98" s="383">
        <f t="shared" si="25"/>
        <v>44.339375184993749</v>
      </c>
      <c r="G98" s="110">
        <f t="shared" si="47"/>
        <v>0.82959902025745591</v>
      </c>
      <c r="H98" s="412" t="b">
        <f>Wh_hp&gt;='2019'!Maxi_hp</f>
        <v>0</v>
      </c>
      <c r="I98" s="388">
        <f>IF(H98,Wh_hp,'2019'!Maxi_hp)</f>
        <v>44.782002730690941</v>
      </c>
      <c r="J98" s="85">
        <f>IF(H98,An,'2019'!An_max)</f>
        <v>2018</v>
      </c>
      <c r="K98" s="197">
        <f t="shared" si="26"/>
        <v>43914</v>
      </c>
      <c r="L98" s="147">
        <f>IF(t&lt;Tvie,1-EXP((T0-t)*PertePVj)+'2019'!Pspv,1-EXP((T0-t)*PertePVj)+Pspv)</f>
        <v>8.2640888473036744E-3</v>
      </c>
      <c r="M98" s="832"/>
      <c r="N98" s="832"/>
      <c r="O98" s="48">
        <f>IF(t&lt;Tnet,'2019'!Resal+('2019'!Salim-'2019'!Resal)*(1-EXP(('2019'!Tnet-t)/('2019'!Tau_j))),Resal+(Salim-Resal)*(1-EXP((Tnet-t)/(Tau_j))))*Salcycl</f>
        <v>3.2698887750543186E-2</v>
      </c>
      <c r="P98" s="169">
        <f>(INDEX(Models!$BJ98:$BT98,,T98)*(1-R98)+INDEX(Models!$BJ98:$BT98,,T98+1)*R98-ERP_i)*Q98*Ramure*Pc/MaxiM</f>
        <v>6.4759800611190524E-5</v>
      </c>
      <c r="Q98" s="304">
        <f t="shared" si="27"/>
        <v>0.6</v>
      </c>
      <c r="R98" s="177">
        <f t="shared" si="28"/>
        <v>1.8715315579944769E-2</v>
      </c>
      <c r="S98" s="799">
        <f t="shared" si="29"/>
        <v>-1</v>
      </c>
      <c r="T98" s="176">
        <f t="shared" si="30"/>
        <v>5</v>
      </c>
      <c r="U98" s="250">
        <f t="shared" si="31"/>
        <v>-0.98128468442005523</v>
      </c>
      <c r="V98" s="382">
        <f t="shared" si="32"/>
        <v>51.268538739275925</v>
      </c>
      <c r="W98" s="58"/>
      <c r="X98" s="157">
        <f t="shared" si="33"/>
        <v>43914</v>
      </c>
      <c r="Y98" s="383">
        <f t="shared" si="34"/>
        <v>42.533000000000001</v>
      </c>
      <c r="Z98" s="383">
        <f t="shared" si="35"/>
        <v>42.887425494720489</v>
      </c>
      <c r="AA98" s="384">
        <f t="shared" si="36"/>
        <v>44.337202709284462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3.2698887750543186E-2</v>
      </c>
      <c r="AD98" s="230">
        <f>(INDEX(Models!$BJ98:$BT98,,AH98)*(1-AF98)+INDEX(Models!$BJ98:$BT98,,AH98+1)*AF98-ERP_i)*AE98*Ramure*Pc/MaxiM</f>
        <v>6.4759800611190524E-5</v>
      </c>
      <c r="AE98" s="304">
        <f t="shared" si="38"/>
        <v>0.6</v>
      </c>
      <c r="AF98" s="177">
        <f t="shared" si="39"/>
        <v>1.8715315579944769E-2</v>
      </c>
      <c r="AG98" s="176">
        <f t="shared" si="40"/>
        <v>-1</v>
      </c>
      <c r="AH98" s="176">
        <f t="shared" si="41"/>
        <v>5</v>
      </c>
      <c r="AI98" s="224">
        <f t="shared" si="42"/>
        <v>-0.98128468442005523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52.134999999999998</v>
      </c>
      <c r="C99" s="388"/>
      <c r="D99" s="391">
        <f t="shared" si="24"/>
        <v>52.570446011108224</v>
      </c>
      <c r="E99" s="383">
        <f t="shared" si="46"/>
        <v>54.351164969150808</v>
      </c>
      <c r="F99" s="383">
        <f t="shared" si="25"/>
        <v>54.354590343376316</v>
      </c>
      <c r="G99" s="110">
        <f t="shared" si="47"/>
        <v>1.0100380259419393</v>
      </c>
      <c r="H99" s="412" t="b">
        <f>Wh_hp&gt;='2019'!Maxi_hp</f>
        <v>0</v>
      </c>
      <c r="I99" s="388">
        <f>IF(H99,Wh_hp,'2019'!Maxi_hp)</f>
        <v>54.664172365947202</v>
      </c>
      <c r="J99" s="85">
        <f>IF(H99,An,'2019'!An_max)</f>
        <v>2018</v>
      </c>
      <c r="K99" s="197">
        <f t="shared" si="26"/>
        <v>43915</v>
      </c>
      <c r="L99" s="147">
        <f>IF(t&lt;Tvie,1-EXP((T0-t)*PertePVj)+'2019'!Pspv,1-EXP((T0-t)*PertePVj)+Pspv)</f>
        <v>8.2830952397896507E-3</v>
      </c>
      <c r="M99" s="832"/>
      <c r="N99" s="832"/>
      <c r="O99" s="48">
        <f>IF(t&lt;Tnet,'2019'!Resal+('2019'!Salim-'2019'!Resal)*(1-EXP(('2019'!Tnet-t)/('2019'!Tau_j))),Resal+(Salim-Resal)*(1-EXP((Tnet-t)/(Tau_j))))*Salcycl</f>
        <v>3.2763216005642283E-2</v>
      </c>
      <c r="P99" s="169">
        <f>(INDEX(Models!$BJ99:$BT99,,T99)*(1-R99)+INDEX(Models!$BJ99:$BT99,,T99+1)*R99-ERP_i)*Q99*Ramure*Pc/MaxiM</f>
        <v>6.3019042253217148E-5</v>
      </c>
      <c r="Q99" s="304">
        <f t="shared" si="27"/>
        <v>0.6</v>
      </c>
      <c r="R99" s="177">
        <f t="shared" si="28"/>
        <v>1.9531001581348351E-2</v>
      </c>
      <c r="S99" s="799">
        <f t="shared" si="29"/>
        <v>-1</v>
      </c>
      <c r="T99" s="176">
        <f t="shared" si="30"/>
        <v>5</v>
      </c>
      <c r="U99" s="250">
        <f t="shared" si="31"/>
        <v>-0.98046899841865165</v>
      </c>
      <c r="V99" s="382">
        <f t="shared" si="32"/>
        <v>51.616868534607931</v>
      </c>
      <c r="W99" s="58"/>
      <c r="X99" s="157">
        <f t="shared" si="33"/>
        <v>43915</v>
      </c>
      <c r="Y99" s="383">
        <f t="shared" si="34"/>
        <v>52.134999999999998</v>
      </c>
      <c r="Z99" s="383">
        <f t="shared" si="35"/>
        <v>52.570446011108224</v>
      </c>
      <c r="AA99" s="384">
        <f t="shared" si="36"/>
        <v>54.351164969150808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3.2763216005642283E-2</v>
      </c>
      <c r="AD99" s="230">
        <f>(INDEX(Models!$BJ99:$BT99,,AH99)*(1-AF99)+INDEX(Models!$BJ99:$BT99,,AH99+1)*AF99-ERP_i)*AE99*Ramure*Pc/MaxiM</f>
        <v>6.3019042253217148E-5</v>
      </c>
      <c r="AE99" s="304">
        <f t="shared" si="38"/>
        <v>0.6</v>
      </c>
      <c r="AF99" s="177">
        <f t="shared" si="39"/>
        <v>1.9531001581348351E-2</v>
      </c>
      <c r="AG99" s="176">
        <f t="shared" si="40"/>
        <v>-1</v>
      </c>
      <c r="AH99" s="176">
        <f t="shared" si="41"/>
        <v>5</v>
      </c>
      <c r="AI99" s="224">
        <f t="shared" si="42"/>
        <v>-0.98046899841865165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26.934000000000001</v>
      </c>
      <c r="C100" s="388"/>
      <c r="D100" s="391">
        <f t="shared" si="24"/>
        <v>27.159480759653547</v>
      </c>
      <c r="E100" s="383">
        <f t="shared" si="46"/>
        <v>28.081327245118992</v>
      </c>
      <c r="F100" s="383">
        <f t="shared" si="25"/>
        <v>28.081864710688443</v>
      </c>
      <c r="G100" s="110">
        <f t="shared" si="47"/>
        <v>0.51832647775036222</v>
      </c>
      <c r="H100" s="412" t="b">
        <f>Wh_hp&gt;='2019'!Maxi_hp</f>
        <v>0</v>
      </c>
      <c r="I100" s="388">
        <f>IF(H100,Wh_hp,'2019'!Maxi_hp)</f>
        <v>53.82661692337178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8.3021012680223327E-3</v>
      </c>
      <c r="M100" s="832"/>
      <c r="N100" s="832"/>
      <c r="O100" s="48">
        <f>IF(t&lt;Tnet,'2019'!Resal+('2019'!Salim-'2019'!Resal)*(1-EXP(('2019'!Tnet-t)/('2019'!Tau_j))),Resal+(Salim-Resal)*(1-EXP((Tnet-t)/(Tau_j))))*Salcycl</f>
        <v>3.2827739138493801E-2</v>
      </c>
      <c r="P100" s="169">
        <f>(INDEX(Models!$BJ100:$BT100,,T100)*(1-R100)+INDEX(Models!$BJ100:$BT100,,T100+1)*R100-ERP_i)*Q100*Ramure*Pc/MaxiM</f>
        <v>6.1358227670150843E-5</v>
      </c>
      <c r="Q100" s="304">
        <f t="shared" si="27"/>
        <v>0.6</v>
      </c>
      <c r="R100" s="177">
        <f t="shared" si="28"/>
        <v>2.0377966749312915E-2</v>
      </c>
      <c r="S100" s="799">
        <f t="shared" si="29"/>
        <v>-1</v>
      </c>
      <c r="T100" s="176">
        <f t="shared" si="30"/>
        <v>5</v>
      </c>
      <c r="U100" s="250">
        <f t="shared" si="31"/>
        <v>-0.97962203325068709</v>
      </c>
      <c r="V100" s="382">
        <f t="shared" si="32"/>
        <v>51.961194359462503</v>
      </c>
      <c r="W100" s="58"/>
      <c r="X100" s="157">
        <f t="shared" si="33"/>
        <v>43916</v>
      </c>
      <c r="Y100" s="383">
        <f t="shared" si="34"/>
        <v>26.934000000000001</v>
      </c>
      <c r="Z100" s="383">
        <f t="shared" si="35"/>
        <v>27.159480759653547</v>
      </c>
      <c r="AA100" s="384">
        <f t="shared" si="36"/>
        <v>28.081327245118992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3.2827739138493801E-2</v>
      </c>
      <c r="AD100" s="230">
        <f>(INDEX(Models!$BJ100:$BT100,,AH100)*(1-AF100)+INDEX(Models!$BJ100:$BT100,,AH100+1)*AF100-ERP_i)*AE100*Ramure*Pc/MaxiM</f>
        <v>6.1358227670150843E-5</v>
      </c>
      <c r="AE100" s="304">
        <f t="shared" si="38"/>
        <v>0.6</v>
      </c>
      <c r="AF100" s="177">
        <f t="shared" si="39"/>
        <v>2.0377966749312915E-2</v>
      </c>
      <c r="AG100" s="176">
        <f t="shared" si="40"/>
        <v>-1</v>
      </c>
      <c r="AH100" s="176">
        <f t="shared" si="41"/>
        <v>5</v>
      </c>
      <c r="AI100" s="224">
        <f t="shared" si="42"/>
        <v>-0.97962203325068709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49.070999999999998</v>
      </c>
      <c r="C101" s="388"/>
      <c r="D101" s="391">
        <f t="shared" si="24"/>
        <v>49.482751264562424</v>
      </c>
      <c r="E101" s="383">
        <f t="shared" si="46"/>
        <v>51.165718167979328</v>
      </c>
      <c r="F101" s="383">
        <f t="shared" si="25"/>
        <v>51.168506991237216</v>
      </c>
      <c r="G101" s="110">
        <f t="shared" si="47"/>
        <v>0.93824299708396197</v>
      </c>
      <c r="H101" s="412" t="b">
        <f>Wh_hp&gt;='2019'!Maxi_hp</f>
        <v>0</v>
      </c>
      <c r="I101" s="388">
        <f>IF(H101,Wh_hp,'2019'!Maxi_hp)</f>
        <v>52.80850109732495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8.321106932008937E-3</v>
      </c>
      <c r="M101" s="832"/>
      <c r="N101" s="832"/>
      <c r="O101" s="48">
        <f>IF(t&lt;Tnet,'2019'!Resal+('2019'!Salim-'2019'!Resal)*(1-EXP(('2019'!Tnet-t)/('2019'!Tau_j))),Resal+(Salim-Resal)*(1-EXP((Tnet-t)/(Tau_j))))*Salcycl</f>
        <v>3.2892471046563794E-2</v>
      </c>
      <c r="P101" s="169">
        <f>(INDEX(Models!$BJ101:$BT101,,T101)*(1-R101)+INDEX(Models!$BJ101:$BT101,,T101+1)*R101-ERP_i)*Q101*Ramure*Pc/MaxiM</f>
        <v>5.9776001529555526E-5</v>
      </c>
      <c r="Q101" s="304">
        <f t="shared" si="27"/>
        <v>0.6</v>
      </c>
      <c r="R101" s="177">
        <f t="shared" si="28"/>
        <v>2.1257288298977217E-2</v>
      </c>
      <c r="S101" s="799">
        <f t="shared" si="29"/>
        <v>-1</v>
      </c>
      <c r="T101" s="176">
        <f t="shared" si="30"/>
        <v>5</v>
      </c>
      <c r="U101" s="250">
        <f t="shared" si="31"/>
        <v>-0.97874271170102278</v>
      </c>
      <c r="V101" s="382">
        <f t="shared" si="32"/>
        <v>52.300674104297933</v>
      </c>
      <c r="W101" s="58"/>
      <c r="X101" s="157">
        <f t="shared" si="33"/>
        <v>43917</v>
      </c>
      <c r="Y101" s="383">
        <f t="shared" si="34"/>
        <v>49.070999999999998</v>
      </c>
      <c r="Z101" s="383">
        <f t="shared" si="35"/>
        <v>49.482751264562424</v>
      </c>
      <c r="AA101" s="384">
        <f t="shared" si="36"/>
        <v>51.165718167979328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3.2892471046563794E-2</v>
      </c>
      <c r="AD101" s="230">
        <f>(INDEX(Models!$BJ101:$BT101,,AH101)*(1-AF101)+INDEX(Models!$BJ101:$BT101,,AH101+1)*AF101-ERP_i)*AE101*Ramure*Pc/MaxiM</f>
        <v>5.9776001529555526E-5</v>
      </c>
      <c r="AE101" s="304">
        <f t="shared" si="38"/>
        <v>0.6</v>
      </c>
      <c r="AF101" s="177">
        <f t="shared" si="39"/>
        <v>2.1257288298977217E-2</v>
      </c>
      <c r="AG101" s="176">
        <f t="shared" si="40"/>
        <v>-1</v>
      </c>
      <c r="AH101" s="176">
        <f t="shared" si="41"/>
        <v>5</v>
      </c>
      <c r="AI101" s="224">
        <f t="shared" si="42"/>
        <v>-0.97874271170102278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49.945999999999998</v>
      </c>
      <c r="C102" s="388"/>
      <c r="D102" s="391">
        <f t="shared" si="24"/>
        <v>50.36605858123874</v>
      </c>
      <c r="E102" s="383">
        <f t="shared" si="46"/>
        <v>52.082565871242629</v>
      </c>
      <c r="F102" s="383">
        <f t="shared" si="25"/>
        <v>52.085379503406976</v>
      </c>
      <c r="G102" s="110">
        <f t="shared" si="47"/>
        <v>0.94891791460187469</v>
      </c>
      <c r="H102" s="412" t="b">
        <f>Wh_hp&gt;='2019'!Maxi_hp</f>
        <v>0</v>
      </c>
      <c r="I102" s="388">
        <f>IF(H102,Wh_hp,'2019'!Maxi_hp)</f>
        <v>53.276688443249576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8.3401122317562359E-3</v>
      </c>
      <c r="M102" s="832"/>
      <c r="N102" s="832"/>
      <c r="O102" s="48">
        <f>IF(t&lt;Tnet,'2019'!Resal+('2019'!Salim-'2019'!Resal)*(1-EXP(('2019'!Tnet-t)/('2019'!Tau_j))),Resal+(Salim-Resal)*(1-EXP((Tnet-t)/(Tau_j))))*Salcycl</f>
        <v>3.2957425604710038E-2</v>
      </c>
      <c r="P102" s="169">
        <f>(INDEX(Models!$BJ102:$BT102,,T102)*(1-R102)+INDEX(Models!$BJ102:$BT102,,T102+1)*R102-ERP_i)*Q102*Ramure*Pc/MaxiM</f>
        <v>5.8271616089069645E-5</v>
      </c>
      <c r="Q102" s="304">
        <f t="shared" si="27"/>
        <v>0.6</v>
      </c>
      <c r="R102" s="177">
        <f t="shared" si="28"/>
        <v>2.2170070583363621E-2</v>
      </c>
      <c r="S102" s="799">
        <f t="shared" si="29"/>
        <v>-1</v>
      </c>
      <c r="T102" s="176">
        <f t="shared" si="30"/>
        <v>5</v>
      </c>
      <c r="U102" s="250">
        <f t="shared" si="31"/>
        <v>-0.97782992941663638</v>
      </c>
      <c r="V102" s="382">
        <f t="shared" si="32"/>
        <v>52.63446590008968</v>
      </c>
      <c r="W102" s="58"/>
      <c r="X102" s="157">
        <f t="shared" si="33"/>
        <v>43918</v>
      </c>
      <c r="Y102" s="383">
        <f t="shared" si="34"/>
        <v>49.945999999999998</v>
      </c>
      <c r="Z102" s="383">
        <f t="shared" si="35"/>
        <v>50.36605858123874</v>
      </c>
      <c r="AA102" s="384">
        <f t="shared" si="36"/>
        <v>52.082565871242629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3.2957425604710038E-2</v>
      </c>
      <c r="AD102" s="230">
        <f>(INDEX(Models!$BJ102:$BT102,,AH102)*(1-AF102)+INDEX(Models!$BJ102:$BT102,,AH102+1)*AF102-ERP_i)*AE102*Ramure*Pc/MaxiM</f>
        <v>5.8271616089069645E-5</v>
      </c>
      <c r="AE102" s="304">
        <f t="shared" si="38"/>
        <v>0.6</v>
      </c>
      <c r="AF102" s="177">
        <f t="shared" si="39"/>
        <v>2.2170070583363621E-2</v>
      </c>
      <c r="AG102" s="176">
        <f t="shared" si="40"/>
        <v>-1</v>
      </c>
      <c r="AH102" s="176">
        <f t="shared" si="41"/>
        <v>5</v>
      </c>
      <c r="AI102" s="224">
        <f t="shared" si="42"/>
        <v>-0.97782992941663638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29.283999999999999</v>
      </c>
      <c r="C103" s="388"/>
      <c r="D103" s="391">
        <f t="shared" si="24"/>
        <v>29.530851850669073</v>
      </c>
      <c r="E103" s="383">
        <f t="shared" si="46"/>
        <v>30.539340793911752</v>
      </c>
      <c r="F103" s="383">
        <f t="shared" si="25"/>
        <v>30.539968062843165</v>
      </c>
      <c r="G103" s="110">
        <f t="shared" si="47"/>
        <v>0.55290750202981243</v>
      </c>
      <c r="H103" s="412" t="b">
        <f>Wh_hp&gt;='2019'!Maxi_hp</f>
        <v>0</v>
      </c>
      <c r="I103" s="388">
        <f>IF(H103,Wh_hp,'2019'!Maxi_hp)</f>
        <v>54.228775027955102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8.3591171672713349E-3</v>
      </c>
      <c r="M103" s="832"/>
      <c r="N103" s="832"/>
      <c r="O103" s="48">
        <f>IF(t&lt;Tnet,'2019'!Resal+('2019'!Salim-'2019'!Resal)*(1-EXP(('2019'!Tnet-t)/('2019'!Tau_j))),Resal+(Salim-Resal)*(1-EXP((Tnet-t)/(Tau_j))))*Salcycl</f>
        <v>3.3022616632371049E-2</v>
      </c>
      <c r="P103" s="169">
        <f>(INDEX(Models!$BJ103:$BT103,,T103)*(1-R103)+INDEX(Models!$BJ103:$BT103,,T103+1)*R103-ERP_i)*Q103*Ramure*Pc/MaxiM</f>
        <v>5.6844317464555762E-5</v>
      </c>
      <c r="Q103" s="304">
        <f t="shared" si="27"/>
        <v>0.6</v>
      </c>
      <c r="R103" s="177">
        <f t="shared" si="28"/>
        <v>2.3117444934981912E-2</v>
      </c>
      <c r="S103" s="799">
        <f t="shared" si="29"/>
        <v>-1</v>
      </c>
      <c r="T103" s="176">
        <f t="shared" si="30"/>
        <v>5</v>
      </c>
      <c r="U103" s="250">
        <f t="shared" si="31"/>
        <v>-0.97688255506501809</v>
      </c>
      <c r="V103" s="382">
        <f t="shared" si="32"/>
        <v>52.961728162343157</v>
      </c>
      <c r="W103" s="58"/>
      <c r="X103" s="157">
        <f t="shared" si="33"/>
        <v>43919</v>
      </c>
      <c r="Y103" s="383">
        <f t="shared" si="34"/>
        <v>29.283999999999999</v>
      </c>
      <c r="Z103" s="383">
        <f t="shared" si="35"/>
        <v>29.530851850669073</v>
      </c>
      <c r="AA103" s="384">
        <f t="shared" si="36"/>
        <v>30.539340793911752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3.3022616632371049E-2</v>
      </c>
      <c r="AD103" s="230">
        <f>(INDEX(Models!$BJ103:$BT103,,AH103)*(1-AF103)+INDEX(Models!$BJ103:$BT103,,AH103+1)*AF103-ERP_i)*AE103*Ramure*Pc/MaxiM</f>
        <v>5.6844317464555762E-5</v>
      </c>
      <c r="AE103" s="304">
        <f t="shared" si="38"/>
        <v>0.6</v>
      </c>
      <c r="AF103" s="177">
        <f t="shared" si="39"/>
        <v>2.3117444934981912E-2</v>
      </c>
      <c r="AG103" s="176">
        <f t="shared" si="40"/>
        <v>-1</v>
      </c>
      <c r="AH103" s="176">
        <f t="shared" si="41"/>
        <v>5</v>
      </c>
      <c r="AI103" s="224">
        <f t="shared" si="42"/>
        <v>-0.97688255506501809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18.707000000000001</v>
      </c>
      <c r="C104" s="388"/>
      <c r="D104" s="391">
        <f t="shared" si="24"/>
        <v>18.865053716642528</v>
      </c>
      <c r="E104" s="383">
        <f t="shared" si="46"/>
        <v>19.510622316781326</v>
      </c>
      <c r="F104" s="383">
        <f t="shared" si="25"/>
        <v>19.510701349805476</v>
      </c>
      <c r="G104" s="110">
        <f t="shared" si="47"/>
        <v>0.35107862343420193</v>
      </c>
      <c r="H104" s="412" t="b">
        <f>Wh_hp&gt;='2019'!Maxi_hp</f>
        <v>0</v>
      </c>
      <c r="I104" s="388">
        <f>IF(H104,Wh_hp,'2019'!Maxi_hp)</f>
        <v>45.909262215228203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8.3781217385612283E-3</v>
      </c>
      <c r="M104" s="832"/>
      <c r="N104" s="832"/>
      <c r="O104" s="48">
        <f>IF(t&lt;Tnet,'2019'!Resal+('2019'!Salim-'2019'!Resal)*(1-EXP(('2019'!Tnet-t)/('2019'!Tau_j))),Resal+(Salim-Resal)*(1-EXP((Tnet-t)/(Tau_j))))*Salcycl</f>
        <v>3.3088057861872404E-2</v>
      </c>
      <c r="P104" s="169">
        <f>(INDEX(Models!$BJ104:$BT104,,T104)*(1-R104)+INDEX(Models!$BJ104:$BT104,,T104+1)*R104-ERP_i)*Q104*Ramure*Pc/MaxiM</f>
        <v>5.5493361780582941E-5</v>
      </c>
      <c r="Q104" s="304">
        <f t="shared" si="27"/>
        <v>0.6</v>
      </c>
      <c r="R104" s="177">
        <f t="shared" si="28"/>
        <v>2.4100569418646134E-2</v>
      </c>
      <c r="S104" s="799">
        <f t="shared" si="29"/>
        <v>-1</v>
      </c>
      <c r="T104" s="176">
        <f t="shared" si="30"/>
        <v>5</v>
      </c>
      <c r="U104" s="250">
        <f t="shared" si="31"/>
        <v>-0.97589943058135387</v>
      </c>
      <c r="V104" s="382">
        <f t="shared" si="32"/>
        <v>53.281619587749155</v>
      </c>
      <c r="W104" s="58"/>
      <c r="X104" s="157">
        <f t="shared" si="33"/>
        <v>43920</v>
      </c>
      <c r="Y104" s="383">
        <f t="shared" si="34"/>
        <v>18.707000000000001</v>
      </c>
      <c r="Z104" s="383">
        <f t="shared" si="35"/>
        <v>18.865053716642528</v>
      </c>
      <c r="AA104" s="384">
        <f t="shared" si="36"/>
        <v>19.510622316781326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3.3088057861872404E-2</v>
      </c>
      <c r="AD104" s="230">
        <f>(INDEX(Models!$BJ104:$BT104,,AH104)*(1-AF104)+INDEX(Models!$BJ104:$BT104,,AH104+1)*AF104-ERP_i)*AE104*Ramure*Pc/MaxiM</f>
        <v>5.5493361780582941E-5</v>
      </c>
      <c r="AE104" s="304">
        <f t="shared" si="38"/>
        <v>0.6</v>
      </c>
      <c r="AF104" s="177">
        <f t="shared" si="39"/>
        <v>2.4100569418646134E-2</v>
      </c>
      <c r="AG104" s="176">
        <f t="shared" si="40"/>
        <v>-1</v>
      </c>
      <c r="AH104" s="176">
        <f t="shared" si="41"/>
        <v>5</v>
      </c>
      <c r="AI104" s="224">
        <f t="shared" si="42"/>
        <v>-0.97589943058135387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45.128</v>
      </c>
      <c r="C105" s="388"/>
      <c r="D105" s="391">
        <f t="shared" si="24"/>
        <v>45.510154499134437</v>
      </c>
      <c r="E105" s="383">
        <f t="shared" si="46"/>
        <v>47.070726195314329</v>
      </c>
      <c r="F105" s="383">
        <f t="shared" si="25"/>
        <v>47.072702485113226</v>
      </c>
      <c r="G105" s="110">
        <f t="shared" si="47"/>
        <v>0.84203526508350646</v>
      </c>
      <c r="H105" s="412" t="b">
        <f>Wh_hp&gt;='2019'!Maxi_hp</f>
        <v>1</v>
      </c>
      <c r="I105" s="388">
        <f>IF(H105,Wh_hp,'2019'!Maxi_hp)</f>
        <v>47.072702485113226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8.3971259456327996E-3</v>
      </c>
      <c r="M105" s="832"/>
      <c r="N105" s="832"/>
      <c r="O105" s="48">
        <f>IF(t&lt;Tnet,'2019'!Resal+('2019'!Salim-'2019'!Resal)*(1-EXP(('2019'!Tnet-t)/('2019'!Tau_j))),Resal+(Salim-Resal)*(1-EXP((Tnet-t)/(Tau_j))))*Salcycl</f>
        <v>3.3153762907852491E-2</v>
      </c>
      <c r="P105" s="169">
        <f>(INDEX(Models!$BJ105:$BT105,,T105)*(1-R105)+INDEX(Models!$BJ105:$BT105,,T105+1)*R105-ERP_i)*Q105*Ramure*Pc/MaxiM</f>
        <v>5.4218030738589911E-5</v>
      </c>
      <c r="Q105" s="304">
        <f t="shared" si="27"/>
        <v>0.6</v>
      </c>
      <c r="R105" s="177">
        <f t="shared" si="28"/>
        <v>2.5120628487931396E-2</v>
      </c>
      <c r="S105" s="799">
        <f t="shared" si="29"/>
        <v>-1</v>
      </c>
      <c r="T105" s="176">
        <f t="shared" si="30"/>
        <v>5</v>
      </c>
      <c r="U105" s="250">
        <f t="shared" si="31"/>
        <v>-0.9748793715120686</v>
      </c>
      <c r="V105" s="382">
        <f t="shared" si="32"/>
        <v>53.593299165324403</v>
      </c>
      <c r="W105" s="58"/>
      <c r="X105" s="157">
        <f t="shared" si="33"/>
        <v>43921</v>
      </c>
      <c r="Y105" s="383">
        <f t="shared" si="34"/>
        <v>45.128</v>
      </c>
      <c r="Z105" s="383">
        <f t="shared" si="35"/>
        <v>45.510154499134437</v>
      </c>
      <c r="AA105" s="384">
        <f t="shared" si="36"/>
        <v>47.070726195314329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3.3153762907852491E-2</v>
      </c>
      <c r="AD105" s="230">
        <f>(INDEX(Models!$BJ105:$BT105,,AH105)*(1-AF105)+INDEX(Models!$BJ105:$BT105,,AH105+1)*AF105-ERP_i)*AE105*Ramure*Pc/MaxiM</f>
        <v>5.4218030738589911E-5</v>
      </c>
      <c r="AE105" s="304">
        <f t="shared" si="38"/>
        <v>0.6</v>
      </c>
      <c r="AF105" s="177">
        <f t="shared" si="39"/>
        <v>2.5120628487931396E-2</v>
      </c>
      <c r="AG105" s="176">
        <f t="shared" si="40"/>
        <v>-1</v>
      </c>
      <c r="AH105" s="176">
        <f t="shared" si="41"/>
        <v>5</v>
      </c>
      <c r="AI105" s="224">
        <f t="shared" si="42"/>
        <v>-0.9748793715120686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42.337000000000003</v>
      </c>
      <c r="C106" s="388"/>
      <c r="D106" s="391">
        <f t="shared" si="24"/>
        <v>42.696337921440204</v>
      </c>
      <c r="E106" s="383">
        <f t="shared" si="46"/>
        <v>44.163436014672676</v>
      </c>
      <c r="F106" s="383">
        <f t="shared" si="25"/>
        <v>44.165060139896411</v>
      </c>
      <c r="G106" s="110">
        <f t="shared" si="47"/>
        <v>0.78551970937202154</v>
      </c>
      <c r="H106" s="412" t="b">
        <f>Wh_hp&gt;='2019'!Maxi_hp</f>
        <v>1</v>
      </c>
      <c r="I106" s="388">
        <f>IF(H106,Wh_hp,'2019'!Maxi_hp)</f>
        <v>44.165060139896411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8.4161297884930431E-3</v>
      </c>
      <c r="M106" s="832"/>
      <c r="N106" s="832"/>
      <c r="O106" s="48">
        <f>IF(t&lt;Tnet,'2019'!Resal+('2019'!Salim-'2019'!Resal)*(1-EXP(('2019'!Tnet-t)/('2019'!Tau_j))),Resal+(Salim-Resal)*(1-EXP((Tnet-t)/(Tau_j))))*Salcycl</f>
        <v>3.3219745237781026E-2</v>
      </c>
      <c r="P106" s="169">
        <f>(INDEX(Models!$BJ106:$BT106,,T106)*(1-R106)+INDEX(Models!$BJ106:$BT106,,T106+1)*R106-ERP_i)*Q106*Ramure*Pc/MaxiM</f>
        <v>5.3017646691671334E-5</v>
      </c>
      <c r="Q106" s="304">
        <f t="shared" si="27"/>
        <v>0.6</v>
      </c>
      <c r="R106" s="177">
        <f t="shared" si="28"/>
        <v>2.6178832537370744E-2</v>
      </c>
      <c r="S106" s="799">
        <f t="shared" si="29"/>
        <v>-1</v>
      </c>
      <c r="T106" s="176">
        <f t="shared" si="30"/>
        <v>5</v>
      </c>
      <c r="U106" s="250">
        <f t="shared" si="31"/>
        <v>-0.97382116746262926</v>
      </c>
      <c r="V106" s="382">
        <f t="shared" si="32"/>
        <v>53.895926176843929</v>
      </c>
      <c r="W106" s="58"/>
      <c r="X106" s="157">
        <f t="shared" si="33"/>
        <v>43922</v>
      </c>
      <c r="Y106" s="383">
        <f t="shared" si="34"/>
        <v>42.337000000000003</v>
      </c>
      <c r="Z106" s="383">
        <f t="shared" si="35"/>
        <v>42.696337921440204</v>
      </c>
      <c r="AA106" s="384">
        <f t="shared" si="36"/>
        <v>44.163436014672676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3.3219745237781026E-2</v>
      </c>
      <c r="AD106" s="230">
        <f>(INDEX(Models!$BJ106:$BT106,,AH106)*(1-AF106)+INDEX(Models!$BJ106:$BT106,,AH106+1)*AF106-ERP_i)*AE106*Ramure*Pc/MaxiM</f>
        <v>5.3017646691671334E-5</v>
      </c>
      <c r="AE106" s="304">
        <f t="shared" si="38"/>
        <v>0.6</v>
      </c>
      <c r="AF106" s="177">
        <f t="shared" si="39"/>
        <v>2.6178832537370744E-2</v>
      </c>
      <c r="AG106" s="176">
        <f t="shared" si="40"/>
        <v>-1</v>
      </c>
      <c r="AH106" s="176">
        <f t="shared" si="41"/>
        <v>5</v>
      </c>
      <c r="AI106" s="224">
        <f t="shared" si="42"/>
        <v>-0.97382116746262926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27.228000000000002</v>
      </c>
      <c r="C107" s="388"/>
      <c r="D107" s="391">
        <f t="shared" si="24"/>
        <v>27.459625601413947</v>
      </c>
      <c r="E107" s="383">
        <f t="shared" si="46"/>
        <v>28.40511890464261</v>
      </c>
      <c r="F107" s="383">
        <f t="shared" si="25"/>
        <v>28.405545180440075</v>
      </c>
      <c r="G107" s="110">
        <f t="shared" si="47"/>
        <v>0.50242659290240377</v>
      </c>
      <c r="H107" s="412" t="b">
        <f>Wh_hp&gt;='2019'!Maxi_hp</f>
        <v>1</v>
      </c>
      <c r="I107" s="388">
        <f>IF(H107,Wh_hp,'2019'!Maxi_hp)</f>
        <v>28.405545180440075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8.4351332671490642E-3</v>
      </c>
      <c r="M107" s="832"/>
      <c r="N107" s="832"/>
      <c r="O107" s="48">
        <f>IF(t&lt;Tnet,'2019'!Resal+('2019'!Salim-'2019'!Resal)*(1-EXP(('2019'!Tnet-t)/('2019'!Tau_j))),Resal+(Salim-Resal)*(1-EXP((Tnet-t)/(Tau_j))))*Salcycl</f>
        <v>3.3286018143515901E-2</v>
      </c>
      <c r="P107" s="169">
        <f>(INDEX(Models!$BJ107:$BT107,,T107)*(1-R107)+INDEX(Models!$BJ107:$BT107,,T107+1)*R107-ERP_i)*Q107*Ramure*Pc/MaxiM</f>
        <v>5.1889354024004066E-5</v>
      </c>
      <c r="Q107" s="304">
        <f t="shared" si="27"/>
        <v>0.6</v>
      </c>
      <c r="R107" s="177">
        <f t="shared" si="28"/>
        <v>2.7276417342184334E-2</v>
      </c>
      <c r="S107" s="799">
        <f t="shared" si="29"/>
        <v>-1</v>
      </c>
      <c r="T107" s="176">
        <f t="shared" si="30"/>
        <v>5</v>
      </c>
      <c r="U107" s="250">
        <f t="shared" si="31"/>
        <v>-0.97272358265781567</v>
      </c>
      <c r="V107" s="382">
        <f t="shared" si="32"/>
        <v>54.190992536737809</v>
      </c>
      <c r="W107" s="58"/>
      <c r="X107" s="157">
        <f t="shared" si="33"/>
        <v>43923</v>
      </c>
      <c r="Y107" s="383">
        <f t="shared" si="34"/>
        <v>27.228000000000002</v>
      </c>
      <c r="Z107" s="383">
        <f t="shared" si="35"/>
        <v>27.459625601413947</v>
      </c>
      <c r="AA107" s="384">
        <f t="shared" si="36"/>
        <v>28.40511890464261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3.3286018143515901E-2</v>
      </c>
      <c r="AD107" s="230">
        <f>(INDEX(Models!$BJ107:$BT107,,AH107)*(1-AF107)+INDEX(Models!$BJ107:$BT107,,AH107+1)*AF107-ERP_i)*AE107*Ramure*Pc/MaxiM</f>
        <v>5.1889354024004066E-5</v>
      </c>
      <c r="AE107" s="304">
        <f t="shared" si="38"/>
        <v>0.6</v>
      </c>
      <c r="AF107" s="177">
        <f t="shared" si="39"/>
        <v>2.7276417342184334E-2</v>
      </c>
      <c r="AG107" s="176">
        <f t="shared" si="40"/>
        <v>-1</v>
      </c>
      <c r="AH107" s="176">
        <f t="shared" si="41"/>
        <v>5</v>
      </c>
      <c r="AI107" s="224">
        <f t="shared" si="42"/>
        <v>-0.97272358265781567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55.165999999999997</v>
      </c>
      <c r="C108" s="388"/>
      <c r="D108" s="391">
        <f t="shared" si="24"/>
        <v>55.63635735283674</v>
      </c>
      <c r="E108" s="383">
        <f t="shared" si="46"/>
        <v>57.555999269832313</v>
      </c>
      <c r="F108" s="383">
        <f t="shared" si="25"/>
        <v>57.558924699627966</v>
      </c>
      <c r="G108" s="110">
        <f t="shared" si="47"/>
        <v>1.0125828386719014</v>
      </c>
      <c r="H108" s="412" t="b">
        <f>Wh_hp&gt;='2019'!Maxi_hp</f>
        <v>1</v>
      </c>
      <c r="I108" s="388">
        <f>IF(H108,Wh_hp,'2019'!Maxi_hp)</f>
        <v>57.558924699627966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8.4541363816076354E-3</v>
      </c>
      <c r="M108" s="832"/>
      <c r="N108" s="832"/>
      <c r="O108" s="48">
        <f>IF(t&lt;Tnet,'2019'!Resal+('2019'!Salim-'2019'!Resal)*(1-EXP(('2019'!Tnet-t)/('2019'!Tau_j))),Resal+(Salim-Resal)*(1-EXP((Tnet-t)/(Tau_j))))*Salcycl</f>
        <v>3.3352594713818885E-2</v>
      </c>
      <c r="P108" s="169">
        <f>(INDEX(Models!$BJ108:$BT108,,T108)*(1-R108)+INDEX(Models!$BJ108:$BT108,,T108+1)*R108-ERP_i)*Q108*Ramure*Pc/MaxiM</f>
        <v>5.0824955659229784E-5</v>
      </c>
      <c r="Q108" s="304">
        <f t="shared" si="27"/>
        <v>0.6</v>
      </c>
      <c r="R108" s="177">
        <f t="shared" si="28"/>
        <v>2.841464337703703E-2</v>
      </c>
      <c r="S108" s="799">
        <f t="shared" si="29"/>
        <v>-1</v>
      </c>
      <c r="T108" s="176">
        <f t="shared" si="30"/>
        <v>5</v>
      </c>
      <c r="U108" s="250">
        <f t="shared" si="31"/>
        <v>-0.97158535662296297</v>
      </c>
      <c r="V108" s="382">
        <f t="shared" si="32"/>
        <v>54.480480898091706</v>
      </c>
      <c r="W108" s="58"/>
      <c r="X108" s="157">
        <f t="shared" si="33"/>
        <v>43924</v>
      </c>
      <c r="Y108" s="383">
        <f t="shared" si="34"/>
        <v>55.165999999999997</v>
      </c>
      <c r="Z108" s="383">
        <f t="shared" si="35"/>
        <v>55.63635735283674</v>
      </c>
      <c r="AA108" s="384">
        <f t="shared" si="36"/>
        <v>57.555999269832313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3.3352594713818885E-2</v>
      </c>
      <c r="AD108" s="230">
        <f>(INDEX(Models!$BJ108:$BT108,,AH108)*(1-AF108)+INDEX(Models!$BJ108:$BT108,,AH108+1)*AF108-ERP_i)*AE108*Ramure*Pc/MaxiM</f>
        <v>5.0824955659229784E-5</v>
      </c>
      <c r="AE108" s="304">
        <f t="shared" si="38"/>
        <v>0.6</v>
      </c>
      <c r="AF108" s="177">
        <f t="shared" si="39"/>
        <v>2.841464337703703E-2</v>
      </c>
      <c r="AG108" s="176">
        <f t="shared" si="40"/>
        <v>-1</v>
      </c>
      <c r="AH108" s="176">
        <f t="shared" si="41"/>
        <v>5</v>
      </c>
      <c r="AI108" s="224">
        <f t="shared" si="42"/>
        <v>-0.97158535662296297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56.668999999999997</v>
      </c>
      <c r="C109" s="388"/>
      <c r="D109" s="391">
        <f t="shared" si="24"/>
        <v>57.153267588115433</v>
      </c>
      <c r="E109" s="383">
        <f t="shared" si="46"/>
        <v>59.129339839976467</v>
      </c>
      <c r="F109" s="383">
        <f t="shared" si="25"/>
        <v>59.132284614261103</v>
      </c>
      <c r="G109" s="110">
        <f t="shared" si="47"/>
        <v>1.0347801875868516</v>
      </c>
      <c r="H109" s="412" t="b">
        <f>Wh_hp&gt;='2019'!Maxi_hp</f>
        <v>1</v>
      </c>
      <c r="I109" s="388">
        <f>IF(H109,Wh_hp,'2019'!Maxi_hp)</f>
        <v>59.132284614261103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8.473139131875973E-3</v>
      </c>
      <c r="M109" s="832"/>
      <c r="N109" s="832"/>
      <c r="O109" s="48">
        <f>IF(t&lt;Tnet,'2019'!Resal+('2019'!Salim-'2019'!Resal)*(1-EXP(('2019'!Tnet-t)/('2019'!Tau_j))),Resal+(Salim-Resal)*(1-EXP((Tnet-t)/(Tau_j))))*Salcycl</f>
        <v>3.3419487807726841E-2</v>
      </c>
      <c r="P109" s="169">
        <f>(INDEX(Models!$BJ109:$BT109,,T109)*(1-R109)+INDEX(Models!$BJ109:$BT109,,T109+1)*R109-ERP_i)*Q109*Ramure*Pc/MaxiM</f>
        <v>4.9799771881638862E-5</v>
      </c>
      <c r="Q109" s="304">
        <f t="shared" si="27"/>
        <v>0.6</v>
      </c>
      <c r="R109" s="177">
        <f t="shared" si="28"/>
        <v>2.9594795005055685E-2</v>
      </c>
      <c r="S109" s="799">
        <f t="shared" si="29"/>
        <v>-1</v>
      </c>
      <c r="T109" s="176">
        <f t="shared" si="30"/>
        <v>5</v>
      </c>
      <c r="U109" s="250">
        <f t="shared" si="31"/>
        <v>-0.97040520499494431</v>
      </c>
      <c r="V109" s="382">
        <f t="shared" si="32"/>
        <v>54.764287797347897</v>
      </c>
      <c r="W109" s="58"/>
      <c r="X109" s="157">
        <f t="shared" si="33"/>
        <v>43925</v>
      </c>
      <c r="Y109" s="383">
        <f t="shared" si="34"/>
        <v>56.668999999999997</v>
      </c>
      <c r="Z109" s="383">
        <f t="shared" si="35"/>
        <v>57.153267588115433</v>
      </c>
      <c r="AA109" s="384">
        <f t="shared" si="36"/>
        <v>59.129339839976467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3.3419487807726841E-2</v>
      </c>
      <c r="AD109" s="230">
        <f>(INDEX(Models!$BJ109:$BT109,,AH109)*(1-AF109)+INDEX(Models!$BJ109:$BT109,,AH109+1)*AF109-ERP_i)*AE109*Ramure*Pc/MaxiM</f>
        <v>4.9799771881638862E-5</v>
      </c>
      <c r="AE109" s="304">
        <f t="shared" si="38"/>
        <v>0.6</v>
      </c>
      <c r="AF109" s="177">
        <f t="shared" si="39"/>
        <v>2.9594795005055685E-2</v>
      </c>
      <c r="AG109" s="176">
        <f t="shared" si="40"/>
        <v>-1</v>
      </c>
      <c r="AH109" s="176">
        <f t="shared" si="41"/>
        <v>5</v>
      </c>
      <c r="AI109" s="224">
        <f t="shared" si="42"/>
        <v>-0.97040520499494431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57.189</v>
      </c>
      <c r="C110" s="388"/>
      <c r="D110" s="391">
        <f t="shared" si="24"/>
        <v>57.678816673782279</v>
      </c>
      <c r="E110" s="383">
        <f t="shared" si="46"/>
        <v>59.677210103848985</v>
      </c>
      <c r="F110" s="383">
        <f t="shared" si="25"/>
        <v>59.680123270108488</v>
      </c>
      <c r="G110" s="110">
        <f t="shared" si="47"/>
        <v>1.0390007527850458</v>
      </c>
      <c r="H110" s="412" t="b">
        <f>Wh_hp&gt;='2019'!Maxi_hp</f>
        <v>1</v>
      </c>
      <c r="I110" s="388">
        <f>IF(H110,Wh_hp,'2019'!Maxi_hp)</f>
        <v>59.680123270108488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8.4921415179608495E-3</v>
      </c>
      <c r="M110" s="832"/>
      <c r="N110" s="832"/>
      <c r="O110" s="48">
        <f>IF(t&lt;Tnet,'2019'!Resal+('2019'!Salim-'2019'!Resal)*(1-EXP(('2019'!Tnet-t)/('2019'!Tau_j))),Resal+(Salim-Resal)*(1-EXP((Tnet-t)/(Tau_j))))*Salcycl</f>
        <v>3.3486710028654935E-2</v>
      </c>
      <c r="P110" s="169">
        <f>(INDEX(Models!$BJ110:$BT110,,T110)*(1-R110)+INDEX(Models!$BJ110:$BT110,,T110+1)*R110-ERP_i)*Q110*Ramure*Pc/MaxiM</f>
        <v>4.8813006741308055E-5</v>
      </c>
      <c r="Q110" s="304">
        <f t="shared" si="27"/>
        <v>0.6</v>
      </c>
      <c r="R110" s="177">
        <f t="shared" si="28"/>
        <v>3.0818179528095957E-2</v>
      </c>
      <c r="S110" s="799">
        <f t="shared" si="29"/>
        <v>-1</v>
      </c>
      <c r="T110" s="176">
        <f t="shared" si="30"/>
        <v>5</v>
      </c>
      <c r="U110" s="250">
        <f t="shared" si="31"/>
        <v>-0.96918182047190404</v>
      </c>
      <c r="V110" s="382">
        <f t="shared" si="32"/>
        <v>55.042308532216794</v>
      </c>
      <c r="W110" s="58"/>
      <c r="X110" s="157">
        <f t="shared" si="33"/>
        <v>43926</v>
      </c>
      <c r="Y110" s="383">
        <f t="shared" si="34"/>
        <v>57.189</v>
      </c>
      <c r="Z110" s="383">
        <f t="shared" si="35"/>
        <v>57.678816673782279</v>
      </c>
      <c r="AA110" s="384">
        <f t="shared" si="36"/>
        <v>59.677210103848985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3.3486710028654935E-2</v>
      </c>
      <c r="AD110" s="230">
        <f>(INDEX(Models!$BJ110:$BT110,,AH110)*(1-AF110)+INDEX(Models!$BJ110:$BT110,,AH110+1)*AF110-ERP_i)*AE110*Ramure*Pc/MaxiM</f>
        <v>4.8813006741308055E-5</v>
      </c>
      <c r="AE110" s="304">
        <f t="shared" si="38"/>
        <v>0.6</v>
      </c>
      <c r="AF110" s="177">
        <f t="shared" si="39"/>
        <v>3.0818179528095957E-2</v>
      </c>
      <c r="AG110" s="176">
        <f t="shared" si="40"/>
        <v>-1</v>
      </c>
      <c r="AH110" s="176">
        <f t="shared" si="41"/>
        <v>5</v>
      </c>
      <c r="AI110" s="224">
        <f t="shared" si="42"/>
        <v>-0.96918182047190404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32.110999999999997</v>
      </c>
      <c r="C111" s="388"/>
      <c r="D111" s="391">
        <f t="shared" si="24"/>
        <v>32.38664740483771</v>
      </c>
      <c r="E111" s="383">
        <f t="shared" si="46"/>
        <v>33.51108761047373</v>
      </c>
      <c r="F111" s="383">
        <f t="shared" si="25"/>
        <v>33.511730397190455</v>
      </c>
      <c r="G111" s="110">
        <f t="shared" si="47"/>
        <v>0.58050085734163015</v>
      </c>
      <c r="H111" s="412" t="b">
        <f>Wh_hp&gt;='2019'!Maxi_hp</f>
        <v>1</v>
      </c>
      <c r="I111" s="388">
        <f>IF(H111,Wh_hp,'2019'!Maxi_hp)</f>
        <v>33.511730397190455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8.5111435398693702E-3</v>
      </c>
      <c r="M111" s="832"/>
      <c r="N111" s="832"/>
      <c r="O111" s="48">
        <f>IF(t&lt;Tnet,'2019'!Resal+('2019'!Salim-'2019'!Resal)*(1-EXP(('2019'!Tnet-t)/('2019'!Tau_j))),Resal+(Salim-Resal)*(1-EXP((Tnet-t)/(Tau_j))))*Salcycl</f>
        <v>3.3554273699090038E-2</v>
      </c>
      <c r="P111" s="169">
        <f>(INDEX(Models!$BJ111:$BT111,,T111)*(1-R111)+INDEX(Models!$BJ111:$BT111,,T111+1)*R111-ERP_i)*Q111*Ramure*Pc/MaxiM</f>
        <v>4.7863902688395873E-5</v>
      </c>
      <c r="Q111" s="304">
        <f t="shared" si="27"/>
        <v>0.6</v>
      </c>
      <c r="R111" s="177">
        <f t="shared" si="28"/>
        <v>3.2086126089044931E-2</v>
      </c>
      <c r="S111" s="799">
        <f t="shared" si="29"/>
        <v>-1</v>
      </c>
      <c r="T111" s="176">
        <f t="shared" si="30"/>
        <v>5</v>
      </c>
      <c r="U111" s="250">
        <f t="shared" si="31"/>
        <v>-0.96791387391095507</v>
      </c>
      <c r="V111" s="382">
        <f t="shared" si="32"/>
        <v>55.314438450585286</v>
      </c>
      <c r="W111" s="58"/>
      <c r="X111" s="157">
        <f t="shared" si="33"/>
        <v>43927</v>
      </c>
      <c r="Y111" s="383">
        <f t="shared" si="34"/>
        <v>32.110999999999997</v>
      </c>
      <c r="Z111" s="383">
        <f t="shared" si="35"/>
        <v>32.38664740483771</v>
      </c>
      <c r="AA111" s="384">
        <f t="shared" si="36"/>
        <v>33.51108761047373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3.3554273699090038E-2</v>
      </c>
      <c r="AD111" s="230">
        <f>(INDEX(Models!$BJ111:$BT111,,AH111)*(1-AF111)+INDEX(Models!$BJ111:$BT111,,AH111+1)*AF111-ERP_i)*AE111*Ramure*Pc/MaxiM</f>
        <v>4.7863902688395873E-5</v>
      </c>
      <c r="AE111" s="304">
        <f t="shared" si="38"/>
        <v>0.6</v>
      </c>
      <c r="AF111" s="177">
        <f t="shared" si="39"/>
        <v>3.2086126089044931E-2</v>
      </c>
      <c r="AG111" s="176">
        <f t="shared" si="40"/>
        <v>-1</v>
      </c>
      <c r="AH111" s="176">
        <f t="shared" si="41"/>
        <v>5</v>
      </c>
      <c r="AI111" s="224">
        <f t="shared" si="42"/>
        <v>-0.96791387391095507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35.213000000000001</v>
      </c>
      <c r="C112" s="388"/>
      <c r="D112" s="391">
        <f t="shared" si="24"/>
        <v>35.515956263761801</v>
      </c>
      <c r="E112" s="383">
        <f t="shared" si="46"/>
        <v>36.751626462196818</v>
      </c>
      <c r="F112" s="383">
        <f t="shared" si="25"/>
        <v>36.752448703352073</v>
      </c>
      <c r="G112" s="110">
        <f t="shared" si="47"/>
        <v>0.63353313213851747</v>
      </c>
      <c r="H112" s="412" t="b">
        <f>Wh_hp&gt;='2019'!Maxi_hp</f>
        <v>1</v>
      </c>
      <c r="I112" s="388">
        <f>IF(H112,Wh_hp,'2019'!Maxi_hp)</f>
        <v>36.752448703352073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8.5301451976084186E-3</v>
      </c>
      <c r="M112" s="832"/>
      <c r="N112" s="832"/>
      <c r="O112" s="48">
        <f>IF(t&lt;Tnet,'2019'!Resal+('2019'!Salim-'2019'!Resal)*(1-EXP(('2019'!Tnet-t)/('2019'!Tau_j))),Resal+(Salim-Resal)*(1-EXP((Tnet-t)/(Tau_j))))*Salcycl</f>
        <v>3.3622190835718407E-2</v>
      </c>
      <c r="P112" s="169">
        <f>(INDEX(Models!$BJ112:$BT112,,T112)*(1-R112)+INDEX(Models!$BJ112:$BT112,,T112+1)*R112-ERP_i)*Q112*Ramure*Pc/MaxiM</f>
        <v>4.6951742210284414E-5</v>
      </c>
      <c r="Q112" s="304">
        <f t="shared" si="27"/>
        <v>0.6</v>
      </c>
      <c r="R112" s="177">
        <f t="shared" si="28"/>
        <v>3.3399984416788486E-2</v>
      </c>
      <c r="S112" s="799">
        <f t="shared" si="29"/>
        <v>-1</v>
      </c>
      <c r="T112" s="176">
        <f t="shared" si="30"/>
        <v>5</v>
      </c>
      <c r="U112" s="250">
        <f t="shared" si="31"/>
        <v>-0.96660001558321151</v>
      </c>
      <c r="V112" s="382">
        <f t="shared" si="32"/>
        <v>55.58057295289742</v>
      </c>
      <c r="W112" s="58"/>
      <c r="X112" s="157">
        <f t="shared" si="33"/>
        <v>43928</v>
      </c>
      <c r="Y112" s="383">
        <f t="shared" si="34"/>
        <v>35.213000000000001</v>
      </c>
      <c r="Z112" s="383">
        <f t="shared" si="35"/>
        <v>35.515956263761801</v>
      </c>
      <c r="AA112" s="384">
        <f t="shared" si="36"/>
        <v>36.751626462196818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3.3622190835718407E-2</v>
      </c>
      <c r="AD112" s="230">
        <f>(INDEX(Models!$BJ112:$BT112,,AH112)*(1-AF112)+INDEX(Models!$BJ112:$BT112,,AH112+1)*AF112-ERP_i)*AE112*Ramure*Pc/MaxiM</f>
        <v>4.6951742210284414E-5</v>
      </c>
      <c r="AE112" s="304">
        <f t="shared" si="38"/>
        <v>0.6</v>
      </c>
      <c r="AF112" s="177">
        <f t="shared" si="39"/>
        <v>3.3399984416788486E-2</v>
      </c>
      <c r="AG112" s="176">
        <f t="shared" si="40"/>
        <v>-1</v>
      </c>
      <c r="AH112" s="176">
        <f t="shared" si="41"/>
        <v>5</v>
      </c>
      <c r="AI112" s="224">
        <f t="shared" si="42"/>
        <v>-0.96660001558321151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43.156999999999996</v>
      </c>
      <c r="C113" s="388"/>
      <c r="D113" s="391">
        <f t="shared" si="24"/>
        <v>43.529136968579245</v>
      </c>
      <c r="E113" s="383">
        <f t="shared" si="46"/>
        <v>45.04678444943243</v>
      </c>
      <c r="F113" s="383">
        <f t="shared" si="25"/>
        <v>45.048186570983958</v>
      </c>
      <c r="G113" s="110">
        <f t="shared" si="47"/>
        <v>0.77284894776554935</v>
      </c>
      <c r="H113" s="412" t="b">
        <f>Wh_hp&gt;='2019'!Maxi_hp</f>
        <v>1</v>
      </c>
      <c r="I113" s="388">
        <f>IF(H113,Wh_hp,'2019'!Maxi_hp)</f>
        <v>45.048186570983958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8.5491464911851001E-3</v>
      </c>
      <c r="M113" s="832"/>
      <c r="N113" s="832"/>
      <c r="O113" s="48">
        <f>IF(t&lt;Tnet,'2019'!Resal+('2019'!Salim-'2019'!Resal)*(1-EXP(('2019'!Tnet-t)/('2019'!Tau_j))),Resal+(Salim-Resal)*(1-EXP((Tnet-t)/(Tau_j))))*Salcycl</f>
        <v>3.369047312482043E-2</v>
      </c>
      <c r="P113" s="169">
        <f>(INDEX(Models!$BJ113:$BT113,,T113)*(1-R113)+INDEX(Models!$BJ113:$BT113,,T113+1)*R113-ERP_i)*Q113*Ramure*Pc/MaxiM</f>
        <v>4.607584957975943E-5</v>
      </c>
      <c r="Q113" s="304">
        <f t="shared" si="27"/>
        <v>0.6</v>
      </c>
      <c r="R113" s="177">
        <f t="shared" si="28"/>
        <v>3.4761123404354555E-2</v>
      </c>
      <c r="S113" s="799">
        <f t="shared" si="29"/>
        <v>-1</v>
      </c>
      <c r="T113" s="176">
        <f t="shared" si="30"/>
        <v>5</v>
      </c>
      <c r="U113" s="250">
        <f t="shared" si="31"/>
        <v>-0.96523887659564545</v>
      </c>
      <c r="V113" s="382">
        <f t="shared" si="32"/>
        <v>55.840607492260126</v>
      </c>
      <c r="W113" s="58"/>
      <c r="X113" s="157">
        <f t="shared" si="33"/>
        <v>43929</v>
      </c>
      <c r="Y113" s="383">
        <f t="shared" si="34"/>
        <v>43.156999999999996</v>
      </c>
      <c r="Z113" s="383">
        <f t="shared" si="35"/>
        <v>43.529136968579245</v>
      </c>
      <c r="AA113" s="384">
        <f t="shared" si="36"/>
        <v>45.04678444943243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3.369047312482043E-2</v>
      </c>
      <c r="AD113" s="230">
        <f>(INDEX(Models!$BJ113:$BT113,,AH113)*(1-AF113)+INDEX(Models!$BJ113:$BT113,,AH113+1)*AF113-ERP_i)*AE113*Ramure*Pc/MaxiM</f>
        <v>4.607584957975943E-5</v>
      </c>
      <c r="AE113" s="304">
        <f t="shared" si="38"/>
        <v>0.6</v>
      </c>
      <c r="AF113" s="177">
        <f t="shared" si="39"/>
        <v>3.4761123404354555E-2</v>
      </c>
      <c r="AG113" s="176">
        <f t="shared" si="40"/>
        <v>-1</v>
      </c>
      <c r="AH113" s="176">
        <f t="shared" si="41"/>
        <v>5</v>
      </c>
      <c r="AI113" s="224">
        <f t="shared" si="42"/>
        <v>-0.96523887659564545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55.725999999999999</v>
      </c>
      <c r="C114" s="388"/>
      <c r="D114" s="391">
        <f t="shared" si="24"/>
        <v>56.207594959773061</v>
      </c>
      <c r="E114" s="383">
        <f t="shared" si="46"/>
        <v>58.171411306756575</v>
      </c>
      <c r="F114" s="383">
        <f t="shared" si="25"/>
        <v>58.174018609089053</v>
      </c>
      <c r="G114" s="110">
        <f t="shared" si="47"/>
        <v>0.99343142002008156</v>
      </c>
      <c r="H114" s="412" t="b">
        <f>Wh_hp&gt;='2019'!Maxi_hp</f>
        <v>1</v>
      </c>
      <c r="I114" s="388">
        <f>IF(H114,Wh_hp,'2019'!Maxi_hp)</f>
        <v>58.174018609089053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8.568147420606298E-3</v>
      </c>
      <c r="M114" s="832"/>
      <c r="N114" s="832"/>
      <c r="O114" s="48">
        <f>IF(t&lt;Tnet,'2019'!Resal+('2019'!Salim-'2019'!Resal)*(1-EXP(('2019'!Tnet-t)/('2019'!Tau_j))),Resal+(Salim-Resal)*(1-EXP((Tnet-t)/(Tau_j))))*Salcycl</f>
        <v>3.3759131897757796E-2</v>
      </c>
      <c r="P114" s="169">
        <f>(INDEX(Models!$BJ114:$BT114,,T114)*(1-R114)+INDEX(Models!$BJ114:$BT114,,T114+1)*R114-ERP_i)*Q114*Ramure*Pc/MaxiM</f>
        <v>4.5243540968048379E-5</v>
      </c>
      <c r="Q114" s="304">
        <f t="shared" si="27"/>
        <v>0.6</v>
      </c>
      <c r="R114" s="177">
        <f t="shared" si="28"/>
        <v>3.6170929510697114E-2</v>
      </c>
      <c r="S114" s="799">
        <f t="shared" si="29"/>
        <v>-1</v>
      </c>
      <c r="T114" s="176">
        <f t="shared" si="30"/>
        <v>5</v>
      </c>
      <c r="U114" s="250">
        <f t="shared" si="31"/>
        <v>-0.96382907048930289</v>
      </c>
      <c r="V114" s="382">
        <f t="shared" si="32"/>
        <v>56.094437138694381</v>
      </c>
      <c r="W114" s="58"/>
      <c r="X114" s="157">
        <f t="shared" si="33"/>
        <v>43930</v>
      </c>
      <c r="Y114" s="383">
        <f t="shared" si="34"/>
        <v>55.725999999999999</v>
      </c>
      <c r="Z114" s="383">
        <f t="shared" si="35"/>
        <v>56.207594959773061</v>
      </c>
      <c r="AA114" s="384">
        <f t="shared" si="36"/>
        <v>58.171411306756575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3.3759131897757796E-2</v>
      </c>
      <c r="AD114" s="230">
        <f>(INDEX(Models!$BJ114:$BT114,,AH114)*(1-AF114)+INDEX(Models!$BJ114:$BT114,,AH114+1)*AF114-ERP_i)*AE114*Ramure*Pc/MaxiM</f>
        <v>4.5243540968048379E-5</v>
      </c>
      <c r="AE114" s="304">
        <f t="shared" si="38"/>
        <v>0.6</v>
      </c>
      <c r="AF114" s="177">
        <f t="shared" si="39"/>
        <v>3.6170929510697114E-2</v>
      </c>
      <c r="AG114" s="176">
        <f t="shared" si="40"/>
        <v>-1</v>
      </c>
      <c r="AH114" s="176">
        <f t="shared" si="41"/>
        <v>5</v>
      </c>
      <c r="AI114" s="224">
        <f t="shared" si="42"/>
        <v>-0.96382907048930289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56.899000000000001</v>
      </c>
      <c r="C115" s="388"/>
      <c r="D115" s="391">
        <f t="shared" si="24"/>
        <v>57.391832155903472</v>
      </c>
      <c r="E115" s="383">
        <f t="shared" si="46"/>
        <v>59.401268858596758</v>
      </c>
      <c r="F115" s="383">
        <f t="shared" si="25"/>
        <v>59.403908056990687</v>
      </c>
      <c r="G115" s="110">
        <f t="shared" si="47"/>
        <v>1.0098867890589629</v>
      </c>
      <c r="H115" s="412" t="b">
        <f>Wh_hp&gt;='2019'!Maxi_hp</f>
        <v>1</v>
      </c>
      <c r="I115" s="388">
        <f>IF(H115,Wh_hp,'2019'!Maxi_hp)</f>
        <v>59.403908056990687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8.5871479858790067E-3</v>
      </c>
      <c r="M115" s="832"/>
      <c r="N115" s="832"/>
      <c r="O115" s="48">
        <f>IF(t&lt;Tnet,'2019'!Resal+('2019'!Salim-'2019'!Resal)*(1-EXP(('2019'!Tnet-t)/('2019'!Tau_j))),Resal+(Salim-Resal)*(1-EXP((Tnet-t)/(Tau_j))))*Salcycl</f>
        <v>3.3828178106375201E-2</v>
      </c>
      <c r="P115" s="169">
        <f>(INDEX(Models!$BJ115:$BT115,,T115)*(1-R115)+INDEX(Models!$BJ115:$BT115,,T115+1)*R115-ERP_i)*Q115*Ramure*Pc/MaxiM</f>
        <v>4.4428026374986405E-5</v>
      </c>
      <c r="Q115" s="304">
        <f t="shared" si="27"/>
        <v>0.6</v>
      </c>
      <c r="R115" s="177">
        <f t="shared" si="28"/>
        <v>3.7630804976594212E-2</v>
      </c>
      <c r="S115" s="799">
        <f t="shared" si="29"/>
        <v>-1</v>
      </c>
      <c r="T115" s="176">
        <f t="shared" si="30"/>
        <v>5</v>
      </c>
      <c r="U115" s="250">
        <f t="shared" si="31"/>
        <v>-0.96236919502340579</v>
      </c>
      <c r="V115" s="382">
        <f t="shared" si="32"/>
        <v>56.341958936822884</v>
      </c>
      <c r="W115" s="58"/>
      <c r="X115" s="157">
        <f t="shared" si="33"/>
        <v>43931</v>
      </c>
      <c r="Y115" s="383">
        <f t="shared" si="34"/>
        <v>56.899000000000001</v>
      </c>
      <c r="Z115" s="383">
        <f t="shared" si="35"/>
        <v>57.391832155903472</v>
      </c>
      <c r="AA115" s="384">
        <f t="shared" si="36"/>
        <v>59.401268858596758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3.3828178106375201E-2</v>
      </c>
      <c r="AD115" s="230">
        <f>(INDEX(Models!$BJ115:$BT115,,AH115)*(1-AF115)+INDEX(Models!$BJ115:$BT115,,AH115+1)*AF115-ERP_i)*AE115*Ramure*Pc/MaxiM</f>
        <v>4.4428026374986405E-5</v>
      </c>
      <c r="AE115" s="304">
        <f t="shared" si="38"/>
        <v>0.6</v>
      </c>
      <c r="AF115" s="177">
        <f t="shared" si="39"/>
        <v>3.7630804976594212E-2</v>
      </c>
      <c r="AG115" s="176">
        <f t="shared" si="40"/>
        <v>-1</v>
      </c>
      <c r="AH115" s="176">
        <f t="shared" si="41"/>
        <v>5</v>
      </c>
      <c r="AI115" s="224">
        <f t="shared" si="42"/>
        <v>-0.96236919502340579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55.701000000000001</v>
      </c>
      <c r="C116" s="388"/>
      <c r="D116" s="391">
        <f t="shared" si="24"/>
        <v>56.184532411753437</v>
      </c>
      <c r="E116" s="383">
        <f t="shared" si="46"/>
        <v>58.155878412600224</v>
      </c>
      <c r="F116" s="383">
        <f t="shared" si="25"/>
        <v>58.158359261021324</v>
      </c>
      <c r="G116" s="110">
        <f t="shared" si="47"/>
        <v>0.9844101299975605</v>
      </c>
      <c r="H116" s="412" t="b">
        <f>Wh_hp&gt;='2019'!Maxi_hp</f>
        <v>0</v>
      </c>
      <c r="I116" s="388">
        <f>IF(H116,Wh_hp,'2019'!Maxi_hp)</f>
        <v>58.857771528976158</v>
      </c>
      <c r="J116" s="85">
        <f>IF(H116,An,'2019'!An_max)</f>
        <v>2018</v>
      </c>
      <c r="K116" s="197">
        <f t="shared" si="26"/>
        <v>43932</v>
      </c>
      <c r="L116" s="147">
        <f>IF(t&lt;Tvie,1-EXP((T0-t)*PertePVj)+'2019'!Pspv,1-EXP((T0-t)*PertePVj)+Pspv)</f>
        <v>8.6061481870103318E-3</v>
      </c>
      <c r="M116" s="832"/>
      <c r="N116" s="832"/>
      <c r="O116" s="48">
        <f>IF(t&lt;Tnet,'2019'!Resal+('2019'!Salim-'2019'!Resal)*(1-EXP(('2019'!Tnet-t)/('2019'!Tau_j))),Resal+(Salim-Resal)*(1-EXP((Tnet-t)/(Tau_j))))*Salcycl</f>
        <v>3.3897622298138419E-2</v>
      </c>
      <c r="P116" s="169">
        <f>(INDEX(Models!$BJ116:$BT116,,T116)*(1-R116)+INDEX(Models!$BJ116:$BT116,,T116+1)*R116-ERP_i)*Q116*Ramure*Pc/MaxiM</f>
        <v>4.3628380094583733E-5</v>
      </c>
      <c r="Q116" s="304">
        <f t="shared" si="27"/>
        <v>0.6</v>
      </c>
      <c r="R116" s="177">
        <f t="shared" si="28"/>
        <v>3.9142165845222565E-2</v>
      </c>
      <c r="S116" s="799">
        <f t="shared" si="29"/>
        <v>-1</v>
      </c>
      <c r="T116" s="176">
        <f t="shared" si="30"/>
        <v>5</v>
      </c>
      <c r="U116" s="250">
        <f t="shared" si="31"/>
        <v>-0.96085783415477743</v>
      </c>
      <c r="V116" s="382">
        <f t="shared" si="32"/>
        <v>56.583068561894912</v>
      </c>
      <c r="W116" s="58"/>
      <c r="X116" s="157">
        <f t="shared" si="33"/>
        <v>43932</v>
      </c>
      <c r="Y116" s="383">
        <f t="shared" si="34"/>
        <v>55.701000000000001</v>
      </c>
      <c r="Z116" s="383">
        <f t="shared" si="35"/>
        <v>56.184532411753437</v>
      </c>
      <c r="AA116" s="384">
        <f t="shared" si="36"/>
        <v>58.155878412600224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3.3897622298138419E-2</v>
      </c>
      <c r="AD116" s="230">
        <f>(INDEX(Models!$BJ116:$BT116,,AH116)*(1-AF116)+INDEX(Models!$BJ116:$BT116,,AH116+1)*AF116-ERP_i)*AE116*Ramure*Pc/MaxiM</f>
        <v>4.3628380094583733E-5</v>
      </c>
      <c r="AE116" s="304">
        <f t="shared" si="38"/>
        <v>0.6</v>
      </c>
      <c r="AF116" s="177">
        <f t="shared" si="39"/>
        <v>3.9142165845222565E-2</v>
      </c>
      <c r="AG116" s="176">
        <f t="shared" si="40"/>
        <v>-1</v>
      </c>
      <c r="AH116" s="176">
        <f t="shared" si="41"/>
        <v>5</v>
      </c>
      <c r="AI116" s="224">
        <f t="shared" si="42"/>
        <v>-0.96085783415477743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44.466999999999999</v>
      </c>
      <c r="C117" s="388"/>
      <c r="D117" s="391">
        <f t="shared" si="24"/>
        <v>44.85387127923314</v>
      </c>
      <c r="E117" s="383">
        <f t="shared" si="46"/>
        <v>46.431015622621224</v>
      </c>
      <c r="F117" s="383">
        <f t="shared" si="25"/>
        <v>46.43238720088965</v>
      </c>
      <c r="G117" s="110">
        <f t="shared" si="47"/>
        <v>0.78261595077716473</v>
      </c>
      <c r="H117" s="412" t="b">
        <f>Wh_hp&gt;='2019'!Maxi_hp</f>
        <v>0</v>
      </c>
      <c r="I117" s="388">
        <f>IF(H117,Wh_hp,'2019'!Maxi_hp)</f>
        <v>58.816606841862637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8.6251480240070455E-3</v>
      </c>
      <c r="M117" s="832"/>
      <c r="N117" s="832"/>
      <c r="O117" s="48">
        <f>IF(t&lt;Tnet,'2019'!Resal+('2019'!Salim-'2019'!Resal)*(1-EXP(('2019'!Tnet-t)/('2019'!Tau_j))),Resal+(Salim-Resal)*(1-EXP((Tnet-t)/(Tau_j))))*Salcycl</f>
        <v>3.3967474590835836E-2</v>
      </c>
      <c r="P117" s="169">
        <f>(INDEX(Models!$BJ117:$BT117,,T117)*(1-R117)+INDEX(Models!$BJ117:$BT117,,T117+1)*R117-ERP_i)*Q117*Ramure*Pc/MaxiM</f>
        <v>4.2843661713953742E-5</v>
      </c>
      <c r="Q117" s="304">
        <f t="shared" si="27"/>
        <v>0.6</v>
      </c>
      <c r="R117" s="177">
        <f t="shared" si="28"/>
        <v>4.0706439778144032E-2</v>
      </c>
      <c r="S117" s="799">
        <f t="shared" si="29"/>
        <v>-1</v>
      </c>
      <c r="T117" s="176">
        <f t="shared" si="30"/>
        <v>5</v>
      </c>
      <c r="U117" s="250">
        <f t="shared" si="31"/>
        <v>-0.95929356022185597</v>
      </c>
      <c r="V117" s="382">
        <f t="shared" si="32"/>
        <v>56.817661755360881</v>
      </c>
      <c r="W117" s="58"/>
      <c r="X117" s="157">
        <f t="shared" si="33"/>
        <v>43933</v>
      </c>
      <c r="Y117" s="383">
        <f t="shared" si="34"/>
        <v>44.466999999999999</v>
      </c>
      <c r="Z117" s="383">
        <f t="shared" si="35"/>
        <v>44.85387127923314</v>
      </c>
      <c r="AA117" s="384">
        <f t="shared" si="36"/>
        <v>46.431015622621224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3.3967474590835836E-2</v>
      </c>
      <c r="AD117" s="230">
        <f>(INDEX(Models!$BJ117:$BT117,,AH117)*(1-AF117)+INDEX(Models!$BJ117:$BT117,,AH117+1)*AF117-ERP_i)*AE117*Ramure*Pc/MaxiM</f>
        <v>4.2843661713953742E-5</v>
      </c>
      <c r="AE117" s="304">
        <f t="shared" si="38"/>
        <v>0.6</v>
      </c>
      <c r="AF117" s="177">
        <f t="shared" si="39"/>
        <v>4.0706439778144032E-2</v>
      </c>
      <c r="AG117" s="176">
        <f t="shared" si="40"/>
        <v>-1</v>
      </c>
      <c r="AH117" s="176">
        <f t="shared" si="41"/>
        <v>5</v>
      </c>
      <c r="AI117" s="224">
        <f t="shared" si="42"/>
        <v>-0.95929356022185597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17.306999999999999</v>
      </c>
      <c r="C118" s="388"/>
      <c r="D118" s="391">
        <f t="shared" si="24"/>
        <v>17.457908738119304</v>
      </c>
      <c r="E118" s="383">
        <f t="shared" si="46"/>
        <v>18.073075465804497</v>
      </c>
      <c r="F118" s="383">
        <f t="shared" si="25"/>
        <v>18.073079146822568</v>
      </c>
      <c r="G118" s="110">
        <f t="shared" si="47"/>
        <v>0.30337598258073373</v>
      </c>
      <c r="H118" s="412" t="b">
        <f>Wh_hp&gt;='2019'!Maxi_hp</f>
        <v>0</v>
      </c>
      <c r="I118" s="388">
        <f>IF(H118,Wh_hp,'2019'!Maxi_hp)</f>
        <v>29.202405391549902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8.6441474968761423E-3</v>
      </c>
      <c r="M118" s="832"/>
      <c r="N118" s="832"/>
      <c r="O118" s="48">
        <f>IF(t&lt;Tnet,'2019'!Resal+('2019'!Salim-'2019'!Resal)*(1-EXP(('2019'!Tnet-t)/('2019'!Tau_j))),Resal+(Salim-Resal)*(1-EXP((Tnet-t)/(Tau_j))))*Salcycl</f>
        <v>3.40377446466779E-2</v>
      </c>
      <c r="P118" s="169">
        <f>(INDEX(Models!$BJ118:$BT118,,T118)*(1-R118)+INDEX(Models!$BJ118:$BT118,,T118+1)*R118-ERP_i)*Q118*Ramure*Pc/MaxiM</f>
        <v>4.2072915526739272E-5</v>
      </c>
      <c r="Q118" s="304">
        <f t="shared" si="27"/>
        <v>0.6</v>
      </c>
      <c r="R118" s="177">
        <f t="shared" si="28"/>
        <v>4.2325063657707607E-2</v>
      </c>
      <c r="S118" s="799">
        <f t="shared" si="29"/>
        <v>-1</v>
      </c>
      <c r="T118" s="176">
        <f t="shared" si="30"/>
        <v>5</v>
      </c>
      <c r="U118" s="250">
        <f t="shared" si="31"/>
        <v>-0.95767493634229239</v>
      </c>
      <c r="V118" s="382">
        <f t="shared" si="32"/>
        <v>57.045634336875949</v>
      </c>
      <c r="W118" s="58"/>
      <c r="X118" s="157">
        <f t="shared" si="33"/>
        <v>43934</v>
      </c>
      <c r="Y118" s="383">
        <f t="shared" si="34"/>
        <v>17.306999999999999</v>
      </c>
      <c r="Z118" s="383">
        <f t="shared" si="35"/>
        <v>17.457908738119304</v>
      </c>
      <c r="AA118" s="384">
        <f t="shared" si="36"/>
        <v>18.073075465804497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3.40377446466779E-2</v>
      </c>
      <c r="AD118" s="230">
        <f>(INDEX(Models!$BJ118:$BT118,,AH118)*(1-AF118)+INDEX(Models!$BJ118:$BT118,,AH118+1)*AF118-ERP_i)*AE118*Ramure*Pc/MaxiM</f>
        <v>4.2072915526739272E-5</v>
      </c>
      <c r="AE118" s="304">
        <f t="shared" si="38"/>
        <v>0.6</v>
      </c>
      <c r="AF118" s="177">
        <f t="shared" si="39"/>
        <v>4.2325063657707607E-2</v>
      </c>
      <c r="AG118" s="176">
        <f t="shared" si="40"/>
        <v>-1</v>
      </c>
      <c r="AH118" s="176">
        <f t="shared" si="41"/>
        <v>5</v>
      </c>
      <c r="AI118" s="224">
        <f t="shared" si="42"/>
        <v>-0.95767493634229239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54.606000000000002</v>
      </c>
      <c r="C119" s="388"/>
      <c r="D119" s="391">
        <f t="shared" si="24"/>
        <v>55.083193783250337</v>
      </c>
      <c r="E119" s="383">
        <f t="shared" si="46"/>
        <v>57.02834164644586</v>
      </c>
      <c r="F119" s="383">
        <f t="shared" si="25"/>
        <v>57.030541471388275</v>
      </c>
      <c r="G119" s="110">
        <f t="shared" si="47"/>
        <v>0.9535327949475777</v>
      </c>
      <c r="H119" s="412" t="b">
        <f>Wh_hp&gt;='2019'!Maxi_hp</f>
        <v>1</v>
      </c>
      <c r="I119" s="388">
        <f>IF(H119,Wh_hp,'2019'!Maxi_hp)</f>
        <v>57.030541471388275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8.6631466056247275E-3</v>
      </c>
      <c r="M119" s="832"/>
      <c r="N119" s="832"/>
      <c r="O119" s="48">
        <f>IF(t&lt;Tnet,'2019'!Resal+('2019'!Salim-'2019'!Resal)*(1-EXP(('2019'!Tnet-t)/('2019'!Tau_j))),Resal+(Salim-Resal)*(1-EXP((Tnet-t)/(Tau_j))))*Salcycl</f>
        <v>3.4108441645641745E-2</v>
      </c>
      <c r="P119" s="169">
        <f>(INDEX(Models!$BJ119:$BT119,,T119)*(1-R119)+INDEX(Models!$BJ119:$BT119,,T119+1)*R119-ERP_i)*Q119*Ramure*Pc/MaxiM</f>
        <v>4.1315169929050899E-5</v>
      </c>
      <c r="Q119" s="304">
        <f t="shared" si="27"/>
        <v>0.6</v>
      </c>
      <c r="R119" s="177">
        <f t="shared" si="28"/>
        <v>4.3999480967239157E-2</v>
      </c>
      <c r="S119" s="799">
        <f t="shared" si="29"/>
        <v>-1</v>
      </c>
      <c r="T119" s="176">
        <f t="shared" si="30"/>
        <v>5</v>
      </c>
      <c r="U119" s="250">
        <f t="shared" si="31"/>
        <v>-0.95600051903276084</v>
      </c>
      <c r="V119" s="382">
        <f t="shared" si="32"/>
        <v>57.266882199643113</v>
      </c>
      <c r="W119" s="58"/>
      <c r="X119" s="157">
        <f t="shared" si="33"/>
        <v>43935</v>
      </c>
      <c r="Y119" s="383">
        <f t="shared" si="34"/>
        <v>54.606000000000002</v>
      </c>
      <c r="Z119" s="383">
        <f t="shared" si="35"/>
        <v>55.083193783250337</v>
      </c>
      <c r="AA119" s="384">
        <f t="shared" si="36"/>
        <v>57.02834164644586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3.4108441645641745E-2</v>
      </c>
      <c r="AD119" s="230">
        <f>(INDEX(Models!$BJ119:$BT119,,AH119)*(1-AF119)+INDEX(Models!$BJ119:$BT119,,AH119+1)*AF119-ERP_i)*AE119*Ramure*Pc/MaxiM</f>
        <v>4.1315169929050899E-5</v>
      </c>
      <c r="AE119" s="304">
        <f t="shared" si="38"/>
        <v>0.6</v>
      </c>
      <c r="AF119" s="177">
        <f t="shared" si="39"/>
        <v>4.3999480967239157E-2</v>
      </c>
      <c r="AG119" s="176">
        <f t="shared" si="40"/>
        <v>-1</v>
      </c>
      <c r="AH119" s="176">
        <f t="shared" si="41"/>
        <v>5</v>
      </c>
      <c r="AI119" s="224">
        <f t="shared" si="42"/>
        <v>-0.95600051903276084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49.283999999999999</v>
      </c>
      <c r="C120" s="388"/>
      <c r="D120" s="391">
        <f t="shared" si="24"/>
        <v>49.715638398758983</v>
      </c>
      <c r="E120" s="383">
        <f t="shared" si="46"/>
        <v>51.475033115561423</v>
      </c>
      <c r="F120" s="383">
        <f t="shared" si="25"/>
        <v>51.476696038894211</v>
      </c>
      <c r="G120" s="110">
        <f t="shared" si="47"/>
        <v>0.85738477593196449</v>
      </c>
      <c r="H120" s="412" t="b">
        <f>Wh_hp&gt;='2019'!Maxi_hp</f>
        <v>1</v>
      </c>
      <c r="I120" s="388">
        <f>IF(H120,Wh_hp,'2019'!Maxi_hp)</f>
        <v>51.476696038894211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8.6821453502597956E-3</v>
      </c>
      <c r="M120" s="832"/>
      <c r="N120" s="832"/>
      <c r="O120" s="48">
        <f>IF(t&lt;Tnet,'2019'!Resal+('2019'!Salim-'2019'!Resal)*(1-EXP(('2019'!Tnet-t)/('2019'!Tau_j))),Resal+(Salim-Resal)*(1-EXP((Tnet-t)/(Tau_j))))*Salcycl</f>
        <v>3.4179574257924152E-2</v>
      </c>
      <c r="P120" s="169">
        <f>(INDEX(Models!$BJ120:$BT120,,T120)*(1-R120)+INDEX(Models!$BJ120:$BT120,,T120+1)*R120-ERP_i)*Q120*Ramure*Pc/MaxiM</f>
        <v>4.0569436772733511E-5</v>
      </c>
      <c r="Q120" s="304">
        <f t="shared" si="27"/>
        <v>0.6</v>
      </c>
      <c r="R120" s="177">
        <f t="shared" si="28"/>
        <v>4.5731138940881544E-2</v>
      </c>
      <c r="S120" s="799">
        <f t="shared" si="29"/>
        <v>-1</v>
      </c>
      <c r="T120" s="176">
        <f t="shared" si="30"/>
        <v>5</v>
      </c>
      <c r="U120" s="250">
        <f t="shared" si="31"/>
        <v>-0.95426886105911846</v>
      </c>
      <c r="V120" s="382">
        <f t="shared" si="32"/>
        <v>57.481301319784158</v>
      </c>
      <c r="W120" s="58"/>
      <c r="X120" s="157">
        <f t="shared" si="33"/>
        <v>43936</v>
      </c>
      <c r="Y120" s="383">
        <f t="shared" si="34"/>
        <v>49.283999999999999</v>
      </c>
      <c r="Z120" s="383">
        <f t="shared" si="35"/>
        <v>49.715638398758983</v>
      </c>
      <c r="AA120" s="384">
        <f t="shared" si="36"/>
        <v>51.475033115561423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3.4179574257924152E-2</v>
      </c>
      <c r="AD120" s="230">
        <f>(INDEX(Models!$BJ120:$BT120,,AH120)*(1-AF120)+INDEX(Models!$BJ120:$BT120,,AH120+1)*AF120-ERP_i)*AE120*Ramure*Pc/MaxiM</f>
        <v>4.0569436772733511E-5</v>
      </c>
      <c r="AE120" s="304">
        <f t="shared" si="38"/>
        <v>0.6</v>
      </c>
      <c r="AF120" s="177">
        <f t="shared" si="39"/>
        <v>4.5731138940881544E-2</v>
      </c>
      <c r="AG120" s="176">
        <f t="shared" si="40"/>
        <v>-1</v>
      </c>
      <c r="AH120" s="176">
        <f t="shared" si="41"/>
        <v>5</v>
      </c>
      <c r="AI120" s="224">
        <f t="shared" si="42"/>
        <v>-0.95426886105911846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44.558</v>
      </c>
      <c r="C121" s="388"/>
      <c r="D121" s="391">
        <f t="shared" si="24"/>
        <v>44.949108654977778</v>
      </c>
      <c r="E121" s="383">
        <f t="shared" si="46"/>
        <v>46.543269177716148</v>
      </c>
      <c r="F121" s="383">
        <f t="shared" si="25"/>
        <v>46.544520369263715</v>
      </c>
      <c r="G121" s="110">
        <f t="shared" si="47"/>
        <v>0.77237226941248283</v>
      </c>
      <c r="H121" s="412" t="b">
        <f>Wh_hp&gt;='2019'!Maxi_hp</f>
        <v>1</v>
      </c>
      <c r="I121" s="388">
        <f>IF(H121,Wh_hp,'2019'!Maxi_hp)</f>
        <v>46.544520369263715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8.70114373078823E-3</v>
      </c>
      <c r="M121" s="832"/>
      <c r="N121" s="832"/>
      <c r="O121" s="48">
        <f>IF(t&lt;Tnet,'2019'!Resal+('2019'!Salim-'2019'!Resal)*(1-EXP(('2019'!Tnet-t)/('2019'!Tau_j))),Resal+(Salim-Resal)*(1-EXP((Tnet-t)/(Tau_j))))*Salcycl</f>
        <v>3.425115061538523E-2</v>
      </c>
      <c r="P121" s="169">
        <f>(INDEX(Models!$BJ121:$BT121,,T121)*(1-R121)+INDEX(Models!$BJ121:$BT121,,T121+1)*R121-ERP_i)*Q121*Ramure*Pc/MaxiM</f>
        <v>3.983452930152901E-5</v>
      </c>
      <c r="Q121" s="304">
        <f t="shared" si="27"/>
        <v>0.6</v>
      </c>
      <c r="R121" s="177">
        <f t="shared" si="28"/>
        <v>4.7521485475558345E-2</v>
      </c>
      <c r="S121" s="799">
        <f t="shared" si="29"/>
        <v>-1</v>
      </c>
      <c r="T121" s="176">
        <f t="shared" si="30"/>
        <v>5</v>
      </c>
      <c r="U121" s="250">
        <f t="shared" si="31"/>
        <v>-0.95247851452444166</v>
      </c>
      <c r="V121" s="382">
        <f t="shared" si="32"/>
        <v>57.689050465402204</v>
      </c>
      <c r="W121" s="58"/>
      <c r="X121" s="157">
        <f t="shared" si="33"/>
        <v>43937</v>
      </c>
      <c r="Y121" s="383">
        <f t="shared" si="34"/>
        <v>44.558</v>
      </c>
      <c r="Z121" s="383">
        <f t="shared" si="35"/>
        <v>44.949108654977778</v>
      </c>
      <c r="AA121" s="384">
        <f t="shared" si="36"/>
        <v>46.543269177716148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3.425115061538523E-2</v>
      </c>
      <c r="AD121" s="230">
        <f>(INDEX(Models!$BJ121:$BT121,,AH121)*(1-AF121)+INDEX(Models!$BJ121:$BT121,,AH121+1)*AF121-ERP_i)*AE121*Ramure*Pc/MaxiM</f>
        <v>3.983452930152901E-5</v>
      </c>
      <c r="AE121" s="304">
        <f t="shared" si="38"/>
        <v>0.6</v>
      </c>
      <c r="AF121" s="177">
        <f t="shared" si="39"/>
        <v>4.7521485475558345E-2</v>
      </c>
      <c r="AG121" s="176">
        <f t="shared" si="40"/>
        <v>-1</v>
      </c>
      <c r="AH121" s="176">
        <f t="shared" si="41"/>
        <v>5</v>
      </c>
      <c r="AI121" s="224">
        <f t="shared" si="42"/>
        <v>-0.95247851452444166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34.134</v>
      </c>
      <c r="C122" s="388"/>
      <c r="D122" s="391">
        <f t="shared" si="24"/>
        <v>34.434271730451727</v>
      </c>
      <c r="E122" s="383">
        <f t="shared" si="46"/>
        <v>35.658173579424869</v>
      </c>
      <c r="F122" s="383">
        <f t="shared" si="25"/>
        <v>35.658750880418729</v>
      </c>
      <c r="G122" s="110">
        <f t="shared" si="47"/>
        <v>0.58961835039839228</v>
      </c>
      <c r="H122" s="412" t="b">
        <f>Wh_hp&gt;='2019'!Maxi_hp</f>
        <v>1</v>
      </c>
      <c r="I122" s="388">
        <f>IF(H122,Wh_hp,'2019'!Maxi_hp)</f>
        <v>35.658750880418729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8.7201417472170251E-3</v>
      </c>
      <c r="M122" s="832"/>
      <c r="N122" s="832"/>
      <c r="O122" s="48">
        <f>IF(t&lt;Tnet,'2019'!Resal+('2019'!Salim-'2019'!Resal)*(1-EXP(('2019'!Tnet-t)/('2019'!Tau_j))),Resal+(Salim-Resal)*(1-EXP((Tnet-t)/(Tau_j))))*Salcycl</f>
        <v>3.4323178281889008E-2</v>
      </c>
      <c r="P122" s="169">
        <f>(INDEX(Models!$BJ122:$BT122,,T122)*(1-R122)+INDEX(Models!$BJ122:$BT122,,T122+1)*R122-ERP_i)*Q122*Ramure*Pc/MaxiM</f>
        <v>3.9128019143232046E-5</v>
      </c>
      <c r="Q122" s="304">
        <f t="shared" si="27"/>
        <v>0.6</v>
      </c>
      <c r="R122" s="177">
        <f t="shared" si="28"/>
        <v>4.9371965798281181E-2</v>
      </c>
      <c r="S122" s="799">
        <f t="shared" si="29"/>
        <v>-1</v>
      </c>
      <c r="T122" s="176">
        <f t="shared" si="30"/>
        <v>5</v>
      </c>
      <c r="U122" s="250">
        <f t="shared" si="31"/>
        <v>-0.95062803420171882</v>
      </c>
      <c r="V122" s="382">
        <f t="shared" si="32"/>
        <v>57.890357354615432</v>
      </c>
      <c r="W122" s="58"/>
      <c r="X122" s="157">
        <f t="shared" si="33"/>
        <v>43938</v>
      </c>
      <c r="Y122" s="383">
        <f t="shared" si="34"/>
        <v>34.134</v>
      </c>
      <c r="Z122" s="383">
        <f t="shared" si="35"/>
        <v>34.434271730451727</v>
      </c>
      <c r="AA122" s="384">
        <f t="shared" si="36"/>
        <v>35.658173579424869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3.4323178281889008E-2</v>
      </c>
      <c r="AD122" s="230">
        <f>(INDEX(Models!$BJ122:$BT122,,AH122)*(1-AF122)+INDEX(Models!$BJ122:$BT122,,AH122+1)*AF122-ERP_i)*AE122*Ramure*Pc/MaxiM</f>
        <v>3.9128019143232046E-5</v>
      </c>
      <c r="AE122" s="304">
        <f t="shared" si="38"/>
        <v>0.6</v>
      </c>
      <c r="AF122" s="177">
        <f t="shared" si="39"/>
        <v>4.9371965798281181E-2</v>
      </c>
      <c r="AG122" s="176">
        <f t="shared" si="40"/>
        <v>-1</v>
      </c>
      <c r="AH122" s="176">
        <f t="shared" si="41"/>
        <v>5</v>
      </c>
      <c r="AI122" s="224">
        <f t="shared" si="42"/>
        <v>-0.95062803420171882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43.994999999999997</v>
      </c>
      <c r="C123" s="388"/>
      <c r="D123" s="391">
        <f t="shared" si="24"/>
        <v>44.38286807102466</v>
      </c>
      <c r="E123" s="383">
        <f t="shared" si="46"/>
        <v>45.963824339382768</v>
      </c>
      <c r="F123" s="383">
        <f t="shared" si="25"/>
        <v>45.96497935321883</v>
      </c>
      <c r="G123" s="110">
        <f t="shared" si="47"/>
        <v>0.75741146522184177</v>
      </c>
      <c r="H123" s="412" t="b">
        <f>Wh_hp&gt;='2019'!Maxi_hp</f>
        <v>0</v>
      </c>
      <c r="I123" s="388">
        <f>IF(H123,Wh_hp,'2019'!Maxi_hp)</f>
        <v>51.818233928199938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8.7391393995531752E-3</v>
      </c>
      <c r="M123" s="832"/>
      <c r="N123" s="832"/>
      <c r="O123" s="48">
        <f>IF(t&lt;Tnet,'2019'!Resal+('2019'!Salim-'2019'!Resal)*(1-EXP(('2019'!Tnet-t)/('2019'!Tau_j))),Resal+(Salim-Resal)*(1-EXP((Tnet-t)/(Tau_j))))*Salcycl</f>
        <v>3.4395664222472269E-2</v>
      </c>
      <c r="P123" s="169">
        <f>(INDEX(Models!$BJ123:$BT123,,T123)*(1-R123)+INDEX(Models!$BJ123:$BT123,,T123+1)*R123-ERP_i)*Q123*Ramure*Pc/MaxiM</f>
        <v>3.8454000520210633E-5</v>
      </c>
      <c r="Q123" s="304">
        <f t="shared" si="27"/>
        <v>0.6</v>
      </c>
      <c r="R123" s="177">
        <f t="shared" si="28"/>
        <v>5.1284018882918114E-2</v>
      </c>
      <c r="S123" s="799">
        <f t="shared" si="29"/>
        <v>-1</v>
      </c>
      <c r="T123" s="176">
        <f t="shared" si="30"/>
        <v>5</v>
      </c>
      <c r="U123" s="250">
        <f t="shared" si="31"/>
        <v>-0.94871598111708189</v>
      </c>
      <c r="V123" s="382">
        <f t="shared" si="32"/>
        <v>58.085222806303712</v>
      </c>
      <c r="W123" s="58"/>
      <c r="X123" s="157">
        <f t="shared" si="33"/>
        <v>43939</v>
      </c>
      <c r="Y123" s="383">
        <f t="shared" si="34"/>
        <v>43.994999999999997</v>
      </c>
      <c r="Z123" s="383">
        <f t="shared" si="35"/>
        <v>44.38286807102466</v>
      </c>
      <c r="AA123" s="384">
        <f t="shared" si="36"/>
        <v>45.963824339382768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3.4395664222472269E-2</v>
      </c>
      <c r="AD123" s="230">
        <f>(INDEX(Models!$BJ123:$BT123,,AH123)*(1-AF123)+INDEX(Models!$BJ123:$BT123,,AH123+1)*AF123-ERP_i)*AE123*Ramure*Pc/MaxiM</f>
        <v>3.8454000520210633E-5</v>
      </c>
      <c r="AE123" s="304">
        <f t="shared" si="38"/>
        <v>0.6</v>
      </c>
      <c r="AF123" s="177">
        <f t="shared" si="39"/>
        <v>5.1284018882918114E-2</v>
      </c>
      <c r="AG123" s="176">
        <f t="shared" si="40"/>
        <v>-1</v>
      </c>
      <c r="AH123" s="176">
        <f t="shared" si="41"/>
        <v>5</v>
      </c>
      <c r="AI123" s="224">
        <f t="shared" si="42"/>
        <v>-0.94871598111708189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18.492999999999999</v>
      </c>
      <c r="C124" s="388"/>
      <c r="D124" s="391">
        <f t="shared" si="24"/>
        <v>18.656395259786901</v>
      </c>
      <c r="E124" s="383">
        <f t="shared" si="46"/>
        <v>19.32241203673345</v>
      </c>
      <c r="F124" s="383">
        <f t="shared" si="25"/>
        <v>19.322430142986583</v>
      </c>
      <c r="G124" s="110">
        <f t="shared" si="47"/>
        <v>0.31733585797146552</v>
      </c>
      <c r="H124" s="412" t="b">
        <f>Wh_hp&gt;='2019'!Maxi_hp</f>
        <v>0</v>
      </c>
      <c r="I124" s="388">
        <f>IF(H124,Wh_hp,'2019'!Maxi_hp)</f>
        <v>52.580415314681325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8.7581366878035638E-3</v>
      </c>
      <c r="M124" s="832"/>
      <c r="N124" s="832"/>
      <c r="O124" s="48">
        <f>IF(t&lt;Tnet,'2019'!Resal+('2019'!Salim-'2019'!Resal)*(1-EXP(('2019'!Tnet-t)/('2019'!Tau_j))),Resal+(Salim-Resal)*(1-EXP((Tnet-t)/(Tau_j))))*Salcycl</f>
        <v>3.446861477130278E-2</v>
      </c>
      <c r="P124" s="169">
        <f>(INDEX(Models!$BJ124:$BT124,,T124)*(1-R124)+INDEX(Models!$BJ124:$BT124,,T124+1)*R124-ERP_i)*Q124*Ramure*Pc/MaxiM</f>
        <v>3.7811724234994961E-5</v>
      </c>
      <c r="Q124" s="304">
        <f t="shared" si="27"/>
        <v>0.6</v>
      </c>
      <c r="R124" s="177">
        <f t="shared" si="28"/>
        <v>5.3259073611587326E-2</v>
      </c>
      <c r="S124" s="799">
        <f t="shared" si="29"/>
        <v>-1</v>
      </c>
      <c r="T124" s="176">
        <f t="shared" si="30"/>
        <v>5</v>
      </c>
      <c r="U124" s="250">
        <f t="shared" si="31"/>
        <v>-0.94674092638841267</v>
      </c>
      <c r="V124" s="382">
        <f t="shared" si="32"/>
        <v>58.273647971531304</v>
      </c>
      <c r="W124" s="58"/>
      <c r="X124" s="157">
        <f t="shared" si="33"/>
        <v>43940</v>
      </c>
      <c r="Y124" s="383">
        <f t="shared" si="34"/>
        <v>18.492999999999999</v>
      </c>
      <c r="Z124" s="383">
        <f t="shared" si="35"/>
        <v>18.656395259786901</v>
      </c>
      <c r="AA124" s="384">
        <f t="shared" si="36"/>
        <v>19.32241203673345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3.446861477130278E-2</v>
      </c>
      <c r="AD124" s="230">
        <f>(INDEX(Models!$BJ124:$BT124,,AH124)*(1-AF124)+INDEX(Models!$BJ124:$BT124,,AH124+1)*AF124-ERP_i)*AE124*Ramure*Pc/MaxiM</f>
        <v>3.7811724234994961E-5</v>
      </c>
      <c r="AE124" s="304">
        <f t="shared" si="38"/>
        <v>0.6</v>
      </c>
      <c r="AF124" s="177">
        <f t="shared" si="39"/>
        <v>5.3259073611587326E-2</v>
      </c>
      <c r="AG124" s="176">
        <f t="shared" si="40"/>
        <v>-1</v>
      </c>
      <c r="AH124" s="176">
        <f t="shared" si="41"/>
        <v>5</v>
      </c>
      <c r="AI124" s="224">
        <f t="shared" si="42"/>
        <v>-0.94674092638841267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14.622999999999999</v>
      </c>
      <c r="C125" s="388"/>
      <c r="D125" s="391">
        <f t="shared" si="24"/>
        <v>14.75248452780918</v>
      </c>
      <c r="E125" s="383">
        <f t="shared" si="46"/>
        <v>15.280297093983993</v>
      </c>
      <c r="F125" s="383">
        <f t="shared" si="25"/>
        <v>15.280297093983993</v>
      </c>
      <c r="G125" s="110">
        <f t="shared" si="47"/>
        <v>0.25014622207635495</v>
      </c>
      <c r="H125" s="412" t="b">
        <f>Wh_hp&gt;='2019'!Maxi_hp</f>
        <v>0</v>
      </c>
      <c r="I125" s="388">
        <f>IF(H125,Wh_hp,'2019'!Maxi_hp)</f>
        <v>19.41752089025811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8.7771336119754073E-3</v>
      </c>
      <c r="M125" s="832"/>
      <c r="N125" s="832"/>
      <c r="O125" s="48">
        <f>IF(t&lt;Tnet,'2019'!Resal+('2019'!Salim-'2019'!Resal)*(1-EXP(('2019'!Tnet-t)/('2019'!Tau_j))),Resal+(Salim-Resal)*(1-EXP((Tnet-t)/(Tau_j))))*Salcycl</f>
        <v>3.454203559841898E-2</v>
      </c>
      <c r="P125" s="169">
        <f>(INDEX(Models!$BJ125:$BT125,,T125)*(1-R125)+INDEX(Models!$BJ125:$BT125,,T125+1)*R125-ERP_i)*Q125*Ramure*Pc/MaxiM</f>
        <v>3.7200587603890773E-5</v>
      </c>
      <c r="Q125" s="304">
        <f t="shared" si="27"/>
        <v>0.6</v>
      </c>
      <c r="R125" s="177">
        <f t="shared" si="28"/>
        <v>5.5298544677060413E-2</v>
      </c>
      <c r="S125" s="799">
        <f t="shared" si="29"/>
        <v>-1</v>
      </c>
      <c r="T125" s="176">
        <f t="shared" si="30"/>
        <v>5</v>
      </c>
      <c r="U125" s="250">
        <f t="shared" si="31"/>
        <v>-0.94470145532293959</v>
      </c>
      <c r="V125" s="382">
        <f t="shared" si="32"/>
        <v>58.455634046490168</v>
      </c>
      <c r="W125" s="58"/>
      <c r="X125" s="157">
        <f t="shared" si="33"/>
        <v>43941</v>
      </c>
      <c r="Y125" s="383">
        <f t="shared" si="34"/>
        <v>14.622999999999999</v>
      </c>
      <c r="Z125" s="383">
        <f t="shared" si="35"/>
        <v>14.75248452780918</v>
      </c>
      <c r="AA125" s="384">
        <f t="shared" si="36"/>
        <v>15.280297093983993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3.454203559841898E-2</v>
      </c>
      <c r="AD125" s="230">
        <f>(INDEX(Models!$BJ125:$BT125,,AH125)*(1-AF125)+INDEX(Models!$BJ125:$BT125,,AH125+1)*AF125-ERP_i)*AE125*Ramure*Pc/MaxiM</f>
        <v>3.7200587603890773E-5</v>
      </c>
      <c r="AE125" s="304">
        <f t="shared" si="38"/>
        <v>0.6</v>
      </c>
      <c r="AF125" s="177">
        <f t="shared" si="39"/>
        <v>5.5298544677060413E-2</v>
      </c>
      <c r="AG125" s="176">
        <f t="shared" si="40"/>
        <v>-1</v>
      </c>
      <c r="AH125" s="176">
        <f t="shared" si="41"/>
        <v>5</v>
      </c>
      <c r="AI125" s="224">
        <f t="shared" si="42"/>
        <v>-0.94470145532293959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15.308999999999999</v>
      </c>
      <c r="C126" s="388"/>
      <c r="D126" s="391">
        <f t="shared" si="24"/>
        <v>15.444854954670102</v>
      </c>
      <c r="E126" s="383">
        <f t="shared" si="46"/>
        <v>15.998663600770099</v>
      </c>
      <c r="F126" s="383">
        <f t="shared" si="25"/>
        <v>15.998663600770099</v>
      </c>
      <c r="G126" s="110">
        <f t="shared" si="47"/>
        <v>0.2610972316817447</v>
      </c>
      <c r="H126" s="412" t="b">
        <f>Wh_hp&gt;='2019'!Maxi_hp</f>
        <v>0</v>
      </c>
      <c r="I126" s="388">
        <f>IF(H126,Wh_hp,'2019'!Maxi_hp)</f>
        <v>33.666082670797877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8.7961301720754781E-3</v>
      </c>
      <c r="M126" s="832"/>
      <c r="N126" s="832"/>
      <c r="O126" s="48">
        <f>IF(t&lt;Tnet,'2019'!Resal+('2019'!Salim-'2019'!Resal)*(1-EXP(('2019'!Tnet-t)/('2019'!Tau_j))),Resal+(Salim-Resal)*(1-EXP((Tnet-t)/(Tau_j))))*Salcycl</f>
        <v>3.4615931675276837E-2</v>
      </c>
      <c r="P126" s="169">
        <f>(INDEX(Models!$BJ126:$BT126,,T126)*(1-R126)+INDEX(Models!$BJ126:$BT126,,T126+1)*R126-ERP_i)*Q126*Ramure*Pc/MaxiM</f>
        <v>3.6620024086511836E-5</v>
      </c>
      <c r="Q126" s="304">
        <f t="shared" si="27"/>
        <v>0.6</v>
      </c>
      <c r="R126" s="177">
        <f t="shared" si="28"/>
        <v>5.7403828223942854E-2</v>
      </c>
      <c r="S126" s="799">
        <f t="shared" si="29"/>
        <v>-1</v>
      </c>
      <c r="T126" s="176">
        <f t="shared" si="30"/>
        <v>5</v>
      </c>
      <c r="U126" s="250">
        <f t="shared" si="31"/>
        <v>-0.94259617177605715</v>
      </c>
      <c r="V126" s="382">
        <f t="shared" si="32"/>
        <v>58.63118228197434</v>
      </c>
      <c r="W126" s="58"/>
      <c r="X126" s="157">
        <f t="shared" si="33"/>
        <v>43942</v>
      </c>
      <c r="Y126" s="383">
        <f t="shared" si="34"/>
        <v>15.308999999999999</v>
      </c>
      <c r="Z126" s="383">
        <f t="shared" si="35"/>
        <v>15.444854954670102</v>
      </c>
      <c r="AA126" s="384">
        <f t="shared" si="36"/>
        <v>15.998663600770099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3.4615931675276837E-2</v>
      </c>
      <c r="AD126" s="230">
        <f>(INDEX(Models!$BJ126:$BT126,,AH126)*(1-AF126)+INDEX(Models!$BJ126:$BT126,,AH126+1)*AF126-ERP_i)*AE126*Ramure*Pc/MaxiM</f>
        <v>3.6620024086511836E-5</v>
      </c>
      <c r="AE126" s="304">
        <f t="shared" si="38"/>
        <v>0.6</v>
      </c>
      <c r="AF126" s="177">
        <f t="shared" si="39"/>
        <v>5.7403828223942854E-2</v>
      </c>
      <c r="AG126" s="176">
        <f t="shared" si="40"/>
        <v>-1</v>
      </c>
      <c r="AH126" s="176">
        <f t="shared" si="41"/>
        <v>5</v>
      </c>
      <c r="AI126" s="224">
        <f t="shared" si="42"/>
        <v>-0.94259617177605715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9.6440000000000001</v>
      </c>
      <c r="C127" s="388"/>
      <c r="D127" s="391">
        <f t="shared" si="24"/>
        <v>9.7297691445416792</v>
      </c>
      <c r="E127" s="383">
        <f t="shared" si="46"/>
        <v>10.079427584233656</v>
      </c>
      <c r="F127" s="383">
        <f t="shared" si="25"/>
        <v>10.079427584233656</v>
      </c>
      <c r="G127" s="110">
        <f t="shared" si="47"/>
        <v>0.16400686954930094</v>
      </c>
      <c r="H127" s="412" t="b">
        <f>Wh_hp&gt;='2019'!Maxi_hp</f>
        <v>0</v>
      </c>
      <c r="I127" s="388">
        <f>IF(H127,Wh_hp,'2019'!Maxi_hp)</f>
        <v>37.431792141481438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8.8151263681107705E-3</v>
      </c>
      <c r="M127" s="832"/>
      <c r="N127" s="832"/>
      <c r="O127" s="48">
        <f>IF(t&lt;Tnet,'2019'!Resal+('2019'!Salim-'2019'!Resal)*(1-EXP(('2019'!Tnet-t)/('2019'!Tau_j))),Resal+(Salim-Resal)*(1-EXP((Tnet-t)/(Tau_j))))*Salcycl</f>
        <v>3.4690307239164699E-2</v>
      </c>
      <c r="P127" s="169">
        <f>(INDEX(Models!$BJ127:$BT127,,T127)*(1-R127)+INDEX(Models!$BJ127:$BT127,,T127+1)*R127-ERP_i)*Q127*Ramure*Pc/MaxiM</f>
        <v>3.6069399569804811E-5</v>
      </c>
      <c r="Q127" s="304">
        <f t="shared" si="27"/>
        <v>0.6</v>
      </c>
      <c r="R127" s="177">
        <f t="shared" si="28"/>
        <v>5.9576297227976194E-2</v>
      </c>
      <c r="S127" s="799">
        <f t="shared" si="29"/>
        <v>-1</v>
      </c>
      <c r="T127" s="176">
        <f t="shared" si="30"/>
        <v>5</v>
      </c>
      <c r="U127" s="250">
        <f t="shared" si="31"/>
        <v>-0.94042370277202381</v>
      </c>
      <c r="V127" s="382">
        <f t="shared" si="32"/>
        <v>58.80029399507341</v>
      </c>
      <c r="W127" s="58"/>
      <c r="X127" s="157">
        <f t="shared" si="33"/>
        <v>43943</v>
      </c>
      <c r="Y127" s="383">
        <f t="shared" si="34"/>
        <v>9.6440000000000001</v>
      </c>
      <c r="Z127" s="383">
        <f t="shared" si="35"/>
        <v>9.7297691445416792</v>
      </c>
      <c r="AA127" s="384">
        <f t="shared" si="36"/>
        <v>10.079427584233656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3.4690307239164699E-2</v>
      </c>
      <c r="AD127" s="230">
        <f>(INDEX(Models!$BJ127:$BT127,,AH127)*(1-AF127)+INDEX(Models!$BJ127:$BT127,,AH127+1)*AF127-ERP_i)*AE127*Ramure*Pc/MaxiM</f>
        <v>3.6069399569804811E-5</v>
      </c>
      <c r="AE127" s="304">
        <f t="shared" si="38"/>
        <v>0.6</v>
      </c>
      <c r="AF127" s="177">
        <f t="shared" si="39"/>
        <v>5.9576297227976194E-2</v>
      </c>
      <c r="AG127" s="176">
        <f t="shared" si="40"/>
        <v>-1</v>
      </c>
      <c r="AH127" s="176">
        <f t="shared" si="41"/>
        <v>5</v>
      </c>
      <c r="AI127" s="224">
        <f t="shared" si="42"/>
        <v>-0.94042370277202381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16.388999999999999</v>
      </c>
      <c r="C128" s="388"/>
      <c r="D128" s="391">
        <f t="shared" si="24"/>
        <v>16.535072854181198</v>
      </c>
      <c r="E128" s="383">
        <f t="shared" si="46"/>
        <v>17.130621759151428</v>
      </c>
      <c r="F128" s="383">
        <f t="shared" si="25"/>
        <v>17.130621759151428</v>
      </c>
      <c r="G128" s="110">
        <f t="shared" si="47"/>
        <v>0.27794422913676137</v>
      </c>
      <c r="H128" s="412" t="b">
        <f>Wh_hp&gt;='2019'!Maxi_hp</f>
        <v>0</v>
      </c>
      <c r="I128" s="388">
        <f>IF(H128,Wh_hp,'2019'!Maxi_hp)</f>
        <v>52.401935556214717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8.8341222000882791E-3</v>
      </c>
      <c r="M128" s="832"/>
      <c r="N128" s="832"/>
      <c r="O128" s="48">
        <f>IF(t&lt;Tnet,'2019'!Resal+('2019'!Salim-'2019'!Resal)*(1-EXP(('2019'!Tnet-t)/('2019'!Tau_j))),Resal+(Salim-Resal)*(1-EXP((Tnet-t)/(Tau_j))))*Salcycl</f>
        <v>3.4765165756583137E-2</v>
      </c>
      <c r="P128" s="169">
        <f>(INDEX(Models!$BJ128:$BT128,,T128)*(1-R128)+INDEX(Models!$BJ128:$BT128,,T128+1)*R128-ERP_i)*Q128*Ramure*Pc/MaxiM</f>
        <v>3.5556663139007522E-5</v>
      </c>
      <c r="Q128" s="304">
        <f t="shared" si="27"/>
        <v>0.6</v>
      </c>
      <c r="R128" s="177">
        <f t="shared" si="28"/>
        <v>6.1817296614557704E-2</v>
      </c>
      <c r="S128" s="799">
        <f t="shared" si="29"/>
        <v>-1</v>
      </c>
      <c r="T128" s="176">
        <f t="shared" si="30"/>
        <v>5</v>
      </c>
      <c r="U128" s="250">
        <f t="shared" si="31"/>
        <v>-0.9381827033854423</v>
      </c>
      <c r="V128" s="382">
        <f t="shared" si="32"/>
        <v>58.962970063263867</v>
      </c>
      <c r="W128" s="58"/>
      <c r="X128" s="157">
        <f t="shared" si="33"/>
        <v>43944</v>
      </c>
      <c r="Y128" s="383">
        <f t="shared" si="34"/>
        <v>16.388999999999999</v>
      </c>
      <c r="Z128" s="383">
        <f t="shared" si="35"/>
        <v>16.535072854181198</v>
      </c>
      <c r="AA128" s="384">
        <f t="shared" si="36"/>
        <v>17.130621759151428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3.4765165756583137E-2</v>
      </c>
      <c r="AD128" s="230">
        <f>(INDEX(Models!$BJ128:$BT128,,AH128)*(1-AF128)+INDEX(Models!$BJ128:$BT128,,AH128+1)*AF128-ERP_i)*AE128*Ramure*Pc/MaxiM</f>
        <v>3.5556663139007522E-5</v>
      </c>
      <c r="AE128" s="304">
        <f t="shared" si="38"/>
        <v>0.6</v>
      </c>
      <c r="AF128" s="177">
        <f t="shared" si="39"/>
        <v>6.1817296614557704E-2</v>
      </c>
      <c r="AG128" s="176">
        <f t="shared" si="40"/>
        <v>-1</v>
      </c>
      <c r="AH128" s="176">
        <f t="shared" si="41"/>
        <v>5</v>
      </c>
      <c r="AI128" s="224">
        <f t="shared" si="42"/>
        <v>-0.9381827033854423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54.923000000000002</v>
      </c>
      <c r="C129" s="388"/>
      <c r="D129" s="391">
        <f t="shared" si="24"/>
        <v>55.413582970443649</v>
      </c>
      <c r="E129" s="383">
        <f t="shared" si="46"/>
        <v>57.413912972956005</v>
      </c>
      <c r="F129" s="383">
        <f t="shared" si="25"/>
        <v>57.415722541484826</v>
      </c>
      <c r="G129" s="110">
        <f t="shared" si="47"/>
        <v>0.92901786814060283</v>
      </c>
      <c r="H129" s="412" t="b">
        <f>Wh_hp&gt;='2019'!Maxi_hp</f>
        <v>1</v>
      </c>
      <c r="I129" s="388">
        <f>IF(H129,Wh_hp,'2019'!Maxi_hp)</f>
        <v>57.415722541484826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8.8531176680149981E-3</v>
      </c>
      <c r="M129" s="832"/>
      <c r="N129" s="832"/>
      <c r="O129" s="48">
        <f>IF(t&lt;Tnet,'2019'!Resal+('2019'!Salim-'2019'!Resal)*(1-EXP(('2019'!Tnet-t)/('2019'!Tau_j))),Resal+(Salim-Resal)*(1-EXP((Tnet-t)/(Tau_j))))*Salcycl</f>
        <v>3.4840509885723743E-2</v>
      </c>
      <c r="P129" s="169">
        <f>(INDEX(Models!$BJ129:$BT129,,T129)*(1-R129)+INDEX(Models!$BJ129:$BT129,,T129+1)*R129-ERP_i)*Q129*Ramure*Pc/MaxiM</f>
        <v>3.5073327983759497E-5</v>
      </c>
      <c r="Q129" s="304">
        <f t="shared" si="27"/>
        <v>0.6</v>
      </c>
      <c r="R129" s="177">
        <f t="shared" si="28"/>
        <v>6.4128138119523559E-2</v>
      </c>
      <c r="S129" s="799">
        <f t="shared" si="29"/>
        <v>-1</v>
      </c>
      <c r="T129" s="176">
        <f t="shared" si="30"/>
        <v>5</v>
      </c>
      <c r="U129" s="250">
        <f t="shared" si="31"/>
        <v>-0.93587186188047644</v>
      </c>
      <c r="V129" s="382">
        <f t="shared" si="32"/>
        <v>59.119212396733467</v>
      </c>
      <c r="W129" s="58"/>
      <c r="X129" s="157">
        <f t="shared" si="33"/>
        <v>43945</v>
      </c>
      <c r="Y129" s="383">
        <f t="shared" si="34"/>
        <v>54.923000000000002</v>
      </c>
      <c r="Z129" s="383">
        <f t="shared" si="35"/>
        <v>55.413582970443649</v>
      </c>
      <c r="AA129" s="384">
        <f t="shared" si="36"/>
        <v>57.413912972956005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3.4840509885723743E-2</v>
      </c>
      <c r="AD129" s="230">
        <f>(INDEX(Models!$BJ129:$BT129,,AH129)*(1-AF129)+INDEX(Models!$BJ129:$BT129,,AH129+1)*AF129-ERP_i)*AE129*Ramure*Pc/MaxiM</f>
        <v>3.5073327983759497E-5</v>
      </c>
      <c r="AE129" s="304">
        <f t="shared" si="38"/>
        <v>0.6</v>
      </c>
      <c r="AF129" s="177">
        <f t="shared" si="39"/>
        <v>6.4128138119523559E-2</v>
      </c>
      <c r="AG129" s="176">
        <f t="shared" si="40"/>
        <v>-1</v>
      </c>
      <c r="AH129" s="176">
        <f t="shared" si="41"/>
        <v>5</v>
      </c>
      <c r="AI129" s="224">
        <f t="shared" si="42"/>
        <v>-0.93587186188047644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46.838999999999999</v>
      </c>
      <c r="C130" s="388"/>
      <c r="D130" s="391">
        <f t="shared" si="24"/>
        <v>47.258280796633755</v>
      </c>
      <c r="E130" s="383">
        <f t="shared" si="46"/>
        <v>48.968066527062035</v>
      </c>
      <c r="F130" s="383">
        <f t="shared" si="25"/>
        <v>48.969253892862483</v>
      </c>
      <c r="G130" s="110">
        <f t="shared" si="47"/>
        <v>0.79026972618268976</v>
      </c>
      <c r="H130" s="412" t="b">
        <f>Wh_hp&gt;='2019'!Maxi_hp</f>
        <v>1</v>
      </c>
      <c r="I130" s="388">
        <f>IF(H130,Wh_hp,'2019'!Maxi_hp)</f>
        <v>48.969253892862483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8.872112771898033E-3</v>
      </c>
      <c r="M130" s="832"/>
      <c r="N130" s="832"/>
      <c r="O130" s="48">
        <f>IF(t&lt;Tnet,'2019'!Resal+('2019'!Salim-'2019'!Resal)*(1-EXP(('2019'!Tnet-t)/('2019'!Tau_j))),Resal+(Salim-Resal)*(1-EXP((Tnet-t)/(Tau_j))))*Salcycl</f>
        <v>3.4916341438218111E-2</v>
      </c>
      <c r="P130" s="169">
        <f>(INDEX(Models!$BJ130:$BT130,,T130)*(1-R130)+INDEX(Models!$BJ130:$BT130,,T130+1)*R130-ERP_i)*Q130*Ramure*Pc/MaxiM</f>
        <v>3.4619177946032362E-5</v>
      </c>
      <c r="Q130" s="304">
        <f t="shared" si="27"/>
        <v>0.6</v>
      </c>
      <c r="R130" s="177">
        <f t="shared" si="28"/>
        <v>6.6510094897382466E-2</v>
      </c>
      <c r="S130" s="799">
        <f t="shared" si="29"/>
        <v>-1</v>
      </c>
      <c r="T130" s="176">
        <f t="shared" si="30"/>
        <v>5</v>
      </c>
      <c r="U130" s="250">
        <f t="shared" si="31"/>
        <v>-0.93348990510261753</v>
      </c>
      <c r="V130" s="382">
        <f t="shared" si="32"/>
        <v>59.269022489278065</v>
      </c>
      <c r="W130" s="58"/>
      <c r="X130" s="157">
        <f t="shared" si="33"/>
        <v>43946</v>
      </c>
      <c r="Y130" s="383">
        <f t="shared" si="34"/>
        <v>46.838999999999999</v>
      </c>
      <c r="Z130" s="383">
        <f t="shared" si="35"/>
        <v>47.258280796633755</v>
      </c>
      <c r="AA130" s="384">
        <f t="shared" si="36"/>
        <v>48.968066527062035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3.4916341438218111E-2</v>
      </c>
      <c r="AD130" s="230">
        <f>(INDEX(Models!$BJ130:$BT130,,AH130)*(1-AF130)+INDEX(Models!$BJ130:$BT130,,AH130+1)*AF130-ERP_i)*AE130*Ramure*Pc/MaxiM</f>
        <v>3.4619177946032362E-5</v>
      </c>
      <c r="AE130" s="304">
        <f t="shared" si="38"/>
        <v>0.6</v>
      </c>
      <c r="AF130" s="177">
        <f t="shared" si="39"/>
        <v>6.6510094897382466E-2</v>
      </c>
      <c r="AG130" s="176">
        <f t="shared" si="40"/>
        <v>-1</v>
      </c>
      <c r="AH130" s="176">
        <f t="shared" si="41"/>
        <v>5</v>
      </c>
      <c r="AI130" s="224">
        <f t="shared" si="42"/>
        <v>-0.93348990510261753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25.306999999999999</v>
      </c>
      <c r="C131" s="388"/>
      <c r="D131" s="391">
        <f t="shared" si="24"/>
        <v>25.534025768313722</v>
      </c>
      <c r="E131" s="383">
        <f t="shared" si="46"/>
        <v>26.45992910663216</v>
      </c>
      <c r="F131" s="383">
        <f t="shared" si="25"/>
        <v>26.460091908291709</v>
      </c>
      <c r="G131" s="110">
        <f t="shared" si="47"/>
        <v>0.42594289309059979</v>
      </c>
      <c r="H131" s="412" t="b">
        <f>Wh_hp&gt;='2019'!Maxi_hp</f>
        <v>0</v>
      </c>
      <c r="I131" s="388">
        <f>IF(H131,Wh_hp,'2019'!Maxi_hp)</f>
        <v>29.835618313978816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8.8911075117441563E-3</v>
      </c>
      <c r="M131" s="832"/>
      <c r="N131" s="832"/>
      <c r="O131" s="48">
        <f>IF(t&lt;Tnet,'2019'!Resal+('2019'!Salim-'2019'!Resal)*(1-EXP(('2019'!Tnet-t)/('2019'!Tau_j))),Resal+(Salim-Resal)*(1-EXP((Tnet-t)/(Tau_j))))*Salcycl</f>
        <v>3.4992661340364752E-2</v>
      </c>
      <c r="P131" s="169">
        <f>(INDEX(Models!$BJ131:$BT131,,T131)*(1-R131)+INDEX(Models!$BJ131:$BT131,,T131+1)*R131-ERP_i)*Q131*Ramure*Pc/MaxiM</f>
        <v>3.4194059836140564E-5</v>
      </c>
      <c r="Q131" s="304">
        <f t="shared" si="27"/>
        <v>0.6</v>
      </c>
      <c r="R131" s="177">
        <f t="shared" si="28"/>
        <v>6.8964395884517415E-2</v>
      </c>
      <c r="S131" s="799">
        <f t="shared" si="29"/>
        <v>-1</v>
      </c>
      <c r="T131" s="176">
        <f t="shared" si="30"/>
        <v>5</v>
      </c>
      <c r="U131" s="250">
        <f t="shared" si="31"/>
        <v>-0.93103560411548258</v>
      </c>
      <c r="V131" s="382">
        <f t="shared" si="32"/>
        <v>59.412401906612544</v>
      </c>
      <c r="W131" s="58"/>
      <c r="X131" s="157">
        <f t="shared" si="33"/>
        <v>43947</v>
      </c>
      <c r="Y131" s="383">
        <f t="shared" si="34"/>
        <v>25.306999999999999</v>
      </c>
      <c r="Z131" s="383">
        <f t="shared" si="35"/>
        <v>25.534025768313722</v>
      </c>
      <c r="AA131" s="384">
        <f t="shared" si="36"/>
        <v>26.45992910663216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3.4992661340364752E-2</v>
      </c>
      <c r="AD131" s="230">
        <f>(INDEX(Models!$BJ131:$BT131,,AH131)*(1-AF131)+INDEX(Models!$BJ131:$BT131,,AH131+1)*AF131-ERP_i)*AE131*Ramure*Pc/MaxiM</f>
        <v>3.4194059836140564E-5</v>
      </c>
      <c r="AE131" s="304">
        <f t="shared" si="38"/>
        <v>0.6</v>
      </c>
      <c r="AF131" s="177">
        <f t="shared" si="39"/>
        <v>6.8964395884517415E-2</v>
      </c>
      <c r="AG131" s="176">
        <f t="shared" si="40"/>
        <v>-1</v>
      </c>
      <c r="AH131" s="176">
        <f t="shared" si="41"/>
        <v>5</v>
      </c>
      <c r="AI131" s="224">
        <f t="shared" si="42"/>
        <v>-0.93103560411548258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21.885000000000002</v>
      </c>
      <c r="C132" s="388"/>
      <c r="D132" s="391">
        <f t="shared" si="24"/>
        <v>22.081750648130548</v>
      </c>
      <c r="E132" s="383">
        <f t="shared" si="46"/>
        <v>22.884290580837266</v>
      </c>
      <c r="F132" s="383">
        <f t="shared" si="25"/>
        <v>22.884365174229188</v>
      </c>
      <c r="G132" s="110">
        <f t="shared" si="47"/>
        <v>0.36749907138521742</v>
      </c>
      <c r="H132" s="412" t="b">
        <f>Wh_hp&gt;='2019'!Maxi_hp</f>
        <v>0</v>
      </c>
      <c r="I132" s="388">
        <f>IF(H132,Wh_hp,'2019'!Maxi_hp)</f>
        <v>46.721279625112096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8.9101018875603621E-3</v>
      </c>
      <c r="M132" s="832"/>
      <c r="N132" s="832"/>
      <c r="O132" s="48">
        <f>IF(t&lt;Tnet,'2019'!Resal+('2019'!Salim-'2019'!Resal)*(1-EXP(('2019'!Tnet-t)/('2019'!Tau_j))),Resal+(Salim-Resal)*(1-EXP((Tnet-t)/(Tau_j))))*Salcycl</f>
        <v>3.5069469594078105E-2</v>
      </c>
      <c r="P132" s="169">
        <f>(INDEX(Models!$BJ132:$BT132,,T132)*(1-R132)+INDEX(Models!$BJ132:$BT132,,T132+1)*R132-ERP_i)*Q132*Ramure*Pc/MaxiM</f>
        <v>3.3797884981387321E-5</v>
      </c>
      <c r="Q132" s="304">
        <f t="shared" si="27"/>
        <v>0.6</v>
      </c>
      <c r="R132" s="177">
        <f t="shared" si="28"/>
        <v>7.149221992739474E-2</v>
      </c>
      <c r="S132" s="799">
        <f t="shared" si="29"/>
        <v>-1</v>
      </c>
      <c r="T132" s="176">
        <f t="shared" si="30"/>
        <v>5</v>
      </c>
      <c r="U132" s="250">
        <f t="shared" si="31"/>
        <v>-0.92850778007260526</v>
      </c>
      <c r="V132" s="382">
        <f t="shared" si="32"/>
        <v>59.549352286802439</v>
      </c>
      <c r="W132" s="58"/>
      <c r="X132" s="157">
        <f t="shared" si="33"/>
        <v>43948</v>
      </c>
      <c r="Y132" s="383">
        <f t="shared" si="34"/>
        <v>21.885000000000002</v>
      </c>
      <c r="Z132" s="383">
        <f t="shared" si="35"/>
        <v>22.081750648130548</v>
      </c>
      <c r="AA132" s="384">
        <f t="shared" si="36"/>
        <v>22.884290580837266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3.5069469594078105E-2</v>
      </c>
      <c r="AD132" s="230">
        <f>(INDEX(Models!$BJ132:$BT132,,AH132)*(1-AF132)+INDEX(Models!$BJ132:$BT132,,AH132+1)*AF132-ERP_i)*AE132*Ramure*Pc/MaxiM</f>
        <v>3.3797884981387321E-5</v>
      </c>
      <c r="AE132" s="304">
        <f t="shared" si="38"/>
        <v>0.6</v>
      </c>
      <c r="AF132" s="177">
        <f t="shared" si="39"/>
        <v>7.149221992739474E-2</v>
      </c>
      <c r="AG132" s="176">
        <f t="shared" si="40"/>
        <v>-1</v>
      </c>
      <c r="AH132" s="176">
        <f t="shared" si="41"/>
        <v>5</v>
      </c>
      <c r="AI132" s="224">
        <f t="shared" si="42"/>
        <v>-0.92850778007260526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29.417999999999999</v>
      </c>
      <c r="C133" s="388"/>
      <c r="D133" s="391">
        <f t="shared" si="24"/>
        <v>29.683042735166921</v>
      </c>
      <c r="E133" s="383">
        <f t="shared" si="46"/>
        <v>30.764308669684699</v>
      </c>
      <c r="F133" s="383">
        <f t="shared" si="25"/>
        <v>30.764592133365397</v>
      </c>
      <c r="G133" s="110">
        <f t="shared" si="47"/>
        <v>0.49291804676247403</v>
      </c>
      <c r="H133" s="412" t="b">
        <f>Wh_hp&gt;='2019'!Maxi_hp</f>
        <v>0</v>
      </c>
      <c r="I133" s="388">
        <f>IF(H133,Wh_hp,'2019'!Maxi_hp)</f>
        <v>51.783140656081144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8.9290958993537561E-3</v>
      </c>
      <c r="M133" s="832"/>
      <c r="N133" s="832"/>
      <c r="O133" s="48">
        <f>IF(t&lt;Tnet,'2019'!Resal+('2019'!Salim-'2019'!Resal)*(1-EXP(('2019'!Tnet-t)/('2019'!Tau_j))),Resal+(Salim-Resal)*(1-EXP((Tnet-t)/(Tau_j))))*Salcycl</f>
        <v>3.5146765237837531E-2</v>
      </c>
      <c r="P133" s="169">
        <f>(INDEX(Models!$BJ133:$BT133,,T133)*(1-R133)+INDEX(Models!$BJ133:$BT133,,T133+1)*R133-ERP_i)*Q133*Ramure*Pc/MaxiM</f>
        <v>3.3430630852768072E-5</v>
      </c>
      <c r="Q133" s="304">
        <f t="shared" si="27"/>
        <v>0.6</v>
      </c>
      <c r="R133" s="177">
        <f t="shared" si="28"/>
        <v>7.4094689688526838E-2</v>
      </c>
      <c r="S133" s="799">
        <f t="shared" si="29"/>
        <v>-1</v>
      </c>
      <c r="T133" s="176">
        <f t="shared" si="30"/>
        <v>5</v>
      </c>
      <c r="U133" s="250">
        <f t="shared" si="31"/>
        <v>-0.92590531031147316</v>
      </c>
      <c r="V133" s="382">
        <f t="shared" si="32"/>
        <v>59.679875347614072</v>
      </c>
      <c r="W133" s="58"/>
      <c r="X133" s="157">
        <f t="shared" si="33"/>
        <v>43949</v>
      </c>
      <c r="Y133" s="383">
        <f t="shared" si="34"/>
        <v>29.417999999999999</v>
      </c>
      <c r="Z133" s="383">
        <f t="shared" si="35"/>
        <v>29.683042735166921</v>
      </c>
      <c r="AA133" s="384">
        <f t="shared" si="36"/>
        <v>30.764308669684699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3.5146765237837531E-2</v>
      </c>
      <c r="AD133" s="230">
        <f>(INDEX(Models!$BJ133:$BT133,,AH133)*(1-AF133)+INDEX(Models!$BJ133:$BT133,,AH133+1)*AF133-ERP_i)*AE133*Ramure*Pc/MaxiM</f>
        <v>3.3430630852768072E-5</v>
      </c>
      <c r="AE133" s="304">
        <f t="shared" si="38"/>
        <v>0.6</v>
      </c>
      <c r="AF133" s="177">
        <f t="shared" si="39"/>
        <v>7.4094689688526838E-2</v>
      </c>
      <c r="AG133" s="176">
        <f t="shared" si="40"/>
        <v>-1</v>
      </c>
      <c r="AH133" s="176">
        <f t="shared" si="41"/>
        <v>5</v>
      </c>
      <c r="AI133" s="224">
        <f t="shared" si="42"/>
        <v>-0.92590531031147316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52.289000000000001</v>
      </c>
      <c r="C134" s="388"/>
      <c r="D134" s="391">
        <f t="shared" si="24"/>
        <v>52.761111147150849</v>
      </c>
      <c r="E134" s="383">
        <f t="shared" si="46"/>
        <v>54.687451826476241</v>
      </c>
      <c r="F134" s="383">
        <f t="shared" si="25"/>
        <v>54.688936729003679</v>
      </c>
      <c r="G134" s="110">
        <f t="shared" si="47"/>
        <v>0.87433471138109409</v>
      </c>
      <c r="H134" s="412" t="b">
        <f>Wh_hp&gt;='2019'!Maxi_hp</f>
        <v>0</v>
      </c>
      <c r="I134" s="388">
        <f>IF(H134,Wh_hp,'2019'!Maxi_hp)</f>
        <v>61.648626642094747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8.9480895471312216E-3</v>
      </c>
      <c r="M134" s="832"/>
      <c r="N134" s="832"/>
      <c r="O134" s="48">
        <f>IF(t&lt;Tnet,'2019'!Resal+('2019'!Salim-'2019'!Resal)*(1-EXP(('2019'!Tnet-t)/('2019'!Tau_j))),Resal+(Salim-Resal)*(1-EXP((Tnet-t)/(Tau_j))))*Salcycl</f>
        <v>3.5224546307947996E-2</v>
      </c>
      <c r="P134" s="169">
        <f>(INDEX(Models!$BJ134:$BT134,,T134)*(1-R134)+INDEX(Models!$BJ134:$BT134,,T134+1)*R134-ERP_i)*Q134*Ramure*Pc/MaxiM</f>
        <v>3.3092342777205296E-5</v>
      </c>
      <c r="Q134" s="304">
        <f t="shared" si="27"/>
        <v>0.6</v>
      </c>
      <c r="R134" s="177">
        <f t="shared" si="28"/>
        <v>7.6772865345805963E-2</v>
      </c>
      <c r="S134" s="799">
        <f t="shared" si="29"/>
        <v>-1</v>
      </c>
      <c r="T134" s="176">
        <f t="shared" si="30"/>
        <v>5</v>
      </c>
      <c r="U134" s="250">
        <f t="shared" si="31"/>
        <v>-0.92322713465419404</v>
      </c>
      <c r="V134" s="382">
        <f t="shared" si="32"/>
        <v>59.803972878314092</v>
      </c>
      <c r="W134" s="58"/>
      <c r="X134" s="157">
        <f t="shared" si="33"/>
        <v>43950</v>
      </c>
      <c r="Y134" s="383">
        <f t="shared" si="34"/>
        <v>52.289000000000001</v>
      </c>
      <c r="Z134" s="383">
        <f t="shared" si="35"/>
        <v>52.761111147150849</v>
      </c>
      <c r="AA134" s="384">
        <f t="shared" si="36"/>
        <v>54.687451826476241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3.5224546307947996E-2</v>
      </c>
      <c r="AD134" s="230">
        <f>(INDEX(Models!$BJ134:$BT134,,AH134)*(1-AF134)+INDEX(Models!$BJ134:$BT134,,AH134+1)*AF134-ERP_i)*AE134*Ramure*Pc/MaxiM</f>
        <v>3.3092342777205296E-5</v>
      </c>
      <c r="AE134" s="304">
        <f t="shared" si="38"/>
        <v>0.6</v>
      </c>
      <c r="AF134" s="177">
        <f t="shared" si="39"/>
        <v>7.6772865345805963E-2</v>
      </c>
      <c r="AG134" s="176">
        <f t="shared" si="40"/>
        <v>-1</v>
      </c>
      <c r="AH134" s="176">
        <f t="shared" si="41"/>
        <v>5</v>
      </c>
      <c r="AI134" s="224">
        <f t="shared" si="42"/>
        <v>-0.92322713465419404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44.42</v>
      </c>
      <c r="C135" s="388"/>
      <c r="D135" s="391">
        <f t="shared" si="24"/>
        <v>44.821921886193621</v>
      </c>
      <c r="E135" s="383">
        <f t="shared" si="46"/>
        <v>46.462166928175925</v>
      </c>
      <c r="F135" s="383">
        <f t="shared" si="25"/>
        <v>46.463127243475235</v>
      </c>
      <c r="G135" s="110">
        <f t="shared" si="47"/>
        <v>0.74130365979766866</v>
      </c>
      <c r="H135" s="412" t="b">
        <f>Wh_hp&gt;='2019'!Maxi_hp</f>
        <v>0</v>
      </c>
      <c r="I135" s="388">
        <f>IF(H135,Wh_hp,'2019'!Maxi_hp)</f>
        <v>57.098058064772587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8.967082830899753E-3</v>
      </c>
      <c r="M135" s="832"/>
      <c r="N135" s="832"/>
      <c r="O135" s="48">
        <f>IF(t&lt;Tnet,'2019'!Resal+('2019'!Salim-'2019'!Resal)*(1-EXP(('2019'!Tnet-t)/('2019'!Tau_j))),Resal+(Salim-Resal)*(1-EXP((Tnet-t)/(Tau_j))))*Salcycl</f>
        <v>3.5302809800453354E-2</v>
      </c>
      <c r="P135" s="169">
        <f>(INDEX(Models!$BJ135:$BT135,,T135)*(1-R135)+INDEX(Models!$BJ135:$BT135,,T135+1)*R135-ERP_i)*Q135*Ramure*Pc/MaxiM</f>
        <v>3.2783633282904531E-5</v>
      </c>
      <c r="Q135" s="304">
        <f t="shared" si="27"/>
        <v>0.6</v>
      </c>
      <c r="R135" s="177">
        <f t="shared" si="28"/>
        <v>7.952773810386593E-2</v>
      </c>
      <c r="S135" s="799">
        <f t="shared" si="29"/>
        <v>-1</v>
      </c>
      <c r="T135" s="176">
        <f t="shared" si="30"/>
        <v>5</v>
      </c>
      <c r="U135" s="250">
        <f t="shared" si="31"/>
        <v>-0.92047226189613407</v>
      </c>
      <c r="V135" s="382">
        <f t="shared" si="32"/>
        <v>59.920737258034293</v>
      </c>
      <c r="W135" s="58"/>
      <c r="X135" s="157">
        <f t="shared" si="33"/>
        <v>43951</v>
      </c>
      <c r="Y135" s="383">
        <f t="shared" si="34"/>
        <v>44.42</v>
      </c>
      <c r="Z135" s="383">
        <f t="shared" si="35"/>
        <v>44.821921886193621</v>
      </c>
      <c r="AA135" s="384">
        <f t="shared" si="36"/>
        <v>46.462166928175925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3.5302809800453354E-2</v>
      </c>
      <c r="AD135" s="230">
        <f>(INDEX(Models!$BJ135:$BT135,,AH135)*(1-AF135)+INDEX(Models!$BJ135:$BT135,,AH135+1)*AF135-ERP_i)*AE135*Ramure*Pc/MaxiM</f>
        <v>3.2783633282904531E-5</v>
      </c>
      <c r="AE135" s="304">
        <f t="shared" si="38"/>
        <v>0.6</v>
      </c>
      <c r="AF135" s="177">
        <f t="shared" si="39"/>
        <v>7.952773810386593E-2</v>
      </c>
      <c r="AG135" s="176">
        <f t="shared" si="40"/>
        <v>-1</v>
      </c>
      <c r="AH135" s="176">
        <f t="shared" si="41"/>
        <v>5</v>
      </c>
      <c r="AI135" s="224">
        <f t="shared" si="42"/>
        <v>-0.92047226189613407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20.826000000000001</v>
      </c>
      <c r="C136" s="388"/>
      <c r="D136" s="391">
        <f t="shared" si="24"/>
        <v>21.01484095268907</v>
      </c>
      <c r="E136" s="383">
        <f t="shared" si="46"/>
        <v>21.785651091670886</v>
      </c>
      <c r="F136" s="383">
        <f t="shared" si="25"/>
        <v>21.785698594166412</v>
      </c>
      <c r="G136" s="110">
        <f t="shared" si="47"/>
        <v>0.3469186681619893</v>
      </c>
      <c r="H136" s="412" t="b">
        <f>Wh_hp&gt;='2019'!Maxi_hp</f>
        <v>0</v>
      </c>
      <c r="I136" s="388">
        <f>IF(H136,Wh_hp,'2019'!Maxi_hp)</f>
        <v>32.122594679155981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8.9860757506663447E-3</v>
      </c>
      <c r="M136" s="832"/>
      <c r="N136" s="832"/>
      <c r="O136" s="48">
        <f>IF(t&lt;Tnet,'2019'!Resal+('2019'!Salim-'2019'!Resal)*(1-EXP(('2019'!Tnet-t)/('2019'!Tau_j))),Resal+(Salim-Resal)*(1-EXP((Tnet-t)/(Tau_j))))*Salcycl</f>
        <v>3.5381551634071258E-2</v>
      </c>
      <c r="P136" s="169">
        <f>(INDEX(Models!$BJ136:$BT136,,T136)*(1-R136)+INDEX(Models!$BJ136:$BT136,,T136+1)*R136-ERP_i)*Q136*Ramure*Pc/MaxiM</f>
        <v>3.2523694193366243E-5</v>
      </c>
      <c r="Q136" s="304">
        <f t="shared" si="27"/>
        <v>0.6</v>
      </c>
      <c r="R136" s="177">
        <f t="shared" si="28"/>
        <v>8.2360223539301058E-2</v>
      </c>
      <c r="S136" s="799">
        <f t="shared" si="29"/>
        <v>-1</v>
      </c>
      <c r="T136" s="176">
        <f t="shared" si="30"/>
        <v>5</v>
      </c>
      <c r="U136" s="250">
        <f t="shared" si="31"/>
        <v>-0.91763977646069894</v>
      </c>
      <c r="V136" s="382">
        <f t="shared" si="32"/>
        <v>60.029540008406798</v>
      </c>
      <c r="W136" s="58"/>
      <c r="X136" s="157">
        <f t="shared" si="33"/>
        <v>43952</v>
      </c>
      <c r="Y136" s="383">
        <f t="shared" si="34"/>
        <v>20.826000000000001</v>
      </c>
      <c r="Z136" s="383">
        <f t="shared" si="35"/>
        <v>21.01484095268907</v>
      </c>
      <c r="AA136" s="384">
        <f t="shared" si="36"/>
        <v>21.785651091670886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3.5381551634071258E-2</v>
      </c>
      <c r="AD136" s="230">
        <f>(INDEX(Models!$BJ136:$BT136,,AH136)*(1-AF136)+INDEX(Models!$BJ136:$BT136,,AH136+1)*AF136-ERP_i)*AE136*Ramure*Pc/MaxiM</f>
        <v>3.2523694193366243E-5</v>
      </c>
      <c r="AE136" s="304">
        <f t="shared" si="38"/>
        <v>0.6</v>
      </c>
      <c r="AF136" s="177">
        <f t="shared" si="39"/>
        <v>8.2360223539301058E-2</v>
      </c>
      <c r="AG136" s="176">
        <f t="shared" si="40"/>
        <v>-1</v>
      </c>
      <c r="AH136" s="176">
        <f t="shared" si="41"/>
        <v>5</v>
      </c>
      <c r="AI136" s="224">
        <f t="shared" si="42"/>
        <v>-0.91763977646069894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35.152999999999999</v>
      </c>
      <c r="C137" s="388"/>
      <c r="D137" s="391">
        <f t="shared" si="24"/>
        <v>35.472431670185472</v>
      </c>
      <c r="E137" s="383">
        <f t="shared" si="46"/>
        <v>36.776556559218434</v>
      </c>
      <c r="F137" s="383">
        <f t="shared" si="25"/>
        <v>36.777039416989602</v>
      </c>
      <c r="G137" s="110">
        <f t="shared" si="47"/>
        <v>0.584597638794213</v>
      </c>
      <c r="H137" s="412" t="b">
        <f>Wh_hp&gt;='2019'!Maxi_hp</f>
        <v>1</v>
      </c>
      <c r="I137" s="388">
        <f>IF(H137,Wh_hp,'2019'!Maxi_hp)</f>
        <v>36.777039416989602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9.0050683064379911E-3</v>
      </c>
      <c r="M137" s="832"/>
      <c r="N137" s="832"/>
      <c r="O137" s="48">
        <f>IF(t&lt;Tnet,'2019'!Resal+('2019'!Salim-'2019'!Resal)*(1-EXP(('2019'!Tnet-t)/('2019'!Tau_j))),Resal+(Salim-Resal)*(1-EXP((Tnet-t)/(Tau_j))))*Salcycl</f>
        <v>3.5460766614542429E-2</v>
      </c>
      <c r="P137" s="169">
        <f>(INDEX(Models!$BJ137:$BT137,,T137)*(1-R137)+INDEX(Models!$BJ137:$BT137,,T137+1)*R137-ERP_i)*Q137*Ramure*Pc/MaxiM</f>
        <v>3.2291789491432325E-5</v>
      </c>
      <c r="Q137" s="304">
        <f t="shared" si="27"/>
        <v>0.6</v>
      </c>
      <c r="R137" s="177">
        <f t="shared" si="28"/>
        <v>8.5271154804864802E-2</v>
      </c>
      <c r="S137" s="799">
        <f t="shared" si="29"/>
        <v>-1</v>
      </c>
      <c r="T137" s="176">
        <f t="shared" si="30"/>
        <v>5</v>
      </c>
      <c r="U137" s="250">
        <f t="shared" si="31"/>
        <v>-0.9147288451951352</v>
      </c>
      <c r="V137" s="382">
        <f t="shared" si="32"/>
        <v>60.130804574598557</v>
      </c>
      <c r="W137" s="58"/>
      <c r="X137" s="157">
        <f t="shared" si="33"/>
        <v>43953</v>
      </c>
      <c r="Y137" s="383">
        <f t="shared" si="34"/>
        <v>35.152999999999999</v>
      </c>
      <c r="Z137" s="383">
        <f t="shared" si="35"/>
        <v>35.472431670185472</v>
      </c>
      <c r="AA137" s="384">
        <f t="shared" si="36"/>
        <v>36.776556559218434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3.5460766614542429E-2</v>
      </c>
      <c r="AD137" s="230">
        <f>(INDEX(Models!$BJ137:$BT137,,AH137)*(1-AF137)+INDEX(Models!$BJ137:$BT137,,AH137+1)*AF137-ERP_i)*AE137*Ramure*Pc/MaxiM</f>
        <v>3.2291789491432325E-5</v>
      </c>
      <c r="AE137" s="304">
        <f t="shared" si="38"/>
        <v>0.6</v>
      </c>
      <c r="AF137" s="177">
        <f t="shared" si="39"/>
        <v>8.5271154804864802E-2</v>
      </c>
      <c r="AG137" s="176">
        <f t="shared" si="40"/>
        <v>-1</v>
      </c>
      <c r="AH137" s="176">
        <f t="shared" si="41"/>
        <v>5</v>
      </c>
      <c r="AI137" s="224">
        <f t="shared" si="42"/>
        <v>-0.9147288451951352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51.606000000000002</v>
      </c>
      <c r="C138" s="388"/>
      <c r="D138" s="391">
        <f t="shared" si="24"/>
        <v>52.075936400580382</v>
      </c>
      <c r="E138" s="383">
        <f t="shared" si="46"/>
        <v>53.99494080828179</v>
      </c>
      <c r="F138" s="383">
        <f t="shared" si="25"/>
        <v>53.996319215710827</v>
      </c>
      <c r="G138" s="110">
        <f t="shared" si="47"/>
        <v>0.85688172111629268</v>
      </c>
      <c r="H138" s="412" t="b">
        <f>Wh_hp&gt;='2019'!Maxi_hp</f>
        <v>1</v>
      </c>
      <c r="I138" s="388">
        <f>IF(H138,Wh_hp,'2019'!Maxi_hp)</f>
        <v>53.996319215710827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9.0240604982216865E-3</v>
      </c>
      <c r="M138" s="832"/>
      <c r="N138" s="832"/>
      <c r="O138" s="48">
        <f>IF(t&lt;Tnet,'2019'!Resal+('2019'!Salim-'2019'!Resal)*(1-EXP(('2019'!Tnet-t)/('2019'!Tau_j))),Resal+(Salim-Resal)*(1-EXP((Tnet-t)/(Tau_j))))*Salcycl</f>
        <v>3.5540448400807716E-2</v>
      </c>
      <c r="P138" s="169">
        <f>(INDEX(Models!$BJ138:$BT138,,T138)*(1-R138)+INDEX(Models!$BJ138:$BT138,,T138+1)*R138-ERP_i)*Q138*Ramure*Pc/MaxiM</f>
        <v>3.2088110306110866E-5</v>
      </c>
      <c r="Q138" s="304">
        <f t="shared" si="27"/>
        <v>0.6</v>
      </c>
      <c r="R138" s="177">
        <f t="shared" si="28"/>
        <v>8.8261275721155275E-2</v>
      </c>
      <c r="S138" s="799">
        <f t="shared" si="29"/>
        <v>-1</v>
      </c>
      <c r="T138" s="176">
        <f t="shared" si="30"/>
        <v>5</v>
      </c>
      <c r="U138" s="250">
        <f t="shared" si="31"/>
        <v>-0.91173872427884473</v>
      </c>
      <c r="V138" s="382">
        <f t="shared" si="32"/>
        <v>60.224953069296276</v>
      </c>
      <c r="W138" s="58"/>
      <c r="X138" s="157">
        <f t="shared" si="33"/>
        <v>43954</v>
      </c>
      <c r="Y138" s="383">
        <f t="shared" si="34"/>
        <v>51.606000000000002</v>
      </c>
      <c r="Z138" s="383">
        <f t="shared" si="35"/>
        <v>52.075936400580382</v>
      </c>
      <c r="AA138" s="384">
        <f t="shared" si="36"/>
        <v>53.99494080828179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3.5540448400807716E-2</v>
      </c>
      <c r="AD138" s="230">
        <f>(INDEX(Models!$BJ138:$BT138,,AH138)*(1-AF138)+INDEX(Models!$BJ138:$BT138,,AH138+1)*AF138-ERP_i)*AE138*Ramure*Pc/MaxiM</f>
        <v>3.2088110306110866E-5</v>
      </c>
      <c r="AE138" s="304">
        <f t="shared" si="38"/>
        <v>0.6</v>
      </c>
      <c r="AF138" s="177">
        <f t="shared" si="39"/>
        <v>8.8261275721155275E-2</v>
      </c>
      <c r="AG138" s="176">
        <f t="shared" si="40"/>
        <v>-1</v>
      </c>
      <c r="AH138" s="176">
        <f t="shared" si="41"/>
        <v>5</v>
      </c>
      <c r="AI138" s="224">
        <f t="shared" si="42"/>
        <v>-0.91173872427884473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57.305999999999997</v>
      </c>
      <c r="C139" s="388"/>
      <c r="D139" s="391">
        <f t="shared" si="24"/>
        <v>57.828950222824048</v>
      </c>
      <c r="E139" s="383">
        <f t="shared" si="46"/>
        <v>59.964936612706232</v>
      </c>
      <c r="F139" s="383">
        <f t="shared" si="25"/>
        <v>59.96671405061354</v>
      </c>
      <c r="G139" s="110">
        <f t="shared" si="47"/>
        <v>0.95015059270121371</v>
      </c>
      <c r="H139" s="412" t="b">
        <f>Wh_hp&gt;='2019'!Maxi_hp</f>
        <v>1</v>
      </c>
      <c r="I139" s="388">
        <f>IF(H139,Wh_hp,'2019'!Maxi_hp)</f>
        <v>59.96671405061354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9.0430523260243145E-3</v>
      </c>
      <c r="M139" s="832"/>
      <c r="N139" s="832"/>
      <c r="O139" s="48">
        <f>IF(t&lt;Tnet,'2019'!Resal+('2019'!Salim-'2019'!Resal)*(1-EXP(('2019'!Tnet-t)/('2019'!Tau_j))),Resal+(Salim-Resal)*(1-EXP((Tnet-t)/(Tau_j))))*Salcycl</f>
        <v>3.5620589473442092E-2</v>
      </c>
      <c r="P139" s="169">
        <f>(INDEX(Models!$BJ139:$BT139,,T139)*(1-R139)+INDEX(Models!$BJ139:$BT139,,T139+1)*R139-ERP_i)*Q139*Ramure*Pc/MaxiM</f>
        <v>3.1912940398683792E-5</v>
      </c>
      <c r="Q139" s="304">
        <f t="shared" si="27"/>
        <v>0.6</v>
      </c>
      <c r="R139" s="177">
        <f t="shared" si="28"/>
        <v>9.1331233787731669E-2</v>
      </c>
      <c r="S139" s="799">
        <f t="shared" si="29"/>
        <v>-1</v>
      </c>
      <c r="T139" s="176">
        <f t="shared" si="30"/>
        <v>5</v>
      </c>
      <c r="U139" s="250">
        <f t="shared" si="31"/>
        <v>-0.90866876621226833</v>
      </c>
      <c r="V139" s="382">
        <f t="shared" si="32"/>
        <v>60.312407534805914</v>
      </c>
      <c r="W139" s="58"/>
      <c r="X139" s="157">
        <f t="shared" si="33"/>
        <v>43955</v>
      </c>
      <c r="Y139" s="383">
        <f t="shared" si="34"/>
        <v>57.305999999999997</v>
      </c>
      <c r="Z139" s="383">
        <f t="shared" si="35"/>
        <v>57.828950222824048</v>
      </c>
      <c r="AA139" s="384">
        <f t="shared" si="36"/>
        <v>59.964936612706232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3.5620589473442092E-2</v>
      </c>
      <c r="AD139" s="230">
        <f>(INDEX(Models!$BJ139:$BT139,,AH139)*(1-AF139)+INDEX(Models!$BJ139:$BT139,,AH139+1)*AF139-ERP_i)*AE139*Ramure*Pc/MaxiM</f>
        <v>3.1912940398683792E-5</v>
      </c>
      <c r="AE139" s="304">
        <f t="shared" si="38"/>
        <v>0.6</v>
      </c>
      <c r="AF139" s="177">
        <f t="shared" si="39"/>
        <v>9.1331233787731669E-2</v>
      </c>
      <c r="AG139" s="176">
        <f t="shared" si="40"/>
        <v>-1</v>
      </c>
      <c r="AH139" s="176">
        <f t="shared" si="41"/>
        <v>5</v>
      </c>
      <c r="AI139" s="224">
        <f t="shared" si="42"/>
        <v>-0.90866876621226833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51.91</v>
      </c>
      <c r="C140" s="388"/>
      <c r="D140" s="391">
        <f t="shared" si="24"/>
        <v>52.384712559129689</v>
      </c>
      <c r="E140" s="383">
        <f t="shared" si="46"/>
        <v>54.324148835109654</v>
      </c>
      <c r="F140" s="383">
        <f t="shared" si="25"/>
        <v>54.325528264538782</v>
      </c>
      <c r="G140" s="110">
        <f t="shared" si="47"/>
        <v>0.85952282580807571</v>
      </c>
      <c r="H140" s="412" t="b">
        <f>Wh_hp&gt;='2019'!Maxi_hp</f>
        <v>0</v>
      </c>
      <c r="I140" s="388">
        <f>IF(H140,Wh_hp,'2019'!Maxi_hp)</f>
        <v>63.959766591204975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9.0620437898528694E-3</v>
      </c>
      <c r="M140" s="832"/>
      <c r="N140" s="832"/>
      <c r="O140" s="48">
        <f>IF(t&lt;Tnet,'2019'!Resal+('2019'!Salim-'2019'!Resal)*(1-EXP(('2019'!Tnet-t)/('2019'!Tau_j))),Resal+(Salim-Resal)*(1-EXP((Tnet-t)/(Tau_j))))*Salcycl</f>
        <v>3.5701181105786794E-2</v>
      </c>
      <c r="P140" s="169">
        <f>(INDEX(Models!$BJ140:$BT140,,T140)*(1-R140)+INDEX(Models!$BJ140:$BT140,,T140+1)*R140-ERP_i)*Q140*Ramure*Pc/MaxiM</f>
        <v>3.1766656553286598E-5</v>
      </c>
      <c r="Q140" s="304">
        <f t="shared" si="27"/>
        <v>0.6</v>
      </c>
      <c r="R140" s="177">
        <f t="shared" si="28"/>
        <v>9.4481573149073017E-2</v>
      </c>
      <c r="S140" s="799">
        <f t="shared" si="29"/>
        <v>-1</v>
      </c>
      <c r="T140" s="176">
        <f t="shared" si="30"/>
        <v>5</v>
      </c>
      <c r="U140" s="250">
        <f t="shared" si="31"/>
        <v>-0.90551842685092698</v>
      </c>
      <c r="V140" s="382">
        <f t="shared" si="32"/>
        <v>60.393589931929263</v>
      </c>
      <c r="W140" s="58"/>
      <c r="X140" s="157">
        <f t="shared" si="33"/>
        <v>43956</v>
      </c>
      <c r="Y140" s="383">
        <f t="shared" si="34"/>
        <v>51.91</v>
      </c>
      <c r="Z140" s="383">
        <f t="shared" si="35"/>
        <v>52.384712559129689</v>
      </c>
      <c r="AA140" s="384">
        <f t="shared" si="36"/>
        <v>54.324148835109654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3.5701181105786794E-2</v>
      </c>
      <c r="AD140" s="230">
        <f>(INDEX(Models!$BJ140:$BT140,,AH140)*(1-AF140)+INDEX(Models!$BJ140:$BT140,,AH140+1)*AF140-ERP_i)*AE140*Ramure*Pc/MaxiM</f>
        <v>3.1766656553286598E-5</v>
      </c>
      <c r="AE140" s="304">
        <f t="shared" si="38"/>
        <v>0.6</v>
      </c>
      <c r="AF140" s="177">
        <f t="shared" si="39"/>
        <v>9.4481573149073017E-2</v>
      </c>
      <c r="AG140" s="176">
        <f t="shared" si="40"/>
        <v>-1</v>
      </c>
      <c r="AH140" s="176">
        <f t="shared" si="41"/>
        <v>5</v>
      </c>
      <c r="AI140" s="224">
        <f t="shared" si="42"/>
        <v>-0.90551842685092698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57.701000000000001</v>
      </c>
      <c r="C141" s="388"/>
      <c r="D141" s="391">
        <f t="shared" si="24"/>
        <v>58.229786724869165</v>
      </c>
      <c r="E141" s="383">
        <f t="shared" si="46"/>
        <v>60.390699622402828</v>
      </c>
      <c r="F141" s="383">
        <f t="shared" si="25"/>
        <v>60.392486037860046</v>
      </c>
      <c r="G141" s="110">
        <f t="shared" si="47"/>
        <v>0.95422373226746682</v>
      </c>
      <c r="H141" s="412" t="b">
        <f>Wh_hp&gt;='2019'!Maxi_hp</f>
        <v>1</v>
      </c>
      <c r="I141" s="388">
        <f>IF(H141,Wh_hp,'2019'!Maxi_hp)</f>
        <v>60.392486037860046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9.0810348897143456E-3</v>
      </c>
      <c r="M141" s="832"/>
      <c r="N141" s="832"/>
      <c r="O141" s="48">
        <f>IF(t&lt;Tnet,'2019'!Resal+('2019'!Salim-'2019'!Resal)*(1-EXP(('2019'!Tnet-t)/('2019'!Tau_j))),Resal+(Salim-Resal)*(1-EXP((Tnet-t)/(Tau_j))))*Salcycl</f>
        <v>3.5782213338227911E-2</v>
      </c>
      <c r="P141" s="169">
        <f>(INDEX(Models!$BJ141:$BT141,,T141)*(1-R141)+INDEX(Models!$BJ141:$BT141,,T141+1)*R141-ERP_i)*Q141*Ramure*Pc/MaxiM</f>
        <v>3.164972894461016E-5</v>
      </c>
      <c r="Q141" s="304">
        <f t="shared" si="27"/>
        <v>0.6</v>
      </c>
      <c r="R141" s="177">
        <f t="shared" si="28"/>
        <v>9.7712727554225332E-2</v>
      </c>
      <c r="S141" s="799">
        <f t="shared" si="29"/>
        <v>-1</v>
      </c>
      <c r="T141" s="176">
        <f t="shared" si="30"/>
        <v>5</v>
      </c>
      <c r="U141" s="250">
        <f t="shared" si="31"/>
        <v>-0.90228727244577467</v>
      </c>
      <c r="V141" s="382">
        <f t="shared" si="32"/>
        <v>60.468922146163379</v>
      </c>
      <c r="W141" s="58"/>
      <c r="X141" s="157">
        <f t="shared" si="33"/>
        <v>43957</v>
      </c>
      <c r="Y141" s="383">
        <f t="shared" si="34"/>
        <v>57.701000000000001</v>
      </c>
      <c r="Z141" s="383">
        <f t="shared" si="35"/>
        <v>58.229786724869165</v>
      </c>
      <c r="AA141" s="384">
        <f t="shared" si="36"/>
        <v>60.390699622402828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3.5782213338227911E-2</v>
      </c>
      <c r="AD141" s="230">
        <f>(INDEX(Models!$BJ141:$BT141,,AH141)*(1-AF141)+INDEX(Models!$BJ141:$BT141,,AH141+1)*AF141-ERP_i)*AE141*Ramure*Pc/MaxiM</f>
        <v>3.164972894461016E-5</v>
      </c>
      <c r="AE141" s="304">
        <f t="shared" si="38"/>
        <v>0.6</v>
      </c>
      <c r="AF141" s="177">
        <f t="shared" si="39"/>
        <v>9.7712727554225332E-2</v>
      </c>
      <c r="AG141" s="176">
        <f t="shared" si="40"/>
        <v>-1</v>
      </c>
      <c r="AH141" s="176">
        <f t="shared" si="41"/>
        <v>5</v>
      </c>
      <c r="AI141" s="224">
        <f t="shared" si="42"/>
        <v>-0.90228727244577467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51.043999999999997</v>
      </c>
      <c r="C142" s="388"/>
      <c r="D142" s="391">
        <f t="shared" si="24"/>
        <v>51.512767504335841</v>
      </c>
      <c r="E142" s="383">
        <f t="shared" si="46"/>
        <v>53.428925107648809</v>
      </c>
      <c r="F142" s="383">
        <f t="shared" si="25"/>
        <v>53.430233365099483</v>
      </c>
      <c r="G142" s="110">
        <f t="shared" si="47"/>
        <v>0.84315541158490237</v>
      </c>
      <c r="H142" s="412" t="b">
        <f>Wh_hp&gt;='2019'!Maxi_hp</f>
        <v>1</v>
      </c>
      <c r="I142" s="388">
        <f>IF(H142,Wh_hp,'2019'!Maxi_hp)</f>
        <v>53.430233365099483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9.1000256256157375E-3</v>
      </c>
      <c r="M142" s="832"/>
      <c r="N142" s="832"/>
      <c r="O142" s="48">
        <f>IF(t&lt;Tnet,'2019'!Resal+('2019'!Salim-'2019'!Resal)*(1-EXP(('2019'!Tnet-t)/('2019'!Tau_j))),Resal+(Salim-Resal)*(1-EXP((Tnet-t)/(Tau_j))))*Salcycl</f>
        <v>3.5863674956070825E-2</v>
      </c>
      <c r="P142" s="169">
        <f>(INDEX(Models!$BJ142:$BT142,,T142)*(1-R142)+INDEX(Models!$BJ142:$BT142,,T142+1)*R142-ERP_i)*Q142*Ramure*Pc/MaxiM</f>
        <v>3.1555517603024371E-5</v>
      </c>
      <c r="Q142" s="304">
        <f t="shared" si="27"/>
        <v>0.6</v>
      </c>
      <c r="R142" s="177">
        <f t="shared" si="28"/>
        <v>0.10102501335235825</v>
      </c>
      <c r="S142" s="799">
        <f t="shared" si="29"/>
        <v>-1</v>
      </c>
      <c r="T142" s="176">
        <f t="shared" si="30"/>
        <v>5</v>
      </c>
      <c r="U142" s="250">
        <f t="shared" si="31"/>
        <v>-0.89897498664764175</v>
      </c>
      <c r="V142" s="382">
        <f t="shared" si="32"/>
        <v>60.538826412901876</v>
      </c>
      <c r="W142" s="58"/>
      <c r="X142" s="157">
        <f t="shared" si="33"/>
        <v>43958</v>
      </c>
      <c r="Y142" s="383">
        <f t="shared" si="34"/>
        <v>51.043999999999997</v>
      </c>
      <c r="Z142" s="383">
        <f t="shared" si="35"/>
        <v>51.512767504335841</v>
      </c>
      <c r="AA142" s="384">
        <f t="shared" si="36"/>
        <v>53.428925107648809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3.5863674956070825E-2</v>
      </c>
      <c r="AD142" s="230">
        <f>(INDEX(Models!$BJ142:$BT142,,AH142)*(1-AF142)+INDEX(Models!$BJ142:$BT142,,AH142+1)*AF142-ERP_i)*AE142*Ramure*Pc/MaxiM</f>
        <v>3.1555517603024371E-5</v>
      </c>
      <c r="AE142" s="304">
        <f t="shared" si="38"/>
        <v>0.6</v>
      </c>
      <c r="AF142" s="177">
        <f t="shared" si="39"/>
        <v>0.10102501335235825</v>
      </c>
      <c r="AG142" s="176">
        <f t="shared" si="40"/>
        <v>-1</v>
      </c>
      <c r="AH142" s="176">
        <f t="shared" si="41"/>
        <v>5</v>
      </c>
      <c r="AI142" s="224">
        <f t="shared" si="42"/>
        <v>-0.89897498664764175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52.079000000000001</v>
      </c>
      <c r="C143" s="388"/>
      <c r="D143" s="391">
        <f t="shared" ref="D143:D206" si="48">Wh/(1-Ppv)</f>
        <v>52.5582797942482</v>
      </c>
      <c r="E143" s="383">
        <f t="shared" si="46"/>
        <v>54.517957967524531</v>
      </c>
      <c r="F143" s="383">
        <f t="shared" ref="F143:F206" si="49">Wh_sa/(1-Pvg*MEDIAN((-Sdif+Wh/Env_an)/Csdif,0,1))</f>
        <v>54.519329052918785</v>
      </c>
      <c r="G143" s="110">
        <f t="shared" si="47"/>
        <v>0.8593311793845827</v>
      </c>
      <c r="H143" s="412" t="b">
        <f>Wh_hp&gt;='2019'!Maxi_hp</f>
        <v>1</v>
      </c>
      <c r="I143" s="388">
        <f>IF(H143,Wh_hp,'2019'!Maxi_hp)</f>
        <v>54.519329052918785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9.1190159975640395E-3</v>
      </c>
      <c r="M143" s="832"/>
      <c r="N143" s="832"/>
      <c r="O143" s="48">
        <f>IF(t&lt;Tnet,'2019'!Resal+('2019'!Salim-'2019'!Resal)*(1-EXP(('2019'!Tnet-t)/('2019'!Tau_j))),Resal+(Salim-Resal)*(1-EXP((Tnet-t)/(Tau_j))))*Salcycl</f>
        <v>3.5945553471457538E-2</v>
      </c>
      <c r="P143" s="169">
        <f>(INDEX(Models!$BJ143:$BT143,,T143)*(1-R143)+INDEX(Models!$BJ143:$BT143,,T143+1)*R143-ERP_i)*Q143*Ramure*Pc/MaxiM</f>
        <v>3.1473047171016945E-5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0.10441862256970369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-0.89558137743029631</v>
      </c>
      <c r="V143" s="382">
        <f t="shared" ref="V143:V206" si="56">MaxiM*(1-Ppv)*(1-Pvg)*(1-Psa)</f>
        <v>60.603725165305804</v>
      </c>
      <c r="W143" s="58"/>
      <c r="X143" s="157">
        <f t="shared" ref="X143:X206" si="57">t</f>
        <v>43959</v>
      </c>
      <c r="Y143" s="383">
        <f t="shared" ref="Y143:Y206" si="58">Wh_pvt_s*(1-Ppv)</f>
        <v>52.079000000000001</v>
      </c>
      <c r="Z143" s="383">
        <f t="shared" ref="Z143:Z206" si="59">Wh_sa_s*(1-Psa_s)</f>
        <v>52.5582797942482</v>
      </c>
      <c r="AA143" s="384">
        <f t="shared" ref="AA143:AA206" si="60">Wh_hp*(1-Pvg_s*MEDIAN((-Sdif+Wh/Env_an)/Csdif,0,1))</f>
        <v>54.517957967524531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3.5945553471457538E-2</v>
      </c>
      <c r="AD143" s="230">
        <f>(INDEX(Models!$BJ143:$BT143,,AH143)*(1-AF143)+INDEX(Models!$BJ143:$BT143,,AH143+1)*AF143-ERP_i)*AE143*Ramure*Pc/MaxiM</f>
        <v>3.1473047171016945E-5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0.10441862256970369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-0.89558137743029631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49.540999999999997</v>
      </c>
      <c r="C144" s="388"/>
      <c r="D144" s="391">
        <f t="shared" si="48"/>
        <v>49.997880936261133</v>
      </c>
      <c r="E144" s="383">
        <f t="shared" ref="E144:E169" si="70">Wh_pvt/(1-Psa)</f>
        <v>51.866519342863228</v>
      </c>
      <c r="F144" s="383">
        <f t="shared" si="49"/>
        <v>51.867721466832606</v>
      </c>
      <c r="G144" s="110">
        <f t="shared" ref="G144:G169" si="71">+Wh_hp/MaxiM</f>
        <v>0.81663852934601522</v>
      </c>
      <c r="H144" s="412" t="b">
        <f>Wh_hp&gt;='2019'!Maxi_hp</f>
        <v>1</v>
      </c>
      <c r="I144" s="388">
        <f>IF(H144,Wh_hp,'2019'!Maxi_hp)</f>
        <v>51.867721466832606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9.138006005566135E-3</v>
      </c>
      <c r="M144" s="832"/>
      <c r="N144" s="832"/>
      <c r="O144" s="48">
        <f>IF(t&lt;Tnet,'2019'!Resal+('2019'!Salim-'2019'!Resal)*(1-EXP(('2019'!Tnet-t)/('2019'!Tau_j))),Resal+(Salim-Resal)*(1-EXP((Tnet-t)/(Tau_j))))*Salcycl</f>
        <v>3.6027835109764698E-2</v>
      </c>
      <c r="P144" s="169">
        <f>(INDEX(Models!$BJ144:$BT144,,T144)*(1-R144)+INDEX(Models!$BJ144:$BT144,,T144+1)*R144-ERP_i)*Q144*Ramure*Pc/MaxiM</f>
        <v>3.1402027434618971E-5</v>
      </c>
      <c r="Q144" s="304">
        <f t="shared" si="51"/>
        <v>0.6</v>
      </c>
      <c r="R144" s="177">
        <f t="shared" si="52"/>
        <v>0.1078936161164219</v>
      </c>
      <c r="S144" s="799">
        <f t="shared" si="53"/>
        <v>-1</v>
      </c>
      <c r="T144" s="176">
        <f t="shared" si="54"/>
        <v>5</v>
      </c>
      <c r="U144" s="250">
        <f t="shared" si="55"/>
        <v>-0.8921063838835781</v>
      </c>
      <c r="V144" s="382">
        <f t="shared" si="56"/>
        <v>60.664040111567054</v>
      </c>
      <c r="W144" s="58"/>
      <c r="X144" s="157">
        <f t="shared" si="57"/>
        <v>43960</v>
      </c>
      <c r="Y144" s="383">
        <f t="shared" si="58"/>
        <v>49.540999999999997</v>
      </c>
      <c r="Z144" s="383">
        <f t="shared" si="59"/>
        <v>49.997880936261133</v>
      </c>
      <c r="AA144" s="384">
        <f t="shared" si="60"/>
        <v>51.866519342863228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3.6027835109764698E-2</v>
      </c>
      <c r="AD144" s="230">
        <f>(INDEX(Models!$BJ144:$BT144,,AH144)*(1-AF144)+INDEX(Models!$BJ144:$BT144,,AH144+1)*AF144-ERP_i)*AE144*Ramure*Pc/MaxiM</f>
        <v>3.1402027434618971E-5</v>
      </c>
      <c r="AE144" s="304">
        <f t="shared" si="62"/>
        <v>0.6</v>
      </c>
      <c r="AF144" s="177">
        <f t="shared" si="63"/>
        <v>0.1078936161164219</v>
      </c>
      <c r="AG144" s="176">
        <f t="shared" si="64"/>
        <v>-1</v>
      </c>
      <c r="AH144" s="176">
        <f t="shared" si="65"/>
        <v>5</v>
      </c>
      <c r="AI144" s="224">
        <f t="shared" si="66"/>
        <v>-0.8921063838835781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11.788</v>
      </c>
      <c r="C145" s="388"/>
      <c r="D145" s="391">
        <f t="shared" si="48"/>
        <v>11.89694022992936</v>
      </c>
      <c r="E145" s="383">
        <f t="shared" si="70"/>
        <v>12.342639160593832</v>
      </c>
      <c r="F145" s="383">
        <f t="shared" si="49"/>
        <v>12.342639160593832</v>
      </c>
      <c r="G145" s="110">
        <f t="shared" si="71"/>
        <v>0.19413032105506742</v>
      </c>
      <c r="H145" s="412" t="b">
        <f>Wh_hp&gt;='2019'!Maxi_hp</f>
        <v>0</v>
      </c>
      <c r="I145" s="388">
        <f>IF(H145,Wh_hp,'2019'!Maxi_hp)</f>
        <v>37.893036720520001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9.1569956496290184E-3</v>
      </c>
      <c r="M145" s="832"/>
      <c r="N145" s="832"/>
      <c r="O145" s="48">
        <f>IF(t&lt;Tnet,'2019'!Resal+('2019'!Salim-'2019'!Resal)*(1-EXP(('2019'!Tnet-t)/('2019'!Tau_j))),Resal+(Salim-Resal)*(1-EXP((Tnet-t)/(Tau_j))))*Salcycl</f>
        <v>3.6110504800905795E-2</v>
      </c>
      <c r="P145" s="169">
        <f>(INDEX(Models!$BJ145:$BT145,,T145)*(1-R145)+INDEX(Models!$BJ145:$BT145,,T145+1)*R145-ERP_i)*Q145*Ramure*Pc/MaxiM</f>
        <v>3.1342194014699786E-5</v>
      </c>
      <c r="Q145" s="304">
        <f t="shared" si="51"/>
        <v>0.6</v>
      </c>
      <c r="R145" s="177">
        <f t="shared" si="52"/>
        <v>0.11144991717478614</v>
      </c>
      <c r="S145" s="799">
        <f t="shared" si="53"/>
        <v>-1</v>
      </c>
      <c r="T145" s="176">
        <f t="shared" si="54"/>
        <v>5</v>
      </c>
      <c r="U145" s="250">
        <f t="shared" si="55"/>
        <v>-0.88855008282521386</v>
      </c>
      <c r="V145" s="382">
        <f t="shared" si="56"/>
        <v>60.720192879469103</v>
      </c>
      <c r="W145" s="58"/>
      <c r="X145" s="157">
        <f t="shared" si="57"/>
        <v>43961</v>
      </c>
      <c r="Y145" s="383">
        <f t="shared" si="58"/>
        <v>11.788</v>
      </c>
      <c r="Z145" s="383">
        <f t="shared" si="59"/>
        <v>11.89694022992936</v>
      </c>
      <c r="AA145" s="384">
        <f t="shared" si="60"/>
        <v>12.342639160593832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3.6110504800905795E-2</v>
      </c>
      <c r="AD145" s="230">
        <f>(INDEX(Models!$BJ145:$BT145,,AH145)*(1-AF145)+INDEX(Models!$BJ145:$BT145,,AH145+1)*AF145-ERP_i)*AE145*Ramure*Pc/MaxiM</f>
        <v>3.1342194014699786E-5</v>
      </c>
      <c r="AE145" s="304">
        <f t="shared" si="62"/>
        <v>0.6</v>
      </c>
      <c r="AF145" s="177">
        <f t="shared" si="63"/>
        <v>0.11144991717478614</v>
      </c>
      <c r="AG145" s="176">
        <f t="shared" si="64"/>
        <v>-1</v>
      </c>
      <c r="AH145" s="176">
        <f t="shared" si="65"/>
        <v>5</v>
      </c>
      <c r="AI145" s="224">
        <f t="shared" si="66"/>
        <v>-0.88855008282521386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8.2669999999999995</v>
      </c>
      <c r="C146" s="388"/>
      <c r="D146" s="391">
        <f t="shared" si="48"/>
        <v>8.3435603843473114</v>
      </c>
      <c r="E146" s="383">
        <f t="shared" si="70"/>
        <v>8.6568837044438602</v>
      </c>
      <c r="F146" s="383">
        <f t="shared" si="49"/>
        <v>8.6568837044438602</v>
      </c>
      <c r="G146" s="110">
        <f t="shared" si="71"/>
        <v>0.13602743038111145</v>
      </c>
      <c r="H146" s="412" t="b">
        <f>Wh_hp&gt;='2019'!Maxi_hp</f>
        <v>0</v>
      </c>
      <c r="I146" s="388">
        <f>IF(H146,Wh_hp,'2019'!Maxi_hp)</f>
        <v>56.127004376201441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9.1759849297597951E-3</v>
      </c>
      <c r="M146" s="832"/>
      <c r="N146" s="832"/>
      <c r="O146" s="48">
        <f>IF(t&lt;Tnet,'2019'!Resal+('2019'!Salim-'2019'!Resal)*(1-EXP(('2019'!Tnet-t)/('2019'!Tau_j))),Resal+(Salim-Resal)*(1-EXP((Tnet-t)/(Tau_j))))*Salcycl</f>
        <v>3.6193546175942046E-2</v>
      </c>
      <c r="P146" s="169">
        <f>(INDEX(Models!$BJ146:$BT146,,T146)*(1-R146)+INDEX(Models!$BJ146:$BT146,,T146+1)*R146-ERP_i)*Q146*Ramure*Pc/MaxiM</f>
        <v>3.12933085011669E-5</v>
      </c>
      <c r="Q146" s="304">
        <f t="shared" si="51"/>
        <v>0.6</v>
      </c>
      <c r="R146" s="177">
        <f t="shared" si="52"/>
        <v>0.11508730482261487</v>
      </c>
      <c r="S146" s="799">
        <f t="shared" si="53"/>
        <v>-1</v>
      </c>
      <c r="T146" s="176">
        <f t="shared" si="54"/>
        <v>5</v>
      </c>
      <c r="U146" s="250">
        <f t="shared" si="55"/>
        <v>-0.88491269517738513</v>
      </c>
      <c r="V146" s="382">
        <f t="shared" si="56"/>
        <v>60.772605018395815</v>
      </c>
      <c r="W146" s="58"/>
      <c r="X146" s="157">
        <f t="shared" si="57"/>
        <v>43962</v>
      </c>
      <c r="Y146" s="383">
        <f t="shared" si="58"/>
        <v>8.2669999999999995</v>
      </c>
      <c r="Z146" s="383">
        <f t="shared" si="59"/>
        <v>8.3435603843473114</v>
      </c>
      <c r="AA146" s="384">
        <f t="shared" si="60"/>
        <v>8.6568837044438602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3.6193546175942046E-2</v>
      </c>
      <c r="AD146" s="230">
        <f>(INDEX(Models!$BJ146:$BT146,,AH146)*(1-AF146)+INDEX(Models!$BJ146:$BT146,,AH146+1)*AF146-ERP_i)*AE146*Ramure*Pc/MaxiM</f>
        <v>3.12933085011669E-5</v>
      </c>
      <c r="AE146" s="304">
        <f t="shared" si="62"/>
        <v>0.6</v>
      </c>
      <c r="AF146" s="177">
        <f t="shared" si="63"/>
        <v>0.11508730482261487</v>
      </c>
      <c r="AG146" s="176">
        <f t="shared" si="64"/>
        <v>-1</v>
      </c>
      <c r="AH146" s="176">
        <f t="shared" si="65"/>
        <v>5</v>
      </c>
      <c r="AI146" s="224">
        <f t="shared" si="66"/>
        <v>-0.88491269517738513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20.25</v>
      </c>
      <c r="C147" s="388"/>
      <c r="D147" s="391">
        <f t="shared" si="48"/>
        <v>20.437926196845766</v>
      </c>
      <c r="E147" s="383">
        <f t="shared" si="70"/>
        <v>21.207260756142983</v>
      </c>
      <c r="F147" s="383">
        <f t="shared" si="49"/>
        <v>21.20729194774292</v>
      </c>
      <c r="G147" s="110">
        <f t="shared" si="71"/>
        <v>0.33293047603175147</v>
      </c>
      <c r="H147" s="412" t="b">
        <f>Wh_hp&gt;='2019'!Maxi_hp</f>
        <v>0</v>
      </c>
      <c r="I147" s="388">
        <f>IF(H147,Wh_hp,'2019'!Maxi_hp)</f>
        <v>64.735176440204555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9.1949738459653485E-3</v>
      </c>
      <c r="M147" s="832"/>
      <c r="N147" s="832"/>
      <c r="O147" s="48">
        <f>IF(t&lt;Tnet,'2019'!Resal+('2019'!Salim-'2019'!Resal)*(1-EXP(('2019'!Tnet-t)/('2019'!Tau_j))),Resal+(Salim-Resal)*(1-EXP((Tnet-t)/(Tau_j))))*Salcycl</f>
        <v>3.6276941569380702E-2</v>
      </c>
      <c r="P147" s="169">
        <f>(INDEX(Models!$BJ147:$BT147,,T147)*(1-R147)+INDEX(Models!$BJ147:$BT147,,T147+1)*R147-ERP_i)*Q147*Ramure*Pc/MaxiM</f>
        <v>3.1255158649705174E-5</v>
      </c>
      <c r="Q147" s="304">
        <f t="shared" si="51"/>
        <v>0.6</v>
      </c>
      <c r="R147" s="177">
        <f t="shared" si="52"/>
        <v>0.11880540794806704</v>
      </c>
      <c r="S147" s="799">
        <f t="shared" si="53"/>
        <v>-1</v>
      </c>
      <c r="T147" s="176">
        <f t="shared" si="54"/>
        <v>5</v>
      </c>
      <c r="U147" s="250">
        <f t="shared" si="55"/>
        <v>-0.88119459205193296</v>
      </c>
      <c r="V147" s="382">
        <f t="shared" si="56"/>
        <v>60.821697992700003</v>
      </c>
      <c r="W147" s="58"/>
      <c r="X147" s="157">
        <f t="shared" si="57"/>
        <v>43963</v>
      </c>
      <c r="Y147" s="383">
        <f t="shared" si="58"/>
        <v>20.25</v>
      </c>
      <c r="Z147" s="383">
        <f t="shared" si="59"/>
        <v>20.437926196845766</v>
      </c>
      <c r="AA147" s="384">
        <f t="shared" si="60"/>
        <v>21.207260756142983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3.6276941569380702E-2</v>
      </c>
      <c r="AD147" s="230">
        <f>(INDEX(Models!$BJ147:$BT147,,AH147)*(1-AF147)+INDEX(Models!$BJ147:$BT147,,AH147+1)*AF147-ERP_i)*AE147*Ramure*Pc/MaxiM</f>
        <v>3.1255158649705174E-5</v>
      </c>
      <c r="AE147" s="304">
        <f t="shared" si="62"/>
        <v>0.6</v>
      </c>
      <c r="AF147" s="177">
        <f t="shared" si="63"/>
        <v>0.11880540794806704</v>
      </c>
      <c r="AG147" s="176">
        <f t="shared" si="64"/>
        <v>-1</v>
      </c>
      <c r="AH147" s="176">
        <f t="shared" si="65"/>
        <v>5</v>
      </c>
      <c r="AI147" s="224">
        <f t="shared" si="66"/>
        <v>-0.88119459205193296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30.809000000000001</v>
      </c>
      <c r="C148" s="388"/>
      <c r="D148" s="391">
        <f t="shared" si="48"/>
        <v>31.095512886490507</v>
      </c>
      <c r="E148" s="383">
        <f t="shared" si="70"/>
        <v>32.268829201809233</v>
      </c>
      <c r="F148" s="383">
        <f t="shared" si="49"/>
        <v>32.269125982273593</v>
      </c>
      <c r="G148" s="110">
        <f t="shared" si="71"/>
        <v>0.50615060988046001</v>
      </c>
      <c r="H148" s="412" t="b">
        <f>Wh_hp&gt;='2019'!Maxi_hp</f>
        <v>0</v>
      </c>
      <c r="I148" s="388">
        <f>IF(H148,Wh_hp,'2019'!Maxi_hp)</f>
        <v>63.17753058579234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9.213962398252673E-3</v>
      </c>
      <c r="M148" s="832"/>
      <c r="N148" s="832"/>
      <c r="O148" s="48">
        <f>IF(t&lt;Tnet,'2019'!Resal+('2019'!Salim-'2019'!Resal)*(1-EXP(('2019'!Tnet-t)/('2019'!Tau_j))),Resal+(Salim-Resal)*(1-EXP((Tnet-t)/(Tau_j))))*Salcycl</f>
        <v>3.6360672027510171E-2</v>
      </c>
      <c r="P148" s="169">
        <f>(INDEX(Models!$BJ148:$BT148,,T148)*(1-R148)+INDEX(Models!$BJ148:$BT148,,T148+1)*R148-ERP_i)*Q148*Ramure*Pc/MaxiM</f>
        <v>3.122755861679249E-5</v>
      </c>
      <c r="Q148" s="304">
        <f t="shared" si="51"/>
        <v>0.6</v>
      </c>
      <c r="R148" s="177">
        <f t="shared" si="52"/>
        <v>0.12260369951366945</v>
      </c>
      <c r="S148" s="799">
        <f t="shared" si="53"/>
        <v>-1</v>
      </c>
      <c r="T148" s="176">
        <f t="shared" si="54"/>
        <v>5</v>
      </c>
      <c r="U148" s="250">
        <f t="shared" si="55"/>
        <v>-0.87739630048633055</v>
      </c>
      <c r="V148" s="382">
        <f t="shared" si="56"/>
        <v>60.867893180661362</v>
      </c>
      <c r="W148" s="58"/>
      <c r="X148" s="157">
        <f t="shared" si="57"/>
        <v>43964</v>
      </c>
      <c r="Y148" s="383">
        <f t="shared" si="58"/>
        <v>30.808999999999997</v>
      </c>
      <c r="Z148" s="383">
        <f t="shared" si="59"/>
        <v>31.095512886490503</v>
      </c>
      <c r="AA148" s="384">
        <f t="shared" si="60"/>
        <v>32.268829201809233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3.6360672027510171E-2</v>
      </c>
      <c r="AD148" s="230">
        <f>(INDEX(Models!$BJ148:$BT148,,AH148)*(1-AF148)+INDEX(Models!$BJ148:$BT148,,AH148+1)*AF148-ERP_i)*AE148*Ramure*Pc/MaxiM</f>
        <v>3.122755861679249E-5</v>
      </c>
      <c r="AE148" s="304">
        <f t="shared" si="62"/>
        <v>0.6</v>
      </c>
      <c r="AF148" s="177">
        <f t="shared" si="63"/>
        <v>0.12260369951366945</v>
      </c>
      <c r="AG148" s="176">
        <f t="shared" si="64"/>
        <v>-1</v>
      </c>
      <c r="AH148" s="176">
        <f t="shared" si="65"/>
        <v>5</v>
      </c>
      <c r="AI148" s="224">
        <f t="shared" si="66"/>
        <v>-0.87739630048633055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19.992000000000001</v>
      </c>
      <c r="C149" s="388"/>
      <c r="D149" s="391">
        <f t="shared" si="48"/>
        <v>20.178305295717266</v>
      </c>
      <c r="E149" s="383">
        <f t="shared" si="70"/>
        <v>20.94151281041043</v>
      </c>
      <c r="F149" s="383">
        <f t="shared" si="49"/>
        <v>20.941539161468619</v>
      </c>
      <c r="G149" s="110">
        <f t="shared" si="71"/>
        <v>0.3282115435279962</v>
      </c>
      <c r="H149" s="412" t="b">
        <f>Wh_hp&gt;='2019'!Maxi_hp</f>
        <v>0</v>
      </c>
      <c r="I149" s="388">
        <f>IF(H149,Wh_hp,'2019'!Maxi_hp)</f>
        <v>63.749746861981109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9.2329505866286521E-3</v>
      </c>
      <c r="M149" s="832"/>
      <c r="N149" s="832"/>
      <c r="O149" s="48">
        <f>IF(t&lt;Tnet,'2019'!Resal+('2019'!Salim-'2019'!Resal)*(1-EXP(('2019'!Tnet-t)/('2019'!Tau_j))),Resal+(Salim-Resal)*(1-EXP((Tnet-t)/(Tau_j))))*Salcycl</f>
        <v>3.6444717323084588E-2</v>
      </c>
      <c r="P149" s="169">
        <f>(INDEX(Models!$BJ149:$BT149,,T149)*(1-R149)+INDEX(Models!$BJ149:$BT149,,T149+1)*R149-ERP_i)*Q149*Ramure*Pc/MaxiM</f>
        <v>3.1211118811315736E-5</v>
      </c>
      <c r="Q149" s="304">
        <f t="shared" si="51"/>
        <v>0.6</v>
      </c>
      <c r="R149" s="177">
        <f t="shared" si="52"/>
        <v>0.126481491228709</v>
      </c>
      <c r="S149" s="799">
        <f t="shared" si="53"/>
        <v>-1</v>
      </c>
      <c r="T149" s="176">
        <f t="shared" si="54"/>
        <v>5</v>
      </c>
      <c r="U149" s="250">
        <f t="shared" si="55"/>
        <v>-0.873518508771291</v>
      </c>
      <c r="V149" s="382">
        <f t="shared" si="56"/>
        <v>60.910109887992249</v>
      </c>
      <c r="W149" s="58"/>
      <c r="X149" s="157">
        <f t="shared" si="57"/>
        <v>43965</v>
      </c>
      <c r="Y149" s="383">
        <f t="shared" si="58"/>
        <v>19.992000000000001</v>
      </c>
      <c r="Z149" s="383">
        <f t="shared" si="59"/>
        <v>20.178305295717266</v>
      </c>
      <c r="AA149" s="384">
        <f t="shared" si="60"/>
        <v>20.94151281041043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3.6444717323084588E-2</v>
      </c>
      <c r="AD149" s="230">
        <f>(INDEX(Models!$BJ149:$BT149,,AH149)*(1-AF149)+INDEX(Models!$BJ149:$BT149,,AH149+1)*AF149-ERP_i)*AE149*Ramure*Pc/MaxiM</f>
        <v>3.1211118811315736E-5</v>
      </c>
      <c r="AE149" s="304">
        <f t="shared" si="62"/>
        <v>0.6</v>
      </c>
      <c r="AF149" s="177">
        <f t="shared" si="63"/>
        <v>0.126481491228709</v>
      </c>
      <c r="AG149" s="176">
        <f t="shared" si="64"/>
        <v>-1</v>
      </c>
      <c r="AH149" s="176">
        <f t="shared" si="65"/>
        <v>5</v>
      </c>
      <c r="AI149" s="224">
        <f t="shared" si="66"/>
        <v>-0.873518508771291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16.515000000000001</v>
      </c>
      <c r="C150" s="388"/>
      <c r="D150" s="391">
        <f t="shared" si="48"/>
        <v>16.669222621050885</v>
      </c>
      <c r="E150" s="383">
        <f t="shared" si="70"/>
        <v>17.301219849393391</v>
      </c>
      <c r="F150" s="383">
        <f t="shared" si="49"/>
        <v>17.301219849393391</v>
      </c>
      <c r="G150" s="110">
        <f t="shared" si="71"/>
        <v>0.27096411421695826</v>
      </c>
      <c r="H150" s="412" t="b">
        <f>Wh_hp&gt;='2019'!Maxi_hp</f>
        <v>0</v>
      </c>
      <c r="I150" s="388">
        <f>IF(H150,Wh_hp,'2019'!Maxi_hp)</f>
        <v>54.786265720122543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9.2519384111003911E-3</v>
      </c>
      <c r="M150" s="832"/>
      <c r="N150" s="832"/>
      <c r="O150" s="48">
        <f>IF(t&lt;Tnet,'2019'!Resal+('2019'!Salim-'2019'!Resal)*(1-EXP(('2019'!Tnet-t)/('2019'!Tau_j))),Resal+(Salim-Resal)*(1-EXP((Tnet-t)/(Tau_j))))*Salcycl</f>
        <v>3.6529055976631815E-2</v>
      </c>
      <c r="P150" s="169">
        <f>(INDEX(Models!$BJ150:$BT150,,T150)*(1-R150)+INDEX(Models!$BJ150:$BT150,,T150+1)*R150-ERP_i)*Q150*Ramure*Pc/MaxiM</f>
        <v>3.1195516790323997E-5</v>
      </c>
      <c r="Q150" s="304">
        <f t="shared" si="51"/>
        <v>0.6</v>
      </c>
      <c r="R150" s="177">
        <f t="shared" si="52"/>
        <v>0.13043792868983517</v>
      </c>
      <c r="S150" s="799">
        <f t="shared" si="53"/>
        <v>-1</v>
      </c>
      <c r="T150" s="176">
        <f t="shared" si="54"/>
        <v>5</v>
      </c>
      <c r="U150" s="250">
        <f t="shared" si="55"/>
        <v>-0.86956207131016483</v>
      </c>
      <c r="V150" s="382">
        <f t="shared" si="56"/>
        <v>60.947128935373442</v>
      </c>
      <c r="W150" s="58"/>
      <c r="X150" s="157">
        <f t="shared" si="57"/>
        <v>43966</v>
      </c>
      <c r="Y150" s="383">
        <f t="shared" si="58"/>
        <v>16.515000000000001</v>
      </c>
      <c r="Z150" s="383">
        <f t="shared" si="59"/>
        <v>16.669222621050885</v>
      </c>
      <c r="AA150" s="384">
        <f t="shared" si="60"/>
        <v>17.301219849393391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3.6529055976631815E-2</v>
      </c>
      <c r="AD150" s="230">
        <f>(INDEX(Models!$BJ150:$BT150,,AH150)*(1-AF150)+INDEX(Models!$BJ150:$BT150,,AH150+1)*AF150-ERP_i)*AE150*Ramure*Pc/MaxiM</f>
        <v>3.1195516790323997E-5</v>
      </c>
      <c r="AE150" s="304">
        <f t="shared" si="62"/>
        <v>0.6</v>
      </c>
      <c r="AF150" s="177">
        <f t="shared" si="63"/>
        <v>0.13043792868983517</v>
      </c>
      <c r="AG150" s="176">
        <f t="shared" si="64"/>
        <v>-1</v>
      </c>
      <c r="AH150" s="176">
        <f t="shared" si="65"/>
        <v>5</v>
      </c>
      <c r="AI150" s="224">
        <f t="shared" si="66"/>
        <v>-0.86956207131016483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36.479999999999997</v>
      </c>
      <c r="C151" s="388"/>
      <c r="D151" s="391">
        <f t="shared" si="48"/>
        <v>36.821368174842604</v>
      </c>
      <c r="E151" s="383">
        <f t="shared" si="70"/>
        <v>38.220770679418777</v>
      </c>
      <c r="F151" s="383">
        <f t="shared" si="49"/>
        <v>38.221278037725483</v>
      </c>
      <c r="G151" s="110">
        <f t="shared" si="71"/>
        <v>0.59822642728475439</v>
      </c>
      <c r="H151" s="412" t="b">
        <f>Wh_hp&gt;='2019'!Maxi_hp</f>
        <v>1</v>
      </c>
      <c r="I151" s="388">
        <f>IF(H151,Wh_hp,'2019'!Maxi_hp)</f>
        <v>38.221278037725483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9.2709258716747733E-3</v>
      </c>
      <c r="M151" s="832"/>
      <c r="N151" s="832"/>
      <c r="O151" s="48">
        <f>IF(t&lt;Tnet,'2019'!Resal+('2019'!Salim-'2019'!Resal)*(1-EXP(('2019'!Tnet-t)/('2019'!Tau_j))),Resal+(Salim-Resal)*(1-EXP((Tnet-t)/(Tau_j))))*Salcycl</f>
        <v>3.6613665284612545E-2</v>
      </c>
      <c r="P151" s="169">
        <f>(INDEX(Models!$BJ151:$BT151,,T151)*(1-R151)+INDEX(Models!$BJ151:$BT151,,T151+1)*R151-ERP_i)*Q151*Ramure*Pc/MaxiM</f>
        <v>3.1156302091275644E-5</v>
      </c>
      <c r="Q151" s="304">
        <f t="shared" si="51"/>
        <v>0.6</v>
      </c>
      <c r="R151" s="177">
        <f t="shared" si="52"/>
        <v>0.13447198704980901</v>
      </c>
      <c r="S151" s="799">
        <f t="shared" si="53"/>
        <v>-1</v>
      </c>
      <c r="T151" s="176">
        <f t="shared" si="54"/>
        <v>5</v>
      </c>
      <c r="U151" s="250">
        <f t="shared" si="55"/>
        <v>-0.86552801295019099</v>
      </c>
      <c r="V151" s="382">
        <f t="shared" si="56"/>
        <v>60.979164392958872</v>
      </c>
      <c r="W151" s="58"/>
      <c r="X151" s="157">
        <f t="shared" si="57"/>
        <v>43967</v>
      </c>
      <c r="Y151" s="383">
        <f t="shared" si="58"/>
        <v>36.479999999999997</v>
      </c>
      <c r="Z151" s="383">
        <f t="shared" si="59"/>
        <v>36.821368174842604</v>
      </c>
      <c r="AA151" s="384">
        <f t="shared" si="60"/>
        <v>38.220770679418777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3.6613665284612545E-2</v>
      </c>
      <c r="AD151" s="230">
        <f>(INDEX(Models!$BJ151:$BT151,,AH151)*(1-AF151)+INDEX(Models!$BJ151:$BT151,,AH151+1)*AF151-ERP_i)*AE151*Ramure*Pc/MaxiM</f>
        <v>3.1156302091275644E-5</v>
      </c>
      <c r="AE151" s="304">
        <f t="shared" si="62"/>
        <v>0.6</v>
      </c>
      <c r="AF151" s="177">
        <f t="shared" si="63"/>
        <v>0.13447198704980901</v>
      </c>
      <c r="AG151" s="176">
        <f t="shared" si="64"/>
        <v>-1</v>
      </c>
      <c r="AH151" s="176">
        <f t="shared" si="65"/>
        <v>5</v>
      </c>
      <c r="AI151" s="224">
        <f t="shared" si="66"/>
        <v>-0.86552801295019099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62.137999999999998</v>
      </c>
      <c r="C152" s="388"/>
      <c r="D152" s="391">
        <f t="shared" si="48"/>
        <v>62.720669561543929</v>
      </c>
      <c r="E152" s="383">
        <f t="shared" si="70"/>
        <v>65.110114488501296</v>
      </c>
      <c r="F152" s="383">
        <f t="shared" si="49"/>
        <v>65.112138934007149</v>
      </c>
      <c r="G152" s="110">
        <f t="shared" si="71"/>
        <v>1.0185483901396619</v>
      </c>
      <c r="H152" s="412" t="b">
        <f>Wh_hp&gt;='2019'!Maxi_hp</f>
        <v>1</v>
      </c>
      <c r="I152" s="388">
        <f>IF(H152,Wh_hp,'2019'!Maxi_hp)</f>
        <v>65.112138934007149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9.2899129683587933E-3</v>
      </c>
      <c r="M152" s="832"/>
      <c r="N152" s="832"/>
      <c r="O152" s="48">
        <f>IF(t&lt;Tnet,'2019'!Resal+('2019'!Salim-'2019'!Resal)*(1-EXP(('2019'!Tnet-t)/('2019'!Tau_j))),Resal+(Salim-Resal)*(1-EXP((Tnet-t)/(Tau_j))))*Salcycl</f>
        <v>3.6698521354609943E-2</v>
      </c>
      <c r="P152" s="169">
        <f>(INDEX(Models!$BJ152:$BT152,,T152)*(1-R152)+INDEX(Models!$BJ152:$BT152,,T152+1)*R152-ERP_i)*Q152*Ramure*Pc/MaxiM</f>
        <v>3.1091675669091048E-5</v>
      </c>
      <c r="Q152" s="304">
        <f t="shared" si="51"/>
        <v>0.6</v>
      </c>
      <c r="R152" s="177">
        <f t="shared" si="52"/>
        <v>0.13858246727376611</v>
      </c>
      <c r="S152" s="799">
        <f t="shared" si="53"/>
        <v>-1</v>
      </c>
      <c r="T152" s="176">
        <f t="shared" si="54"/>
        <v>5</v>
      </c>
      <c r="U152" s="250">
        <f t="shared" si="55"/>
        <v>-0.86141753272623389</v>
      </c>
      <c r="V152" s="382">
        <f t="shared" si="56"/>
        <v>61.006428954720278</v>
      </c>
      <c r="W152" s="58"/>
      <c r="X152" s="157">
        <f t="shared" si="57"/>
        <v>43968</v>
      </c>
      <c r="Y152" s="383">
        <f t="shared" si="58"/>
        <v>62.138000000000005</v>
      </c>
      <c r="Z152" s="383">
        <f t="shared" si="59"/>
        <v>62.720669561543936</v>
      </c>
      <c r="AA152" s="384">
        <f t="shared" si="60"/>
        <v>65.110114488501296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3.6698521354609943E-2</v>
      </c>
      <c r="AD152" s="230">
        <f>(INDEX(Models!$BJ152:$BT152,,AH152)*(1-AF152)+INDEX(Models!$BJ152:$BT152,,AH152+1)*AF152-ERP_i)*AE152*Ramure*Pc/MaxiM</f>
        <v>3.1091675669091048E-5</v>
      </c>
      <c r="AE152" s="304">
        <f t="shared" si="62"/>
        <v>0.6</v>
      </c>
      <c r="AF152" s="177">
        <f t="shared" si="63"/>
        <v>0.13858246727376611</v>
      </c>
      <c r="AG152" s="176">
        <f t="shared" si="64"/>
        <v>-1</v>
      </c>
      <c r="AH152" s="176">
        <f t="shared" si="65"/>
        <v>5</v>
      </c>
      <c r="AI152" s="224">
        <f t="shared" si="66"/>
        <v>-0.86141753272623389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60.875999999999998</v>
      </c>
      <c r="C153" s="388"/>
      <c r="D153" s="391">
        <f t="shared" si="48"/>
        <v>61.448013393515744</v>
      </c>
      <c r="E153" s="383">
        <f t="shared" si="70"/>
        <v>63.794608708014174</v>
      </c>
      <c r="F153" s="383">
        <f t="shared" si="49"/>
        <v>63.796579298765408</v>
      </c>
      <c r="G153" s="110">
        <f t="shared" si="71"/>
        <v>0.99749067275565795</v>
      </c>
      <c r="H153" s="412" t="b">
        <f>Wh_hp&gt;='2019'!Maxi_hp</f>
        <v>1</v>
      </c>
      <c r="I153" s="388">
        <f>IF(H153,Wh_hp,'2019'!Maxi_hp)</f>
        <v>63.796579298765408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9.3088997011595565E-3</v>
      </c>
      <c r="M153" s="832"/>
      <c r="N153" s="832"/>
      <c r="O153" s="48">
        <f>IF(t&lt;Tnet,'2019'!Resal+('2019'!Salim-'2019'!Resal)*(1-EXP(('2019'!Tnet-t)/('2019'!Tau_j))),Resal+(Salim-Resal)*(1-EXP((Tnet-t)/(Tau_j))))*Salcycl</f>
        <v>3.6783599147675962E-2</v>
      </c>
      <c r="P153" s="169">
        <f>(INDEX(Models!$BJ153:$BT153,,T153)*(1-R153)+INDEX(Models!$BJ153:$BT153,,T153+1)*R153-ERP_i)*Q153*Ramure*Pc/MaxiM</f>
        <v>3.0999780149390794E-5</v>
      </c>
      <c r="Q153" s="304">
        <f t="shared" si="51"/>
        <v>0.6</v>
      </c>
      <c r="R153" s="177">
        <f t="shared" si="52"/>
        <v>0.14276799304106258</v>
      </c>
      <c r="S153" s="799">
        <f t="shared" si="53"/>
        <v>-1</v>
      </c>
      <c r="T153" s="176">
        <f t="shared" si="54"/>
        <v>5</v>
      </c>
      <c r="U153" s="250">
        <f t="shared" si="55"/>
        <v>-0.85723200695893742</v>
      </c>
      <c r="V153" s="382">
        <f t="shared" si="56"/>
        <v>61.029135307074007</v>
      </c>
      <c r="W153" s="58"/>
      <c r="X153" s="157">
        <f t="shared" si="57"/>
        <v>43969</v>
      </c>
      <c r="Y153" s="383">
        <f t="shared" si="58"/>
        <v>60.875999999999998</v>
      </c>
      <c r="Z153" s="383">
        <f t="shared" si="59"/>
        <v>61.448013393515744</v>
      </c>
      <c r="AA153" s="384">
        <f t="shared" si="60"/>
        <v>63.794608708014174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3.6783599147675962E-2</v>
      </c>
      <c r="AD153" s="230">
        <f>(INDEX(Models!$BJ153:$BT153,,AH153)*(1-AF153)+INDEX(Models!$BJ153:$BT153,,AH153+1)*AF153-ERP_i)*AE153*Ramure*Pc/MaxiM</f>
        <v>3.0999780149390794E-5</v>
      </c>
      <c r="AE153" s="304">
        <f t="shared" si="62"/>
        <v>0.6</v>
      </c>
      <c r="AF153" s="177">
        <f t="shared" si="63"/>
        <v>0.14276799304106258</v>
      </c>
      <c r="AG153" s="176">
        <f t="shared" si="64"/>
        <v>-1</v>
      </c>
      <c r="AH153" s="176">
        <f t="shared" si="65"/>
        <v>5</v>
      </c>
      <c r="AI153" s="224">
        <f t="shared" si="66"/>
        <v>-0.85723200695893742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59.414999999999999</v>
      </c>
      <c r="C154" s="388"/>
      <c r="D154" s="391">
        <f t="shared" si="48"/>
        <v>59.974434693942776</v>
      </c>
      <c r="E154" s="383">
        <f t="shared" si="70"/>
        <v>62.270269315618613</v>
      </c>
      <c r="F154" s="383">
        <f t="shared" si="49"/>
        <v>62.272118739933582</v>
      </c>
      <c r="G154" s="110">
        <f t="shared" si="71"/>
        <v>0.97325744180061191</v>
      </c>
      <c r="H154" s="412" t="b">
        <f>Wh_hp&gt;='2019'!Maxi_hp</f>
        <v>1</v>
      </c>
      <c r="I154" s="388">
        <f>IF(H154,Wh_hp,'2019'!Maxi_hp)</f>
        <v>62.272118739933582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9.3278860700837241E-3</v>
      </c>
      <c r="M154" s="832"/>
      <c r="N154" s="832"/>
      <c r="O154" s="48">
        <f>IF(t&lt;Tnet,'2019'!Resal+('2019'!Salim-'2019'!Resal)*(1-EXP(('2019'!Tnet-t)/('2019'!Tau_j))),Resal+(Salim-Resal)*(1-EXP((Tnet-t)/(Tau_j))))*Salcycl</f>
        <v>3.6868872527904675E-2</v>
      </c>
      <c r="P154" s="169">
        <f>(INDEX(Models!$BJ154:$BT154,,T154)*(1-R154)+INDEX(Models!$BJ154:$BT154,,T154+1)*R154-ERP_i)*Q154*Ramure*Pc/MaxiM</f>
        <v>3.0878703517560212E-5</v>
      </c>
      <c r="Q154" s="304">
        <f t="shared" si="51"/>
        <v>0.6</v>
      </c>
      <c r="R154" s="177">
        <f t="shared" si="52"/>
        <v>0.14702700834872318</v>
      </c>
      <c r="S154" s="799">
        <f t="shared" si="53"/>
        <v>-1</v>
      </c>
      <c r="T154" s="176">
        <f t="shared" si="54"/>
        <v>5</v>
      </c>
      <c r="U154" s="250">
        <f t="shared" si="55"/>
        <v>-0.85297299165127682</v>
      </c>
      <c r="V154" s="382">
        <f t="shared" si="56"/>
        <v>61.047496128421827</v>
      </c>
      <c r="W154" s="58"/>
      <c r="X154" s="157">
        <f t="shared" si="57"/>
        <v>43970</v>
      </c>
      <c r="Y154" s="383">
        <f t="shared" si="58"/>
        <v>59.414999999999999</v>
      </c>
      <c r="Z154" s="383">
        <f t="shared" si="59"/>
        <v>59.974434693942776</v>
      </c>
      <c r="AA154" s="384">
        <f t="shared" si="60"/>
        <v>62.270269315618613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3.6868872527904675E-2</v>
      </c>
      <c r="AD154" s="230">
        <f>(INDEX(Models!$BJ154:$BT154,,AH154)*(1-AF154)+INDEX(Models!$BJ154:$BT154,,AH154+1)*AF154-ERP_i)*AE154*Ramure*Pc/MaxiM</f>
        <v>3.0878703517560212E-5</v>
      </c>
      <c r="AE154" s="304">
        <f t="shared" si="62"/>
        <v>0.6</v>
      </c>
      <c r="AF154" s="177">
        <f t="shared" si="63"/>
        <v>0.14702700834872318</v>
      </c>
      <c r="AG154" s="176">
        <f t="shared" si="64"/>
        <v>-1</v>
      </c>
      <c r="AH154" s="176">
        <f t="shared" si="65"/>
        <v>5</v>
      </c>
      <c r="AI154" s="224">
        <f t="shared" si="66"/>
        <v>-0.85297299165127682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58.817999999999998</v>
      </c>
      <c r="C155" s="388"/>
      <c r="D155" s="391">
        <f t="shared" si="48"/>
        <v>59.372951381284288</v>
      </c>
      <c r="E155" s="383">
        <f t="shared" si="70"/>
        <v>61.651230324877886</v>
      </c>
      <c r="F155" s="383">
        <f t="shared" si="49"/>
        <v>61.653025263591708</v>
      </c>
      <c r="G155" s="110">
        <f t="shared" si="71"/>
        <v>0.96325326558392876</v>
      </c>
      <c r="H155" s="412" t="b">
        <f>Wh_hp&gt;='2019'!Maxi_hp</f>
        <v>1</v>
      </c>
      <c r="I155" s="388">
        <f>IF(H155,Wh_hp,'2019'!Maxi_hp)</f>
        <v>61.653025263591708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9.3468720751386236E-3</v>
      </c>
      <c r="M155" s="832"/>
      <c r="N155" s="832"/>
      <c r="O155" s="48">
        <f>IF(t&lt;Tnet,'2019'!Resal+('2019'!Salim-'2019'!Resal)*(1-EXP(('2019'!Tnet-t)/('2019'!Tau_j))),Resal+(Salim-Resal)*(1-EXP((Tnet-t)/(Tau_j))))*Salcycl</f>
        <v>3.6954314319243224E-2</v>
      </c>
      <c r="P155" s="169">
        <f>(INDEX(Models!$BJ155:$BT155,,T155)*(1-R155)+INDEX(Models!$BJ155:$BT155,,T155+1)*R155-ERP_i)*Q155*Ramure*Pc/MaxiM</f>
        <v>3.0726483378933096E-5</v>
      </c>
      <c r="Q155" s="304">
        <f t="shared" si="51"/>
        <v>0.6</v>
      </c>
      <c r="R155" s="177">
        <f t="shared" si="52"/>
        <v>0.15135777586966603</v>
      </c>
      <c r="S155" s="799">
        <f t="shared" si="53"/>
        <v>-1</v>
      </c>
      <c r="T155" s="176">
        <f t="shared" si="54"/>
        <v>5</v>
      </c>
      <c r="U155" s="250">
        <f t="shared" si="55"/>
        <v>-0.84864222413033397</v>
      </c>
      <c r="V155" s="382">
        <f t="shared" si="56"/>
        <v>61.061724085964073</v>
      </c>
      <c r="W155" s="58"/>
      <c r="X155" s="157">
        <f t="shared" si="57"/>
        <v>43971</v>
      </c>
      <c r="Y155" s="383">
        <f t="shared" si="58"/>
        <v>58.817999999999998</v>
      </c>
      <c r="Z155" s="383">
        <f t="shared" si="59"/>
        <v>59.372951381284288</v>
      </c>
      <c r="AA155" s="384">
        <f t="shared" si="60"/>
        <v>61.651230324877886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3.6954314319243224E-2</v>
      </c>
      <c r="AD155" s="230">
        <f>(INDEX(Models!$BJ155:$BT155,,AH155)*(1-AF155)+INDEX(Models!$BJ155:$BT155,,AH155+1)*AF155-ERP_i)*AE155*Ramure*Pc/MaxiM</f>
        <v>3.0726483378933096E-5</v>
      </c>
      <c r="AE155" s="304">
        <f t="shared" si="62"/>
        <v>0.6</v>
      </c>
      <c r="AF155" s="177">
        <f t="shared" si="63"/>
        <v>0.15135777586966603</v>
      </c>
      <c r="AG155" s="176">
        <f t="shared" si="64"/>
        <v>-1</v>
      </c>
      <c r="AH155" s="176">
        <f t="shared" si="65"/>
        <v>5</v>
      </c>
      <c r="AI155" s="224">
        <f t="shared" si="66"/>
        <v>-0.84864222413033397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54.374000000000002</v>
      </c>
      <c r="C156" s="388"/>
      <c r="D156" s="391">
        <f t="shared" si="48"/>
        <v>54.888073890380774</v>
      </c>
      <c r="E156" s="383">
        <f t="shared" si="70"/>
        <v>56.999322903871274</v>
      </c>
      <c r="F156" s="383">
        <f t="shared" si="49"/>
        <v>57.000792029583742</v>
      </c>
      <c r="G156" s="110">
        <f t="shared" si="71"/>
        <v>0.89032146383496646</v>
      </c>
      <c r="H156" s="412" t="b">
        <f>Wh_hp&gt;='2019'!Maxi_hp</f>
        <v>0</v>
      </c>
      <c r="I156" s="388">
        <f>IF(H156,Wh_hp,'2019'!Maxi_hp)</f>
        <v>60.757180610940942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9.3658577163310275E-3</v>
      </c>
      <c r="M156" s="832"/>
      <c r="N156" s="832"/>
      <c r="O156" s="48">
        <f>IF(t&lt;Tnet,'2019'!Resal+('2019'!Salim-'2019'!Resal)*(1-EXP(('2019'!Tnet-t)/('2019'!Tau_j))),Resal+(Salim-Resal)*(1-EXP((Tnet-t)/(Tau_j))))*Salcycl</f>
        <v>3.7039896369490205E-2</v>
      </c>
      <c r="P156" s="169">
        <f>(INDEX(Models!$BJ156:$BT156,,T156)*(1-R156)+INDEX(Models!$BJ156:$BT156,,T156+1)*R156-ERP_i)*Q156*Ramure*Pc/MaxiM</f>
        <v>3.0562184892859903E-5</v>
      </c>
      <c r="Q156" s="304">
        <f t="shared" si="51"/>
        <v>0.6</v>
      </c>
      <c r="R156" s="177">
        <f t="shared" si="52"/>
        <v>0.1557583761152217</v>
      </c>
      <c r="S156" s="799">
        <f t="shared" si="53"/>
        <v>-1</v>
      </c>
      <c r="T156" s="176">
        <f t="shared" si="54"/>
        <v>5</v>
      </c>
      <c r="U156" s="250">
        <f t="shared" si="55"/>
        <v>-0.8442416238847783</v>
      </c>
      <c r="V156" s="382">
        <f t="shared" si="56"/>
        <v>61.072030538496406</v>
      </c>
      <c r="W156" s="58"/>
      <c r="X156" s="157">
        <f t="shared" si="57"/>
        <v>43972</v>
      </c>
      <c r="Y156" s="383">
        <f t="shared" si="58"/>
        <v>54.374000000000002</v>
      </c>
      <c r="Z156" s="383">
        <f t="shared" si="59"/>
        <v>54.888073890380774</v>
      </c>
      <c r="AA156" s="384">
        <f t="shared" si="60"/>
        <v>56.999322903871274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3.7039896369490205E-2</v>
      </c>
      <c r="AD156" s="230">
        <f>(INDEX(Models!$BJ156:$BT156,,AH156)*(1-AF156)+INDEX(Models!$BJ156:$BT156,,AH156+1)*AF156-ERP_i)*AE156*Ramure*Pc/MaxiM</f>
        <v>3.0562184892859903E-5</v>
      </c>
      <c r="AE156" s="304">
        <f t="shared" si="62"/>
        <v>0.6</v>
      </c>
      <c r="AF156" s="177">
        <f t="shared" si="63"/>
        <v>0.1557583761152217</v>
      </c>
      <c r="AG156" s="176">
        <f t="shared" si="64"/>
        <v>-1</v>
      </c>
      <c r="AH156" s="176">
        <f t="shared" si="65"/>
        <v>5</v>
      </c>
      <c r="AI156" s="224">
        <f t="shared" si="66"/>
        <v>-0.8442416238847783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55.264000000000003</v>
      </c>
      <c r="C157" s="388"/>
      <c r="D157" s="391">
        <f t="shared" si="48"/>
        <v>55.787557467835867</v>
      </c>
      <c r="E157" s="383">
        <f t="shared" si="70"/>
        <v>57.93856069546856</v>
      </c>
      <c r="F157" s="383">
        <f t="shared" si="49"/>
        <v>57.940082195716684</v>
      </c>
      <c r="G157" s="110">
        <f t="shared" si="71"/>
        <v>0.90479720660230845</v>
      </c>
      <c r="H157" s="412" t="b">
        <f>Wh_hp&gt;='2019'!Maxi_hp</f>
        <v>1</v>
      </c>
      <c r="I157" s="388">
        <f>IF(H157,Wh_hp,'2019'!Maxi_hp)</f>
        <v>57.940082195716684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9.3848429936679301E-3</v>
      </c>
      <c r="M157" s="832"/>
      <c r="N157" s="832"/>
      <c r="O157" s="48">
        <f>IF(t&lt;Tnet,'2019'!Resal+('2019'!Salim-'2019'!Resal)*(1-EXP(('2019'!Tnet-t)/('2019'!Tau_j))),Resal+(Salim-Resal)*(1-EXP((Tnet-t)/(Tau_j))))*Salcycl</f>
        <v>3.7125589621368138E-2</v>
      </c>
      <c r="P157" s="169">
        <f>(INDEX(Models!$BJ157:$BT157,,T157)*(1-R157)+INDEX(Models!$BJ157:$BT157,,T157+1)*R157-ERP_i)*Q157*Ramure*Pc/MaxiM</f>
        <v>3.0393344891017542E-5</v>
      </c>
      <c r="Q157" s="304">
        <f t="shared" si="51"/>
        <v>0.6</v>
      </c>
      <c r="R157" s="177">
        <f t="shared" si="52"/>
        <v>0.16022670744699397</v>
      </c>
      <c r="S157" s="799">
        <f t="shared" si="53"/>
        <v>-1</v>
      </c>
      <c r="T157" s="176">
        <f t="shared" si="54"/>
        <v>5</v>
      </c>
      <c r="U157" s="250">
        <f t="shared" si="55"/>
        <v>-0.83977329255300603</v>
      </c>
      <c r="V157" s="382">
        <f t="shared" si="56"/>
        <v>61.07862751957056</v>
      </c>
      <c r="W157" s="58"/>
      <c r="X157" s="157">
        <f t="shared" si="57"/>
        <v>43973</v>
      </c>
      <c r="Y157" s="383">
        <f t="shared" si="58"/>
        <v>55.264000000000003</v>
      </c>
      <c r="Z157" s="383">
        <f t="shared" si="59"/>
        <v>55.787557467835867</v>
      </c>
      <c r="AA157" s="384">
        <f t="shared" si="60"/>
        <v>57.93856069546856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3.7125589621368138E-2</v>
      </c>
      <c r="AD157" s="230">
        <f>(INDEX(Models!$BJ157:$BT157,,AH157)*(1-AF157)+INDEX(Models!$BJ157:$BT157,,AH157+1)*AF157-ERP_i)*AE157*Ramure*Pc/MaxiM</f>
        <v>3.0393344891017542E-5</v>
      </c>
      <c r="AE157" s="304">
        <f t="shared" si="62"/>
        <v>0.6</v>
      </c>
      <c r="AF157" s="177">
        <f t="shared" si="63"/>
        <v>0.16022670744699397</v>
      </c>
      <c r="AG157" s="176">
        <f t="shared" si="64"/>
        <v>-1</v>
      </c>
      <c r="AH157" s="176">
        <f t="shared" si="65"/>
        <v>5</v>
      </c>
      <c r="AI157" s="224">
        <f t="shared" si="66"/>
        <v>-0.83977329255300603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17.702000000000002</v>
      </c>
      <c r="C158" s="388"/>
      <c r="D158" s="391">
        <f t="shared" si="48"/>
        <v>17.870046845225321</v>
      </c>
      <c r="E158" s="383">
        <f t="shared" si="70"/>
        <v>18.560716423704232</v>
      </c>
      <c r="F158" s="383">
        <f t="shared" si="49"/>
        <v>18.560716423704232</v>
      </c>
      <c r="G158" s="110">
        <f t="shared" si="71"/>
        <v>0.28979967942976753</v>
      </c>
      <c r="H158" s="412" t="b">
        <f>Wh_hp&gt;='2019'!Maxi_hp</f>
        <v>1</v>
      </c>
      <c r="I158" s="388">
        <f>IF(H158,Wh_hp,'2019'!Maxi_hp)</f>
        <v>18.560716423704232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9.4038279071563258E-3</v>
      </c>
      <c r="M158" s="832"/>
      <c r="N158" s="832"/>
      <c r="O158" s="48">
        <f>IF(t&lt;Tnet,'2019'!Resal+('2019'!Salim-'2019'!Resal)*(1-EXP(('2019'!Tnet-t)/('2019'!Tau_j))),Resal+(Salim-Resal)*(1-EXP((Tnet-t)/(Tau_j))))*Salcycl</f>
        <v>3.7211364190492348E-2</v>
      </c>
      <c r="P158" s="169">
        <f>(INDEX(Models!$BJ158:$BT158,,T158)*(1-R158)+INDEX(Models!$BJ158:$BT158,,T158+1)*R158-ERP_i)*Q158*Ramure*Pc/MaxiM</f>
        <v>3.0219121189922494E-5</v>
      </c>
      <c r="Q158" s="304">
        <f t="shared" si="51"/>
        <v>0.6</v>
      </c>
      <c r="R158" s="177">
        <f t="shared" si="52"/>
        <v>0.16476048697782353</v>
      </c>
      <c r="S158" s="799">
        <f t="shared" si="53"/>
        <v>-1</v>
      </c>
      <c r="T158" s="176">
        <f t="shared" si="54"/>
        <v>5</v>
      </c>
      <c r="U158" s="250">
        <f t="shared" si="55"/>
        <v>-0.83523951302217647</v>
      </c>
      <c r="V158" s="382">
        <f t="shared" si="56"/>
        <v>61.081727543479275</v>
      </c>
      <c r="W158" s="58"/>
      <c r="X158" s="157">
        <f t="shared" si="57"/>
        <v>43974</v>
      </c>
      <c r="Y158" s="383">
        <f t="shared" si="58"/>
        <v>17.702000000000002</v>
      </c>
      <c r="Z158" s="383">
        <f t="shared" si="59"/>
        <v>17.870046845225321</v>
      </c>
      <c r="AA158" s="384">
        <f t="shared" si="60"/>
        <v>18.560716423704232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3.7211364190492348E-2</v>
      </c>
      <c r="AD158" s="230">
        <f>(INDEX(Models!$BJ158:$BT158,,AH158)*(1-AF158)+INDEX(Models!$BJ158:$BT158,,AH158+1)*AF158-ERP_i)*AE158*Ramure*Pc/MaxiM</f>
        <v>3.0219121189922494E-5</v>
      </c>
      <c r="AE158" s="304">
        <f t="shared" si="62"/>
        <v>0.6</v>
      </c>
      <c r="AF158" s="177">
        <f t="shared" si="63"/>
        <v>0.16476048697782353</v>
      </c>
      <c r="AG158" s="176">
        <f t="shared" si="64"/>
        <v>-1</v>
      </c>
      <c r="AH158" s="176">
        <f t="shared" si="65"/>
        <v>5</v>
      </c>
      <c r="AI158" s="224">
        <f t="shared" si="66"/>
        <v>-0.83523951302217647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57.05</v>
      </c>
      <c r="C159" s="388"/>
      <c r="D159" s="391">
        <f t="shared" si="48"/>
        <v>57.592685070301172</v>
      </c>
      <c r="E159" s="383">
        <f t="shared" si="70"/>
        <v>59.823950277446102</v>
      </c>
      <c r="F159" s="383">
        <f t="shared" si="49"/>
        <v>59.825577923222795</v>
      </c>
      <c r="G159" s="110">
        <f t="shared" si="71"/>
        <v>0.93399471500665787</v>
      </c>
      <c r="H159" s="412" t="b">
        <f>Wh_hp&gt;='2019'!Maxi_hp</f>
        <v>1</v>
      </c>
      <c r="I159" s="388">
        <f>IF(H159,Wh_hp,'2019'!Maxi_hp)</f>
        <v>59.825577923222795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9.422812456803098E-3</v>
      </c>
      <c r="M159" s="832"/>
      <c r="N159" s="832"/>
      <c r="O159" s="48">
        <f>IF(t&lt;Tnet,'2019'!Resal+('2019'!Salim-'2019'!Resal)*(1-EXP(('2019'!Tnet-t)/('2019'!Tau_j))),Resal+(Salim-Resal)*(1-EXP((Tnet-t)/(Tau_j))))*Salcycl</f>
        <v>3.7297189449994099E-2</v>
      </c>
      <c r="P159" s="169">
        <f>(INDEX(Models!$BJ159:$BT159,,T159)*(1-R159)+INDEX(Models!$BJ159:$BT159,,T159+1)*R159-ERP_i)*Q159*Ramure*Pc/MaxiM</f>
        <v>3.0038869436373478E-5</v>
      </c>
      <c r="Q159" s="304">
        <f t="shared" si="51"/>
        <v>0.6</v>
      </c>
      <c r="R159" s="177">
        <f t="shared" si="52"/>
        <v>0.16935725239554056</v>
      </c>
      <c r="S159" s="799">
        <f t="shared" si="53"/>
        <v>-1</v>
      </c>
      <c r="T159" s="176">
        <f t="shared" si="54"/>
        <v>5</v>
      </c>
      <c r="U159" s="250">
        <f t="shared" si="55"/>
        <v>-0.83064274760445944</v>
      </c>
      <c r="V159" s="382">
        <f t="shared" si="56"/>
        <v>61.081543068106491</v>
      </c>
      <c r="W159" s="58"/>
      <c r="X159" s="157">
        <f t="shared" si="57"/>
        <v>43975</v>
      </c>
      <c r="Y159" s="383">
        <f t="shared" si="58"/>
        <v>57.05</v>
      </c>
      <c r="Z159" s="383">
        <f t="shared" si="59"/>
        <v>57.592685070301172</v>
      </c>
      <c r="AA159" s="384">
        <f t="shared" si="60"/>
        <v>59.823950277446102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3.7297189449994099E-2</v>
      </c>
      <c r="AD159" s="230">
        <f>(INDEX(Models!$BJ159:$BT159,,AH159)*(1-AF159)+INDEX(Models!$BJ159:$BT159,,AH159+1)*AF159-ERP_i)*AE159*Ramure*Pc/MaxiM</f>
        <v>3.0038869436373478E-5</v>
      </c>
      <c r="AE159" s="304">
        <f t="shared" si="62"/>
        <v>0.6</v>
      </c>
      <c r="AF159" s="177">
        <f t="shared" si="63"/>
        <v>0.16935725239554056</v>
      </c>
      <c r="AG159" s="176">
        <f t="shared" si="64"/>
        <v>-1</v>
      </c>
      <c r="AH159" s="176">
        <f t="shared" si="65"/>
        <v>5</v>
      </c>
      <c r="AI159" s="224">
        <f t="shared" si="66"/>
        <v>-0.83064274760445944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59.686</v>
      </c>
      <c r="C160" s="388"/>
      <c r="D160" s="391">
        <f t="shared" si="48"/>
        <v>60.254914650851489</v>
      </c>
      <c r="E160" s="383">
        <f t="shared" si="70"/>
        <v>62.594902008465397</v>
      </c>
      <c r="F160" s="383">
        <f t="shared" si="49"/>
        <v>62.596709791929555</v>
      </c>
      <c r="G160" s="110">
        <f t="shared" si="71"/>
        <v>0.97720393598077482</v>
      </c>
      <c r="H160" s="412" t="b">
        <f>Wh_hp&gt;='2019'!Maxi_hp</f>
        <v>1</v>
      </c>
      <c r="I160" s="388">
        <f>IF(H160,Wh_hp,'2019'!Maxi_hp)</f>
        <v>62.596709791929555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9.4417966426154631E-3</v>
      </c>
      <c r="M160" s="832"/>
      <c r="N160" s="832"/>
      <c r="O160" s="48">
        <f>IF(t&lt;Tnet,'2019'!Resal+('2019'!Salim-'2019'!Resal)*(1-EXP(('2019'!Tnet-t)/('2019'!Tau_j))),Resal+(Salim-Resal)*(1-EXP((Tnet-t)/(Tau_j))))*Salcycl</f>
        <v>3.7383034121491868E-2</v>
      </c>
      <c r="P160" s="169">
        <f>(INDEX(Models!$BJ160:$BT160,,T160)*(1-R160)+INDEX(Models!$BJ160:$BT160,,T160+1)*R160-ERP_i)*Q160*Ramure*Pc/MaxiM</f>
        <v>2.9851960639634954E-5</v>
      </c>
      <c r="Q160" s="304">
        <f t="shared" si="51"/>
        <v>0.6</v>
      </c>
      <c r="R160" s="177">
        <f t="shared" si="52"/>
        <v>0.17401436473637288</v>
      </c>
      <c r="S160" s="799">
        <f t="shared" si="53"/>
        <v>-1</v>
      </c>
      <c r="T160" s="176">
        <f t="shared" si="54"/>
        <v>5</v>
      </c>
      <c r="U160" s="250">
        <f t="shared" si="55"/>
        <v>-0.82598563526362712</v>
      </c>
      <c r="V160" s="382">
        <f t="shared" si="56"/>
        <v>61.078286506189016</v>
      </c>
      <c r="W160" s="58"/>
      <c r="X160" s="157">
        <f t="shared" si="57"/>
        <v>43976</v>
      </c>
      <c r="Y160" s="383">
        <f t="shared" si="58"/>
        <v>59.686</v>
      </c>
      <c r="Z160" s="383">
        <f t="shared" si="59"/>
        <v>60.254914650851489</v>
      </c>
      <c r="AA160" s="384">
        <f t="shared" si="60"/>
        <v>62.594902008465397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3.7383034121491868E-2</v>
      </c>
      <c r="AD160" s="230">
        <f>(INDEX(Models!$BJ160:$BT160,,AH160)*(1-AF160)+INDEX(Models!$BJ160:$BT160,,AH160+1)*AF160-ERP_i)*AE160*Ramure*Pc/MaxiM</f>
        <v>2.9851960639634954E-5</v>
      </c>
      <c r="AE160" s="304">
        <f t="shared" si="62"/>
        <v>0.6</v>
      </c>
      <c r="AF160" s="177">
        <f t="shared" si="63"/>
        <v>0.17401436473637288</v>
      </c>
      <c r="AG160" s="176">
        <f t="shared" si="64"/>
        <v>-1</v>
      </c>
      <c r="AH160" s="176">
        <f t="shared" si="65"/>
        <v>5</v>
      </c>
      <c r="AI160" s="224">
        <f t="shared" si="66"/>
        <v>-0.82598563526362712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59.369</v>
      </c>
      <c r="C161" s="388"/>
      <c r="D161" s="391">
        <f t="shared" si="48"/>
        <v>59.93604173275066</v>
      </c>
      <c r="E161" s="383">
        <f t="shared" si="70"/>
        <v>62.269197991383962</v>
      </c>
      <c r="F161" s="383">
        <f t="shared" si="49"/>
        <v>62.270971233570506</v>
      </c>
      <c r="G161" s="110">
        <f t="shared" si="71"/>
        <v>0.97211102278891193</v>
      </c>
      <c r="H161" s="412" t="b">
        <f>Wh_hp&gt;='2019'!Maxi_hp</f>
        <v>1</v>
      </c>
      <c r="I161" s="388">
        <f>IF(H161,Wh_hp,'2019'!Maxi_hp)</f>
        <v>62.270971233570506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9.4607804646000826E-3</v>
      </c>
      <c r="M161" s="832"/>
      <c r="N161" s="832"/>
      <c r="O161" s="48">
        <f>IF(t&lt;Tnet,'2019'!Resal+('2019'!Salim-'2019'!Resal)*(1-EXP(('2019'!Tnet-t)/('2019'!Tau_j))),Resal+(Salim-Resal)*(1-EXP((Tnet-t)/(Tau_j))))*Salcycl</f>
        <v>3.7468866372040555E-2</v>
      </c>
      <c r="P161" s="169">
        <f>(INDEX(Models!$BJ161:$BT161,,T161)*(1-R161)+INDEX(Models!$BJ161:$BT161,,T161+1)*R161-ERP_i)*Q161*Ramure*Pc/MaxiM</f>
        <v>2.9657783823931177E-5</v>
      </c>
      <c r="Q161" s="304">
        <f t="shared" si="51"/>
        <v>0.6</v>
      </c>
      <c r="R161" s="177">
        <f t="shared" si="52"/>
        <v>0.17872901212734882</v>
      </c>
      <c r="S161" s="799">
        <f t="shared" si="53"/>
        <v>-1</v>
      </c>
      <c r="T161" s="176">
        <f t="shared" si="54"/>
        <v>5</v>
      </c>
      <c r="U161" s="250">
        <f t="shared" si="55"/>
        <v>-0.82127098787265118</v>
      </c>
      <c r="V161" s="382">
        <f t="shared" si="56"/>
        <v>61.072170213347086</v>
      </c>
      <c r="W161" s="58"/>
      <c r="X161" s="157">
        <f t="shared" si="57"/>
        <v>43977</v>
      </c>
      <c r="Y161" s="383">
        <f t="shared" si="58"/>
        <v>59.369</v>
      </c>
      <c r="Z161" s="383">
        <f t="shared" si="59"/>
        <v>59.93604173275066</v>
      </c>
      <c r="AA161" s="384">
        <f t="shared" si="60"/>
        <v>62.269197991383962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3.7468866372040555E-2</v>
      </c>
      <c r="AD161" s="230">
        <f>(INDEX(Models!$BJ161:$BT161,,AH161)*(1-AF161)+INDEX(Models!$BJ161:$BT161,,AH161+1)*AF161-ERP_i)*AE161*Ramure*Pc/MaxiM</f>
        <v>2.9657783823931177E-5</v>
      </c>
      <c r="AE161" s="304">
        <f t="shared" si="62"/>
        <v>0.6</v>
      </c>
      <c r="AF161" s="177">
        <f t="shared" si="63"/>
        <v>0.17872901212734882</v>
      </c>
      <c r="AG161" s="176">
        <f t="shared" si="64"/>
        <v>-1</v>
      </c>
      <c r="AH161" s="176">
        <f t="shared" si="65"/>
        <v>5</v>
      </c>
      <c r="AI161" s="224">
        <f t="shared" si="66"/>
        <v>-0.82127098787265118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58.537999999999997</v>
      </c>
      <c r="C162" s="388"/>
      <c r="D162" s="391">
        <f t="shared" si="48"/>
        <v>59.098237338217785</v>
      </c>
      <c r="E162" s="383">
        <f t="shared" si="70"/>
        <v>61.404252801174998</v>
      </c>
      <c r="F162" s="383">
        <f t="shared" si="49"/>
        <v>61.405954695216622</v>
      </c>
      <c r="G162" s="110">
        <f t="shared" si="71"/>
        <v>0.95864121406402236</v>
      </c>
      <c r="H162" s="412" t="b">
        <f>Wh_hp&gt;='2019'!Maxi_hp</f>
        <v>1</v>
      </c>
      <c r="I162" s="388">
        <f>IF(H162,Wh_hp,'2019'!Maxi_hp)</f>
        <v>61.405954695216622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9.4797639227641728E-3</v>
      </c>
      <c r="M162" s="832"/>
      <c r="N162" s="832"/>
      <c r="O162" s="48">
        <f>IF(t&lt;Tnet,'2019'!Resal+('2019'!Salim-'2019'!Resal)*(1-EXP(('2019'!Tnet-t)/('2019'!Tau_j))),Resal+(Salim-Resal)*(1-EXP((Tnet-t)/(Tau_j))))*Salcycl</f>
        <v>3.7554653916627156E-2</v>
      </c>
      <c r="P162" s="169">
        <f>(INDEX(Models!$BJ162:$BT162,,T162)*(1-R162)+INDEX(Models!$BJ162:$BT162,,T162+1)*R162-ERP_i)*Q162*Ramure*Pc/MaxiM</f>
        <v>2.9455748763755739E-5</v>
      </c>
      <c r="Q162" s="304">
        <f t="shared" si="51"/>
        <v>0.6</v>
      </c>
      <c r="R162" s="177">
        <f t="shared" si="52"/>
        <v>0.18349821450889114</v>
      </c>
      <c r="S162" s="799">
        <f t="shared" si="53"/>
        <v>-1</v>
      </c>
      <c r="T162" s="176">
        <f t="shared" si="54"/>
        <v>5</v>
      </c>
      <c r="U162" s="250">
        <f t="shared" si="55"/>
        <v>-0.81650178549110886</v>
      </c>
      <c r="V162" s="382">
        <f t="shared" si="56"/>
        <v>61.0634064810978</v>
      </c>
      <c r="W162" s="58"/>
      <c r="X162" s="157">
        <f t="shared" si="57"/>
        <v>43978</v>
      </c>
      <c r="Y162" s="383">
        <f t="shared" si="58"/>
        <v>58.537999999999997</v>
      </c>
      <c r="Z162" s="383">
        <f t="shared" si="59"/>
        <v>59.098237338217785</v>
      </c>
      <c r="AA162" s="384">
        <f t="shared" si="60"/>
        <v>61.404252801174998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3.7554653916627156E-2</v>
      </c>
      <c r="AD162" s="230">
        <f>(INDEX(Models!$BJ162:$BT162,,AH162)*(1-AF162)+INDEX(Models!$BJ162:$BT162,,AH162+1)*AF162-ERP_i)*AE162*Ramure*Pc/MaxiM</f>
        <v>2.9455748763755739E-5</v>
      </c>
      <c r="AE162" s="304">
        <f t="shared" si="62"/>
        <v>0.6</v>
      </c>
      <c r="AF162" s="177">
        <f t="shared" si="63"/>
        <v>0.18349821450889114</v>
      </c>
      <c r="AG162" s="176">
        <f t="shared" si="64"/>
        <v>-1</v>
      </c>
      <c r="AH162" s="176">
        <f t="shared" si="65"/>
        <v>5</v>
      </c>
      <c r="AI162" s="224">
        <f t="shared" si="66"/>
        <v>-0.81650178549110886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58.517000000000003</v>
      </c>
      <c r="C163" s="388"/>
      <c r="D163" s="391">
        <f t="shared" si="48"/>
        <v>59.078168577552624</v>
      </c>
      <c r="E163" s="383">
        <f t="shared" si="70"/>
        <v>61.388867919300942</v>
      </c>
      <c r="F163" s="383">
        <f t="shared" si="49"/>
        <v>61.390556895613145</v>
      </c>
      <c r="G163" s="110">
        <f t="shared" si="71"/>
        <v>0.95849554853197538</v>
      </c>
      <c r="H163" s="412" t="b">
        <f>Wh_hp&gt;='2019'!Maxi_hp</f>
        <v>1</v>
      </c>
      <c r="I163" s="388">
        <f>IF(H163,Wh_hp,'2019'!Maxi_hp)</f>
        <v>61.390556895613145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9.4987470171146171E-3</v>
      </c>
      <c r="M163" s="832"/>
      <c r="N163" s="832"/>
      <c r="O163" s="48">
        <f>IF(t&lt;Tnet,'2019'!Resal+('2019'!Salim-'2019'!Resal)*(1-EXP(('2019'!Tnet-t)/('2019'!Tau_j))),Resal+(Salim-Resal)*(1-EXP((Tnet-t)/(Tau_j))))*Salcycl</f>
        <v>3.7640364125721616E-2</v>
      </c>
      <c r="P163" s="169">
        <f>(INDEX(Models!$BJ163:$BT163,,T163)*(1-R163)+INDEX(Models!$BJ163:$BT163,,T163+1)*R163-ERP_i)*Q163*Ramure*Pc/MaxiM</f>
        <v>2.9245973760582498E-5</v>
      </c>
      <c r="Q163" s="304">
        <f t="shared" si="51"/>
        <v>0.6</v>
      </c>
      <c r="R163" s="177">
        <f t="shared" si="52"/>
        <v>0.18831882934011313</v>
      </c>
      <c r="S163" s="799">
        <f t="shared" si="53"/>
        <v>-1</v>
      </c>
      <c r="T163" s="176">
        <f t="shared" si="54"/>
        <v>5</v>
      </c>
      <c r="U163" s="250">
        <f t="shared" si="55"/>
        <v>-0.81168117065988687</v>
      </c>
      <c r="V163" s="382">
        <f t="shared" si="56"/>
        <v>61.050777564103448</v>
      </c>
      <c r="W163" s="58"/>
      <c r="X163" s="157">
        <f t="shared" si="57"/>
        <v>43979</v>
      </c>
      <c r="Y163" s="383">
        <f t="shared" si="58"/>
        <v>58.517000000000003</v>
      </c>
      <c r="Z163" s="383">
        <f t="shared" si="59"/>
        <v>59.078168577552624</v>
      </c>
      <c r="AA163" s="384">
        <f t="shared" si="60"/>
        <v>61.388867919300942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3.7640364125721616E-2</v>
      </c>
      <c r="AD163" s="230">
        <f>(INDEX(Models!$BJ163:$BT163,,AH163)*(1-AF163)+INDEX(Models!$BJ163:$BT163,,AH163+1)*AF163-ERP_i)*AE163*Ramure*Pc/MaxiM</f>
        <v>2.9245973760582498E-5</v>
      </c>
      <c r="AE163" s="304">
        <f t="shared" si="62"/>
        <v>0.6</v>
      </c>
      <c r="AF163" s="177">
        <f t="shared" si="63"/>
        <v>0.18831882934011313</v>
      </c>
      <c r="AG163" s="176">
        <f t="shared" si="64"/>
        <v>-1</v>
      </c>
      <c r="AH163" s="176">
        <f t="shared" si="65"/>
        <v>5</v>
      </c>
      <c r="AI163" s="224">
        <f t="shared" si="66"/>
        <v>-0.81168117065988687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56.478999999999999</v>
      </c>
      <c r="C164" s="388"/>
      <c r="D164" s="391">
        <f t="shared" si="48"/>
        <v>57.021717294960816</v>
      </c>
      <c r="E164" s="383">
        <f t="shared" si="70"/>
        <v>59.257254347345693</v>
      </c>
      <c r="F164" s="383">
        <f t="shared" si="49"/>
        <v>59.25879141798292</v>
      </c>
      <c r="G164" s="110">
        <f t="shared" si="71"/>
        <v>0.92537864869986564</v>
      </c>
      <c r="H164" s="412" t="b">
        <f>Wh_hp&gt;='2019'!Maxi_hp</f>
        <v>1</v>
      </c>
      <c r="I164" s="388">
        <f>IF(H164,Wh_hp,'2019'!Maxi_hp)</f>
        <v>59.25879141798292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9.51772974765841E-3</v>
      </c>
      <c r="M164" s="832"/>
      <c r="N164" s="832"/>
      <c r="O164" s="48">
        <f>IF(t&lt;Tnet,'2019'!Resal+('2019'!Salim-'2019'!Resal)*(1-EXP(('2019'!Tnet-t)/('2019'!Tau_j))),Resal+(Salim-Resal)*(1-EXP((Tnet-t)/(Tau_j))))*Salcycl</f>
        <v>3.772596413733461E-2</v>
      </c>
      <c r="P164" s="169">
        <f>(INDEX(Models!$BJ164:$BT164,,T164)*(1-R164)+INDEX(Models!$BJ164:$BT164,,T164+1)*R164-ERP_i)*Q164*Ramure*Pc/MaxiM</f>
        <v>2.9033141974745719E-5</v>
      </c>
      <c r="Q164" s="304">
        <f t="shared" si="51"/>
        <v>0.6</v>
      </c>
      <c r="R164" s="177">
        <f t="shared" si="52"/>
        <v>0.19318755828020073</v>
      </c>
      <c r="S164" s="799">
        <f t="shared" si="53"/>
        <v>-1</v>
      </c>
      <c r="T164" s="176">
        <f t="shared" si="54"/>
        <v>5</v>
      </c>
      <c r="U164" s="250">
        <f t="shared" si="55"/>
        <v>-0.80681244171979927</v>
      </c>
      <c r="V164" s="382">
        <f t="shared" si="56"/>
        <v>61.033205466371733</v>
      </c>
      <c r="W164" s="58"/>
      <c r="X164" s="157">
        <f t="shared" si="57"/>
        <v>43980</v>
      </c>
      <c r="Y164" s="383">
        <f t="shared" si="58"/>
        <v>56.478999999999999</v>
      </c>
      <c r="Z164" s="383">
        <f t="shared" si="59"/>
        <v>57.021717294960816</v>
      </c>
      <c r="AA164" s="384">
        <f t="shared" si="60"/>
        <v>59.257254347345693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3.772596413733461E-2</v>
      </c>
      <c r="AD164" s="230">
        <f>(INDEX(Models!$BJ164:$BT164,,AH164)*(1-AF164)+INDEX(Models!$BJ164:$BT164,,AH164+1)*AF164-ERP_i)*AE164*Ramure*Pc/MaxiM</f>
        <v>2.9033141974745719E-5</v>
      </c>
      <c r="AE164" s="304">
        <f t="shared" si="62"/>
        <v>0.6</v>
      </c>
      <c r="AF164" s="177">
        <f t="shared" si="63"/>
        <v>0.19318755828020073</v>
      </c>
      <c r="AG164" s="176">
        <f t="shared" si="64"/>
        <v>-1</v>
      </c>
      <c r="AH164" s="176">
        <f t="shared" si="65"/>
        <v>5</v>
      </c>
      <c r="AI164" s="224">
        <f t="shared" si="66"/>
        <v>-0.80681244171979927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59.707000000000001</v>
      </c>
      <c r="C165" s="388"/>
      <c r="D165" s="391">
        <f t="shared" si="48"/>
        <v>60.281891040565661</v>
      </c>
      <c r="E165" s="383">
        <f t="shared" si="70"/>
        <v>62.650807081418201</v>
      </c>
      <c r="F165" s="383">
        <f t="shared" si="49"/>
        <v>62.652558232537473</v>
      </c>
      <c r="G165" s="110">
        <f t="shared" si="71"/>
        <v>0.97862415508738188</v>
      </c>
      <c r="H165" s="412" t="b">
        <f>Wh_hp&gt;='2019'!Maxi_hp</f>
        <v>0</v>
      </c>
      <c r="I165" s="388">
        <f>IF(H165,Wh_hp,'2019'!Maxi_hp)</f>
        <v>62.682352866116169</v>
      </c>
      <c r="J165" s="85">
        <f>IF(H165,An,'2019'!An_max)</f>
        <v>2018</v>
      </c>
      <c r="K165" s="197">
        <f t="shared" si="50"/>
        <v>43981</v>
      </c>
      <c r="L165" s="147">
        <f>IF(t&lt;Tvie,1-EXP((T0-t)*PertePVj)+'2019'!Pspv,1-EXP((T0-t)*PertePVj)+Pspv)</f>
        <v>9.5367121144025457E-3</v>
      </c>
      <c r="M165" s="832"/>
      <c r="N165" s="832"/>
      <c r="O165" s="48">
        <f>IF(t&lt;Tnet,'2019'!Resal+('2019'!Salim-'2019'!Resal)*(1-EXP(('2019'!Tnet-t)/('2019'!Tau_j))),Resal+(Salim-Resal)*(1-EXP((Tnet-t)/(Tau_j))))*Salcycl</f>
        <v>3.781142097298134E-2</v>
      </c>
      <c r="P165" s="169">
        <f>(INDEX(Models!$BJ165:$BT165,,T165)*(1-R165)+INDEX(Models!$BJ165:$BT165,,T165+1)*R165-ERP_i)*Q165*Ramure*Pc/MaxiM</f>
        <v>2.8830554276856946E-5</v>
      </c>
      <c r="Q165" s="304">
        <f t="shared" si="51"/>
        <v>0.6</v>
      </c>
      <c r="R165" s="177">
        <f t="shared" si="52"/>
        <v>0.19810095482982737</v>
      </c>
      <c r="S165" s="799">
        <f t="shared" si="53"/>
        <v>-1</v>
      </c>
      <c r="T165" s="176">
        <f t="shared" si="54"/>
        <v>5</v>
      </c>
      <c r="U165" s="250">
        <f t="shared" si="55"/>
        <v>-0.80189904517017263</v>
      </c>
      <c r="V165" s="382">
        <f t="shared" si="56"/>
        <v>61.011111492023552</v>
      </c>
      <c r="W165" s="58"/>
      <c r="X165" s="157">
        <f t="shared" si="57"/>
        <v>43981</v>
      </c>
      <c r="Y165" s="383">
        <f t="shared" si="58"/>
        <v>59.707000000000001</v>
      </c>
      <c r="Z165" s="383">
        <f t="shared" si="59"/>
        <v>60.281891040565661</v>
      </c>
      <c r="AA165" s="384">
        <f t="shared" si="60"/>
        <v>62.650807081418201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3.781142097298134E-2</v>
      </c>
      <c r="AD165" s="230">
        <f>(INDEX(Models!$BJ165:$BT165,,AH165)*(1-AF165)+INDEX(Models!$BJ165:$BT165,,AH165+1)*AF165-ERP_i)*AE165*Ramure*Pc/MaxiM</f>
        <v>2.8830554276856946E-5</v>
      </c>
      <c r="AE165" s="304">
        <f t="shared" si="62"/>
        <v>0.6</v>
      </c>
      <c r="AF165" s="177">
        <f t="shared" si="63"/>
        <v>0.19810095482982737</v>
      </c>
      <c r="AG165" s="176">
        <f t="shared" si="64"/>
        <v>-1</v>
      </c>
      <c r="AH165" s="176">
        <f t="shared" si="65"/>
        <v>5</v>
      </c>
      <c r="AI165" s="224">
        <f t="shared" si="66"/>
        <v>-0.80189904517017263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59.276000000000003</v>
      </c>
      <c r="C166" s="388"/>
      <c r="D166" s="391">
        <f t="shared" si="48"/>
        <v>59.847888112371436</v>
      </c>
      <c r="E166" s="383">
        <f t="shared" si="70"/>
        <v>62.205262382365163</v>
      </c>
      <c r="F166" s="383">
        <f t="shared" si="49"/>
        <v>62.206972575773953</v>
      </c>
      <c r="G166" s="110">
        <f t="shared" si="71"/>
        <v>0.97197691524872787</v>
      </c>
      <c r="H166" s="412" t="b">
        <f>Wh_hp&gt;='2019'!Maxi_hp</f>
        <v>0</v>
      </c>
      <c r="I166" s="388">
        <f>IF(H166,Wh_hp,'2019'!Maxi_hp)</f>
        <v>63.124729427681508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9.5556941173537968E-3</v>
      </c>
      <c r="M166" s="832"/>
      <c r="N166" s="832"/>
      <c r="O166" s="48">
        <f>IF(t&lt;Tnet,'2019'!Resal+('2019'!Salim-'2019'!Resal)*(1-EXP(('2019'!Tnet-t)/('2019'!Tau_j))),Resal+(Salim-Resal)*(1-EXP((Tnet-t)/(Tau_j))))*Salcycl</f>
        <v>3.7896701656900879E-2</v>
      </c>
      <c r="P166" s="169">
        <f>(INDEX(Models!$BJ166:$BT166,,T166)*(1-R166)+INDEX(Models!$BJ166:$BT166,,T166+1)*R166-ERP_i)*Q166*Ramure*Pc/MaxiM</f>
        <v>2.863842489859667E-5</v>
      </c>
      <c r="Q166" s="304">
        <f t="shared" si="51"/>
        <v>0.6</v>
      </c>
      <c r="R166" s="177">
        <f t="shared" si="52"/>
        <v>0.20305543290690964</v>
      </c>
      <c r="S166" s="799">
        <f t="shared" si="53"/>
        <v>-1</v>
      </c>
      <c r="T166" s="176">
        <f t="shared" si="54"/>
        <v>5</v>
      </c>
      <c r="U166" s="250">
        <f t="shared" si="55"/>
        <v>-0.79694456709309036</v>
      </c>
      <c r="V166" s="382">
        <f t="shared" si="56"/>
        <v>60.984917555198926</v>
      </c>
      <c r="W166" s="58"/>
      <c r="X166" s="157">
        <f t="shared" si="57"/>
        <v>43982</v>
      </c>
      <c r="Y166" s="383">
        <f t="shared" si="58"/>
        <v>59.276000000000003</v>
      </c>
      <c r="Z166" s="383">
        <f t="shared" si="59"/>
        <v>59.847888112371436</v>
      </c>
      <c r="AA166" s="384">
        <f t="shared" si="60"/>
        <v>62.205262382365163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3.7896701656900879E-2</v>
      </c>
      <c r="AD166" s="230">
        <f>(INDEX(Models!$BJ166:$BT166,,AH166)*(1-AF166)+INDEX(Models!$BJ166:$BT166,,AH166+1)*AF166-ERP_i)*AE166*Ramure*Pc/MaxiM</f>
        <v>2.863842489859667E-5</v>
      </c>
      <c r="AE166" s="304">
        <f t="shared" si="62"/>
        <v>0.6</v>
      </c>
      <c r="AF166" s="177">
        <f t="shared" si="63"/>
        <v>0.20305543290690964</v>
      </c>
      <c r="AG166" s="176">
        <f t="shared" si="64"/>
        <v>-1</v>
      </c>
      <c r="AH166" s="176">
        <f t="shared" si="65"/>
        <v>5</v>
      </c>
      <c r="AI166" s="224">
        <f t="shared" si="66"/>
        <v>-0.79694456709309036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30.527000000000001</v>
      </c>
      <c r="C167" s="388"/>
      <c r="D167" s="391">
        <f t="shared" si="48"/>
        <v>30.822111725906773</v>
      </c>
      <c r="E167" s="383">
        <f t="shared" si="70"/>
        <v>32.039010147289773</v>
      </c>
      <c r="F167" s="383">
        <f t="shared" si="49"/>
        <v>32.039271702267797</v>
      </c>
      <c r="G167" s="110">
        <f t="shared" si="71"/>
        <v>0.50080153841448738</v>
      </c>
      <c r="H167" s="412" t="b">
        <f>Wh_hp&gt;='2019'!Maxi_hp</f>
        <v>0</v>
      </c>
      <c r="I167" s="388">
        <f>IF(H167,Wh_hp,'2019'!Maxi_hp)</f>
        <v>62.353294055215706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9.5746757565193796E-3</v>
      </c>
      <c r="M167" s="832"/>
      <c r="N167" s="832"/>
      <c r="O167" s="48">
        <f>IF(t&lt;Tnet,'2019'!Resal+('2019'!Salim-'2019'!Resal)*(1-EXP(('2019'!Tnet-t)/('2019'!Tau_j))),Resal+(Salim-Resal)*(1-EXP((Tnet-t)/(Tau_j))))*Salcycl</f>
        <v>3.7981773337836491E-2</v>
      </c>
      <c r="P167" s="169">
        <f>(INDEX(Models!$BJ167:$BT167,,T167)*(1-R167)+INDEX(Models!$BJ167:$BT167,,T167+1)*R167-ERP_i)*Q167*Ramure*Pc/MaxiM</f>
        <v>2.8457017328049151E-5</v>
      </c>
      <c r="Q167" s="304">
        <f t="shared" si="51"/>
        <v>0.6</v>
      </c>
      <c r="R167" s="177">
        <f t="shared" si="52"/>
        <v>0.20804727632132225</v>
      </c>
      <c r="S167" s="799">
        <f t="shared" si="53"/>
        <v>-1</v>
      </c>
      <c r="T167" s="176">
        <f t="shared" si="54"/>
        <v>5</v>
      </c>
      <c r="U167" s="250">
        <f t="shared" si="55"/>
        <v>-0.79195272367867775</v>
      </c>
      <c r="V167" s="382">
        <f t="shared" si="56"/>
        <v>60.955045373173455</v>
      </c>
      <c r="W167" s="58"/>
      <c r="X167" s="157">
        <f t="shared" si="57"/>
        <v>43983</v>
      </c>
      <c r="Y167" s="383">
        <f t="shared" si="58"/>
        <v>30.526999999999997</v>
      </c>
      <c r="Z167" s="383">
        <f t="shared" si="59"/>
        <v>30.822111725906769</v>
      </c>
      <c r="AA167" s="384">
        <f t="shared" si="60"/>
        <v>32.039010147289773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3.7981773337836491E-2</v>
      </c>
      <c r="AD167" s="230">
        <f>(INDEX(Models!$BJ167:$BT167,,AH167)*(1-AF167)+INDEX(Models!$BJ167:$BT167,,AH167+1)*AF167-ERP_i)*AE167*Ramure*Pc/MaxiM</f>
        <v>2.8457017328049151E-5</v>
      </c>
      <c r="AE167" s="304">
        <f t="shared" si="62"/>
        <v>0.6</v>
      </c>
      <c r="AF167" s="177">
        <f t="shared" si="63"/>
        <v>0.20804727632132225</v>
      </c>
      <c r="AG167" s="176">
        <f t="shared" si="64"/>
        <v>-1</v>
      </c>
      <c r="AH167" s="176">
        <f t="shared" si="65"/>
        <v>5</v>
      </c>
      <c r="AI167" s="224">
        <f t="shared" si="66"/>
        <v>-0.79195272367867775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45.482999999999997</v>
      </c>
      <c r="C168" s="388"/>
      <c r="D168" s="391">
        <f t="shared" si="48"/>
        <v>45.923575028502462</v>
      </c>
      <c r="E168" s="383">
        <f t="shared" si="70"/>
        <v>47.740909288964467</v>
      </c>
      <c r="F168" s="383">
        <f t="shared" si="49"/>
        <v>47.741770837647287</v>
      </c>
      <c r="G168" s="110">
        <f t="shared" si="71"/>
        <v>0.74657096923211574</v>
      </c>
      <c r="H168" s="412" t="b">
        <f>Wh_hp&gt;='2019'!Maxi_hp</f>
        <v>0</v>
      </c>
      <c r="I168" s="388">
        <f>IF(H168,Wh_hp,'2019'!Maxi_hp)</f>
        <v>48.248550677509407</v>
      </c>
      <c r="J168" s="85">
        <f>IF(H168,An,'2019'!An_max)</f>
        <v>2018</v>
      </c>
      <c r="K168" s="197">
        <f t="shared" si="50"/>
        <v>43984</v>
      </c>
      <c r="L168" s="147">
        <f>IF(t&lt;Tvie,1-EXP((T0-t)*PertePVj)+'2019'!Pspv,1-EXP((T0-t)*PertePVj)+Pspv)</f>
        <v>9.5936570319061776E-3</v>
      </c>
      <c r="M168" s="832"/>
      <c r="N168" s="832"/>
      <c r="O168" s="48">
        <f>IF(t&lt;Tnet,'2019'!Resal+('2019'!Salim-'2019'!Resal)*(1-EXP(('2019'!Tnet-t)/('2019'!Tau_j))),Resal+(Salim-Resal)*(1-EXP((Tnet-t)/(Tau_j))))*Salcycl</f>
        <v>3.8066603412643521E-2</v>
      </c>
      <c r="P168" s="169">
        <f>(INDEX(Models!$BJ168:$BT168,,T168)*(1-R168)+INDEX(Models!$BJ168:$BT168,,T168+1)*R168-ERP_i)*Q168*Ramure*Pc/MaxiM</f>
        <v>2.8286643479251047E-5</v>
      </c>
      <c r="Q168" s="304">
        <f t="shared" si="51"/>
        <v>0.6</v>
      </c>
      <c r="R168" s="177">
        <f t="shared" si="52"/>
        <v>0.21307264910359414</v>
      </c>
      <c r="S168" s="799">
        <f t="shared" si="53"/>
        <v>-1</v>
      </c>
      <c r="T168" s="176">
        <f t="shared" si="54"/>
        <v>5</v>
      </c>
      <c r="U168" s="250">
        <f t="shared" si="55"/>
        <v>-0.78692735089640586</v>
      </c>
      <c r="V168" s="382">
        <f t="shared" si="56"/>
        <v>60.921916457375659</v>
      </c>
      <c r="W168" s="58"/>
      <c r="X168" s="157">
        <f t="shared" si="57"/>
        <v>43984</v>
      </c>
      <c r="Y168" s="383">
        <f t="shared" si="58"/>
        <v>45.482999999999997</v>
      </c>
      <c r="Z168" s="383">
        <f t="shared" si="59"/>
        <v>45.923575028502462</v>
      </c>
      <c r="AA168" s="384">
        <f t="shared" si="60"/>
        <v>47.740909288964467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3.8066603412643521E-2</v>
      </c>
      <c r="AD168" s="230">
        <f>(INDEX(Models!$BJ168:$BT168,,AH168)*(1-AF168)+INDEX(Models!$BJ168:$BT168,,AH168+1)*AF168-ERP_i)*AE168*Ramure*Pc/MaxiM</f>
        <v>2.8286643479251047E-5</v>
      </c>
      <c r="AE168" s="304">
        <f t="shared" si="62"/>
        <v>0.6</v>
      </c>
      <c r="AF168" s="177">
        <f t="shared" si="63"/>
        <v>0.21307264910359414</v>
      </c>
      <c r="AG168" s="176">
        <f t="shared" si="64"/>
        <v>-1</v>
      </c>
      <c r="AH168" s="176">
        <f t="shared" si="65"/>
        <v>5</v>
      </c>
      <c r="AI168" s="224">
        <f t="shared" si="66"/>
        <v>-0.78692735089640586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27.007000000000001</v>
      </c>
      <c r="C169" s="388"/>
      <c r="D169" s="391">
        <f t="shared" si="48"/>
        <v>27.269128256969694</v>
      </c>
      <c r="E169" s="383">
        <f t="shared" si="70"/>
        <v>28.350741938903916</v>
      </c>
      <c r="F169" s="383">
        <f t="shared" si="49"/>
        <v>28.350905491411844</v>
      </c>
      <c r="G169" s="110">
        <f t="shared" si="71"/>
        <v>0.44355709682813099</v>
      </c>
      <c r="H169" s="412" t="b">
        <f>Wh_hp&gt;='2019'!Maxi_hp</f>
        <v>0</v>
      </c>
      <c r="I169" s="388">
        <f>IF(H169,Wh_hp,'2019'!Maxi_hp)</f>
        <v>57.206955445857666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9.6126379435211851E-3</v>
      </c>
      <c r="M169" s="832"/>
      <c r="N169" s="832"/>
      <c r="O169" s="48">
        <f>IF(t&lt;Tnet,'2019'!Resal+('2019'!Salim-'2019'!Resal)*(1-EXP(('2019'!Tnet-t)/('2019'!Tau_j))),Resal+(Salim-Resal)*(1-EXP((Tnet-t)/(Tau_j))))*Salcycl</f>
        <v>3.8151159650957625E-2</v>
      </c>
      <c r="P169" s="169">
        <f>(INDEX(Models!$BJ169:$BT169,,T169)*(1-R169)+INDEX(Models!$BJ169:$BT169,,T169+1)*R169-ERP_i)*Q169*Ramure*Pc/MaxiM</f>
        <v>2.8127662636210107E-5</v>
      </c>
      <c r="Q169" s="304">
        <f t="shared" si="51"/>
        <v>0.6</v>
      </c>
      <c r="R169" s="177">
        <f t="shared" si="52"/>
        <v>0.21812760663325392</v>
      </c>
      <c r="S169" s="799">
        <f t="shared" si="53"/>
        <v>-1</v>
      </c>
      <c r="T169" s="176">
        <f t="shared" si="54"/>
        <v>5</v>
      </c>
      <c r="U169" s="250">
        <f t="shared" si="55"/>
        <v>-0.78187239336674608</v>
      </c>
      <c r="V169" s="382">
        <f t="shared" si="56"/>
        <v>60.88595210301974</v>
      </c>
      <c r="W169" s="58"/>
      <c r="X169" s="157">
        <f t="shared" si="57"/>
        <v>43985</v>
      </c>
      <c r="Y169" s="383">
        <f t="shared" si="58"/>
        <v>27.007000000000001</v>
      </c>
      <c r="Z169" s="383">
        <f t="shared" si="59"/>
        <v>27.269128256969694</v>
      </c>
      <c r="AA169" s="384">
        <f t="shared" si="60"/>
        <v>28.350741938903916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3.8151159650957625E-2</v>
      </c>
      <c r="AD169" s="230">
        <f>(INDEX(Models!$BJ169:$BT169,,AH169)*(1-AF169)+INDEX(Models!$BJ169:$BT169,,AH169+1)*AF169-ERP_i)*AE169*Ramure*Pc/MaxiM</f>
        <v>2.8127662636210107E-5</v>
      </c>
      <c r="AE169" s="304">
        <f t="shared" si="62"/>
        <v>0.6</v>
      </c>
      <c r="AF169" s="177">
        <f t="shared" si="63"/>
        <v>0.21812760663325392</v>
      </c>
      <c r="AG169" s="176">
        <f t="shared" si="64"/>
        <v>-1</v>
      </c>
      <c r="AH169" s="176">
        <f t="shared" si="65"/>
        <v>5</v>
      </c>
      <c r="AI169" s="224">
        <f t="shared" si="66"/>
        <v>-0.78187239336674608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35.353999999999999</v>
      </c>
      <c r="C170" s="388"/>
      <c r="D170" s="391">
        <f t="shared" si="48"/>
        <v>35.697827858907644</v>
      </c>
      <c r="E170" s="383">
        <f t="shared" ref="E170:E232" si="73">Wh_pvt/(1-Psa)</f>
        <v>37.117012044277793</v>
      </c>
      <c r="F170" s="383">
        <f t="shared" si="49"/>
        <v>37.117429337860266</v>
      </c>
      <c r="G170" s="110">
        <f t="shared" ref="G170:G232" si="74">+Wh_hp/MaxiM</f>
        <v>0.58101591028215838</v>
      </c>
      <c r="H170" s="412" t="b">
        <f>Wh_hp&gt;='2019'!Maxi_hp</f>
        <v>1</v>
      </c>
      <c r="I170" s="388">
        <f>IF(H170,Wh_hp,'2019'!Maxi_hp)</f>
        <v>37.117429337860266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9.6316184913713965E-3</v>
      </c>
      <c r="M170" s="832"/>
      <c r="N170" s="832"/>
      <c r="O170" s="48">
        <f>IF(t&lt;Tnet,'2019'!Resal+('2019'!Salim-'2019'!Resal)*(1-EXP(('2019'!Tnet-t)/('2019'!Tau_j))),Resal+(Salim-Resal)*(1-EXP((Tnet-t)/(Tau_j))))*Salcycl</f>
        <v>3.8235410320129469E-2</v>
      </c>
      <c r="P170" s="169">
        <f>(INDEX(Models!$BJ170:$BT170,,T170)*(1-R170)+INDEX(Models!$BJ170:$BT170,,T170+1)*R170-ERP_i)*Q170*Ramure*Pc/MaxiM</f>
        <v>2.8003730908031096E-5</v>
      </c>
      <c r="Q170" s="304">
        <f t="shared" si="51"/>
        <v>0.6</v>
      </c>
      <c r="R170" s="177">
        <f t="shared" si="52"/>
        <v>0.22320810750352593</v>
      </c>
      <c r="S170" s="799">
        <f t="shared" si="53"/>
        <v>-1</v>
      </c>
      <c r="T170" s="176">
        <f t="shared" si="54"/>
        <v>5</v>
      </c>
      <c r="U170" s="250">
        <f t="shared" si="55"/>
        <v>-0.77679189249647407</v>
      </c>
      <c r="V170" s="382">
        <f t="shared" si="56"/>
        <v>60.847571971743228</v>
      </c>
      <c r="W170" s="58"/>
      <c r="X170" s="157">
        <f t="shared" si="57"/>
        <v>43986</v>
      </c>
      <c r="Y170" s="383">
        <f t="shared" si="58"/>
        <v>35.353999999999999</v>
      </c>
      <c r="Z170" s="383">
        <f t="shared" si="59"/>
        <v>35.697827858907644</v>
      </c>
      <c r="AA170" s="384">
        <f t="shared" si="60"/>
        <v>37.117012044277793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3.8235410320129469E-2</v>
      </c>
      <c r="AD170" s="230">
        <f>(INDEX(Models!$BJ170:$BT170,,AH170)*(1-AF170)+INDEX(Models!$BJ170:$BT170,,AH170+1)*AF170-ERP_i)*AE170*Ramure*Pc/MaxiM</f>
        <v>2.8003730908031096E-5</v>
      </c>
      <c r="AE170" s="304">
        <f t="shared" si="62"/>
        <v>0.6</v>
      </c>
      <c r="AF170" s="177">
        <f t="shared" si="63"/>
        <v>0.22320810750352593</v>
      </c>
      <c r="AG170" s="176">
        <f t="shared" si="64"/>
        <v>-1</v>
      </c>
      <c r="AH170" s="176">
        <f t="shared" si="65"/>
        <v>5</v>
      </c>
      <c r="AI170" s="224">
        <f t="shared" si="66"/>
        <v>-0.77679189249647407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22.687999999999999</v>
      </c>
      <c r="C171" s="388"/>
      <c r="D171" s="391">
        <f t="shared" si="48"/>
        <v>22.909086398856889</v>
      </c>
      <c r="E171" s="383">
        <f t="shared" si="73"/>
        <v>23.821926527129708</v>
      </c>
      <c r="F171" s="383">
        <f t="shared" si="49"/>
        <v>23.82199592246252</v>
      </c>
      <c r="G171" s="110">
        <f t="shared" si="74"/>
        <v>0.37310440047742405</v>
      </c>
      <c r="H171" s="412" t="b">
        <f>Wh_hp&gt;='2019'!Maxi_hp</f>
        <v>0</v>
      </c>
      <c r="I171" s="388">
        <f>IF(H171,Wh_hp,'2019'!Maxi_hp)</f>
        <v>58.87079114151684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9.6505986754635842E-3</v>
      </c>
      <c r="M171" s="832"/>
      <c r="N171" s="832"/>
      <c r="O171" s="48">
        <f>IF(t&lt;Tnet,'2019'!Resal+('2019'!Salim-'2019'!Resal)*(1-EXP(('2019'!Tnet-t)/('2019'!Tau_j))),Resal+(Salim-Resal)*(1-EXP((Tnet-t)/(Tau_j))))*Salcycl</f>
        <v>3.8319324309611331E-2</v>
      </c>
      <c r="P171" s="169">
        <f>(INDEX(Models!$BJ171:$BT171,,T171)*(1-R171)+INDEX(Models!$BJ171:$BT171,,T171+1)*R171-ERP_i)*Q171*Ramure*Pc/MaxiM</f>
        <v>2.7890177416636503E-5</v>
      </c>
      <c r="Q171" s="304">
        <f t="shared" si="51"/>
        <v>0.6</v>
      </c>
      <c r="R171" s="177">
        <f t="shared" si="52"/>
        <v>0.22831002605066586</v>
      </c>
      <c r="S171" s="799">
        <f t="shared" si="53"/>
        <v>-1</v>
      </c>
      <c r="T171" s="176">
        <f t="shared" si="54"/>
        <v>5</v>
      </c>
      <c r="U171" s="250">
        <f t="shared" si="55"/>
        <v>-0.77168997394933414</v>
      </c>
      <c r="V171" s="382">
        <f t="shared" si="56"/>
        <v>60.807198437990479</v>
      </c>
      <c r="W171" s="58"/>
      <c r="X171" s="157">
        <f t="shared" si="57"/>
        <v>43987</v>
      </c>
      <c r="Y171" s="383">
        <f t="shared" si="58"/>
        <v>22.687999999999999</v>
      </c>
      <c r="Z171" s="383">
        <f t="shared" si="59"/>
        <v>22.909086398856889</v>
      </c>
      <c r="AA171" s="384">
        <f t="shared" si="60"/>
        <v>23.821926527129708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3.8319324309611331E-2</v>
      </c>
      <c r="AD171" s="230">
        <f>(INDEX(Models!$BJ171:$BT171,,AH171)*(1-AF171)+INDEX(Models!$BJ171:$BT171,,AH171+1)*AF171-ERP_i)*AE171*Ramure*Pc/MaxiM</f>
        <v>2.7890177416636503E-5</v>
      </c>
      <c r="AE171" s="304">
        <f t="shared" si="62"/>
        <v>0.6</v>
      </c>
      <c r="AF171" s="177">
        <f t="shared" si="63"/>
        <v>0.22831002605066586</v>
      </c>
      <c r="AG171" s="176">
        <f t="shared" si="64"/>
        <v>-1</v>
      </c>
      <c r="AH171" s="176">
        <f t="shared" si="65"/>
        <v>5</v>
      </c>
      <c r="AI171" s="224">
        <f t="shared" si="66"/>
        <v>-0.77168997394933414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26.338999999999999</v>
      </c>
      <c r="C172" s="388"/>
      <c r="D172" s="391">
        <f t="shared" si="48"/>
        <v>26.596173790151944</v>
      </c>
      <c r="E172" s="383">
        <f t="shared" si="73"/>
        <v>27.658333199096163</v>
      </c>
      <c r="F172" s="383">
        <f t="shared" si="49"/>
        <v>27.658479725652892</v>
      </c>
      <c r="G172" s="110">
        <f t="shared" si="74"/>
        <v>0.43344521289972993</v>
      </c>
      <c r="H172" s="412" t="b">
        <f>Wh_hp&gt;='2019'!Maxi_hp</f>
        <v>1</v>
      </c>
      <c r="I172" s="388">
        <f>IF(H172,Wh_hp,'2019'!Maxi_hp)</f>
        <v>27.658479725652892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9.6695784958049646E-3</v>
      </c>
      <c r="M172" s="832"/>
      <c r="N172" s="832"/>
      <c r="O172" s="48">
        <f>IF(t&lt;Tnet,'2019'!Resal+('2019'!Salim-'2019'!Resal)*(1-EXP(('2019'!Tnet-t)/('2019'!Tau_j))),Resal+(Salim-Resal)*(1-EXP((Tnet-t)/(Tau_j))))*Salcycl</f>
        <v>3.8402871253967193E-2</v>
      </c>
      <c r="P172" s="169">
        <f>(INDEX(Models!$BJ172:$BT172,,T172)*(1-R172)+INDEX(Models!$BJ172:$BT172,,T172+1)*R172-ERP_i)*Q172*Ramure*Pc/MaxiM</f>
        <v>2.7787620266977622E-5</v>
      </c>
      <c r="Q172" s="304">
        <f t="shared" si="51"/>
        <v>0.6</v>
      </c>
      <c r="R172" s="177">
        <f t="shared" si="52"/>
        <v>0.23342916546849191</v>
      </c>
      <c r="S172" s="799">
        <f t="shared" si="53"/>
        <v>-1</v>
      </c>
      <c r="T172" s="176">
        <f t="shared" si="54"/>
        <v>5</v>
      </c>
      <c r="U172" s="250">
        <f t="shared" si="55"/>
        <v>-0.76657083453150809</v>
      </c>
      <c r="V172" s="382">
        <f t="shared" si="56"/>
        <v>60.765252103874602</v>
      </c>
      <c r="W172" s="58"/>
      <c r="X172" s="157">
        <f t="shared" si="57"/>
        <v>43988</v>
      </c>
      <c r="Y172" s="383">
        <f t="shared" si="58"/>
        <v>26.338999999999999</v>
      </c>
      <c r="Z172" s="383">
        <f t="shared" si="59"/>
        <v>26.596173790151944</v>
      </c>
      <c r="AA172" s="384">
        <f t="shared" si="60"/>
        <v>27.658333199096163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3.8402871253967193E-2</v>
      </c>
      <c r="AD172" s="230">
        <f>(INDEX(Models!$BJ172:$BT172,,AH172)*(1-AF172)+INDEX(Models!$BJ172:$BT172,,AH172+1)*AF172-ERP_i)*AE172*Ramure*Pc/MaxiM</f>
        <v>2.7787620266977622E-5</v>
      </c>
      <c r="AE172" s="304">
        <f t="shared" si="62"/>
        <v>0.6</v>
      </c>
      <c r="AF172" s="177">
        <f t="shared" si="63"/>
        <v>0.23342916546849191</v>
      </c>
      <c r="AG172" s="176">
        <f t="shared" si="64"/>
        <v>-1</v>
      </c>
      <c r="AH172" s="176">
        <f t="shared" si="65"/>
        <v>5</v>
      </c>
      <c r="AI172" s="224">
        <f t="shared" si="66"/>
        <v>-0.76657083453150809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40.082999999999998</v>
      </c>
      <c r="C173" s="388"/>
      <c r="D173" s="391">
        <f t="shared" si="48"/>
        <v>40.475145795673313</v>
      </c>
      <c r="E173" s="383">
        <f t="shared" si="73"/>
        <v>42.095223477962321</v>
      </c>
      <c r="F173" s="383">
        <f t="shared" si="49"/>
        <v>42.095823267077229</v>
      </c>
      <c r="G173" s="110">
        <f t="shared" si="74"/>
        <v>0.6600961714695408</v>
      </c>
      <c r="H173" s="412" t="b">
        <f>Wh_hp&gt;='2019'!Maxi_hp</f>
        <v>0</v>
      </c>
      <c r="I173" s="388">
        <f>IF(H173,Wh_hp,'2019'!Maxi_hp)</f>
        <v>63.747853574878313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9.6885579524024212E-3</v>
      </c>
      <c r="M173" s="832"/>
      <c r="N173" s="832"/>
      <c r="O173" s="48">
        <f>IF(t&lt;Tnet,'2019'!Resal+('2019'!Salim-'2019'!Resal)*(1-EXP(('2019'!Tnet-t)/('2019'!Tau_j))),Resal+(Salim-Resal)*(1-EXP((Tnet-t)/(Tau_j))))*Salcycl</f>
        <v>3.8486021653671744E-2</v>
      </c>
      <c r="P173" s="169">
        <f>(INDEX(Models!$BJ173:$BT173,,T173)*(1-R173)+INDEX(Models!$BJ173:$BT173,,T173+1)*R173-ERP_i)*Q173*Ramure*Pc/MaxiM</f>
        <v>2.7696723903911757E-5</v>
      </c>
      <c r="Q173" s="304">
        <f t="shared" si="51"/>
        <v>0.6</v>
      </c>
      <c r="R173" s="177">
        <f t="shared" si="52"/>
        <v>0.23856127142175831</v>
      </c>
      <c r="S173" s="799">
        <f t="shared" si="53"/>
        <v>-1</v>
      </c>
      <c r="T173" s="176">
        <f t="shared" si="54"/>
        <v>5</v>
      </c>
      <c r="U173" s="250">
        <f t="shared" si="55"/>
        <v>-0.76143872857824169</v>
      </c>
      <c r="V173" s="382">
        <f t="shared" si="56"/>
        <v>60.722153327046584</v>
      </c>
      <c r="W173" s="58"/>
      <c r="X173" s="157">
        <f t="shared" si="57"/>
        <v>43989</v>
      </c>
      <c r="Y173" s="383">
        <f t="shared" si="58"/>
        <v>40.082999999999998</v>
      </c>
      <c r="Z173" s="383">
        <f t="shared" si="59"/>
        <v>40.475145795673313</v>
      </c>
      <c r="AA173" s="384">
        <f t="shared" si="60"/>
        <v>42.095223477962321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3.8486021653671744E-2</v>
      </c>
      <c r="AD173" s="230">
        <f>(INDEX(Models!$BJ173:$BT173,,AH173)*(1-AF173)+INDEX(Models!$BJ173:$BT173,,AH173+1)*AF173-ERP_i)*AE173*Ramure*Pc/MaxiM</f>
        <v>2.7696723903911757E-5</v>
      </c>
      <c r="AE173" s="304">
        <f t="shared" si="62"/>
        <v>0.6</v>
      </c>
      <c r="AF173" s="177">
        <f t="shared" si="63"/>
        <v>0.23856127142175831</v>
      </c>
      <c r="AG173" s="176">
        <f t="shared" si="64"/>
        <v>-1</v>
      </c>
      <c r="AH173" s="176">
        <f t="shared" si="65"/>
        <v>5</v>
      </c>
      <c r="AI173" s="224">
        <f t="shared" si="66"/>
        <v>-0.76143872857824169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42.82</v>
      </c>
      <c r="C174" s="388"/>
      <c r="D174" s="391">
        <f t="shared" si="48"/>
        <v>43.239751489411425</v>
      </c>
      <c r="E174" s="383">
        <f t="shared" si="73"/>
        <v>44.974356049033602</v>
      </c>
      <c r="F174" s="383">
        <f t="shared" si="49"/>
        <v>44.975075932131858</v>
      </c>
      <c r="G174" s="110">
        <f t="shared" si="74"/>
        <v>0.70568040124400855</v>
      </c>
      <c r="H174" s="412" t="b">
        <f>Wh_hp&gt;='2019'!Maxi_hp</f>
        <v>0</v>
      </c>
      <c r="I174" s="388">
        <f>IF(H174,Wh_hp,'2019'!Maxi_hp)</f>
        <v>52.278836274168064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9.7075370452629484E-3</v>
      </c>
      <c r="M174" s="832"/>
      <c r="N174" s="832"/>
      <c r="O174" s="48">
        <f>IF(t&lt;Tnet,'2019'!Resal+('2019'!Salim-'2019'!Resal)*(1-EXP(('2019'!Tnet-t)/('2019'!Tau_j))),Resal+(Salim-Resal)*(1-EXP((Tnet-t)/(Tau_j))))*Salcycl</f>
        <v>3.8568746992864444E-2</v>
      </c>
      <c r="P174" s="169">
        <f>(INDEX(Models!$BJ174:$BT174,,T174)*(1-R174)+INDEX(Models!$BJ174:$BT174,,T174+1)*R174-ERP_i)*Q174*Ramure*Pc/MaxiM</f>
        <v>2.7618196317259641E-5</v>
      </c>
      <c r="Q174" s="304">
        <f t="shared" si="51"/>
        <v>0.6</v>
      </c>
      <c r="R174" s="177">
        <f t="shared" si="52"/>
        <v>0.24370204606606416</v>
      </c>
      <c r="S174" s="799">
        <f t="shared" si="53"/>
        <v>-1</v>
      </c>
      <c r="T174" s="176">
        <f t="shared" si="54"/>
        <v>5</v>
      </c>
      <c r="U174" s="250">
        <f t="shared" si="55"/>
        <v>-0.75629795393393584</v>
      </c>
      <c r="V174" s="382">
        <f t="shared" si="56"/>
        <v>60.678322217489445</v>
      </c>
      <c r="W174" s="58"/>
      <c r="X174" s="157">
        <f t="shared" si="57"/>
        <v>43990</v>
      </c>
      <c r="Y174" s="383">
        <f t="shared" si="58"/>
        <v>42.82</v>
      </c>
      <c r="Z174" s="383">
        <f t="shared" si="59"/>
        <v>43.239751489411425</v>
      </c>
      <c r="AA174" s="384">
        <f t="shared" si="60"/>
        <v>44.974356049033602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3.8568746992864444E-2</v>
      </c>
      <c r="AD174" s="230">
        <f>(INDEX(Models!$BJ174:$BT174,,AH174)*(1-AF174)+INDEX(Models!$BJ174:$BT174,,AH174+1)*AF174-ERP_i)*AE174*Ramure*Pc/MaxiM</f>
        <v>2.7618196317259641E-5</v>
      </c>
      <c r="AE174" s="304">
        <f t="shared" si="62"/>
        <v>0.6</v>
      </c>
      <c r="AF174" s="177">
        <f t="shared" si="63"/>
        <v>0.24370204606606416</v>
      </c>
      <c r="AG174" s="176">
        <f t="shared" si="64"/>
        <v>-1</v>
      </c>
      <c r="AH174" s="176">
        <f t="shared" si="65"/>
        <v>5</v>
      </c>
      <c r="AI174" s="224">
        <f t="shared" si="66"/>
        <v>-0.75629795393393584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24.13</v>
      </c>
      <c r="C175" s="388"/>
      <c r="D175" s="391">
        <f t="shared" si="48"/>
        <v>24.367006068903933</v>
      </c>
      <c r="E175" s="383">
        <f t="shared" si="73"/>
        <v>25.346681145055015</v>
      </c>
      <c r="F175" s="383">
        <f t="shared" si="49"/>
        <v>25.346778877926415</v>
      </c>
      <c r="G175" s="110">
        <f t="shared" si="74"/>
        <v>0.39795093683587696</v>
      </c>
      <c r="H175" s="412" t="b">
        <f>Wh_hp&gt;='2019'!Maxi_hp</f>
        <v>1</v>
      </c>
      <c r="I175" s="388">
        <f>IF(H175,Wh_hp,'2019'!Maxi_hp)</f>
        <v>25.346778877926415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9.7265157743934294E-3</v>
      </c>
      <c r="M175" s="832"/>
      <c r="N175" s="832"/>
      <c r="O175" s="48">
        <f>IF(t&lt;Tnet,'2019'!Resal+('2019'!Salim-'2019'!Resal)*(1-EXP(('2019'!Tnet-t)/('2019'!Tau_j))),Resal+(Salim-Resal)*(1-EXP((Tnet-t)/(Tau_j))))*Salcycl</f>
        <v>3.8651019853232757E-2</v>
      </c>
      <c r="P175" s="169">
        <f>(INDEX(Models!$BJ175:$BT175,,T175)*(1-R175)+INDEX(Models!$BJ175:$BT175,,T175+1)*R175-ERP_i)*Q175*Ramure*Pc/MaxiM</f>
        <v>2.7552785900345601E-5</v>
      </c>
      <c r="Q175" s="304">
        <f t="shared" si="51"/>
        <v>0.6</v>
      </c>
      <c r="R175" s="177">
        <f t="shared" si="52"/>
        <v>0.24884716237707571</v>
      </c>
      <c r="S175" s="799">
        <f t="shared" si="53"/>
        <v>-1</v>
      </c>
      <c r="T175" s="176">
        <f t="shared" si="54"/>
        <v>5</v>
      </c>
      <c r="U175" s="250">
        <f t="shared" si="55"/>
        <v>-0.75115283762292429</v>
      </c>
      <c r="V175" s="382">
        <f t="shared" si="56"/>
        <v>60.634178630421815</v>
      </c>
      <c r="W175" s="58"/>
      <c r="X175" s="157">
        <f t="shared" si="57"/>
        <v>43991</v>
      </c>
      <c r="Y175" s="383">
        <f t="shared" si="58"/>
        <v>24.13</v>
      </c>
      <c r="Z175" s="383">
        <f t="shared" si="59"/>
        <v>24.367006068903933</v>
      </c>
      <c r="AA175" s="384">
        <f t="shared" si="60"/>
        <v>25.346681145055015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3.8651019853232757E-2</v>
      </c>
      <c r="AD175" s="230">
        <f>(INDEX(Models!$BJ175:$BT175,,AH175)*(1-AF175)+INDEX(Models!$BJ175:$BT175,,AH175+1)*AF175-ERP_i)*AE175*Ramure*Pc/MaxiM</f>
        <v>2.7552785900345601E-5</v>
      </c>
      <c r="AE175" s="304">
        <f t="shared" si="62"/>
        <v>0.6</v>
      </c>
      <c r="AF175" s="177">
        <f t="shared" si="63"/>
        <v>0.24884716237707571</v>
      </c>
      <c r="AG175" s="176">
        <f t="shared" si="64"/>
        <v>-1</v>
      </c>
      <c r="AH175" s="176">
        <f t="shared" si="65"/>
        <v>5</v>
      </c>
      <c r="AI175" s="224">
        <f t="shared" si="66"/>
        <v>-0.75115283762292429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41.365000000000002</v>
      </c>
      <c r="C176" s="388"/>
      <c r="D176" s="391">
        <f t="shared" si="48"/>
        <v>41.772089654939457</v>
      </c>
      <c r="E176" s="383">
        <f t="shared" si="73"/>
        <v>43.455233117619677</v>
      </c>
      <c r="F176" s="383">
        <f t="shared" si="49"/>
        <v>43.455886494813051</v>
      </c>
      <c r="G176" s="110">
        <f t="shared" si="74"/>
        <v>0.6826933039869626</v>
      </c>
      <c r="H176" s="412" t="b">
        <f>Wh_hp&gt;='2019'!Maxi_hp</f>
        <v>1</v>
      </c>
      <c r="I176" s="388">
        <f>IF(H176,Wh_hp,'2019'!Maxi_hp)</f>
        <v>43.455886494813051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9.7454941398009698E-3</v>
      </c>
      <c r="M176" s="832"/>
      <c r="N176" s="832"/>
      <c r="O176" s="48">
        <f>IF(t&lt;Tnet,'2019'!Resal+('2019'!Salim-'2019'!Resal)*(1-EXP(('2019'!Tnet-t)/('2019'!Tau_j))),Resal+(Salim-Resal)*(1-EXP((Tnet-t)/(Tau_j))))*Salcycl</f>
        <v>3.8732814023215156E-2</v>
      </c>
      <c r="P176" s="169">
        <f>(INDEX(Models!$BJ176:$BT176,,T176)*(1-R176)+INDEX(Models!$BJ176:$BT176,,T176+1)*R176-ERP_i)*Q176*Ramure*Pc/MaxiM</f>
        <v>2.7501277967377827E-5</v>
      </c>
      <c r="Q176" s="304">
        <f t="shared" si="51"/>
        <v>0.6</v>
      </c>
      <c r="R176" s="177">
        <f t="shared" si="52"/>
        <v>0.25399227868808727</v>
      </c>
      <c r="S176" s="799">
        <f t="shared" si="53"/>
        <v>-1</v>
      </c>
      <c r="T176" s="176">
        <f t="shared" si="54"/>
        <v>5</v>
      </c>
      <c r="U176" s="250">
        <f t="shared" si="55"/>
        <v>-0.74600772131191273</v>
      </c>
      <c r="V176" s="382">
        <f t="shared" si="56"/>
        <v>60.590142162175688</v>
      </c>
      <c r="W176" s="58"/>
      <c r="X176" s="157">
        <f t="shared" si="57"/>
        <v>43992</v>
      </c>
      <c r="Y176" s="383">
        <f t="shared" si="58"/>
        <v>41.365000000000002</v>
      </c>
      <c r="Z176" s="383">
        <f t="shared" si="59"/>
        <v>41.772089654939457</v>
      </c>
      <c r="AA176" s="384">
        <f t="shared" si="60"/>
        <v>43.455233117619677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3.8732814023215156E-2</v>
      </c>
      <c r="AD176" s="230">
        <f>(INDEX(Models!$BJ176:$BT176,,AH176)*(1-AF176)+INDEX(Models!$BJ176:$BT176,,AH176+1)*AF176-ERP_i)*AE176*Ramure*Pc/MaxiM</f>
        <v>2.7501277967377827E-5</v>
      </c>
      <c r="AE176" s="304">
        <f t="shared" si="62"/>
        <v>0.6</v>
      </c>
      <c r="AF176" s="177">
        <f t="shared" si="63"/>
        <v>0.25399227868808727</v>
      </c>
      <c r="AG176" s="176">
        <f t="shared" si="64"/>
        <v>-1</v>
      </c>
      <c r="AH176" s="176">
        <f t="shared" si="65"/>
        <v>5</v>
      </c>
      <c r="AI176" s="224">
        <f t="shared" si="66"/>
        <v>-0.74600772131191273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27.196999999999999</v>
      </c>
      <c r="C177" s="388"/>
      <c r="D177" s="391">
        <f t="shared" si="48"/>
        <v>27.465183014405149</v>
      </c>
      <c r="E177" s="383">
        <f t="shared" si="73"/>
        <v>28.574267626997443</v>
      </c>
      <c r="F177" s="383">
        <f t="shared" si="49"/>
        <v>28.574434899185601</v>
      </c>
      <c r="G177" s="110">
        <f t="shared" si="74"/>
        <v>0.4491890064218968</v>
      </c>
      <c r="H177" s="412" t="b">
        <f>Wh_hp&gt;='2019'!Maxi_hp</f>
        <v>0</v>
      </c>
      <c r="I177" s="388">
        <f>IF(H177,Wh_hp,'2019'!Maxi_hp)</f>
        <v>56.41651381708197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9.7644721414924529E-3</v>
      </c>
      <c r="M177" s="832"/>
      <c r="N177" s="832"/>
      <c r="O177" s="48">
        <f>IF(t&lt;Tnet,'2019'!Resal+('2019'!Salim-'2019'!Resal)*(1-EXP(('2019'!Tnet-t)/('2019'!Tau_j))),Resal+(Salim-Resal)*(1-EXP((Tnet-t)/(Tau_j))))*Salcycl</f>
        <v>3.88141046017366E-2</v>
      </c>
      <c r="P177" s="169">
        <f>(INDEX(Models!$BJ177:$BT177,,T177)*(1-R177)+INDEX(Models!$BJ177:$BT177,,T177+1)*R177-ERP_i)*Q177*Ramure*Pc/MaxiM</f>
        <v>2.7464964853399867E-5</v>
      </c>
      <c r="Q177" s="304">
        <f t="shared" si="51"/>
        <v>0.6</v>
      </c>
      <c r="R177" s="177">
        <f t="shared" si="52"/>
        <v>0.25913305333239323</v>
      </c>
      <c r="S177" s="799">
        <f t="shared" si="53"/>
        <v>-1</v>
      </c>
      <c r="T177" s="176">
        <f t="shared" si="54"/>
        <v>5</v>
      </c>
      <c r="U177" s="250">
        <f t="shared" si="55"/>
        <v>-0.74086694666760677</v>
      </c>
      <c r="V177" s="382">
        <f t="shared" si="56"/>
        <v>60.5455873850429</v>
      </c>
      <c r="W177" s="58"/>
      <c r="X177" s="157">
        <f t="shared" si="57"/>
        <v>43993</v>
      </c>
      <c r="Y177" s="383">
        <f t="shared" si="58"/>
        <v>27.196999999999999</v>
      </c>
      <c r="Z177" s="383">
        <f t="shared" si="59"/>
        <v>27.465183014405149</v>
      </c>
      <c r="AA177" s="384">
        <f t="shared" si="60"/>
        <v>28.574267626997443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3.88141046017366E-2</v>
      </c>
      <c r="AD177" s="230">
        <f>(INDEX(Models!$BJ177:$BT177,,AH177)*(1-AF177)+INDEX(Models!$BJ177:$BT177,,AH177+1)*AF177-ERP_i)*AE177*Ramure*Pc/MaxiM</f>
        <v>2.7464964853399867E-5</v>
      </c>
      <c r="AE177" s="304">
        <f t="shared" si="62"/>
        <v>0.6</v>
      </c>
      <c r="AF177" s="177">
        <f t="shared" si="63"/>
        <v>0.25913305333239323</v>
      </c>
      <c r="AG177" s="176">
        <f t="shared" si="64"/>
        <v>-1</v>
      </c>
      <c r="AH177" s="176">
        <f t="shared" si="65"/>
        <v>5</v>
      </c>
      <c r="AI177" s="224">
        <f t="shared" si="66"/>
        <v>-0.74086694666760677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55.634</v>
      </c>
      <c r="C178" s="388"/>
      <c r="D178" s="391">
        <f t="shared" si="48"/>
        <v>56.183670114996644</v>
      </c>
      <c r="E178" s="383">
        <f t="shared" si="73"/>
        <v>58.457361478944058</v>
      </c>
      <c r="F178" s="383">
        <f t="shared" si="49"/>
        <v>58.458782669342156</v>
      </c>
      <c r="G178" s="110">
        <f t="shared" si="74"/>
        <v>0.91957328642921243</v>
      </c>
      <c r="H178" s="412" t="b">
        <f>Wh_hp&gt;='2019'!Maxi_hp</f>
        <v>0</v>
      </c>
      <c r="I178" s="388">
        <f>IF(H178,Wh_hp,'2019'!Maxi_hp)</f>
        <v>64.279104061315721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9.7834497794747621E-3</v>
      </c>
      <c r="M178" s="832"/>
      <c r="N178" s="832"/>
      <c r="O178" s="48">
        <f>IF(t&lt;Tnet,'2019'!Resal+('2019'!Salim-'2019'!Resal)*(1-EXP(('2019'!Tnet-t)/('2019'!Tau_j))),Resal+(Salim-Resal)*(1-EXP((Tnet-t)/(Tau_j))))*Salcycl</f>
        <v>3.8894868095721104E-2</v>
      </c>
      <c r="P178" s="169">
        <f>(INDEX(Models!$BJ178:$BT178,,T178)*(1-R178)+INDEX(Models!$BJ178:$BT178,,T178+1)*R178-ERP_i)*Q178*Ramure*Pc/MaxiM</f>
        <v>2.7466657915483599E-5</v>
      </c>
      <c r="Q178" s="304">
        <f t="shared" si="51"/>
        <v>0.6</v>
      </c>
      <c r="R178" s="177">
        <f t="shared" si="52"/>
        <v>0.26426515928565975</v>
      </c>
      <c r="S178" s="799">
        <f t="shared" si="53"/>
        <v>-1</v>
      </c>
      <c r="T178" s="176">
        <f t="shared" si="54"/>
        <v>5</v>
      </c>
      <c r="U178" s="250">
        <f t="shared" si="55"/>
        <v>-0.73573484071434025</v>
      </c>
      <c r="V178" s="382">
        <f t="shared" si="56"/>
        <v>60.499609170765247</v>
      </c>
      <c r="W178" s="58"/>
      <c r="X178" s="157">
        <f t="shared" si="57"/>
        <v>43994</v>
      </c>
      <c r="Y178" s="383">
        <f t="shared" si="58"/>
        <v>55.634</v>
      </c>
      <c r="Z178" s="383">
        <f t="shared" si="59"/>
        <v>56.183670114996644</v>
      </c>
      <c r="AA178" s="384">
        <f t="shared" si="60"/>
        <v>58.457361478944058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3.8894868095721104E-2</v>
      </c>
      <c r="AD178" s="230">
        <f>(INDEX(Models!$BJ178:$BT178,,AH178)*(1-AF178)+INDEX(Models!$BJ178:$BT178,,AH178+1)*AF178-ERP_i)*AE178*Ramure*Pc/MaxiM</f>
        <v>2.7466657915483599E-5</v>
      </c>
      <c r="AE178" s="304">
        <f t="shared" si="62"/>
        <v>0.6</v>
      </c>
      <c r="AF178" s="177">
        <f t="shared" si="63"/>
        <v>0.26426515928565975</v>
      </c>
      <c r="AG178" s="176">
        <f t="shared" si="64"/>
        <v>-1</v>
      </c>
      <c r="AH178" s="176">
        <f t="shared" si="65"/>
        <v>5</v>
      </c>
      <c r="AI178" s="224">
        <f t="shared" si="66"/>
        <v>-0.73573484071434025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41.292000000000002</v>
      </c>
      <c r="C179" s="388"/>
      <c r="D179" s="391">
        <f t="shared" si="48"/>
        <v>41.700768743695591</v>
      </c>
      <c r="E179" s="383">
        <f t="shared" si="73"/>
        <v>43.391974531355729</v>
      </c>
      <c r="F179" s="383">
        <f t="shared" si="49"/>
        <v>43.392627585399175</v>
      </c>
      <c r="G179" s="110">
        <f t="shared" si="74"/>
        <v>0.68304345073138917</v>
      </c>
      <c r="H179" s="412" t="b">
        <f>Wh_hp&gt;='2019'!Maxi_hp</f>
        <v>1</v>
      </c>
      <c r="I179" s="388">
        <f>IF(H179,Wh_hp,'2019'!Maxi_hp)</f>
        <v>43.392627585399175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9.8024270537551139E-3</v>
      </c>
      <c r="M179" s="832"/>
      <c r="N179" s="832"/>
      <c r="O179" s="48">
        <f>IF(t&lt;Tnet,'2019'!Resal+('2019'!Salim-'2019'!Resal)*(1-EXP(('2019'!Tnet-t)/('2019'!Tau_j))),Resal+(Salim-Resal)*(1-EXP((Tnet-t)/(Tau_j))))*Salcycl</f>
        <v>3.8975082510662208E-2</v>
      </c>
      <c r="P179" s="169">
        <f>(INDEX(Models!$BJ179:$BT179,,T179)*(1-R179)+INDEX(Models!$BJ179:$BT179,,T179+1)*R179-ERP_i)*Q179*Ramure*Pc/MaxiM</f>
        <v>2.7502585822118455E-5</v>
      </c>
      <c r="Q179" s="304">
        <f t="shared" si="51"/>
        <v>0.6</v>
      </c>
      <c r="R179" s="177">
        <f t="shared" si="52"/>
        <v>0.26938429870348557</v>
      </c>
      <c r="S179" s="799">
        <f t="shared" si="53"/>
        <v>-1</v>
      </c>
      <c r="T179" s="176">
        <f t="shared" si="54"/>
        <v>5</v>
      </c>
      <c r="U179" s="250">
        <f t="shared" si="55"/>
        <v>-0.73061570129651443</v>
      </c>
      <c r="V179" s="382">
        <f t="shared" si="56"/>
        <v>60.452209520659103</v>
      </c>
      <c r="W179" s="58"/>
      <c r="X179" s="157">
        <f t="shared" si="57"/>
        <v>43995</v>
      </c>
      <c r="Y179" s="383">
        <f t="shared" si="58"/>
        <v>41.292000000000002</v>
      </c>
      <c r="Z179" s="383">
        <f t="shared" si="59"/>
        <v>41.700768743695591</v>
      </c>
      <c r="AA179" s="384">
        <f t="shared" si="60"/>
        <v>43.391974531355729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3.8975082510662208E-2</v>
      </c>
      <c r="AD179" s="230">
        <f>(INDEX(Models!$BJ179:$BT179,,AH179)*(1-AF179)+INDEX(Models!$BJ179:$BT179,,AH179+1)*AF179-ERP_i)*AE179*Ramure*Pc/MaxiM</f>
        <v>2.7502585822118455E-5</v>
      </c>
      <c r="AE179" s="304">
        <f t="shared" si="62"/>
        <v>0.6</v>
      </c>
      <c r="AF179" s="177">
        <f t="shared" si="63"/>
        <v>0.26938429870348557</v>
      </c>
      <c r="AG179" s="176">
        <f t="shared" si="64"/>
        <v>-1</v>
      </c>
      <c r="AH179" s="176">
        <f t="shared" si="65"/>
        <v>5</v>
      </c>
      <c r="AI179" s="224">
        <f t="shared" si="66"/>
        <v>-0.73061570129651443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47.137999999999998</v>
      </c>
      <c r="C180" s="388"/>
      <c r="D180" s="391">
        <f t="shared" si="48"/>
        <v>47.605553370598599</v>
      </c>
      <c r="E180" s="383">
        <f t="shared" si="73"/>
        <v>49.540337758733315</v>
      </c>
      <c r="F180" s="383">
        <f t="shared" si="49"/>
        <v>49.541275251885928</v>
      </c>
      <c r="G180" s="110">
        <f t="shared" si="74"/>
        <v>0.78037991253569805</v>
      </c>
      <c r="H180" s="412" t="b">
        <f>Wh_hp&gt;='2019'!Maxi_hp</f>
        <v>1</v>
      </c>
      <c r="I180" s="388">
        <f>IF(H180,Wh_hp,'2019'!Maxi_hp)</f>
        <v>49.541275251885928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9.8214039643401696E-3</v>
      </c>
      <c r="M180" s="832"/>
      <c r="N180" s="832"/>
      <c r="O180" s="48">
        <f>IF(t&lt;Tnet,'2019'!Resal+('2019'!Salim-'2019'!Resal)*(1-EXP(('2019'!Tnet-t)/('2019'!Tau_j))),Resal+(Salim-Resal)*(1-EXP((Tnet-t)/(Tau_j))))*Salcycl</f>
        <v>3.9054727433577886E-2</v>
      </c>
      <c r="P180" s="169">
        <f>(INDEX(Models!$BJ180:$BT180,,T180)*(1-R180)+INDEX(Models!$BJ180:$BT180,,T180+1)*R180-ERP_i)*Q180*Ramure*Pc/MaxiM</f>
        <v>2.7574523756124097E-5</v>
      </c>
      <c r="Q180" s="304">
        <f t="shared" si="51"/>
        <v>0.6</v>
      </c>
      <c r="R180" s="177">
        <f t="shared" si="52"/>
        <v>0.27448621725062572</v>
      </c>
      <c r="S180" s="799">
        <f t="shared" si="53"/>
        <v>-1</v>
      </c>
      <c r="T180" s="176">
        <f t="shared" si="54"/>
        <v>5</v>
      </c>
      <c r="U180" s="250">
        <f t="shared" si="55"/>
        <v>-0.72551378274937428</v>
      </c>
      <c r="V180" s="382">
        <f t="shared" si="56"/>
        <v>60.40338999250703</v>
      </c>
      <c r="W180" s="58"/>
      <c r="X180" s="157">
        <f t="shared" si="57"/>
        <v>43996</v>
      </c>
      <c r="Y180" s="383">
        <f t="shared" si="58"/>
        <v>47.137999999999998</v>
      </c>
      <c r="Z180" s="383">
        <f t="shared" si="59"/>
        <v>47.605553370598599</v>
      </c>
      <c r="AA180" s="384">
        <f t="shared" si="60"/>
        <v>49.540337758733315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3.9054727433577886E-2</v>
      </c>
      <c r="AD180" s="230">
        <f>(INDEX(Models!$BJ180:$BT180,,AH180)*(1-AF180)+INDEX(Models!$BJ180:$BT180,,AH180+1)*AF180-ERP_i)*AE180*Ramure*Pc/MaxiM</f>
        <v>2.7574523756124097E-5</v>
      </c>
      <c r="AE180" s="304">
        <f t="shared" si="62"/>
        <v>0.6</v>
      </c>
      <c r="AF180" s="177">
        <f t="shared" si="63"/>
        <v>0.27448621725062572</v>
      </c>
      <c r="AG180" s="176">
        <f t="shared" si="64"/>
        <v>-1</v>
      </c>
      <c r="AH180" s="176">
        <f t="shared" si="65"/>
        <v>5</v>
      </c>
      <c r="AI180" s="224">
        <f t="shared" si="66"/>
        <v>-0.72551378274937428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43.448999999999998</v>
      </c>
      <c r="C181" s="388"/>
      <c r="D181" s="391">
        <f t="shared" si="48"/>
        <v>43.880803806595843</v>
      </c>
      <c r="E181" s="383">
        <f t="shared" si="73"/>
        <v>45.667964052464413</v>
      </c>
      <c r="F181" s="383">
        <f t="shared" si="49"/>
        <v>45.668722477651635</v>
      </c>
      <c r="G181" s="110">
        <f t="shared" si="74"/>
        <v>0.71990471479323415</v>
      </c>
      <c r="H181" s="412" t="b">
        <f>Wh_hp&gt;='2019'!Maxi_hp</f>
        <v>0</v>
      </c>
      <c r="I181" s="388">
        <f>IF(H181,Wh_hp,'2019'!Maxi_hp)</f>
        <v>63.760579589282713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9.8403805112371456E-3</v>
      </c>
      <c r="M181" s="832"/>
      <c r="N181" s="832"/>
      <c r="O181" s="48">
        <f>IF(t&lt;Tnet,'2019'!Resal+('2019'!Salim-'2019'!Resal)*(1-EXP(('2019'!Tnet-t)/('2019'!Tau_j))),Resal+(Salim-Resal)*(1-EXP((Tnet-t)/(Tau_j))))*Salcycl</f>
        <v>3.9133784107726673E-2</v>
      </c>
      <c r="P181" s="169">
        <f>(INDEX(Models!$BJ181:$BT181,,T181)*(1-R181)+INDEX(Models!$BJ181:$BT181,,T181+1)*R181-ERP_i)*Q181*Ramure*Pc/MaxiM</f>
        <v>2.7684260396824533E-5</v>
      </c>
      <c r="Q181" s="304">
        <f t="shared" si="51"/>
        <v>0.6</v>
      </c>
      <c r="R181" s="177">
        <f t="shared" si="52"/>
        <v>0.27956671812089762</v>
      </c>
      <c r="S181" s="799">
        <f t="shared" si="53"/>
        <v>-1</v>
      </c>
      <c r="T181" s="176">
        <f t="shared" si="54"/>
        <v>5</v>
      </c>
      <c r="U181" s="250">
        <f t="shared" si="55"/>
        <v>-0.72043328187910238</v>
      </c>
      <c r="V181" s="382">
        <f t="shared" si="56"/>
        <v>60.3531520321866</v>
      </c>
      <c r="W181" s="58"/>
      <c r="X181" s="157">
        <f t="shared" si="57"/>
        <v>43997</v>
      </c>
      <c r="Y181" s="383">
        <f t="shared" si="58"/>
        <v>43.448999999999998</v>
      </c>
      <c r="Z181" s="383">
        <f t="shared" si="59"/>
        <v>43.880803806595843</v>
      </c>
      <c r="AA181" s="384">
        <f t="shared" si="60"/>
        <v>45.667964052464413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3.9133784107726673E-2</v>
      </c>
      <c r="AD181" s="230">
        <f>(INDEX(Models!$BJ181:$BT181,,AH181)*(1-AF181)+INDEX(Models!$BJ181:$BT181,,AH181+1)*AF181-ERP_i)*AE181*Ramure*Pc/MaxiM</f>
        <v>2.7684260396824533E-5</v>
      </c>
      <c r="AE181" s="304">
        <f t="shared" si="62"/>
        <v>0.6</v>
      </c>
      <c r="AF181" s="177">
        <f t="shared" si="63"/>
        <v>0.27956671812089762</v>
      </c>
      <c r="AG181" s="176">
        <f t="shared" si="64"/>
        <v>-1</v>
      </c>
      <c r="AH181" s="176">
        <f t="shared" si="65"/>
        <v>5</v>
      </c>
      <c r="AI181" s="224">
        <f t="shared" si="66"/>
        <v>-0.72043328187910238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30.068999999999999</v>
      </c>
      <c r="C182" s="388"/>
      <c r="D182" s="391">
        <f t="shared" si="48"/>
        <v>30.368413016170898</v>
      </c>
      <c r="E182" s="383">
        <f t="shared" si="73"/>
        <v>31.607826554627298</v>
      </c>
      <c r="F182" s="383">
        <f t="shared" si="49"/>
        <v>31.608076212623082</v>
      </c>
      <c r="G182" s="110">
        <f t="shared" si="74"/>
        <v>0.49863439683507754</v>
      </c>
      <c r="H182" s="412" t="b">
        <f>Wh_hp&gt;='2019'!Maxi_hp</f>
        <v>0</v>
      </c>
      <c r="I182" s="388">
        <f>IF(H182,Wh_hp,'2019'!Maxi_hp)</f>
        <v>62.238525909161851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9.8593566944530364E-3</v>
      </c>
      <c r="M182" s="832"/>
      <c r="N182" s="832"/>
      <c r="O182" s="48">
        <f>IF(t&lt;Tnet,'2019'!Resal+('2019'!Salim-'2019'!Resal)*(1-EXP(('2019'!Tnet-t)/('2019'!Tau_j))),Resal+(Salim-Resal)*(1-EXP((Tnet-t)/(Tau_j))))*Salcycl</f>
        <v>3.9212235498519335E-2</v>
      </c>
      <c r="P182" s="169">
        <f>(INDEX(Models!$BJ182:$BT182,,T182)*(1-R182)+INDEX(Models!$BJ182:$BT182,,T182+1)*R182-ERP_i)*Q182*Ramure*Pc/MaxiM</f>
        <v>2.7833592615585889E-5</v>
      </c>
      <c r="Q182" s="304">
        <f t="shared" si="51"/>
        <v>0.6</v>
      </c>
      <c r="R182" s="177">
        <f t="shared" si="52"/>
        <v>0.28462167565055729</v>
      </c>
      <c r="S182" s="799">
        <f t="shared" si="53"/>
        <v>-1</v>
      </c>
      <c r="T182" s="176">
        <f t="shared" si="54"/>
        <v>5</v>
      </c>
      <c r="U182" s="250">
        <f t="shared" si="55"/>
        <v>-0.71537832434944271</v>
      </c>
      <c r="V182" s="382">
        <f t="shared" si="56"/>
        <v>60.301496967202205</v>
      </c>
      <c r="W182" s="58"/>
      <c r="X182" s="157">
        <f t="shared" si="57"/>
        <v>43998</v>
      </c>
      <c r="Y182" s="383">
        <f t="shared" si="58"/>
        <v>30.068999999999999</v>
      </c>
      <c r="Z182" s="383">
        <f t="shared" si="59"/>
        <v>30.368413016170898</v>
      </c>
      <c r="AA182" s="384">
        <f t="shared" si="60"/>
        <v>31.607826554627298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3.9212235498519335E-2</v>
      </c>
      <c r="AD182" s="230">
        <f>(INDEX(Models!$BJ182:$BT182,,AH182)*(1-AF182)+INDEX(Models!$BJ182:$BT182,,AH182+1)*AF182-ERP_i)*AE182*Ramure*Pc/MaxiM</f>
        <v>2.7833592615585889E-5</v>
      </c>
      <c r="AE182" s="304">
        <f t="shared" si="62"/>
        <v>0.6</v>
      </c>
      <c r="AF182" s="177">
        <f t="shared" si="63"/>
        <v>0.28462167565055729</v>
      </c>
      <c r="AG182" s="176">
        <f t="shared" si="64"/>
        <v>-1</v>
      </c>
      <c r="AH182" s="176">
        <f t="shared" si="65"/>
        <v>5</v>
      </c>
      <c r="AI182" s="224">
        <f t="shared" si="66"/>
        <v>-0.71537832434944271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52.363999999999997</v>
      </c>
      <c r="C183" s="388"/>
      <c r="D183" s="391">
        <f t="shared" si="48"/>
        <v>52.886429738434259</v>
      </c>
      <c r="E183" s="383">
        <f t="shared" si="73"/>
        <v>55.049321221766718</v>
      </c>
      <c r="F183" s="383">
        <f t="shared" si="49"/>
        <v>55.050575558112357</v>
      </c>
      <c r="G183" s="110">
        <f t="shared" si="74"/>
        <v>0.86913018515360152</v>
      </c>
      <c r="H183" s="412" t="b">
        <f>Wh_hp&gt;='2019'!Maxi_hp</f>
        <v>0</v>
      </c>
      <c r="I183" s="388">
        <f>IF(H183,Wh_hp,'2019'!Maxi_hp)</f>
        <v>59.296704532872539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9.8783325139945033E-3</v>
      </c>
      <c r="M183" s="832"/>
      <c r="N183" s="832"/>
      <c r="O183" s="48">
        <f>IF(t&lt;Tnet,'2019'!Resal+('2019'!Salim-'2019'!Resal)*(1-EXP(('2019'!Tnet-t)/('2019'!Tau_j))),Resal+(Salim-Resal)*(1-EXP((Tnet-t)/(Tau_j))))*Salcycl</f>
        <v>3.9290066350123186E-2</v>
      </c>
      <c r="P183" s="169">
        <f>(INDEX(Models!$BJ183:$BT183,,T183)*(1-R183)+INDEX(Models!$BJ183:$BT183,,T183+1)*R183-ERP_i)*Q183*Ramure*Pc/MaxiM</f>
        <v>2.8024320285705348E-5</v>
      </c>
      <c r="Q183" s="304">
        <f t="shared" si="51"/>
        <v>0.6</v>
      </c>
      <c r="R183" s="177">
        <f t="shared" si="52"/>
        <v>0.28964704843282929</v>
      </c>
      <c r="S183" s="799">
        <f t="shared" si="53"/>
        <v>-1</v>
      </c>
      <c r="T183" s="176">
        <f t="shared" si="54"/>
        <v>5</v>
      </c>
      <c r="U183" s="250">
        <f t="shared" si="55"/>
        <v>-0.71035295156717071</v>
      </c>
      <c r="V183" s="382">
        <f t="shared" si="56"/>
        <v>60.248426006824786</v>
      </c>
      <c r="W183" s="58"/>
      <c r="X183" s="157">
        <f t="shared" si="57"/>
        <v>43999</v>
      </c>
      <c r="Y183" s="383">
        <f t="shared" si="58"/>
        <v>52.363999999999997</v>
      </c>
      <c r="Z183" s="383">
        <f t="shared" si="59"/>
        <v>52.886429738434259</v>
      </c>
      <c r="AA183" s="384">
        <f t="shared" si="60"/>
        <v>55.049321221766718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3.9290066350123186E-2</v>
      </c>
      <c r="AD183" s="230">
        <f>(INDEX(Models!$BJ183:$BT183,,AH183)*(1-AF183)+INDEX(Models!$BJ183:$BT183,,AH183+1)*AF183-ERP_i)*AE183*Ramure*Pc/MaxiM</f>
        <v>2.8024320285705348E-5</v>
      </c>
      <c r="AE183" s="304">
        <f t="shared" si="62"/>
        <v>0.6</v>
      </c>
      <c r="AF183" s="177">
        <f t="shared" si="63"/>
        <v>0.28964704843282929</v>
      </c>
      <c r="AG183" s="176">
        <f t="shared" si="64"/>
        <v>-1</v>
      </c>
      <c r="AH183" s="176">
        <f t="shared" si="65"/>
        <v>5</v>
      </c>
      <c r="AI183" s="224">
        <f t="shared" si="66"/>
        <v>-0.71035295156717071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44.738999999999997</v>
      </c>
      <c r="C184" s="388"/>
      <c r="D184" s="391">
        <f t="shared" si="48"/>
        <v>45.18622195468032</v>
      </c>
      <c r="E184" s="383">
        <f t="shared" si="73"/>
        <v>47.037978433591903</v>
      </c>
      <c r="F184" s="383">
        <f t="shared" si="49"/>
        <v>47.038820809374492</v>
      </c>
      <c r="G184" s="110">
        <f t="shared" si="74"/>
        <v>0.74323988030500876</v>
      </c>
      <c r="H184" s="412" t="b">
        <f>Wh_hp&gt;='2019'!Maxi_hp</f>
        <v>0</v>
      </c>
      <c r="I184" s="388">
        <f>IF(H184,Wh_hp,'2019'!Maxi_hp)</f>
        <v>51.670458904015952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9.8973079698688737E-3</v>
      </c>
      <c r="M184" s="832"/>
      <c r="N184" s="832"/>
      <c r="O184" s="48">
        <f>IF(t&lt;Tnet,'2019'!Resal+('2019'!Salim-'2019'!Resal)*(1-EXP(('2019'!Tnet-t)/('2019'!Tau_j))),Resal+(Salim-Resal)*(1-EXP((Tnet-t)/(Tau_j))))*Salcycl</f>
        <v>3.9367263232323847E-2</v>
      </c>
      <c r="P184" s="169">
        <f>(INDEX(Models!$BJ184:$BT184,,T184)*(1-R184)+INDEX(Models!$BJ184:$BT184,,T184+1)*R184-ERP_i)*Q184*Ramure*Pc/MaxiM</f>
        <v>2.8281412965262385E-5</v>
      </c>
      <c r="Q184" s="304">
        <f t="shared" si="51"/>
        <v>0.6</v>
      </c>
      <c r="R184" s="177">
        <f t="shared" si="52"/>
        <v>0.29463889184724179</v>
      </c>
      <c r="S184" s="799">
        <f t="shared" si="53"/>
        <v>-1</v>
      </c>
      <c r="T184" s="176">
        <f t="shared" si="54"/>
        <v>5</v>
      </c>
      <c r="U184" s="250">
        <f t="shared" si="55"/>
        <v>-0.70536110815275821</v>
      </c>
      <c r="V184" s="382">
        <f t="shared" si="56"/>
        <v>60.193938841874505</v>
      </c>
      <c r="W184" s="58"/>
      <c r="X184" s="157">
        <f t="shared" si="57"/>
        <v>44000</v>
      </c>
      <c r="Y184" s="383">
        <f t="shared" si="58"/>
        <v>44.738999999999997</v>
      </c>
      <c r="Z184" s="383">
        <f t="shared" si="59"/>
        <v>45.18622195468032</v>
      </c>
      <c r="AA184" s="384">
        <f t="shared" si="60"/>
        <v>47.037978433591903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3.9367263232323847E-2</v>
      </c>
      <c r="AD184" s="230">
        <f>(INDEX(Models!$BJ184:$BT184,,AH184)*(1-AF184)+INDEX(Models!$BJ184:$BT184,,AH184+1)*AF184-ERP_i)*AE184*Ramure*Pc/MaxiM</f>
        <v>2.8281412965262385E-5</v>
      </c>
      <c r="AE184" s="304">
        <f t="shared" si="62"/>
        <v>0.6</v>
      </c>
      <c r="AF184" s="177">
        <f t="shared" si="63"/>
        <v>0.29463889184724179</v>
      </c>
      <c r="AG184" s="176">
        <f t="shared" si="64"/>
        <v>-1</v>
      </c>
      <c r="AH184" s="176">
        <f t="shared" si="65"/>
        <v>5</v>
      </c>
      <c r="AI184" s="224">
        <f t="shared" si="66"/>
        <v>-0.70536110815275821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54.198</v>
      </c>
      <c r="C185" s="388"/>
      <c r="D185" s="391">
        <f t="shared" si="48"/>
        <v>54.740825520917511</v>
      </c>
      <c r="E185" s="383">
        <f t="shared" si="73"/>
        <v>56.988676301977449</v>
      </c>
      <c r="F185" s="383">
        <f t="shared" si="49"/>
        <v>56.990075158502776</v>
      </c>
      <c r="G185" s="110">
        <f t="shared" si="74"/>
        <v>0.90122297141683627</v>
      </c>
      <c r="H185" s="412" t="b">
        <f>Wh_hp&gt;='2019'!Maxi_hp</f>
        <v>1</v>
      </c>
      <c r="I185" s="388">
        <f>IF(H185,Wh_hp,'2019'!Maxi_hp)</f>
        <v>56.990075158502776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9.9162830620829201E-3</v>
      </c>
      <c r="M185" s="832"/>
      <c r="N185" s="832"/>
      <c r="O185" s="48">
        <f>IF(t&lt;Tnet,'2019'!Resal+('2019'!Salim-'2019'!Resal)*(1-EXP(('2019'!Tnet-t)/('2019'!Tau_j))),Resal+(Salim-Resal)*(1-EXP((Tnet-t)/(Tau_j))))*Salcycl</f>
        <v>3.944381457728189E-2</v>
      </c>
      <c r="P185" s="169">
        <f>(INDEX(Models!$BJ185:$BT185,,T185)*(1-R185)+INDEX(Models!$BJ185:$BT185,,T185+1)*R185-ERP_i)*Q185*Ramure*Pc/MaxiM</f>
        <v>2.8578129011276644E-5</v>
      </c>
      <c r="Q185" s="304">
        <f t="shared" si="51"/>
        <v>0.6</v>
      </c>
      <c r="R185" s="177">
        <f t="shared" si="52"/>
        <v>0.29959336992432406</v>
      </c>
      <c r="S185" s="799">
        <f t="shared" si="53"/>
        <v>-1</v>
      </c>
      <c r="T185" s="176">
        <f t="shared" si="54"/>
        <v>5</v>
      </c>
      <c r="U185" s="250">
        <f t="shared" si="55"/>
        <v>-0.70040663007567594</v>
      </c>
      <c r="V185" s="382">
        <f t="shared" si="56"/>
        <v>60.138038154212666</v>
      </c>
      <c r="W185" s="58"/>
      <c r="X185" s="157">
        <f t="shared" si="57"/>
        <v>44001</v>
      </c>
      <c r="Y185" s="383">
        <f t="shared" si="58"/>
        <v>54.198</v>
      </c>
      <c r="Z185" s="383">
        <f t="shared" si="59"/>
        <v>54.740825520917511</v>
      </c>
      <c r="AA185" s="384">
        <f t="shared" si="60"/>
        <v>56.988676301977449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3.944381457728189E-2</v>
      </c>
      <c r="AD185" s="230">
        <f>(INDEX(Models!$BJ185:$BT185,,AH185)*(1-AF185)+INDEX(Models!$BJ185:$BT185,,AH185+1)*AF185-ERP_i)*AE185*Ramure*Pc/MaxiM</f>
        <v>2.8578129011276644E-5</v>
      </c>
      <c r="AE185" s="304">
        <f t="shared" si="62"/>
        <v>0.6</v>
      </c>
      <c r="AF185" s="177">
        <f t="shared" si="63"/>
        <v>0.29959336992432406</v>
      </c>
      <c r="AG185" s="176">
        <f t="shared" si="64"/>
        <v>-1</v>
      </c>
      <c r="AH185" s="176">
        <f t="shared" si="65"/>
        <v>5</v>
      </c>
      <c r="AI185" s="224">
        <f t="shared" si="66"/>
        <v>-0.70040663007567594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49.634</v>
      </c>
      <c r="C186" s="388"/>
      <c r="D186" s="391">
        <f t="shared" si="48"/>
        <v>50.132075089595034</v>
      </c>
      <c r="E186" s="383">
        <f t="shared" si="73"/>
        <v>52.194798423650347</v>
      </c>
      <c r="F186" s="383">
        <f t="shared" si="49"/>
        <v>52.195932812822107</v>
      </c>
      <c r="G186" s="110">
        <f t="shared" si="74"/>
        <v>0.82611592410602297</v>
      </c>
      <c r="H186" s="412" t="b">
        <f>Wh_hp&gt;='2019'!Maxi_hp</f>
        <v>1</v>
      </c>
      <c r="I186" s="388">
        <f>IF(H186,Wh_hp,'2019'!Maxi_hp)</f>
        <v>52.195932812822107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9.9352577906436368E-3</v>
      </c>
      <c r="M186" s="832"/>
      <c r="N186" s="832"/>
      <c r="O186" s="48">
        <f>IF(t&lt;Tnet,'2019'!Resal+('2019'!Salim-'2019'!Resal)*(1-EXP(('2019'!Tnet-t)/('2019'!Tau_j))),Resal+(Salim-Resal)*(1-EXP((Tnet-t)/(Tau_j))))*Salcycl</f>
        <v>3.9519710705897784E-2</v>
      </c>
      <c r="P186" s="169">
        <f>(INDEX(Models!$BJ186:$BT186,,T186)*(1-R186)+INDEX(Models!$BJ186:$BT186,,T186+1)*R186-ERP_i)*Q186*Ramure*Pc/MaxiM</f>
        <v>2.8915925941915989E-5</v>
      </c>
      <c r="Q186" s="304">
        <f t="shared" si="51"/>
        <v>0.6</v>
      </c>
      <c r="R186" s="177">
        <f t="shared" si="52"/>
        <v>0.30450676647395081</v>
      </c>
      <c r="S186" s="799">
        <f t="shared" si="53"/>
        <v>-1</v>
      </c>
      <c r="T186" s="176">
        <f t="shared" si="54"/>
        <v>5</v>
      </c>
      <c r="U186" s="250">
        <f t="shared" si="55"/>
        <v>-0.69549323352604919</v>
      </c>
      <c r="V186" s="382">
        <f t="shared" si="56"/>
        <v>60.080724800028406</v>
      </c>
      <c r="W186" s="58"/>
      <c r="X186" s="157">
        <f t="shared" si="57"/>
        <v>44002</v>
      </c>
      <c r="Y186" s="383">
        <f t="shared" si="58"/>
        <v>49.634</v>
      </c>
      <c r="Z186" s="383">
        <f t="shared" si="59"/>
        <v>50.132075089595034</v>
      </c>
      <c r="AA186" s="384">
        <f t="shared" si="60"/>
        <v>52.194798423650347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3.9519710705897784E-2</v>
      </c>
      <c r="AD186" s="230">
        <f>(INDEX(Models!$BJ186:$BT186,,AH186)*(1-AF186)+INDEX(Models!$BJ186:$BT186,,AH186+1)*AF186-ERP_i)*AE186*Ramure*Pc/MaxiM</f>
        <v>2.8915925941915989E-5</v>
      </c>
      <c r="AE186" s="304">
        <f t="shared" si="62"/>
        <v>0.6</v>
      </c>
      <c r="AF186" s="177">
        <f t="shared" si="63"/>
        <v>0.30450676647395081</v>
      </c>
      <c r="AG186" s="176">
        <f t="shared" si="64"/>
        <v>-1</v>
      </c>
      <c r="AH186" s="176">
        <f t="shared" si="65"/>
        <v>5</v>
      </c>
      <c r="AI186" s="224">
        <f t="shared" si="66"/>
        <v>-0.69549323352604919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60.545000000000002</v>
      </c>
      <c r="C187" s="388"/>
      <c r="D187" s="391">
        <f t="shared" si="48"/>
        <v>61.153738510311932</v>
      </c>
      <c r="E187" s="383">
        <f t="shared" si="73"/>
        <v>63.674944356344362</v>
      </c>
      <c r="F187" s="383">
        <f t="shared" si="49"/>
        <v>63.676809848065162</v>
      </c>
      <c r="G187" s="110">
        <f t="shared" si="74"/>
        <v>1.0087134799825728</v>
      </c>
      <c r="H187" s="412" t="b">
        <f>Wh_hp&gt;='2019'!Maxi_hp</f>
        <v>1</v>
      </c>
      <c r="I187" s="388">
        <f>IF(H187,Wh_hp,'2019'!Maxi_hp)</f>
        <v>63.676809848065162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9.9542321555580182E-3</v>
      </c>
      <c r="M187" s="832"/>
      <c r="N187" s="832"/>
      <c r="O187" s="48">
        <f>IF(t&lt;Tnet,'2019'!Resal+('2019'!Salim-'2019'!Resal)*(1-EXP(('2019'!Tnet-t)/('2019'!Tau_j))),Resal+(Salim-Resal)*(1-EXP((Tnet-t)/(Tau_j))))*Salcycl</f>
        <v>3.9594943843578354E-2</v>
      </c>
      <c r="P187" s="169">
        <f>(INDEX(Models!$BJ187:$BT187,,T187)*(1-R187)+INDEX(Models!$BJ187:$BT187,,T187+1)*R187-ERP_i)*Q187*Ramure*Pc/MaxiM</f>
        <v>2.9296249690392276E-5</v>
      </c>
      <c r="Q187" s="304">
        <f t="shared" si="51"/>
        <v>0.6</v>
      </c>
      <c r="R187" s="177">
        <f t="shared" si="52"/>
        <v>0.30937549541403842</v>
      </c>
      <c r="S187" s="799">
        <f t="shared" si="53"/>
        <v>-1</v>
      </c>
      <c r="T187" s="176">
        <f t="shared" si="54"/>
        <v>5</v>
      </c>
      <c r="U187" s="250">
        <f t="shared" si="55"/>
        <v>-0.69062450458596158</v>
      </c>
      <c r="V187" s="382">
        <f t="shared" si="56"/>
        <v>60.02199950876637</v>
      </c>
      <c r="W187" s="58"/>
      <c r="X187" s="157">
        <f t="shared" si="57"/>
        <v>44003</v>
      </c>
      <c r="Y187" s="383">
        <f t="shared" si="58"/>
        <v>60.545000000000002</v>
      </c>
      <c r="Z187" s="383">
        <f t="shared" si="59"/>
        <v>61.153738510311932</v>
      </c>
      <c r="AA187" s="384">
        <f t="shared" si="60"/>
        <v>63.674944356344362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3.9594943843578354E-2</v>
      </c>
      <c r="AD187" s="230">
        <f>(INDEX(Models!$BJ187:$BT187,,AH187)*(1-AF187)+INDEX(Models!$BJ187:$BT187,,AH187+1)*AF187-ERP_i)*AE187*Ramure*Pc/MaxiM</f>
        <v>2.9296249690392276E-5</v>
      </c>
      <c r="AE187" s="304">
        <f t="shared" si="62"/>
        <v>0.6</v>
      </c>
      <c r="AF187" s="177">
        <f t="shared" si="63"/>
        <v>0.30937549541403842</v>
      </c>
      <c r="AG187" s="176">
        <f t="shared" si="64"/>
        <v>-1</v>
      </c>
      <c r="AH187" s="176">
        <f t="shared" si="65"/>
        <v>5</v>
      </c>
      <c r="AI187" s="224">
        <f t="shared" si="66"/>
        <v>-0.69062450458596158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48.999000000000002</v>
      </c>
      <c r="C188" s="388"/>
      <c r="D188" s="391">
        <f t="shared" si="48"/>
        <v>49.49259990206091</v>
      </c>
      <c r="E188" s="383">
        <f t="shared" si="73"/>
        <v>51.53704929793841</v>
      </c>
      <c r="F188" s="383">
        <f t="shared" si="49"/>
        <v>51.538180958048045</v>
      </c>
      <c r="G188" s="110">
        <f t="shared" si="74"/>
        <v>0.81716306436961195</v>
      </c>
      <c r="H188" s="412" t="b">
        <f>Wh_hp&gt;='2019'!Maxi_hp</f>
        <v>0</v>
      </c>
      <c r="I188" s="388">
        <f>IF(H188,Wh_hp,'2019'!Maxi_hp)</f>
        <v>54.409239843799597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9.9732061568330588E-3</v>
      </c>
      <c r="M188" s="832"/>
      <c r="N188" s="832"/>
      <c r="O188" s="48">
        <f>IF(t&lt;Tnet,'2019'!Resal+('2019'!Salim-'2019'!Resal)*(1-EXP(('2019'!Tnet-t)/('2019'!Tau_j))),Resal+(Salim-Resal)*(1-EXP((Tnet-t)/(Tau_j))))*Salcycl</f>
        <v>3.966950812527948E-2</v>
      </c>
      <c r="P188" s="169">
        <f>(INDEX(Models!$BJ188:$BT188,,T188)*(1-R188)+INDEX(Models!$BJ188:$BT188,,T188+1)*R188-ERP_i)*Q188*Ramure*Pc/MaxiM</f>
        <v>2.9720227835776382E-5</v>
      </c>
      <c r="Q188" s="304">
        <f t="shared" si="51"/>
        <v>0.6</v>
      </c>
      <c r="R188" s="177">
        <f t="shared" si="52"/>
        <v>0.3141961102452604</v>
      </c>
      <c r="S188" s="799">
        <f t="shared" si="53"/>
        <v>-1</v>
      </c>
      <c r="T188" s="176">
        <f t="shared" si="54"/>
        <v>5</v>
      </c>
      <c r="U188" s="250">
        <f t="shared" si="55"/>
        <v>-0.6858038897547396</v>
      </c>
      <c r="V188" s="382">
        <f t="shared" si="56"/>
        <v>59.961862903739984</v>
      </c>
      <c r="W188" s="58"/>
      <c r="X188" s="157">
        <f t="shared" si="57"/>
        <v>44004</v>
      </c>
      <c r="Y188" s="383">
        <f t="shared" si="58"/>
        <v>48.999000000000002</v>
      </c>
      <c r="Z188" s="383">
        <f t="shared" si="59"/>
        <v>49.49259990206091</v>
      </c>
      <c r="AA188" s="384">
        <f t="shared" si="60"/>
        <v>51.53704929793841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3.966950812527948E-2</v>
      </c>
      <c r="AD188" s="230">
        <f>(INDEX(Models!$BJ188:$BT188,,AH188)*(1-AF188)+INDEX(Models!$BJ188:$BT188,,AH188+1)*AF188-ERP_i)*AE188*Ramure*Pc/MaxiM</f>
        <v>2.9720227835776382E-5</v>
      </c>
      <c r="AE188" s="304">
        <f t="shared" si="62"/>
        <v>0.6</v>
      </c>
      <c r="AF188" s="177">
        <f t="shared" si="63"/>
        <v>0.3141961102452604</v>
      </c>
      <c r="AG188" s="176">
        <f t="shared" si="64"/>
        <v>-1</v>
      </c>
      <c r="AH188" s="176">
        <f t="shared" si="65"/>
        <v>5</v>
      </c>
      <c r="AI188" s="224">
        <f t="shared" si="66"/>
        <v>-0.6858038897547396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59.359000000000002</v>
      </c>
      <c r="C189" s="388"/>
      <c r="D189" s="391">
        <f t="shared" si="48"/>
        <v>59.958112237615609</v>
      </c>
      <c r="E189" s="383">
        <f t="shared" si="73"/>
        <v>62.43967728209504</v>
      </c>
      <c r="F189" s="383">
        <f t="shared" si="49"/>
        <v>62.441537989908561</v>
      </c>
      <c r="G189" s="110">
        <f t="shared" si="74"/>
        <v>0.99096267497489066</v>
      </c>
      <c r="H189" s="412" t="b">
        <f>Wh_hp&gt;='2019'!Maxi_hp</f>
        <v>1</v>
      </c>
      <c r="I189" s="388">
        <f>IF(H189,Wh_hp,'2019'!Maxi_hp)</f>
        <v>62.441537989908561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9.9921797944756419E-3</v>
      </c>
      <c r="M189" s="832"/>
      <c r="N189" s="832"/>
      <c r="O189" s="48">
        <f>IF(t&lt;Tnet,'2019'!Resal+('2019'!Salim-'2019'!Resal)*(1-EXP(('2019'!Tnet-t)/('2019'!Tau_j))),Resal+(Salim-Resal)*(1-EXP((Tnet-t)/(Tau_j))))*Salcycl</f>
        <v>3.9743399589783547E-2</v>
      </c>
      <c r="P189" s="169">
        <f>(INDEX(Models!$BJ189:$BT189,,T189)*(1-R189)+INDEX(Models!$BJ189:$BT189,,T189+1)*R189-ERP_i)*Q189*Ramure*Pc/MaxiM</f>
        <v>3.0188935470910668E-5</v>
      </c>
      <c r="Q189" s="304">
        <f t="shared" si="51"/>
        <v>0.6</v>
      </c>
      <c r="R189" s="177">
        <f t="shared" si="52"/>
        <v>0.31896531262680272</v>
      </c>
      <c r="S189" s="799">
        <f t="shared" si="53"/>
        <v>-1</v>
      </c>
      <c r="T189" s="176">
        <f t="shared" si="54"/>
        <v>5</v>
      </c>
      <c r="U189" s="250">
        <f t="shared" si="55"/>
        <v>-0.68103468737319728</v>
      </c>
      <c r="V189" s="382">
        <f t="shared" si="56"/>
        <v>59.900315485085969</v>
      </c>
      <c r="W189" s="58"/>
      <c r="X189" s="157">
        <f t="shared" si="57"/>
        <v>44005</v>
      </c>
      <c r="Y189" s="383">
        <f t="shared" si="58"/>
        <v>59.359000000000002</v>
      </c>
      <c r="Z189" s="383">
        <f t="shared" si="59"/>
        <v>59.958112237615609</v>
      </c>
      <c r="AA189" s="384">
        <f t="shared" si="60"/>
        <v>62.43967728209504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3.9743399589783547E-2</v>
      </c>
      <c r="AD189" s="230">
        <f>(INDEX(Models!$BJ189:$BT189,,AH189)*(1-AF189)+INDEX(Models!$BJ189:$BT189,,AH189+1)*AF189-ERP_i)*AE189*Ramure*Pc/MaxiM</f>
        <v>3.0188935470910668E-5</v>
      </c>
      <c r="AE189" s="304">
        <f t="shared" si="62"/>
        <v>0.6</v>
      </c>
      <c r="AF189" s="177">
        <f t="shared" si="63"/>
        <v>0.31896531262680272</v>
      </c>
      <c r="AG189" s="176">
        <f t="shared" si="64"/>
        <v>-1</v>
      </c>
      <c r="AH189" s="176">
        <f t="shared" si="65"/>
        <v>5</v>
      </c>
      <c r="AI189" s="224">
        <f t="shared" si="66"/>
        <v>-0.68103468737319728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55.472999999999999</v>
      </c>
      <c r="C190" s="388"/>
      <c r="D190" s="391">
        <f t="shared" si="48"/>
        <v>56.033964596611177</v>
      </c>
      <c r="E190" s="383">
        <f t="shared" si="73"/>
        <v>58.357565377467836</v>
      </c>
      <c r="F190" s="383">
        <f t="shared" si="49"/>
        <v>58.359170518097258</v>
      </c>
      <c r="G190" s="110">
        <f t="shared" si="74"/>
        <v>0.92706002971083845</v>
      </c>
      <c r="H190" s="412" t="b">
        <f>Wh_hp&gt;='2019'!Maxi_hp</f>
        <v>1</v>
      </c>
      <c r="I190" s="388">
        <f>IF(H190,Wh_hp,'2019'!Maxi_hp)</f>
        <v>58.359170518097258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1.0011153068492762E-2</v>
      </c>
      <c r="M190" s="832"/>
      <c r="N190" s="832"/>
      <c r="O190" s="48">
        <f>IF(t&lt;Tnet,'2019'!Resal+('2019'!Salim-'2019'!Resal)*(1-EXP(('2019'!Tnet-t)/('2019'!Tau_j))),Resal+(Salim-Resal)*(1-EXP((Tnet-t)/(Tau_j))))*Salcycl</f>
        <v>3.9816616163254354E-2</v>
      </c>
      <c r="P190" s="169">
        <f>(INDEX(Models!$BJ190:$BT190,,T190)*(1-R190)+INDEX(Models!$BJ190:$BT190,,T190+1)*R190-ERP_i)*Q190*Ramure*Pc/MaxiM</f>
        <v>3.0703709222431211E-5</v>
      </c>
      <c r="Q190" s="304">
        <f t="shared" si="51"/>
        <v>0.6</v>
      </c>
      <c r="R190" s="177">
        <f t="shared" si="52"/>
        <v>0.32367996001777866</v>
      </c>
      <c r="S190" s="799">
        <f t="shared" si="53"/>
        <v>-1</v>
      </c>
      <c r="T190" s="176">
        <f t="shared" si="54"/>
        <v>5</v>
      </c>
      <c r="U190" s="250">
        <f t="shared" si="55"/>
        <v>-0.67632003998222134</v>
      </c>
      <c r="V190" s="382">
        <f t="shared" si="56"/>
        <v>59.837357612614682</v>
      </c>
      <c r="W190" s="58"/>
      <c r="X190" s="157">
        <f t="shared" si="57"/>
        <v>44006</v>
      </c>
      <c r="Y190" s="383">
        <f t="shared" si="58"/>
        <v>55.472999999999999</v>
      </c>
      <c r="Z190" s="383">
        <f t="shared" si="59"/>
        <v>56.033964596611177</v>
      </c>
      <c r="AA190" s="384">
        <f t="shared" si="60"/>
        <v>58.357565377467836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3.9816616163254354E-2</v>
      </c>
      <c r="AD190" s="230">
        <f>(INDEX(Models!$BJ190:$BT190,,AH190)*(1-AF190)+INDEX(Models!$BJ190:$BT190,,AH190+1)*AF190-ERP_i)*AE190*Ramure*Pc/MaxiM</f>
        <v>3.0703709222431211E-5</v>
      </c>
      <c r="AE190" s="304">
        <f t="shared" si="62"/>
        <v>0.6</v>
      </c>
      <c r="AF190" s="177">
        <f t="shared" si="63"/>
        <v>0.32367996001777866</v>
      </c>
      <c r="AG190" s="176">
        <f t="shared" si="64"/>
        <v>-1</v>
      </c>
      <c r="AH190" s="176">
        <f t="shared" si="65"/>
        <v>5</v>
      </c>
      <c r="AI190" s="224">
        <f t="shared" si="66"/>
        <v>-0.67632003998222134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50.716999999999999</v>
      </c>
      <c r="C191" s="388"/>
      <c r="D191" s="391">
        <f t="shared" si="48"/>
        <v>51.230851898548366</v>
      </c>
      <c r="E191" s="383">
        <f t="shared" si="73"/>
        <v>53.359309819066333</v>
      </c>
      <c r="F191" s="383">
        <f t="shared" si="49"/>
        <v>53.360617087326986</v>
      </c>
      <c r="G191" s="110">
        <f t="shared" si="74"/>
        <v>0.84848787361234135</v>
      </c>
      <c r="H191" s="412" t="b">
        <f>Wh_hp&gt;='2019'!Maxi_hp</f>
        <v>0</v>
      </c>
      <c r="I191" s="388">
        <f>IF(H191,Wh_hp,'2019'!Maxi_hp)</f>
        <v>59.724831210924705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1.0030125978891413E-2</v>
      </c>
      <c r="M191" s="832"/>
      <c r="N191" s="832"/>
      <c r="O191" s="48">
        <f>IF(t&lt;Tnet,'2019'!Resal+('2019'!Salim-'2019'!Resal)*(1-EXP(('2019'!Tnet-t)/('2019'!Tau_j))),Resal+(Salim-Resal)*(1-EXP((Tnet-t)/(Tau_j))))*Salcycl</f>
        <v>3.9889157632196963E-2</v>
      </c>
      <c r="P191" s="169">
        <f>(INDEX(Models!$BJ191:$BT191,,T191)*(1-R191)+INDEX(Models!$BJ191:$BT191,,T191+1)*R191-ERP_i)*Q191*Ramure*Pc/MaxiM</f>
        <v>3.1265856975887097E-5</v>
      </c>
      <c r="Q191" s="304">
        <f t="shared" si="51"/>
        <v>0.6</v>
      </c>
      <c r="R191" s="177">
        <f t="shared" si="52"/>
        <v>0.32833707235861087</v>
      </c>
      <c r="S191" s="799">
        <f t="shared" si="53"/>
        <v>-1</v>
      </c>
      <c r="T191" s="176">
        <f t="shared" si="54"/>
        <v>5</v>
      </c>
      <c r="U191" s="250">
        <f t="shared" si="55"/>
        <v>-0.67166292764138913</v>
      </c>
      <c r="V191" s="382">
        <f t="shared" si="56"/>
        <v>59.772989528014435</v>
      </c>
      <c r="W191" s="58"/>
      <c r="X191" s="157">
        <f t="shared" si="57"/>
        <v>44007</v>
      </c>
      <c r="Y191" s="383">
        <f t="shared" si="58"/>
        <v>50.716999999999999</v>
      </c>
      <c r="Z191" s="383">
        <f t="shared" si="59"/>
        <v>51.230851898548366</v>
      </c>
      <c r="AA191" s="384">
        <f t="shared" si="60"/>
        <v>53.359309819066333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3.9889157632196963E-2</v>
      </c>
      <c r="AD191" s="230">
        <f>(INDEX(Models!$BJ191:$BT191,,AH191)*(1-AF191)+INDEX(Models!$BJ191:$BT191,,AH191+1)*AF191-ERP_i)*AE191*Ramure*Pc/MaxiM</f>
        <v>3.1265856975887097E-5</v>
      </c>
      <c r="AE191" s="304">
        <f t="shared" si="62"/>
        <v>0.6</v>
      </c>
      <c r="AF191" s="177">
        <f t="shared" si="63"/>
        <v>0.32833707235861087</v>
      </c>
      <c r="AG191" s="176">
        <f t="shared" si="64"/>
        <v>-1</v>
      </c>
      <c r="AH191" s="176">
        <f t="shared" si="65"/>
        <v>5</v>
      </c>
      <c r="AI191" s="224">
        <f t="shared" si="66"/>
        <v>-0.67166292764138913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47.253</v>
      </c>
      <c r="C192" s="388"/>
      <c r="D192" s="391">
        <f t="shared" si="48"/>
        <v>47.732670306806838</v>
      </c>
      <c r="E192" s="383">
        <f t="shared" si="73"/>
        <v>49.719513040539347</v>
      </c>
      <c r="F192" s="383">
        <f t="shared" si="49"/>
        <v>49.720626806129793</v>
      </c>
      <c r="G192" s="110">
        <f t="shared" si="74"/>
        <v>0.79140444078158401</v>
      </c>
      <c r="H192" s="412" t="b">
        <f>Wh_hp&gt;='2019'!Maxi_hp</f>
        <v>0</v>
      </c>
      <c r="I192" s="388">
        <f>IF(H192,Wh_hp,'2019'!Maxi_hp)</f>
        <v>59.284461981263078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1.0049098525678701E-2</v>
      </c>
      <c r="M192" s="832"/>
      <c r="N192" s="832"/>
      <c r="O192" s="48">
        <f>IF(t&lt;Tnet,'2019'!Resal+('2019'!Salim-'2019'!Resal)*(1-EXP(('2019'!Tnet-t)/('2019'!Tau_j))),Resal+(Salim-Resal)*(1-EXP((Tnet-t)/(Tau_j))))*Salcycl</f>
        <v>3.9961025606033582E-2</v>
      </c>
      <c r="P192" s="169">
        <f>(INDEX(Models!$BJ192:$BT192,,T192)*(1-R192)+INDEX(Models!$BJ192:$BT192,,T192+1)*R192-ERP_i)*Q192*Ramure*Pc/MaxiM</f>
        <v>3.190872962111684E-5</v>
      </c>
      <c r="Q192" s="304">
        <f t="shared" si="51"/>
        <v>0.6</v>
      </c>
      <c r="R192" s="177">
        <f t="shared" si="52"/>
        <v>0.33293383777632801</v>
      </c>
      <c r="S192" s="799">
        <f t="shared" si="53"/>
        <v>-1</v>
      </c>
      <c r="T192" s="176">
        <f t="shared" si="54"/>
        <v>5</v>
      </c>
      <c r="U192" s="250">
        <f t="shared" si="55"/>
        <v>-0.66706616222367199</v>
      </c>
      <c r="V192" s="382">
        <f t="shared" si="56"/>
        <v>59.707209438513644</v>
      </c>
      <c r="W192" s="58"/>
      <c r="X192" s="157">
        <f t="shared" si="57"/>
        <v>44008</v>
      </c>
      <c r="Y192" s="383">
        <f t="shared" si="58"/>
        <v>47.253</v>
      </c>
      <c r="Z192" s="383">
        <f t="shared" si="59"/>
        <v>47.732670306806838</v>
      </c>
      <c r="AA192" s="384">
        <f t="shared" si="60"/>
        <v>49.719513040539347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3.9961025606033582E-2</v>
      </c>
      <c r="AD192" s="230">
        <f>(INDEX(Models!$BJ192:$BT192,,AH192)*(1-AF192)+INDEX(Models!$BJ192:$BT192,,AH192+1)*AF192-ERP_i)*AE192*Ramure*Pc/MaxiM</f>
        <v>3.190872962111684E-5</v>
      </c>
      <c r="AE192" s="304">
        <f t="shared" si="62"/>
        <v>0.6</v>
      </c>
      <c r="AF192" s="177">
        <f t="shared" si="63"/>
        <v>0.33293383777632801</v>
      </c>
      <c r="AG192" s="176">
        <f t="shared" si="64"/>
        <v>-1</v>
      </c>
      <c r="AH192" s="176">
        <f t="shared" si="65"/>
        <v>5</v>
      </c>
      <c r="AI192" s="224">
        <f t="shared" si="66"/>
        <v>-0.66706616222367199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42.372</v>
      </c>
      <c r="C193" s="388"/>
      <c r="D193" s="391">
        <f t="shared" si="48"/>
        <v>42.802943057247731</v>
      </c>
      <c r="E193" s="383">
        <f t="shared" si="73"/>
        <v>44.587895660362058</v>
      </c>
      <c r="F193" s="383">
        <f t="shared" si="49"/>
        <v>44.58874824564105</v>
      </c>
      <c r="G193" s="110">
        <f t="shared" si="74"/>
        <v>0.71045296954131854</v>
      </c>
      <c r="H193" s="412" t="b">
        <f>Wh_hp&gt;='2019'!Maxi_hp</f>
        <v>0</v>
      </c>
      <c r="I193" s="388">
        <f>IF(H193,Wh_hp,'2019'!Maxi_hp)</f>
        <v>58.768659974881878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1.0068070708861288E-2</v>
      </c>
      <c r="M193" s="832"/>
      <c r="N193" s="832"/>
      <c r="O193" s="48">
        <f>IF(t&lt;Tnet,'2019'!Resal+('2019'!Salim-'2019'!Resal)*(1-EXP(('2019'!Tnet-t)/('2019'!Tau_j))),Resal+(Salim-Resal)*(1-EXP((Tnet-t)/(Tau_j))))*Salcycl</f>
        <v>4.0032223469588957E-2</v>
      </c>
      <c r="P193" s="169">
        <f>(INDEX(Models!$BJ193:$BT193,,T193)*(1-R193)+INDEX(Models!$BJ193:$BT193,,T193+1)*R193-ERP_i)*Q193*Ramure*Pc/MaxiM</f>
        <v>3.2608967499671771E-5</v>
      </c>
      <c r="Q193" s="304">
        <f t="shared" si="51"/>
        <v>0.6</v>
      </c>
      <c r="R193" s="177">
        <f t="shared" si="52"/>
        <v>0.33746761730715757</v>
      </c>
      <c r="S193" s="799">
        <f t="shared" si="53"/>
        <v>-1</v>
      </c>
      <c r="T193" s="176">
        <f t="shared" si="54"/>
        <v>5</v>
      </c>
      <c r="U193" s="250">
        <f t="shared" si="55"/>
        <v>-0.66253238269284243</v>
      </c>
      <c r="V193" s="382">
        <f t="shared" si="56"/>
        <v>59.6400188289768</v>
      </c>
      <c r="W193" s="58"/>
      <c r="X193" s="157">
        <f t="shared" si="57"/>
        <v>44009</v>
      </c>
      <c r="Y193" s="383">
        <f t="shared" si="58"/>
        <v>42.372</v>
      </c>
      <c r="Z193" s="383">
        <f t="shared" si="59"/>
        <v>42.802943057247731</v>
      </c>
      <c r="AA193" s="384">
        <f t="shared" si="60"/>
        <v>44.587895660362058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4.0032223469588957E-2</v>
      </c>
      <c r="AD193" s="230">
        <f>(INDEX(Models!$BJ193:$BT193,,AH193)*(1-AF193)+INDEX(Models!$BJ193:$BT193,,AH193+1)*AF193-ERP_i)*AE193*Ramure*Pc/MaxiM</f>
        <v>3.2608967499671771E-5</v>
      </c>
      <c r="AE193" s="304">
        <f t="shared" si="62"/>
        <v>0.6</v>
      </c>
      <c r="AF193" s="177">
        <f t="shared" si="63"/>
        <v>0.33746761730715757</v>
      </c>
      <c r="AG193" s="176">
        <f t="shared" si="64"/>
        <v>-1</v>
      </c>
      <c r="AH193" s="176">
        <f t="shared" si="65"/>
        <v>5</v>
      </c>
      <c r="AI193" s="224">
        <f t="shared" si="66"/>
        <v>-0.66253238269284243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47.529000000000003</v>
      </c>
      <c r="C194" s="388"/>
      <c r="D194" s="391">
        <f t="shared" si="48"/>
        <v>48.013312323337082</v>
      </c>
      <c r="E194" s="383">
        <f t="shared" si="73"/>
        <v>50.019220952817193</v>
      </c>
      <c r="F194" s="383">
        <f t="shared" si="49"/>
        <v>50.020408026532486</v>
      </c>
      <c r="G194" s="110">
        <f t="shared" si="74"/>
        <v>0.79784137952970879</v>
      </c>
      <c r="H194" s="412" t="b">
        <f>Wh_hp&gt;='2019'!Maxi_hp</f>
        <v>0</v>
      </c>
      <c r="I194" s="388">
        <f>IF(H194,Wh_hp,'2019'!Maxi_hp)</f>
        <v>57.102404093147875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1.0087042528446388E-2</v>
      </c>
      <c r="M194" s="832"/>
      <c r="N194" s="832"/>
      <c r="O194" s="48">
        <f>IF(t&lt;Tnet,'2019'!Resal+('2019'!Salim-'2019'!Resal)*(1-EXP(('2019'!Tnet-t)/('2019'!Tau_j))),Resal+(Salim-Resal)*(1-EXP((Tnet-t)/(Tau_j))))*Salcycl</f>
        <v>4.010275632585867E-2</v>
      </c>
      <c r="P194" s="169">
        <f>(INDEX(Models!$BJ194:$BT194,,T194)*(1-R194)+INDEX(Models!$BJ194:$BT194,,T194+1)*R194-ERP_i)*Q194*Ramure*Pc/MaxiM</f>
        <v>3.3368047901840687E-5</v>
      </c>
      <c r="Q194" s="304">
        <f t="shared" si="51"/>
        <v>0.6</v>
      </c>
      <c r="R194" s="177">
        <f t="shared" si="52"/>
        <v>0.34193594863892984</v>
      </c>
      <c r="S194" s="799">
        <f t="shared" si="53"/>
        <v>-1</v>
      </c>
      <c r="T194" s="176">
        <f t="shared" si="54"/>
        <v>5</v>
      </c>
      <c r="U194" s="250">
        <f t="shared" si="55"/>
        <v>-0.65806405136107016</v>
      </c>
      <c r="V194" s="382">
        <f t="shared" si="56"/>
        <v>59.5714175859694</v>
      </c>
      <c r="W194" s="58"/>
      <c r="X194" s="157">
        <f t="shared" si="57"/>
        <v>44010</v>
      </c>
      <c r="Y194" s="383">
        <f t="shared" si="58"/>
        <v>47.529000000000003</v>
      </c>
      <c r="Z194" s="383">
        <f t="shared" si="59"/>
        <v>48.013312323337082</v>
      </c>
      <c r="AA194" s="384">
        <f t="shared" si="60"/>
        <v>50.019220952817193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4.010275632585867E-2</v>
      </c>
      <c r="AD194" s="230">
        <f>(INDEX(Models!$BJ194:$BT194,,AH194)*(1-AF194)+INDEX(Models!$BJ194:$BT194,,AH194+1)*AF194-ERP_i)*AE194*Ramure*Pc/MaxiM</f>
        <v>3.3368047901840687E-5</v>
      </c>
      <c r="AE194" s="304">
        <f t="shared" si="62"/>
        <v>0.6</v>
      </c>
      <c r="AF194" s="177">
        <f t="shared" si="63"/>
        <v>0.34193594863892984</v>
      </c>
      <c r="AG194" s="176">
        <f t="shared" si="64"/>
        <v>-1</v>
      </c>
      <c r="AH194" s="176">
        <f t="shared" si="65"/>
        <v>5</v>
      </c>
      <c r="AI194" s="224">
        <f t="shared" si="66"/>
        <v>-0.65806405136107016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25.844000000000001</v>
      </c>
      <c r="C195" s="388"/>
      <c r="D195" s="391">
        <f t="shared" si="48"/>
        <v>26.107846259401143</v>
      </c>
      <c r="E195" s="383">
        <f t="shared" si="73"/>
        <v>27.20056449805589</v>
      </c>
      <c r="F195" s="383">
        <f t="shared" si="49"/>
        <v>27.200742967085755</v>
      </c>
      <c r="G195" s="110">
        <f t="shared" si="74"/>
        <v>0.43433068193132529</v>
      </c>
      <c r="H195" s="412" t="b">
        <f>Wh_hp&gt;='2019'!Maxi_hp</f>
        <v>0</v>
      </c>
      <c r="I195" s="388">
        <f>IF(H195,Wh_hp,'2019'!Maxi_hp)</f>
        <v>52.702185547178217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1.0106013984440887E-2</v>
      </c>
      <c r="M195" s="832"/>
      <c r="N195" s="832"/>
      <c r="O195" s="48">
        <f>IF(t&lt;Tnet,'2019'!Resal+('2019'!Salim-'2019'!Resal)*(1-EXP(('2019'!Tnet-t)/('2019'!Tau_j))),Resal+(Salim-Resal)*(1-EXP((Tnet-t)/(Tau_j))))*Salcycl</f>
        <v>4.0172630929510525E-2</v>
      </c>
      <c r="P195" s="169">
        <f>(INDEX(Models!$BJ195:$BT195,,T195)*(1-R195)+INDEX(Models!$BJ195:$BT195,,T195+1)*R195-ERP_i)*Q195*Ramure*Pc/MaxiM</f>
        <v>3.4187404022127416E-5</v>
      </c>
      <c r="Q195" s="304">
        <f t="shared" si="51"/>
        <v>0.6</v>
      </c>
      <c r="R195" s="177">
        <f t="shared" si="52"/>
        <v>0.3463365488844854</v>
      </c>
      <c r="S195" s="799">
        <f t="shared" si="53"/>
        <v>-1</v>
      </c>
      <c r="T195" s="176">
        <f t="shared" si="54"/>
        <v>5</v>
      </c>
      <c r="U195" s="250">
        <f t="shared" si="55"/>
        <v>-0.6536634511155146</v>
      </c>
      <c r="V195" s="382">
        <f t="shared" si="56"/>
        <v>59.501405492058375</v>
      </c>
      <c r="W195" s="58"/>
      <c r="X195" s="157">
        <f t="shared" si="57"/>
        <v>44011</v>
      </c>
      <c r="Y195" s="383">
        <f t="shared" si="58"/>
        <v>25.844000000000001</v>
      </c>
      <c r="Z195" s="383">
        <f t="shared" si="59"/>
        <v>26.107846259401143</v>
      </c>
      <c r="AA195" s="384">
        <f t="shared" si="60"/>
        <v>27.20056449805589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4.0172630929510525E-2</v>
      </c>
      <c r="AD195" s="230">
        <f>(INDEX(Models!$BJ195:$BT195,,AH195)*(1-AF195)+INDEX(Models!$BJ195:$BT195,,AH195+1)*AF195-ERP_i)*AE195*Ramure*Pc/MaxiM</f>
        <v>3.4187404022127416E-5</v>
      </c>
      <c r="AE195" s="304">
        <f t="shared" si="62"/>
        <v>0.6</v>
      </c>
      <c r="AF195" s="177">
        <f t="shared" si="63"/>
        <v>0.3463365488844854</v>
      </c>
      <c r="AG195" s="176">
        <f t="shared" si="64"/>
        <v>-1</v>
      </c>
      <c r="AH195" s="176">
        <f t="shared" si="65"/>
        <v>5</v>
      </c>
      <c r="AI195" s="224">
        <f t="shared" si="66"/>
        <v>-0.6536634511155146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57.911999999999999</v>
      </c>
      <c r="C196" s="388"/>
      <c r="D196" s="391">
        <f t="shared" si="48"/>
        <v>58.504355728683748</v>
      </c>
      <c r="E196" s="383">
        <f t="shared" si="73"/>
        <v>60.957394392279816</v>
      </c>
      <c r="F196" s="383">
        <f t="shared" si="49"/>
        <v>60.959454139649438</v>
      </c>
      <c r="G196" s="110">
        <f t="shared" si="74"/>
        <v>0.97445638912571753</v>
      </c>
      <c r="H196" s="412" t="b">
        <f>Wh_hp&gt;='2019'!Maxi_hp</f>
        <v>1</v>
      </c>
      <c r="I196" s="388">
        <f>IF(H196,Wh_hp,'2019'!Maxi_hp)</f>
        <v>60.959454139649438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1.0124985076851778E-2</v>
      </c>
      <c r="M196" s="832"/>
      <c r="N196" s="832"/>
      <c r="O196" s="48">
        <f>IF(t&lt;Tnet,'2019'!Resal+('2019'!Salim-'2019'!Resal)*(1-EXP(('2019'!Tnet-t)/('2019'!Tau_j))),Resal+(Salim-Resal)*(1-EXP((Tnet-t)/(Tau_j))))*Salcycl</f>
        <v>4.0241855611642494E-2</v>
      </c>
      <c r="P196" s="169">
        <f>(INDEX(Models!$BJ196:$BT196,,T196)*(1-R196)+INDEX(Models!$BJ196:$BT196,,T196+1)*R196-ERP_i)*Q196*Ramure*Pc/MaxiM</f>
        <v>3.5068424210410889E-5</v>
      </c>
      <c r="Q196" s="304">
        <f t="shared" si="51"/>
        <v>0.6</v>
      </c>
      <c r="R196" s="177">
        <f t="shared" si="52"/>
        <v>0.35066731640542836</v>
      </c>
      <c r="S196" s="799">
        <f t="shared" si="53"/>
        <v>-1</v>
      </c>
      <c r="T196" s="176">
        <f t="shared" si="54"/>
        <v>5</v>
      </c>
      <c r="U196" s="250">
        <f t="shared" si="55"/>
        <v>-0.64933268359457164</v>
      </c>
      <c r="V196" s="382">
        <f t="shared" si="56"/>
        <v>59.429982232857668</v>
      </c>
      <c r="W196" s="58"/>
      <c r="X196" s="157">
        <f t="shared" si="57"/>
        <v>44012</v>
      </c>
      <c r="Y196" s="383">
        <f t="shared" si="58"/>
        <v>57.911999999999999</v>
      </c>
      <c r="Z196" s="383">
        <f t="shared" si="59"/>
        <v>58.504355728683748</v>
      </c>
      <c r="AA196" s="384">
        <f t="shared" si="60"/>
        <v>60.957394392279816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4.0241855611642494E-2</v>
      </c>
      <c r="AD196" s="230">
        <f>(INDEX(Models!$BJ196:$BT196,,AH196)*(1-AF196)+INDEX(Models!$BJ196:$BT196,,AH196+1)*AF196-ERP_i)*AE196*Ramure*Pc/MaxiM</f>
        <v>3.5068424210410889E-5</v>
      </c>
      <c r="AE196" s="304">
        <f t="shared" si="62"/>
        <v>0.6</v>
      </c>
      <c r="AF196" s="177">
        <f t="shared" si="63"/>
        <v>0.35066731640542836</v>
      </c>
      <c r="AG196" s="176">
        <f t="shared" si="64"/>
        <v>-1</v>
      </c>
      <c r="AH196" s="176">
        <f t="shared" si="65"/>
        <v>5</v>
      </c>
      <c r="AI196" s="224">
        <f t="shared" si="66"/>
        <v>-0.64933268359457164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42.107999999999997</v>
      </c>
      <c r="C197" s="388"/>
      <c r="D197" s="391">
        <f t="shared" si="48"/>
        <v>42.539519000738629</v>
      </c>
      <c r="E197" s="383">
        <f t="shared" si="73"/>
        <v>44.326332996103268</v>
      </c>
      <c r="F197" s="383">
        <f t="shared" si="49"/>
        <v>44.327266624704656</v>
      </c>
      <c r="G197" s="110">
        <f t="shared" si="74"/>
        <v>0.70939006176156083</v>
      </c>
      <c r="H197" s="412" t="b">
        <f>Wh_hp&gt;='2019'!Maxi_hp</f>
        <v>1</v>
      </c>
      <c r="I197" s="388">
        <f>IF(H197,Wh_hp,'2019'!Maxi_hp)</f>
        <v>44.327266624704656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1.0143955805686056E-2</v>
      </c>
      <c r="M197" s="832"/>
      <c r="N197" s="832"/>
      <c r="O197" s="48">
        <f>IF(t&lt;Tnet,'2019'!Resal+('2019'!Salim-'2019'!Resal)*(1-EXP(('2019'!Tnet-t)/('2019'!Tau_j))),Resal+(Salim-Resal)*(1-EXP((Tnet-t)/(Tau_j))))*Salcycl</f>
        <v>4.0310440196388853E-2</v>
      </c>
      <c r="P197" s="169">
        <f>(INDEX(Models!$BJ197:$BT197,,T197)*(1-R197)+INDEX(Models!$BJ197:$BT197,,T197+1)*R197-ERP_i)*Q197*Ramure*Pc/MaxiM</f>
        <v>3.6012451721091488E-5</v>
      </c>
      <c r="Q197" s="304">
        <f t="shared" si="51"/>
        <v>0.6</v>
      </c>
      <c r="R197" s="177">
        <f t="shared" si="52"/>
        <v>0.35492633171308896</v>
      </c>
      <c r="S197" s="799">
        <f t="shared" si="53"/>
        <v>-1</v>
      </c>
      <c r="T197" s="176">
        <f t="shared" si="54"/>
        <v>5</v>
      </c>
      <c r="U197" s="250">
        <f t="shared" si="55"/>
        <v>-0.64507366828691104</v>
      </c>
      <c r="V197" s="382">
        <f t="shared" si="56"/>
        <v>59.357147400520198</v>
      </c>
      <c r="W197" s="58"/>
      <c r="X197" s="157">
        <f t="shared" si="57"/>
        <v>44013</v>
      </c>
      <c r="Y197" s="383">
        <f t="shared" si="58"/>
        <v>42.107999999999997</v>
      </c>
      <c r="Z197" s="383">
        <f t="shared" si="59"/>
        <v>42.539519000738629</v>
      </c>
      <c r="AA197" s="384">
        <f t="shared" si="60"/>
        <v>44.326332996103268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4.0310440196388853E-2</v>
      </c>
      <c r="AD197" s="230">
        <f>(INDEX(Models!$BJ197:$BT197,,AH197)*(1-AF197)+INDEX(Models!$BJ197:$BT197,,AH197+1)*AF197-ERP_i)*AE197*Ramure*Pc/MaxiM</f>
        <v>3.6012451721091488E-5</v>
      </c>
      <c r="AE197" s="304">
        <f t="shared" si="62"/>
        <v>0.6</v>
      </c>
      <c r="AF197" s="177">
        <f t="shared" si="63"/>
        <v>0.35492633171308896</v>
      </c>
      <c r="AG197" s="176">
        <f t="shared" si="64"/>
        <v>-1</v>
      </c>
      <c r="AH197" s="176">
        <f t="shared" si="65"/>
        <v>5</v>
      </c>
      <c r="AI197" s="224">
        <f t="shared" si="66"/>
        <v>-0.64507366828691104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19.082999999999998</v>
      </c>
      <c r="C198" s="388"/>
      <c r="D198" s="391">
        <f t="shared" si="48"/>
        <v>19.278930345758841</v>
      </c>
      <c r="E198" s="383">
        <f t="shared" si="73"/>
        <v>20.090137887257608</v>
      </c>
      <c r="F198" s="383">
        <f t="shared" si="49"/>
        <v>20.090161157563543</v>
      </c>
      <c r="G198" s="110">
        <f t="shared" si="74"/>
        <v>0.32188566136032876</v>
      </c>
      <c r="H198" s="412" t="b">
        <f>Wh_hp&gt;='2019'!Maxi_hp</f>
        <v>0</v>
      </c>
      <c r="I198" s="388">
        <f>IF(H198,Wh_hp,'2019'!Maxi_hp)</f>
        <v>49.626071649823778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1.0162926170950493E-2</v>
      </c>
      <c r="M198" s="832"/>
      <c r="N198" s="832"/>
      <c r="O198" s="48">
        <f>IF(t&lt;Tnet,'2019'!Resal+('2019'!Salim-'2019'!Resal)*(1-EXP(('2019'!Tnet-t)/('2019'!Tau_j))),Resal+(Salim-Resal)*(1-EXP((Tnet-t)/(Tau_j))))*Salcycl</f>
        <v>4.0378395910029383E-2</v>
      </c>
      <c r="P198" s="169">
        <f>(INDEX(Models!$BJ198:$BT198,,T198)*(1-R198)+INDEX(Models!$BJ198:$BT198,,T198+1)*R198-ERP_i)*Q198*Ramure*Pc/MaxiM</f>
        <v>3.7027805630334528E-5</v>
      </c>
      <c r="Q198" s="304">
        <f t="shared" si="51"/>
        <v>0.6</v>
      </c>
      <c r="R198" s="177">
        <f t="shared" si="52"/>
        <v>0.35911185748038543</v>
      </c>
      <c r="S198" s="799">
        <f t="shared" si="53"/>
        <v>-1</v>
      </c>
      <c r="T198" s="176">
        <f t="shared" si="54"/>
        <v>5</v>
      </c>
      <c r="U198" s="250">
        <f t="shared" si="55"/>
        <v>-0.64088814251961457</v>
      </c>
      <c r="V198" s="382">
        <f t="shared" si="56"/>
        <v>59.282900085283821</v>
      </c>
      <c r="W198" s="58"/>
      <c r="X198" s="157">
        <f t="shared" si="57"/>
        <v>44014</v>
      </c>
      <c r="Y198" s="383">
        <f t="shared" si="58"/>
        <v>19.082999999999998</v>
      </c>
      <c r="Z198" s="383">
        <f t="shared" si="59"/>
        <v>19.278930345758841</v>
      </c>
      <c r="AA198" s="384">
        <f t="shared" si="60"/>
        <v>20.090137887257608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4.0378395910029383E-2</v>
      </c>
      <c r="AD198" s="230">
        <f>(INDEX(Models!$BJ198:$BT198,,AH198)*(1-AF198)+INDEX(Models!$BJ198:$BT198,,AH198+1)*AF198-ERP_i)*AE198*Ramure*Pc/MaxiM</f>
        <v>3.7027805630334528E-5</v>
      </c>
      <c r="AE198" s="304">
        <f t="shared" si="62"/>
        <v>0.6</v>
      </c>
      <c r="AF198" s="177">
        <f t="shared" si="63"/>
        <v>0.35911185748038543</v>
      </c>
      <c r="AG198" s="176">
        <f t="shared" si="64"/>
        <v>-1</v>
      </c>
      <c r="AH198" s="176">
        <f t="shared" si="65"/>
        <v>5</v>
      </c>
      <c r="AI198" s="224">
        <f t="shared" si="66"/>
        <v>-0.64088814251961457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44.774000000000001</v>
      </c>
      <c r="C199" s="388"/>
      <c r="D199" s="391">
        <f t="shared" si="48"/>
        <v>45.234573733165277</v>
      </c>
      <c r="E199" s="383">
        <f t="shared" si="73"/>
        <v>47.141235672086829</v>
      </c>
      <c r="F199" s="383">
        <f t="shared" si="49"/>
        <v>47.142405951935856</v>
      </c>
      <c r="G199" s="110">
        <f t="shared" si="74"/>
        <v>0.7562150353858631</v>
      </c>
      <c r="H199" s="412" t="b">
        <f>Wh_hp&gt;='2019'!Maxi_hp</f>
        <v>0</v>
      </c>
      <c r="I199" s="388">
        <f>IF(H199,Wh_hp,'2019'!Maxi_hp)</f>
        <v>58.082093863284776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1.0181896172652305E-2</v>
      </c>
      <c r="M199" s="832"/>
      <c r="N199" s="832"/>
      <c r="O199" s="48">
        <f>IF(t&lt;Tnet,'2019'!Resal+('2019'!Salim-'2019'!Resal)*(1-EXP(('2019'!Tnet-t)/('2019'!Tau_j))),Resal+(Salim-Resal)*(1-EXP((Tnet-t)/(Tau_j))))*Salcycl</f>
        <v>4.0445735283314209E-2</v>
      </c>
      <c r="P199" s="169">
        <f>(INDEX(Models!$BJ199:$BT199,,T199)*(1-R199)+INDEX(Models!$BJ199:$BT199,,T199+1)*R199-ERP_i)*Q199*Ramure*Pc/MaxiM</f>
        <v>3.808876406192572E-5</v>
      </c>
      <c r="Q199" s="304">
        <f t="shared" si="51"/>
        <v>0.6</v>
      </c>
      <c r="R199" s="177">
        <f t="shared" si="52"/>
        <v>0.36322233770434253</v>
      </c>
      <c r="S199" s="799">
        <f t="shared" si="53"/>
        <v>-1</v>
      </c>
      <c r="T199" s="176">
        <f t="shared" si="54"/>
        <v>5</v>
      </c>
      <c r="U199" s="250">
        <f t="shared" si="55"/>
        <v>-0.63677766229565747</v>
      </c>
      <c r="V199" s="382">
        <f t="shared" si="56"/>
        <v>59.207241313029321</v>
      </c>
      <c r="W199" s="58"/>
      <c r="X199" s="157">
        <f t="shared" si="57"/>
        <v>44015</v>
      </c>
      <c r="Y199" s="383">
        <f t="shared" si="58"/>
        <v>44.774000000000001</v>
      </c>
      <c r="Z199" s="383">
        <f t="shared" si="59"/>
        <v>45.234573733165277</v>
      </c>
      <c r="AA199" s="384">
        <f t="shared" si="60"/>
        <v>47.141235672086829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4.0445735283314209E-2</v>
      </c>
      <c r="AD199" s="230">
        <f>(INDEX(Models!$BJ199:$BT199,,AH199)*(1-AF199)+INDEX(Models!$BJ199:$BT199,,AH199+1)*AF199-ERP_i)*AE199*Ramure*Pc/MaxiM</f>
        <v>3.808876406192572E-5</v>
      </c>
      <c r="AE199" s="304">
        <f t="shared" si="62"/>
        <v>0.6</v>
      </c>
      <c r="AF199" s="177">
        <f t="shared" si="63"/>
        <v>0.36322233770434253</v>
      </c>
      <c r="AG199" s="176">
        <f t="shared" si="64"/>
        <v>-1</v>
      </c>
      <c r="AH199" s="176">
        <f t="shared" si="65"/>
        <v>5</v>
      </c>
      <c r="AI199" s="224">
        <f t="shared" si="66"/>
        <v>-0.63677766229565747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58.3</v>
      </c>
      <c r="C200" s="388"/>
      <c r="D200" s="391">
        <f t="shared" si="48"/>
        <v>58.900839560500025</v>
      </c>
      <c r="E200" s="383">
        <f t="shared" si="73"/>
        <v>61.387811560414924</v>
      </c>
      <c r="F200" s="383">
        <f t="shared" si="49"/>
        <v>61.390169549077257</v>
      </c>
      <c r="G200" s="110">
        <f t="shared" si="74"/>
        <v>0.98595951455300423</v>
      </c>
      <c r="H200" s="412" t="b">
        <f>Wh_hp&gt;='2019'!Maxi_hp</f>
        <v>1</v>
      </c>
      <c r="I200" s="388">
        <f>IF(H200,Wh_hp,'2019'!Maxi_hp)</f>
        <v>61.390169549077257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1.0200865810798376E-2</v>
      </c>
      <c r="M200" s="832"/>
      <c r="N200" s="832"/>
      <c r="O200" s="48">
        <f>IF(t&lt;Tnet,'2019'!Resal+('2019'!Salim-'2019'!Resal)*(1-EXP(('2019'!Tnet-t)/('2019'!Tau_j))),Resal+(Salim-Resal)*(1-EXP((Tnet-t)/(Tau_j))))*Salcycl</f>
        <v>4.0512472047767117E-2</v>
      </c>
      <c r="P200" s="169">
        <f>(INDEX(Models!$BJ200:$BT200,,T200)*(1-R200)+INDEX(Models!$BJ200:$BT200,,T200+1)*R200-ERP_i)*Q200*Ramure*Pc/MaxiM</f>
        <v>3.9196017662177556E-5</v>
      </c>
      <c r="Q200" s="304">
        <f t="shared" si="51"/>
        <v>0.6</v>
      </c>
      <c r="R200" s="177">
        <f t="shared" si="52"/>
        <v>0.36725639606431637</v>
      </c>
      <c r="S200" s="799">
        <f t="shared" si="53"/>
        <v>-1</v>
      </c>
      <c r="T200" s="176">
        <f t="shared" si="54"/>
        <v>5</v>
      </c>
      <c r="U200" s="250">
        <f t="shared" si="55"/>
        <v>-0.63274360393568363</v>
      </c>
      <c r="V200" s="382">
        <f t="shared" si="56"/>
        <v>59.130170463927016</v>
      </c>
      <c r="W200" s="58"/>
      <c r="X200" s="157">
        <f t="shared" si="57"/>
        <v>44016</v>
      </c>
      <c r="Y200" s="383">
        <f t="shared" si="58"/>
        <v>58.3</v>
      </c>
      <c r="Z200" s="383">
        <f t="shared" si="59"/>
        <v>58.900839560500025</v>
      </c>
      <c r="AA200" s="384">
        <f t="shared" si="60"/>
        <v>61.387811560414924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4.0512472047767117E-2</v>
      </c>
      <c r="AD200" s="230">
        <f>(INDEX(Models!$BJ200:$BT200,,AH200)*(1-AF200)+INDEX(Models!$BJ200:$BT200,,AH200+1)*AF200-ERP_i)*AE200*Ramure*Pc/MaxiM</f>
        <v>3.9196017662177556E-5</v>
      </c>
      <c r="AE200" s="304">
        <f t="shared" si="62"/>
        <v>0.6</v>
      </c>
      <c r="AF200" s="177">
        <f t="shared" si="63"/>
        <v>0.36725639606431637</v>
      </c>
      <c r="AG200" s="176">
        <f t="shared" si="64"/>
        <v>-1</v>
      </c>
      <c r="AH200" s="176">
        <f t="shared" si="65"/>
        <v>5</v>
      </c>
      <c r="AI200" s="224">
        <f t="shared" si="66"/>
        <v>-0.63274360393568363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57.863999999999997</v>
      </c>
      <c r="C201" s="388"/>
      <c r="D201" s="391">
        <f t="shared" si="48"/>
        <v>58.46146654696031</v>
      </c>
      <c r="E201" s="383">
        <f t="shared" si="73"/>
        <v>60.934087803552913</v>
      </c>
      <c r="F201" s="383">
        <f t="shared" si="49"/>
        <v>60.936475957669771</v>
      </c>
      <c r="G201" s="110">
        <f t="shared" si="74"/>
        <v>0.97988619794613452</v>
      </c>
      <c r="H201" s="412" t="b">
        <f>Wh_hp&gt;='2019'!Maxi_hp</f>
        <v>1</v>
      </c>
      <c r="I201" s="388">
        <f>IF(H201,Wh_hp,'2019'!Maxi_hp)</f>
        <v>60.936475957669771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1.0219835085395701E-2</v>
      </c>
      <c r="M201" s="832"/>
      <c r="N201" s="832"/>
      <c r="O201" s="48">
        <f>IF(t&lt;Tnet,'2019'!Resal+('2019'!Salim-'2019'!Resal)*(1-EXP(('2019'!Tnet-t)/('2019'!Tau_j))),Resal+(Salim-Resal)*(1-EXP((Tnet-t)/(Tau_j))))*Salcycl</f>
        <v>4.0578621026774855E-2</v>
      </c>
      <c r="P201" s="169">
        <f>(INDEX(Models!$BJ201:$BT201,,T201)*(1-R201)+INDEX(Models!$BJ201:$BT201,,T201+1)*R201-ERP_i)*Q201*Ramure*Pc/MaxiM</f>
        <v>4.0350238380019166E-5</v>
      </c>
      <c r="Q201" s="304">
        <f t="shared" si="51"/>
        <v>0.6</v>
      </c>
      <c r="R201" s="177">
        <f t="shared" si="52"/>
        <v>0.37121283352544254</v>
      </c>
      <c r="S201" s="799">
        <f t="shared" si="53"/>
        <v>-1</v>
      </c>
      <c r="T201" s="176">
        <f t="shared" si="54"/>
        <v>5</v>
      </c>
      <c r="U201" s="250">
        <f t="shared" si="55"/>
        <v>-0.62878716647455746</v>
      </c>
      <c r="V201" s="382">
        <f t="shared" si="56"/>
        <v>59.051686852556628</v>
      </c>
      <c r="W201" s="58"/>
      <c r="X201" s="157">
        <f t="shared" si="57"/>
        <v>44017</v>
      </c>
      <c r="Y201" s="383">
        <f t="shared" si="58"/>
        <v>57.863999999999997</v>
      </c>
      <c r="Z201" s="383">
        <f t="shared" si="59"/>
        <v>58.46146654696031</v>
      </c>
      <c r="AA201" s="384">
        <f t="shared" si="60"/>
        <v>60.934087803552913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4.0578621026774855E-2</v>
      </c>
      <c r="AD201" s="230">
        <f>(INDEX(Models!$BJ201:$BT201,,AH201)*(1-AF201)+INDEX(Models!$BJ201:$BT201,,AH201+1)*AF201-ERP_i)*AE201*Ramure*Pc/MaxiM</f>
        <v>4.0350238380019166E-5</v>
      </c>
      <c r="AE201" s="304">
        <f t="shared" si="62"/>
        <v>0.6</v>
      </c>
      <c r="AF201" s="177">
        <f t="shared" si="63"/>
        <v>0.37121283352544254</v>
      </c>
      <c r="AG201" s="176">
        <f t="shared" si="64"/>
        <v>-1</v>
      </c>
      <c r="AH201" s="176">
        <f t="shared" si="65"/>
        <v>5</v>
      </c>
      <c r="AI201" s="224">
        <f t="shared" si="66"/>
        <v>-0.62878716647455746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40.103999999999999</v>
      </c>
      <c r="C202" s="388"/>
      <c r="D202" s="391">
        <f t="shared" si="48"/>
        <v>40.518864713965009</v>
      </c>
      <c r="E202" s="383">
        <f t="shared" si="73"/>
        <v>42.235492431938312</v>
      </c>
      <c r="F202" s="383">
        <f t="shared" si="49"/>
        <v>42.236445288169605</v>
      </c>
      <c r="G202" s="110">
        <f t="shared" si="74"/>
        <v>0.6800410587543595</v>
      </c>
      <c r="H202" s="412" t="b">
        <f>Wh_hp&gt;='2019'!Maxi_hp</f>
        <v>0</v>
      </c>
      <c r="I202" s="388">
        <f>IF(H202,Wh_hp,'2019'!Maxi_hp)</f>
        <v>52.209461295007706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1.0238803996451162E-2</v>
      </c>
      <c r="M202" s="832"/>
      <c r="N202" s="832"/>
      <c r="O202" s="48">
        <f>IF(t&lt;Tnet,'2019'!Resal+('2019'!Salim-'2019'!Resal)*(1-EXP(('2019'!Tnet-t)/('2019'!Tau_j))),Resal+(Salim-Resal)*(1-EXP((Tnet-t)/(Tau_j))))*Salcycl</f>
        <v>4.0644198022305907E-2</v>
      </c>
      <c r="P202" s="169">
        <f>(INDEX(Models!$BJ202:$BT202,,T202)*(1-R202)+INDEX(Models!$BJ202:$BT202,,T202+1)*R202-ERP_i)*Q202*Ramure*Pc/MaxiM</f>
        <v>4.1552081083542649E-5</v>
      </c>
      <c r="Q202" s="304">
        <f t="shared" si="51"/>
        <v>0.6</v>
      </c>
      <c r="R202" s="177">
        <f t="shared" si="52"/>
        <v>0.37509062524048209</v>
      </c>
      <c r="S202" s="799">
        <f t="shared" si="53"/>
        <v>-1</v>
      </c>
      <c r="T202" s="176">
        <f t="shared" si="54"/>
        <v>5</v>
      </c>
      <c r="U202" s="250">
        <f t="shared" si="55"/>
        <v>-0.62490937475951791</v>
      </c>
      <c r="V202" s="382">
        <f t="shared" si="56"/>
        <v>58.971789732487338</v>
      </c>
      <c r="W202" s="58"/>
      <c r="X202" s="157">
        <f t="shared" si="57"/>
        <v>44018</v>
      </c>
      <c r="Y202" s="383">
        <f t="shared" si="58"/>
        <v>40.103999999999999</v>
      </c>
      <c r="Z202" s="383">
        <f t="shared" si="59"/>
        <v>40.518864713965009</v>
      </c>
      <c r="AA202" s="384">
        <f t="shared" si="60"/>
        <v>42.235492431938312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4.0644198022305907E-2</v>
      </c>
      <c r="AD202" s="230">
        <f>(INDEX(Models!$BJ202:$BT202,,AH202)*(1-AF202)+INDEX(Models!$BJ202:$BT202,,AH202+1)*AF202-ERP_i)*AE202*Ramure*Pc/MaxiM</f>
        <v>4.1552081083542649E-5</v>
      </c>
      <c r="AE202" s="304">
        <f t="shared" si="62"/>
        <v>0.6</v>
      </c>
      <c r="AF202" s="177">
        <f t="shared" si="63"/>
        <v>0.37509062524048209</v>
      </c>
      <c r="AG202" s="176">
        <f t="shared" si="64"/>
        <v>-1</v>
      </c>
      <c r="AH202" s="176">
        <f t="shared" si="65"/>
        <v>5</v>
      </c>
      <c r="AI202" s="224">
        <f t="shared" si="66"/>
        <v>-0.62490937475951791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59.982999999999997</v>
      </c>
      <c r="C203" s="388"/>
      <c r="D203" s="391">
        <f t="shared" si="48"/>
        <v>60.604668908768865</v>
      </c>
      <c r="E203" s="383">
        <f t="shared" si="73"/>
        <v>63.176536409218748</v>
      </c>
      <c r="F203" s="383">
        <f t="shared" si="49"/>
        <v>63.179240618782657</v>
      </c>
      <c r="G203" s="110">
        <f t="shared" si="74"/>
        <v>1.0185517544472629</v>
      </c>
      <c r="H203" s="412" t="b">
        <f>Wh_hp&gt;='2019'!Maxi_hp</f>
        <v>1</v>
      </c>
      <c r="I203" s="388">
        <f>IF(H203,Wh_hp,'2019'!Maxi_hp)</f>
        <v>63.179240618782657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1.0257772543971755E-2</v>
      </c>
      <c r="M203" s="832"/>
      <c r="N203" s="832"/>
      <c r="O203" s="48">
        <f>IF(t&lt;Tnet,'2019'!Resal+('2019'!Salim-'2019'!Resal)*(1-EXP(('2019'!Tnet-t)/('2019'!Tau_j))),Resal+(Salim-Resal)*(1-EXP((Tnet-t)/(Tau_j))))*Salcycl</f>
        <v>4.0709219698131335E-2</v>
      </c>
      <c r="P203" s="169">
        <f>(INDEX(Models!$BJ203:$BT203,,T203)*(1-R203)+INDEX(Models!$BJ203:$BT203,,T203+1)*R203-ERP_i)*Q203*Ramure*Pc/MaxiM</f>
        <v>4.280218529728539E-5</v>
      </c>
      <c r="Q203" s="304">
        <f t="shared" si="51"/>
        <v>0.6</v>
      </c>
      <c r="R203" s="177">
        <f t="shared" si="52"/>
        <v>0.3788889168060845</v>
      </c>
      <c r="S203" s="799">
        <f t="shared" si="53"/>
        <v>-1</v>
      </c>
      <c r="T203" s="176">
        <f t="shared" si="54"/>
        <v>5</v>
      </c>
      <c r="U203" s="250">
        <f t="shared" si="55"/>
        <v>-0.6211110831939155</v>
      </c>
      <c r="V203" s="382">
        <f t="shared" si="56"/>
        <v>58.89047830716364</v>
      </c>
      <c r="W203" s="58"/>
      <c r="X203" s="157">
        <f t="shared" si="57"/>
        <v>44019</v>
      </c>
      <c r="Y203" s="383">
        <f t="shared" si="58"/>
        <v>59.982999999999997</v>
      </c>
      <c r="Z203" s="383">
        <f t="shared" si="59"/>
        <v>60.604668908768865</v>
      </c>
      <c r="AA203" s="384">
        <f t="shared" si="60"/>
        <v>63.176536409218748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4.0709219698131335E-2</v>
      </c>
      <c r="AD203" s="230">
        <f>(INDEX(Models!$BJ203:$BT203,,AH203)*(1-AF203)+INDEX(Models!$BJ203:$BT203,,AH203+1)*AF203-ERP_i)*AE203*Ramure*Pc/MaxiM</f>
        <v>4.280218529728539E-5</v>
      </c>
      <c r="AE203" s="304">
        <f t="shared" si="62"/>
        <v>0.6</v>
      </c>
      <c r="AF203" s="177">
        <f t="shared" si="63"/>
        <v>0.3788889168060845</v>
      </c>
      <c r="AG203" s="176">
        <f t="shared" si="64"/>
        <v>-1</v>
      </c>
      <c r="AH203" s="176">
        <f t="shared" si="65"/>
        <v>5</v>
      </c>
      <c r="AI203" s="224">
        <f t="shared" si="66"/>
        <v>-0.6211110831939155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58.048000000000002</v>
      </c>
      <c r="C204" s="388"/>
      <c r="D204" s="391">
        <f t="shared" si="48"/>
        <v>58.650738432373153</v>
      </c>
      <c r="E204" s="383">
        <f t="shared" si="73"/>
        <v>61.143797500086954</v>
      </c>
      <c r="F204" s="383">
        <f t="shared" si="49"/>
        <v>61.146444361076334</v>
      </c>
      <c r="G204" s="110">
        <f t="shared" si="74"/>
        <v>0.98707995184646347</v>
      </c>
      <c r="H204" s="412" t="b">
        <f>Wh_hp&gt;='2019'!Maxi_hp</f>
        <v>1</v>
      </c>
      <c r="I204" s="388">
        <f>IF(H204,Wh_hp,'2019'!Maxi_hp)</f>
        <v>61.146444361076334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1.0276740727964362E-2</v>
      </c>
      <c r="M204" s="832"/>
      <c r="N204" s="832"/>
      <c r="O204" s="48">
        <f>IF(t&lt;Tnet,'2019'!Resal+('2019'!Salim-'2019'!Resal)*(1-EXP(('2019'!Tnet-t)/('2019'!Tau_j))),Resal+(Salim-Resal)*(1-EXP((Tnet-t)/(Tau_j))))*Salcycl</f>
        <v>4.0773703460441055E-2</v>
      </c>
      <c r="P204" s="169">
        <f>(INDEX(Models!$BJ204:$BT204,,T204)*(1-R204)+INDEX(Models!$BJ204:$BT204,,T204+1)*R204-ERP_i)*Q204*Ramure*Pc/MaxiM</f>
        <v>4.4101177037145716E-5</v>
      </c>
      <c r="Q204" s="304">
        <f t="shared" si="51"/>
        <v>0.6</v>
      </c>
      <c r="R204" s="177">
        <f t="shared" si="52"/>
        <v>0.38260701993153656</v>
      </c>
      <c r="S204" s="799">
        <f t="shared" si="53"/>
        <v>-1</v>
      </c>
      <c r="T204" s="176">
        <f t="shared" si="54"/>
        <v>5</v>
      </c>
      <c r="U204" s="250">
        <f t="shared" si="55"/>
        <v>-0.61739298006846344</v>
      </c>
      <c r="V204" s="382">
        <f t="shared" si="56"/>
        <v>58.807751734922192</v>
      </c>
      <c r="W204" s="58"/>
      <c r="X204" s="157">
        <f t="shared" si="57"/>
        <v>44020</v>
      </c>
      <c r="Y204" s="383">
        <f t="shared" si="58"/>
        <v>58.048000000000002</v>
      </c>
      <c r="Z204" s="383">
        <f t="shared" si="59"/>
        <v>58.650738432373153</v>
      </c>
      <c r="AA204" s="384">
        <f t="shared" si="60"/>
        <v>61.143797500086954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4.0773703460441055E-2</v>
      </c>
      <c r="AD204" s="230">
        <f>(INDEX(Models!$BJ204:$BT204,,AH204)*(1-AF204)+INDEX(Models!$BJ204:$BT204,,AH204+1)*AF204-ERP_i)*AE204*Ramure*Pc/MaxiM</f>
        <v>4.4101177037145716E-5</v>
      </c>
      <c r="AE204" s="304">
        <f t="shared" si="62"/>
        <v>0.6</v>
      </c>
      <c r="AF204" s="177">
        <f t="shared" si="63"/>
        <v>0.38260701993153656</v>
      </c>
      <c r="AG204" s="176">
        <f t="shared" si="64"/>
        <v>-1</v>
      </c>
      <c r="AH204" s="176">
        <f t="shared" si="65"/>
        <v>5</v>
      </c>
      <c r="AI204" s="224">
        <f t="shared" si="66"/>
        <v>-0.61739298006846344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54.444000000000003</v>
      </c>
      <c r="C205" s="388"/>
      <c r="D205" s="391">
        <f t="shared" si="48"/>
        <v>55.010370744324995</v>
      </c>
      <c r="E205" s="383">
        <f t="shared" si="73"/>
        <v>57.352513616315136</v>
      </c>
      <c r="F205" s="383">
        <f t="shared" si="49"/>
        <v>57.354848940580823</v>
      </c>
      <c r="G205" s="110">
        <f t="shared" si="74"/>
        <v>0.92711133606255647</v>
      </c>
      <c r="H205" s="412" t="b">
        <f>Wh_hp&gt;='2019'!Maxi_hp</f>
        <v>0</v>
      </c>
      <c r="I205" s="388">
        <f>IF(H205,Wh_hp,'2019'!Maxi_hp)</f>
        <v>60.131672275516188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1.02957085484362E-2</v>
      </c>
      <c r="M205" s="832"/>
      <c r="N205" s="832"/>
      <c r="O205" s="48">
        <f>IF(t&lt;Tnet,'2019'!Resal+('2019'!Salim-'2019'!Resal)*(1-EXP(('2019'!Tnet-t)/('2019'!Tau_j))),Resal+(Salim-Resal)*(1-EXP((Tnet-t)/(Tau_j))))*Salcycl</f>
        <v>4.0837667336761252E-2</v>
      </c>
      <c r="P205" s="169">
        <f>(INDEX(Models!$BJ205:$BT205,,T205)*(1-R205)+INDEX(Models!$BJ205:$BT205,,T205+1)*R205-ERP_i)*Q205*Ramure*Pc/MaxiM</f>
        <v>4.5449321258203035E-5</v>
      </c>
      <c r="Q205" s="304">
        <f t="shared" si="51"/>
        <v>0.6</v>
      </c>
      <c r="R205" s="177">
        <f t="shared" si="52"/>
        <v>0.38624440757936529</v>
      </c>
      <c r="S205" s="799">
        <f t="shared" si="53"/>
        <v>-1</v>
      </c>
      <c r="T205" s="176">
        <f t="shared" si="54"/>
        <v>5</v>
      </c>
      <c r="U205" s="250">
        <f t="shared" si="55"/>
        <v>-0.61375559242063471</v>
      </c>
      <c r="V205" s="382">
        <f t="shared" si="56"/>
        <v>58.724060672977473</v>
      </c>
      <c r="W205" s="58"/>
      <c r="X205" s="157">
        <f t="shared" si="57"/>
        <v>44021</v>
      </c>
      <c r="Y205" s="383">
        <f t="shared" si="58"/>
        <v>54.444000000000003</v>
      </c>
      <c r="Z205" s="383">
        <f t="shared" si="59"/>
        <v>55.010370744324995</v>
      </c>
      <c r="AA205" s="384">
        <f t="shared" si="60"/>
        <v>57.352513616315136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4.0837667336761252E-2</v>
      </c>
      <c r="AD205" s="230">
        <f>(INDEX(Models!$BJ205:$BT205,,AH205)*(1-AF205)+INDEX(Models!$BJ205:$BT205,,AH205+1)*AF205-ERP_i)*AE205*Ramure*Pc/MaxiM</f>
        <v>4.5449321258203035E-5</v>
      </c>
      <c r="AE205" s="304">
        <f t="shared" si="62"/>
        <v>0.6</v>
      </c>
      <c r="AF205" s="177">
        <f t="shared" si="63"/>
        <v>0.38624440757936529</v>
      </c>
      <c r="AG205" s="176">
        <f t="shared" si="64"/>
        <v>-1</v>
      </c>
      <c r="AH205" s="176">
        <f t="shared" si="65"/>
        <v>5</v>
      </c>
      <c r="AI205" s="224">
        <f t="shared" si="66"/>
        <v>-0.61375559242063471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46.033999999999999</v>
      </c>
      <c r="C206" s="388"/>
      <c r="D206" s="391">
        <f t="shared" si="48"/>
        <v>46.513774513898817</v>
      </c>
      <c r="E206" s="383">
        <f t="shared" si="73"/>
        <v>48.49737181613218</v>
      </c>
      <c r="F206" s="383">
        <f t="shared" si="49"/>
        <v>48.49894736541745</v>
      </c>
      <c r="G206" s="110">
        <f t="shared" si="74"/>
        <v>0.78501980415190287</v>
      </c>
      <c r="H206" s="412" t="b">
        <f>Wh_hp&gt;='2019'!Maxi_hp</f>
        <v>0</v>
      </c>
      <c r="I206" s="388">
        <f>IF(H206,Wh_hp,'2019'!Maxi_hp)</f>
        <v>60.983970970198122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1.0314676005394041E-2</v>
      </c>
      <c r="M206" s="832"/>
      <c r="N206" s="832"/>
      <c r="O206" s="48">
        <f>IF(t&lt;Tnet,'2019'!Resal+('2019'!Salim-'2019'!Resal)*(1-EXP(('2019'!Tnet-t)/('2019'!Tau_j))),Resal+(Salim-Resal)*(1-EXP((Tnet-t)/(Tau_j))))*Salcycl</f>
        <v>4.0901129854082938E-2</v>
      </c>
      <c r="P206" s="169">
        <f>(INDEX(Models!$BJ206:$BT206,,T206)*(1-R206)+INDEX(Models!$BJ206:$BT206,,T206+1)*R206-ERP_i)*Q206*Ramure*Pc/MaxiM</f>
        <v>4.6884374616672644E-5</v>
      </c>
      <c r="Q206" s="304">
        <f t="shared" si="51"/>
        <v>0.6</v>
      </c>
      <c r="R206" s="177">
        <f t="shared" si="52"/>
        <v>0.38980070863772953</v>
      </c>
      <c r="S206" s="799">
        <f t="shared" si="53"/>
        <v>-1</v>
      </c>
      <c r="T206" s="176">
        <f t="shared" si="54"/>
        <v>5</v>
      </c>
      <c r="U206" s="250">
        <f t="shared" si="55"/>
        <v>-0.61019929136227047</v>
      </c>
      <c r="V206" s="382">
        <f t="shared" si="56"/>
        <v>58.639714478629223</v>
      </c>
      <c r="W206" s="58"/>
      <c r="X206" s="157">
        <f t="shared" si="57"/>
        <v>44022</v>
      </c>
      <c r="Y206" s="383">
        <f t="shared" si="58"/>
        <v>46.033999999999999</v>
      </c>
      <c r="Z206" s="383">
        <f t="shared" si="59"/>
        <v>46.513774513898817</v>
      </c>
      <c r="AA206" s="384">
        <f t="shared" si="60"/>
        <v>48.49737181613218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4.0901129854082938E-2</v>
      </c>
      <c r="AD206" s="230">
        <f>(INDEX(Models!$BJ206:$BT206,,AH206)*(1-AF206)+INDEX(Models!$BJ206:$BT206,,AH206+1)*AF206-ERP_i)*AE206*Ramure*Pc/MaxiM</f>
        <v>4.6884374616672644E-5</v>
      </c>
      <c r="AE206" s="304">
        <f t="shared" si="62"/>
        <v>0.6</v>
      </c>
      <c r="AF206" s="177">
        <f t="shared" si="63"/>
        <v>0.38980070863772953</v>
      </c>
      <c r="AG206" s="176">
        <f t="shared" si="64"/>
        <v>-1</v>
      </c>
      <c r="AH206" s="176">
        <f t="shared" si="65"/>
        <v>5</v>
      </c>
      <c r="AI206" s="224">
        <f t="shared" si="66"/>
        <v>-0.61019929136227047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47.225999999999999</v>
      </c>
      <c r="C207" s="388"/>
      <c r="D207" s="391">
        <f t="shared" ref="D207:D270" si="75">Wh/(1-Ppv)</f>
        <v>47.719112275246097</v>
      </c>
      <c r="E207" s="383">
        <f t="shared" si="73"/>
        <v>49.757379018549102</v>
      </c>
      <c r="F207" s="383">
        <f t="shared" ref="F207:F270" si="76">Wh_sa/(1-Pvg*MEDIAN((-Sdif+Wh/Env_an)/Csdif,0,1))</f>
        <v>49.759120685023632</v>
      </c>
      <c r="G207" s="110">
        <f t="shared" si="74"/>
        <v>0.80651980535833423</v>
      </c>
      <c r="H207" s="412" t="b">
        <f>Wh_hp&gt;='2019'!Maxi_hp</f>
        <v>0</v>
      </c>
      <c r="I207" s="388">
        <f>IF(H207,Wh_hp,'2019'!Maxi_hp)</f>
        <v>61.397076269848142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1.033364309884488E-2</v>
      </c>
      <c r="M207" s="832"/>
      <c r="N207" s="832"/>
      <c r="O207" s="48">
        <f>IF(t&lt;Tnet,'2019'!Resal+('2019'!Salim-'2019'!Resal)*(1-EXP(('2019'!Tnet-t)/('2019'!Tau_j))),Resal+(Salim-Resal)*(1-EXP((Tnet-t)/(Tau_j))))*Salcycl</f>
        <v>4.0964109917107097E-2</v>
      </c>
      <c r="P207" s="169">
        <f>(INDEX(Models!$BJ207:$BT207,,T207)*(1-R207)+INDEX(Models!$BJ207:$BT207,,T207+1)*R207-ERP_i)*Q207*Ramure*Pc/MaxiM</f>
        <v>4.8370954622090842E-5</v>
      </c>
      <c r="Q207" s="304">
        <f t="shared" ref="Q207:Q270" si="78">IF(OR(t&lt;Ttai,Notai),Dd+PousD*Croivg,Dens+PousD*(Croivg-Croi_tai))</f>
        <v>0.6</v>
      </c>
      <c r="R207" s="177">
        <f t="shared" ref="R207:R270" si="79">(Hp_vg-S207)/(INDEX(Echel_vg,T207+1)-S207)</f>
        <v>0.39327570218444774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-0.60672429781555226</v>
      </c>
      <c r="V207" s="382">
        <f t="shared" ref="V207:V270" si="83">MaxiM*(1-Ppv)*(1-Pvg)*(1-Psa)</f>
        <v>58.554505791106926</v>
      </c>
      <c r="W207" s="58"/>
      <c r="X207" s="157">
        <f t="shared" ref="X207:X270" si="84">t</f>
        <v>44023</v>
      </c>
      <c r="Y207" s="383">
        <f t="shared" ref="Y207:Y270" si="85">Wh_pvt_s*(1-Ppv)</f>
        <v>47.225999999999999</v>
      </c>
      <c r="Z207" s="383">
        <f t="shared" ref="Z207:Z270" si="86">Wh_sa_s*(1-Psa_s)</f>
        <v>47.719112275246097</v>
      </c>
      <c r="AA207" s="384">
        <f t="shared" ref="AA207:AA270" si="87">Wh_hp*(1-Pvg_s*MEDIAN((-Sdif+Wh/Env_an)/Csdif,0,1))</f>
        <v>49.757379018549102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4.0964109917107097E-2</v>
      </c>
      <c r="AD207" s="230">
        <f>(INDEX(Models!$BJ207:$BT207,,AH207)*(1-AF207)+INDEX(Models!$BJ207:$BT207,,AH207+1)*AF207-ERP_i)*AE207*Ramure*Pc/MaxiM</f>
        <v>4.8370954622090842E-5</v>
      </c>
      <c r="AE207" s="304">
        <f t="shared" ref="AE207:AE270" si="89">IF(OR(t&lt;Ttai,Notai),Dd_s+PousD*Croivg,Dens_s+PousD*(Croivg-Croi_tai))</f>
        <v>0.6</v>
      </c>
      <c r="AF207" s="177">
        <f t="shared" ref="AF207:AF270" si="90">(Hp_vg_s-AG207)/(INDEX(Echel_vg,AH207+1)-AG207)</f>
        <v>0.39327570218444774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-0.60672429781555226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38.625999999999998</v>
      </c>
      <c r="C208" s="388"/>
      <c r="D208" s="391">
        <f t="shared" si="75"/>
        <v>39.030063013977013</v>
      </c>
      <c r="E208" s="383">
        <f t="shared" si="73"/>
        <v>40.699840162567583</v>
      </c>
      <c r="F208" s="383">
        <f t="shared" si="76"/>
        <v>40.700886700196349</v>
      </c>
      <c r="G208" s="110">
        <f t="shared" si="74"/>
        <v>0.66061634715252793</v>
      </c>
      <c r="H208" s="412" t="b">
        <f>Wh_hp&gt;='2019'!Maxi_hp</f>
        <v>0</v>
      </c>
      <c r="I208" s="388">
        <f>IF(H208,Wh_hp,'2019'!Maxi_hp)</f>
        <v>53.678698874330564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1.0352609828795711E-2</v>
      </c>
      <c r="M208" s="832"/>
      <c r="N208" s="832"/>
      <c r="O208" s="48">
        <f>IF(t&lt;Tnet,'2019'!Resal+('2019'!Salim-'2019'!Resal)*(1-EXP(('2019'!Tnet-t)/('2019'!Tau_j))),Resal+(Salim-Resal)*(1-EXP((Tnet-t)/(Tau_j))))*Salcycl</f>
        <v>4.1026626687499672E-2</v>
      </c>
      <c r="P208" s="169">
        <f>(INDEX(Models!$BJ208:$BT208,,T208)*(1-R208)+INDEX(Models!$BJ208:$BT208,,T208+1)*R208-ERP_i)*Q208*Ramure*Pc/MaxiM</f>
        <v>4.9909630703718126E-5</v>
      </c>
      <c r="Q208" s="304">
        <f t="shared" si="78"/>
        <v>0.6</v>
      </c>
      <c r="R208" s="177">
        <f t="shared" si="79"/>
        <v>0.39666931140179318</v>
      </c>
      <c r="S208" s="799">
        <f t="shared" si="80"/>
        <v>-1</v>
      </c>
      <c r="T208" s="176">
        <f t="shared" si="81"/>
        <v>5</v>
      </c>
      <c r="U208" s="250">
        <f t="shared" si="82"/>
        <v>-0.60333068859820682</v>
      </c>
      <c r="V208" s="382">
        <f t="shared" si="83"/>
        <v>58.468225195067262</v>
      </c>
      <c r="W208" s="58"/>
      <c r="X208" s="157">
        <f t="shared" si="84"/>
        <v>44024</v>
      </c>
      <c r="Y208" s="383">
        <f t="shared" si="85"/>
        <v>38.625999999999998</v>
      </c>
      <c r="Z208" s="383">
        <f t="shared" si="86"/>
        <v>39.030063013977013</v>
      </c>
      <c r="AA208" s="384">
        <f t="shared" si="87"/>
        <v>40.699840162567583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4.1026626687499672E-2</v>
      </c>
      <c r="AD208" s="230">
        <f>(INDEX(Models!$BJ208:$BT208,,AH208)*(1-AF208)+INDEX(Models!$BJ208:$BT208,,AH208+1)*AF208-ERP_i)*AE208*Ramure*Pc/MaxiM</f>
        <v>4.9909630703718126E-5</v>
      </c>
      <c r="AE208" s="304">
        <f t="shared" si="89"/>
        <v>0.6</v>
      </c>
      <c r="AF208" s="177">
        <f t="shared" si="90"/>
        <v>0.39666931140179318</v>
      </c>
      <c r="AG208" s="176">
        <f t="shared" si="91"/>
        <v>-1</v>
      </c>
      <c r="AH208" s="176">
        <f t="shared" si="92"/>
        <v>5</v>
      </c>
      <c r="AI208" s="224">
        <f t="shared" si="93"/>
        <v>-0.60333068859820682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57.844999999999999</v>
      </c>
      <c r="C209" s="388"/>
      <c r="D209" s="391">
        <f t="shared" si="75"/>
        <v>58.451231400173292</v>
      </c>
      <c r="E209" s="383">
        <f t="shared" si="73"/>
        <v>60.955827058836036</v>
      </c>
      <c r="F209" s="383">
        <f t="shared" si="76"/>
        <v>60.958925353372848</v>
      </c>
      <c r="G209" s="110">
        <f t="shared" si="74"/>
        <v>0.99082397558762647</v>
      </c>
      <c r="H209" s="412" t="b">
        <f>Wh_hp&gt;='2019'!Maxi_hp</f>
        <v>0</v>
      </c>
      <c r="I209" s="388">
        <f>IF(H209,Wh_hp,'2019'!Maxi_hp)</f>
        <v>61.162094530225126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1.0371576195253529E-2</v>
      </c>
      <c r="M209" s="832"/>
      <c r="N209" s="832"/>
      <c r="O209" s="48">
        <f>IF(t&lt;Tnet,'2019'!Resal+('2019'!Salim-'2019'!Resal)*(1-EXP(('2019'!Tnet-t)/('2019'!Tau_j))),Resal+(Salim-Resal)*(1-EXP((Tnet-t)/(Tau_j))))*Salcycl</f>
        <v>4.1088699465028078E-2</v>
      </c>
      <c r="P209" s="169">
        <f>(INDEX(Models!$BJ209:$BT209,,T209)*(1-R209)+INDEX(Models!$BJ209:$BT209,,T209+1)*R209-ERP_i)*Q209*Ramure*Pc/MaxiM</f>
        <v>5.1500994661144652E-5</v>
      </c>
      <c r="Q209" s="304">
        <f t="shared" si="78"/>
        <v>0.6</v>
      </c>
      <c r="R209" s="177">
        <f t="shared" si="79"/>
        <v>0.3999815971999261</v>
      </c>
      <c r="S209" s="799">
        <f t="shared" si="80"/>
        <v>-1</v>
      </c>
      <c r="T209" s="176">
        <f t="shared" si="81"/>
        <v>5</v>
      </c>
      <c r="U209" s="250">
        <f t="shared" si="82"/>
        <v>-0.6000184028000739</v>
      </c>
      <c r="V209" s="382">
        <f t="shared" si="83"/>
        <v>58.380663341371104</v>
      </c>
      <c r="W209" s="58"/>
      <c r="X209" s="157">
        <f t="shared" si="84"/>
        <v>44025</v>
      </c>
      <c r="Y209" s="383">
        <f t="shared" si="85"/>
        <v>57.844999999999999</v>
      </c>
      <c r="Z209" s="383">
        <f t="shared" si="86"/>
        <v>58.451231400173292</v>
      </c>
      <c r="AA209" s="384">
        <f t="shared" si="87"/>
        <v>60.955827058836036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4.1088699465028078E-2</v>
      </c>
      <c r="AD209" s="230">
        <f>(INDEX(Models!$BJ209:$BT209,,AH209)*(1-AF209)+INDEX(Models!$BJ209:$BT209,,AH209+1)*AF209-ERP_i)*AE209*Ramure*Pc/MaxiM</f>
        <v>5.1500994661144652E-5</v>
      </c>
      <c r="AE209" s="304">
        <f t="shared" si="89"/>
        <v>0.6</v>
      </c>
      <c r="AF209" s="177">
        <f t="shared" si="90"/>
        <v>0.3999815971999261</v>
      </c>
      <c r="AG209" s="176">
        <f t="shared" si="91"/>
        <v>-1</v>
      </c>
      <c r="AH209" s="176">
        <f t="shared" si="92"/>
        <v>5</v>
      </c>
      <c r="AI209" s="224">
        <f t="shared" si="93"/>
        <v>-0.6000184028000739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47.076999999999998</v>
      </c>
      <c r="C210" s="388"/>
      <c r="D210" s="391">
        <f t="shared" si="75"/>
        <v>47.571291511878243</v>
      </c>
      <c r="E210" s="383">
        <f t="shared" si="73"/>
        <v>49.612878715020152</v>
      </c>
      <c r="F210" s="383">
        <f t="shared" si="76"/>
        <v>49.61479082462111</v>
      </c>
      <c r="G210" s="110">
        <f t="shared" si="74"/>
        <v>0.80760012583045815</v>
      </c>
      <c r="H210" s="412" t="b">
        <f>Wh_hp&gt;='2019'!Maxi_hp</f>
        <v>0</v>
      </c>
      <c r="I210" s="388">
        <f>IF(H210,Wh_hp,'2019'!Maxi_hp)</f>
        <v>62.506291921724774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1.0390542198225217E-2</v>
      </c>
      <c r="M210" s="832"/>
      <c r="N210" s="832"/>
      <c r="O210" s="48">
        <f>IF(t&lt;Tnet,'2019'!Resal+('2019'!Salim-'2019'!Resal)*(1-EXP(('2019'!Tnet-t)/('2019'!Tau_j))),Resal+(Salim-Resal)*(1-EXP((Tnet-t)/(Tau_j))))*Salcycl</f>
        <v>4.1150347571422427E-2</v>
      </c>
      <c r="P210" s="169">
        <f>(INDEX(Models!$BJ210:$BT210,,T210)*(1-R210)+INDEX(Models!$BJ210:$BT210,,T210+1)*R210-ERP_i)*Q210*Ramure*Pc/MaxiM</f>
        <v>5.3145664706758833E-5</v>
      </c>
      <c r="Q210" s="304">
        <f t="shared" si="78"/>
        <v>0.6</v>
      </c>
      <c r="R210" s="177">
        <f t="shared" si="79"/>
        <v>0.40321275160507852</v>
      </c>
      <c r="S210" s="799">
        <f t="shared" si="80"/>
        <v>-1</v>
      </c>
      <c r="T210" s="176">
        <f t="shared" si="81"/>
        <v>5</v>
      </c>
      <c r="U210" s="250">
        <f t="shared" si="82"/>
        <v>-0.59678724839492148</v>
      </c>
      <c r="V210" s="382">
        <f t="shared" si="83"/>
        <v>58.291610952942371</v>
      </c>
      <c r="W210" s="58"/>
      <c r="X210" s="157">
        <f t="shared" si="84"/>
        <v>44026</v>
      </c>
      <c r="Y210" s="383">
        <f t="shared" si="85"/>
        <v>47.076999999999998</v>
      </c>
      <c r="Z210" s="383">
        <f t="shared" si="86"/>
        <v>47.571291511878243</v>
      </c>
      <c r="AA210" s="384">
        <f t="shared" si="87"/>
        <v>49.612878715020152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4.1150347571422427E-2</v>
      </c>
      <c r="AD210" s="230">
        <f>(INDEX(Models!$BJ210:$BT210,,AH210)*(1-AF210)+INDEX(Models!$BJ210:$BT210,,AH210+1)*AF210-ERP_i)*AE210*Ramure*Pc/MaxiM</f>
        <v>5.3145664706758833E-5</v>
      </c>
      <c r="AE210" s="304">
        <f t="shared" si="89"/>
        <v>0.6</v>
      </c>
      <c r="AF210" s="177">
        <f t="shared" si="90"/>
        <v>0.40321275160507852</v>
      </c>
      <c r="AG210" s="176">
        <f t="shared" si="91"/>
        <v>-1</v>
      </c>
      <c r="AH210" s="176">
        <f t="shared" si="92"/>
        <v>5</v>
      </c>
      <c r="AI210" s="224">
        <f t="shared" si="93"/>
        <v>-0.59678724839492148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19.605</v>
      </c>
      <c r="C211" s="388"/>
      <c r="D211" s="391">
        <f t="shared" si="75"/>
        <v>19.811225102984306</v>
      </c>
      <c r="E211" s="383">
        <f t="shared" si="73"/>
        <v>20.662770744065675</v>
      </c>
      <c r="F211" s="383">
        <f t="shared" si="76"/>
        <v>20.66283040209721</v>
      </c>
      <c r="G211" s="110">
        <f t="shared" si="74"/>
        <v>0.33683319752341589</v>
      </c>
      <c r="H211" s="412" t="b">
        <f>Wh_hp&gt;='2019'!Maxi_hp</f>
        <v>0</v>
      </c>
      <c r="I211" s="388">
        <f>IF(H211,Wh_hp,'2019'!Maxi_hp)</f>
        <v>60.8270261955942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1.0409507837717769E-2</v>
      </c>
      <c r="M211" s="832"/>
      <c r="N211" s="832"/>
      <c r="O211" s="48">
        <f>IF(t&lt;Tnet,'2019'!Resal+('2019'!Salim-'2019'!Resal)*(1-EXP(('2019'!Tnet-t)/('2019'!Tau_j))),Resal+(Salim-Resal)*(1-EXP((Tnet-t)/(Tau_j))))*Salcycl</f>
        <v>4.1211590237767735E-2</v>
      </c>
      <c r="P211" s="169">
        <f>(INDEX(Models!$BJ211:$BT211,,T211)*(1-R211)+INDEX(Models!$BJ211:$BT211,,T211+1)*R211-ERP_i)*Q211*Ramure*Pc/MaxiM</f>
        <v>5.4844289421408469E-5</v>
      </c>
      <c r="Q211" s="304">
        <f t="shared" si="78"/>
        <v>0.6</v>
      </c>
      <c r="R211" s="177">
        <f t="shared" si="79"/>
        <v>0.40636309096641998</v>
      </c>
      <c r="S211" s="799">
        <f t="shared" si="80"/>
        <v>-1</v>
      </c>
      <c r="T211" s="176">
        <f t="shared" si="81"/>
        <v>5</v>
      </c>
      <c r="U211" s="250">
        <f t="shared" si="82"/>
        <v>-0.59363690903358002</v>
      </c>
      <c r="V211" s="382">
        <f t="shared" si="83"/>
        <v>58.200858830875603</v>
      </c>
      <c r="W211" s="58"/>
      <c r="X211" s="157">
        <f t="shared" si="84"/>
        <v>44027</v>
      </c>
      <c r="Y211" s="383">
        <f t="shared" si="85"/>
        <v>19.605</v>
      </c>
      <c r="Z211" s="383">
        <f t="shared" si="86"/>
        <v>19.811225102984306</v>
      </c>
      <c r="AA211" s="384">
        <f t="shared" si="87"/>
        <v>20.662770744065675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4.1211590237767735E-2</v>
      </c>
      <c r="AD211" s="230">
        <f>(INDEX(Models!$BJ211:$BT211,,AH211)*(1-AF211)+INDEX(Models!$BJ211:$BT211,,AH211+1)*AF211-ERP_i)*AE211*Ramure*Pc/MaxiM</f>
        <v>5.4844289421408469E-5</v>
      </c>
      <c r="AE211" s="304">
        <f t="shared" si="89"/>
        <v>0.6</v>
      </c>
      <c r="AF211" s="177">
        <f t="shared" si="90"/>
        <v>0.40636309096641998</v>
      </c>
      <c r="AG211" s="176">
        <f t="shared" si="91"/>
        <v>-1</v>
      </c>
      <c r="AH211" s="176">
        <f t="shared" si="92"/>
        <v>5</v>
      </c>
      <c r="AI211" s="224">
        <f t="shared" si="93"/>
        <v>-0.59363690903358002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23.753</v>
      </c>
      <c r="C212" s="388"/>
      <c r="D212" s="391">
        <f t="shared" si="75"/>
        <v>24.003317955944073</v>
      </c>
      <c r="E212" s="383">
        <f t="shared" si="73"/>
        <v>25.036641398508291</v>
      </c>
      <c r="F212" s="383">
        <f t="shared" si="76"/>
        <v>25.03686150366341</v>
      </c>
      <c r="G212" s="110">
        <f t="shared" si="74"/>
        <v>0.40875238470447012</v>
      </c>
      <c r="H212" s="412" t="b">
        <f>Wh_hp&gt;='2019'!Maxi_hp</f>
        <v>0</v>
      </c>
      <c r="I212" s="388">
        <f>IF(H212,Wh_hp,'2019'!Maxi_hp)</f>
        <v>53.299103359044103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1.0428473113738179E-2</v>
      </c>
      <c r="M212" s="832"/>
      <c r="N212" s="832"/>
      <c r="O212" s="48">
        <f>IF(t&lt;Tnet,'2019'!Resal+('2019'!Salim-'2019'!Resal)*(1-EXP(('2019'!Tnet-t)/('2019'!Tau_j))),Resal+(Salim-Resal)*(1-EXP((Tnet-t)/(Tau_j))))*Salcycl</f>
        <v>4.1272446496189559E-2</v>
      </c>
      <c r="P212" s="169">
        <f>(INDEX(Models!$BJ212:$BT212,,T212)*(1-R212)+INDEX(Models!$BJ212:$BT212,,T212+1)*R212-ERP_i)*Q212*Ramure*Pc/MaxiM</f>
        <v>5.6575914304692523E-5</v>
      </c>
      <c r="Q212" s="304">
        <f t="shared" si="78"/>
        <v>0.6</v>
      </c>
      <c r="R212" s="177">
        <f t="shared" si="79"/>
        <v>0.40943304903299627</v>
      </c>
      <c r="S212" s="799">
        <f t="shared" si="80"/>
        <v>-1</v>
      </c>
      <c r="T212" s="176">
        <f t="shared" si="81"/>
        <v>5</v>
      </c>
      <c r="U212" s="250">
        <f t="shared" si="82"/>
        <v>-0.59056695096700373</v>
      </c>
      <c r="V212" s="382">
        <f t="shared" si="83"/>
        <v>58.108199118929598</v>
      </c>
      <c r="W212" s="58"/>
      <c r="X212" s="157">
        <f t="shared" si="84"/>
        <v>44028</v>
      </c>
      <c r="Y212" s="383">
        <f t="shared" si="85"/>
        <v>23.753</v>
      </c>
      <c r="Z212" s="383">
        <f t="shared" si="86"/>
        <v>24.003317955944073</v>
      </c>
      <c r="AA212" s="384">
        <f t="shared" si="87"/>
        <v>25.036641398508291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4.1272446496189559E-2</v>
      </c>
      <c r="AD212" s="230">
        <f>(INDEX(Models!$BJ212:$BT212,,AH212)*(1-AF212)+INDEX(Models!$BJ212:$BT212,,AH212+1)*AF212-ERP_i)*AE212*Ramure*Pc/MaxiM</f>
        <v>5.6575914304692523E-5</v>
      </c>
      <c r="AE212" s="304">
        <f t="shared" si="89"/>
        <v>0.6</v>
      </c>
      <c r="AF212" s="177">
        <f t="shared" si="90"/>
        <v>0.40943304903299627</v>
      </c>
      <c r="AG212" s="176">
        <f t="shared" si="91"/>
        <v>-1</v>
      </c>
      <c r="AH212" s="176">
        <f t="shared" si="92"/>
        <v>5</v>
      </c>
      <c r="AI212" s="224">
        <f t="shared" si="93"/>
        <v>-0.59056695096700373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27.015999999999998</v>
      </c>
      <c r="C213" s="388"/>
      <c r="D213" s="391">
        <f t="shared" si="75"/>
        <v>27.301227886384716</v>
      </c>
      <c r="E213" s="383">
        <f t="shared" si="73"/>
        <v>28.478320456919587</v>
      </c>
      <c r="F213" s="383">
        <f t="shared" si="76"/>
        <v>28.478713664933096</v>
      </c>
      <c r="G213" s="110">
        <f t="shared" si="74"/>
        <v>0.46566459194213883</v>
      </c>
      <c r="H213" s="412" t="b">
        <f>Wh_hp&gt;='2019'!Maxi_hp</f>
        <v>0</v>
      </c>
      <c r="I213" s="388">
        <f>IF(H213,Wh_hp,'2019'!Maxi_hp)</f>
        <v>41.350908962990601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1.0447438026293443E-2</v>
      </c>
      <c r="M213" s="832"/>
      <c r="N213" s="832"/>
      <c r="O213" s="48">
        <f>IF(t&lt;Tnet,'2019'!Resal+('2019'!Salim-'2019'!Resal)*(1-EXP(('2019'!Tnet-t)/('2019'!Tau_j))),Resal+(Salim-Resal)*(1-EXP((Tnet-t)/(Tau_j))))*Salcycl</f>
        <v>4.1332935076544002E-2</v>
      </c>
      <c r="P213" s="169">
        <f>(INDEX(Models!$BJ213:$BT213,,T213)*(1-R213)+INDEX(Models!$BJ213:$BT213,,T213+1)*R213-ERP_i)*Q213*Ramure*Pc/MaxiM</f>
        <v>5.8333224104523159E-5</v>
      </c>
      <c r="Q213" s="304">
        <f t="shared" si="78"/>
        <v>0.6</v>
      </c>
      <c r="R213" s="177">
        <f t="shared" si="79"/>
        <v>0.41242316994928663</v>
      </c>
      <c r="S213" s="799">
        <f t="shared" si="80"/>
        <v>-1</v>
      </c>
      <c r="T213" s="176">
        <f t="shared" si="81"/>
        <v>5</v>
      </c>
      <c r="U213" s="250">
        <f t="shared" si="82"/>
        <v>-0.58757683005071337</v>
      </c>
      <c r="V213" s="382">
        <f t="shared" si="83"/>
        <v>58.013423250714425</v>
      </c>
      <c r="W213" s="58"/>
      <c r="X213" s="157">
        <f t="shared" si="84"/>
        <v>44029</v>
      </c>
      <c r="Y213" s="383">
        <f t="shared" si="85"/>
        <v>27.015999999999998</v>
      </c>
      <c r="Z213" s="383">
        <f t="shared" si="86"/>
        <v>27.301227886384716</v>
      </c>
      <c r="AA213" s="384">
        <f t="shared" si="87"/>
        <v>28.478320456919587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4.1332935076544002E-2</v>
      </c>
      <c r="AD213" s="230">
        <f>(INDEX(Models!$BJ213:$BT213,,AH213)*(1-AF213)+INDEX(Models!$BJ213:$BT213,,AH213+1)*AF213-ERP_i)*AE213*Ramure*Pc/MaxiM</f>
        <v>5.8333224104523159E-5</v>
      </c>
      <c r="AE213" s="304">
        <f t="shared" si="89"/>
        <v>0.6</v>
      </c>
      <c r="AF213" s="177">
        <f t="shared" si="90"/>
        <v>0.41242316994928663</v>
      </c>
      <c r="AG213" s="176">
        <f t="shared" si="91"/>
        <v>-1</v>
      </c>
      <c r="AH213" s="176">
        <f t="shared" si="92"/>
        <v>5</v>
      </c>
      <c r="AI213" s="224">
        <f t="shared" si="93"/>
        <v>-0.58757683005071337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57.856000000000002</v>
      </c>
      <c r="C214" s="388"/>
      <c r="D214" s="391">
        <f t="shared" si="75"/>
        <v>58.467949092964403</v>
      </c>
      <c r="E214" s="383">
        <f t="shared" si="73"/>
        <v>60.992621194348516</v>
      </c>
      <c r="F214" s="383">
        <f t="shared" si="76"/>
        <v>60.996282625351171</v>
      </c>
      <c r="G214" s="110">
        <f t="shared" si="74"/>
        <v>0.99895836811613903</v>
      </c>
      <c r="H214" s="412" t="b">
        <f>Wh_hp&gt;='2019'!Maxi_hp</f>
        <v>1</v>
      </c>
      <c r="I214" s="388">
        <f>IF(H214,Wh_hp,'2019'!Maxi_hp)</f>
        <v>60.996282625351171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1.0466402575390443E-2</v>
      </c>
      <c r="M214" s="832"/>
      <c r="N214" s="832"/>
      <c r="O214" s="48">
        <f>IF(t&lt;Tnet,'2019'!Resal+('2019'!Salim-'2019'!Resal)*(1-EXP(('2019'!Tnet-t)/('2019'!Tau_j))),Resal+(Salim-Resal)*(1-EXP((Tnet-t)/(Tau_j))))*Salcycl</f>
        <v>4.1393074308766514E-2</v>
      </c>
      <c r="P214" s="169">
        <f>(INDEX(Models!$BJ214:$BT214,,T214)*(1-R214)+INDEX(Models!$BJ214:$BT214,,T214+1)*R214-ERP_i)*Q214*Ramure*Pc/MaxiM</f>
        <v>6.0116565660131106E-5</v>
      </c>
      <c r="Q214" s="304">
        <f t="shared" si="78"/>
        <v>0.6</v>
      </c>
      <c r="R214" s="177">
        <f t="shared" si="79"/>
        <v>0.41533410121485037</v>
      </c>
      <c r="S214" s="799">
        <f t="shared" si="80"/>
        <v>-1</v>
      </c>
      <c r="T214" s="176">
        <f t="shared" si="81"/>
        <v>5</v>
      </c>
      <c r="U214" s="250">
        <f t="shared" si="82"/>
        <v>-0.58466589878514963</v>
      </c>
      <c r="V214" s="382">
        <f t="shared" si="83"/>
        <v>57.916322312472772</v>
      </c>
      <c r="W214" s="58"/>
      <c r="X214" s="157">
        <f t="shared" si="84"/>
        <v>44030</v>
      </c>
      <c r="Y214" s="383">
        <f t="shared" si="85"/>
        <v>57.856000000000002</v>
      </c>
      <c r="Z214" s="383">
        <f t="shared" si="86"/>
        <v>58.467949092964403</v>
      </c>
      <c r="AA214" s="384">
        <f t="shared" si="87"/>
        <v>60.992621194348516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4.1393074308766514E-2</v>
      </c>
      <c r="AD214" s="230">
        <f>(INDEX(Models!$BJ214:$BT214,,AH214)*(1-AF214)+INDEX(Models!$BJ214:$BT214,,AH214+1)*AF214-ERP_i)*AE214*Ramure*Pc/MaxiM</f>
        <v>6.0116565660131106E-5</v>
      </c>
      <c r="AE214" s="304">
        <f t="shared" si="89"/>
        <v>0.6</v>
      </c>
      <c r="AF214" s="177">
        <f t="shared" si="90"/>
        <v>0.41533410121485037</v>
      </c>
      <c r="AG214" s="176">
        <f t="shared" si="91"/>
        <v>-1</v>
      </c>
      <c r="AH214" s="176">
        <f t="shared" si="92"/>
        <v>5</v>
      </c>
      <c r="AI214" s="224">
        <f t="shared" si="93"/>
        <v>-0.58466589878514963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56.694000000000003</v>
      </c>
      <c r="C215" s="388"/>
      <c r="D215" s="391">
        <f t="shared" si="75"/>
        <v>57.294756535761742</v>
      </c>
      <c r="E215" s="383">
        <f t="shared" si="73"/>
        <v>59.772498880584791</v>
      </c>
      <c r="F215" s="383">
        <f t="shared" si="76"/>
        <v>59.776097909915435</v>
      </c>
      <c r="G215" s="110">
        <f t="shared" si="74"/>
        <v>0.98058026264812004</v>
      </c>
      <c r="H215" s="412" t="b">
        <f>Wh_hp&gt;='2019'!Maxi_hp</f>
        <v>1</v>
      </c>
      <c r="I215" s="388">
        <f>IF(H215,Wh_hp,'2019'!Maxi_hp)</f>
        <v>59.776097909915435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1.0485366761036174E-2</v>
      </c>
      <c r="M215" s="832"/>
      <c r="N215" s="832"/>
      <c r="O215" s="48">
        <f>IF(t&lt;Tnet,'2019'!Resal+('2019'!Salim-'2019'!Resal)*(1-EXP(('2019'!Tnet-t)/('2019'!Tau_j))),Resal+(Salim-Resal)*(1-EXP((Tnet-t)/(Tau_j))))*Salcycl</f>
        <v>4.1452882031469906E-2</v>
      </c>
      <c r="P215" s="169">
        <f>(INDEX(Models!$BJ215:$BT215,,T215)*(1-R215)+INDEX(Models!$BJ215:$BT215,,T215+1)*R215-ERP_i)*Q215*Ramure*Pc/MaxiM</f>
        <v>6.19263437804583E-5</v>
      </c>
      <c r="Q215" s="304">
        <f t="shared" si="78"/>
        <v>0.6</v>
      </c>
      <c r="R215" s="177">
        <f t="shared" si="79"/>
        <v>0.4181665866502855</v>
      </c>
      <c r="S215" s="799">
        <f t="shared" si="80"/>
        <v>-1</v>
      </c>
      <c r="T215" s="176">
        <f t="shared" si="81"/>
        <v>5</v>
      </c>
      <c r="U215" s="250">
        <f t="shared" si="82"/>
        <v>-0.5818334133497145</v>
      </c>
      <c r="V215" s="382">
        <f t="shared" si="83"/>
        <v>57.816687488413734</v>
      </c>
      <c r="W215" s="58"/>
      <c r="X215" s="157">
        <f t="shared" si="84"/>
        <v>44031</v>
      </c>
      <c r="Y215" s="383">
        <f t="shared" si="85"/>
        <v>56.694000000000003</v>
      </c>
      <c r="Z215" s="383">
        <f t="shared" si="86"/>
        <v>57.294756535761742</v>
      </c>
      <c r="AA215" s="384">
        <f t="shared" si="87"/>
        <v>59.772498880584791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4.1452882031469906E-2</v>
      </c>
      <c r="AD215" s="230">
        <f>(INDEX(Models!$BJ215:$BT215,,AH215)*(1-AF215)+INDEX(Models!$BJ215:$BT215,,AH215+1)*AF215-ERP_i)*AE215*Ramure*Pc/MaxiM</f>
        <v>6.19263437804583E-5</v>
      </c>
      <c r="AE215" s="304">
        <f t="shared" si="89"/>
        <v>0.6</v>
      </c>
      <c r="AF215" s="177">
        <f t="shared" si="90"/>
        <v>0.4181665866502855</v>
      </c>
      <c r="AG215" s="176">
        <f t="shared" si="91"/>
        <v>-1</v>
      </c>
      <c r="AH215" s="176">
        <f t="shared" si="92"/>
        <v>5</v>
      </c>
      <c r="AI215" s="224">
        <f t="shared" si="93"/>
        <v>-0.5818334133497145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49.101999999999997</v>
      </c>
      <c r="C216" s="388"/>
      <c r="D216" s="391">
        <f t="shared" si="75"/>
        <v>49.6232591183973</v>
      </c>
      <c r="E216" s="383">
        <f t="shared" si="73"/>
        <v>51.772456785409432</v>
      </c>
      <c r="F216" s="383">
        <f t="shared" si="76"/>
        <v>51.775054354495516</v>
      </c>
      <c r="G216" s="110">
        <f t="shared" si="74"/>
        <v>0.85076530381116477</v>
      </c>
      <c r="H216" s="412" t="b">
        <f>Wh_hp&gt;='2019'!Maxi_hp</f>
        <v>1</v>
      </c>
      <c r="I216" s="388">
        <f>IF(H216,Wh_hp,'2019'!Maxi_hp)</f>
        <v>51.775054354495516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1.0504330583237631E-2</v>
      </c>
      <c r="M216" s="832"/>
      <c r="N216" s="832"/>
      <c r="O216" s="48">
        <f>IF(t&lt;Tnet,'2019'!Resal+('2019'!Salim-'2019'!Resal)*(1-EXP(('2019'!Tnet-t)/('2019'!Tau_j))),Resal+(Salim-Resal)*(1-EXP((Tnet-t)/(Tau_j))))*Salcycl</f>
        <v>4.1512375507314576E-2</v>
      </c>
      <c r="P216" s="169">
        <f>(INDEX(Models!$BJ216:$BT216,,T216)*(1-R216)+INDEX(Models!$BJ216:$BT216,,T216+1)*R216-ERP_i)*Q216*Ramure*Pc/MaxiM</f>
        <v>6.3763021844935846E-5</v>
      </c>
      <c r="Q216" s="304">
        <f t="shared" si="78"/>
        <v>0.6</v>
      </c>
      <c r="R216" s="177">
        <f t="shared" si="79"/>
        <v>0.42092145940834547</v>
      </c>
      <c r="S216" s="799">
        <f t="shared" si="80"/>
        <v>-1</v>
      </c>
      <c r="T216" s="176">
        <f t="shared" si="81"/>
        <v>5</v>
      </c>
      <c r="U216" s="250">
        <f t="shared" si="82"/>
        <v>-0.57907854059165453</v>
      </c>
      <c r="V216" s="382">
        <f t="shared" si="83"/>
        <v>57.714310063951395</v>
      </c>
      <c r="W216" s="58"/>
      <c r="X216" s="157">
        <f t="shared" si="84"/>
        <v>44032</v>
      </c>
      <c r="Y216" s="383">
        <f t="shared" si="85"/>
        <v>49.101999999999997</v>
      </c>
      <c r="Z216" s="383">
        <f t="shared" si="86"/>
        <v>49.6232591183973</v>
      </c>
      <c r="AA216" s="384">
        <f t="shared" si="87"/>
        <v>51.772456785409432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4.1512375507314576E-2</v>
      </c>
      <c r="AD216" s="230">
        <f>(INDEX(Models!$BJ216:$BT216,,AH216)*(1-AF216)+INDEX(Models!$BJ216:$BT216,,AH216+1)*AF216-ERP_i)*AE216*Ramure*Pc/MaxiM</f>
        <v>6.3763021844935846E-5</v>
      </c>
      <c r="AE216" s="304">
        <f t="shared" si="89"/>
        <v>0.6</v>
      </c>
      <c r="AF216" s="177">
        <f t="shared" si="90"/>
        <v>0.42092145940834547</v>
      </c>
      <c r="AG216" s="176">
        <f t="shared" si="91"/>
        <v>-1</v>
      </c>
      <c r="AH216" s="176">
        <f t="shared" si="92"/>
        <v>5</v>
      </c>
      <c r="AI216" s="224">
        <f t="shared" si="93"/>
        <v>-0.57907854059165453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52.485999999999997</v>
      </c>
      <c r="C217" s="388"/>
      <c r="D217" s="391">
        <f t="shared" si="75"/>
        <v>53.044199710779196</v>
      </c>
      <c r="E217" s="383">
        <f t="shared" si="73"/>
        <v>55.344977386836725</v>
      </c>
      <c r="F217" s="383">
        <f t="shared" si="76"/>
        <v>55.348148280408218</v>
      </c>
      <c r="G217" s="110">
        <f t="shared" si="74"/>
        <v>0.91106562005194502</v>
      </c>
      <c r="H217" s="412" t="b">
        <f>Wh_hp&gt;='2019'!Maxi_hp</f>
        <v>1</v>
      </c>
      <c r="I217" s="388">
        <f>IF(H217,Wh_hp,'2019'!Maxi_hp)</f>
        <v>55.348148280408218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1.0523294042001807E-2</v>
      </c>
      <c r="M217" s="832"/>
      <c r="N217" s="832"/>
      <c r="O217" s="48">
        <f>IF(t&lt;Tnet,'2019'!Resal+('2019'!Salim-'2019'!Resal)*(1-EXP(('2019'!Tnet-t)/('2019'!Tau_j))),Resal+(Salim-Resal)*(1-EXP((Tnet-t)/(Tau_j))))*Salcycl</f>
        <v>4.1571571345600515E-2</v>
      </c>
      <c r="P217" s="169">
        <f>(INDEX(Models!$BJ217:$BT217,,T217)*(1-R217)+INDEX(Models!$BJ217:$BT217,,T217+1)*R217-ERP_i)*Q217*Ramure*Pc/MaxiM</f>
        <v>6.5627122280657388E-5</v>
      </c>
      <c r="Q217" s="304">
        <f t="shared" si="78"/>
        <v>0.6</v>
      </c>
      <c r="R217" s="177">
        <f t="shared" si="79"/>
        <v>0.42359963506562459</v>
      </c>
      <c r="S217" s="799">
        <f t="shared" si="80"/>
        <v>-1</v>
      </c>
      <c r="T217" s="176">
        <f t="shared" si="81"/>
        <v>5</v>
      </c>
      <c r="U217" s="250">
        <f t="shared" si="82"/>
        <v>-0.57640036493437541</v>
      </c>
      <c r="V217" s="382">
        <f t="shared" si="83"/>
        <v>57.608981434277709</v>
      </c>
      <c r="W217" s="58"/>
      <c r="X217" s="157">
        <f t="shared" si="84"/>
        <v>44033</v>
      </c>
      <c r="Y217" s="383">
        <f t="shared" si="85"/>
        <v>52.485999999999997</v>
      </c>
      <c r="Z217" s="383">
        <f t="shared" si="86"/>
        <v>53.044199710779196</v>
      </c>
      <c r="AA217" s="384">
        <f t="shared" si="87"/>
        <v>55.344977386836725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4.1571571345600515E-2</v>
      </c>
      <c r="AD217" s="230">
        <f>(INDEX(Models!$BJ217:$BT217,,AH217)*(1-AF217)+INDEX(Models!$BJ217:$BT217,,AH217+1)*AF217-ERP_i)*AE217*Ramure*Pc/MaxiM</f>
        <v>6.5627122280657388E-5</v>
      </c>
      <c r="AE217" s="304">
        <f t="shared" si="89"/>
        <v>0.6</v>
      </c>
      <c r="AF217" s="177">
        <f t="shared" si="90"/>
        <v>0.42359963506562459</v>
      </c>
      <c r="AG217" s="176">
        <f t="shared" si="91"/>
        <v>-1</v>
      </c>
      <c r="AH217" s="176">
        <f t="shared" si="92"/>
        <v>5</v>
      </c>
      <c r="AI217" s="224">
        <f t="shared" si="93"/>
        <v>-0.57640036493437541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51.682000000000002</v>
      </c>
      <c r="C218" s="388"/>
      <c r="D218" s="391">
        <f t="shared" si="75"/>
        <v>52.232650027554946</v>
      </c>
      <c r="E218" s="383">
        <f t="shared" si="73"/>
        <v>54.501577140759153</v>
      </c>
      <c r="F218" s="383">
        <f t="shared" si="76"/>
        <v>54.504725268823599</v>
      </c>
      <c r="G218" s="110">
        <f t="shared" si="74"/>
        <v>0.89880091008576024</v>
      </c>
      <c r="H218" s="412" t="b">
        <f>Wh_hp&gt;='2019'!Maxi_hp</f>
        <v>0</v>
      </c>
      <c r="I218" s="388">
        <f>IF(H218,Wh_hp,'2019'!Maxi_hp)</f>
        <v>56.109961045476417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1.0542257137335587E-2</v>
      </c>
      <c r="M218" s="832"/>
      <c r="N218" s="832"/>
      <c r="O218" s="48">
        <f>IF(t&lt;Tnet,'2019'!Resal+('2019'!Salim-'2019'!Resal)*(1-EXP(('2019'!Tnet-t)/('2019'!Tau_j))),Resal+(Salim-Resal)*(1-EXP((Tnet-t)/(Tau_j))))*Salcycl</f>
        <v>4.1630485432455205E-2</v>
      </c>
      <c r="P218" s="169">
        <f>(INDEX(Models!$BJ218:$BT218,,T218)*(1-R218)+INDEX(Models!$BJ218:$BT218,,T218+1)*R218-ERP_i)*Q218*Ramure*Pc/MaxiM</f>
        <v>6.7519226961978008E-5</v>
      </c>
      <c r="Q218" s="304">
        <f t="shared" si="78"/>
        <v>0.6</v>
      </c>
      <c r="R218" s="177">
        <f t="shared" si="79"/>
        <v>0.4262021048267568</v>
      </c>
      <c r="S218" s="799">
        <f t="shared" si="80"/>
        <v>-1</v>
      </c>
      <c r="T218" s="176">
        <f t="shared" si="81"/>
        <v>5</v>
      </c>
      <c r="U218" s="250">
        <f t="shared" si="82"/>
        <v>-0.5737978951732432</v>
      </c>
      <c r="V218" s="382">
        <f t="shared" si="83"/>
        <v>57.500493104814254</v>
      </c>
      <c r="W218" s="58"/>
      <c r="X218" s="157">
        <f t="shared" si="84"/>
        <v>44034</v>
      </c>
      <c r="Y218" s="383">
        <f t="shared" si="85"/>
        <v>51.682000000000002</v>
      </c>
      <c r="Z218" s="383">
        <f t="shared" si="86"/>
        <v>52.232650027554946</v>
      </c>
      <c r="AA218" s="384">
        <f t="shared" si="87"/>
        <v>54.501577140759153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4.1630485432455205E-2</v>
      </c>
      <c r="AD218" s="230">
        <f>(INDEX(Models!$BJ218:$BT218,,AH218)*(1-AF218)+INDEX(Models!$BJ218:$BT218,,AH218+1)*AF218-ERP_i)*AE218*Ramure*Pc/MaxiM</f>
        <v>6.7519226961978008E-5</v>
      </c>
      <c r="AE218" s="304">
        <f t="shared" si="89"/>
        <v>0.6</v>
      </c>
      <c r="AF218" s="177">
        <f t="shared" si="90"/>
        <v>0.4262021048267568</v>
      </c>
      <c r="AG218" s="176">
        <f t="shared" si="91"/>
        <v>-1</v>
      </c>
      <c r="AH218" s="176">
        <f t="shared" si="92"/>
        <v>5</v>
      </c>
      <c r="AI218" s="224">
        <f t="shared" si="93"/>
        <v>-0.5737978951732432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47.62</v>
      </c>
      <c r="C219" s="388"/>
      <c r="D219" s="391">
        <f t="shared" si="75"/>
        <v>48.128293489473933</v>
      </c>
      <c r="E219" s="383">
        <f t="shared" si="73"/>
        <v>50.222005343168462</v>
      </c>
      <c r="F219" s="383">
        <f t="shared" si="76"/>
        <v>50.224644796405329</v>
      </c>
      <c r="G219" s="110">
        <f t="shared" si="74"/>
        <v>0.82975945698667053</v>
      </c>
      <c r="H219" s="412" t="b">
        <f>Wh_hp&gt;='2019'!Maxi_hp</f>
        <v>0</v>
      </c>
      <c r="I219" s="388">
        <f>IF(H219,Wh_hp,'2019'!Maxi_hp)</f>
        <v>56.342293101754187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1.0561219869245964E-2</v>
      </c>
      <c r="M219" s="832"/>
      <c r="N219" s="832"/>
      <c r="O219" s="48">
        <f>IF(t&lt;Tnet,'2019'!Resal+('2019'!Salim-'2019'!Resal)*(1-EXP(('2019'!Tnet-t)/('2019'!Tau_j))),Resal+(Salim-Resal)*(1-EXP((Tnet-t)/(Tau_j))))*Salcycl</f>
        <v>4.168913286891137E-2</v>
      </c>
      <c r="P219" s="169">
        <f>(INDEX(Models!$BJ219:$BT219,,T219)*(1-R219)+INDEX(Models!$BJ219:$BT219,,T219+1)*R219-ERP_i)*Q219*Ramure*Pc/MaxiM</f>
        <v>6.9439235784802704E-5</v>
      </c>
      <c r="Q219" s="304">
        <f t="shared" si="78"/>
        <v>0.6</v>
      </c>
      <c r="R219" s="177">
        <f t="shared" si="79"/>
        <v>0.42872992886963401</v>
      </c>
      <c r="S219" s="799">
        <f t="shared" si="80"/>
        <v>-1</v>
      </c>
      <c r="T219" s="176">
        <f t="shared" si="81"/>
        <v>5</v>
      </c>
      <c r="U219" s="250">
        <f t="shared" si="82"/>
        <v>-0.57127007113036599</v>
      </c>
      <c r="V219" s="382">
        <f t="shared" si="83"/>
        <v>57.389157100700764</v>
      </c>
      <c r="W219" s="58"/>
      <c r="X219" s="157">
        <f t="shared" si="84"/>
        <v>44035</v>
      </c>
      <c r="Y219" s="383">
        <f t="shared" si="85"/>
        <v>47.62</v>
      </c>
      <c r="Z219" s="383">
        <f t="shared" si="86"/>
        <v>48.128293489473933</v>
      </c>
      <c r="AA219" s="384">
        <f t="shared" si="87"/>
        <v>50.222005343168462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4.168913286891137E-2</v>
      </c>
      <c r="AD219" s="230">
        <f>(INDEX(Models!$BJ219:$BT219,,AH219)*(1-AF219)+INDEX(Models!$BJ219:$BT219,,AH219+1)*AF219-ERP_i)*AE219*Ramure*Pc/MaxiM</f>
        <v>6.9439235784802704E-5</v>
      </c>
      <c r="AE219" s="304">
        <f t="shared" si="89"/>
        <v>0.6</v>
      </c>
      <c r="AF219" s="177">
        <f t="shared" si="90"/>
        <v>0.42872992886963401</v>
      </c>
      <c r="AG219" s="176">
        <f t="shared" si="91"/>
        <v>-1</v>
      </c>
      <c r="AH219" s="176">
        <f t="shared" si="92"/>
        <v>5</v>
      </c>
      <c r="AI219" s="224">
        <f t="shared" si="93"/>
        <v>-0.57127007113036599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56.234000000000002</v>
      </c>
      <c r="C220" s="388"/>
      <c r="D220" s="391">
        <f t="shared" si="75"/>
        <v>56.835328129148131</v>
      </c>
      <c r="E220" s="383">
        <f t="shared" si="73"/>
        <v>59.311433870457599</v>
      </c>
      <c r="F220" s="383">
        <f t="shared" si="76"/>
        <v>59.315557328001788</v>
      </c>
      <c r="G220" s="110">
        <f t="shared" si="74"/>
        <v>0.98181542410018208</v>
      </c>
      <c r="H220" s="412" t="b">
        <f>Wh_hp&gt;='2019'!Maxi_hp</f>
        <v>1</v>
      </c>
      <c r="I220" s="388">
        <f>IF(H220,Wh_hp,'2019'!Maxi_hp)</f>
        <v>59.315557328001788</v>
      </c>
      <c r="J220" s="85">
        <f>IF(H220,An,'2019'!An_max)</f>
        <v>2020</v>
      </c>
      <c r="K220" s="197">
        <f t="shared" si="77"/>
        <v>44036</v>
      </c>
      <c r="L220" s="147">
        <f>IF(t&lt;Tvie,1-EXP((T0-t)*PertePVj)+'2019'!Pspv,1-EXP((T0-t)*PertePVj)+Pspv)</f>
        <v>1.0580182237739821E-2</v>
      </c>
      <c r="M220" s="832"/>
      <c r="N220" s="832"/>
      <c r="O220" s="48">
        <f>IF(t&lt;Tnet,'2019'!Resal+('2019'!Salim-'2019'!Resal)*(1-EXP(('2019'!Tnet-t)/('2019'!Tau_j))),Resal+(Salim-Resal)*(1-EXP((Tnet-t)/(Tau_j))))*Salcycl</f>
        <v>4.1747527917088377E-2</v>
      </c>
      <c r="P220" s="169">
        <f>(INDEX(Models!$BJ220:$BT220,,T220)*(1-R220)+INDEX(Models!$BJ220:$BT220,,T220+1)*R220-ERP_i)*Q220*Ramure*Pc/MaxiM</f>
        <v>7.1371195401751439E-5</v>
      </c>
      <c r="Q220" s="304">
        <f t="shared" si="78"/>
        <v>0.6</v>
      </c>
      <c r="R220" s="177">
        <f t="shared" si="79"/>
        <v>0.43118422985676896</v>
      </c>
      <c r="S220" s="799">
        <f t="shared" si="80"/>
        <v>-1</v>
      </c>
      <c r="T220" s="176">
        <f t="shared" si="81"/>
        <v>5</v>
      </c>
      <c r="U220" s="250">
        <f t="shared" si="82"/>
        <v>-0.56881577014323104</v>
      </c>
      <c r="V220" s="382">
        <f t="shared" si="83"/>
        <v>57.275425055048956</v>
      </c>
      <c r="W220" s="58"/>
      <c r="X220" s="157">
        <f t="shared" si="84"/>
        <v>44036</v>
      </c>
      <c r="Y220" s="383">
        <f t="shared" si="85"/>
        <v>56.234000000000002</v>
      </c>
      <c r="Z220" s="383">
        <f t="shared" si="86"/>
        <v>56.835328129148131</v>
      </c>
      <c r="AA220" s="384">
        <f t="shared" si="87"/>
        <v>59.311433870457599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4.1747527917088377E-2</v>
      </c>
      <c r="AD220" s="230">
        <f>(INDEX(Models!$BJ220:$BT220,,AH220)*(1-AF220)+INDEX(Models!$BJ220:$BT220,,AH220+1)*AF220-ERP_i)*AE220*Ramure*Pc/MaxiM</f>
        <v>7.1371195401751439E-5</v>
      </c>
      <c r="AE220" s="304">
        <f t="shared" si="89"/>
        <v>0.6</v>
      </c>
      <c r="AF220" s="177">
        <f t="shared" si="90"/>
        <v>0.43118422985676896</v>
      </c>
      <c r="AG220" s="176">
        <f t="shared" si="91"/>
        <v>-1</v>
      </c>
      <c r="AH220" s="176">
        <f t="shared" si="92"/>
        <v>5</v>
      </c>
      <c r="AI220" s="224">
        <f t="shared" si="93"/>
        <v>-0.56881577014323104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55.341999999999999</v>
      </c>
      <c r="C221" s="388"/>
      <c r="D221" s="391">
        <f t="shared" si="75"/>
        <v>55.934861667011077</v>
      </c>
      <c r="E221" s="383">
        <f t="shared" si="73"/>
        <v>58.375280181020493</v>
      </c>
      <c r="F221" s="383">
        <f t="shared" si="76"/>
        <v>58.379363630430667</v>
      </c>
      <c r="G221" s="110">
        <f t="shared" si="74"/>
        <v>0.96820319332882476</v>
      </c>
      <c r="H221" s="412" t="b">
        <f>Wh_hp&gt;='2019'!Maxi_hp</f>
        <v>1</v>
      </c>
      <c r="I221" s="388">
        <f>IF(H221,Wh_hp,'2019'!Maxi_hp)</f>
        <v>58.379363630430667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1.0599144242824377E-2</v>
      </c>
      <c r="M221" s="832"/>
      <c r="N221" s="832"/>
      <c r="O221" s="48">
        <f>IF(t&lt;Tnet,'2019'!Resal+('2019'!Salim-'2019'!Resal)*(1-EXP(('2019'!Tnet-t)/('2019'!Tau_j))),Resal+(Salim-Resal)*(1-EXP((Tnet-t)/(Tau_j))))*Salcycl</f>
        <v>4.180568395460775E-2</v>
      </c>
      <c r="P221" s="169">
        <f>(INDEX(Models!$BJ221:$BT221,,T221)*(1-R221)+INDEX(Models!$BJ221:$BT221,,T221+1)*R221-ERP_i)*Q221*Ramure*Pc/MaxiM</f>
        <v>7.3274897845562495E-5</v>
      </c>
      <c r="Q221" s="304">
        <f t="shared" si="78"/>
        <v>0.6</v>
      </c>
      <c r="R221" s="177">
        <f t="shared" si="79"/>
        <v>0.43356618663462787</v>
      </c>
      <c r="S221" s="799">
        <f t="shared" si="80"/>
        <v>-1</v>
      </c>
      <c r="T221" s="176">
        <f t="shared" si="81"/>
        <v>5</v>
      </c>
      <c r="U221" s="250">
        <f t="shared" si="82"/>
        <v>-0.56643381336537213</v>
      </c>
      <c r="V221" s="382">
        <f t="shared" si="83"/>
        <v>57.159298982482774</v>
      </c>
      <c r="W221" s="58"/>
      <c r="X221" s="157">
        <f t="shared" si="84"/>
        <v>44037</v>
      </c>
      <c r="Y221" s="383">
        <f t="shared" si="85"/>
        <v>55.341999999999999</v>
      </c>
      <c r="Z221" s="383">
        <f t="shared" si="86"/>
        <v>55.934861667011077</v>
      </c>
      <c r="AA221" s="384">
        <f t="shared" si="87"/>
        <v>58.375280181020493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4.180568395460775E-2</v>
      </c>
      <c r="AD221" s="230">
        <f>(INDEX(Models!$BJ221:$BT221,,AH221)*(1-AF221)+INDEX(Models!$BJ221:$BT221,,AH221+1)*AF221-ERP_i)*AE221*Ramure*Pc/MaxiM</f>
        <v>7.3274897845562495E-5</v>
      </c>
      <c r="AE221" s="304">
        <f t="shared" si="89"/>
        <v>0.6</v>
      </c>
      <c r="AF221" s="177">
        <f t="shared" si="90"/>
        <v>0.43356618663462787</v>
      </c>
      <c r="AG221" s="176">
        <f t="shared" si="91"/>
        <v>-1</v>
      </c>
      <c r="AH221" s="176">
        <f t="shared" si="92"/>
        <v>5</v>
      </c>
      <c r="AI221" s="224">
        <f t="shared" si="93"/>
        <v>-0.56643381336537213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45.497999999999998</v>
      </c>
      <c r="C222" s="388"/>
      <c r="D222" s="391">
        <f t="shared" si="75"/>
        <v>45.986287267441007</v>
      </c>
      <c r="E222" s="383">
        <f t="shared" si="73"/>
        <v>47.995554612444806</v>
      </c>
      <c r="F222" s="383">
        <f t="shared" si="76"/>
        <v>47.998118919388709</v>
      </c>
      <c r="G222" s="110">
        <f t="shared" si="74"/>
        <v>0.79762255314916974</v>
      </c>
      <c r="H222" s="412" t="b">
        <f>Wh_hp&gt;='2019'!Maxi_hp</f>
        <v>1</v>
      </c>
      <c r="I222" s="388">
        <f>IF(H222,Wh_hp,'2019'!Maxi_hp)</f>
        <v>47.998118919388709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1.061810588450629E-2</v>
      </c>
      <c r="M222" s="832"/>
      <c r="N222" s="832"/>
      <c r="O222" s="48">
        <f>IF(t&lt;Tnet,'2019'!Resal+('2019'!Salim-'2019'!Resal)*(1-EXP(('2019'!Tnet-t)/('2019'!Tau_j))),Resal+(Salim-Resal)*(1-EXP((Tnet-t)/(Tau_j))))*Salcycl</f>
        <v>4.1863613437291343E-2</v>
      </c>
      <c r="P222" s="169">
        <f>(INDEX(Models!$BJ222:$BT222,,T222)*(1-R222)+INDEX(Models!$BJ222:$BT222,,T222+1)*R222-ERP_i)*Q222*Ramure*Pc/MaxiM</f>
        <v>7.5149942395488409E-5</v>
      </c>
      <c r="Q222" s="304">
        <f t="shared" si="78"/>
        <v>0.6</v>
      </c>
      <c r="R222" s="177">
        <f t="shared" si="79"/>
        <v>0.43587702813959384</v>
      </c>
      <c r="S222" s="799">
        <f t="shared" si="80"/>
        <v>-1</v>
      </c>
      <c r="T222" s="176">
        <f t="shared" si="81"/>
        <v>5</v>
      </c>
      <c r="U222" s="250">
        <f t="shared" si="82"/>
        <v>-0.56412297186040616</v>
      </c>
      <c r="V222" s="382">
        <f t="shared" si="83"/>
        <v>57.040778665526425</v>
      </c>
      <c r="W222" s="58"/>
      <c r="X222" s="157">
        <f t="shared" si="84"/>
        <v>44038</v>
      </c>
      <c r="Y222" s="383">
        <f t="shared" si="85"/>
        <v>45.497999999999998</v>
      </c>
      <c r="Z222" s="383">
        <f t="shared" si="86"/>
        <v>45.986287267441007</v>
      </c>
      <c r="AA222" s="384">
        <f t="shared" si="87"/>
        <v>47.995554612444806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4.1863613437291343E-2</v>
      </c>
      <c r="AD222" s="230">
        <f>(INDEX(Models!$BJ222:$BT222,,AH222)*(1-AF222)+INDEX(Models!$BJ222:$BT222,,AH222+1)*AF222-ERP_i)*AE222*Ramure*Pc/MaxiM</f>
        <v>7.5149942395488409E-5</v>
      </c>
      <c r="AE222" s="304">
        <f t="shared" si="89"/>
        <v>0.6</v>
      </c>
      <c r="AF222" s="177">
        <f t="shared" si="90"/>
        <v>0.43587702813959384</v>
      </c>
      <c r="AG222" s="176">
        <f t="shared" si="91"/>
        <v>-1</v>
      </c>
      <c r="AH222" s="176">
        <f t="shared" si="92"/>
        <v>5</v>
      </c>
      <c r="AI222" s="224">
        <f t="shared" si="93"/>
        <v>-0.56412297186040616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53.284999999999997</v>
      </c>
      <c r="C223" s="388"/>
      <c r="D223" s="391">
        <f t="shared" si="75"/>
        <v>53.857889993102937</v>
      </c>
      <c r="E223" s="383">
        <f t="shared" si="73"/>
        <v>56.21447544946615</v>
      </c>
      <c r="F223" s="383">
        <f t="shared" si="76"/>
        <v>56.218409152668862</v>
      </c>
      <c r="G223" s="110">
        <f t="shared" si="74"/>
        <v>0.93613410155559118</v>
      </c>
      <c r="H223" s="412" t="b">
        <f>Wh_hp&gt;='2019'!Maxi_hp</f>
        <v>1</v>
      </c>
      <c r="I223" s="388">
        <f>IF(H223,Wh_hp,'2019'!Maxi_hp)</f>
        <v>56.218409152668862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1.0637067162792779E-2</v>
      </c>
      <c r="M223" s="832"/>
      <c r="N223" s="832"/>
      <c r="O223" s="48">
        <f>IF(t&lt;Tnet,'2019'!Resal+('2019'!Salim-'2019'!Resal)*(1-EXP(('2019'!Tnet-t)/('2019'!Tau_j))),Resal+(Salim-Resal)*(1-EXP((Tnet-t)/(Tau_j))))*Salcycl</f>
        <v>4.1921327870108008E-2</v>
      </c>
      <c r="P223" s="169">
        <f>(INDEX(Models!$BJ223:$BT223,,T223)*(1-R223)+INDEX(Models!$BJ223:$BT223,,T223+1)*R223-ERP_i)*Q223*Ramure*Pc/MaxiM</f>
        <v>7.6995955048959409E-5</v>
      </c>
      <c r="Q223" s="304">
        <f t="shared" si="78"/>
        <v>0.6</v>
      </c>
      <c r="R223" s="177">
        <f t="shared" si="79"/>
        <v>0.43811802752617535</v>
      </c>
      <c r="S223" s="799">
        <f t="shared" si="80"/>
        <v>-1</v>
      </c>
      <c r="T223" s="176">
        <f t="shared" si="81"/>
        <v>5</v>
      </c>
      <c r="U223" s="250">
        <f t="shared" si="82"/>
        <v>-0.56188197247382465</v>
      </c>
      <c r="V223" s="382">
        <f t="shared" si="83"/>
        <v>56.919863941596006</v>
      </c>
      <c r="W223" s="58"/>
      <c r="X223" s="157">
        <f t="shared" si="84"/>
        <v>44039</v>
      </c>
      <c r="Y223" s="383">
        <f t="shared" si="85"/>
        <v>53.284999999999997</v>
      </c>
      <c r="Z223" s="383">
        <f t="shared" si="86"/>
        <v>53.857889993102937</v>
      </c>
      <c r="AA223" s="384">
        <f t="shared" si="87"/>
        <v>56.21447544946615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4.1921327870108008E-2</v>
      </c>
      <c r="AD223" s="230">
        <f>(INDEX(Models!$BJ223:$BT223,,AH223)*(1-AF223)+INDEX(Models!$BJ223:$BT223,,AH223+1)*AF223-ERP_i)*AE223*Ramure*Pc/MaxiM</f>
        <v>7.6995955048959409E-5</v>
      </c>
      <c r="AE223" s="304">
        <f t="shared" si="89"/>
        <v>0.6</v>
      </c>
      <c r="AF223" s="177">
        <f t="shared" si="90"/>
        <v>0.43811802752617535</v>
      </c>
      <c r="AG223" s="176">
        <f t="shared" si="91"/>
        <v>-1</v>
      </c>
      <c r="AH223" s="176">
        <f t="shared" si="92"/>
        <v>5</v>
      </c>
      <c r="AI223" s="224">
        <f t="shared" si="93"/>
        <v>-0.56188197247382465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34.636000000000003</v>
      </c>
      <c r="C224" s="388"/>
      <c r="D224" s="391">
        <f t="shared" si="75"/>
        <v>35.009057499690186</v>
      </c>
      <c r="E224" s="383">
        <f t="shared" si="73"/>
        <v>36.543094119959797</v>
      </c>
      <c r="F224" s="383">
        <f t="shared" si="76"/>
        <v>36.544368900622857</v>
      </c>
      <c r="G224" s="110">
        <f t="shared" si="74"/>
        <v>0.60979893205306812</v>
      </c>
      <c r="H224" s="412" t="b">
        <f>Wh_hp&gt;='2019'!Maxi_hp</f>
        <v>0</v>
      </c>
      <c r="I224" s="388">
        <f>IF(H224,Wh_hp,'2019'!Maxi_hp)</f>
        <v>59.204840320642759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1.0656028077690616E-2</v>
      </c>
      <c r="M224" s="832"/>
      <c r="N224" s="832"/>
      <c r="O224" s="48">
        <f>IF(t&lt;Tnet,'2019'!Resal+('2019'!Salim-'2019'!Resal)*(1-EXP(('2019'!Tnet-t)/('2019'!Tau_j))),Resal+(Salim-Resal)*(1-EXP((Tnet-t)/(Tau_j))))*Salcycl</f>
        <v>4.1978837786254213E-2</v>
      </c>
      <c r="P224" s="169">
        <f>(INDEX(Models!$BJ224:$BT224,,T224)*(1-R224)+INDEX(Models!$BJ224:$BT224,,T224+1)*R224-ERP_i)*Q224*Ramure*Pc/MaxiM</f>
        <v>7.8812584576127716E-5</v>
      </c>
      <c r="Q224" s="304">
        <f t="shared" si="78"/>
        <v>0.6</v>
      </c>
      <c r="R224" s="177">
        <f t="shared" si="79"/>
        <v>0.44029049653020869</v>
      </c>
      <c r="S224" s="799">
        <f t="shared" si="80"/>
        <v>-1</v>
      </c>
      <c r="T224" s="176">
        <f t="shared" si="81"/>
        <v>5</v>
      </c>
      <c r="U224" s="250">
        <f t="shared" si="82"/>
        <v>-0.55970950346979131</v>
      </c>
      <c r="V224" s="382">
        <f t="shared" si="83"/>
        <v>56.796554707772948</v>
      </c>
      <c r="W224" s="58"/>
      <c r="X224" s="157">
        <f t="shared" si="84"/>
        <v>44040</v>
      </c>
      <c r="Y224" s="383">
        <f t="shared" si="85"/>
        <v>34.636000000000003</v>
      </c>
      <c r="Z224" s="383">
        <f t="shared" si="86"/>
        <v>35.009057499690186</v>
      </c>
      <c r="AA224" s="384">
        <f t="shared" si="87"/>
        <v>36.543094119959797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4.1978837786254213E-2</v>
      </c>
      <c r="AD224" s="230">
        <f>(INDEX(Models!$BJ224:$BT224,,AH224)*(1-AF224)+INDEX(Models!$BJ224:$BT224,,AH224+1)*AF224-ERP_i)*AE224*Ramure*Pc/MaxiM</f>
        <v>7.8812584576127716E-5</v>
      </c>
      <c r="AE224" s="304">
        <f t="shared" si="89"/>
        <v>0.6</v>
      </c>
      <c r="AF224" s="177">
        <f t="shared" si="90"/>
        <v>0.44029049653020869</v>
      </c>
      <c r="AG224" s="176">
        <f t="shared" si="91"/>
        <v>-1</v>
      </c>
      <c r="AH224" s="176">
        <f t="shared" si="92"/>
        <v>5</v>
      </c>
      <c r="AI224" s="224">
        <f t="shared" si="93"/>
        <v>-0.55970950346979131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49.616999999999997</v>
      </c>
      <c r="C225" s="388"/>
      <c r="D225" s="391">
        <f t="shared" si="75"/>
        <v>50.152376043997378</v>
      </c>
      <c r="E225" s="383">
        <f t="shared" si="73"/>
        <v>52.353098905704975</v>
      </c>
      <c r="F225" s="383">
        <f t="shared" si="76"/>
        <v>52.35656845482881</v>
      </c>
      <c r="G225" s="110">
        <f t="shared" si="74"/>
        <v>0.87551692002406112</v>
      </c>
      <c r="H225" s="412" t="b">
        <f>Wh_hp&gt;='2019'!Maxi_hp</f>
        <v>1</v>
      </c>
      <c r="I225" s="388">
        <f>IF(H225,Wh_hp,'2019'!Maxi_hp)</f>
        <v>52.35656845482881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1.0674988629206905E-2</v>
      </c>
      <c r="M225" s="832"/>
      <c r="N225" s="832"/>
      <c r="O225" s="48">
        <f>IF(t&lt;Tnet,'2019'!Resal+('2019'!Salim-'2019'!Resal)*(1-EXP(('2019'!Tnet-t)/('2019'!Tau_j))),Resal+(Salim-Resal)*(1-EXP((Tnet-t)/(Tau_j))))*Salcycl</f>
        <v>4.2036152734175325E-2</v>
      </c>
      <c r="P225" s="169">
        <f>(INDEX(Models!$BJ225:$BT225,,T225)*(1-R225)+INDEX(Models!$BJ225:$BT225,,T225+1)*R225-ERP_i)*Q225*Ramure*Pc/MaxiM</f>
        <v>8.0599498734911488E-5</v>
      </c>
      <c r="Q225" s="304">
        <f t="shared" si="78"/>
        <v>0.6</v>
      </c>
      <c r="R225" s="177">
        <f t="shared" si="79"/>
        <v>0.44239578007709113</v>
      </c>
      <c r="S225" s="799">
        <f t="shared" si="80"/>
        <v>-1</v>
      </c>
      <c r="T225" s="176">
        <f t="shared" si="81"/>
        <v>5</v>
      </c>
      <c r="U225" s="250">
        <f t="shared" si="82"/>
        <v>-0.55760421992290887</v>
      </c>
      <c r="V225" s="382">
        <f t="shared" si="83"/>
        <v>56.670850919040873</v>
      </c>
      <c r="W225" s="58"/>
      <c r="X225" s="157">
        <f t="shared" si="84"/>
        <v>44041</v>
      </c>
      <c r="Y225" s="383">
        <f t="shared" si="85"/>
        <v>49.616999999999997</v>
      </c>
      <c r="Z225" s="383">
        <f t="shared" si="86"/>
        <v>50.152376043997378</v>
      </c>
      <c r="AA225" s="384">
        <f t="shared" si="87"/>
        <v>52.353098905704975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4.2036152734175325E-2</v>
      </c>
      <c r="AD225" s="230">
        <f>(INDEX(Models!$BJ225:$BT225,,AH225)*(1-AF225)+INDEX(Models!$BJ225:$BT225,,AH225+1)*AF225-ERP_i)*AE225*Ramure*Pc/MaxiM</f>
        <v>8.0599498734911488E-5</v>
      </c>
      <c r="AE225" s="304">
        <f t="shared" si="89"/>
        <v>0.6</v>
      </c>
      <c r="AF225" s="177">
        <f t="shared" si="90"/>
        <v>0.44239578007709113</v>
      </c>
      <c r="AG225" s="176">
        <f t="shared" si="91"/>
        <v>-1</v>
      </c>
      <c r="AH225" s="176">
        <f t="shared" si="92"/>
        <v>5</v>
      </c>
      <c r="AI225" s="224">
        <f t="shared" si="93"/>
        <v>-0.55760421992290887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53.23</v>
      </c>
      <c r="C226" s="388"/>
      <c r="D226" s="391">
        <f t="shared" si="75"/>
        <v>53.805392109314376</v>
      </c>
      <c r="E226" s="383">
        <f t="shared" si="73"/>
        <v>56.169761687001078</v>
      </c>
      <c r="F226" s="383">
        <f t="shared" si="76"/>
        <v>56.174003852080347</v>
      </c>
      <c r="G226" s="110">
        <f t="shared" si="74"/>
        <v>0.94140510575007863</v>
      </c>
      <c r="H226" s="412" t="b">
        <f>Wh_hp&gt;='2019'!Maxi_hp</f>
        <v>0</v>
      </c>
      <c r="I226" s="388">
        <f>IF(H226,Wh_hp,'2019'!Maxi_hp)</f>
        <v>56.915628803098912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1.0693948817348531E-2</v>
      </c>
      <c r="M226" s="832"/>
      <c r="N226" s="832"/>
      <c r="O226" s="48">
        <f>IF(t&lt;Tnet,'2019'!Resal+('2019'!Salim-'2019'!Resal)*(1-EXP(('2019'!Tnet-t)/('2019'!Tau_j))),Resal+(Salim-Resal)*(1-EXP((Tnet-t)/(Tau_j))))*Salcycl</f>
        <v>4.2093281272259239E-2</v>
      </c>
      <c r="P226" s="169">
        <f>(INDEX(Models!$BJ226:$BT226,,T226)*(1-R226)+INDEX(Models!$BJ226:$BT226,,T226+1)*R226-ERP_i)*Q226*Ramure*Pc/MaxiM</f>
        <v>8.2416357214230328E-5</v>
      </c>
      <c r="Q226" s="304">
        <f t="shared" si="78"/>
        <v>0.6</v>
      </c>
      <c r="R226" s="177">
        <f t="shared" si="79"/>
        <v>0.44443525114256421</v>
      </c>
      <c r="S226" s="799">
        <f t="shared" si="80"/>
        <v>-1</v>
      </c>
      <c r="T226" s="176">
        <f t="shared" si="81"/>
        <v>5</v>
      </c>
      <c r="U226" s="250">
        <f t="shared" si="82"/>
        <v>-0.55556474885743579</v>
      </c>
      <c r="V226" s="382">
        <f t="shared" si="83"/>
        <v>56.54274919837642</v>
      </c>
      <c r="W226" s="58"/>
      <c r="X226" s="157">
        <f t="shared" si="84"/>
        <v>44042</v>
      </c>
      <c r="Y226" s="383">
        <f t="shared" si="85"/>
        <v>53.23</v>
      </c>
      <c r="Z226" s="383">
        <f t="shared" si="86"/>
        <v>53.805392109314376</v>
      </c>
      <c r="AA226" s="384">
        <f t="shared" si="87"/>
        <v>56.169761687001078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4.2093281272259239E-2</v>
      </c>
      <c r="AD226" s="230">
        <f>(INDEX(Models!$BJ226:$BT226,,AH226)*(1-AF226)+INDEX(Models!$BJ226:$BT226,,AH226+1)*AF226-ERP_i)*AE226*Ramure*Pc/MaxiM</f>
        <v>8.2416357214230328E-5</v>
      </c>
      <c r="AE226" s="304">
        <f t="shared" si="89"/>
        <v>0.6</v>
      </c>
      <c r="AF226" s="177">
        <f t="shared" si="90"/>
        <v>0.44443525114256421</v>
      </c>
      <c r="AG226" s="176">
        <f t="shared" si="91"/>
        <v>-1</v>
      </c>
      <c r="AH226" s="176">
        <f t="shared" si="92"/>
        <v>5</v>
      </c>
      <c r="AI226" s="224">
        <f t="shared" si="93"/>
        <v>-0.55556474885743579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51.5</v>
      </c>
      <c r="C227" s="388"/>
      <c r="D227" s="391">
        <f t="shared" si="75"/>
        <v>52.057689269261601</v>
      </c>
      <c r="E227" s="383">
        <f t="shared" si="73"/>
        <v>54.348490705412495</v>
      </c>
      <c r="F227" s="383">
        <f t="shared" si="76"/>
        <v>54.352502015602994</v>
      </c>
      <c r="G227" s="110">
        <f t="shared" si="74"/>
        <v>0.91291273688764285</v>
      </c>
      <c r="H227" s="412" t="b">
        <f>Wh_hp&gt;='2019'!Maxi_hp</f>
        <v>1</v>
      </c>
      <c r="I227" s="388">
        <f>IF(H227,Wh_hp,'2019'!Maxi_hp)</f>
        <v>54.352502015602994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1.0712908642122487E-2</v>
      </c>
      <c r="M227" s="832"/>
      <c r="N227" s="832"/>
      <c r="O227" s="48">
        <f>IF(t&lt;Tnet,'2019'!Resal+('2019'!Salim-'2019'!Resal)*(1-EXP(('2019'!Tnet-t)/('2019'!Tau_j))),Resal+(Salim-Resal)*(1-EXP((Tnet-t)/(Tau_j))))*Salcycl</f>
        <v>4.2150230970862117E-2</v>
      </c>
      <c r="P227" s="169">
        <f>(INDEX(Models!$BJ227:$BT227,,T227)*(1-R227)+INDEX(Models!$BJ227:$BT227,,T227+1)*R227-ERP_i)*Q227*Ramure*Pc/MaxiM</f>
        <v>8.4286751623278522E-5</v>
      </c>
      <c r="Q227" s="304">
        <f t="shared" si="78"/>
        <v>0.6</v>
      </c>
      <c r="R227" s="177">
        <f t="shared" si="79"/>
        <v>0.44641030587123343</v>
      </c>
      <c r="S227" s="799">
        <f t="shared" si="80"/>
        <v>-1</v>
      </c>
      <c r="T227" s="176">
        <f t="shared" si="81"/>
        <v>5</v>
      </c>
      <c r="U227" s="250">
        <f t="shared" si="82"/>
        <v>-0.55358969412876657</v>
      </c>
      <c r="V227" s="382">
        <f t="shared" si="83"/>
        <v>56.412248292799411</v>
      </c>
      <c r="W227" s="58"/>
      <c r="X227" s="157">
        <f t="shared" si="84"/>
        <v>44043</v>
      </c>
      <c r="Y227" s="383">
        <f t="shared" si="85"/>
        <v>51.5</v>
      </c>
      <c r="Z227" s="383">
        <f t="shared" si="86"/>
        <v>52.057689269261601</v>
      </c>
      <c r="AA227" s="384">
        <f t="shared" si="87"/>
        <v>54.348490705412495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4.2150230970862117E-2</v>
      </c>
      <c r="AD227" s="230">
        <f>(INDEX(Models!$BJ227:$BT227,,AH227)*(1-AF227)+INDEX(Models!$BJ227:$BT227,,AH227+1)*AF227-ERP_i)*AE227*Ramure*Pc/MaxiM</f>
        <v>8.4286751623278522E-5</v>
      </c>
      <c r="AE227" s="304">
        <f t="shared" si="89"/>
        <v>0.6</v>
      </c>
      <c r="AF227" s="177">
        <f t="shared" si="90"/>
        <v>0.44641030587123343</v>
      </c>
      <c r="AG227" s="176">
        <f t="shared" si="91"/>
        <v>-1</v>
      </c>
      <c r="AH227" s="176">
        <f t="shared" si="92"/>
        <v>5</v>
      </c>
      <c r="AI227" s="224">
        <f t="shared" si="93"/>
        <v>-0.55358969412876657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45.91</v>
      </c>
      <c r="C228" s="388"/>
      <c r="D228" s="391">
        <f t="shared" si="75"/>
        <v>46.40804501807694</v>
      </c>
      <c r="E228" s="383">
        <f t="shared" si="73"/>
        <v>48.453105656559515</v>
      </c>
      <c r="F228" s="383">
        <f t="shared" si="76"/>
        <v>48.456183576394736</v>
      </c>
      <c r="G228" s="110">
        <f t="shared" si="74"/>
        <v>0.81573364891445066</v>
      </c>
      <c r="H228" s="412" t="b">
        <f>Wh_hp&gt;='2019'!Maxi_hp</f>
        <v>0</v>
      </c>
      <c r="I228" s="388">
        <f>IF(H228,Wh_hp,'2019'!Maxi_hp)</f>
        <v>56.407154558267514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1.0731868103535658E-2</v>
      </c>
      <c r="M228" s="832"/>
      <c r="N228" s="832"/>
      <c r="O228" s="48">
        <f>IF(t&lt;Tnet,'2019'!Resal+('2019'!Salim-'2019'!Resal)*(1-EXP(('2019'!Tnet-t)/('2019'!Tau_j))),Resal+(Salim-Resal)*(1-EXP((Tnet-t)/(Tau_j))))*Salcycl</f>
        <v>4.2207008421259358E-2</v>
      </c>
      <c r="P228" s="169">
        <f>(INDEX(Models!$BJ228:$BT228,,T228)*(1-R228)+INDEX(Models!$BJ228:$BT228,,T228+1)*R228-ERP_i)*Q228*Ramure*Pc/MaxiM</f>
        <v>8.6211476298780044E-5</v>
      </c>
      <c r="Q228" s="304">
        <f t="shared" si="78"/>
        <v>0.6</v>
      </c>
      <c r="R228" s="177">
        <f t="shared" si="79"/>
        <v>0.44832235895587025</v>
      </c>
      <c r="S228" s="799">
        <f t="shared" si="80"/>
        <v>-1</v>
      </c>
      <c r="T228" s="176">
        <f t="shared" si="81"/>
        <v>5</v>
      </c>
      <c r="U228" s="250">
        <f t="shared" si="82"/>
        <v>-0.55167764104412975</v>
      </c>
      <c r="V228" s="382">
        <f t="shared" si="83"/>
        <v>56.279348305889044</v>
      </c>
      <c r="W228" s="58"/>
      <c r="X228" s="157">
        <f t="shared" si="84"/>
        <v>44044</v>
      </c>
      <c r="Y228" s="383">
        <f t="shared" si="85"/>
        <v>45.91</v>
      </c>
      <c r="Z228" s="383">
        <f t="shared" si="86"/>
        <v>46.40804501807694</v>
      </c>
      <c r="AA228" s="384">
        <f t="shared" si="87"/>
        <v>48.453105656559515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4.2207008421259358E-2</v>
      </c>
      <c r="AD228" s="230">
        <f>(INDEX(Models!$BJ228:$BT228,,AH228)*(1-AF228)+INDEX(Models!$BJ228:$BT228,,AH228+1)*AF228-ERP_i)*AE228*Ramure*Pc/MaxiM</f>
        <v>8.6211476298780044E-5</v>
      </c>
      <c r="AE228" s="304">
        <f t="shared" si="89"/>
        <v>0.6</v>
      </c>
      <c r="AF228" s="177">
        <f t="shared" si="90"/>
        <v>0.44832235895587025</v>
      </c>
      <c r="AG228" s="176">
        <f t="shared" si="91"/>
        <v>-1</v>
      </c>
      <c r="AH228" s="176">
        <f t="shared" si="92"/>
        <v>5</v>
      </c>
      <c r="AI228" s="224">
        <f t="shared" si="93"/>
        <v>-0.55167764104412975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34.630000000000003</v>
      </c>
      <c r="C229" s="388"/>
      <c r="D229" s="391">
        <f t="shared" si="75"/>
        <v>35.006347189594379</v>
      </c>
      <c r="E229" s="383">
        <f t="shared" si="73"/>
        <v>36.551130241308726</v>
      </c>
      <c r="F229" s="383">
        <f t="shared" si="76"/>
        <v>36.552589188790996</v>
      </c>
      <c r="G229" s="110">
        <f t="shared" si="74"/>
        <v>0.61677646070667047</v>
      </c>
      <c r="H229" s="412" t="b">
        <f>Wh_hp&gt;='2019'!Maxi_hp</f>
        <v>0</v>
      </c>
      <c r="I229" s="388">
        <f>IF(H229,Wh_hp,'2019'!Maxi_hp)</f>
        <v>56.932913500318811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1.0750827201595148E-2</v>
      </c>
      <c r="M229" s="832"/>
      <c r="N229" s="832"/>
      <c r="O229" s="48">
        <f>IF(t&lt;Tnet,'2019'!Resal+('2019'!Salim-'2019'!Resal)*(1-EXP(('2019'!Tnet-t)/('2019'!Tau_j))),Resal+(Salim-Resal)*(1-EXP((Tnet-t)/(Tau_j))))*Salcycl</f>
        <v>4.2263619251053701E-2</v>
      </c>
      <c r="P229" s="169">
        <f>(INDEX(Models!$BJ229:$BT229,,T229)*(1-R229)+INDEX(Models!$BJ229:$BT229,,T229+1)*R229-ERP_i)*Q229*Ramure*Pc/MaxiM</f>
        <v>8.8191316662139784E-5</v>
      </c>
      <c r="Q229" s="304">
        <f t="shared" si="78"/>
        <v>0.6</v>
      </c>
      <c r="R229" s="177">
        <f t="shared" si="79"/>
        <v>0.4501728392785932</v>
      </c>
      <c r="S229" s="799">
        <f t="shared" si="80"/>
        <v>-1</v>
      </c>
      <c r="T229" s="176">
        <f t="shared" si="81"/>
        <v>5</v>
      </c>
      <c r="U229" s="250">
        <f t="shared" si="82"/>
        <v>-0.5498271607214068</v>
      </c>
      <c r="V229" s="382">
        <f t="shared" si="83"/>
        <v>56.144049398730751</v>
      </c>
      <c r="W229" s="58"/>
      <c r="X229" s="157">
        <f t="shared" si="84"/>
        <v>44045</v>
      </c>
      <c r="Y229" s="383">
        <f t="shared" si="85"/>
        <v>34.630000000000003</v>
      </c>
      <c r="Z229" s="383">
        <f t="shared" si="86"/>
        <v>35.006347189594379</v>
      </c>
      <c r="AA229" s="384">
        <f t="shared" si="87"/>
        <v>36.551130241308726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4.2263619251053701E-2</v>
      </c>
      <c r="AD229" s="230">
        <f>(INDEX(Models!$BJ229:$BT229,,AH229)*(1-AF229)+INDEX(Models!$BJ229:$BT229,,AH229+1)*AF229-ERP_i)*AE229*Ramure*Pc/MaxiM</f>
        <v>8.8191316662139784E-5</v>
      </c>
      <c r="AE229" s="304">
        <f t="shared" si="89"/>
        <v>0.6</v>
      </c>
      <c r="AF229" s="177">
        <f t="shared" si="90"/>
        <v>0.4501728392785932</v>
      </c>
      <c r="AG229" s="176">
        <f t="shared" si="91"/>
        <v>-1</v>
      </c>
      <c r="AH229" s="176">
        <f t="shared" si="92"/>
        <v>5</v>
      </c>
      <c r="AI229" s="224">
        <f t="shared" si="93"/>
        <v>-0.5498271607214068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47.789000000000001</v>
      </c>
      <c r="C230" s="388"/>
      <c r="D230" s="391">
        <f t="shared" si="75"/>
        <v>48.309280610916602</v>
      </c>
      <c r="E230" s="383">
        <f t="shared" si="73"/>
        <v>50.44407740420003</v>
      </c>
      <c r="F230" s="383">
        <f t="shared" si="76"/>
        <v>50.447675091739939</v>
      </c>
      <c r="G230" s="110">
        <f t="shared" si="74"/>
        <v>0.85326207887937122</v>
      </c>
      <c r="H230" s="412" t="b">
        <f>Wh_hp&gt;='2019'!Maxi_hp</f>
        <v>0</v>
      </c>
      <c r="I230" s="388">
        <f>IF(H230,Wh_hp,'2019'!Maxi_hp)</f>
        <v>54.159308534997784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1.0769785936307841E-2</v>
      </c>
      <c r="M230" s="832"/>
      <c r="N230" s="832"/>
      <c r="O230" s="48">
        <f>IF(t&lt;Tnet,'2019'!Resal+('2019'!Salim-'2019'!Resal)*(1-EXP(('2019'!Tnet-t)/('2019'!Tau_j))),Resal+(Salim-Resal)*(1-EXP((Tnet-t)/(Tau_j))))*Salcycl</f>
        <v>4.2320068145515893E-2</v>
      </c>
      <c r="P230" s="169">
        <f>(INDEX(Models!$BJ230:$BT230,,T230)*(1-R230)+INDEX(Models!$BJ230:$BT230,,T230+1)*R230-ERP_i)*Q230*Ramure*Pc/MaxiM</f>
        <v>9.0227049050285604E-5</v>
      </c>
      <c r="Q230" s="304">
        <f t="shared" si="78"/>
        <v>0.6</v>
      </c>
      <c r="R230" s="177">
        <f t="shared" si="79"/>
        <v>0.45196318581327</v>
      </c>
      <c r="S230" s="799">
        <f t="shared" si="80"/>
        <v>-1</v>
      </c>
      <c r="T230" s="176">
        <f t="shared" si="81"/>
        <v>5</v>
      </c>
      <c r="U230" s="250">
        <f t="shared" si="82"/>
        <v>-0.54803681418673</v>
      </c>
      <c r="V230" s="382">
        <f t="shared" si="83"/>
        <v>56.006351789795353</v>
      </c>
      <c r="W230" s="58"/>
      <c r="X230" s="157">
        <f t="shared" si="84"/>
        <v>44046</v>
      </c>
      <c r="Y230" s="383">
        <f t="shared" si="85"/>
        <v>47.789000000000001</v>
      </c>
      <c r="Z230" s="383">
        <f t="shared" si="86"/>
        <v>48.309280610916602</v>
      </c>
      <c r="AA230" s="384">
        <f t="shared" si="87"/>
        <v>50.44407740420003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4.2320068145515893E-2</v>
      </c>
      <c r="AD230" s="230">
        <f>(INDEX(Models!$BJ230:$BT230,,AH230)*(1-AF230)+INDEX(Models!$BJ230:$BT230,,AH230+1)*AF230-ERP_i)*AE230*Ramure*Pc/MaxiM</f>
        <v>9.0227049050285604E-5</v>
      </c>
      <c r="AE230" s="304">
        <f t="shared" si="89"/>
        <v>0.6</v>
      </c>
      <c r="AF230" s="177">
        <f t="shared" si="90"/>
        <v>0.45196318581327</v>
      </c>
      <c r="AG230" s="176">
        <f t="shared" si="91"/>
        <v>-1</v>
      </c>
      <c r="AH230" s="176">
        <f t="shared" si="92"/>
        <v>5</v>
      </c>
      <c r="AI230" s="224">
        <f t="shared" si="93"/>
        <v>-0.54803681418673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54.463000000000001</v>
      </c>
      <c r="C231" s="388"/>
      <c r="D231" s="391">
        <f t="shared" si="75"/>
        <v>55.056995850580954</v>
      </c>
      <c r="E231" s="383">
        <f t="shared" si="73"/>
        <v>57.493354890298924</v>
      </c>
      <c r="F231" s="383">
        <f t="shared" si="76"/>
        <v>57.498472641811972</v>
      </c>
      <c r="G231" s="110">
        <f t="shared" si="74"/>
        <v>0.97487864237027377</v>
      </c>
      <c r="H231" s="412" t="b">
        <f>Wh_hp&gt;='2019'!Maxi_hp</f>
        <v>1</v>
      </c>
      <c r="I231" s="388">
        <f>IF(H231,Wh_hp,'2019'!Maxi_hp)</f>
        <v>57.498472641811972</v>
      </c>
      <c r="J231" s="85">
        <f>IF(H231,An,'2019'!An_max)</f>
        <v>2020</v>
      </c>
      <c r="K231" s="197">
        <f t="shared" si="77"/>
        <v>44047</v>
      </c>
      <c r="L231" s="147">
        <f>IF(t&lt;Tvie,1-EXP((T0-t)*PertePVj)+'2019'!Pspv,1-EXP((T0-t)*PertePVj)+Pspv)</f>
        <v>1.078874430768062E-2</v>
      </c>
      <c r="M231" s="832"/>
      <c r="N231" s="832"/>
      <c r="O231" s="48">
        <f>IF(t&lt;Tnet,'2019'!Resal+('2019'!Salim-'2019'!Resal)*(1-EXP(('2019'!Tnet-t)/('2019'!Tau_j))),Resal+(Salim-Resal)*(1-EXP((Tnet-t)/(Tau_j))))*Salcycl</f>
        <v>4.2376358874285598E-2</v>
      </c>
      <c r="P231" s="169">
        <f>(INDEX(Models!$BJ231:$BT231,,T231)*(1-R231)+INDEX(Models!$BJ231:$BT231,,T231+1)*R231-ERP_i)*Q231*Ramure*Pc/MaxiM</f>
        <v>9.231944056234482E-5</v>
      </c>
      <c r="Q231" s="304">
        <f t="shared" si="78"/>
        <v>0.6</v>
      </c>
      <c r="R231" s="177">
        <f t="shared" si="79"/>
        <v>0.45369484378691238</v>
      </c>
      <c r="S231" s="799">
        <f t="shared" si="80"/>
        <v>-1</v>
      </c>
      <c r="T231" s="176">
        <f t="shared" si="81"/>
        <v>5</v>
      </c>
      <c r="U231" s="250">
        <f t="shared" si="82"/>
        <v>-0.54630515621308762</v>
      </c>
      <c r="V231" s="382">
        <f t="shared" si="83"/>
        <v>55.866255754484499</v>
      </c>
      <c r="W231" s="58"/>
      <c r="X231" s="157">
        <f t="shared" si="84"/>
        <v>44047</v>
      </c>
      <c r="Y231" s="383">
        <f t="shared" si="85"/>
        <v>54.463000000000001</v>
      </c>
      <c r="Z231" s="383">
        <f t="shared" si="86"/>
        <v>55.056995850580954</v>
      </c>
      <c r="AA231" s="384">
        <f t="shared" si="87"/>
        <v>57.493354890298924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4.2376358874285598E-2</v>
      </c>
      <c r="AD231" s="230">
        <f>(INDEX(Models!$BJ231:$BT231,,AH231)*(1-AF231)+INDEX(Models!$BJ231:$BT231,,AH231+1)*AF231-ERP_i)*AE231*Ramure*Pc/MaxiM</f>
        <v>9.231944056234482E-5</v>
      </c>
      <c r="AE231" s="304">
        <f t="shared" si="89"/>
        <v>0.6</v>
      </c>
      <c r="AF231" s="177">
        <f t="shared" si="90"/>
        <v>0.45369484378691238</v>
      </c>
      <c r="AG231" s="176">
        <f t="shared" si="91"/>
        <v>-1</v>
      </c>
      <c r="AH231" s="176">
        <f t="shared" si="92"/>
        <v>5</v>
      </c>
      <c r="AI231" s="224">
        <f t="shared" si="93"/>
        <v>-0.54630515621308762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55.325000000000003</v>
      </c>
      <c r="C232" s="388"/>
      <c r="D232" s="391">
        <f t="shared" si="75"/>
        <v>55.929469052192403</v>
      </c>
      <c r="E232" s="383">
        <f t="shared" si="73"/>
        <v>58.407860250687619</v>
      </c>
      <c r="F232" s="383">
        <f t="shared" si="76"/>
        <v>58.413322100606401</v>
      </c>
      <c r="G232" s="110">
        <f t="shared" si="74"/>
        <v>0.99284299832965006</v>
      </c>
      <c r="H232" s="412" t="b">
        <f>Wh_hp&gt;='2019'!Maxi_hp</f>
        <v>1</v>
      </c>
      <c r="I232" s="388">
        <f>IF(H232,Wh_hp,'2019'!Maxi_hp)</f>
        <v>58.413322100606401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1.0807702315720591E-2</v>
      </c>
      <c r="M232" s="832"/>
      <c r="N232" s="832"/>
      <c r="O232" s="48">
        <f>IF(t&lt;Tnet,'2019'!Resal+('2019'!Salim-'2019'!Resal)*(1-EXP(('2019'!Tnet-t)/('2019'!Tau_j))),Resal+(Salim-Resal)*(1-EXP((Tnet-t)/(Tau_j))))*Salcycl</f>
        <v>4.2432494322817454E-2</v>
      </c>
      <c r="P232" s="169">
        <f>(INDEX(Models!$BJ232:$BT232,,T232)*(1-R232)+INDEX(Models!$BJ232:$BT232,,T232+1)*R232-ERP_i)*Q232*Ramure*Pc/MaxiM</f>
        <v>9.4469248934799809E-5</v>
      </c>
      <c r="Q232" s="304">
        <f t="shared" si="78"/>
        <v>0.6</v>
      </c>
      <c r="R232" s="177">
        <f t="shared" si="79"/>
        <v>0.45536926109644393</v>
      </c>
      <c r="S232" s="799">
        <f t="shared" si="80"/>
        <v>-1</v>
      </c>
      <c r="T232" s="176">
        <f t="shared" si="81"/>
        <v>5</v>
      </c>
      <c r="U232" s="250">
        <f t="shared" si="82"/>
        <v>-0.54463073890355607</v>
      </c>
      <c r="V232" s="382">
        <f t="shared" si="83"/>
        <v>55.72376161979826</v>
      </c>
      <c r="W232" s="58"/>
      <c r="X232" s="157">
        <f t="shared" si="84"/>
        <v>44048</v>
      </c>
      <c r="Y232" s="383">
        <f t="shared" si="85"/>
        <v>55.325000000000003</v>
      </c>
      <c r="Z232" s="383">
        <f t="shared" si="86"/>
        <v>55.929469052192403</v>
      </c>
      <c r="AA232" s="384">
        <f t="shared" si="87"/>
        <v>58.407860250687619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4.2432494322817454E-2</v>
      </c>
      <c r="AD232" s="230">
        <f>(INDEX(Models!$BJ232:$BT232,,AH232)*(1-AF232)+INDEX(Models!$BJ232:$BT232,,AH232+1)*AF232-ERP_i)*AE232*Ramure*Pc/MaxiM</f>
        <v>9.4469248934799809E-5</v>
      </c>
      <c r="AE232" s="304">
        <f t="shared" si="89"/>
        <v>0.6</v>
      </c>
      <c r="AF232" s="177">
        <f t="shared" si="90"/>
        <v>0.45536926109644393</v>
      </c>
      <c r="AG232" s="176">
        <f t="shared" si="91"/>
        <v>-1</v>
      </c>
      <c r="AH232" s="176">
        <f t="shared" si="92"/>
        <v>5</v>
      </c>
      <c r="AI232" s="224">
        <f t="shared" si="93"/>
        <v>-0.54463073890355607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53.555999999999997</v>
      </c>
      <c r="C233" s="388"/>
      <c r="D233" s="391">
        <f t="shared" si="75"/>
        <v>54.142178961129147</v>
      </c>
      <c r="E233" s="383">
        <f t="shared" ref="E233:E296" si="97">Wh_pvt/(1-Psa)</f>
        <v>56.544676104577498</v>
      </c>
      <c r="F233" s="383">
        <f t="shared" si="76"/>
        <v>56.549858824776372</v>
      </c>
      <c r="G233" s="110">
        <f t="shared" ref="G233:G296" si="98">+Wh_hp/MaxiM</f>
        <v>0.96359096227409013</v>
      </c>
      <c r="H233" s="412" t="b">
        <f>Wh_hp&gt;='2019'!Maxi_hp</f>
        <v>1</v>
      </c>
      <c r="I233" s="388">
        <f>IF(H233,Wh_hp,'2019'!Maxi_hp)</f>
        <v>56.549858824776372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1.0826659960434748E-2</v>
      </c>
      <c r="M233" s="832"/>
      <c r="N233" s="832"/>
      <c r="O233" s="48">
        <f>IF(t&lt;Tnet,'2019'!Resal+('2019'!Salim-'2019'!Resal)*(1-EXP(('2019'!Tnet-t)/('2019'!Tau_j))),Resal+(Salim-Resal)*(1-EXP((Tnet-t)/(Tau_j))))*Salcycl</f>
        <v>4.2488476527923029E-2</v>
      </c>
      <c r="P233" s="169">
        <f>(INDEX(Models!$BJ233:$BT233,,T233)*(1-R233)+INDEX(Models!$BJ233:$BT233,,T233+1)*R233-ERP_i)*Q233*Ramure*Pc/MaxiM</f>
        <v>9.667643886339275E-5</v>
      </c>
      <c r="Q233" s="304">
        <f t="shared" si="78"/>
        <v>0.6</v>
      </c>
      <c r="R233" s="177">
        <f t="shared" si="79"/>
        <v>0.4569878849760074</v>
      </c>
      <c r="S233" s="799">
        <f t="shared" si="80"/>
        <v>-1</v>
      </c>
      <c r="T233" s="176">
        <f t="shared" si="81"/>
        <v>5</v>
      </c>
      <c r="U233" s="250">
        <f t="shared" si="82"/>
        <v>-0.5430121150239926</v>
      </c>
      <c r="V233" s="382">
        <f t="shared" si="83"/>
        <v>55.579320277705953</v>
      </c>
      <c r="W233" s="58"/>
      <c r="X233" s="157">
        <f t="shared" si="84"/>
        <v>44049</v>
      </c>
      <c r="Y233" s="383">
        <f t="shared" si="85"/>
        <v>53.555999999999997</v>
      </c>
      <c r="Z233" s="383">
        <f t="shared" si="86"/>
        <v>54.142178961129147</v>
      </c>
      <c r="AA233" s="384">
        <f t="shared" si="87"/>
        <v>56.544676104577498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4.2488476527923029E-2</v>
      </c>
      <c r="AD233" s="230">
        <f>(INDEX(Models!$BJ233:$BT233,,AH233)*(1-AF233)+INDEX(Models!$BJ233:$BT233,,AH233+1)*AF233-ERP_i)*AE233*Ramure*Pc/MaxiM</f>
        <v>9.667643886339275E-5</v>
      </c>
      <c r="AE233" s="304">
        <f t="shared" si="89"/>
        <v>0.6</v>
      </c>
      <c r="AF233" s="177">
        <f t="shared" si="90"/>
        <v>0.4569878849760074</v>
      </c>
      <c r="AG233" s="176">
        <f t="shared" si="91"/>
        <v>-1</v>
      </c>
      <c r="AH233" s="176">
        <f t="shared" si="92"/>
        <v>5</v>
      </c>
      <c r="AI233" s="224">
        <f t="shared" si="93"/>
        <v>-0.5430121150239926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51.975999999999999</v>
      </c>
      <c r="C234" s="388"/>
      <c r="D234" s="391">
        <f t="shared" si="75"/>
        <v>52.545892639194996</v>
      </c>
      <c r="E234" s="383">
        <f t="shared" si="97"/>
        <v>54.880756371093099</v>
      </c>
      <c r="F234" s="383">
        <f t="shared" si="76"/>
        <v>54.885705172557358</v>
      </c>
      <c r="G234" s="110">
        <f t="shared" si="98"/>
        <v>0.9376240711460978</v>
      </c>
      <c r="H234" s="412" t="b">
        <f>Wh_hp&gt;='2019'!Maxi_hp</f>
        <v>0</v>
      </c>
      <c r="I234" s="388">
        <f>IF(H234,Wh_hp,'2019'!Maxi_hp)</f>
        <v>55.078662974016289</v>
      </c>
      <c r="J234" s="85">
        <f>IF(H234,An,'2019'!An_max)</f>
        <v>2018</v>
      </c>
      <c r="K234" s="197">
        <f t="shared" si="77"/>
        <v>44050</v>
      </c>
      <c r="L234" s="147">
        <f>IF(t&lt;Tvie,1-EXP((T0-t)*PertePVj)+'2019'!Pspv,1-EXP((T0-t)*PertePVj)+Pspv)</f>
        <v>1.0845617241829864E-2</v>
      </c>
      <c r="M234" s="832"/>
      <c r="N234" s="832"/>
      <c r="O234" s="48">
        <f>IF(t&lt;Tnet,'2019'!Resal+('2019'!Salim-'2019'!Resal)*(1-EXP(('2019'!Tnet-t)/('2019'!Tau_j))),Resal+(Salim-Resal)*(1-EXP((Tnet-t)/(Tau_j))))*Salcycl</f>
        <v>4.2544306716733343E-2</v>
      </c>
      <c r="P234" s="169">
        <f>(INDEX(Models!$BJ234:$BT234,,T234)*(1-R234)+INDEX(Models!$BJ234:$BT234,,T234+1)*R234-ERP_i)*Q234*Ramure*Pc/MaxiM</f>
        <v>9.8984794585073573E-5</v>
      </c>
      <c r="Q234" s="304">
        <f t="shared" si="78"/>
        <v>0.6</v>
      </c>
      <c r="R234" s="177">
        <f t="shared" si="79"/>
        <v>0.45855215890892898</v>
      </c>
      <c r="S234" s="799">
        <f t="shared" si="80"/>
        <v>-1</v>
      </c>
      <c r="T234" s="176">
        <f t="shared" si="81"/>
        <v>5</v>
      </c>
      <c r="U234" s="250">
        <f t="shared" si="82"/>
        <v>-0.54144784109107102</v>
      </c>
      <c r="V234" s="382">
        <f t="shared" si="83"/>
        <v>55.433241499078335</v>
      </c>
      <c r="W234" s="58"/>
      <c r="X234" s="157">
        <f t="shared" si="84"/>
        <v>44050</v>
      </c>
      <c r="Y234" s="383">
        <f t="shared" si="85"/>
        <v>51.975999999999999</v>
      </c>
      <c r="Z234" s="383">
        <f t="shared" si="86"/>
        <v>52.545892639194996</v>
      </c>
      <c r="AA234" s="384">
        <f t="shared" si="87"/>
        <v>54.880756371093099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4.2544306716733343E-2</v>
      </c>
      <c r="AD234" s="230">
        <f>(INDEX(Models!$BJ234:$BT234,,AH234)*(1-AF234)+INDEX(Models!$BJ234:$BT234,,AH234+1)*AF234-ERP_i)*AE234*Ramure*Pc/MaxiM</f>
        <v>9.8984794585073573E-5</v>
      </c>
      <c r="AE234" s="304">
        <f t="shared" si="89"/>
        <v>0.6</v>
      </c>
      <c r="AF234" s="177">
        <f t="shared" si="90"/>
        <v>0.45855215890892898</v>
      </c>
      <c r="AG234" s="176">
        <f t="shared" si="91"/>
        <v>-1</v>
      </c>
      <c r="AH234" s="176">
        <f t="shared" si="92"/>
        <v>5</v>
      </c>
      <c r="AI234" s="224">
        <f t="shared" si="93"/>
        <v>-0.54144784109107102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50.381999999999998</v>
      </c>
      <c r="C235" s="388"/>
      <c r="D235" s="391">
        <f t="shared" si="75"/>
        <v>50.935391336540029</v>
      </c>
      <c r="E235" s="383">
        <f t="shared" si="97"/>
        <v>53.201786669154032</v>
      </c>
      <c r="F235" s="383">
        <f t="shared" si="76"/>
        <v>53.206498813061685</v>
      </c>
      <c r="G235" s="110">
        <f t="shared" si="98"/>
        <v>0.91129716782412284</v>
      </c>
      <c r="H235" s="412" t="b">
        <f>Wh_hp&gt;='2019'!Maxi_hp</f>
        <v>1</v>
      </c>
      <c r="I235" s="388">
        <f>IF(H235,Wh_hp,'2019'!Maxi_hp)</f>
        <v>53.206498813061685</v>
      </c>
      <c r="J235" s="85">
        <f>IF(H235,An,'2019'!An_max)</f>
        <v>2020</v>
      </c>
      <c r="K235" s="197">
        <f t="shared" si="77"/>
        <v>44051</v>
      </c>
      <c r="L235" s="147">
        <f>IF(t&lt;Tvie,1-EXP((T0-t)*PertePVj)+'2019'!Pspv,1-EXP((T0-t)*PertePVj)+Pspv)</f>
        <v>1.0864574159913043E-2</v>
      </c>
      <c r="M235" s="832"/>
      <c r="N235" s="832"/>
      <c r="O235" s="48">
        <f>IF(t&lt;Tnet,'2019'!Resal+('2019'!Salim-'2019'!Resal)*(1-EXP(('2019'!Tnet-t)/('2019'!Tau_j))),Resal+(Salim-Resal)*(1-EXP((Tnet-t)/(Tau_j))))*Salcycl</f>
        <v>4.2599985348387617E-2</v>
      </c>
      <c r="P235" s="169">
        <f>(INDEX(Models!$BJ235:$BT235,,T235)*(1-R235)+INDEX(Models!$BJ235:$BT235,,T235+1)*R235-ERP_i)*Q235*Ramure*Pc/MaxiM</f>
        <v>1.0141243257504989E-4</v>
      </c>
      <c r="Q235" s="304">
        <f t="shared" si="78"/>
        <v>0.6</v>
      </c>
      <c r="R235" s="177">
        <f t="shared" si="79"/>
        <v>0.46006351977755733</v>
      </c>
      <c r="S235" s="799">
        <f t="shared" si="80"/>
        <v>-1</v>
      </c>
      <c r="T235" s="176">
        <f t="shared" si="81"/>
        <v>5</v>
      </c>
      <c r="U235" s="250">
        <f t="shared" si="82"/>
        <v>-0.53993648022244267</v>
      </c>
      <c r="V235" s="382">
        <f t="shared" si="83"/>
        <v>55.285316752062521</v>
      </c>
      <c r="W235" s="58"/>
      <c r="X235" s="157">
        <f t="shared" si="84"/>
        <v>44051</v>
      </c>
      <c r="Y235" s="383">
        <f t="shared" si="85"/>
        <v>50.381999999999998</v>
      </c>
      <c r="Z235" s="383">
        <f t="shared" si="86"/>
        <v>50.935391336540029</v>
      </c>
      <c r="AA235" s="384">
        <f t="shared" si="87"/>
        <v>53.201786669154032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4.2599985348387617E-2</v>
      </c>
      <c r="AD235" s="230">
        <f>(INDEX(Models!$BJ235:$BT235,,AH235)*(1-AF235)+INDEX(Models!$BJ235:$BT235,,AH235+1)*AF235-ERP_i)*AE235*Ramure*Pc/MaxiM</f>
        <v>1.0141243257504989E-4</v>
      </c>
      <c r="AE235" s="304">
        <f t="shared" si="89"/>
        <v>0.6</v>
      </c>
      <c r="AF235" s="177">
        <f t="shared" si="90"/>
        <v>0.46006351977755733</v>
      </c>
      <c r="AG235" s="176">
        <f t="shared" si="91"/>
        <v>-1</v>
      </c>
      <c r="AH235" s="176">
        <f t="shared" si="92"/>
        <v>5</v>
      </c>
      <c r="AI235" s="224">
        <f t="shared" si="93"/>
        <v>-0.53993648022244267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40.457999999999998</v>
      </c>
      <c r="C236" s="388"/>
      <c r="D236" s="391">
        <f t="shared" si="75"/>
        <v>40.903170917003472</v>
      </c>
      <c r="E236" s="383">
        <f t="shared" si="97"/>
        <v>42.725655640629974</v>
      </c>
      <c r="F236" s="383">
        <f t="shared" si="76"/>
        <v>42.72840843450151</v>
      </c>
      <c r="G236" s="110">
        <f t="shared" si="98"/>
        <v>0.73376533892466589</v>
      </c>
      <c r="H236" s="412" t="b">
        <f>Wh_hp&gt;='2019'!Maxi_hp</f>
        <v>1</v>
      </c>
      <c r="I236" s="388">
        <f>IF(H236,Wh_hp,'2019'!Maxi_hp)</f>
        <v>42.72840843450151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1.0883530714691281E-2</v>
      </c>
      <c r="M236" s="832"/>
      <c r="N236" s="832"/>
      <c r="O236" s="48">
        <f>IF(t&lt;Tnet,'2019'!Resal+('2019'!Salim-'2019'!Resal)*(1-EXP(('2019'!Tnet-t)/('2019'!Tau_j))),Resal+(Salim-Resal)*(1-EXP((Tnet-t)/(Tau_j))))*Salcycl</f>
        <v>4.2655512157744623E-2</v>
      </c>
      <c r="P236" s="169">
        <f>(INDEX(Models!$BJ236:$BT236,,T236)*(1-R236)+INDEX(Models!$BJ236:$BT236,,T236+1)*R236-ERP_i)*Q236*Ramure*Pc/MaxiM</f>
        <v>1.0396116157588532E-4</v>
      </c>
      <c r="Q236" s="304">
        <f t="shared" si="78"/>
        <v>0.6</v>
      </c>
      <c r="R236" s="177">
        <f t="shared" si="79"/>
        <v>0.46152339524345443</v>
      </c>
      <c r="S236" s="799">
        <f t="shared" si="80"/>
        <v>-1</v>
      </c>
      <c r="T236" s="176">
        <f t="shared" si="81"/>
        <v>5</v>
      </c>
      <c r="U236" s="250">
        <f t="shared" si="82"/>
        <v>-0.53847660475654557</v>
      </c>
      <c r="V236" s="382">
        <f t="shared" si="83"/>
        <v>55.135338523220398</v>
      </c>
      <c r="W236" s="58"/>
      <c r="X236" s="157">
        <f t="shared" si="84"/>
        <v>44052</v>
      </c>
      <c r="Y236" s="383">
        <f t="shared" si="85"/>
        <v>40.457999999999998</v>
      </c>
      <c r="Z236" s="383">
        <f t="shared" si="86"/>
        <v>40.903170917003472</v>
      </c>
      <c r="AA236" s="384">
        <f t="shared" si="87"/>
        <v>42.725655640629974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4.2655512157744623E-2</v>
      </c>
      <c r="AD236" s="230">
        <f>(INDEX(Models!$BJ236:$BT236,,AH236)*(1-AF236)+INDEX(Models!$BJ236:$BT236,,AH236+1)*AF236-ERP_i)*AE236*Ramure*Pc/MaxiM</f>
        <v>1.0396116157588532E-4</v>
      </c>
      <c r="AE236" s="304">
        <f t="shared" si="89"/>
        <v>0.6</v>
      </c>
      <c r="AF236" s="177">
        <f t="shared" si="90"/>
        <v>0.46152339524345443</v>
      </c>
      <c r="AG236" s="176">
        <f t="shared" si="91"/>
        <v>-1</v>
      </c>
      <c r="AH236" s="176">
        <f t="shared" si="92"/>
        <v>5</v>
      </c>
      <c r="AI236" s="224">
        <f t="shared" si="93"/>
        <v>-0.53847660475654557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36.767000000000003</v>
      </c>
      <c r="C237" s="388"/>
      <c r="D237" s="391">
        <f t="shared" si="75"/>
        <v>37.17227018900833</v>
      </c>
      <c r="E237" s="383">
        <f t="shared" si="97"/>
        <v>38.830766644224511</v>
      </c>
      <c r="F237" s="383">
        <f t="shared" si="76"/>
        <v>38.832947676296747</v>
      </c>
      <c r="G237" s="110">
        <f t="shared" si="98"/>
        <v>0.6686626386372545</v>
      </c>
      <c r="H237" s="412" t="b">
        <f>Wh_hp&gt;='2019'!Maxi_hp</f>
        <v>1</v>
      </c>
      <c r="I237" s="388">
        <f>IF(H237,Wh_hp,'2019'!Maxi_hp)</f>
        <v>38.832947676296747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1.0902486906171349E-2</v>
      </c>
      <c r="M237" s="832"/>
      <c r="N237" s="832"/>
      <c r="O237" s="48">
        <f>IF(t&lt;Tnet,'2019'!Resal+('2019'!Salim-'2019'!Resal)*(1-EXP(('2019'!Tnet-t)/('2019'!Tau_j))),Resal+(Salim-Resal)*(1-EXP((Tnet-t)/(Tau_j))))*Salcycl</f>
        <v>4.2710886200410782E-2</v>
      </c>
      <c r="P237" s="169">
        <f>(INDEX(Models!$BJ237:$BT237,,T237)*(1-R237)+INDEX(Models!$BJ237:$BT237,,T237+1)*R237-ERP_i)*Q237*Ramure*Pc/MaxiM</f>
        <v>1.0663280922050743E-4</v>
      </c>
      <c r="Q237" s="304">
        <f t="shared" si="78"/>
        <v>0.6</v>
      </c>
      <c r="R237" s="177">
        <f t="shared" si="79"/>
        <v>0.46293320134979687</v>
      </c>
      <c r="S237" s="799">
        <f t="shared" si="80"/>
        <v>-1</v>
      </c>
      <c r="T237" s="176">
        <f t="shared" si="81"/>
        <v>5</v>
      </c>
      <c r="U237" s="250">
        <f t="shared" si="82"/>
        <v>-0.53706679865020313</v>
      </c>
      <c r="V237" s="382">
        <f t="shared" si="83"/>
        <v>54.983099401839681</v>
      </c>
      <c r="W237" s="58"/>
      <c r="X237" s="157">
        <f t="shared" si="84"/>
        <v>44053</v>
      </c>
      <c r="Y237" s="383">
        <f t="shared" si="85"/>
        <v>36.767000000000003</v>
      </c>
      <c r="Z237" s="383">
        <f t="shared" si="86"/>
        <v>37.17227018900833</v>
      </c>
      <c r="AA237" s="384">
        <f t="shared" si="87"/>
        <v>38.830766644224511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4.2710886200410782E-2</v>
      </c>
      <c r="AD237" s="230">
        <f>(INDEX(Models!$BJ237:$BT237,,AH237)*(1-AF237)+INDEX(Models!$BJ237:$BT237,,AH237+1)*AF237-ERP_i)*AE237*Ramure*Pc/MaxiM</f>
        <v>1.0663280922050743E-4</v>
      </c>
      <c r="AE237" s="304">
        <f t="shared" si="89"/>
        <v>0.6</v>
      </c>
      <c r="AF237" s="177">
        <f t="shared" si="90"/>
        <v>0.46293320134979687</v>
      </c>
      <c r="AG237" s="176">
        <f t="shared" si="91"/>
        <v>-1</v>
      </c>
      <c r="AH237" s="176">
        <f t="shared" si="92"/>
        <v>5</v>
      </c>
      <c r="AI237" s="224">
        <f t="shared" si="93"/>
        <v>-0.53706679865020313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42.232999999999997</v>
      </c>
      <c r="C238" s="388"/>
      <c r="D238" s="391">
        <f t="shared" si="75"/>
        <v>42.699338378900229</v>
      </c>
      <c r="E238" s="383">
        <f t="shared" si="97"/>
        <v>44.607006335661112</v>
      </c>
      <c r="F238" s="383">
        <f t="shared" si="76"/>
        <v>44.610285953281704</v>
      </c>
      <c r="G238" s="110">
        <f t="shared" si="98"/>
        <v>0.7702484353133191</v>
      </c>
      <c r="H238" s="412" t="b">
        <f>Wh_hp&gt;='2019'!Maxi_hp</f>
        <v>1</v>
      </c>
      <c r="I238" s="388">
        <f>IF(H238,Wh_hp,'2019'!Maxi_hp)</f>
        <v>44.610285953281704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1.0921442734360354E-2</v>
      </c>
      <c r="M238" s="832"/>
      <c r="N238" s="832"/>
      <c r="O238" s="48">
        <f>IF(t&lt;Tnet,'2019'!Resal+('2019'!Salim-'2019'!Resal)*(1-EXP(('2019'!Tnet-t)/('2019'!Tau_j))),Resal+(Salim-Resal)*(1-EXP((Tnet-t)/(Tau_j))))*Salcycl</f>
        <v>4.2766105898386593E-2</v>
      </c>
      <c r="P238" s="169">
        <f>(INDEX(Models!$BJ238:$BT238,,T238)*(1-R238)+INDEX(Models!$BJ238:$BT238,,T238+1)*R238-ERP_i)*Q238*Ramure*Pc/MaxiM</f>
        <v>1.0942922826807617E-4</v>
      </c>
      <c r="Q238" s="304">
        <f t="shared" si="78"/>
        <v>0.6</v>
      </c>
      <c r="R238" s="177">
        <f t="shared" si="79"/>
        <v>0.46429434033736294</v>
      </c>
      <c r="S238" s="799">
        <f t="shared" si="80"/>
        <v>-1</v>
      </c>
      <c r="T238" s="176">
        <f t="shared" si="81"/>
        <v>5</v>
      </c>
      <c r="U238" s="250">
        <f t="shared" si="82"/>
        <v>-0.53570565966263706</v>
      </c>
      <c r="V238" s="382">
        <f t="shared" si="83"/>
        <v>54.828392080057874</v>
      </c>
      <c r="W238" s="58"/>
      <c r="X238" s="157">
        <f t="shared" si="84"/>
        <v>44054</v>
      </c>
      <c r="Y238" s="383">
        <f t="shared" si="85"/>
        <v>42.232999999999997</v>
      </c>
      <c r="Z238" s="383">
        <f t="shared" si="86"/>
        <v>42.699338378900229</v>
      </c>
      <c r="AA238" s="384">
        <f t="shared" si="87"/>
        <v>44.607006335661112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4.2766105898386593E-2</v>
      </c>
      <c r="AD238" s="230">
        <f>(INDEX(Models!$BJ238:$BT238,,AH238)*(1-AF238)+INDEX(Models!$BJ238:$BT238,,AH238+1)*AF238-ERP_i)*AE238*Ramure*Pc/MaxiM</f>
        <v>1.0942922826807617E-4</v>
      </c>
      <c r="AE238" s="304">
        <f t="shared" si="89"/>
        <v>0.6</v>
      </c>
      <c r="AF238" s="177">
        <f t="shared" si="90"/>
        <v>0.46429434033736294</v>
      </c>
      <c r="AG238" s="176">
        <f t="shared" si="91"/>
        <v>-1</v>
      </c>
      <c r="AH238" s="176">
        <f t="shared" si="92"/>
        <v>5</v>
      </c>
      <c r="AI238" s="224">
        <f t="shared" si="93"/>
        <v>-0.53570565966263706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28.698</v>
      </c>
      <c r="C239" s="388"/>
      <c r="D239" s="391">
        <f t="shared" si="75"/>
        <v>29.015440472698398</v>
      </c>
      <c r="E239" s="383">
        <f t="shared" si="97"/>
        <v>30.313499980960902</v>
      </c>
      <c r="F239" s="383">
        <f t="shared" si="76"/>
        <v>30.314594358288005</v>
      </c>
      <c r="G239" s="110">
        <f t="shared" si="98"/>
        <v>0.52488168765240806</v>
      </c>
      <c r="H239" s="412" t="b">
        <f>Wh_hp&gt;='2019'!Maxi_hp</f>
        <v>0</v>
      </c>
      <c r="I239" s="388">
        <f>IF(H239,Wh_hp,'2019'!Maxi_hp)</f>
        <v>49.870847104426645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1.0940398199265289E-2</v>
      </c>
      <c r="M239" s="832"/>
      <c r="N239" s="832"/>
      <c r="O239" s="48">
        <f>IF(t&lt;Tnet,'2019'!Resal+('2019'!Salim-'2019'!Resal)*(1-EXP(('2019'!Tnet-t)/('2019'!Tau_j))),Resal+(Salim-Resal)*(1-EXP((Tnet-t)/(Tau_j))))*Salcycl</f>
        <v>4.2821169085647745E-2</v>
      </c>
      <c r="P239" s="169">
        <f>(INDEX(Models!$BJ239:$BT239,,T239)*(1-R239)+INDEX(Models!$BJ239:$BT239,,T239+1)*R239-ERP_i)*Q239*Ramure*Pc/MaxiM</f>
        <v>1.1235230297021005E-4</v>
      </c>
      <c r="Q239" s="304">
        <f t="shared" si="78"/>
        <v>0.6</v>
      </c>
      <c r="R239" s="177">
        <f t="shared" si="79"/>
        <v>0.46560819866510661</v>
      </c>
      <c r="S239" s="799">
        <f t="shared" si="80"/>
        <v>-1</v>
      </c>
      <c r="T239" s="176">
        <f t="shared" si="81"/>
        <v>5</v>
      </c>
      <c r="U239" s="250">
        <f t="shared" si="82"/>
        <v>-0.53439180133489339</v>
      </c>
      <c r="V239" s="382">
        <f t="shared" si="83"/>
        <v>54.671009347140405</v>
      </c>
      <c r="W239" s="58"/>
      <c r="X239" s="157">
        <f t="shared" si="84"/>
        <v>44055</v>
      </c>
      <c r="Y239" s="383">
        <f t="shared" si="85"/>
        <v>28.698</v>
      </c>
      <c r="Z239" s="383">
        <f t="shared" si="86"/>
        <v>29.015440472698398</v>
      </c>
      <c r="AA239" s="384">
        <f t="shared" si="87"/>
        <v>30.313499980960902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4.2821169085647745E-2</v>
      </c>
      <c r="AD239" s="230">
        <f>(INDEX(Models!$BJ239:$BT239,,AH239)*(1-AF239)+INDEX(Models!$BJ239:$BT239,,AH239+1)*AF239-ERP_i)*AE239*Ramure*Pc/MaxiM</f>
        <v>1.1235230297021005E-4</v>
      </c>
      <c r="AE239" s="304">
        <f t="shared" si="89"/>
        <v>0.6</v>
      </c>
      <c r="AF239" s="177">
        <f t="shared" si="90"/>
        <v>0.46560819866510661</v>
      </c>
      <c r="AG239" s="176">
        <f t="shared" si="91"/>
        <v>-1</v>
      </c>
      <c r="AH239" s="176">
        <f t="shared" si="92"/>
        <v>5</v>
      </c>
      <c r="AI239" s="224">
        <f t="shared" si="93"/>
        <v>-0.53439180133489339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16.992999999999999</v>
      </c>
      <c r="C240" s="388"/>
      <c r="D240" s="391">
        <f t="shared" si="75"/>
        <v>17.18129589184592</v>
      </c>
      <c r="E240" s="383">
        <f t="shared" si="97"/>
        <v>17.950962679044316</v>
      </c>
      <c r="F240" s="383">
        <f t="shared" si="76"/>
        <v>17.950997431473731</v>
      </c>
      <c r="G240" s="110">
        <f t="shared" si="98"/>
        <v>0.3117013374006074</v>
      </c>
      <c r="H240" s="412" t="b">
        <f>Wh_hp&gt;='2019'!Maxi_hp</f>
        <v>0</v>
      </c>
      <c r="I240" s="388">
        <f>IF(H240,Wh_hp,'2019'!Maxi_hp)</f>
        <v>56.99494858795164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1.0959353300893038E-2</v>
      </c>
      <c r="M240" s="832"/>
      <c r="N240" s="832"/>
      <c r="O240" s="48">
        <f>IF(t&lt;Tnet,'2019'!Resal+('2019'!Salim-'2019'!Resal)*(1-EXP(('2019'!Tnet-t)/('2019'!Tau_j))),Resal+(Salim-Resal)*(1-EXP((Tnet-t)/(Tau_j))))*Salcycl</f>
        <v>4.2876073053000785E-2</v>
      </c>
      <c r="P240" s="169">
        <f>(INDEX(Models!$BJ240:$BT240,,T240)*(1-R240)+INDEX(Models!$BJ240:$BT240,,T240+1)*R240-ERP_i)*Q240*Ramure*Pc/MaxiM</f>
        <v>1.1546425829665023E-4</v>
      </c>
      <c r="Q240" s="304">
        <f t="shared" si="78"/>
        <v>0.6</v>
      </c>
      <c r="R240" s="177">
        <f t="shared" si="79"/>
        <v>0.46687614522605547</v>
      </c>
      <c r="S240" s="799">
        <f t="shared" si="80"/>
        <v>-1</v>
      </c>
      <c r="T240" s="176">
        <f t="shared" si="81"/>
        <v>5</v>
      </c>
      <c r="U240" s="250">
        <f t="shared" si="82"/>
        <v>-0.53312385477394453</v>
      </c>
      <c r="V240" s="382">
        <f t="shared" si="83"/>
        <v>54.510740799518452</v>
      </c>
      <c r="W240" s="58"/>
      <c r="X240" s="157">
        <f t="shared" si="84"/>
        <v>44056</v>
      </c>
      <c r="Y240" s="383">
        <f t="shared" si="85"/>
        <v>16.992999999999999</v>
      </c>
      <c r="Z240" s="383">
        <f t="shared" si="86"/>
        <v>17.18129589184592</v>
      </c>
      <c r="AA240" s="384">
        <f t="shared" si="87"/>
        <v>17.950962679044316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4.2876073053000785E-2</v>
      </c>
      <c r="AD240" s="230">
        <f>(INDEX(Models!$BJ240:$BT240,,AH240)*(1-AF240)+INDEX(Models!$BJ240:$BT240,,AH240+1)*AF240-ERP_i)*AE240*Ramure*Pc/MaxiM</f>
        <v>1.1546425829665023E-4</v>
      </c>
      <c r="AE240" s="304">
        <f t="shared" si="89"/>
        <v>0.6</v>
      </c>
      <c r="AF240" s="177">
        <f t="shared" si="90"/>
        <v>0.46687614522605547</v>
      </c>
      <c r="AG240" s="176">
        <f t="shared" si="91"/>
        <v>-1</v>
      </c>
      <c r="AH240" s="176">
        <f t="shared" si="92"/>
        <v>5</v>
      </c>
      <c r="AI240" s="224">
        <f t="shared" si="93"/>
        <v>-0.53312385477394453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47.960999999999999</v>
      </c>
      <c r="C241" s="388"/>
      <c r="D241" s="391">
        <f t="shared" si="75"/>
        <v>48.493375210928534</v>
      </c>
      <c r="E241" s="383">
        <f t="shared" si="97"/>
        <v>50.668620357090148</v>
      </c>
      <c r="F241" s="383">
        <f t="shared" si="76"/>
        <v>50.673625731633024</v>
      </c>
      <c r="G241" s="110">
        <f t="shared" si="98"/>
        <v>0.88247200956045702</v>
      </c>
      <c r="H241" s="412" t="b">
        <f>Wh_hp&gt;='2019'!Maxi_hp</f>
        <v>1</v>
      </c>
      <c r="I241" s="388">
        <f>IF(H241,Wh_hp,'2019'!Maxi_hp)</f>
        <v>50.673625731633024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1.0978308039250595E-2</v>
      </c>
      <c r="M241" s="832"/>
      <c r="N241" s="832"/>
      <c r="O241" s="48">
        <f>IF(t&lt;Tnet,'2019'!Resal+('2019'!Salim-'2019'!Resal)*(1-EXP(('2019'!Tnet-t)/('2019'!Tau_j))),Resal+(Salim-Resal)*(1-EXP((Tnet-t)/(Tau_j))))*Salcycl</f>
        <v>4.2930814591584265E-2</v>
      </c>
      <c r="P241" s="169">
        <f>(INDEX(Models!$BJ241:$BT241,,T241)*(1-R241)+INDEX(Models!$BJ241:$BT241,,T241+1)*R241-ERP_i)*Q241*Ramure*Pc/MaxiM</f>
        <v>1.1870375784803206E-4</v>
      </c>
      <c r="Q241" s="304">
        <f t="shared" si="78"/>
        <v>0.6</v>
      </c>
      <c r="R241" s="177">
        <f t="shared" si="79"/>
        <v>0.46809952974909574</v>
      </c>
      <c r="S241" s="799">
        <f t="shared" si="80"/>
        <v>-1</v>
      </c>
      <c r="T241" s="176">
        <f t="shared" si="81"/>
        <v>5</v>
      </c>
      <c r="U241" s="250">
        <f t="shared" si="82"/>
        <v>-0.53190047025090426</v>
      </c>
      <c r="V241" s="382">
        <f t="shared" si="83"/>
        <v>54.347382880524407</v>
      </c>
      <c r="W241" s="58"/>
      <c r="X241" s="157">
        <f t="shared" si="84"/>
        <v>44057</v>
      </c>
      <c r="Y241" s="383">
        <f t="shared" si="85"/>
        <v>47.960999999999999</v>
      </c>
      <c r="Z241" s="383">
        <f t="shared" si="86"/>
        <v>48.493375210928534</v>
      </c>
      <c r="AA241" s="384">
        <f t="shared" si="87"/>
        <v>50.668620357090148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4.2930814591584265E-2</v>
      </c>
      <c r="AD241" s="230">
        <f>(INDEX(Models!$BJ241:$BT241,,AH241)*(1-AF241)+INDEX(Models!$BJ241:$BT241,,AH241+1)*AF241-ERP_i)*AE241*Ramure*Pc/MaxiM</f>
        <v>1.1870375784803206E-4</v>
      </c>
      <c r="AE241" s="304">
        <f t="shared" si="89"/>
        <v>0.6</v>
      </c>
      <c r="AF241" s="177">
        <f t="shared" si="90"/>
        <v>0.46809952974909574</v>
      </c>
      <c r="AG241" s="176">
        <f t="shared" si="91"/>
        <v>-1</v>
      </c>
      <c r="AH241" s="176">
        <f t="shared" si="92"/>
        <v>5</v>
      </c>
      <c r="AI241" s="224">
        <f t="shared" si="93"/>
        <v>-0.53190047025090426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46.070999999999998</v>
      </c>
      <c r="C242" s="388"/>
      <c r="D242" s="391">
        <f t="shared" si="75"/>
        <v>46.583288649400636</v>
      </c>
      <c r="E242" s="383">
        <f t="shared" si="97"/>
        <v>48.675629571711887</v>
      </c>
      <c r="F242" s="383">
        <f t="shared" si="76"/>
        <v>48.680301431247884</v>
      </c>
      <c r="G242" s="110">
        <f t="shared" si="98"/>
        <v>0.85029859247472128</v>
      </c>
      <c r="H242" s="412" t="b">
        <f>Wh_hp&gt;='2019'!Maxi_hp</f>
        <v>0</v>
      </c>
      <c r="I242" s="388">
        <f>IF(H242,Wh_hp,'2019'!Maxi_hp)</f>
        <v>55.891220971481495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1.0997262414344955E-2</v>
      </c>
      <c r="M242" s="832"/>
      <c r="N242" s="832"/>
      <c r="O242" s="48">
        <f>IF(t&lt;Tnet,'2019'!Resal+('2019'!Salim-'2019'!Resal)*(1-EXP(('2019'!Tnet-t)/('2019'!Tau_j))),Resal+(Salim-Resal)*(1-EXP((Tnet-t)/(Tau_j))))*Salcycl</f>
        <v>4.2985390034425433E-2</v>
      </c>
      <c r="P242" s="169">
        <f>(INDEX(Models!$BJ242:$BT242,,T242)*(1-R242)+INDEX(Models!$BJ242:$BT242,,T242+1)*R242-ERP_i)*Q242*Ramure*Pc/MaxiM</f>
        <v>1.2207272465981724E-4</v>
      </c>
      <c r="Q242" s="304">
        <f t="shared" si="78"/>
        <v>0.6</v>
      </c>
      <c r="R242" s="177">
        <f t="shared" si="79"/>
        <v>0.46927968137711451</v>
      </c>
      <c r="S242" s="799">
        <f t="shared" si="80"/>
        <v>-1</v>
      </c>
      <c r="T242" s="176">
        <f t="shared" si="81"/>
        <v>5</v>
      </c>
      <c r="U242" s="250">
        <f t="shared" si="82"/>
        <v>-0.53072031862288549</v>
      </c>
      <c r="V242" s="382">
        <f t="shared" si="83"/>
        <v>54.180728657077736</v>
      </c>
      <c r="W242" s="58"/>
      <c r="X242" s="157">
        <f t="shared" si="84"/>
        <v>44058</v>
      </c>
      <c r="Y242" s="383">
        <f t="shared" si="85"/>
        <v>46.070999999999998</v>
      </c>
      <c r="Z242" s="383">
        <f t="shared" si="86"/>
        <v>46.583288649400636</v>
      </c>
      <c r="AA242" s="384">
        <f t="shared" si="87"/>
        <v>48.675629571711887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4.2985390034425433E-2</v>
      </c>
      <c r="AD242" s="230">
        <f>(INDEX(Models!$BJ242:$BT242,,AH242)*(1-AF242)+INDEX(Models!$BJ242:$BT242,,AH242+1)*AF242-ERP_i)*AE242*Ramure*Pc/MaxiM</f>
        <v>1.2207272465981724E-4</v>
      </c>
      <c r="AE242" s="304">
        <f t="shared" si="89"/>
        <v>0.6</v>
      </c>
      <c r="AF242" s="177">
        <f t="shared" si="90"/>
        <v>0.46927968137711451</v>
      </c>
      <c r="AG242" s="176">
        <f t="shared" si="91"/>
        <v>-1</v>
      </c>
      <c r="AH242" s="176">
        <f t="shared" si="92"/>
        <v>5</v>
      </c>
      <c r="AI242" s="224">
        <f t="shared" si="93"/>
        <v>-0.53072031862288549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18.710999999999999</v>
      </c>
      <c r="C243" s="388"/>
      <c r="D243" s="391">
        <f t="shared" si="75"/>
        <v>18.919420430116105</v>
      </c>
      <c r="E243" s="383">
        <f t="shared" si="97"/>
        <v>19.770331448587651</v>
      </c>
      <c r="F243" s="383">
        <f t="shared" si="76"/>
        <v>19.770496126510491</v>
      </c>
      <c r="G243" s="110">
        <f t="shared" si="98"/>
        <v>0.34639156358177448</v>
      </c>
      <c r="H243" s="412" t="b">
        <f>Wh_hp&gt;='2019'!Maxi_hp</f>
        <v>0</v>
      </c>
      <c r="I243" s="388">
        <f>IF(H243,Wh_hp,'2019'!Maxi_hp)</f>
        <v>54.973908818601828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1.1016216426183001E-2</v>
      </c>
      <c r="M243" s="832"/>
      <c r="N243" s="832"/>
      <c r="O243" s="48">
        <f>IF(t&lt;Tnet,'2019'!Resal+('2019'!Salim-'2019'!Resal)*(1-EXP(('2019'!Tnet-t)/('2019'!Tau_j))),Resal+(Salim-Resal)*(1-EXP((Tnet-t)/(Tau_j))))*Salcycl</f>
        <v>4.3039795295507548E-2</v>
      </c>
      <c r="P243" s="169">
        <f>(INDEX(Models!$BJ243:$BT243,,T243)*(1-R243)+INDEX(Models!$BJ243:$BT243,,T243+1)*R243-ERP_i)*Q243*Ramure*Pc/MaxiM</f>
        <v>1.2557314457141739E-4</v>
      </c>
      <c r="Q243" s="304">
        <f t="shared" si="78"/>
        <v>0.6</v>
      </c>
      <c r="R243" s="177">
        <f t="shared" si="79"/>
        <v>0.47041790741196721</v>
      </c>
      <c r="S243" s="799">
        <f t="shared" si="80"/>
        <v>-1</v>
      </c>
      <c r="T243" s="176">
        <f t="shared" si="81"/>
        <v>5</v>
      </c>
      <c r="U243" s="250">
        <f t="shared" si="82"/>
        <v>-0.52958209258803279</v>
      </c>
      <c r="V243" s="382">
        <f t="shared" si="83"/>
        <v>54.010571279617587</v>
      </c>
      <c r="W243" s="58"/>
      <c r="X243" s="157">
        <f t="shared" si="84"/>
        <v>44059</v>
      </c>
      <c r="Y243" s="383">
        <f t="shared" si="85"/>
        <v>18.710999999999999</v>
      </c>
      <c r="Z243" s="383">
        <f t="shared" si="86"/>
        <v>18.919420430116105</v>
      </c>
      <c r="AA243" s="384">
        <f t="shared" si="87"/>
        <v>19.770331448587651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4.3039795295507548E-2</v>
      </c>
      <c r="AD243" s="230">
        <f>(INDEX(Models!$BJ243:$BT243,,AH243)*(1-AF243)+INDEX(Models!$BJ243:$BT243,,AH243+1)*AF243-ERP_i)*AE243*Ramure*Pc/MaxiM</f>
        <v>1.2557314457141739E-4</v>
      </c>
      <c r="AE243" s="304">
        <f t="shared" si="89"/>
        <v>0.6</v>
      </c>
      <c r="AF243" s="177">
        <f t="shared" si="90"/>
        <v>0.47041790741196721</v>
      </c>
      <c r="AG243" s="176">
        <f t="shared" si="91"/>
        <v>-1</v>
      </c>
      <c r="AH243" s="176">
        <f t="shared" si="92"/>
        <v>5</v>
      </c>
      <c r="AI243" s="224">
        <f t="shared" si="93"/>
        <v>-0.52958209258803279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42.470999999999997</v>
      </c>
      <c r="C244" s="388"/>
      <c r="D244" s="391">
        <f t="shared" si="75"/>
        <v>42.944904323049649</v>
      </c>
      <c r="E244" s="383">
        <f t="shared" si="97"/>
        <v>44.87891755896235</v>
      </c>
      <c r="F244" s="383">
        <f t="shared" si="76"/>
        <v>44.882967764386819</v>
      </c>
      <c r="G244" s="110">
        <f t="shared" si="98"/>
        <v>0.7888548464068329</v>
      </c>
      <c r="H244" s="412" t="b">
        <f>Wh_hp&gt;='2019'!Maxi_hp</f>
        <v>1</v>
      </c>
      <c r="I244" s="388">
        <f>IF(H244,Wh_hp,'2019'!Maxi_hp)</f>
        <v>44.882967764386819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1.1035170074771727E-2</v>
      </c>
      <c r="M244" s="832"/>
      <c r="N244" s="832"/>
      <c r="O244" s="48">
        <f>IF(t&lt;Tnet,'2019'!Resal+('2019'!Salim-'2019'!Resal)*(1-EXP(('2019'!Tnet-t)/('2019'!Tau_j))),Resal+(Salim-Resal)*(1-EXP((Tnet-t)/(Tau_j))))*Salcycl</f>
        <v>4.309402590585594E-2</v>
      </c>
      <c r="P244" s="169">
        <f>(INDEX(Models!$BJ244:$BT244,,T244)*(1-R244)+INDEX(Models!$BJ244:$BT244,,T244+1)*R244-ERP_i)*Q244*Ramure*Pc/MaxiM</f>
        <v>1.2920707304240329E-4</v>
      </c>
      <c r="Q244" s="304">
        <f t="shared" si="78"/>
        <v>0.6</v>
      </c>
      <c r="R244" s="177">
        <f t="shared" si="79"/>
        <v>0.4715154922167808</v>
      </c>
      <c r="S244" s="799">
        <f t="shared" si="80"/>
        <v>-1</v>
      </c>
      <c r="T244" s="176">
        <f t="shared" si="81"/>
        <v>5</v>
      </c>
      <c r="U244" s="250">
        <f t="shared" si="82"/>
        <v>-0.5284845077832192</v>
      </c>
      <c r="V244" s="382">
        <f t="shared" si="83"/>
        <v>53.836703978867291</v>
      </c>
      <c r="W244" s="58"/>
      <c r="X244" s="157">
        <f t="shared" si="84"/>
        <v>44060</v>
      </c>
      <c r="Y244" s="383">
        <f t="shared" si="85"/>
        <v>42.470999999999997</v>
      </c>
      <c r="Z244" s="383">
        <f t="shared" si="86"/>
        <v>42.944904323049649</v>
      </c>
      <c r="AA244" s="384">
        <f t="shared" si="87"/>
        <v>44.87891755896235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4.309402590585594E-2</v>
      </c>
      <c r="AD244" s="230">
        <f>(INDEX(Models!$BJ244:$BT244,,AH244)*(1-AF244)+INDEX(Models!$BJ244:$BT244,,AH244+1)*AF244-ERP_i)*AE244*Ramure*Pc/MaxiM</f>
        <v>1.2920707304240329E-4</v>
      </c>
      <c r="AE244" s="304">
        <f t="shared" si="89"/>
        <v>0.6</v>
      </c>
      <c r="AF244" s="177">
        <f t="shared" si="90"/>
        <v>0.4715154922167808</v>
      </c>
      <c r="AG244" s="176">
        <f t="shared" si="91"/>
        <v>-1</v>
      </c>
      <c r="AH244" s="176">
        <f t="shared" si="92"/>
        <v>5</v>
      </c>
      <c r="AI244" s="224">
        <f t="shared" si="93"/>
        <v>-0.5284845077832192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41.753999999999998</v>
      </c>
      <c r="C245" s="388"/>
      <c r="D245" s="391">
        <f t="shared" si="75"/>
        <v>42.22071296951718</v>
      </c>
      <c r="E245" s="383">
        <f t="shared" si="97"/>
        <v>44.124604817830438</v>
      </c>
      <c r="F245" s="383">
        <f t="shared" si="76"/>
        <v>44.128613024470162</v>
      </c>
      <c r="G245" s="110">
        <f t="shared" si="98"/>
        <v>0.77810436738945743</v>
      </c>
      <c r="H245" s="412" t="b">
        <f>Wh_hp&gt;='2019'!Maxi_hp</f>
        <v>1</v>
      </c>
      <c r="I245" s="388">
        <f>IF(H245,Wh_hp,'2019'!Maxi_hp)</f>
        <v>44.128613024470162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1.1054123360118129E-2</v>
      </c>
      <c r="M245" s="832"/>
      <c r="N245" s="832"/>
      <c r="O245" s="48">
        <f>IF(t&lt;Tnet,'2019'!Resal+('2019'!Salim-'2019'!Resal)*(1-EXP(('2019'!Tnet-t)/('2019'!Tau_j))),Resal+(Salim-Resal)*(1-EXP((Tnet-t)/(Tau_j))))*Salcycl</f>
        <v>4.3148077046208731E-2</v>
      </c>
      <c r="P245" s="169">
        <f>(INDEX(Models!$BJ245:$BT245,,T245)*(1-R245)+INDEX(Models!$BJ245:$BT245,,T245+1)*R245-ERP_i)*Q245*Ramure*Pc/MaxiM</f>
        <v>1.3297664216961022E-4</v>
      </c>
      <c r="Q245" s="304">
        <f t="shared" si="78"/>
        <v>0.6</v>
      </c>
      <c r="R245" s="177">
        <f t="shared" si="79"/>
        <v>0.47257369626622014</v>
      </c>
      <c r="S245" s="799">
        <f t="shared" si="80"/>
        <v>-1</v>
      </c>
      <c r="T245" s="176">
        <f t="shared" si="81"/>
        <v>5</v>
      </c>
      <c r="U245" s="250">
        <f t="shared" si="82"/>
        <v>-0.52742630373377986</v>
      </c>
      <c r="V245" s="382">
        <f t="shared" si="83"/>
        <v>53.658920067227513</v>
      </c>
      <c r="W245" s="58"/>
      <c r="X245" s="157">
        <f t="shared" si="84"/>
        <v>44061</v>
      </c>
      <c r="Y245" s="383">
        <f t="shared" si="85"/>
        <v>41.753999999999998</v>
      </c>
      <c r="Z245" s="383">
        <f t="shared" si="86"/>
        <v>42.22071296951718</v>
      </c>
      <c r="AA245" s="384">
        <f t="shared" si="87"/>
        <v>44.124604817830438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4.3148077046208731E-2</v>
      </c>
      <c r="AD245" s="230">
        <f>(INDEX(Models!$BJ245:$BT245,,AH245)*(1-AF245)+INDEX(Models!$BJ245:$BT245,,AH245+1)*AF245-ERP_i)*AE245*Ramure*Pc/MaxiM</f>
        <v>1.3297664216961022E-4</v>
      </c>
      <c r="AE245" s="304">
        <f t="shared" si="89"/>
        <v>0.6</v>
      </c>
      <c r="AF245" s="177">
        <f t="shared" si="90"/>
        <v>0.47257369626622014</v>
      </c>
      <c r="AG245" s="176">
        <f t="shared" si="91"/>
        <v>-1</v>
      </c>
      <c r="AH245" s="176">
        <f t="shared" si="92"/>
        <v>5</v>
      </c>
      <c r="AI245" s="224">
        <f t="shared" si="93"/>
        <v>-0.52742630373377986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51.228999999999999</v>
      </c>
      <c r="C246" s="388"/>
      <c r="D246" s="391">
        <f t="shared" si="75"/>
        <v>51.802614299760137</v>
      </c>
      <c r="E246" s="383">
        <f t="shared" si="97"/>
        <v>54.141638302825697</v>
      </c>
      <c r="F246" s="383">
        <f t="shared" si="76"/>
        <v>54.148605267577729</v>
      </c>
      <c r="G246" s="110">
        <f t="shared" si="98"/>
        <v>0.95795512919223502</v>
      </c>
      <c r="H246" s="412" t="b">
        <f>Wh_hp&gt;='2019'!Maxi_hp</f>
        <v>1</v>
      </c>
      <c r="I246" s="388">
        <f>IF(H246,Wh_hp,'2019'!Maxi_hp)</f>
        <v>54.148605267577729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1.1073076282229088E-2</v>
      </c>
      <c r="M246" s="832"/>
      <c r="N246" s="832"/>
      <c r="O246" s="48">
        <f>IF(t&lt;Tnet,'2019'!Resal+('2019'!Salim-'2019'!Resal)*(1-EXP(('2019'!Tnet-t)/('2019'!Tau_j))),Resal+(Salim-Resal)*(1-EXP((Tnet-t)/(Tau_j))))*Salcycl</f>
        <v>4.3201943575901777E-2</v>
      </c>
      <c r="P246" s="169">
        <f>(INDEX(Models!$BJ246:$BT246,,T246)*(1-R246)+INDEX(Models!$BJ246:$BT246,,T246+1)*R246-ERP_i)*Q246*Ramure*Pc/MaxiM</f>
        <v>1.3688406795429013E-4</v>
      </c>
      <c r="Q246" s="304">
        <f t="shared" si="78"/>
        <v>0.6</v>
      </c>
      <c r="R246" s="177">
        <f t="shared" si="79"/>
        <v>0.47359375533550541</v>
      </c>
      <c r="S246" s="799">
        <f t="shared" si="80"/>
        <v>-1</v>
      </c>
      <c r="T246" s="176">
        <f t="shared" si="81"/>
        <v>5</v>
      </c>
      <c r="U246" s="250">
        <f t="shared" si="82"/>
        <v>-0.52640624466449459</v>
      </c>
      <c r="V246" s="382">
        <f t="shared" si="83"/>
        <v>53.477012928950593</v>
      </c>
      <c r="W246" s="58"/>
      <c r="X246" s="157">
        <f t="shared" si="84"/>
        <v>44062</v>
      </c>
      <c r="Y246" s="383">
        <f t="shared" si="85"/>
        <v>51.228999999999999</v>
      </c>
      <c r="Z246" s="383">
        <f t="shared" si="86"/>
        <v>51.802614299760137</v>
      </c>
      <c r="AA246" s="384">
        <f t="shared" si="87"/>
        <v>54.141638302825697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4.3201943575901777E-2</v>
      </c>
      <c r="AD246" s="230">
        <f>(INDEX(Models!$BJ246:$BT246,,AH246)*(1-AF246)+INDEX(Models!$BJ246:$BT246,,AH246+1)*AF246-ERP_i)*AE246*Ramure*Pc/MaxiM</f>
        <v>1.3688406795429013E-4</v>
      </c>
      <c r="AE246" s="304">
        <f t="shared" si="89"/>
        <v>0.6</v>
      </c>
      <c r="AF246" s="177">
        <f t="shared" si="90"/>
        <v>0.47359375533550541</v>
      </c>
      <c r="AG246" s="176">
        <f t="shared" si="91"/>
        <v>-1</v>
      </c>
      <c r="AH246" s="176">
        <f t="shared" si="92"/>
        <v>5</v>
      </c>
      <c r="AI246" s="224">
        <f t="shared" si="93"/>
        <v>-0.52640624466449459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51.607999999999997</v>
      </c>
      <c r="C247" s="388"/>
      <c r="D247" s="391">
        <f t="shared" si="75"/>
        <v>52.186858135566709</v>
      </c>
      <c r="E247" s="383">
        <f t="shared" si="97"/>
        <v>54.546291809638994</v>
      </c>
      <c r="F247" s="383">
        <f t="shared" si="76"/>
        <v>54.553633144965026</v>
      </c>
      <c r="G247" s="110">
        <f t="shared" si="98"/>
        <v>0.96840715688711598</v>
      </c>
      <c r="H247" s="412" t="b">
        <f>Wh_hp&gt;='2019'!Maxi_hp</f>
        <v>1</v>
      </c>
      <c r="I247" s="388">
        <f>IF(H247,Wh_hp,'2019'!Maxi_hp)</f>
        <v>54.553633144965026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1.1092028841111712E-2</v>
      </c>
      <c r="M247" s="832"/>
      <c r="N247" s="832"/>
      <c r="O247" s="48">
        <f>IF(t&lt;Tnet,'2019'!Resal+('2019'!Salim-'2019'!Resal)*(1-EXP(('2019'!Tnet-t)/('2019'!Tau_j))),Resal+(Salim-Resal)*(1-EXP((Tnet-t)/(Tau_j))))*Salcycl</f>
        <v>4.3255620057665325E-2</v>
      </c>
      <c r="P247" s="169">
        <f>(INDEX(Models!$BJ247:$BT247,,T247)*(1-R247)+INDEX(Models!$BJ247:$BT247,,T247+1)*R247-ERP_i)*Q247*Ramure*Pc/MaxiM</f>
        <v>1.4093028472042792E-4</v>
      </c>
      <c r="Q247" s="304">
        <f t="shared" si="78"/>
        <v>0.6</v>
      </c>
      <c r="R247" s="177">
        <f t="shared" si="79"/>
        <v>0.47457687981916963</v>
      </c>
      <c r="S247" s="799">
        <f t="shared" si="80"/>
        <v>-1</v>
      </c>
      <c r="T247" s="176">
        <f t="shared" si="81"/>
        <v>5</v>
      </c>
      <c r="U247" s="250">
        <f t="shared" si="82"/>
        <v>-0.52542312018083037</v>
      </c>
      <c r="V247" s="382">
        <f t="shared" si="83"/>
        <v>53.291295295876786</v>
      </c>
      <c r="W247" s="58"/>
      <c r="X247" s="157">
        <f t="shared" si="84"/>
        <v>44063</v>
      </c>
      <c r="Y247" s="383">
        <f t="shared" si="85"/>
        <v>51.607999999999997</v>
      </c>
      <c r="Z247" s="383">
        <f t="shared" si="86"/>
        <v>52.186858135566709</v>
      </c>
      <c r="AA247" s="384">
        <f t="shared" si="87"/>
        <v>54.546291809638994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4.3255620057665325E-2</v>
      </c>
      <c r="AD247" s="230">
        <f>(INDEX(Models!$BJ247:$BT247,,AH247)*(1-AF247)+INDEX(Models!$BJ247:$BT247,,AH247+1)*AF247-ERP_i)*AE247*Ramure*Pc/MaxiM</f>
        <v>1.4093028472042792E-4</v>
      </c>
      <c r="AE247" s="304">
        <f t="shared" si="89"/>
        <v>0.6</v>
      </c>
      <c r="AF247" s="177">
        <f t="shared" si="90"/>
        <v>0.47457687981916963</v>
      </c>
      <c r="AG247" s="176">
        <f t="shared" si="91"/>
        <v>-1</v>
      </c>
      <c r="AH247" s="176">
        <f t="shared" si="92"/>
        <v>5</v>
      </c>
      <c r="AI247" s="224">
        <f t="shared" si="93"/>
        <v>-0.52542312018083037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46.465000000000003</v>
      </c>
      <c r="C248" s="388"/>
      <c r="D248" s="391">
        <f t="shared" si="75"/>
        <v>46.987072471200989</v>
      </c>
      <c r="E248" s="383">
        <f t="shared" si="97"/>
        <v>49.114162692899875</v>
      </c>
      <c r="F248" s="383">
        <f t="shared" si="76"/>
        <v>49.120018741583252</v>
      </c>
      <c r="G248" s="110">
        <f t="shared" si="98"/>
        <v>0.87498786457150635</v>
      </c>
      <c r="H248" s="412" t="b">
        <f>Wh_hp&gt;='2019'!Maxi_hp</f>
        <v>0</v>
      </c>
      <c r="I248" s="388">
        <f>IF(H248,Wh_hp,'2019'!Maxi_hp)</f>
        <v>56.59830554422004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1.1110981036772771E-2</v>
      </c>
      <c r="M248" s="832"/>
      <c r="N248" s="832"/>
      <c r="O248" s="48">
        <f>IF(t&lt;Tnet,'2019'!Resal+('2019'!Salim-'2019'!Resal)*(1-EXP(('2019'!Tnet-t)/('2019'!Tau_j))),Resal+(Salim-Resal)*(1-EXP((Tnet-t)/(Tau_j))))*Salcycl</f>
        <v>4.3309100778101704E-2</v>
      </c>
      <c r="P248" s="169">
        <f>(INDEX(Models!$BJ248:$BT248,,T248)*(1-R248)+INDEX(Models!$BJ248:$BT248,,T248+1)*R248-ERP_i)*Q248*Ramure*Pc/MaxiM</f>
        <v>1.4513374009149236E-4</v>
      </c>
      <c r="Q248" s="304">
        <f t="shared" si="78"/>
        <v>0.6</v>
      </c>
      <c r="R248" s="177">
        <f t="shared" si="79"/>
        <v>0.47552425417078803</v>
      </c>
      <c r="S248" s="799">
        <f t="shared" si="80"/>
        <v>-1</v>
      </c>
      <c r="T248" s="176">
        <f t="shared" si="81"/>
        <v>5</v>
      </c>
      <c r="U248" s="250">
        <f t="shared" si="82"/>
        <v>-0.52447574582921197</v>
      </c>
      <c r="V248" s="382">
        <f t="shared" si="83"/>
        <v>53.102217319845636</v>
      </c>
      <c r="W248" s="58"/>
      <c r="X248" s="157">
        <f t="shared" si="84"/>
        <v>44064</v>
      </c>
      <c r="Y248" s="383">
        <f t="shared" si="85"/>
        <v>46.465000000000003</v>
      </c>
      <c r="Z248" s="383">
        <f t="shared" si="86"/>
        <v>46.987072471200989</v>
      </c>
      <c r="AA248" s="384">
        <f t="shared" si="87"/>
        <v>49.114162692899875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4.3309100778101704E-2</v>
      </c>
      <c r="AD248" s="230">
        <f>(INDEX(Models!$BJ248:$BT248,,AH248)*(1-AF248)+INDEX(Models!$BJ248:$BT248,,AH248+1)*AF248-ERP_i)*AE248*Ramure*Pc/MaxiM</f>
        <v>1.4513374009149236E-4</v>
      </c>
      <c r="AE248" s="304">
        <f t="shared" si="89"/>
        <v>0.6</v>
      </c>
      <c r="AF248" s="177">
        <f t="shared" si="90"/>
        <v>0.47552425417078803</v>
      </c>
      <c r="AG248" s="176">
        <f t="shared" si="91"/>
        <v>-1</v>
      </c>
      <c r="AH248" s="176">
        <f t="shared" si="92"/>
        <v>5</v>
      </c>
      <c r="AI248" s="224">
        <f t="shared" si="93"/>
        <v>-0.52447574582921197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37.284999999999997</v>
      </c>
      <c r="C249" s="388"/>
      <c r="D249" s="391">
        <f t="shared" si="75"/>
        <v>37.70465022587134</v>
      </c>
      <c r="E249" s="383">
        <f t="shared" si="97"/>
        <v>39.41372305278712</v>
      </c>
      <c r="F249" s="383">
        <f t="shared" si="76"/>
        <v>39.417128734245914</v>
      </c>
      <c r="G249" s="110">
        <f t="shared" si="98"/>
        <v>0.70464566819116914</v>
      </c>
      <c r="H249" s="412" t="b">
        <f>Wh_hp&gt;='2019'!Maxi_hp</f>
        <v>0</v>
      </c>
      <c r="I249" s="388">
        <f>IF(H249,Wh_hp,'2019'!Maxi_hp)</f>
        <v>53.920594526150673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1.1129932869219372E-2</v>
      </c>
      <c r="M249" s="832"/>
      <c r="N249" s="832"/>
      <c r="O249" s="48">
        <f>IF(t&lt;Tnet,'2019'!Resal+('2019'!Salim-'2019'!Resal)*(1-EXP(('2019'!Tnet-t)/('2019'!Tau_j))),Resal+(Salim-Resal)*(1-EXP((Tnet-t)/(Tau_j))))*Salcycl</f>
        <v>4.3362379763688078E-2</v>
      </c>
      <c r="P249" s="169">
        <f>(INDEX(Models!$BJ249:$BT249,,T249)*(1-R249)+INDEX(Models!$BJ249:$BT249,,T249+1)*R249-ERP_i)*Q249*Ramure*Pc/MaxiM</f>
        <v>1.4944951058638785E-4</v>
      </c>
      <c r="Q249" s="304">
        <f t="shared" si="78"/>
        <v>0.6</v>
      </c>
      <c r="R249" s="177">
        <f t="shared" si="79"/>
        <v>0.47643703645517421</v>
      </c>
      <c r="S249" s="799">
        <f t="shared" si="80"/>
        <v>-1</v>
      </c>
      <c r="T249" s="176">
        <f t="shared" si="81"/>
        <v>5</v>
      </c>
      <c r="U249" s="250">
        <f t="shared" si="82"/>
        <v>-0.52356296354482579</v>
      </c>
      <c r="V249" s="382">
        <f t="shared" si="83"/>
        <v>52.909782488078285</v>
      </c>
      <c r="W249" s="58"/>
      <c r="X249" s="157">
        <f t="shared" si="84"/>
        <v>44065</v>
      </c>
      <c r="Y249" s="383">
        <f t="shared" si="85"/>
        <v>37.284999999999997</v>
      </c>
      <c r="Z249" s="383">
        <f t="shared" si="86"/>
        <v>37.70465022587134</v>
      </c>
      <c r="AA249" s="384">
        <f t="shared" si="87"/>
        <v>39.41372305278712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4.3362379763688078E-2</v>
      </c>
      <c r="AD249" s="230">
        <f>(INDEX(Models!$BJ249:$BT249,,AH249)*(1-AF249)+INDEX(Models!$BJ249:$BT249,,AH249+1)*AF249-ERP_i)*AE249*Ramure*Pc/MaxiM</f>
        <v>1.4944951058638785E-4</v>
      </c>
      <c r="AE249" s="304">
        <f t="shared" si="89"/>
        <v>0.6</v>
      </c>
      <c r="AF249" s="177">
        <f t="shared" si="90"/>
        <v>0.47643703645517421</v>
      </c>
      <c r="AG249" s="176">
        <f t="shared" si="91"/>
        <v>-1</v>
      </c>
      <c r="AH249" s="176">
        <f t="shared" si="92"/>
        <v>5</v>
      </c>
      <c r="AI249" s="224">
        <f t="shared" si="93"/>
        <v>-0.52356296354482579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42.247999999999998</v>
      </c>
      <c r="C250" s="388"/>
      <c r="D250" s="391">
        <f t="shared" si="75"/>
        <v>42.724328597977134</v>
      </c>
      <c r="E250" s="383">
        <f t="shared" si="97"/>
        <v>44.663410707773387</v>
      </c>
      <c r="F250" s="383">
        <f t="shared" si="76"/>
        <v>44.668334667892985</v>
      </c>
      <c r="G250" s="110">
        <f t="shared" si="98"/>
        <v>0.80142205925313914</v>
      </c>
      <c r="H250" s="412" t="b">
        <f>Wh_hp&gt;='2019'!Maxi_hp</f>
        <v>0</v>
      </c>
      <c r="I250" s="388">
        <f>IF(H250,Wh_hp,'2019'!Maxi_hp)</f>
        <v>53.710943273979339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1.1148884338458398E-2</v>
      </c>
      <c r="M250" s="832"/>
      <c r="N250" s="832"/>
      <c r="O250" s="48">
        <f>IF(t&lt;Tnet,'2019'!Resal+('2019'!Salim-'2019'!Resal)*(1-EXP(('2019'!Tnet-t)/('2019'!Tau_j))),Resal+(Salim-Resal)*(1-EXP((Tnet-t)/(Tau_j))))*Salcycl</f>
        <v>4.3415450792224551E-2</v>
      </c>
      <c r="P250" s="169">
        <f>(INDEX(Models!$BJ250:$BT250,,T250)*(1-R250)+INDEX(Models!$BJ250:$BT250,,T250+1)*R250-ERP_i)*Q250*Ramure*Pc/MaxiM</f>
        <v>1.5387889900354544E-4</v>
      </c>
      <c r="Q250" s="304">
        <f t="shared" si="78"/>
        <v>0.6</v>
      </c>
      <c r="R250" s="177">
        <f t="shared" si="79"/>
        <v>0.47731635800483851</v>
      </c>
      <c r="S250" s="799">
        <f t="shared" si="80"/>
        <v>-1</v>
      </c>
      <c r="T250" s="176">
        <f t="shared" si="81"/>
        <v>5</v>
      </c>
      <c r="U250" s="250">
        <f t="shared" si="82"/>
        <v>-0.52268364199516149</v>
      </c>
      <c r="V250" s="382">
        <f t="shared" si="83"/>
        <v>52.713991823235354</v>
      </c>
      <c r="W250" s="58"/>
      <c r="X250" s="157">
        <f t="shared" si="84"/>
        <v>44066</v>
      </c>
      <c r="Y250" s="383">
        <f t="shared" si="85"/>
        <v>42.247999999999998</v>
      </c>
      <c r="Z250" s="383">
        <f t="shared" si="86"/>
        <v>42.724328597977134</v>
      </c>
      <c r="AA250" s="384">
        <f t="shared" si="87"/>
        <v>44.663410707773387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4.3415450792224551E-2</v>
      </c>
      <c r="AD250" s="230">
        <f>(INDEX(Models!$BJ250:$BT250,,AH250)*(1-AF250)+INDEX(Models!$BJ250:$BT250,,AH250+1)*AF250-ERP_i)*AE250*Ramure*Pc/MaxiM</f>
        <v>1.5387889900354544E-4</v>
      </c>
      <c r="AE250" s="304">
        <f t="shared" si="89"/>
        <v>0.6</v>
      </c>
      <c r="AF250" s="177">
        <f t="shared" si="90"/>
        <v>0.47731635800483851</v>
      </c>
      <c r="AG250" s="176">
        <f t="shared" si="91"/>
        <v>-1</v>
      </c>
      <c r="AH250" s="176">
        <f t="shared" si="92"/>
        <v>5</v>
      </c>
      <c r="AI250" s="224">
        <f t="shared" si="93"/>
        <v>-0.52268364199516149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47.832000000000001</v>
      </c>
      <c r="C251" s="388"/>
      <c r="D251" s="391">
        <f t="shared" si="75"/>
        <v>48.372212913908697</v>
      </c>
      <c r="E251" s="383">
        <f t="shared" si="97"/>
        <v>50.570423633755169</v>
      </c>
      <c r="F251" s="383">
        <f t="shared" si="76"/>
        <v>50.577415556955025</v>
      </c>
      <c r="G251" s="110">
        <f t="shared" si="98"/>
        <v>0.91080975912360407</v>
      </c>
      <c r="H251" s="412" t="b">
        <f>Wh_hp&gt;='2019'!Maxi_hp</f>
        <v>1</v>
      </c>
      <c r="I251" s="388">
        <f>IF(H251,Wh_hp,'2019'!Maxi_hp)</f>
        <v>50.577415556955025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1.1167835444496843E-2</v>
      </c>
      <c r="M251" s="832"/>
      <c r="N251" s="832"/>
      <c r="O251" s="48">
        <f>IF(t&lt;Tnet,'2019'!Resal+('2019'!Salim-'2019'!Resal)*(1-EXP(('2019'!Tnet-t)/('2019'!Tau_j))),Resal+(Salim-Resal)*(1-EXP((Tnet-t)/(Tau_j))))*Salcycl</f>
        <v>4.346830739972668E-2</v>
      </c>
      <c r="P251" s="169">
        <f>(INDEX(Models!$BJ251:$BT251,,T251)*(1-R251)+INDEX(Models!$BJ251:$BT251,,T251+1)*R251-ERP_i)*Q251*Ramure*Pc/MaxiM</f>
        <v>1.5842328598181539E-4</v>
      </c>
      <c r="Q251" s="304">
        <f t="shared" si="78"/>
        <v>0.6</v>
      </c>
      <c r="R251" s="177">
        <f t="shared" si="79"/>
        <v>0.47816332317280308</v>
      </c>
      <c r="S251" s="799">
        <f t="shared" si="80"/>
        <v>-1</v>
      </c>
      <c r="T251" s="176">
        <f t="shared" si="81"/>
        <v>5</v>
      </c>
      <c r="U251" s="250">
        <f t="shared" si="82"/>
        <v>-0.52183667682719692</v>
      </c>
      <c r="V251" s="382">
        <f t="shared" si="83"/>
        <v>52.514846351009375</v>
      </c>
      <c r="W251" s="58"/>
      <c r="X251" s="157">
        <f t="shared" si="84"/>
        <v>44067</v>
      </c>
      <c r="Y251" s="383">
        <f t="shared" si="85"/>
        <v>47.832000000000001</v>
      </c>
      <c r="Z251" s="383">
        <f t="shared" si="86"/>
        <v>48.372212913908697</v>
      </c>
      <c r="AA251" s="384">
        <f t="shared" si="87"/>
        <v>50.570423633755169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4.346830739972668E-2</v>
      </c>
      <c r="AD251" s="230">
        <f>(INDEX(Models!$BJ251:$BT251,,AH251)*(1-AF251)+INDEX(Models!$BJ251:$BT251,,AH251+1)*AF251-ERP_i)*AE251*Ramure*Pc/MaxiM</f>
        <v>1.5842328598181539E-4</v>
      </c>
      <c r="AE251" s="304">
        <f t="shared" si="89"/>
        <v>0.6</v>
      </c>
      <c r="AF251" s="177">
        <f t="shared" si="90"/>
        <v>0.47816332317280308</v>
      </c>
      <c r="AG251" s="176">
        <f t="shared" si="91"/>
        <v>-1</v>
      </c>
      <c r="AH251" s="176">
        <f t="shared" si="92"/>
        <v>5</v>
      </c>
      <c r="AI251" s="224">
        <f t="shared" si="93"/>
        <v>-0.52183667682719692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50.917000000000002</v>
      </c>
      <c r="C252" s="388"/>
      <c r="D252" s="391">
        <f t="shared" si="75"/>
        <v>51.493041647041338</v>
      </c>
      <c r="E252" s="383">
        <f t="shared" si="97"/>
        <v>53.836036726451624</v>
      </c>
      <c r="F252" s="383">
        <f t="shared" si="76"/>
        <v>53.844483293966427</v>
      </c>
      <c r="G252" s="110">
        <f t="shared" si="98"/>
        <v>0.97332057060186361</v>
      </c>
      <c r="H252" s="412" t="b">
        <f>Wh_hp&gt;='2019'!Maxi_hp</f>
        <v>1</v>
      </c>
      <c r="I252" s="388">
        <f>IF(H252,Wh_hp,'2019'!Maxi_hp)</f>
        <v>53.844483293966427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1.1186786187341702E-2</v>
      </c>
      <c r="M252" s="832"/>
      <c r="N252" s="832"/>
      <c r="O252" s="48">
        <f>IF(t&lt;Tnet,'2019'!Resal+('2019'!Salim-'2019'!Resal)*(1-EXP(('2019'!Tnet-t)/('2019'!Tau_j))),Resal+(Salim-Resal)*(1-EXP((Tnet-t)/(Tau_j))))*Salcycl</f>
        <v>4.3520942882838372E-2</v>
      </c>
      <c r="P252" s="169">
        <f>(INDEX(Models!$BJ252:$BT252,,T252)*(1-R252)+INDEX(Models!$BJ252:$BT252,,T252+1)*R252-ERP_i)*Q252*Ramure*Pc/MaxiM</f>
        <v>1.6308397913364226E-4</v>
      </c>
      <c r="Q252" s="304">
        <f t="shared" si="78"/>
        <v>0.6</v>
      </c>
      <c r="R252" s="177">
        <f t="shared" si="79"/>
        <v>0.47897900917420677</v>
      </c>
      <c r="S252" s="799">
        <f t="shared" si="80"/>
        <v>-1</v>
      </c>
      <c r="T252" s="176">
        <f t="shared" si="81"/>
        <v>5</v>
      </c>
      <c r="U252" s="250">
        <f t="shared" si="82"/>
        <v>-0.52102099082579323</v>
      </c>
      <c r="V252" s="382">
        <f t="shared" si="83"/>
        <v>52.312347108844186</v>
      </c>
      <c r="W252" s="58"/>
      <c r="X252" s="157">
        <f t="shared" si="84"/>
        <v>44068</v>
      </c>
      <c r="Y252" s="383">
        <f t="shared" si="85"/>
        <v>50.917000000000002</v>
      </c>
      <c r="Z252" s="383">
        <f t="shared" si="86"/>
        <v>51.493041647041338</v>
      </c>
      <c r="AA252" s="384">
        <f t="shared" si="87"/>
        <v>53.836036726451624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4.3520942882838372E-2</v>
      </c>
      <c r="AD252" s="230">
        <f>(INDEX(Models!$BJ252:$BT252,,AH252)*(1-AF252)+INDEX(Models!$BJ252:$BT252,,AH252+1)*AF252-ERP_i)*AE252*Ramure*Pc/MaxiM</f>
        <v>1.6308397913364226E-4</v>
      </c>
      <c r="AE252" s="304">
        <f t="shared" si="89"/>
        <v>0.6</v>
      </c>
      <c r="AF252" s="177">
        <f t="shared" si="90"/>
        <v>0.47897900917420677</v>
      </c>
      <c r="AG252" s="176">
        <f t="shared" si="91"/>
        <v>-1</v>
      </c>
      <c r="AH252" s="176">
        <f t="shared" si="92"/>
        <v>5</v>
      </c>
      <c r="AI252" s="224">
        <f t="shared" si="93"/>
        <v>-0.52102099082579323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27.321999999999999</v>
      </c>
      <c r="C253" s="388"/>
      <c r="D253" s="391">
        <f t="shared" si="75"/>
        <v>27.631632798051033</v>
      </c>
      <c r="E253" s="383">
        <f t="shared" si="97"/>
        <v>28.890488158845407</v>
      </c>
      <c r="F253" s="383">
        <f t="shared" si="76"/>
        <v>28.892042541533222</v>
      </c>
      <c r="G253" s="110">
        <f t="shared" si="98"/>
        <v>0.52428940655441492</v>
      </c>
      <c r="H253" s="412" t="b">
        <f>Wh_hp&gt;='2019'!Maxi_hp</f>
        <v>0</v>
      </c>
      <c r="I253" s="388">
        <f>IF(H253,Wh_hp,'2019'!Maxi_hp)</f>
        <v>32.470019573915089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1.1205736566999858E-2</v>
      </c>
      <c r="M253" s="832"/>
      <c r="N253" s="832"/>
      <c r="O253" s="48">
        <f>IF(t&lt;Tnet,'2019'!Resal+('2019'!Salim-'2019'!Resal)*(1-EXP(('2019'!Tnet-t)/('2019'!Tau_j))),Resal+(Salim-Resal)*(1-EXP((Tnet-t)/(Tau_j))))*Salcycl</f>
        <v>4.3573350296919493E-2</v>
      </c>
      <c r="P253" s="169">
        <f>(INDEX(Models!$BJ253:$BT253,,T253)*(1-R253)+INDEX(Models!$BJ253:$BT253,,T253+1)*R253-ERP_i)*Q253*Ramure*Pc/MaxiM</f>
        <v>1.678623056687563E-4</v>
      </c>
      <c r="Q253" s="304">
        <f t="shared" si="78"/>
        <v>0.6</v>
      </c>
      <c r="R253" s="177">
        <f t="shared" si="79"/>
        <v>0.47976446600945399</v>
      </c>
      <c r="S253" s="799">
        <f t="shared" si="80"/>
        <v>-1</v>
      </c>
      <c r="T253" s="176">
        <f t="shared" si="81"/>
        <v>5</v>
      </c>
      <c r="U253" s="250">
        <f t="shared" si="82"/>
        <v>-0.52023553399054601</v>
      </c>
      <c r="V253" s="382">
        <f t="shared" si="83"/>
        <v>52.106495137579799</v>
      </c>
      <c r="W253" s="58"/>
      <c r="X253" s="157">
        <f t="shared" si="84"/>
        <v>44069</v>
      </c>
      <c r="Y253" s="383">
        <f t="shared" si="85"/>
        <v>27.321999999999999</v>
      </c>
      <c r="Z253" s="383">
        <f t="shared" si="86"/>
        <v>27.631632798051033</v>
      </c>
      <c r="AA253" s="384">
        <f t="shared" si="87"/>
        <v>28.890488158845407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4.3573350296919493E-2</v>
      </c>
      <c r="AD253" s="230">
        <f>(INDEX(Models!$BJ253:$BT253,,AH253)*(1-AF253)+INDEX(Models!$BJ253:$BT253,,AH253+1)*AF253-ERP_i)*AE253*Ramure*Pc/MaxiM</f>
        <v>1.678623056687563E-4</v>
      </c>
      <c r="AE253" s="304">
        <f t="shared" si="89"/>
        <v>0.6</v>
      </c>
      <c r="AF253" s="177">
        <f t="shared" si="90"/>
        <v>0.47976446600945399</v>
      </c>
      <c r="AG253" s="176">
        <f t="shared" si="91"/>
        <v>-1</v>
      </c>
      <c r="AH253" s="176">
        <f t="shared" si="92"/>
        <v>5</v>
      </c>
      <c r="AI253" s="224">
        <f t="shared" si="93"/>
        <v>-0.52023553399054601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48.662999999999997</v>
      </c>
      <c r="C254" s="388"/>
      <c r="D254" s="391">
        <f t="shared" si="75"/>
        <v>49.215427751583341</v>
      </c>
      <c r="E254" s="383">
        <f t="shared" si="97"/>
        <v>51.460415252468138</v>
      </c>
      <c r="F254" s="383">
        <f t="shared" si="76"/>
        <v>51.468515503537539</v>
      </c>
      <c r="G254" s="110">
        <f t="shared" si="98"/>
        <v>0.93766457173425699</v>
      </c>
      <c r="H254" s="412" t="b">
        <f>Wh_hp&gt;='2019'!Maxi_hp</f>
        <v>1</v>
      </c>
      <c r="I254" s="388">
        <f>IF(H254,Wh_hp,'2019'!Maxi_hp)</f>
        <v>51.468515503537539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1.1224686583478305E-2</v>
      </c>
      <c r="M254" s="832"/>
      <c r="N254" s="832"/>
      <c r="O254" s="48">
        <f>IF(t&lt;Tnet,'2019'!Resal+('2019'!Salim-'2019'!Resal)*(1-EXP(('2019'!Tnet-t)/('2019'!Tau_j))),Resal+(Salim-Resal)*(1-EXP((Tnet-t)/(Tau_j))))*Salcycl</f>
        <v>4.36255224500375E-2</v>
      </c>
      <c r="P254" s="169">
        <f>(INDEX(Models!$BJ254:$BT254,,T254)*(1-R254)+INDEX(Models!$BJ254:$BT254,,T254+1)*R254-ERP_i)*Q254*Ramure*Pc/MaxiM</f>
        <v>1.7276380689172324E-4</v>
      </c>
      <c r="Q254" s="304">
        <f t="shared" si="78"/>
        <v>0.6</v>
      </c>
      <c r="R254" s="177">
        <f t="shared" si="79"/>
        <v>0.48052071646201377</v>
      </c>
      <c r="S254" s="799">
        <f t="shared" si="80"/>
        <v>-1</v>
      </c>
      <c r="T254" s="176">
        <f t="shared" si="81"/>
        <v>5</v>
      </c>
      <c r="U254" s="250">
        <f t="shared" si="82"/>
        <v>-0.51947928353798623</v>
      </c>
      <c r="V254" s="382">
        <f t="shared" si="83"/>
        <v>51.897291265536794</v>
      </c>
      <c r="W254" s="58"/>
      <c r="X254" s="157">
        <f t="shared" si="84"/>
        <v>44070</v>
      </c>
      <c r="Y254" s="383">
        <f t="shared" si="85"/>
        <v>48.662999999999997</v>
      </c>
      <c r="Z254" s="383">
        <f t="shared" si="86"/>
        <v>49.215427751583341</v>
      </c>
      <c r="AA254" s="384">
        <f t="shared" si="87"/>
        <v>51.460415252468138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4.36255224500375E-2</v>
      </c>
      <c r="AD254" s="230">
        <f>(INDEX(Models!$BJ254:$BT254,,AH254)*(1-AF254)+INDEX(Models!$BJ254:$BT254,,AH254+1)*AF254-ERP_i)*AE254*Ramure*Pc/MaxiM</f>
        <v>1.7276380689172324E-4</v>
      </c>
      <c r="AE254" s="304">
        <f t="shared" si="89"/>
        <v>0.6</v>
      </c>
      <c r="AF254" s="177">
        <f t="shared" si="90"/>
        <v>0.48052071646201377</v>
      </c>
      <c r="AG254" s="176">
        <f t="shared" si="91"/>
        <v>-1</v>
      </c>
      <c r="AH254" s="176">
        <f t="shared" si="92"/>
        <v>5</v>
      </c>
      <c r="AI254" s="224">
        <f t="shared" si="93"/>
        <v>-0.51947928353798623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9.5429999999999993</v>
      </c>
      <c r="C255" s="388"/>
      <c r="D255" s="391">
        <f t="shared" si="75"/>
        <v>9.6515181593160637</v>
      </c>
      <c r="E255" s="383">
        <f t="shared" si="97"/>
        <v>10.092325208082267</v>
      </c>
      <c r="F255" s="383">
        <f t="shared" si="76"/>
        <v>10.092325208082267</v>
      </c>
      <c r="G255" s="110">
        <f t="shared" si="98"/>
        <v>0.18460582346869511</v>
      </c>
      <c r="H255" s="412" t="b">
        <f>Wh_hp&gt;='2019'!Maxi_hp</f>
        <v>0</v>
      </c>
      <c r="I255" s="388">
        <f>IF(H255,Wh_hp,'2019'!Maxi_hp)</f>
        <v>51.264666030068604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1.1243636236784038E-2</v>
      </c>
      <c r="M255" s="832"/>
      <c r="N255" s="832"/>
      <c r="O255" s="48">
        <f>IF(t&lt;Tnet,'2019'!Resal+('2019'!Salim-'2019'!Resal)*(1-EXP(('2019'!Tnet-t)/('2019'!Tau_j))),Resal+(Salim-Resal)*(1-EXP((Tnet-t)/(Tau_j))))*Salcycl</f>
        <v>4.367745189316645E-2</v>
      </c>
      <c r="P255" s="169">
        <f>(INDEX(Models!$BJ255:$BT255,,T255)*(1-R255)+INDEX(Models!$BJ255:$BT255,,T255+1)*R255-ERP_i)*Q255*Ramure*Pc/MaxiM</f>
        <v>1.7772609248573414E-4</v>
      </c>
      <c r="Q255" s="304">
        <f t="shared" si="78"/>
        <v>0.6</v>
      </c>
      <c r="R255" s="177">
        <f t="shared" si="79"/>
        <v>0.4812487561643084</v>
      </c>
      <c r="S255" s="799">
        <f t="shared" si="80"/>
        <v>-1</v>
      </c>
      <c r="T255" s="176">
        <f t="shared" si="81"/>
        <v>5</v>
      </c>
      <c r="U255" s="250">
        <f t="shared" si="82"/>
        <v>-0.5187512438356916</v>
      </c>
      <c r="V255" s="382">
        <f t="shared" si="83"/>
        <v>51.684739845259486</v>
      </c>
      <c r="W255" s="58"/>
      <c r="X255" s="157">
        <f t="shared" si="84"/>
        <v>44071</v>
      </c>
      <c r="Y255" s="383">
        <f t="shared" si="85"/>
        <v>9.5429999999999993</v>
      </c>
      <c r="Z255" s="383">
        <f t="shared" si="86"/>
        <v>9.6515181593160637</v>
      </c>
      <c r="AA255" s="384">
        <f t="shared" si="87"/>
        <v>10.092325208082267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4.367745189316645E-2</v>
      </c>
      <c r="AD255" s="230">
        <f>(INDEX(Models!$BJ255:$BT255,,AH255)*(1-AF255)+INDEX(Models!$BJ255:$BT255,,AH255+1)*AF255-ERP_i)*AE255*Ramure*Pc/MaxiM</f>
        <v>1.7772609248573414E-4</v>
      </c>
      <c r="AE255" s="304">
        <f t="shared" si="89"/>
        <v>0.6</v>
      </c>
      <c r="AF255" s="177">
        <f t="shared" si="90"/>
        <v>0.4812487561643084</v>
      </c>
      <c r="AG255" s="176">
        <f t="shared" si="91"/>
        <v>-1</v>
      </c>
      <c r="AH255" s="176">
        <f t="shared" si="92"/>
        <v>5</v>
      </c>
      <c r="AI255" s="224">
        <f t="shared" si="93"/>
        <v>-0.5187512438356916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22.712</v>
      </c>
      <c r="C256" s="388"/>
      <c r="D256" s="391">
        <f t="shared" si="75"/>
        <v>22.970709581273223</v>
      </c>
      <c r="E256" s="383">
        <f t="shared" si="97"/>
        <v>24.021132843939462</v>
      </c>
      <c r="F256" s="383">
        <f t="shared" si="76"/>
        <v>24.022018854890714</v>
      </c>
      <c r="G256" s="110">
        <f t="shared" si="98"/>
        <v>0.44121231613293055</v>
      </c>
      <c r="H256" s="412" t="b">
        <f>Wh_hp&gt;='2019'!Maxi_hp</f>
        <v>0</v>
      </c>
      <c r="I256" s="388">
        <f>IF(H256,Wh_hp,'2019'!Maxi_hp)</f>
        <v>50.471632607079094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1.1262585526924052E-2</v>
      </c>
      <c r="M256" s="832"/>
      <c r="N256" s="832"/>
      <c r="O256" s="48">
        <f>IF(t&lt;Tnet,'2019'!Resal+('2019'!Salim-'2019'!Resal)*(1-EXP(('2019'!Tnet-t)/('2019'!Tau_j))),Resal+(Salim-Resal)*(1-EXP((Tnet-t)/(Tau_j))))*Salcycl</f>
        <v>4.3729130906965605E-2</v>
      </c>
      <c r="P256" s="169">
        <f>(INDEX(Models!$BJ256:$BT256,,T256)*(1-R256)+INDEX(Models!$BJ256:$BT256,,T256+1)*R256-ERP_i)*Q256*Ramure*Pc/MaxiM</f>
        <v>1.8274989132592228E-4</v>
      </c>
      <c r="Q256" s="304">
        <f t="shared" si="78"/>
        <v>0.6</v>
      </c>
      <c r="R256" s="177">
        <f t="shared" si="79"/>
        <v>0.4819495537254832</v>
      </c>
      <c r="S256" s="799">
        <f t="shared" si="80"/>
        <v>-1</v>
      </c>
      <c r="T256" s="176">
        <f t="shared" si="81"/>
        <v>5</v>
      </c>
      <c r="U256" s="250">
        <f t="shared" si="82"/>
        <v>-0.5180504462745168</v>
      </c>
      <c r="V256" s="382">
        <f t="shared" si="83"/>
        <v>51.468841927304283</v>
      </c>
      <c r="W256" s="58"/>
      <c r="X256" s="157">
        <f t="shared" si="84"/>
        <v>44072</v>
      </c>
      <c r="Y256" s="383">
        <f t="shared" si="85"/>
        <v>22.712</v>
      </c>
      <c r="Z256" s="383">
        <f t="shared" si="86"/>
        <v>22.970709581273223</v>
      </c>
      <c r="AA256" s="384">
        <f t="shared" si="87"/>
        <v>24.021132843939462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4.3729130906965605E-2</v>
      </c>
      <c r="AD256" s="230">
        <f>(INDEX(Models!$BJ256:$BT256,,AH256)*(1-AF256)+INDEX(Models!$BJ256:$BT256,,AH256+1)*AF256-ERP_i)*AE256*Ramure*Pc/MaxiM</f>
        <v>1.8274989132592228E-4</v>
      </c>
      <c r="AE256" s="304">
        <f t="shared" si="89"/>
        <v>0.6</v>
      </c>
      <c r="AF256" s="177">
        <f t="shared" si="90"/>
        <v>0.4819495537254832</v>
      </c>
      <c r="AG256" s="176">
        <f t="shared" si="91"/>
        <v>-1</v>
      </c>
      <c r="AH256" s="176">
        <f t="shared" si="92"/>
        <v>5</v>
      </c>
      <c r="AI256" s="224">
        <f t="shared" si="93"/>
        <v>-0.5180504462745168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32.860999999999997</v>
      </c>
      <c r="C257" s="388"/>
      <c r="D257" s="391">
        <f t="shared" si="75"/>
        <v>33.235952543730448</v>
      </c>
      <c r="E257" s="383">
        <f t="shared" si="97"/>
        <v>34.757662161510737</v>
      </c>
      <c r="F257" s="383">
        <f t="shared" si="76"/>
        <v>34.760844702097884</v>
      </c>
      <c r="G257" s="110">
        <f t="shared" si="98"/>
        <v>0.64113352591835149</v>
      </c>
      <c r="H257" s="412" t="b">
        <f>Wh_hp&gt;='2019'!Maxi_hp</f>
        <v>0</v>
      </c>
      <c r="I257" s="388">
        <f>IF(H257,Wh_hp,'2019'!Maxi_hp)</f>
        <v>48.069780960366188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1.1281534453905118E-2</v>
      </c>
      <c r="M257" s="832"/>
      <c r="N257" s="832"/>
      <c r="O257" s="48">
        <f>IF(t&lt;Tnet,'2019'!Resal+('2019'!Salim-'2019'!Resal)*(1-EXP(('2019'!Tnet-t)/('2019'!Tau_j))),Resal+(Salim-Resal)*(1-EXP((Tnet-t)/(Tau_j))))*Salcycl</f>
        <v>4.3780551485576392E-2</v>
      </c>
      <c r="P257" s="169">
        <f>(INDEX(Models!$BJ257:$BT257,,T257)*(1-R257)+INDEX(Models!$BJ257:$BT257,,T257+1)*R257-ERP_i)*Q257*Ramure*Pc/MaxiM</f>
        <v>1.8783593128744884E-4</v>
      </c>
      <c r="Q257" s="304">
        <f t="shared" si="78"/>
        <v>0.6</v>
      </c>
      <c r="R257" s="177">
        <f t="shared" si="79"/>
        <v>0.48262405091518334</v>
      </c>
      <c r="S257" s="799">
        <f t="shared" si="80"/>
        <v>-1</v>
      </c>
      <c r="T257" s="176">
        <f t="shared" si="81"/>
        <v>5</v>
      </c>
      <c r="U257" s="250">
        <f t="shared" si="82"/>
        <v>-0.51737594908481666</v>
      </c>
      <c r="V257" s="382">
        <f t="shared" si="83"/>
        <v>51.24959857056318</v>
      </c>
      <c r="W257" s="58"/>
      <c r="X257" s="157">
        <f t="shared" si="84"/>
        <v>44073</v>
      </c>
      <c r="Y257" s="383">
        <f t="shared" si="85"/>
        <v>32.860999999999997</v>
      </c>
      <c r="Z257" s="383">
        <f t="shared" si="86"/>
        <v>33.235952543730448</v>
      </c>
      <c r="AA257" s="384">
        <f t="shared" si="87"/>
        <v>34.757662161510737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4.3780551485576392E-2</v>
      </c>
      <c r="AD257" s="230">
        <f>(INDEX(Models!$BJ257:$BT257,,AH257)*(1-AF257)+INDEX(Models!$BJ257:$BT257,,AH257+1)*AF257-ERP_i)*AE257*Ramure*Pc/MaxiM</f>
        <v>1.8783593128744884E-4</v>
      </c>
      <c r="AE257" s="304">
        <f t="shared" si="89"/>
        <v>0.6</v>
      </c>
      <c r="AF257" s="177">
        <f t="shared" si="90"/>
        <v>0.48262405091518334</v>
      </c>
      <c r="AG257" s="176">
        <f t="shared" si="91"/>
        <v>-1</v>
      </c>
      <c r="AH257" s="176">
        <f t="shared" si="92"/>
        <v>5</v>
      </c>
      <c r="AI257" s="224">
        <f t="shared" si="93"/>
        <v>-0.51737594908481666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45.25</v>
      </c>
      <c r="C258" s="388"/>
      <c r="D258" s="391">
        <f t="shared" si="75"/>
        <v>45.767191368832897</v>
      </c>
      <c r="E258" s="383">
        <f t="shared" si="97"/>
        <v>47.865204926138006</v>
      </c>
      <c r="F258" s="383">
        <f t="shared" si="76"/>
        <v>47.872949450269061</v>
      </c>
      <c r="G258" s="110">
        <f t="shared" si="98"/>
        <v>0.8867575557239924</v>
      </c>
      <c r="H258" s="412" t="b">
        <f>Wh_hp&gt;='2019'!Maxi_hp</f>
        <v>1</v>
      </c>
      <c r="I258" s="388">
        <f>IF(H258,Wh_hp,'2019'!Maxi_hp)</f>
        <v>47.872949450269061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1.1300483017734342E-2</v>
      </c>
      <c r="M258" s="832"/>
      <c r="N258" s="832"/>
      <c r="O258" s="48">
        <f>IF(t&lt;Tnet,'2019'!Resal+('2019'!Salim-'2019'!Resal)*(1-EXP(('2019'!Tnet-t)/('2019'!Tau_j))),Resal+(Salim-Resal)*(1-EXP((Tnet-t)/(Tau_j))))*Salcycl</f>
        <v>4.3831705317936072E-2</v>
      </c>
      <c r="P258" s="169">
        <f>(INDEX(Models!$BJ258:$BT258,,T258)*(1-R258)+INDEX(Models!$BJ258:$BT258,,T258+1)*R258-ERP_i)*Q258*Ramure*Pc/MaxiM</f>
        <v>1.9298493672988923E-4</v>
      </c>
      <c r="Q258" s="304">
        <f t="shared" si="78"/>
        <v>0.6</v>
      </c>
      <c r="R258" s="177">
        <f t="shared" si="79"/>
        <v>0.48327316289780486</v>
      </c>
      <c r="S258" s="799">
        <f t="shared" si="80"/>
        <v>-1</v>
      </c>
      <c r="T258" s="176">
        <f t="shared" si="81"/>
        <v>5</v>
      </c>
      <c r="U258" s="250">
        <f t="shared" si="82"/>
        <v>-0.51672683710219514</v>
      </c>
      <c r="V258" s="382">
        <f t="shared" si="83"/>
        <v>51.027010837628282</v>
      </c>
      <c r="W258" s="58"/>
      <c r="X258" s="157">
        <f t="shared" si="84"/>
        <v>44074</v>
      </c>
      <c r="Y258" s="383">
        <f t="shared" si="85"/>
        <v>45.25</v>
      </c>
      <c r="Z258" s="383">
        <f t="shared" si="86"/>
        <v>45.767191368832897</v>
      </c>
      <c r="AA258" s="384">
        <f t="shared" si="87"/>
        <v>47.865204926138006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4.3831705317936072E-2</v>
      </c>
      <c r="AD258" s="230">
        <f>(INDEX(Models!$BJ258:$BT258,,AH258)*(1-AF258)+INDEX(Models!$BJ258:$BT258,,AH258+1)*AF258-ERP_i)*AE258*Ramure*Pc/MaxiM</f>
        <v>1.9298493672988923E-4</v>
      </c>
      <c r="AE258" s="304">
        <f t="shared" si="89"/>
        <v>0.6</v>
      </c>
      <c r="AF258" s="177">
        <f t="shared" si="90"/>
        <v>0.48327316289780486</v>
      </c>
      <c r="AG258" s="176">
        <f t="shared" si="91"/>
        <v>-1</v>
      </c>
      <c r="AH258" s="176">
        <f t="shared" si="92"/>
        <v>5</v>
      </c>
      <c r="AI258" s="224">
        <f t="shared" si="93"/>
        <v>-0.51672683710219514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46.79</v>
      </c>
      <c r="C259" s="388"/>
      <c r="D259" s="391">
        <f t="shared" si="75"/>
        <v>47.325700006082364</v>
      </c>
      <c r="E259" s="383">
        <f t="shared" si="97"/>
        <v>49.497790964365606</v>
      </c>
      <c r="F259" s="383">
        <f t="shared" si="76"/>
        <v>49.506496280747506</v>
      </c>
      <c r="G259" s="110">
        <f t="shared" si="98"/>
        <v>0.92102282033040161</v>
      </c>
      <c r="H259" s="412" t="b">
        <f>Wh_hp&gt;='2019'!Maxi_hp</f>
        <v>0</v>
      </c>
      <c r="I259" s="388">
        <f>IF(H259,Wh_hp,'2019'!Maxi_hp)</f>
        <v>52.448101483562709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1.1319431218418718E-2</v>
      </c>
      <c r="M259" s="832"/>
      <c r="N259" s="832"/>
      <c r="O259" s="48">
        <f>IF(t&lt;Tnet,'2019'!Resal+('2019'!Salim-'2019'!Resal)*(1-EXP(('2019'!Tnet-t)/('2019'!Tau_j))),Resal+(Salim-Resal)*(1-EXP((Tnet-t)/(Tau_j))))*Salcycl</f>
        <v>4.3882583767161948E-2</v>
      </c>
      <c r="P259" s="169">
        <f>(INDEX(Models!$BJ259:$BT259,,T259)*(1-R259)+INDEX(Models!$BJ259:$BT259,,T259+1)*R259-ERP_i)*Q259*Ramure*Pc/MaxiM</f>
        <v>1.9819762565503703E-4</v>
      </c>
      <c r="Q259" s="304">
        <f t="shared" si="78"/>
        <v>0.6</v>
      </c>
      <c r="R259" s="177">
        <f t="shared" si="79"/>
        <v>0.48389777851201143</v>
      </c>
      <c r="S259" s="799">
        <f t="shared" si="80"/>
        <v>-1</v>
      </c>
      <c r="T259" s="176">
        <f t="shared" si="81"/>
        <v>5</v>
      </c>
      <c r="U259" s="250">
        <f t="shared" si="82"/>
        <v>-0.51610222148798857</v>
      </c>
      <c r="V259" s="382">
        <f t="shared" si="83"/>
        <v>50.801079798280547</v>
      </c>
      <c r="W259" s="58"/>
      <c r="X259" s="157">
        <f t="shared" si="84"/>
        <v>44075</v>
      </c>
      <c r="Y259" s="383">
        <f t="shared" si="85"/>
        <v>46.79</v>
      </c>
      <c r="Z259" s="383">
        <f t="shared" si="86"/>
        <v>47.325700006082364</v>
      </c>
      <c r="AA259" s="384">
        <f t="shared" si="87"/>
        <v>49.497790964365606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4.3882583767161948E-2</v>
      </c>
      <c r="AD259" s="230">
        <f>(INDEX(Models!$BJ259:$BT259,,AH259)*(1-AF259)+INDEX(Models!$BJ259:$BT259,,AH259+1)*AF259-ERP_i)*AE259*Ramure*Pc/MaxiM</f>
        <v>1.9819762565503703E-4</v>
      </c>
      <c r="AE259" s="304">
        <f t="shared" si="89"/>
        <v>0.6</v>
      </c>
      <c r="AF259" s="177">
        <f t="shared" si="90"/>
        <v>0.48389777851201143</v>
      </c>
      <c r="AG259" s="176">
        <f t="shared" si="91"/>
        <v>-1</v>
      </c>
      <c r="AH259" s="176">
        <f t="shared" si="92"/>
        <v>5</v>
      </c>
      <c r="AI259" s="224">
        <f t="shared" si="93"/>
        <v>-0.51610222148798857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52.018000000000001</v>
      </c>
      <c r="C260" s="388"/>
      <c r="D260" s="391">
        <f t="shared" si="75"/>
        <v>52.614563869011135</v>
      </c>
      <c r="E260" s="383">
        <f t="shared" si="97"/>
        <v>55.032308045806907</v>
      </c>
      <c r="F260" s="383">
        <f t="shared" si="76"/>
        <v>55.043508007448153</v>
      </c>
      <c r="G260" s="110">
        <f t="shared" si="98"/>
        <v>1.0285968323383408</v>
      </c>
      <c r="H260" s="412" t="b">
        <f>Wh_hp&gt;='2019'!Maxi_hp</f>
        <v>1</v>
      </c>
      <c r="I260" s="388">
        <f>IF(H260,Wh_hp,'2019'!Maxi_hp)</f>
        <v>55.043508007448153</v>
      </c>
      <c r="J260" s="85">
        <f>IF(H260,An,'2019'!An_max)</f>
        <v>2020</v>
      </c>
      <c r="K260" s="197">
        <f t="shared" si="77"/>
        <v>44076</v>
      </c>
      <c r="L260" s="147">
        <f>IF(t&lt;Tvie,1-EXP((T0-t)*PertePVj)+'2019'!Pspv,1-EXP((T0-t)*PertePVj)+Pspv)</f>
        <v>1.1338379055965131E-2</v>
      </c>
      <c r="M260" s="832"/>
      <c r="N260" s="832"/>
      <c r="O260" s="48">
        <f>IF(t&lt;Tnet,'2019'!Resal+('2019'!Salim-'2019'!Resal)*(1-EXP(('2019'!Tnet-t)/('2019'!Tau_j))),Resal+(Salim-Resal)*(1-EXP((Tnet-t)/(Tau_j))))*Salcycl</f>
        <v>4.3933177848607174E-2</v>
      </c>
      <c r="P260" s="169">
        <f>(INDEX(Models!$BJ260:$BT260,,T260)*(1-R260)+INDEX(Models!$BJ260:$BT260,,T260+1)*R260-ERP_i)*Q260*Ramure*Pc/MaxiM</f>
        <v>2.0347470658543587E-4</v>
      </c>
      <c r="Q260" s="304">
        <f t="shared" si="78"/>
        <v>0.6</v>
      </c>
      <c r="R260" s="177">
        <f t="shared" si="79"/>
        <v>0.4844987605906369</v>
      </c>
      <c r="S260" s="799">
        <f t="shared" si="80"/>
        <v>-1</v>
      </c>
      <c r="T260" s="176">
        <f t="shared" si="81"/>
        <v>5</v>
      </c>
      <c r="U260" s="250">
        <f t="shared" si="82"/>
        <v>-0.5155012394093631</v>
      </c>
      <c r="V260" s="382">
        <f t="shared" si="83"/>
        <v>50.571806527680906</v>
      </c>
      <c r="W260" s="58"/>
      <c r="X260" s="157">
        <f t="shared" si="84"/>
        <v>44076</v>
      </c>
      <c r="Y260" s="383">
        <f t="shared" si="85"/>
        <v>52.018000000000001</v>
      </c>
      <c r="Z260" s="383">
        <f t="shared" si="86"/>
        <v>52.614563869011135</v>
      </c>
      <c r="AA260" s="384">
        <f t="shared" si="87"/>
        <v>55.032308045806907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4.3933177848607174E-2</v>
      </c>
      <c r="AD260" s="230">
        <f>(INDEX(Models!$BJ260:$BT260,,AH260)*(1-AF260)+INDEX(Models!$BJ260:$BT260,,AH260+1)*AF260-ERP_i)*AE260*Ramure*Pc/MaxiM</f>
        <v>2.0347470658543587E-4</v>
      </c>
      <c r="AE260" s="304">
        <f t="shared" si="89"/>
        <v>0.6</v>
      </c>
      <c r="AF260" s="177">
        <f t="shared" si="90"/>
        <v>0.4844987605906369</v>
      </c>
      <c r="AG260" s="176">
        <f t="shared" si="91"/>
        <v>-1</v>
      </c>
      <c r="AH260" s="176">
        <f t="shared" si="92"/>
        <v>5</v>
      </c>
      <c r="AI260" s="224">
        <f t="shared" si="93"/>
        <v>-0.5155012394093631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50.156999999999996</v>
      </c>
      <c r="C261" s="388"/>
      <c r="D261" s="391">
        <f t="shared" si="75"/>
        <v>50.733193443871002</v>
      </c>
      <c r="E261" s="383">
        <f t="shared" si="97"/>
        <v>53.06727685912125</v>
      </c>
      <c r="F261" s="383">
        <f t="shared" si="76"/>
        <v>53.078303197500396</v>
      </c>
      <c r="G261" s="110">
        <f t="shared" si="98"/>
        <v>0.99637963446374755</v>
      </c>
      <c r="H261" s="412" t="b">
        <f>Wh_hp&gt;='2019'!Maxi_hp</f>
        <v>0</v>
      </c>
      <c r="I261" s="388">
        <f>IF(H261,Wh_hp,'2019'!Maxi_hp)</f>
        <v>53.392231312994895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1.1357326530380574E-2</v>
      </c>
      <c r="M261" s="832"/>
      <c r="N261" s="832"/>
      <c r="O261" s="48">
        <f>IF(t&lt;Tnet,'2019'!Resal+('2019'!Salim-'2019'!Resal)*(1-EXP(('2019'!Tnet-t)/('2019'!Tau_j))),Resal+(Salim-Resal)*(1-EXP((Tnet-t)/(Tau_j))))*Salcycl</f>
        <v>4.3983478207230906E-2</v>
      </c>
      <c r="P261" s="169">
        <f>(INDEX(Models!$BJ261:$BT261,,T261)*(1-R261)+INDEX(Models!$BJ261:$BT261,,T261+1)*R261-ERP_i)*Q261*Ramure*Pc/MaxiM</f>
        <v>2.088168751242675E-4</v>
      </c>
      <c r="Q261" s="304">
        <f t="shared" si="78"/>
        <v>0.6</v>
      </c>
      <c r="R261" s="177">
        <f t="shared" si="79"/>
        <v>0.48507694631640108</v>
      </c>
      <c r="S261" s="799">
        <f t="shared" si="80"/>
        <v>-1</v>
      </c>
      <c r="T261" s="176">
        <f t="shared" si="81"/>
        <v>5</v>
      </c>
      <c r="U261" s="250">
        <f t="shared" si="82"/>
        <v>-0.51492305368359892</v>
      </c>
      <c r="V261" s="382">
        <f t="shared" si="83"/>
        <v>50.339192112004014</v>
      </c>
      <c r="W261" s="58"/>
      <c r="X261" s="157">
        <f t="shared" si="84"/>
        <v>44077</v>
      </c>
      <c r="Y261" s="383">
        <f t="shared" si="85"/>
        <v>50.156999999999996</v>
      </c>
      <c r="Z261" s="383">
        <f t="shared" si="86"/>
        <v>50.733193443871002</v>
      </c>
      <c r="AA261" s="384">
        <f t="shared" si="87"/>
        <v>53.06727685912125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4.3983478207230906E-2</v>
      </c>
      <c r="AD261" s="230">
        <f>(INDEX(Models!$BJ261:$BT261,,AH261)*(1-AF261)+INDEX(Models!$BJ261:$BT261,,AH261+1)*AF261-ERP_i)*AE261*Ramure*Pc/MaxiM</f>
        <v>2.088168751242675E-4</v>
      </c>
      <c r="AE261" s="304">
        <f t="shared" si="89"/>
        <v>0.6</v>
      </c>
      <c r="AF261" s="177">
        <f t="shared" si="90"/>
        <v>0.48507694631640108</v>
      </c>
      <c r="AG261" s="176">
        <f t="shared" si="91"/>
        <v>-1</v>
      </c>
      <c r="AH261" s="176">
        <f t="shared" si="92"/>
        <v>5</v>
      </c>
      <c r="AI261" s="224">
        <f t="shared" si="93"/>
        <v>-0.51492305368359892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50.482999999999997</v>
      </c>
      <c r="C262" s="388"/>
      <c r="D262" s="391">
        <f t="shared" si="75"/>
        <v>51.06391709407788</v>
      </c>
      <c r="E262" s="383">
        <f t="shared" si="97"/>
        <v>53.416009623506611</v>
      </c>
      <c r="F262" s="383">
        <f t="shared" si="76"/>
        <v>53.427461866974461</v>
      </c>
      <c r="G262" s="110">
        <f t="shared" si="98"/>
        <v>1.0075797245837459</v>
      </c>
      <c r="H262" s="412" t="b">
        <f>Wh_hp&gt;='2019'!Maxi_hp</f>
        <v>1</v>
      </c>
      <c r="I262" s="388">
        <f>IF(H262,Wh_hp,'2019'!Maxi_hp)</f>
        <v>53.427461866974461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1.1376273641672041E-2</v>
      </c>
      <c r="M262" s="832"/>
      <c r="N262" s="832"/>
      <c r="O262" s="48">
        <f>IF(t&lt;Tnet,'2019'!Resal+('2019'!Salim-'2019'!Resal)*(1-EXP(('2019'!Tnet-t)/('2019'!Tau_j))),Resal+(Salim-Resal)*(1-EXP((Tnet-t)/(Tau_j))))*Salcycl</f>
        <v>4.4033475094958217E-2</v>
      </c>
      <c r="P262" s="169">
        <f>(INDEX(Models!$BJ262:$BT262,,T262)*(1-R262)+INDEX(Models!$BJ262:$BT262,,T262+1)*R262-ERP_i)*Q262*Ramure*Pc/MaxiM</f>
        <v>2.1435125434870016E-4</v>
      </c>
      <c r="Q262" s="304">
        <f t="shared" si="78"/>
        <v>0.6</v>
      </c>
      <c r="R262" s="177">
        <f t="shared" si="79"/>
        <v>0.48563314760917309</v>
      </c>
      <c r="S262" s="799">
        <f t="shared" si="80"/>
        <v>-1</v>
      </c>
      <c r="T262" s="176">
        <f t="shared" si="81"/>
        <v>5</v>
      </c>
      <c r="U262" s="250">
        <f t="shared" si="82"/>
        <v>-0.51436685239082691</v>
      </c>
      <c r="V262" s="382">
        <f t="shared" si="83"/>
        <v>50.103231305945215</v>
      </c>
      <c r="W262" s="58"/>
      <c r="X262" s="157">
        <f t="shared" si="84"/>
        <v>44078</v>
      </c>
      <c r="Y262" s="383">
        <f t="shared" si="85"/>
        <v>50.482999999999997</v>
      </c>
      <c r="Z262" s="383">
        <f t="shared" si="86"/>
        <v>51.06391709407788</v>
      </c>
      <c r="AA262" s="384">
        <f t="shared" si="87"/>
        <v>53.416009623506611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4.4033475094958217E-2</v>
      </c>
      <c r="AD262" s="230">
        <f>(INDEX(Models!$BJ262:$BT262,,AH262)*(1-AF262)+INDEX(Models!$BJ262:$BT262,,AH262+1)*AF262-ERP_i)*AE262*Ramure*Pc/MaxiM</f>
        <v>2.1435125434870016E-4</v>
      </c>
      <c r="AE262" s="304">
        <f t="shared" si="89"/>
        <v>0.6</v>
      </c>
      <c r="AF262" s="177">
        <f t="shared" si="90"/>
        <v>0.48563314760917309</v>
      </c>
      <c r="AG262" s="176">
        <f t="shared" si="91"/>
        <v>-1</v>
      </c>
      <c r="AH262" s="176">
        <f t="shared" si="92"/>
        <v>5</v>
      </c>
      <c r="AI262" s="224">
        <f t="shared" si="93"/>
        <v>-0.51436685239082691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45.305</v>
      </c>
      <c r="C263" s="388"/>
      <c r="D263" s="391">
        <f t="shared" si="75"/>
        <v>45.827211171147248</v>
      </c>
      <c r="E263" s="383">
        <f t="shared" si="97"/>
        <v>47.940583505134626</v>
      </c>
      <c r="F263" s="383">
        <f t="shared" si="76"/>
        <v>47.949757197941807</v>
      </c>
      <c r="G263" s="110">
        <f t="shared" si="98"/>
        <v>0.90854653982856659</v>
      </c>
      <c r="H263" s="412" t="b">
        <f>Wh_hp&gt;='2019'!Maxi_hp</f>
        <v>0</v>
      </c>
      <c r="I263" s="388">
        <f>IF(H263,Wh_hp,'2019'!Maxi_hp)</f>
        <v>54.427802265876565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1.1395220389846306E-2</v>
      </c>
      <c r="M263" s="832"/>
      <c r="N263" s="832"/>
      <c r="O263" s="48">
        <f>IF(t&lt;Tnet,'2019'!Resal+('2019'!Salim-'2019'!Resal)*(1-EXP(('2019'!Tnet-t)/('2019'!Tau_j))),Resal+(Salim-Resal)*(1-EXP((Tnet-t)/(Tau_j))))*Salcycl</f>
        <v>4.4083158348730285E-2</v>
      </c>
      <c r="P263" s="169">
        <f>(INDEX(Models!$BJ263:$BT263,,T263)*(1-R263)+INDEX(Models!$BJ263:$BT263,,T263+1)*R263-ERP_i)*Q263*Ramure*Pc/MaxiM</f>
        <v>2.2006115264774426E-4</v>
      </c>
      <c r="Q263" s="304">
        <f t="shared" si="78"/>
        <v>0.6</v>
      </c>
      <c r="R263" s="177">
        <f t="shared" si="79"/>
        <v>0.48616815154080473</v>
      </c>
      <c r="S263" s="799">
        <f t="shared" si="80"/>
        <v>-1</v>
      </c>
      <c r="T263" s="176">
        <f t="shared" si="81"/>
        <v>5</v>
      </c>
      <c r="U263" s="250">
        <f t="shared" si="82"/>
        <v>-0.51383184845919527</v>
      </c>
      <c r="V263" s="382">
        <f t="shared" si="83"/>
        <v>49.863926166874954</v>
      </c>
      <c r="W263" s="58"/>
      <c r="X263" s="157">
        <f t="shared" si="84"/>
        <v>44079</v>
      </c>
      <c r="Y263" s="383">
        <f t="shared" si="85"/>
        <v>45.305</v>
      </c>
      <c r="Z263" s="383">
        <f t="shared" si="86"/>
        <v>45.827211171147248</v>
      </c>
      <c r="AA263" s="384">
        <f t="shared" si="87"/>
        <v>47.940583505134626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4.4083158348730285E-2</v>
      </c>
      <c r="AD263" s="230">
        <f>(INDEX(Models!$BJ263:$BT263,,AH263)*(1-AF263)+INDEX(Models!$BJ263:$BT263,,AH263+1)*AF263-ERP_i)*AE263*Ramure*Pc/MaxiM</f>
        <v>2.2006115264774426E-4</v>
      </c>
      <c r="AE263" s="304">
        <f t="shared" si="89"/>
        <v>0.6</v>
      </c>
      <c r="AF263" s="177">
        <f t="shared" si="90"/>
        <v>0.48616815154080473</v>
      </c>
      <c r="AG263" s="176">
        <f t="shared" si="91"/>
        <v>-1</v>
      </c>
      <c r="AH263" s="176">
        <f t="shared" si="92"/>
        <v>5</v>
      </c>
      <c r="AI263" s="224">
        <f t="shared" si="93"/>
        <v>-0.51383184845919527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28.015000000000001</v>
      </c>
      <c r="C264" s="388"/>
      <c r="D264" s="391">
        <f t="shared" si="75"/>
        <v>28.338459907528648</v>
      </c>
      <c r="E264" s="383">
        <f t="shared" si="97"/>
        <v>29.646850031508855</v>
      </c>
      <c r="F264" s="383">
        <f t="shared" si="76"/>
        <v>29.64938211653412</v>
      </c>
      <c r="G264" s="110">
        <f t="shared" si="98"/>
        <v>0.56449699513495155</v>
      </c>
      <c r="H264" s="412" t="b">
        <f>Wh_hp&gt;='2019'!Maxi_hp</f>
        <v>0</v>
      </c>
      <c r="I264" s="388">
        <f>IF(H264,Wh_hp,'2019'!Maxi_hp)</f>
        <v>49.351657913110358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1.1414166774910584E-2</v>
      </c>
      <c r="M264" s="832"/>
      <c r="N264" s="832"/>
      <c r="O264" s="48">
        <f>IF(t&lt;Tnet,'2019'!Resal+('2019'!Salim-'2019'!Resal)*(1-EXP(('2019'!Tnet-t)/('2019'!Tau_j))),Resal+(Salim-Resal)*(1-EXP((Tnet-t)/(Tau_j))))*Salcycl</f>
        <v>4.4132517369961523E-2</v>
      </c>
      <c r="P264" s="169">
        <f>(INDEX(Models!$BJ264:$BT264,,T264)*(1-R264)+INDEX(Models!$BJ264:$BT264,,T264+1)*R264-ERP_i)*Q264*Ramure*Pc/MaxiM</f>
        <v>2.2594859954150329E-4</v>
      </c>
      <c r="Q264" s="304">
        <f t="shared" si="78"/>
        <v>0.6</v>
      </c>
      <c r="R264" s="177">
        <f t="shared" si="79"/>
        <v>0.48668272077384223</v>
      </c>
      <c r="S264" s="799">
        <f t="shared" si="80"/>
        <v>-1</v>
      </c>
      <c r="T264" s="176">
        <f t="shared" si="81"/>
        <v>5</v>
      </c>
      <c r="U264" s="250">
        <f t="shared" si="82"/>
        <v>-0.51331727922615777</v>
      </c>
      <c r="V264" s="382">
        <f t="shared" si="83"/>
        <v>49.621277814344865</v>
      </c>
      <c r="W264" s="58"/>
      <c r="X264" s="157">
        <f t="shared" si="84"/>
        <v>44080</v>
      </c>
      <c r="Y264" s="383">
        <f t="shared" si="85"/>
        <v>28.015000000000001</v>
      </c>
      <c r="Z264" s="383">
        <f t="shared" si="86"/>
        <v>28.338459907528648</v>
      </c>
      <c r="AA264" s="384">
        <f t="shared" si="87"/>
        <v>29.646850031508855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4.4132517369961523E-2</v>
      </c>
      <c r="AD264" s="230">
        <f>(INDEX(Models!$BJ264:$BT264,,AH264)*(1-AF264)+INDEX(Models!$BJ264:$BT264,,AH264+1)*AF264-ERP_i)*AE264*Ramure*Pc/MaxiM</f>
        <v>2.2594859954150329E-4</v>
      </c>
      <c r="AE264" s="304">
        <f t="shared" si="89"/>
        <v>0.6</v>
      </c>
      <c r="AF264" s="177">
        <f t="shared" si="90"/>
        <v>0.48668272077384223</v>
      </c>
      <c r="AG264" s="176">
        <f t="shared" si="91"/>
        <v>-1</v>
      </c>
      <c r="AH264" s="176">
        <f t="shared" si="92"/>
        <v>5</v>
      </c>
      <c r="AI264" s="224">
        <f t="shared" si="93"/>
        <v>-0.51331727922615777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45.552999999999997</v>
      </c>
      <c r="C265" s="388"/>
      <c r="D265" s="391">
        <f t="shared" si="75"/>
        <v>46.079835962217373</v>
      </c>
      <c r="E265" s="383">
        <f t="shared" si="97"/>
        <v>48.209820111178445</v>
      </c>
      <c r="F265" s="383">
        <f t="shared" si="76"/>
        <v>48.219770599083176</v>
      </c>
      <c r="G265" s="110">
        <f t="shared" si="98"/>
        <v>0.9225633580522733</v>
      </c>
      <c r="H265" s="412" t="b">
        <f>Wh_hp&gt;='2019'!Maxi_hp</f>
        <v>1</v>
      </c>
      <c r="I265" s="388">
        <f>IF(H265,Wh_hp,'2019'!Maxi_hp)</f>
        <v>48.219770599083176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1.1433112796871647E-2</v>
      </c>
      <c r="M265" s="832"/>
      <c r="N265" s="832"/>
      <c r="O265" s="48">
        <f>IF(t&lt;Tnet,'2019'!Resal+('2019'!Salim-'2019'!Resal)*(1-EXP(('2019'!Tnet-t)/('2019'!Tau_j))),Resal+(Salim-Resal)*(1-EXP((Tnet-t)/(Tau_j))))*Salcycl</f>
        <v>4.4181541106128167E-2</v>
      </c>
      <c r="P265" s="169">
        <f>(INDEX(Models!$BJ265:$BT265,,T265)*(1-R265)+INDEX(Models!$BJ265:$BT265,,T265+1)*R265-ERP_i)*Q265*Ramure*Pc/MaxiM</f>
        <v>2.3201560912101821E-4</v>
      </c>
      <c r="Q265" s="304">
        <f t="shared" si="78"/>
        <v>0.6</v>
      </c>
      <c r="R265" s="177">
        <f t="shared" si="79"/>
        <v>0.48717759402068816</v>
      </c>
      <c r="S265" s="799">
        <f t="shared" si="80"/>
        <v>-1</v>
      </c>
      <c r="T265" s="176">
        <f t="shared" si="81"/>
        <v>5</v>
      </c>
      <c r="U265" s="250">
        <f t="shared" si="82"/>
        <v>-0.51282240597931184</v>
      </c>
      <c r="V265" s="382">
        <f t="shared" si="83"/>
        <v>49.375287382936371</v>
      </c>
      <c r="W265" s="58"/>
      <c r="X265" s="157">
        <f t="shared" si="84"/>
        <v>44081</v>
      </c>
      <c r="Y265" s="383">
        <f t="shared" si="85"/>
        <v>45.552999999999997</v>
      </c>
      <c r="Z265" s="383">
        <f t="shared" si="86"/>
        <v>46.079835962217373</v>
      </c>
      <c r="AA265" s="384">
        <f t="shared" si="87"/>
        <v>48.209820111178445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4.4181541106128167E-2</v>
      </c>
      <c r="AD265" s="230">
        <f>(INDEX(Models!$BJ265:$BT265,,AH265)*(1-AF265)+INDEX(Models!$BJ265:$BT265,,AH265+1)*AF265-ERP_i)*AE265*Ramure*Pc/MaxiM</f>
        <v>2.3201560912101821E-4</v>
      </c>
      <c r="AE265" s="304">
        <f t="shared" si="89"/>
        <v>0.6</v>
      </c>
      <c r="AF265" s="177">
        <f t="shared" si="90"/>
        <v>0.48717759402068816</v>
      </c>
      <c r="AG265" s="176">
        <f t="shared" si="91"/>
        <v>-1</v>
      </c>
      <c r="AH265" s="176">
        <f t="shared" si="92"/>
        <v>5</v>
      </c>
      <c r="AI265" s="224">
        <f t="shared" si="93"/>
        <v>-0.51282240597931184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47.585000000000001</v>
      </c>
      <c r="C266" s="388"/>
      <c r="D266" s="391">
        <f t="shared" si="75"/>
        <v>48.136259254826768</v>
      </c>
      <c r="E266" s="383">
        <f t="shared" si="97"/>
        <v>50.363863937895559</v>
      </c>
      <c r="F266" s="383">
        <f t="shared" si="76"/>
        <v>50.375328728188094</v>
      </c>
      <c r="G266" s="110">
        <f t="shared" si="98"/>
        <v>0.96862220478103633</v>
      </c>
      <c r="H266" s="412" t="b">
        <f>Wh_hp&gt;='2019'!Maxi_hp</f>
        <v>1</v>
      </c>
      <c r="I266" s="388">
        <f>IF(H266,Wh_hp,'2019'!Maxi_hp)</f>
        <v>50.375328728188094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1.1452058455736602E-2</v>
      </c>
      <c r="M266" s="832"/>
      <c r="N266" s="832"/>
      <c r="O266" s="48">
        <f>IF(t&lt;Tnet,'2019'!Resal+('2019'!Salim-'2019'!Resal)*(1-EXP(('2019'!Tnet-t)/('2019'!Tau_j))),Resal+(Salim-Resal)*(1-EXP((Tnet-t)/(Tau_j))))*Salcycl</f>
        <v>4.4230218035210468E-2</v>
      </c>
      <c r="P266" s="169">
        <f>(INDEX(Models!$BJ266:$BT266,,T266)*(1-R266)+INDEX(Models!$BJ266:$BT266,,T266+1)*R266-ERP_i)*Q266*Ramure*Pc/MaxiM</f>
        <v>2.3826417523395614E-4</v>
      </c>
      <c r="Q266" s="304">
        <f t="shared" si="78"/>
        <v>0.6</v>
      </c>
      <c r="R266" s="177">
        <f t="shared" si="79"/>
        <v>0.48765348652004326</v>
      </c>
      <c r="S266" s="799">
        <f t="shared" si="80"/>
        <v>-1</v>
      </c>
      <c r="T266" s="176">
        <f t="shared" si="81"/>
        <v>5</v>
      </c>
      <c r="U266" s="250">
        <f t="shared" si="82"/>
        <v>-0.51234651347995674</v>
      </c>
      <c r="V266" s="382">
        <f t="shared" si="83"/>
        <v>49.125956018059831</v>
      </c>
      <c r="W266" s="58"/>
      <c r="X266" s="157">
        <f t="shared" si="84"/>
        <v>44082</v>
      </c>
      <c r="Y266" s="383">
        <f t="shared" si="85"/>
        <v>47.585000000000001</v>
      </c>
      <c r="Z266" s="383">
        <f t="shared" si="86"/>
        <v>48.136259254826768</v>
      </c>
      <c r="AA266" s="384">
        <f t="shared" si="87"/>
        <v>50.363863937895559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4.4230218035210468E-2</v>
      </c>
      <c r="AD266" s="230">
        <f>(INDEX(Models!$BJ266:$BT266,,AH266)*(1-AF266)+INDEX(Models!$BJ266:$BT266,,AH266+1)*AF266-ERP_i)*AE266*Ramure*Pc/MaxiM</f>
        <v>2.3826417523395614E-4</v>
      </c>
      <c r="AE266" s="304">
        <f t="shared" si="89"/>
        <v>0.6</v>
      </c>
      <c r="AF266" s="177">
        <f t="shared" si="90"/>
        <v>0.48765348652004326</v>
      </c>
      <c r="AG266" s="176">
        <f t="shared" si="91"/>
        <v>-1</v>
      </c>
      <c r="AH266" s="176">
        <f t="shared" si="92"/>
        <v>5</v>
      </c>
      <c r="AI266" s="224">
        <f t="shared" si="93"/>
        <v>-0.51234651347995674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24.550999999999998</v>
      </c>
      <c r="C267" s="388"/>
      <c r="D267" s="391">
        <f t="shared" si="75"/>
        <v>24.83589261738619</v>
      </c>
      <c r="E267" s="383">
        <f t="shared" si="97"/>
        <v>25.986538501954495</v>
      </c>
      <c r="F267" s="383">
        <f t="shared" si="76"/>
        <v>25.988376690016047</v>
      </c>
      <c r="G267" s="110">
        <f t="shared" si="98"/>
        <v>0.50225248296757052</v>
      </c>
      <c r="H267" s="412" t="b">
        <f>Wh_hp&gt;='2019'!Maxi_hp</f>
        <v>1</v>
      </c>
      <c r="I267" s="388">
        <f>IF(H267,Wh_hp,'2019'!Maxi_hp)</f>
        <v>25.988376690016047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1.1471003751512221E-2</v>
      </c>
      <c r="M267" s="832"/>
      <c r="N267" s="832"/>
      <c r="O267" s="48">
        <f>IF(t&lt;Tnet,'2019'!Resal+('2019'!Salim-'2019'!Resal)*(1-EXP(('2019'!Tnet-t)/('2019'!Tau_j))),Resal+(Salim-Resal)*(1-EXP((Tnet-t)/(Tau_j))))*Salcycl</f>
        <v>4.4278536153699928E-2</v>
      </c>
      <c r="P267" s="169">
        <f>(INDEX(Models!$BJ267:$BT267,,T267)*(1-R267)+INDEX(Models!$BJ267:$BT267,,T267+1)*R267-ERP_i)*Q267*Ramure*Pc/MaxiM</f>
        <v>2.4469626629635934E-4</v>
      </c>
      <c r="Q267" s="304">
        <f t="shared" si="78"/>
        <v>0.6</v>
      </c>
      <c r="R267" s="177">
        <f t="shared" si="79"/>
        <v>0.48811109052770818</v>
      </c>
      <c r="S267" s="799">
        <f t="shared" si="80"/>
        <v>-1</v>
      </c>
      <c r="T267" s="176">
        <f t="shared" si="81"/>
        <v>5</v>
      </c>
      <c r="U267" s="250">
        <f t="shared" si="82"/>
        <v>-0.51188890947229182</v>
      </c>
      <c r="V267" s="382">
        <f t="shared" si="83"/>
        <v>48.873284877667516</v>
      </c>
      <c r="W267" s="58"/>
      <c r="X267" s="157">
        <f t="shared" si="84"/>
        <v>44083</v>
      </c>
      <c r="Y267" s="383">
        <f t="shared" si="85"/>
        <v>24.550999999999998</v>
      </c>
      <c r="Z267" s="383">
        <f t="shared" si="86"/>
        <v>24.83589261738619</v>
      </c>
      <c r="AA267" s="384">
        <f t="shared" si="87"/>
        <v>25.986538501954495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4.4278536153699928E-2</v>
      </c>
      <c r="AD267" s="230">
        <f>(INDEX(Models!$BJ267:$BT267,,AH267)*(1-AF267)+INDEX(Models!$BJ267:$BT267,,AH267+1)*AF267-ERP_i)*AE267*Ramure*Pc/MaxiM</f>
        <v>2.4469626629635934E-4</v>
      </c>
      <c r="AE267" s="304">
        <f t="shared" si="89"/>
        <v>0.6</v>
      </c>
      <c r="AF267" s="177">
        <f t="shared" si="90"/>
        <v>0.48811109052770818</v>
      </c>
      <c r="AG267" s="176">
        <f t="shared" si="91"/>
        <v>-1</v>
      </c>
      <c r="AH267" s="176">
        <f t="shared" si="92"/>
        <v>5</v>
      </c>
      <c r="AI267" s="224">
        <f t="shared" si="93"/>
        <v>-0.51188890947229182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43.604999999999997</v>
      </c>
      <c r="C268" s="388"/>
      <c r="D268" s="391">
        <f t="shared" si="75"/>
        <v>44.111842810255581</v>
      </c>
      <c r="E268" s="383">
        <f t="shared" si="97"/>
        <v>46.157858331464432</v>
      </c>
      <c r="F268" s="383">
        <f t="shared" si="76"/>
        <v>46.167756947234523</v>
      </c>
      <c r="G268" s="110">
        <f t="shared" si="98"/>
        <v>0.89687030266440115</v>
      </c>
      <c r="H268" s="412" t="b">
        <f>Wh_hp&gt;='2019'!Maxi_hp</f>
        <v>0</v>
      </c>
      <c r="I268" s="388">
        <f>IF(H268,Wh_hp,'2019'!Maxi_hp)</f>
        <v>47.570695071045627</v>
      </c>
      <c r="J268" s="85">
        <f>IF(H268,An,'2019'!An_max)</f>
        <v>2018</v>
      </c>
      <c r="K268" s="197">
        <f t="shared" si="77"/>
        <v>44084</v>
      </c>
      <c r="L268" s="147">
        <f>IF(t&lt;Tvie,1-EXP((T0-t)*PertePVj)+'2019'!Pspv,1-EXP((T0-t)*PertePVj)+Pspv)</f>
        <v>1.1489948684205609E-2</v>
      </c>
      <c r="M268" s="832"/>
      <c r="N268" s="832"/>
      <c r="O268" s="48">
        <f>IF(t&lt;Tnet,'2019'!Resal+('2019'!Salim-'2019'!Resal)*(1-EXP(('2019'!Tnet-t)/('2019'!Tau_j))),Resal+(Salim-Resal)*(1-EXP((Tnet-t)/(Tau_j))))*Salcycl</f>
        <v>4.4326482968863053E-2</v>
      </c>
      <c r="P268" s="169">
        <f>(INDEX(Models!$BJ268:$BT268,,T268)*(1-R268)+INDEX(Models!$BJ268:$BT268,,T268+1)*R268-ERP_i)*Q268*Ramure*Pc/MaxiM</f>
        <v>2.5143723322094882E-4</v>
      </c>
      <c r="Q268" s="304">
        <f t="shared" si="78"/>
        <v>0.6</v>
      </c>
      <c r="R268" s="177">
        <f t="shared" si="79"/>
        <v>0.48855107581904489</v>
      </c>
      <c r="S268" s="799">
        <f t="shared" si="80"/>
        <v>-1</v>
      </c>
      <c r="T268" s="176">
        <f t="shared" si="81"/>
        <v>5</v>
      </c>
      <c r="U268" s="250">
        <f t="shared" si="82"/>
        <v>-0.51144892418095511</v>
      </c>
      <c r="V268" s="382">
        <f t="shared" si="83"/>
        <v>48.617269130771191</v>
      </c>
      <c r="W268" s="58"/>
      <c r="X268" s="157">
        <f t="shared" si="84"/>
        <v>44084</v>
      </c>
      <c r="Y268" s="383">
        <f t="shared" si="85"/>
        <v>43.604999999999997</v>
      </c>
      <c r="Z268" s="383">
        <f t="shared" si="86"/>
        <v>44.111842810255581</v>
      </c>
      <c r="AA268" s="384">
        <f t="shared" si="87"/>
        <v>46.157858331464432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4.4326482968863053E-2</v>
      </c>
      <c r="AD268" s="230">
        <f>(INDEX(Models!$BJ268:$BT268,,AH268)*(1-AF268)+INDEX(Models!$BJ268:$BT268,,AH268+1)*AF268-ERP_i)*AE268*Ramure*Pc/MaxiM</f>
        <v>2.5143723322094882E-4</v>
      </c>
      <c r="AE268" s="304">
        <f t="shared" si="89"/>
        <v>0.6</v>
      </c>
      <c r="AF268" s="177">
        <f t="shared" si="90"/>
        <v>0.48855107581904489</v>
      </c>
      <c r="AG268" s="176">
        <f t="shared" si="91"/>
        <v>-1</v>
      </c>
      <c r="AH268" s="176">
        <f t="shared" si="92"/>
        <v>5</v>
      </c>
      <c r="AI268" s="224">
        <f t="shared" si="93"/>
        <v>-0.51144892418095511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43.33</v>
      </c>
      <c r="C269" s="388"/>
      <c r="D269" s="391">
        <f t="shared" si="75"/>
        <v>43.834486425102689</v>
      </c>
      <c r="E269" s="383">
        <f t="shared" si="97"/>
        <v>45.869920357961234</v>
      </c>
      <c r="F269" s="383">
        <f t="shared" si="76"/>
        <v>45.880018194961629</v>
      </c>
      <c r="G269" s="110">
        <f t="shared" si="98"/>
        <v>0.89599273120057943</v>
      </c>
      <c r="H269" s="412" t="b">
        <f>Wh_hp&gt;='2019'!Maxi_hp</f>
        <v>0</v>
      </c>
      <c r="I269" s="388">
        <f>IF(H269,Wh_hp,'2019'!Maxi_hp)</f>
        <v>50.716513586551613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1.150889325382376E-2</v>
      </c>
      <c r="M269" s="832"/>
      <c r="N269" s="832"/>
      <c r="O269" s="48">
        <f>IF(t&lt;Tnet,'2019'!Resal+('2019'!Salim-'2019'!Resal)*(1-EXP(('2019'!Tnet-t)/('2019'!Tau_j))),Resal+(Salim-Resal)*(1-EXP((Tnet-t)/(Tau_j))))*Salcycl</f>
        <v>4.4374045495923109E-2</v>
      </c>
      <c r="P269" s="169">
        <f>(INDEX(Models!$BJ269:$BT269,,T269)*(1-R269)+INDEX(Models!$BJ269:$BT269,,T269+1)*R269-ERP_i)*Q269*Ramure*Pc/MaxiM</f>
        <v>2.5848585269228053E-4</v>
      </c>
      <c r="Q269" s="304">
        <f t="shared" si="78"/>
        <v>0.6</v>
      </c>
      <c r="R269" s="177">
        <f t="shared" si="79"/>
        <v>0.48897409020063187</v>
      </c>
      <c r="S269" s="799">
        <f t="shared" si="80"/>
        <v>-1</v>
      </c>
      <c r="T269" s="176">
        <f t="shared" si="81"/>
        <v>5</v>
      </c>
      <c r="U269" s="250">
        <f t="shared" si="82"/>
        <v>-0.51102590979936813</v>
      </c>
      <c r="V269" s="382">
        <f t="shared" si="83"/>
        <v>48.3579102047484</v>
      </c>
      <c r="W269" s="58"/>
      <c r="X269" s="157">
        <f t="shared" si="84"/>
        <v>44085</v>
      </c>
      <c r="Y269" s="383">
        <f t="shared" si="85"/>
        <v>43.33</v>
      </c>
      <c r="Z269" s="383">
        <f t="shared" si="86"/>
        <v>43.834486425102689</v>
      </c>
      <c r="AA269" s="384">
        <f t="shared" si="87"/>
        <v>45.869920357961234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4.4374045495923109E-2</v>
      </c>
      <c r="AD269" s="230">
        <f>(INDEX(Models!$BJ269:$BT269,,AH269)*(1-AF269)+INDEX(Models!$BJ269:$BT269,,AH269+1)*AF269-ERP_i)*AE269*Ramure*Pc/MaxiM</f>
        <v>2.5848585269228053E-4</v>
      </c>
      <c r="AE269" s="304">
        <f t="shared" si="89"/>
        <v>0.6</v>
      </c>
      <c r="AF269" s="177">
        <f t="shared" si="90"/>
        <v>0.48897409020063187</v>
      </c>
      <c r="AG269" s="176">
        <f t="shared" si="91"/>
        <v>-1</v>
      </c>
      <c r="AH269" s="176">
        <f t="shared" si="92"/>
        <v>5</v>
      </c>
      <c r="AI269" s="224">
        <f t="shared" si="93"/>
        <v>-0.51102590979936813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46.220999999999997</v>
      </c>
      <c r="C270" s="388"/>
      <c r="D270" s="391">
        <f t="shared" si="75"/>
        <v>46.760042165726702</v>
      </c>
      <c r="E270" s="383">
        <f t="shared" si="97"/>
        <v>48.933738031677976</v>
      </c>
      <c r="F270" s="383">
        <f t="shared" si="76"/>
        <v>48.946025733501244</v>
      </c>
      <c r="G270" s="110">
        <f t="shared" si="98"/>
        <v>0.96101704176742586</v>
      </c>
      <c r="H270" s="412" t="b">
        <f>Wh_hp&gt;='2019'!Maxi_hp</f>
        <v>1</v>
      </c>
      <c r="I270" s="388">
        <f>IF(H270,Wh_hp,'2019'!Maxi_hp)</f>
        <v>48.946025733501244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1.1527837460373447E-2</v>
      </c>
      <c r="M270" s="832"/>
      <c r="N270" s="832"/>
      <c r="O270" s="48">
        <f>IF(t&lt;Tnet,'2019'!Resal+('2019'!Salim-'2019'!Resal)*(1-EXP(('2019'!Tnet-t)/('2019'!Tau_j))),Resal+(Salim-Resal)*(1-EXP((Tnet-t)/(Tau_j))))*Salcycl</f>
        <v>4.4421210260783613E-2</v>
      </c>
      <c r="P270" s="169">
        <f>(INDEX(Models!$BJ270:$BT270,,T270)*(1-R270)+INDEX(Models!$BJ270:$BT270,,T270+1)*R270-ERP_i)*Q270*Ramure*Pc/MaxiM</f>
        <v>2.6584547158284158E-4</v>
      </c>
      <c r="Q270" s="304">
        <f t="shared" si="78"/>
        <v>0.6</v>
      </c>
      <c r="R270" s="177">
        <f t="shared" si="79"/>
        <v>0.48938076002884201</v>
      </c>
      <c r="S270" s="799">
        <f t="shared" si="80"/>
        <v>-1</v>
      </c>
      <c r="T270" s="176">
        <f t="shared" si="81"/>
        <v>5</v>
      </c>
      <c r="U270" s="250">
        <f t="shared" si="82"/>
        <v>-0.51061923997115799</v>
      </c>
      <c r="V270" s="382">
        <f t="shared" si="83"/>
        <v>48.09520931576342</v>
      </c>
      <c r="W270" s="58"/>
      <c r="X270" s="157">
        <f t="shared" si="84"/>
        <v>44086</v>
      </c>
      <c r="Y270" s="383">
        <f t="shared" si="85"/>
        <v>46.220999999999997</v>
      </c>
      <c r="Z270" s="383">
        <f t="shared" si="86"/>
        <v>46.760042165726702</v>
      </c>
      <c r="AA270" s="384">
        <f t="shared" si="87"/>
        <v>48.933738031677976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4.4421210260783613E-2</v>
      </c>
      <c r="AD270" s="230">
        <f>(INDEX(Models!$BJ270:$BT270,,AH270)*(1-AF270)+INDEX(Models!$BJ270:$BT270,,AH270+1)*AF270-ERP_i)*AE270*Ramure*Pc/MaxiM</f>
        <v>2.6584547158284158E-4</v>
      </c>
      <c r="AE270" s="304">
        <f t="shared" si="89"/>
        <v>0.6</v>
      </c>
      <c r="AF270" s="177">
        <f t="shared" si="90"/>
        <v>0.48938076002884201</v>
      </c>
      <c r="AG270" s="176">
        <f t="shared" si="91"/>
        <v>-1</v>
      </c>
      <c r="AH270" s="176">
        <f t="shared" si="92"/>
        <v>5</v>
      </c>
      <c r="AI270" s="224">
        <f t="shared" si="93"/>
        <v>-0.51061923997115799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45.725000000000001</v>
      </c>
      <c r="C271" s="388"/>
      <c r="D271" s="391">
        <f t="shared" ref="D271:D334" si="99">Wh/(1-Ppv)</f>
        <v>46.259144221630976</v>
      </c>
      <c r="E271" s="383">
        <f t="shared" si="97"/>
        <v>48.41192387627288</v>
      </c>
      <c r="F271" s="383">
        <f t="shared" ref="F271:F334" si="100">Wh_sa/(1-Pvg*MEDIAN((-Sdif+Wh/Env_an)/Csdif,0,1))</f>
        <v>48.424336454195235</v>
      </c>
      <c r="G271" s="110">
        <f t="shared" si="98"/>
        <v>0.95599016225916833</v>
      </c>
      <c r="H271" s="412" t="b">
        <f>Wh_hp&gt;='2019'!Maxi_hp</f>
        <v>1</v>
      </c>
      <c r="I271" s="388">
        <f>IF(H271,Wh_hp,'2019'!Maxi_hp)</f>
        <v>48.424336454195235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1.1546781303861775E-2</v>
      </c>
      <c r="M271" s="832"/>
      <c r="N271" s="832"/>
      <c r="O271" s="48">
        <f>IF(t&lt;Tnet,'2019'!Resal+('2019'!Salim-'2019'!Resal)*(1-EXP(('2019'!Tnet-t)/('2019'!Tau_j))),Resal+(Salim-Resal)*(1-EXP((Tnet-t)/(Tau_j))))*Salcycl</f>
        <v>4.4467963308869936E-2</v>
      </c>
      <c r="P271" s="169">
        <f>(INDEX(Models!$BJ271:$BT271,,T271)*(1-R271)+INDEX(Models!$BJ271:$BT271,,T271+1)*R271-ERP_i)*Q271*Ramure*Pc/MaxiM</f>
        <v>2.7351940340182893E-4</v>
      </c>
      <c r="Q271" s="304">
        <f t="shared" ref="Q271:Q334" si="102">IF(OR(t&lt;Ttai,Notai),Dd+PousD*Croivg,Dens+PousD*(Croivg-Croi_tai))</f>
        <v>0.6</v>
      </c>
      <c r="R271" s="177">
        <f t="shared" ref="R271:R334" si="103">(Hp_vg-S271)/(INDEX(Echel_vg,T271+1)-S271)</f>
        <v>0.48977169073327753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-0.51022830926672247</v>
      </c>
      <c r="V271" s="382">
        <f t="shared" ref="V271:V334" si="107">MaxiM*(1-Ppv)*(1-Pvg)*(1-Psa)</f>
        <v>47.829167691957188</v>
      </c>
      <c r="W271" s="58"/>
      <c r="X271" s="157">
        <f t="shared" ref="X271:X334" si="108">t</f>
        <v>44087</v>
      </c>
      <c r="Y271" s="383">
        <f t="shared" ref="Y271:Y334" si="109">Wh_pvt_s*(1-Ppv)</f>
        <v>45.725000000000001</v>
      </c>
      <c r="Z271" s="383">
        <f t="shared" ref="Z271:Z334" si="110">Wh_sa_s*(1-Psa_s)</f>
        <v>46.259144221630976</v>
      </c>
      <c r="AA271" s="384">
        <f t="shared" ref="AA271:AA334" si="111">Wh_hp*(1-Pvg_s*MEDIAN((-Sdif+Wh/Env_an)/Csdif,0,1))</f>
        <v>48.41192387627288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4.4467963308869936E-2</v>
      </c>
      <c r="AD271" s="230">
        <f>(INDEX(Models!$BJ271:$BT271,,AH271)*(1-AF271)+INDEX(Models!$BJ271:$BT271,,AH271+1)*AF271-ERP_i)*AE271*Ramure*Pc/MaxiM</f>
        <v>2.7351940340182893E-4</v>
      </c>
      <c r="AE271" s="304">
        <f t="shared" ref="AE271:AE334" si="113">IF(OR(t&lt;Ttai,Notai),Dd_s+PousD*Croivg,Dens_s+PousD*(Croivg-Croi_tai))</f>
        <v>0.6</v>
      </c>
      <c r="AF271" s="177">
        <f t="shared" ref="AF271:AF334" si="114">(Hp_vg_s-AG271)/(INDEX(Echel_vg,AH271+1)-AG271)</f>
        <v>0.48977169073327753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-0.51022830926672247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46.771999999999998</v>
      </c>
      <c r="C272" s="388"/>
      <c r="D272" s="391">
        <f t="shared" si="99"/>
        <v>47.319281790175701</v>
      </c>
      <c r="E272" s="383">
        <f t="shared" si="97"/>
        <v>49.5237985308029</v>
      </c>
      <c r="F272" s="383">
        <f t="shared" si="100"/>
        <v>49.537413864977964</v>
      </c>
      <c r="G272" s="110">
        <f t="shared" si="98"/>
        <v>0.98342931535476741</v>
      </c>
      <c r="H272" s="412" t="b">
        <f>Wh_hp&gt;='2019'!Maxi_hp</f>
        <v>1</v>
      </c>
      <c r="I272" s="388">
        <f>IF(H272,Wh_hp,'2019'!Maxi_hp)</f>
        <v>49.537413864977964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1.1565724784295628E-2</v>
      </c>
      <c r="M272" s="832"/>
      <c r="N272" s="832"/>
      <c r="O272" s="48">
        <f>IF(t&lt;Tnet,'2019'!Resal+('2019'!Salim-'2019'!Resal)*(1-EXP(('2019'!Tnet-t)/('2019'!Tau_j))),Resal+(Salim-Resal)*(1-EXP((Tnet-t)/(Tau_j))))*Salcycl</f>
        <v>4.4514290220610368E-2</v>
      </c>
      <c r="P272" s="169">
        <f>(INDEX(Models!$BJ272:$BT272,,T272)*(1-R272)+INDEX(Models!$BJ272:$BT272,,T272+1)*R272-ERP_i)*Q272*Ramure*Pc/MaxiM</f>
        <v>2.8151092069500023E-4</v>
      </c>
      <c r="Q272" s="304">
        <f t="shared" si="102"/>
        <v>0.6</v>
      </c>
      <c r="R272" s="177">
        <f t="shared" si="103"/>
        <v>0.4901474673431756</v>
      </c>
      <c r="S272" s="799">
        <f t="shared" si="104"/>
        <v>-1</v>
      </c>
      <c r="T272" s="176">
        <f t="shared" si="105"/>
        <v>5</v>
      </c>
      <c r="U272" s="250">
        <f t="shared" si="106"/>
        <v>-0.5098525326568244</v>
      </c>
      <c r="V272" s="382">
        <f t="shared" si="107"/>
        <v>47.559786572156888</v>
      </c>
      <c r="W272" s="58"/>
      <c r="X272" s="157">
        <f t="shared" si="108"/>
        <v>44088</v>
      </c>
      <c r="Y272" s="383">
        <f t="shared" si="109"/>
        <v>46.771999999999998</v>
      </c>
      <c r="Z272" s="383">
        <f t="shared" si="110"/>
        <v>47.319281790175701</v>
      </c>
      <c r="AA272" s="384">
        <f t="shared" si="111"/>
        <v>49.5237985308029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4.4514290220610368E-2</v>
      </c>
      <c r="AD272" s="230">
        <f>(INDEX(Models!$BJ272:$BT272,,AH272)*(1-AF272)+INDEX(Models!$BJ272:$BT272,,AH272+1)*AF272-ERP_i)*AE272*Ramure*Pc/MaxiM</f>
        <v>2.8151092069500023E-4</v>
      </c>
      <c r="AE272" s="304">
        <f t="shared" si="113"/>
        <v>0.6</v>
      </c>
      <c r="AF272" s="177">
        <f t="shared" si="114"/>
        <v>0.4901474673431756</v>
      </c>
      <c r="AG272" s="176">
        <f t="shared" si="115"/>
        <v>-1</v>
      </c>
      <c r="AH272" s="176">
        <f t="shared" si="116"/>
        <v>5</v>
      </c>
      <c r="AI272" s="224">
        <f t="shared" si="117"/>
        <v>-0.5098525326568244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40.478999999999999</v>
      </c>
      <c r="C273" s="388"/>
      <c r="D273" s="391">
        <f t="shared" si="99"/>
        <v>40.953431908089364</v>
      </c>
      <c r="E273" s="383">
        <f t="shared" si="97"/>
        <v>42.863434080421676</v>
      </c>
      <c r="F273" s="383">
        <f t="shared" si="100"/>
        <v>42.873304097627468</v>
      </c>
      <c r="G273" s="110">
        <f t="shared" si="98"/>
        <v>0.85597582805061434</v>
      </c>
      <c r="H273" s="412" t="b">
        <f>Wh_hp&gt;='2019'!Maxi_hp</f>
        <v>0</v>
      </c>
      <c r="I273" s="388">
        <f>IF(H273,Wh_hp,'2019'!Maxi_hp)</f>
        <v>43.865326468567289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1.1584667901682111E-2</v>
      </c>
      <c r="M273" s="832"/>
      <c r="N273" s="832"/>
      <c r="O273" s="48">
        <f>IF(t&lt;Tnet,'2019'!Resal+('2019'!Salim-'2019'!Resal)*(1-EXP(('2019'!Tnet-t)/('2019'!Tau_j))),Resal+(Salim-Resal)*(1-EXP((Tnet-t)/(Tau_j))))*Salcycl</f>
        <v>4.4560176134014598E-2</v>
      </c>
      <c r="P273" s="169">
        <f>(INDEX(Models!$BJ273:$BT273,,T273)*(1-R273)+INDEX(Models!$BJ273:$BT273,,T273+1)*R273-ERP_i)*Q273*Ramure*Pc/MaxiM</f>
        <v>2.8982324729279467E-4</v>
      </c>
      <c r="Q273" s="304">
        <f t="shared" si="102"/>
        <v>0.6</v>
      </c>
      <c r="R273" s="177">
        <f t="shared" si="103"/>
        <v>0.49050865501507124</v>
      </c>
      <c r="S273" s="799">
        <f t="shared" si="104"/>
        <v>-1</v>
      </c>
      <c r="T273" s="176">
        <f t="shared" si="105"/>
        <v>5</v>
      </c>
      <c r="U273" s="250">
        <f t="shared" si="106"/>
        <v>-0.50949134498492876</v>
      </c>
      <c r="V273" s="382">
        <f t="shared" si="107"/>
        <v>47.287067202821248</v>
      </c>
      <c r="W273" s="58"/>
      <c r="X273" s="157">
        <f t="shared" si="108"/>
        <v>44089</v>
      </c>
      <c r="Y273" s="383">
        <f t="shared" si="109"/>
        <v>40.478999999999999</v>
      </c>
      <c r="Z273" s="383">
        <f t="shared" si="110"/>
        <v>40.953431908089364</v>
      </c>
      <c r="AA273" s="384">
        <f t="shared" si="111"/>
        <v>42.863434080421676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4.4560176134014598E-2</v>
      </c>
      <c r="AD273" s="230">
        <f>(INDEX(Models!$BJ273:$BT273,,AH273)*(1-AF273)+INDEX(Models!$BJ273:$BT273,,AH273+1)*AF273-ERP_i)*AE273*Ramure*Pc/MaxiM</f>
        <v>2.8982324729279467E-4</v>
      </c>
      <c r="AE273" s="304">
        <f t="shared" si="113"/>
        <v>0.6</v>
      </c>
      <c r="AF273" s="177">
        <f t="shared" si="114"/>
        <v>0.49050865501507124</v>
      </c>
      <c r="AG273" s="176">
        <f t="shared" si="115"/>
        <v>-1</v>
      </c>
      <c r="AH273" s="176">
        <f t="shared" si="116"/>
        <v>5</v>
      </c>
      <c r="AI273" s="224">
        <f t="shared" si="117"/>
        <v>-0.50949134498492876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41.162999999999997</v>
      </c>
      <c r="C274" s="388"/>
      <c r="D274" s="391">
        <f t="shared" si="99"/>
        <v>41.646246833541248</v>
      </c>
      <c r="E274" s="383">
        <f t="shared" si="97"/>
        <v>43.590633444434822</v>
      </c>
      <c r="F274" s="383">
        <f t="shared" si="100"/>
        <v>43.601334104164124</v>
      </c>
      <c r="G274" s="110">
        <f t="shared" si="98"/>
        <v>0.87555692763313864</v>
      </c>
      <c r="H274" s="412" t="b">
        <f>Wh_hp&gt;='2019'!Maxi_hp</f>
        <v>1</v>
      </c>
      <c r="I274" s="388">
        <f>IF(H274,Wh_hp,'2019'!Maxi_hp)</f>
        <v>43.601334104164124</v>
      </c>
      <c r="J274" s="85">
        <f>IF(H274,An,'2019'!An_max)</f>
        <v>2020</v>
      </c>
      <c r="K274" s="197">
        <f t="shared" si="101"/>
        <v>44090</v>
      </c>
      <c r="L274" s="147">
        <f>IF(t&lt;Tvie,1-EXP((T0-t)*PertePVj)+'2019'!Pspv,1-EXP((T0-t)*PertePVj)+Pspv)</f>
        <v>1.1603610656027996E-2</v>
      </c>
      <c r="M274" s="832"/>
      <c r="N274" s="832"/>
      <c r="O274" s="48">
        <f>IF(t&lt;Tnet,'2019'!Resal+('2019'!Salim-'2019'!Resal)*(1-EXP(('2019'!Tnet-t)/('2019'!Tau_j))),Resal+(Salim-Resal)*(1-EXP((Tnet-t)/(Tau_j))))*Salcycl</f>
        <v>4.4605605774738009E-2</v>
      </c>
      <c r="P274" s="169">
        <f>(INDEX(Models!$BJ274:$BT274,,T274)*(1-R274)+INDEX(Models!$BJ274:$BT274,,T274+1)*R274-ERP_i)*Q274*Ramure*Pc/MaxiM</f>
        <v>2.9845955048655548E-4</v>
      </c>
      <c r="Q274" s="304">
        <f t="shared" si="102"/>
        <v>0.6</v>
      </c>
      <c r="R274" s="177">
        <f t="shared" si="103"/>
        <v>0.49085579956016956</v>
      </c>
      <c r="S274" s="799">
        <f t="shared" si="104"/>
        <v>-1</v>
      </c>
      <c r="T274" s="176">
        <f t="shared" si="105"/>
        <v>5</v>
      </c>
      <c r="U274" s="250">
        <f t="shared" si="106"/>
        <v>-0.50914420043983044</v>
      </c>
      <c r="V274" s="382">
        <f t="shared" si="107"/>
        <v>47.011010840247813</v>
      </c>
      <c r="W274" s="58"/>
      <c r="X274" s="157">
        <f t="shared" si="108"/>
        <v>44090</v>
      </c>
      <c r="Y274" s="383">
        <f t="shared" si="109"/>
        <v>41.162999999999997</v>
      </c>
      <c r="Z274" s="383">
        <f t="shared" si="110"/>
        <v>41.646246833541248</v>
      </c>
      <c r="AA274" s="384">
        <f t="shared" si="111"/>
        <v>43.590633444434822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4.4605605774738009E-2</v>
      </c>
      <c r="AD274" s="230">
        <f>(INDEX(Models!$BJ274:$BT274,,AH274)*(1-AF274)+INDEX(Models!$BJ274:$BT274,,AH274+1)*AF274-ERP_i)*AE274*Ramure*Pc/MaxiM</f>
        <v>2.9845955048655548E-4</v>
      </c>
      <c r="AE274" s="304">
        <f t="shared" si="113"/>
        <v>0.6</v>
      </c>
      <c r="AF274" s="177">
        <f t="shared" si="114"/>
        <v>0.49085579956016956</v>
      </c>
      <c r="AG274" s="176">
        <f t="shared" si="115"/>
        <v>-1</v>
      </c>
      <c r="AH274" s="176">
        <f t="shared" si="116"/>
        <v>5</v>
      </c>
      <c r="AI274" s="224">
        <f t="shared" si="117"/>
        <v>-0.50914420043983044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41.536000000000001</v>
      </c>
      <c r="C275" s="388"/>
      <c r="D275" s="391">
        <f t="shared" si="99"/>
        <v>42.024431180681773</v>
      </c>
      <c r="E275" s="383">
        <f t="shared" si="97"/>
        <v>43.98854447894503</v>
      </c>
      <c r="F275" s="383">
        <f t="shared" si="100"/>
        <v>43.999922794337635</v>
      </c>
      <c r="G275" s="110">
        <f t="shared" si="98"/>
        <v>0.88878091863813979</v>
      </c>
      <c r="H275" s="412" t="b">
        <f>Wh_hp&gt;='2019'!Maxi_hp</f>
        <v>1</v>
      </c>
      <c r="I275" s="388">
        <f>IF(H275,Wh_hp,'2019'!Maxi_hp)</f>
        <v>43.999922794337635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1.1622553047340278E-2</v>
      </c>
      <c r="M275" s="832"/>
      <c r="N275" s="832"/>
      <c r="O275" s="48">
        <f>IF(t&lt;Tnet,'2019'!Resal+('2019'!Salim-'2019'!Resal)*(1-EXP(('2019'!Tnet-t)/('2019'!Tau_j))),Resal+(Salim-Resal)*(1-EXP((Tnet-t)/(Tau_j))))*Salcycl</f>
        <v>4.4650563493942676E-2</v>
      </c>
      <c r="P275" s="169">
        <f>(INDEX(Models!$BJ275:$BT275,,T275)*(1-R275)+INDEX(Models!$BJ275:$BT275,,T275+1)*R275-ERP_i)*Q275*Ramure*Pc/MaxiM</f>
        <v>3.0742441021966649E-4</v>
      </c>
      <c r="Q275" s="304">
        <f t="shared" si="102"/>
        <v>0.6</v>
      </c>
      <c r="R275" s="177">
        <f t="shared" si="103"/>
        <v>0.4911894279700274</v>
      </c>
      <c r="S275" s="799">
        <f t="shared" si="104"/>
        <v>-1</v>
      </c>
      <c r="T275" s="176">
        <f t="shared" si="105"/>
        <v>5</v>
      </c>
      <c r="U275" s="250">
        <f t="shared" si="106"/>
        <v>-0.5088105720299726</v>
      </c>
      <c r="V275" s="382">
        <f t="shared" si="107"/>
        <v>46.731394174545166</v>
      </c>
      <c r="W275" s="58"/>
      <c r="X275" s="157">
        <f t="shared" si="108"/>
        <v>44091</v>
      </c>
      <c r="Y275" s="383">
        <f t="shared" si="109"/>
        <v>41.536000000000001</v>
      </c>
      <c r="Z275" s="383">
        <f t="shared" si="110"/>
        <v>42.024431180681773</v>
      </c>
      <c r="AA275" s="384">
        <f t="shared" si="111"/>
        <v>43.98854447894503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4.4650563493942676E-2</v>
      </c>
      <c r="AD275" s="230">
        <f>(INDEX(Models!$BJ275:$BT275,,AH275)*(1-AF275)+INDEX(Models!$BJ275:$BT275,,AH275+1)*AF275-ERP_i)*AE275*Ramure*Pc/MaxiM</f>
        <v>3.0742441021966649E-4</v>
      </c>
      <c r="AE275" s="304">
        <f t="shared" si="113"/>
        <v>0.6</v>
      </c>
      <c r="AF275" s="177">
        <f t="shared" si="114"/>
        <v>0.4911894279700274</v>
      </c>
      <c r="AG275" s="176">
        <f t="shared" si="115"/>
        <v>-1</v>
      </c>
      <c r="AH275" s="176">
        <f t="shared" si="116"/>
        <v>5</v>
      </c>
      <c r="AI275" s="224">
        <f t="shared" si="117"/>
        <v>-0.5088105720299726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19.276</v>
      </c>
      <c r="C276" s="388"/>
      <c r="D276" s="391">
        <f t="shared" si="99"/>
        <v>19.503044597643179</v>
      </c>
      <c r="E276" s="383">
        <f t="shared" si="97"/>
        <v>20.415516801199058</v>
      </c>
      <c r="F276" s="383">
        <f t="shared" si="100"/>
        <v>20.416579285986888</v>
      </c>
      <c r="G276" s="110">
        <f t="shared" si="98"/>
        <v>0.41489131005833002</v>
      </c>
      <c r="H276" s="412" t="b">
        <f>Wh_hp&gt;='2019'!Maxi_hp</f>
        <v>0</v>
      </c>
      <c r="I276" s="388">
        <f>IF(H276,Wh_hp,'2019'!Maxi_hp)</f>
        <v>42.678942947106243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1.1641495075626063E-2</v>
      </c>
      <c r="M276" s="832"/>
      <c r="N276" s="832"/>
      <c r="O276" s="48">
        <f>IF(t&lt;Tnet,'2019'!Resal+('2019'!Salim-'2019'!Resal)*(1-EXP(('2019'!Tnet-t)/('2019'!Tau_j))),Resal+(Salim-Resal)*(1-EXP((Tnet-t)/(Tau_j))))*Salcycl</f>
        <v>4.4695033314184222E-2</v>
      </c>
      <c r="P276" s="169">
        <f>(INDEX(Models!$BJ276:$BT276,,T276)*(1-R276)+INDEX(Models!$BJ276:$BT276,,T276+1)*R276-ERP_i)*Q276*Ramure*Pc/MaxiM</f>
        <v>3.1676376659366237E-4</v>
      </c>
      <c r="Q276" s="304">
        <f t="shared" si="102"/>
        <v>0.6</v>
      </c>
      <c r="R276" s="177">
        <f t="shared" si="103"/>
        <v>0.49151004893928896</v>
      </c>
      <c r="S276" s="799">
        <f t="shared" si="104"/>
        <v>-1</v>
      </c>
      <c r="T276" s="176">
        <f t="shared" si="105"/>
        <v>5</v>
      </c>
      <c r="U276" s="250">
        <f t="shared" si="106"/>
        <v>-0.50848995106071104</v>
      </c>
      <c r="V276" s="382">
        <f t="shared" si="107"/>
        <v>46.448061112841302</v>
      </c>
      <c r="W276" s="58"/>
      <c r="X276" s="157">
        <f t="shared" si="108"/>
        <v>44092</v>
      </c>
      <c r="Y276" s="383">
        <f t="shared" si="109"/>
        <v>19.276</v>
      </c>
      <c r="Z276" s="383">
        <f t="shared" si="110"/>
        <v>19.503044597643179</v>
      </c>
      <c r="AA276" s="384">
        <f t="shared" si="111"/>
        <v>20.415516801199058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4.4695033314184222E-2</v>
      </c>
      <c r="AD276" s="230">
        <f>(INDEX(Models!$BJ276:$BT276,,AH276)*(1-AF276)+INDEX(Models!$BJ276:$BT276,,AH276+1)*AF276-ERP_i)*AE276*Ramure*Pc/MaxiM</f>
        <v>3.1676376659366237E-4</v>
      </c>
      <c r="AE276" s="304">
        <f t="shared" si="113"/>
        <v>0.6</v>
      </c>
      <c r="AF276" s="177">
        <f t="shared" si="114"/>
        <v>0.49151004893928896</v>
      </c>
      <c r="AG276" s="176">
        <f t="shared" si="115"/>
        <v>-1</v>
      </c>
      <c r="AH276" s="176">
        <f t="shared" si="116"/>
        <v>5</v>
      </c>
      <c r="AI276" s="224">
        <f t="shared" si="117"/>
        <v>-0.50848995106071104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32.499000000000002</v>
      </c>
      <c r="C277" s="388"/>
      <c r="D277" s="391">
        <f t="shared" si="99"/>
        <v>32.882423418154623</v>
      </c>
      <c r="E277" s="383">
        <f t="shared" si="97"/>
        <v>34.422449344381292</v>
      </c>
      <c r="F277" s="383">
        <f t="shared" si="100"/>
        <v>34.428934520362347</v>
      </c>
      <c r="G277" s="110">
        <f t="shared" si="98"/>
        <v>0.70393683854248212</v>
      </c>
      <c r="H277" s="412" t="b">
        <f>Wh_hp&gt;='2019'!Maxi_hp</f>
        <v>0</v>
      </c>
      <c r="I277" s="388">
        <f>IF(H277,Wh_hp,'2019'!Maxi_hp)</f>
        <v>47.27532550671782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1.1660436740892122E-2</v>
      </c>
      <c r="M277" s="832"/>
      <c r="N277" s="832"/>
      <c r="O277" s="48">
        <f>IF(t&lt;Tnet,'2019'!Resal+('2019'!Salim-'2019'!Resal)*(1-EXP(('2019'!Tnet-t)/('2019'!Tau_j))),Resal+(Salim-Resal)*(1-EXP((Tnet-t)/(Tau_j))))*Salcycl</f>
        <v>4.4738998983465554E-2</v>
      </c>
      <c r="P277" s="169">
        <f>(INDEX(Models!$BJ277:$BT277,,T277)*(1-R277)+INDEX(Models!$BJ277:$BT277,,T277+1)*R277-ERP_i)*Q277*Ramure*Pc/MaxiM</f>
        <v>3.2634601123727964E-4</v>
      </c>
      <c r="Q277" s="304">
        <f t="shared" si="102"/>
        <v>0.6</v>
      </c>
      <c r="R277" s="177">
        <f t="shared" si="103"/>
        <v>0.49181815338434776</v>
      </c>
      <c r="S277" s="799">
        <f t="shared" si="104"/>
        <v>-1</v>
      </c>
      <c r="T277" s="176">
        <f t="shared" si="105"/>
        <v>5</v>
      </c>
      <c r="U277" s="250">
        <f t="shared" si="106"/>
        <v>-0.50818184661565224</v>
      </c>
      <c r="V277" s="382">
        <f t="shared" si="107"/>
        <v>46.16112284873175</v>
      </c>
      <c r="W277" s="58"/>
      <c r="X277" s="157">
        <f t="shared" si="108"/>
        <v>44093</v>
      </c>
      <c r="Y277" s="383">
        <f t="shared" si="109"/>
        <v>32.499000000000002</v>
      </c>
      <c r="Z277" s="383">
        <f t="shared" si="110"/>
        <v>32.882423418154623</v>
      </c>
      <c r="AA277" s="384">
        <f t="shared" si="111"/>
        <v>34.422449344381292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4.4738998983465554E-2</v>
      </c>
      <c r="AD277" s="230">
        <f>(INDEX(Models!$BJ277:$BT277,,AH277)*(1-AF277)+INDEX(Models!$BJ277:$BT277,,AH277+1)*AF277-ERP_i)*AE277*Ramure*Pc/MaxiM</f>
        <v>3.2634601123727964E-4</v>
      </c>
      <c r="AE277" s="304">
        <f t="shared" si="113"/>
        <v>0.6</v>
      </c>
      <c r="AF277" s="177">
        <f t="shared" si="114"/>
        <v>0.49181815338434776</v>
      </c>
      <c r="AG277" s="176">
        <f t="shared" si="115"/>
        <v>-1</v>
      </c>
      <c r="AH277" s="176">
        <f t="shared" si="116"/>
        <v>5</v>
      </c>
      <c r="AI277" s="224">
        <f t="shared" si="117"/>
        <v>-0.50818184661565224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31.495999999999999</v>
      </c>
      <c r="C278" s="388"/>
      <c r="D278" s="391">
        <f t="shared" si="99"/>
        <v>31.868200764280893</v>
      </c>
      <c r="E278" s="383">
        <f t="shared" si="97"/>
        <v>33.362243569916366</v>
      </c>
      <c r="F278" s="383">
        <f t="shared" si="100"/>
        <v>33.368439275647795</v>
      </c>
      <c r="G278" s="110">
        <f t="shared" si="98"/>
        <v>0.68652254845351102</v>
      </c>
      <c r="H278" s="412" t="b">
        <f>Wh_hp&gt;='2019'!Maxi_hp</f>
        <v>0</v>
      </c>
      <c r="I278" s="388">
        <f>IF(H278,Wh_hp,'2019'!Maxi_hp)</f>
        <v>34.248415791465085</v>
      </c>
      <c r="J278" s="85">
        <f>IF(H278,An,'2019'!An_max)</f>
        <v>2018</v>
      </c>
      <c r="K278" s="197">
        <f t="shared" si="101"/>
        <v>44094</v>
      </c>
      <c r="L278" s="147">
        <f>IF(t&lt;Tvie,1-EXP((T0-t)*PertePVj)+'2019'!Pspv,1-EXP((T0-t)*PertePVj)+Pspv)</f>
        <v>1.167937804314545E-2</v>
      </c>
      <c r="M278" s="832"/>
      <c r="N278" s="832"/>
      <c r="O278" s="48">
        <f>IF(t&lt;Tnet,'2019'!Resal+('2019'!Salim-'2019'!Resal)*(1-EXP(('2019'!Tnet-t)/('2019'!Tau_j))),Resal+(Salim-Resal)*(1-EXP((Tnet-t)/(Tau_j))))*Salcycl</f>
        <v>4.478244403750737E-2</v>
      </c>
      <c r="P278" s="169">
        <f>(INDEX(Models!$BJ278:$BT278,,T278)*(1-R278)+INDEX(Models!$BJ278:$BT278,,T278+1)*R278-ERP_i)*Q278*Ramure*Pc/MaxiM</f>
        <v>3.3617234338833825E-4</v>
      </c>
      <c r="Q278" s="304">
        <f t="shared" si="102"/>
        <v>0.6</v>
      </c>
      <c r="R278" s="177">
        <f t="shared" si="103"/>
        <v>0.49211421495693541</v>
      </c>
      <c r="S278" s="799">
        <f t="shared" si="104"/>
        <v>-1</v>
      </c>
      <c r="T278" s="176">
        <f t="shared" si="105"/>
        <v>5</v>
      </c>
      <c r="U278" s="250">
        <f t="shared" si="106"/>
        <v>-0.50788578504306459</v>
      </c>
      <c r="V278" s="382">
        <f t="shared" si="107"/>
        <v>45.870684285520475</v>
      </c>
      <c r="W278" s="58"/>
      <c r="X278" s="157">
        <f t="shared" si="108"/>
        <v>44094</v>
      </c>
      <c r="Y278" s="383">
        <f t="shared" si="109"/>
        <v>31.496000000000002</v>
      </c>
      <c r="Z278" s="383">
        <f t="shared" si="110"/>
        <v>31.868200764280896</v>
      </c>
      <c r="AA278" s="384">
        <f t="shared" si="111"/>
        <v>33.362243569916366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4.478244403750737E-2</v>
      </c>
      <c r="AD278" s="230">
        <f>(INDEX(Models!$BJ278:$BT278,,AH278)*(1-AF278)+INDEX(Models!$BJ278:$BT278,,AH278+1)*AF278-ERP_i)*AE278*Ramure*Pc/MaxiM</f>
        <v>3.3617234338833825E-4</v>
      </c>
      <c r="AE278" s="304">
        <f t="shared" si="113"/>
        <v>0.6</v>
      </c>
      <c r="AF278" s="177">
        <f t="shared" si="114"/>
        <v>0.49211421495693541</v>
      </c>
      <c r="AG278" s="176">
        <f t="shared" si="115"/>
        <v>-1</v>
      </c>
      <c r="AH278" s="176">
        <f t="shared" si="116"/>
        <v>5</v>
      </c>
      <c r="AI278" s="224">
        <f t="shared" si="117"/>
        <v>-0.50788578504306459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27.753</v>
      </c>
      <c r="C279" s="388"/>
      <c r="D279" s="391">
        <f t="shared" si="99"/>
        <v>28.081506419602629</v>
      </c>
      <c r="E279" s="383">
        <f t="shared" si="97"/>
        <v>29.399342282152283</v>
      </c>
      <c r="F279" s="383">
        <f t="shared" si="100"/>
        <v>29.40383536658749</v>
      </c>
      <c r="G279" s="110">
        <f t="shared" si="98"/>
        <v>0.60880974723265491</v>
      </c>
      <c r="H279" s="412" t="b">
        <f>Wh_hp&gt;='2019'!Maxi_hp</f>
        <v>1</v>
      </c>
      <c r="I279" s="388">
        <f>IF(H279,Wh_hp,'2019'!Maxi_hp)</f>
        <v>29.40383536658749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1.1698318982393041E-2</v>
      </c>
      <c r="M279" s="832"/>
      <c r="N279" s="832"/>
      <c r="O279" s="48">
        <f>IF(t&lt;Tnet,'2019'!Resal+('2019'!Salim-'2019'!Resal)*(1-EXP(('2019'!Tnet-t)/('2019'!Tau_j))),Resal+(Salim-Resal)*(1-EXP((Tnet-t)/(Tau_j))))*Salcycl</f>
        <v>4.4825351870190738E-2</v>
      </c>
      <c r="P279" s="169">
        <f>(INDEX(Models!$BJ279:$BT279,,T279)*(1-R279)+INDEX(Models!$BJ279:$BT279,,T279+1)*R279-ERP_i)*Q279*Ramure*Pc/MaxiM</f>
        <v>3.4624378821423632E-4</v>
      </c>
      <c r="Q279" s="304">
        <f t="shared" si="102"/>
        <v>0.6</v>
      </c>
      <c r="R279" s="177">
        <f t="shared" si="103"/>
        <v>0.49239869055174557</v>
      </c>
      <c r="S279" s="799">
        <f t="shared" si="104"/>
        <v>-1</v>
      </c>
      <c r="T279" s="176">
        <f t="shared" si="105"/>
        <v>5</v>
      </c>
      <c r="U279" s="250">
        <f t="shared" si="106"/>
        <v>-0.50760130944825443</v>
      </c>
      <c r="V279" s="382">
        <f t="shared" si="107"/>
        <v>45.576850286295517</v>
      </c>
      <c r="W279" s="58"/>
      <c r="X279" s="157">
        <f t="shared" si="108"/>
        <v>44095</v>
      </c>
      <c r="Y279" s="383">
        <f t="shared" si="109"/>
        <v>27.753</v>
      </c>
      <c r="Z279" s="383">
        <f t="shared" si="110"/>
        <v>28.081506419602629</v>
      </c>
      <c r="AA279" s="384">
        <f t="shared" si="111"/>
        <v>29.399342282152283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4.4825351870190738E-2</v>
      </c>
      <c r="AD279" s="230">
        <f>(INDEX(Models!$BJ279:$BT279,,AH279)*(1-AF279)+INDEX(Models!$BJ279:$BT279,,AH279+1)*AF279-ERP_i)*AE279*Ramure*Pc/MaxiM</f>
        <v>3.4624378821423632E-4</v>
      </c>
      <c r="AE279" s="304">
        <f t="shared" si="113"/>
        <v>0.6</v>
      </c>
      <c r="AF279" s="177">
        <f t="shared" si="114"/>
        <v>0.49239869055174557</v>
      </c>
      <c r="AG279" s="176">
        <f t="shared" si="115"/>
        <v>-1</v>
      </c>
      <c r="AH279" s="176">
        <f t="shared" si="116"/>
        <v>5</v>
      </c>
      <c r="AI279" s="224">
        <f t="shared" si="117"/>
        <v>-0.50760130944825443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25.324999999999999</v>
      </c>
      <c r="C280" s="388"/>
      <c r="D280" s="391">
        <f t="shared" si="99"/>
        <v>25.625257796862954</v>
      </c>
      <c r="E280" s="383">
        <f t="shared" si="97"/>
        <v>26.829014109138576</v>
      </c>
      <c r="F280" s="383">
        <f t="shared" si="100"/>
        <v>26.832558199295637</v>
      </c>
      <c r="G280" s="110">
        <f t="shared" si="98"/>
        <v>0.55917552355124012</v>
      </c>
      <c r="H280" s="412" t="b">
        <f>Wh_hp&gt;='2019'!Maxi_hp</f>
        <v>0</v>
      </c>
      <c r="I280" s="388">
        <f>IF(H280,Wh_hp,'2019'!Maxi_hp)</f>
        <v>41.863369362780062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1.171725955864189E-2</v>
      </c>
      <c r="M280" s="832"/>
      <c r="N280" s="832"/>
      <c r="O280" s="48">
        <f>IF(t&lt;Tnet,'2019'!Resal+('2019'!Salim-'2019'!Resal)*(1-EXP(('2019'!Tnet-t)/('2019'!Tau_j))),Resal+(Salim-Resal)*(1-EXP((Tnet-t)/(Tau_j))))*Salcycl</f>
        <v>4.4867705812029673E-2</v>
      </c>
      <c r="P280" s="169">
        <f>(INDEX(Models!$BJ280:$BT280,,T280)*(1-R280)+INDEX(Models!$BJ280:$BT280,,T280+1)*R280-ERP_i)*Q280*Ramure*Pc/MaxiM</f>
        <v>3.5656308133020847E-4</v>
      </c>
      <c r="Q280" s="304">
        <f t="shared" si="102"/>
        <v>0.6</v>
      </c>
      <c r="R280" s="177">
        <f t="shared" si="103"/>
        <v>0.49267202080731076</v>
      </c>
      <c r="S280" s="799">
        <f t="shared" si="104"/>
        <v>-1</v>
      </c>
      <c r="T280" s="176">
        <f t="shared" si="105"/>
        <v>5</v>
      </c>
      <c r="U280" s="250">
        <f t="shared" si="106"/>
        <v>-0.50732797919268924</v>
      </c>
      <c r="V280" s="382">
        <f t="shared" si="107"/>
        <v>45.279725581471418</v>
      </c>
      <c r="W280" s="58"/>
      <c r="X280" s="157">
        <f t="shared" si="108"/>
        <v>44096</v>
      </c>
      <c r="Y280" s="383">
        <f t="shared" si="109"/>
        <v>25.324999999999999</v>
      </c>
      <c r="Z280" s="383">
        <f t="shared" si="110"/>
        <v>25.625257796862954</v>
      </c>
      <c r="AA280" s="384">
        <f t="shared" si="111"/>
        <v>26.829014109138576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4.4867705812029673E-2</v>
      </c>
      <c r="AD280" s="230">
        <f>(INDEX(Models!$BJ280:$BT280,,AH280)*(1-AF280)+INDEX(Models!$BJ280:$BT280,,AH280+1)*AF280-ERP_i)*AE280*Ramure*Pc/MaxiM</f>
        <v>3.5656308133020847E-4</v>
      </c>
      <c r="AE280" s="304">
        <f t="shared" si="113"/>
        <v>0.6</v>
      </c>
      <c r="AF280" s="177">
        <f t="shared" si="114"/>
        <v>0.49267202080731076</v>
      </c>
      <c r="AG280" s="176">
        <f t="shared" si="115"/>
        <v>-1</v>
      </c>
      <c r="AH280" s="176">
        <f t="shared" si="116"/>
        <v>5</v>
      </c>
      <c r="AI280" s="224">
        <f t="shared" si="117"/>
        <v>-0.50732797919268924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37.786000000000001</v>
      </c>
      <c r="C281" s="388"/>
      <c r="D281" s="391">
        <f t="shared" si="99"/>
        <v>38.234730434605233</v>
      </c>
      <c r="E281" s="383">
        <f t="shared" si="97"/>
        <v>40.032572832534044</v>
      </c>
      <c r="F281" s="383">
        <f t="shared" si="100"/>
        <v>40.0439154518075</v>
      </c>
      <c r="G281" s="110">
        <f t="shared" si="98"/>
        <v>0.84000269455018195</v>
      </c>
      <c r="H281" s="412" t="b">
        <f>Wh_hp&gt;='2019'!Maxi_hp</f>
        <v>1</v>
      </c>
      <c r="I281" s="388">
        <f>IF(H281,Wh_hp,'2019'!Maxi_hp)</f>
        <v>40.0439154518075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1.1736199771898992E-2</v>
      </c>
      <c r="M281" s="832"/>
      <c r="N281" s="832"/>
      <c r="O281" s="48">
        <f>IF(t&lt;Tnet,'2019'!Resal+('2019'!Salim-'2019'!Resal)*(1-EXP(('2019'!Tnet-t)/('2019'!Tau_j))),Resal+(Salim-Resal)*(1-EXP((Tnet-t)/(Tau_j))))*Salcycl</f>
        <v>4.4909489216434353E-2</v>
      </c>
      <c r="P281" s="169">
        <f>(INDEX(Models!$BJ281:$BT281,,T281)*(1-R281)+INDEX(Models!$BJ281:$BT281,,T281+1)*R281-ERP_i)*Q281*Ramure*Pc/MaxiM</f>
        <v>3.6713200837716723E-4</v>
      </c>
      <c r="Q281" s="304">
        <f t="shared" si="102"/>
        <v>0.6</v>
      </c>
      <c r="R281" s="177">
        <f t="shared" si="103"/>
        <v>0.49293463059944687</v>
      </c>
      <c r="S281" s="799">
        <f t="shared" si="104"/>
        <v>-1</v>
      </c>
      <c r="T281" s="176">
        <f t="shared" si="105"/>
        <v>5</v>
      </c>
      <c r="U281" s="250">
        <f t="shared" si="106"/>
        <v>-0.50706536940055313</v>
      </c>
      <c r="V281" s="382">
        <f t="shared" si="107"/>
        <v>44.979414889524683</v>
      </c>
      <c r="W281" s="58"/>
      <c r="X281" s="157">
        <f t="shared" si="108"/>
        <v>44097</v>
      </c>
      <c r="Y281" s="383">
        <f t="shared" si="109"/>
        <v>37.786000000000001</v>
      </c>
      <c r="Z281" s="383">
        <f t="shared" si="110"/>
        <v>38.234730434605233</v>
      </c>
      <c r="AA281" s="384">
        <f t="shared" si="111"/>
        <v>40.032572832534044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4.4909489216434353E-2</v>
      </c>
      <c r="AD281" s="230">
        <f>(INDEX(Models!$BJ281:$BT281,,AH281)*(1-AF281)+INDEX(Models!$BJ281:$BT281,,AH281+1)*AF281-ERP_i)*AE281*Ramure*Pc/MaxiM</f>
        <v>3.6713200837716723E-4</v>
      </c>
      <c r="AE281" s="304">
        <f t="shared" si="113"/>
        <v>0.6</v>
      </c>
      <c r="AF281" s="177">
        <f t="shared" si="114"/>
        <v>0.49293463059944687</v>
      </c>
      <c r="AG281" s="176">
        <f t="shared" si="115"/>
        <v>-1</v>
      </c>
      <c r="AH281" s="176">
        <f t="shared" si="116"/>
        <v>5</v>
      </c>
      <c r="AI281" s="224">
        <f t="shared" si="117"/>
        <v>-0.50706536940055313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20.876000000000001</v>
      </c>
      <c r="C282" s="388"/>
      <c r="D282" s="391">
        <f t="shared" si="99"/>
        <v>21.124319323065968</v>
      </c>
      <c r="E282" s="383">
        <f t="shared" si="97"/>
        <v>22.118563935420422</v>
      </c>
      <c r="F282" s="383">
        <f t="shared" si="100"/>
        <v>22.120563971666616</v>
      </c>
      <c r="G282" s="110">
        <f t="shared" si="98"/>
        <v>0.46714088435266587</v>
      </c>
      <c r="H282" s="412" t="b">
        <f>Wh_hp&gt;='2019'!Maxi_hp</f>
        <v>0</v>
      </c>
      <c r="I282" s="388">
        <f>IF(H282,Wh_hp,'2019'!Maxi_hp)</f>
        <v>30.777386946422261</v>
      </c>
      <c r="J282" s="85">
        <f>IF(H282,An,'2019'!An_max)</f>
        <v>2018</v>
      </c>
      <c r="K282" s="197">
        <f t="shared" si="101"/>
        <v>44098</v>
      </c>
      <c r="L282" s="147">
        <f>IF(t&lt;Tvie,1-EXP((T0-t)*PertePVj)+'2019'!Pspv,1-EXP((T0-t)*PertePVj)+Pspv)</f>
        <v>1.1755139622171118E-2</v>
      </c>
      <c r="M282" s="832"/>
      <c r="N282" s="832"/>
      <c r="O282" s="48">
        <f>IF(t&lt;Tnet,'2019'!Resal+('2019'!Salim-'2019'!Resal)*(1-EXP(('2019'!Tnet-t)/('2019'!Tau_j))),Resal+(Salim-Resal)*(1-EXP((Tnet-t)/(Tau_j))))*Salcycl</f>
        <v>4.4950685553426933E-2</v>
      </c>
      <c r="P282" s="169">
        <f>(INDEX(Models!$BJ282:$BT282,,T282)*(1-R282)+INDEX(Models!$BJ282:$BT282,,T282+1)*R282-ERP_i)*Q282*Ramure*Pc/MaxiM</f>
        <v>3.7836199968477427E-4</v>
      </c>
      <c r="Q282" s="304">
        <f t="shared" si="102"/>
        <v>0.6</v>
      </c>
      <c r="R282" s="177">
        <f t="shared" si="103"/>
        <v>0.4931869295266651</v>
      </c>
      <c r="S282" s="799">
        <f t="shared" si="104"/>
        <v>-1</v>
      </c>
      <c r="T282" s="176">
        <f t="shared" si="105"/>
        <v>5</v>
      </c>
      <c r="U282" s="250">
        <f t="shared" si="106"/>
        <v>-0.5068130704733349</v>
      </c>
      <c r="V282" s="382">
        <f t="shared" si="107"/>
        <v>44.676004561132643</v>
      </c>
      <c r="W282" s="58"/>
      <c r="X282" s="157">
        <f t="shared" si="108"/>
        <v>44098</v>
      </c>
      <c r="Y282" s="383">
        <f t="shared" si="109"/>
        <v>20.876000000000001</v>
      </c>
      <c r="Z282" s="383">
        <f t="shared" si="110"/>
        <v>21.124319323065968</v>
      </c>
      <c r="AA282" s="384">
        <f t="shared" si="111"/>
        <v>22.118563935420422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4.4950685553426933E-2</v>
      </c>
      <c r="AD282" s="230">
        <f>(INDEX(Models!$BJ282:$BT282,,AH282)*(1-AF282)+INDEX(Models!$BJ282:$BT282,,AH282+1)*AF282-ERP_i)*AE282*Ramure*Pc/MaxiM</f>
        <v>3.7836199968477427E-4</v>
      </c>
      <c r="AE282" s="304">
        <f t="shared" si="113"/>
        <v>0.6</v>
      </c>
      <c r="AF282" s="177">
        <f t="shared" si="114"/>
        <v>0.4931869295266651</v>
      </c>
      <c r="AG282" s="176">
        <f t="shared" si="115"/>
        <v>-1</v>
      </c>
      <c r="AH282" s="176">
        <f t="shared" si="116"/>
        <v>5</v>
      </c>
      <c r="AI282" s="224">
        <f t="shared" si="117"/>
        <v>-0.5068130704733349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20.646000000000001</v>
      </c>
      <c r="C283" s="388"/>
      <c r="D283" s="391">
        <f t="shared" si="99"/>
        <v>20.891983870849053</v>
      </c>
      <c r="E283" s="383">
        <f t="shared" si="97"/>
        <v>21.876223117901674</v>
      </c>
      <c r="F283" s="383">
        <f t="shared" si="100"/>
        <v>21.878238891009094</v>
      </c>
      <c r="G283" s="110">
        <f t="shared" si="98"/>
        <v>0.46517986808582545</v>
      </c>
      <c r="H283" s="412" t="b">
        <f>Wh_hp&gt;='2019'!Maxi_hp</f>
        <v>0</v>
      </c>
      <c r="I283" s="388">
        <f>IF(H283,Wh_hp,'2019'!Maxi_hp)</f>
        <v>37.9593535581526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1.1774079109465374E-2</v>
      </c>
      <c r="M283" s="832"/>
      <c r="N283" s="832"/>
      <c r="O283" s="48">
        <f>IF(t&lt;Tnet,'2019'!Resal+('2019'!Salim-'2019'!Resal)*(1-EXP(('2019'!Tnet-t)/('2019'!Tau_j))),Resal+(Salim-Resal)*(1-EXP((Tnet-t)/(Tau_j))))*Salcycl</f>
        <v>4.4991278510375113E-2</v>
      </c>
      <c r="P283" s="169">
        <f>(INDEX(Models!$BJ283:$BT283,,T283)*(1-R283)+INDEX(Models!$BJ283:$BT283,,T283+1)*R283-ERP_i)*Q283*Ramure*Pc/MaxiM</f>
        <v>3.9012677865076721E-4</v>
      </c>
      <c r="Q283" s="304">
        <f t="shared" si="102"/>
        <v>0.6</v>
      </c>
      <c r="R283" s="177">
        <f t="shared" si="103"/>
        <v>0.49342931238704302</v>
      </c>
      <c r="S283" s="799">
        <f t="shared" si="104"/>
        <v>-1</v>
      </c>
      <c r="T283" s="176">
        <f t="shared" si="105"/>
        <v>5</v>
      </c>
      <c r="U283" s="250">
        <f t="shared" si="106"/>
        <v>-0.50657068761295698</v>
      </c>
      <c r="V283" s="382">
        <f t="shared" si="107"/>
        <v>44.369605245642965</v>
      </c>
      <c r="W283" s="58"/>
      <c r="X283" s="157">
        <f t="shared" si="108"/>
        <v>44099</v>
      </c>
      <c r="Y283" s="383">
        <f t="shared" si="109"/>
        <v>20.646000000000001</v>
      </c>
      <c r="Z283" s="383">
        <f t="shared" si="110"/>
        <v>20.891983870849053</v>
      </c>
      <c r="AA283" s="384">
        <f t="shared" si="111"/>
        <v>21.876223117901674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4.4991278510375113E-2</v>
      </c>
      <c r="AD283" s="230">
        <f>(INDEX(Models!$BJ283:$BT283,,AH283)*(1-AF283)+INDEX(Models!$BJ283:$BT283,,AH283+1)*AF283-ERP_i)*AE283*Ramure*Pc/MaxiM</f>
        <v>3.9012677865076721E-4</v>
      </c>
      <c r="AE283" s="304">
        <f t="shared" si="113"/>
        <v>0.6</v>
      </c>
      <c r="AF283" s="177">
        <f t="shared" si="114"/>
        <v>0.49342931238704302</v>
      </c>
      <c r="AG283" s="176">
        <f t="shared" si="115"/>
        <v>-1</v>
      </c>
      <c r="AH283" s="176">
        <f t="shared" si="116"/>
        <v>5</v>
      </c>
      <c r="AI283" s="224">
        <f t="shared" si="117"/>
        <v>-0.50657068761295698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14.234999999999999</v>
      </c>
      <c r="C284" s="388"/>
      <c r="D284" s="391">
        <f t="shared" si="99"/>
        <v>14.404876976843397</v>
      </c>
      <c r="E284" s="383">
        <f t="shared" si="97"/>
        <v>15.084134437392025</v>
      </c>
      <c r="F284" s="383">
        <f t="shared" si="100"/>
        <v>15.084334584847774</v>
      </c>
      <c r="G284" s="110">
        <f t="shared" si="98"/>
        <v>0.32295407027453954</v>
      </c>
      <c r="H284" s="412" t="b">
        <f>Wh_hp&gt;='2019'!Maxi_hp</f>
        <v>0</v>
      </c>
      <c r="I284" s="388">
        <f>IF(H284,Wh_hp,'2019'!Maxi_hp)</f>
        <v>37.960845399345402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1.1793018233788755E-2</v>
      </c>
      <c r="M284" s="832"/>
      <c r="N284" s="832"/>
      <c r="O284" s="48">
        <f>IF(t&lt;Tnet,'2019'!Resal+('2019'!Salim-'2019'!Resal)*(1-EXP(('2019'!Tnet-t)/('2019'!Tau_j))),Resal+(Salim-Resal)*(1-EXP((Tnet-t)/(Tau_j))))*Salcycl</f>
        <v>4.5031252099213548E-2</v>
      </c>
      <c r="P284" s="169">
        <f>(INDEX(Models!$BJ284:$BT284,,T284)*(1-R284)+INDEX(Models!$BJ284:$BT284,,T284+1)*R284-ERP_i)*Q284*Ramure*Pc/MaxiM</f>
        <v>4.0242956399646682E-4</v>
      </c>
      <c r="Q284" s="304">
        <f t="shared" si="102"/>
        <v>0.6</v>
      </c>
      <c r="R284" s="177">
        <f t="shared" si="103"/>
        <v>0.49366215964611238</v>
      </c>
      <c r="S284" s="799">
        <f t="shared" si="104"/>
        <v>-1</v>
      </c>
      <c r="T284" s="176">
        <f t="shared" si="105"/>
        <v>5</v>
      </c>
      <c r="U284" s="250">
        <f t="shared" si="106"/>
        <v>-0.50633784035388762</v>
      </c>
      <c r="V284" s="382">
        <f t="shared" si="107"/>
        <v>44.060321666052715</v>
      </c>
      <c r="W284" s="58"/>
      <c r="X284" s="157">
        <f t="shared" si="108"/>
        <v>44100</v>
      </c>
      <c r="Y284" s="383">
        <f t="shared" si="109"/>
        <v>14.234999999999999</v>
      </c>
      <c r="Z284" s="383">
        <f t="shared" si="110"/>
        <v>14.404876976843397</v>
      </c>
      <c r="AA284" s="384">
        <f t="shared" si="111"/>
        <v>15.084134437392025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4.5031252099213548E-2</v>
      </c>
      <c r="AD284" s="230">
        <f>(INDEX(Models!$BJ284:$BT284,,AH284)*(1-AF284)+INDEX(Models!$BJ284:$BT284,,AH284+1)*AF284-ERP_i)*AE284*Ramure*Pc/MaxiM</f>
        <v>4.0242956399646682E-4</v>
      </c>
      <c r="AE284" s="304">
        <f t="shared" si="113"/>
        <v>0.6</v>
      </c>
      <c r="AF284" s="177">
        <f t="shared" si="114"/>
        <v>0.49366215964611238</v>
      </c>
      <c r="AG284" s="176">
        <f t="shared" si="115"/>
        <v>-1</v>
      </c>
      <c r="AH284" s="176">
        <f t="shared" si="116"/>
        <v>5</v>
      </c>
      <c r="AI284" s="224">
        <f t="shared" si="117"/>
        <v>-0.50633784035388762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12.301</v>
      </c>
      <c r="C285" s="388"/>
      <c r="D285" s="391">
        <f t="shared" si="99"/>
        <v>12.448035661912581</v>
      </c>
      <c r="E285" s="383">
        <f t="shared" si="97"/>
        <v>13.035555865793096</v>
      </c>
      <c r="F285" s="383">
        <f t="shared" si="100"/>
        <v>13.035555865793096</v>
      </c>
      <c r="G285" s="110">
        <f t="shared" si="98"/>
        <v>0.2810601415645998</v>
      </c>
      <c r="H285" s="412" t="b">
        <f>Wh_hp&gt;='2019'!Maxi_hp</f>
        <v>0</v>
      </c>
      <c r="I285" s="388">
        <f>IF(H285,Wh_hp,'2019'!Maxi_hp)</f>
        <v>38.326040675068562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1.1811956995148032E-2</v>
      </c>
      <c r="M285" s="832"/>
      <c r="N285" s="832"/>
      <c r="O285" s="48">
        <f>IF(t&lt;Tnet,'2019'!Resal+('2019'!Salim-'2019'!Resal)*(1-EXP(('2019'!Tnet-t)/('2019'!Tau_j))),Resal+(Salim-Resal)*(1-EXP((Tnet-t)/(Tau_j))))*Salcycl</f>
        <v>4.5070590769530711E-2</v>
      </c>
      <c r="P285" s="169">
        <f>(INDEX(Models!$BJ285:$BT285,,T285)*(1-R285)+INDEX(Models!$BJ285:$BT285,,T285+1)*R285-ERP_i)*Q285*Ramure*Pc/MaxiM</f>
        <v>4.1527323135829978E-4</v>
      </c>
      <c r="Q285" s="304">
        <f t="shared" si="102"/>
        <v>0.6</v>
      </c>
      <c r="R285" s="177">
        <f t="shared" si="103"/>
        <v>0.49388583789539897</v>
      </c>
      <c r="S285" s="799">
        <f t="shared" si="104"/>
        <v>-1</v>
      </c>
      <c r="T285" s="176">
        <f t="shared" si="105"/>
        <v>5</v>
      </c>
      <c r="U285" s="250">
        <f t="shared" si="106"/>
        <v>-0.50611416210460103</v>
      </c>
      <c r="V285" s="382">
        <f t="shared" si="107"/>
        <v>43.748258488494827</v>
      </c>
      <c r="W285" s="58"/>
      <c r="X285" s="157">
        <f t="shared" si="108"/>
        <v>44101</v>
      </c>
      <c r="Y285" s="383">
        <f t="shared" si="109"/>
        <v>12.301</v>
      </c>
      <c r="Z285" s="383">
        <f t="shared" si="110"/>
        <v>12.448035661912581</v>
      </c>
      <c r="AA285" s="384">
        <f t="shared" si="111"/>
        <v>13.035555865793096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4.5070590769530711E-2</v>
      </c>
      <c r="AD285" s="230">
        <f>(INDEX(Models!$BJ285:$BT285,,AH285)*(1-AF285)+INDEX(Models!$BJ285:$BT285,,AH285+1)*AF285-ERP_i)*AE285*Ramure*Pc/MaxiM</f>
        <v>4.1527323135829978E-4</v>
      </c>
      <c r="AE285" s="304">
        <f t="shared" si="113"/>
        <v>0.6</v>
      </c>
      <c r="AF285" s="177">
        <f t="shared" si="114"/>
        <v>0.49388583789539897</v>
      </c>
      <c r="AG285" s="176">
        <f t="shared" si="115"/>
        <v>-1</v>
      </c>
      <c r="AH285" s="176">
        <f t="shared" si="116"/>
        <v>5</v>
      </c>
      <c r="AI285" s="224">
        <f t="shared" si="117"/>
        <v>-0.50611416210460103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30.709</v>
      </c>
      <c r="C286" s="388"/>
      <c r="D286" s="391">
        <f t="shared" si="99"/>
        <v>31.07666477007519</v>
      </c>
      <c r="E286" s="383">
        <f t="shared" si="97"/>
        <v>32.544734286113275</v>
      </c>
      <c r="F286" s="383">
        <f t="shared" si="100"/>
        <v>32.552848295286509</v>
      </c>
      <c r="G286" s="110">
        <f t="shared" si="98"/>
        <v>0.70690768528685866</v>
      </c>
      <c r="H286" s="412" t="b">
        <f>Wh_hp&gt;='2019'!Maxi_hp</f>
        <v>0</v>
      </c>
      <c r="I286" s="388">
        <f>IF(H286,Wh_hp,'2019'!Maxi_hp)</f>
        <v>44.025423023353014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1.1830895393550311E-2</v>
      </c>
      <c r="M286" s="832"/>
      <c r="N286" s="832"/>
      <c r="O286" s="48">
        <f>IF(t&lt;Tnet,'2019'!Resal+('2019'!Salim-'2019'!Resal)*(1-EXP(('2019'!Tnet-t)/('2019'!Tau_j))),Resal+(Salim-Resal)*(1-EXP((Tnet-t)/(Tau_j))))*Salcycl</f>
        <v>4.510927952681134E-2</v>
      </c>
      <c r="P286" s="169">
        <f>(INDEX(Models!$BJ286:$BT286,,T286)*(1-R286)+INDEX(Models!$BJ286:$BT286,,T286+1)*R286-ERP_i)*Q286*Ramure*Pc/MaxiM</f>
        <v>4.2866028962072072E-4</v>
      </c>
      <c r="Q286" s="304">
        <f t="shared" si="102"/>
        <v>0.6</v>
      </c>
      <c r="R286" s="177">
        <f t="shared" si="103"/>
        <v>0.49410070030130915</v>
      </c>
      <c r="S286" s="799">
        <f t="shared" si="104"/>
        <v>-1</v>
      </c>
      <c r="T286" s="176">
        <f t="shared" si="105"/>
        <v>5</v>
      </c>
      <c r="U286" s="250">
        <f t="shared" si="106"/>
        <v>-0.50589929969869085</v>
      </c>
      <c r="V286" s="382">
        <f t="shared" si="107"/>
        <v>43.433520323273029</v>
      </c>
      <c r="W286" s="58"/>
      <c r="X286" s="157">
        <f t="shared" si="108"/>
        <v>44102</v>
      </c>
      <c r="Y286" s="383">
        <f t="shared" si="109"/>
        <v>30.709</v>
      </c>
      <c r="Z286" s="383">
        <f t="shared" si="110"/>
        <v>31.07666477007519</v>
      </c>
      <c r="AA286" s="384">
        <f t="shared" si="111"/>
        <v>32.544734286113275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4.510927952681134E-2</v>
      </c>
      <c r="AD286" s="230">
        <f>(INDEX(Models!$BJ286:$BT286,,AH286)*(1-AF286)+INDEX(Models!$BJ286:$BT286,,AH286+1)*AF286-ERP_i)*AE286*Ramure*Pc/MaxiM</f>
        <v>4.2866028962072072E-4</v>
      </c>
      <c r="AE286" s="304">
        <f t="shared" si="113"/>
        <v>0.6</v>
      </c>
      <c r="AF286" s="177">
        <f t="shared" si="114"/>
        <v>0.49410070030130915</v>
      </c>
      <c r="AG286" s="176">
        <f t="shared" si="115"/>
        <v>-1</v>
      </c>
      <c r="AH286" s="176">
        <f t="shared" si="116"/>
        <v>5</v>
      </c>
      <c r="AI286" s="224">
        <f t="shared" si="117"/>
        <v>-0.50589929969869085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34.106999999999999</v>
      </c>
      <c r="C287" s="388"/>
      <c r="D287" s="391">
        <f t="shared" si="99"/>
        <v>34.516008956771699</v>
      </c>
      <c r="E287" s="383">
        <f t="shared" si="97"/>
        <v>36.147993406054475</v>
      </c>
      <c r="F287" s="383">
        <f t="shared" si="100"/>
        <v>36.159220038545989</v>
      </c>
      <c r="G287" s="110">
        <f t="shared" si="98"/>
        <v>0.79094361942205738</v>
      </c>
      <c r="H287" s="412" t="b">
        <f>Wh_hp&gt;='2019'!Maxi_hp</f>
        <v>1</v>
      </c>
      <c r="I287" s="388">
        <f>IF(H287,Wh_hp,'2019'!Maxi_hp)</f>
        <v>36.159220038545989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1.1849833429002476E-2</v>
      </c>
      <c r="M287" s="832"/>
      <c r="N287" s="832"/>
      <c r="O287" s="48">
        <f>IF(t&lt;Tnet,'2019'!Resal+('2019'!Salim-'2019'!Resal)*(1-EXP(('2019'!Tnet-t)/('2019'!Tau_j))),Resal+(Salim-Resal)*(1-EXP((Tnet-t)/(Tau_j))))*Salcycl</f>
        <v>4.5147304055041422E-2</v>
      </c>
      <c r="P287" s="169">
        <f>(INDEX(Models!$BJ287:$BT287,,T287)*(1-R287)+INDEX(Models!$BJ287:$BT287,,T287+1)*R287-ERP_i)*Q287*Ramure*Pc/MaxiM</f>
        <v>4.4259285925928445E-4</v>
      </c>
      <c r="Q287" s="304">
        <f t="shared" si="102"/>
        <v>0.6</v>
      </c>
      <c r="R287" s="177">
        <f t="shared" si="103"/>
        <v>0.49430708704411819</v>
      </c>
      <c r="S287" s="799">
        <f t="shared" si="104"/>
        <v>-1</v>
      </c>
      <c r="T287" s="176">
        <f t="shared" si="105"/>
        <v>5</v>
      </c>
      <c r="U287" s="250">
        <f t="shared" si="106"/>
        <v>-0.50569291295588181</v>
      </c>
      <c r="V287" s="382">
        <f t="shared" si="107"/>
        <v>43.116211715167744</v>
      </c>
      <c r="W287" s="58"/>
      <c r="X287" s="157">
        <f t="shared" si="108"/>
        <v>44103</v>
      </c>
      <c r="Y287" s="383">
        <f t="shared" si="109"/>
        <v>34.106999999999999</v>
      </c>
      <c r="Z287" s="383">
        <f t="shared" si="110"/>
        <v>34.516008956771699</v>
      </c>
      <c r="AA287" s="384">
        <f t="shared" si="111"/>
        <v>36.147993406054475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4.5147304055041422E-2</v>
      </c>
      <c r="AD287" s="230">
        <f>(INDEX(Models!$BJ287:$BT287,,AH287)*(1-AF287)+INDEX(Models!$BJ287:$BT287,,AH287+1)*AF287-ERP_i)*AE287*Ramure*Pc/MaxiM</f>
        <v>4.4259285925928445E-4</v>
      </c>
      <c r="AE287" s="304">
        <f t="shared" si="113"/>
        <v>0.6</v>
      </c>
      <c r="AF287" s="177">
        <f t="shared" si="114"/>
        <v>0.49430708704411819</v>
      </c>
      <c r="AG287" s="176">
        <f t="shared" si="115"/>
        <v>-1</v>
      </c>
      <c r="AH287" s="176">
        <f t="shared" si="116"/>
        <v>5</v>
      </c>
      <c r="AI287" s="224">
        <f t="shared" si="117"/>
        <v>-0.50569291295588181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41.97</v>
      </c>
      <c r="C288" s="388"/>
      <c r="D288" s="391">
        <f t="shared" si="99"/>
        <v>42.474115555264582</v>
      </c>
      <c r="E288" s="383">
        <f t="shared" si="97"/>
        <v>44.484114748213941</v>
      </c>
      <c r="F288" s="383">
        <f t="shared" si="100"/>
        <v>44.503895100671492</v>
      </c>
      <c r="G288" s="110">
        <f t="shared" si="98"/>
        <v>0.98067674216486178</v>
      </c>
      <c r="H288" s="412" t="b">
        <f>Wh_hp&gt;='2019'!Maxi_hp</f>
        <v>1</v>
      </c>
      <c r="I288" s="388">
        <f>IF(H288,Wh_hp,'2019'!Maxi_hp)</f>
        <v>44.503895100671492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1.1868771101511522E-2</v>
      </c>
      <c r="M288" s="832"/>
      <c r="N288" s="832"/>
      <c r="O288" s="48">
        <f>IF(t&lt;Tnet,'2019'!Resal+('2019'!Salim-'2019'!Resal)*(1-EXP(('2019'!Tnet-t)/('2019'!Tau_j))),Resal+(Salim-Resal)*(1-EXP((Tnet-t)/(Tau_j))))*Salcycl</f>
        <v>4.5184650842805832E-2</v>
      </c>
      <c r="P288" s="169">
        <f>(INDEX(Models!$BJ288:$BT288,,T288)*(1-R288)+INDEX(Models!$BJ288:$BT288,,T288+1)*R288-ERP_i)*Q288*Ramure*Pc/MaxiM</f>
        <v>4.5707265289034746E-4</v>
      </c>
      <c r="Q288" s="304">
        <f t="shared" si="102"/>
        <v>0.6</v>
      </c>
      <c r="R288" s="177">
        <f t="shared" si="103"/>
        <v>0.49450532574686645</v>
      </c>
      <c r="S288" s="799">
        <f t="shared" si="104"/>
        <v>-1</v>
      </c>
      <c r="T288" s="176">
        <f t="shared" si="105"/>
        <v>5</v>
      </c>
      <c r="U288" s="250">
        <f t="shared" si="106"/>
        <v>-0.50549467425313355</v>
      </c>
      <c r="V288" s="382">
        <f t="shared" si="107"/>
        <v>42.796437143620381</v>
      </c>
      <c r="W288" s="58"/>
      <c r="X288" s="157">
        <f t="shared" si="108"/>
        <v>44104</v>
      </c>
      <c r="Y288" s="383">
        <f t="shared" si="109"/>
        <v>41.97</v>
      </c>
      <c r="Z288" s="383">
        <f t="shared" si="110"/>
        <v>42.474115555264582</v>
      </c>
      <c r="AA288" s="384">
        <f t="shared" si="111"/>
        <v>44.484114748213941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4.5184650842805832E-2</v>
      </c>
      <c r="AD288" s="230">
        <f>(INDEX(Models!$BJ288:$BT288,,AH288)*(1-AF288)+INDEX(Models!$BJ288:$BT288,,AH288+1)*AF288-ERP_i)*AE288*Ramure*Pc/MaxiM</f>
        <v>4.5707265289034746E-4</v>
      </c>
      <c r="AE288" s="304">
        <f t="shared" si="113"/>
        <v>0.6</v>
      </c>
      <c r="AF288" s="177">
        <f t="shared" si="114"/>
        <v>0.49450532574686645</v>
      </c>
      <c r="AG288" s="176">
        <f t="shared" si="115"/>
        <v>-1</v>
      </c>
      <c r="AH288" s="176">
        <f t="shared" si="116"/>
        <v>5</v>
      </c>
      <c r="AI288" s="224">
        <f t="shared" si="117"/>
        <v>-0.50549467425313355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7.9740000000000002</v>
      </c>
      <c r="C289" s="388"/>
      <c r="D289" s="391">
        <f t="shared" si="99"/>
        <v>8.0699330105261193</v>
      </c>
      <c r="E289" s="383">
        <f t="shared" si="97"/>
        <v>8.4521502965323041</v>
      </c>
      <c r="F289" s="383">
        <f t="shared" si="100"/>
        <v>8.4521502965323041</v>
      </c>
      <c r="G289" s="110">
        <f t="shared" si="98"/>
        <v>0.18765550808118761</v>
      </c>
      <c r="H289" s="412" t="b">
        <f>Wh_hp&gt;='2019'!Maxi_hp</f>
        <v>0</v>
      </c>
      <c r="I289" s="388">
        <f>IF(H289,Wh_hp,'2019'!Maxi_hp)</f>
        <v>24.19091803437507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1.1887708411084441E-2</v>
      </c>
      <c r="M289" s="832"/>
      <c r="N289" s="832"/>
      <c r="O289" s="48">
        <f>IF(t&lt;Tnet,'2019'!Resal+('2019'!Salim-'2019'!Resal)*(1-EXP(('2019'!Tnet-t)/('2019'!Tau_j))),Resal+(Salim-Resal)*(1-EXP((Tnet-t)/(Tau_j))))*Salcycl</f>
        <v>4.5221307311939241E-2</v>
      </c>
      <c r="P289" s="169">
        <f>(INDEX(Models!$BJ289:$BT289,,T289)*(1-R289)+INDEX(Models!$BJ289:$BT289,,T289+1)*R289-ERP_i)*Q289*Ramure*Pc/MaxiM</f>
        <v>4.7211879192728356E-4</v>
      </c>
      <c r="Q289" s="304">
        <f t="shared" si="102"/>
        <v>0.6</v>
      </c>
      <c r="R289" s="177">
        <f t="shared" si="103"/>
        <v>0.49469573189402283</v>
      </c>
      <c r="S289" s="799">
        <f t="shared" si="104"/>
        <v>-1</v>
      </c>
      <c r="T289" s="176">
        <f t="shared" si="105"/>
        <v>5</v>
      </c>
      <c r="U289" s="250">
        <f t="shared" si="106"/>
        <v>-0.50530426810597717</v>
      </c>
      <c r="V289" s="382">
        <f t="shared" si="107"/>
        <v>42.472695879008867</v>
      </c>
      <c r="W289" s="58"/>
      <c r="X289" s="157">
        <f t="shared" si="108"/>
        <v>44105</v>
      </c>
      <c r="Y289" s="383">
        <f t="shared" si="109"/>
        <v>7.9740000000000002</v>
      </c>
      <c r="Z289" s="383">
        <f t="shared" si="110"/>
        <v>8.0699330105261193</v>
      </c>
      <c r="AA289" s="384">
        <f t="shared" si="111"/>
        <v>8.4521502965323041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4.5221307311939241E-2</v>
      </c>
      <c r="AD289" s="230">
        <f>(INDEX(Models!$BJ289:$BT289,,AH289)*(1-AF289)+INDEX(Models!$BJ289:$BT289,,AH289+1)*AF289-ERP_i)*AE289*Ramure*Pc/MaxiM</f>
        <v>4.7211879192728356E-4</v>
      </c>
      <c r="AE289" s="304">
        <f t="shared" si="113"/>
        <v>0.6</v>
      </c>
      <c r="AF289" s="177">
        <f t="shared" si="114"/>
        <v>0.49469573189402283</v>
      </c>
      <c r="AG289" s="176">
        <f t="shared" si="115"/>
        <v>-1</v>
      </c>
      <c r="AH289" s="176">
        <f t="shared" si="116"/>
        <v>5</v>
      </c>
      <c r="AI289" s="224">
        <f t="shared" si="117"/>
        <v>-0.50530426810597717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5.9889999999999999</v>
      </c>
      <c r="C290" s="388"/>
      <c r="D290" s="391">
        <f t="shared" si="99"/>
        <v>6.0611681799724781</v>
      </c>
      <c r="E290" s="383">
        <f t="shared" si="97"/>
        <v>6.3484831446192498</v>
      </c>
      <c r="F290" s="383">
        <f t="shared" si="100"/>
        <v>6.3484831446192498</v>
      </c>
      <c r="G290" s="110">
        <f t="shared" si="98"/>
        <v>0.14203926162069425</v>
      </c>
      <c r="H290" s="412" t="b">
        <f>Wh_hp&gt;='2019'!Maxi_hp</f>
        <v>0</v>
      </c>
      <c r="I290" s="388">
        <f>IF(H290,Wh_hp,'2019'!Maxi_hp)</f>
        <v>35.39360414639436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1.1906645357728007E-2</v>
      </c>
      <c r="M290" s="832"/>
      <c r="N290" s="832"/>
      <c r="O290" s="48">
        <f>IF(t&lt;Tnet,'2019'!Resal+('2019'!Salim-'2019'!Resal)*(1-EXP(('2019'!Tnet-t)/('2019'!Tau_j))),Resal+(Salim-Resal)*(1-EXP((Tnet-t)/(Tau_j))))*Salcycl</f>
        <v>4.5257261947728403E-2</v>
      </c>
      <c r="P290" s="169">
        <f>(INDEX(Models!$BJ290:$BT290,,T290)*(1-R290)+INDEX(Models!$BJ290:$BT290,,T290+1)*R290-ERP_i)*Q290*Ramure*Pc/MaxiM</f>
        <v>4.8865873780111892E-4</v>
      </c>
      <c r="Q290" s="304">
        <f t="shared" si="102"/>
        <v>0.6</v>
      </c>
      <c r="R290" s="177">
        <f t="shared" si="103"/>
        <v>0.49487860923981097</v>
      </c>
      <c r="S290" s="799">
        <f t="shared" si="104"/>
        <v>-1</v>
      </c>
      <c r="T290" s="176">
        <f t="shared" si="105"/>
        <v>5</v>
      </c>
      <c r="U290" s="250">
        <f t="shared" si="106"/>
        <v>-0.50512139076018903</v>
      </c>
      <c r="V290" s="382">
        <f t="shared" si="107"/>
        <v>42.143794289811872</v>
      </c>
      <c r="W290" s="58"/>
      <c r="X290" s="157">
        <f t="shared" si="108"/>
        <v>44106</v>
      </c>
      <c r="Y290" s="383">
        <f t="shared" si="109"/>
        <v>5.9889999999999999</v>
      </c>
      <c r="Z290" s="383">
        <f t="shared" si="110"/>
        <v>6.0611681799724781</v>
      </c>
      <c r="AA290" s="384">
        <f t="shared" si="111"/>
        <v>6.3484831446192498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4.5257261947728403E-2</v>
      </c>
      <c r="AD290" s="230">
        <f>(INDEX(Models!$BJ290:$BT290,,AH290)*(1-AF290)+INDEX(Models!$BJ290:$BT290,,AH290+1)*AF290-ERP_i)*AE290*Ramure*Pc/MaxiM</f>
        <v>4.8865873780111892E-4</v>
      </c>
      <c r="AE290" s="304">
        <f t="shared" si="113"/>
        <v>0.6</v>
      </c>
      <c r="AF290" s="177">
        <f t="shared" si="114"/>
        <v>0.49487860923981097</v>
      </c>
      <c r="AG290" s="176">
        <f t="shared" si="115"/>
        <v>-1</v>
      </c>
      <c r="AH290" s="176">
        <f t="shared" si="116"/>
        <v>5</v>
      </c>
      <c r="AI290" s="224">
        <f t="shared" si="117"/>
        <v>-0.50512139076018903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16.891999999999999</v>
      </c>
      <c r="C291" s="388"/>
      <c r="D291" s="391">
        <f t="shared" si="99"/>
        <v>17.095878297497858</v>
      </c>
      <c r="E291" s="383">
        <f t="shared" si="97"/>
        <v>17.906927909143455</v>
      </c>
      <c r="F291" s="383">
        <f t="shared" si="100"/>
        <v>17.90827614102523</v>
      </c>
      <c r="G291" s="110">
        <f t="shared" si="98"/>
        <v>0.40384043265618552</v>
      </c>
      <c r="H291" s="412" t="b">
        <f>Wh_hp&gt;='2019'!Maxi_hp</f>
        <v>1</v>
      </c>
      <c r="I291" s="388">
        <f>IF(H291,Wh_hp,'2019'!Maxi_hp)</f>
        <v>17.90827614102523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1.1925581941449437E-2</v>
      </c>
      <c r="M291" s="832"/>
      <c r="N291" s="832"/>
      <c r="O291" s="48">
        <f>IF(t&lt;Tnet,'2019'!Resal+('2019'!Salim-'2019'!Resal)*(1-EXP(('2019'!Tnet-t)/('2019'!Tau_j))),Resal+(Salim-Resal)*(1-EXP((Tnet-t)/(Tau_j))))*Salcycl</f>
        <v>4.529250442961065E-2</v>
      </c>
      <c r="P291" s="169">
        <f>(INDEX(Models!$BJ291:$BT291,,T291)*(1-R291)+INDEX(Models!$BJ291:$BT291,,T291+1)*R291-ERP_i)*Q291*Ramure*Pc/MaxiM</f>
        <v>5.0665696806810254E-4</v>
      </c>
      <c r="Q291" s="304">
        <f t="shared" si="102"/>
        <v>0.6</v>
      </c>
      <c r="R291" s="177">
        <f t="shared" si="103"/>
        <v>0.49505425020614136</v>
      </c>
      <c r="S291" s="799">
        <f t="shared" si="104"/>
        <v>-1</v>
      </c>
      <c r="T291" s="176">
        <f t="shared" si="105"/>
        <v>5</v>
      </c>
      <c r="U291" s="250">
        <f t="shared" si="106"/>
        <v>-0.50494574979385864</v>
      </c>
      <c r="V291" s="382">
        <f t="shared" si="107"/>
        <v>41.810357155006059</v>
      </c>
      <c r="W291" s="58"/>
      <c r="X291" s="157">
        <f t="shared" si="108"/>
        <v>44107</v>
      </c>
      <c r="Y291" s="383">
        <f t="shared" si="109"/>
        <v>16.891999999999999</v>
      </c>
      <c r="Z291" s="383">
        <f t="shared" si="110"/>
        <v>17.095878297497858</v>
      </c>
      <c r="AA291" s="384">
        <f t="shared" si="111"/>
        <v>17.906927909143455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4.529250442961065E-2</v>
      </c>
      <c r="AD291" s="230">
        <f>(INDEX(Models!$BJ291:$BT291,,AH291)*(1-AF291)+INDEX(Models!$BJ291:$BT291,,AH291+1)*AF291-ERP_i)*AE291*Ramure*Pc/MaxiM</f>
        <v>5.0665696806810254E-4</v>
      </c>
      <c r="AE291" s="304">
        <f t="shared" si="113"/>
        <v>0.6</v>
      </c>
      <c r="AF291" s="177">
        <f t="shared" si="114"/>
        <v>0.49505425020614136</v>
      </c>
      <c r="AG291" s="176">
        <f t="shared" si="115"/>
        <v>-1</v>
      </c>
      <c r="AH291" s="176">
        <f t="shared" si="116"/>
        <v>5</v>
      </c>
      <c r="AI291" s="224">
        <f t="shared" si="117"/>
        <v>-0.50494574979385864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21.129000000000001</v>
      </c>
      <c r="C292" s="388"/>
      <c r="D292" s="391">
        <f t="shared" si="99"/>
        <v>21.384426672782471</v>
      </c>
      <c r="E292" s="383">
        <f t="shared" si="97"/>
        <v>22.399740277381074</v>
      </c>
      <c r="F292" s="383">
        <f t="shared" si="100"/>
        <v>22.403267297125293</v>
      </c>
      <c r="G292" s="110">
        <f t="shared" si="98"/>
        <v>0.50927603765415297</v>
      </c>
      <c r="H292" s="412" t="b">
        <f>Wh_hp&gt;='2019'!Maxi_hp</f>
        <v>0</v>
      </c>
      <c r="I292" s="388">
        <f>IF(H292,Wh_hp,'2019'!Maxi_hp)</f>
        <v>39.702894936148411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1.1944518162255502E-2</v>
      </c>
      <c r="M292" s="832"/>
      <c r="N292" s="832"/>
      <c r="O292" s="48">
        <f>IF(t&lt;Tnet,'2019'!Resal+('2019'!Salim-'2019'!Resal)*(1-EXP(('2019'!Tnet-t)/('2019'!Tau_j))),Resal+(Salim-Resal)*(1-EXP((Tnet-t)/(Tau_j))))*Salcycl</f>
        <v>4.5327025761269769E-2</v>
      </c>
      <c r="P292" s="169">
        <f>(INDEX(Models!$BJ292:$BT292,,T292)*(1-R292)+INDEX(Models!$BJ292:$BT292,,T292+1)*R292-ERP_i)*Q292*Ramure*Pc/MaxiM</f>
        <v>5.2612069433995731E-4</v>
      </c>
      <c r="Q292" s="304">
        <f t="shared" si="102"/>
        <v>0.6</v>
      </c>
      <c r="R292" s="177">
        <f t="shared" si="103"/>
        <v>0.49522293627012304</v>
      </c>
      <c r="S292" s="799">
        <f t="shared" si="104"/>
        <v>-1</v>
      </c>
      <c r="T292" s="176">
        <f t="shared" si="105"/>
        <v>5</v>
      </c>
      <c r="U292" s="250">
        <f t="shared" si="106"/>
        <v>-0.50477706372987696</v>
      </c>
      <c r="V292" s="382">
        <f t="shared" si="107"/>
        <v>41.473007200988867</v>
      </c>
      <c r="W292" s="58"/>
      <c r="X292" s="157">
        <f t="shared" si="108"/>
        <v>44108</v>
      </c>
      <c r="Y292" s="383">
        <f t="shared" si="109"/>
        <v>21.129000000000001</v>
      </c>
      <c r="Z292" s="383">
        <f t="shared" si="110"/>
        <v>21.384426672782471</v>
      </c>
      <c r="AA292" s="384">
        <f t="shared" si="111"/>
        <v>22.399740277381074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4.5327025761269769E-2</v>
      </c>
      <c r="AD292" s="230">
        <f>(INDEX(Models!$BJ292:$BT292,,AH292)*(1-AF292)+INDEX(Models!$BJ292:$BT292,,AH292+1)*AF292-ERP_i)*AE292*Ramure*Pc/MaxiM</f>
        <v>5.2612069433995731E-4</v>
      </c>
      <c r="AE292" s="304">
        <f t="shared" si="113"/>
        <v>0.6</v>
      </c>
      <c r="AF292" s="177">
        <f t="shared" si="114"/>
        <v>0.49522293627012304</v>
      </c>
      <c r="AG292" s="176">
        <f t="shared" si="115"/>
        <v>-1</v>
      </c>
      <c r="AH292" s="176">
        <f t="shared" si="116"/>
        <v>5</v>
      </c>
      <c r="AI292" s="224">
        <f t="shared" si="117"/>
        <v>-0.50477706372987696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28.23</v>
      </c>
      <c r="C293" s="388"/>
      <c r="D293" s="391">
        <f t="shared" si="99"/>
        <v>28.571817626446194</v>
      </c>
      <c r="E293" s="383">
        <f t="shared" si="97"/>
        <v>29.929441591250228</v>
      </c>
      <c r="F293" s="383">
        <f t="shared" si="100"/>
        <v>29.938480404074163</v>
      </c>
      <c r="G293" s="110">
        <f t="shared" si="98"/>
        <v>0.68615252666493354</v>
      </c>
      <c r="H293" s="412" t="b">
        <f>Wh_hp&gt;='2019'!Maxi_hp</f>
        <v>1</v>
      </c>
      <c r="I293" s="388">
        <f>IF(H293,Wh_hp,'2019'!Maxi_hp)</f>
        <v>29.938480404074163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1.1963454020153308E-2</v>
      </c>
      <c r="M293" s="832"/>
      <c r="N293" s="832"/>
      <c r="O293" s="48">
        <f>IF(t&lt;Tnet,'2019'!Resal+('2019'!Salim-'2019'!Resal)*(1-EXP(('2019'!Tnet-t)/('2019'!Tau_j))),Resal+(Salim-Resal)*(1-EXP((Tnet-t)/(Tau_j))))*Salcycl</f>
        <v>4.5360818398995167E-2</v>
      </c>
      <c r="P293" s="169">
        <f>(INDEX(Models!$BJ293:$BT293,,T293)*(1-R293)+INDEX(Models!$BJ293:$BT293,,T293+1)*R293-ERP_i)*Q293*Ramure*Pc/MaxiM</f>
        <v>5.4705571741582918E-4</v>
      </c>
      <c r="Q293" s="304">
        <f t="shared" si="102"/>
        <v>0.6</v>
      </c>
      <c r="R293" s="177">
        <f t="shared" si="103"/>
        <v>0.49538493834116215</v>
      </c>
      <c r="S293" s="799">
        <f t="shared" si="104"/>
        <v>-1</v>
      </c>
      <c r="T293" s="176">
        <f t="shared" si="105"/>
        <v>5</v>
      </c>
      <c r="U293" s="250">
        <f t="shared" si="106"/>
        <v>-0.50461506165883785</v>
      </c>
      <c r="V293" s="382">
        <f t="shared" si="107"/>
        <v>41.13236697513701</v>
      </c>
      <c r="W293" s="58"/>
      <c r="X293" s="157">
        <f t="shared" si="108"/>
        <v>44109</v>
      </c>
      <c r="Y293" s="383">
        <f t="shared" si="109"/>
        <v>28.23</v>
      </c>
      <c r="Z293" s="383">
        <f t="shared" si="110"/>
        <v>28.571817626446194</v>
      </c>
      <c r="AA293" s="384">
        <f t="shared" si="111"/>
        <v>29.929441591250228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4.5360818398995167E-2</v>
      </c>
      <c r="AD293" s="230">
        <f>(INDEX(Models!$BJ293:$BT293,,AH293)*(1-AF293)+INDEX(Models!$BJ293:$BT293,,AH293+1)*AF293-ERP_i)*AE293*Ramure*Pc/MaxiM</f>
        <v>5.4705571741582918E-4</v>
      </c>
      <c r="AE293" s="304">
        <f t="shared" si="113"/>
        <v>0.6</v>
      </c>
      <c r="AF293" s="177">
        <f t="shared" si="114"/>
        <v>0.49538493834116215</v>
      </c>
      <c r="AG293" s="176">
        <f t="shared" si="115"/>
        <v>-1</v>
      </c>
      <c r="AH293" s="176">
        <f t="shared" si="116"/>
        <v>5</v>
      </c>
      <c r="AI293" s="224">
        <f t="shared" si="117"/>
        <v>-0.50461506165883785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6.4269999999999996</v>
      </c>
      <c r="C294" s="388"/>
      <c r="D294" s="391">
        <f t="shared" si="99"/>
        <v>6.5049447821543129</v>
      </c>
      <c r="E294" s="383">
        <f t="shared" si="97"/>
        <v>6.8142709555090804</v>
      </c>
      <c r="F294" s="383">
        <f t="shared" si="100"/>
        <v>6.8142709555090804</v>
      </c>
      <c r="G294" s="110">
        <f t="shared" si="98"/>
        <v>0.15747703481800129</v>
      </c>
      <c r="H294" s="412" t="b">
        <f>Wh_hp&gt;='2019'!Maxi_hp</f>
        <v>0</v>
      </c>
      <c r="I294" s="388">
        <f>IF(H294,Wh_hp,'2019'!Maxi_hp)</f>
        <v>30.782356997616411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1.1982389515149627E-2</v>
      </c>
      <c r="M294" s="832"/>
      <c r="N294" s="832"/>
      <c r="O294" s="48">
        <f>IF(t&lt;Tnet,'2019'!Resal+('2019'!Salim-'2019'!Resal)*(1-EXP(('2019'!Tnet-t)/('2019'!Tau_j))),Resal+(Salim-Resal)*(1-EXP((Tnet-t)/(Tau_j))))*Salcycl</f>
        <v>4.5393876377147757E-2</v>
      </c>
      <c r="P294" s="169">
        <f>(INDEX(Models!$BJ294:$BT294,,T294)*(1-R294)+INDEX(Models!$BJ294:$BT294,,T294+1)*R294-ERP_i)*Q294*Ramure*Pc/MaxiM</f>
        <v>5.69466169644239E-4</v>
      </c>
      <c r="Q294" s="304">
        <f t="shared" si="102"/>
        <v>0.6</v>
      </c>
      <c r="R294" s="177">
        <f t="shared" si="103"/>
        <v>0.49554051712768499</v>
      </c>
      <c r="S294" s="799">
        <f t="shared" si="104"/>
        <v>-1</v>
      </c>
      <c r="T294" s="176">
        <f t="shared" si="105"/>
        <v>5</v>
      </c>
      <c r="U294" s="250">
        <f t="shared" si="106"/>
        <v>-0.50445948287231501</v>
      </c>
      <c r="V294" s="382">
        <f t="shared" si="107"/>
        <v>40.789058851350944</v>
      </c>
      <c r="W294" s="58"/>
      <c r="X294" s="157">
        <f t="shared" si="108"/>
        <v>44110</v>
      </c>
      <c r="Y294" s="383">
        <f t="shared" si="109"/>
        <v>6.4269999999999996</v>
      </c>
      <c r="Z294" s="383">
        <f t="shared" si="110"/>
        <v>6.5049447821543129</v>
      </c>
      <c r="AA294" s="384">
        <f t="shared" si="111"/>
        <v>6.8142709555090804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4.5393876377147757E-2</v>
      </c>
      <c r="AD294" s="230">
        <f>(INDEX(Models!$BJ294:$BT294,,AH294)*(1-AF294)+INDEX(Models!$BJ294:$BT294,,AH294+1)*AF294-ERP_i)*AE294*Ramure*Pc/MaxiM</f>
        <v>5.69466169644239E-4</v>
      </c>
      <c r="AE294" s="304">
        <f t="shared" si="113"/>
        <v>0.6</v>
      </c>
      <c r="AF294" s="177">
        <f t="shared" si="114"/>
        <v>0.49554051712768499</v>
      </c>
      <c r="AG294" s="176">
        <f t="shared" si="115"/>
        <v>-1</v>
      </c>
      <c r="AH294" s="176">
        <f t="shared" si="116"/>
        <v>5</v>
      </c>
      <c r="AI294" s="224">
        <f t="shared" si="117"/>
        <v>-0.50445948287231501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29.568999999999999</v>
      </c>
      <c r="C295" s="388"/>
      <c r="D295" s="391">
        <f t="shared" si="99"/>
        <v>29.928177777609754</v>
      </c>
      <c r="E295" s="383">
        <f t="shared" si="97"/>
        <v>31.35239793331386</v>
      </c>
      <c r="F295" s="383">
        <f t="shared" si="100"/>
        <v>31.36385935960125</v>
      </c>
      <c r="G295" s="110">
        <f t="shared" si="98"/>
        <v>0.73094831809975391</v>
      </c>
      <c r="H295" s="412" t="b">
        <f>Wh_hp&gt;='2019'!Maxi_hp</f>
        <v>0</v>
      </c>
      <c r="I295" s="388">
        <f>IF(H295,Wh_hp,'2019'!Maxi_hp)</f>
        <v>40.032829351489561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1.2001324647251566E-2</v>
      </c>
      <c r="M295" s="832"/>
      <c r="N295" s="832"/>
      <c r="O295" s="48">
        <f>IF(t&lt;Tnet,'2019'!Resal+('2019'!Salim-'2019'!Resal)*(1-EXP(('2019'!Tnet-t)/('2019'!Tau_j))),Resal+(Salim-Resal)*(1-EXP((Tnet-t)/(Tau_j))))*Salcycl</f>
        <v>4.5426195429561798E-2</v>
      </c>
      <c r="P295" s="169">
        <f>(INDEX(Models!$BJ295:$BT295,,T295)*(1-R295)+INDEX(Models!$BJ295:$BT295,,T295+1)*R295-ERP_i)*Q295*Ramure*Pc/MaxiM</f>
        <v>5.9335425251105421E-4</v>
      </c>
      <c r="Q295" s="304">
        <f t="shared" si="102"/>
        <v>0.6</v>
      </c>
      <c r="R295" s="177">
        <f t="shared" si="103"/>
        <v>0.49568992349354624</v>
      </c>
      <c r="S295" s="799">
        <f t="shared" si="104"/>
        <v>-1</v>
      </c>
      <c r="T295" s="176">
        <f t="shared" si="105"/>
        <v>5</v>
      </c>
      <c r="U295" s="250">
        <f t="shared" si="106"/>
        <v>-0.50431007650645376</v>
      </c>
      <c r="V295" s="382">
        <f t="shared" si="107"/>
        <v>40.443705027723659</v>
      </c>
      <c r="W295" s="58"/>
      <c r="X295" s="157">
        <f t="shared" si="108"/>
        <v>44111</v>
      </c>
      <c r="Y295" s="383">
        <f t="shared" si="109"/>
        <v>29.568999999999999</v>
      </c>
      <c r="Z295" s="383">
        <f t="shared" si="110"/>
        <v>29.928177777609754</v>
      </c>
      <c r="AA295" s="384">
        <f t="shared" si="111"/>
        <v>31.35239793331386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4.5426195429561798E-2</v>
      </c>
      <c r="AD295" s="230">
        <f>(INDEX(Models!$BJ295:$BT295,,AH295)*(1-AF295)+INDEX(Models!$BJ295:$BT295,,AH295+1)*AF295-ERP_i)*AE295*Ramure*Pc/MaxiM</f>
        <v>5.9335425251105421E-4</v>
      </c>
      <c r="AE295" s="304">
        <f t="shared" si="113"/>
        <v>0.6</v>
      </c>
      <c r="AF295" s="177">
        <f t="shared" si="114"/>
        <v>0.49568992349354624</v>
      </c>
      <c r="AG295" s="176">
        <f t="shared" si="115"/>
        <v>-1</v>
      </c>
      <c r="AH295" s="176">
        <f t="shared" si="116"/>
        <v>5</v>
      </c>
      <c r="AI295" s="224">
        <f t="shared" si="117"/>
        <v>-0.50431007650645376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35.393999999999998</v>
      </c>
      <c r="C296" s="388"/>
      <c r="D296" s="391">
        <f t="shared" si="99"/>
        <v>35.824621240811183</v>
      </c>
      <c r="E296" s="383">
        <f t="shared" si="97"/>
        <v>37.530682489941427</v>
      </c>
      <c r="F296" s="383">
        <f t="shared" si="100"/>
        <v>37.550037556426517</v>
      </c>
      <c r="G296" s="110">
        <f t="shared" si="98"/>
        <v>0.88261981808138534</v>
      </c>
      <c r="H296" s="412" t="b">
        <f>Wh_hp&gt;='2019'!Maxi_hp</f>
        <v>1</v>
      </c>
      <c r="I296" s="388">
        <f>IF(H296,Wh_hp,'2019'!Maxi_hp)</f>
        <v>37.550037556426517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1.2020259416465895E-2</v>
      </c>
      <c r="M296" s="832"/>
      <c r="N296" s="832"/>
      <c r="O296" s="48">
        <f>IF(t&lt;Tnet,'2019'!Resal+('2019'!Salim-'2019'!Resal)*(1-EXP(('2019'!Tnet-t)/('2019'!Tau_j))),Resal+(Salim-Resal)*(1-EXP((Tnet-t)/(Tau_j))))*Salcycl</f>
        <v>4.5457773105711211E-2</v>
      </c>
      <c r="P296" s="169">
        <f>(INDEX(Models!$BJ296:$BT296,,T296)*(1-R296)+INDEX(Models!$BJ296:$BT296,,T296+1)*R296-ERP_i)*Q296*Ramure*Pc/MaxiM</f>
        <v>6.1919691328760627E-4</v>
      </c>
      <c r="Q296" s="304">
        <f t="shared" si="102"/>
        <v>0.6</v>
      </c>
      <c r="R296" s="177">
        <f t="shared" si="103"/>
        <v>0.49583339880420874</v>
      </c>
      <c r="S296" s="799">
        <f t="shared" si="104"/>
        <v>-1</v>
      </c>
      <c r="T296" s="176">
        <f t="shared" si="105"/>
        <v>5</v>
      </c>
      <c r="U296" s="250">
        <f t="shared" si="106"/>
        <v>-0.50416660119579126</v>
      </c>
      <c r="V296" s="382">
        <f t="shared" si="107"/>
        <v>40.096908395184876</v>
      </c>
      <c r="W296" s="58"/>
      <c r="X296" s="157">
        <f t="shared" si="108"/>
        <v>44112</v>
      </c>
      <c r="Y296" s="383">
        <f t="shared" si="109"/>
        <v>35.393999999999998</v>
      </c>
      <c r="Z296" s="383">
        <f t="shared" si="110"/>
        <v>35.824621240811183</v>
      </c>
      <c r="AA296" s="384">
        <f t="shared" si="111"/>
        <v>37.530682489941427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4.5457773105711211E-2</v>
      </c>
      <c r="AD296" s="230">
        <f>(INDEX(Models!$BJ296:$BT296,,AH296)*(1-AF296)+INDEX(Models!$BJ296:$BT296,,AH296+1)*AF296-ERP_i)*AE296*Ramure*Pc/MaxiM</f>
        <v>6.1919691328760627E-4</v>
      </c>
      <c r="AE296" s="304">
        <f t="shared" si="113"/>
        <v>0.6</v>
      </c>
      <c r="AF296" s="177">
        <f t="shared" si="114"/>
        <v>0.49583339880420874</v>
      </c>
      <c r="AG296" s="176">
        <f t="shared" si="115"/>
        <v>-1</v>
      </c>
      <c r="AH296" s="176">
        <f t="shared" si="116"/>
        <v>5</v>
      </c>
      <c r="AI296" s="224">
        <f t="shared" si="117"/>
        <v>-0.50416660119579126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24.646999999999998</v>
      </c>
      <c r="C297" s="388"/>
      <c r="D297" s="391">
        <f t="shared" si="99"/>
        <v>24.947345933052453</v>
      </c>
      <c r="E297" s="383">
        <f t="shared" ref="E297:E360" si="121">Wh_pvt/(1-Psa)</f>
        <v>26.136247471905328</v>
      </c>
      <c r="F297" s="383">
        <f t="shared" si="100"/>
        <v>26.143976330460617</v>
      </c>
      <c r="G297" s="110">
        <f t="shared" ref="G297:G360" si="122">+Wh_hp/MaxiM</f>
        <v>0.61984343719405299</v>
      </c>
      <c r="H297" s="412" t="b">
        <f>Wh_hp&gt;='2019'!Maxi_hp</f>
        <v>0</v>
      </c>
      <c r="I297" s="388">
        <f>IF(H297,Wh_hp,'2019'!Maxi_hp)</f>
        <v>30.035777339277747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1.2039193822799832E-2</v>
      </c>
      <c r="M297" s="832"/>
      <c r="N297" s="832"/>
      <c r="O297" s="48">
        <f>IF(t&lt;Tnet,'2019'!Resal+('2019'!Salim-'2019'!Resal)*(1-EXP(('2019'!Tnet-t)/('2019'!Tau_j))),Resal+(Salim-Resal)*(1-EXP((Tnet-t)/(Tau_j))))*Salcycl</f>
        <v>4.5488608880477656E-2</v>
      </c>
      <c r="P297" s="169">
        <f>(INDEX(Models!$BJ297:$BT297,,T297)*(1-R297)+INDEX(Models!$BJ297:$BT297,,T297+1)*R297-ERP_i)*Q297*Ramure*Pc/MaxiM</f>
        <v>6.4656004309157763E-4</v>
      </c>
      <c r="Q297" s="304">
        <f t="shared" si="102"/>
        <v>0.6</v>
      </c>
      <c r="R297" s="177">
        <f t="shared" si="103"/>
        <v>0.49597117526279988</v>
      </c>
      <c r="S297" s="799">
        <f t="shared" si="104"/>
        <v>-1</v>
      </c>
      <c r="T297" s="176">
        <f t="shared" si="105"/>
        <v>5</v>
      </c>
      <c r="U297" s="250">
        <f t="shared" si="106"/>
        <v>-0.50402882473720012</v>
      </c>
      <c r="V297" s="382">
        <f t="shared" si="107"/>
        <v>39.749308471677786</v>
      </c>
      <c r="W297" s="58"/>
      <c r="X297" s="157">
        <f t="shared" si="108"/>
        <v>44113</v>
      </c>
      <c r="Y297" s="383">
        <f t="shared" si="109"/>
        <v>24.646999999999998</v>
      </c>
      <c r="Z297" s="383">
        <f t="shared" si="110"/>
        <v>24.947345933052453</v>
      </c>
      <c r="AA297" s="384">
        <f t="shared" si="111"/>
        <v>26.136247471905328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4.5488608880477656E-2</v>
      </c>
      <c r="AD297" s="230">
        <f>(INDEX(Models!$BJ297:$BT297,,AH297)*(1-AF297)+INDEX(Models!$BJ297:$BT297,,AH297+1)*AF297-ERP_i)*AE297*Ramure*Pc/MaxiM</f>
        <v>6.4656004309157763E-4</v>
      </c>
      <c r="AE297" s="304">
        <f t="shared" si="113"/>
        <v>0.6</v>
      </c>
      <c r="AF297" s="177">
        <f t="shared" si="114"/>
        <v>0.49597117526279988</v>
      </c>
      <c r="AG297" s="176">
        <f t="shared" si="115"/>
        <v>-1</v>
      </c>
      <c r="AH297" s="176">
        <f t="shared" si="116"/>
        <v>5</v>
      </c>
      <c r="AI297" s="224">
        <f t="shared" si="117"/>
        <v>-0.50402882473720012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22.869</v>
      </c>
      <c r="C298" s="388"/>
      <c r="D298" s="391">
        <f t="shared" si="99"/>
        <v>23.148123027327436</v>
      </c>
      <c r="E298" s="383">
        <f t="shared" si="121"/>
        <v>24.252044676572858</v>
      </c>
      <c r="F298" s="383">
        <f t="shared" si="100"/>
        <v>24.258608329983037</v>
      </c>
      <c r="G298" s="110">
        <f t="shared" si="122"/>
        <v>0.5801739248838701</v>
      </c>
      <c r="H298" s="412" t="b">
        <f>Wh_hp&gt;='2019'!Maxi_hp</f>
        <v>0</v>
      </c>
      <c r="I298" s="388">
        <f>IF(H298,Wh_hp,'2019'!Maxi_hp)</f>
        <v>41.65840472713716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1.2058127866260149E-2</v>
      </c>
      <c r="M298" s="832"/>
      <c r="N298" s="832"/>
      <c r="O298" s="48">
        <f>IF(t&lt;Tnet,'2019'!Resal+('2019'!Salim-'2019'!Resal)*(1-EXP(('2019'!Tnet-t)/('2019'!Tau_j))),Resal+(Salim-Resal)*(1-EXP((Tnet-t)/(Tau_j))))*Salcycl</f>
        <v>4.5518704256379418E-2</v>
      </c>
      <c r="P298" s="169">
        <f>(INDEX(Models!$BJ298:$BT298,,T298)*(1-R298)+INDEX(Models!$BJ298:$BT298,,T298+1)*R298-ERP_i)*Q298*Ramure*Pc/MaxiM</f>
        <v>6.7543861147763599E-4</v>
      </c>
      <c r="Q298" s="304">
        <f t="shared" si="102"/>
        <v>0.6</v>
      </c>
      <c r="R298" s="177">
        <f t="shared" si="103"/>
        <v>0.49610347623616624</v>
      </c>
      <c r="S298" s="799">
        <f t="shared" si="104"/>
        <v>-1</v>
      </c>
      <c r="T298" s="176">
        <f t="shared" si="105"/>
        <v>5</v>
      </c>
      <c r="U298" s="250">
        <f t="shared" si="106"/>
        <v>-0.50389652376383376</v>
      </c>
      <c r="V298" s="382">
        <f t="shared" si="107"/>
        <v>39.401526981902798</v>
      </c>
      <c r="W298" s="58"/>
      <c r="X298" s="157">
        <f t="shared" si="108"/>
        <v>44114</v>
      </c>
      <c r="Y298" s="383">
        <f t="shared" si="109"/>
        <v>22.869</v>
      </c>
      <c r="Z298" s="383">
        <f t="shared" si="110"/>
        <v>23.148123027327436</v>
      </c>
      <c r="AA298" s="384">
        <f t="shared" si="111"/>
        <v>24.252044676572858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4.5518704256379418E-2</v>
      </c>
      <c r="AD298" s="230">
        <f>(INDEX(Models!$BJ298:$BT298,,AH298)*(1-AF298)+INDEX(Models!$BJ298:$BT298,,AH298+1)*AF298-ERP_i)*AE298*Ramure*Pc/MaxiM</f>
        <v>6.7543861147763599E-4</v>
      </c>
      <c r="AE298" s="304">
        <f t="shared" si="113"/>
        <v>0.6</v>
      </c>
      <c r="AF298" s="177">
        <f t="shared" si="114"/>
        <v>0.49610347623616624</v>
      </c>
      <c r="AG298" s="176">
        <f t="shared" si="115"/>
        <v>-1</v>
      </c>
      <c r="AH298" s="176">
        <f t="shared" si="116"/>
        <v>5</v>
      </c>
      <c r="AI298" s="224">
        <f t="shared" si="117"/>
        <v>-0.50389652376383376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15.739000000000001</v>
      </c>
      <c r="C299" s="388"/>
      <c r="D299" s="391">
        <f t="shared" si="99"/>
        <v>15.931404553318252</v>
      </c>
      <c r="E299" s="383">
        <f t="shared" si="121"/>
        <v>16.691678159309852</v>
      </c>
      <c r="F299" s="383">
        <f t="shared" si="100"/>
        <v>16.693411957954225</v>
      </c>
      <c r="G299" s="110">
        <f t="shared" si="122"/>
        <v>0.40276156120261669</v>
      </c>
      <c r="H299" s="412" t="b">
        <f>Wh_hp&gt;='2019'!Maxi_hp</f>
        <v>0</v>
      </c>
      <c r="I299" s="388">
        <f>IF(H299,Wh_hp,'2019'!Maxi_hp)</f>
        <v>20.912532278728975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1.207706154685384E-2</v>
      </c>
      <c r="M299" s="832"/>
      <c r="N299" s="832"/>
      <c r="O299" s="48">
        <f>IF(t&lt;Tnet,'2019'!Resal+('2019'!Salim-'2019'!Resal)*(1-EXP(('2019'!Tnet-t)/('2019'!Tau_j))),Resal+(Salim-Resal)*(1-EXP((Tnet-t)/(Tau_j))))*Salcycl</f>
        <v>4.5548062857152245E-2</v>
      </c>
      <c r="P299" s="169">
        <f>(INDEX(Models!$BJ299:$BT299,,T299)*(1-R299)+INDEX(Models!$BJ299:$BT299,,T299+1)*R299-ERP_i)*Q299*Ramure*Pc/MaxiM</f>
        <v>7.0582451516940591E-4</v>
      </c>
      <c r="Q299" s="304">
        <f t="shared" si="102"/>
        <v>0.6</v>
      </c>
      <c r="R299" s="177">
        <f t="shared" si="103"/>
        <v>0.49623051657106765</v>
      </c>
      <c r="S299" s="799">
        <f t="shared" si="104"/>
        <v>-1</v>
      </c>
      <c r="T299" s="176">
        <f t="shared" si="105"/>
        <v>5</v>
      </c>
      <c r="U299" s="250">
        <f t="shared" si="106"/>
        <v>-0.50376948342893235</v>
      </c>
      <c r="V299" s="382">
        <f t="shared" si="107"/>
        <v>39.05418548159966</v>
      </c>
      <c r="W299" s="58"/>
      <c r="X299" s="157">
        <f t="shared" si="108"/>
        <v>44115</v>
      </c>
      <c r="Y299" s="383">
        <f t="shared" si="109"/>
        <v>15.738999999999999</v>
      </c>
      <c r="Z299" s="383">
        <f t="shared" si="110"/>
        <v>15.93140455331825</v>
      </c>
      <c r="AA299" s="384">
        <f t="shared" si="111"/>
        <v>16.691678159309852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4.5548062857152245E-2</v>
      </c>
      <c r="AD299" s="230">
        <f>(INDEX(Models!$BJ299:$BT299,,AH299)*(1-AF299)+INDEX(Models!$BJ299:$BT299,,AH299+1)*AF299-ERP_i)*AE299*Ramure*Pc/MaxiM</f>
        <v>7.0582451516940591E-4</v>
      </c>
      <c r="AE299" s="304">
        <f t="shared" si="113"/>
        <v>0.6</v>
      </c>
      <c r="AF299" s="177">
        <f t="shared" si="114"/>
        <v>0.49623051657106765</v>
      </c>
      <c r="AG299" s="176">
        <f t="shared" si="115"/>
        <v>-1</v>
      </c>
      <c r="AH299" s="176">
        <f t="shared" si="116"/>
        <v>5</v>
      </c>
      <c r="AI299" s="224">
        <f t="shared" si="117"/>
        <v>-0.50376948342893235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24.847000000000001</v>
      </c>
      <c r="C300" s="388"/>
      <c r="D300" s="391">
        <f t="shared" si="99"/>
        <v>25.151229138497335</v>
      </c>
      <c r="E300" s="383">
        <f t="shared" si="121"/>
        <v>26.35227879333711</v>
      </c>
      <c r="F300" s="383">
        <f t="shared" si="100"/>
        <v>26.361777669498071</v>
      </c>
      <c r="G300" s="110">
        <f t="shared" si="122"/>
        <v>0.64166788825001109</v>
      </c>
      <c r="H300" s="412" t="b">
        <f>Wh_hp&gt;='2019'!Maxi_hp</f>
        <v>0</v>
      </c>
      <c r="I300" s="388">
        <f>IF(H300,Wh_hp,'2019'!Maxi_hp)</f>
        <v>39.39832701671196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1.2095994864587789E-2</v>
      </c>
      <c r="M300" s="832"/>
      <c r="N300" s="832"/>
      <c r="O300" s="48">
        <f>IF(t&lt;Tnet,'2019'!Resal+('2019'!Salim-'2019'!Resal)*(1-EXP(('2019'!Tnet-t)/('2019'!Tau_j))),Resal+(Salim-Resal)*(1-EXP((Tnet-t)/(Tau_j))))*Salcycl</f>
        <v>4.5576690511617092E-2</v>
      </c>
      <c r="P300" s="169">
        <f>(INDEX(Models!$BJ300:$BT300,,T300)*(1-R300)+INDEX(Models!$BJ300:$BT300,,T300+1)*R300-ERP_i)*Q300*Ramure*Pc/MaxiM</f>
        <v>7.3770629916896171E-4</v>
      </c>
      <c r="Q300" s="304">
        <f t="shared" si="102"/>
        <v>0.6</v>
      </c>
      <c r="R300" s="177">
        <f t="shared" si="103"/>
        <v>0.4963525029006618</v>
      </c>
      <c r="S300" s="799">
        <f t="shared" si="104"/>
        <v>-1</v>
      </c>
      <c r="T300" s="176">
        <f t="shared" si="105"/>
        <v>5</v>
      </c>
      <c r="U300" s="250">
        <f t="shared" si="106"/>
        <v>-0.5036474970993382</v>
      </c>
      <c r="V300" s="382">
        <f t="shared" si="107"/>
        <v>38.707905361081842</v>
      </c>
      <c r="W300" s="58"/>
      <c r="X300" s="157">
        <f t="shared" si="108"/>
        <v>44116</v>
      </c>
      <c r="Y300" s="383">
        <f t="shared" si="109"/>
        <v>24.847000000000001</v>
      </c>
      <c r="Z300" s="383">
        <f t="shared" si="110"/>
        <v>25.151229138497335</v>
      </c>
      <c r="AA300" s="384">
        <f t="shared" si="111"/>
        <v>26.35227879333711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4.5576690511617092E-2</v>
      </c>
      <c r="AD300" s="230">
        <f>(INDEX(Models!$BJ300:$BT300,,AH300)*(1-AF300)+INDEX(Models!$BJ300:$BT300,,AH300+1)*AF300-ERP_i)*AE300*Ramure*Pc/MaxiM</f>
        <v>7.3770629916896171E-4</v>
      </c>
      <c r="AE300" s="304">
        <f t="shared" si="113"/>
        <v>0.6</v>
      </c>
      <c r="AF300" s="177">
        <f t="shared" si="114"/>
        <v>0.4963525029006618</v>
      </c>
      <c r="AG300" s="176">
        <f t="shared" si="115"/>
        <v>-1</v>
      </c>
      <c r="AH300" s="176">
        <f t="shared" si="116"/>
        <v>5</v>
      </c>
      <c r="AI300" s="224">
        <f t="shared" si="117"/>
        <v>-0.5036474970993382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22.4</v>
      </c>
      <c r="C301" s="388"/>
      <c r="D301" s="391">
        <f t="shared" si="99"/>
        <v>22.674702382694285</v>
      </c>
      <c r="E301" s="383">
        <f t="shared" si="121"/>
        <v>23.75818478553871</v>
      </c>
      <c r="F301" s="383">
        <f t="shared" si="100"/>
        <v>23.76561662362435</v>
      </c>
      <c r="G301" s="110">
        <f t="shared" si="122"/>
        <v>0.58362354274662354</v>
      </c>
      <c r="H301" s="412" t="b">
        <f>Wh_hp&gt;='2019'!Maxi_hp</f>
        <v>1</v>
      </c>
      <c r="I301" s="388">
        <f>IF(H301,Wh_hp,'2019'!Maxi_hp)</f>
        <v>23.76561662362435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1.2114927819469101E-2</v>
      </c>
      <c r="M301" s="832"/>
      <c r="N301" s="832"/>
      <c r="O301" s="48">
        <f>IF(t&lt;Tnet,'2019'!Resal+('2019'!Salim-'2019'!Resal)*(1-EXP(('2019'!Tnet-t)/('2019'!Tau_j))),Resal+(Salim-Resal)*(1-EXP((Tnet-t)/(Tau_j))))*Salcycl</f>
        <v>4.5604595326825086E-2</v>
      </c>
      <c r="P301" s="169">
        <f>(INDEX(Models!$BJ301:$BT301,,T301)*(1-R301)+INDEX(Models!$BJ301:$BT301,,T301+1)*R301-ERP_i)*Q301*Ramure*Pc/MaxiM</f>
        <v>7.7106888109889802E-4</v>
      </c>
      <c r="Q301" s="304">
        <f t="shared" si="102"/>
        <v>0.6</v>
      </c>
      <c r="R301" s="177">
        <f t="shared" si="103"/>
        <v>0.49646963394144261</v>
      </c>
      <c r="S301" s="799">
        <f t="shared" si="104"/>
        <v>-1</v>
      </c>
      <c r="T301" s="176">
        <f t="shared" si="105"/>
        <v>5</v>
      </c>
      <c r="U301" s="250">
        <f t="shared" si="106"/>
        <v>-0.50353036605855739</v>
      </c>
      <c r="V301" s="382">
        <f t="shared" si="107"/>
        <v>38.363307845373981</v>
      </c>
      <c r="W301" s="58"/>
      <c r="X301" s="157">
        <f t="shared" si="108"/>
        <v>44117</v>
      </c>
      <c r="Y301" s="383">
        <f t="shared" si="109"/>
        <v>22.4</v>
      </c>
      <c r="Z301" s="383">
        <f t="shared" si="110"/>
        <v>22.674702382694285</v>
      </c>
      <c r="AA301" s="384">
        <f t="shared" si="111"/>
        <v>23.75818478553871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4.5604595326825086E-2</v>
      </c>
      <c r="AD301" s="230">
        <f>(INDEX(Models!$BJ301:$BT301,,AH301)*(1-AF301)+INDEX(Models!$BJ301:$BT301,,AH301+1)*AF301-ERP_i)*AE301*Ramure*Pc/MaxiM</f>
        <v>7.7106888109889802E-4</v>
      </c>
      <c r="AE301" s="304">
        <f t="shared" si="113"/>
        <v>0.6</v>
      </c>
      <c r="AF301" s="177">
        <f t="shared" si="114"/>
        <v>0.49646963394144261</v>
      </c>
      <c r="AG301" s="176">
        <f t="shared" si="115"/>
        <v>-1</v>
      </c>
      <c r="AH301" s="176">
        <f t="shared" si="116"/>
        <v>5</v>
      </c>
      <c r="AI301" s="224">
        <f t="shared" si="117"/>
        <v>-0.50353036605855739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13.771000000000001</v>
      </c>
      <c r="C302" s="388"/>
      <c r="D302" s="391">
        <f t="shared" si="99"/>
        <v>13.940147807613323</v>
      </c>
      <c r="E302" s="383">
        <f t="shared" si="121"/>
        <v>14.606676572705105</v>
      </c>
      <c r="F302" s="383">
        <f t="shared" si="100"/>
        <v>14.607722529127509</v>
      </c>
      <c r="G302" s="110">
        <f t="shared" si="122"/>
        <v>0.36192846844285276</v>
      </c>
      <c r="H302" s="412" t="b">
        <f>Wh_hp&gt;='2019'!Maxi_hp</f>
        <v>0</v>
      </c>
      <c r="I302" s="388">
        <f>IF(H302,Wh_hp,'2019'!Maxi_hp)</f>
        <v>32.319718219874517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1.213386041150466E-2</v>
      </c>
      <c r="M302" s="832"/>
      <c r="N302" s="832"/>
      <c r="O302" s="48">
        <f>IF(t&lt;Tnet,'2019'!Resal+('2019'!Salim-'2019'!Resal)*(1-EXP(('2019'!Tnet-t)/('2019'!Tau_j))),Resal+(Salim-Resal)*(1-EXP((Tnet-t)/(Tau_j))))*Salcycl</f>
        <v>4.5631787749534844E-2</v>
      </c>
      <c r="P302" s="169">
        <f>(INDEX(Models!$BJ302:$BT302,,T302)*(1-R302)+INDEX(Models!$BJ302:$BT302,,T302+1)*R302-ERP_i)*Q302*Ramure*Pc/MaxiM</f>
        <v>8.0589328078297566E-4</v>
      </c>
      <c r="Q302" s="304">
        <f t="shared" si="102"/>
        <v>0.6</v>
      </c>
      <c r="R302" s="177">
        <f t="shared" si="103"/>
        <v>0.49658210078080867</v>
      </c>
      <c r="S302" s="799">
        <f t="shared" si="104"/>
        <v>-1</v>
      </c>
      <c r="T302" s="176">
        <f t="shared" si="105"/>
        <v>5</v>
      </c>
      <c r="U302" s="250">
        <f t="shared" si="106"/>
        <v>-0.50341789921919133</v>
      </c>
      <c r="V302" s="382">
        <f t="shared" si="107"/>
        <v>38.021013995771305</v>
      </c>
      <c r="W302" s="58"/>
      <c r="X302" s="157">
        <f t="shared" si="108"/>
        <v>44118</v>
      </c>
      <c r="Y302" s="383">
        <f t="shared" si="109"/>
        <v>13.771000000000001</v>
      </c>
      <c r="Z302" s="383">
        <f t="shared" si="110"/>
        <v>13.940147807613323</v>
      </c>
      <c r="AA302" s="384">
        <f t="shared" si="111"/>
        <v>14.606676572705105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4.5631787749534844E-2</v>
      </c>
      <c r="AD302" s="230">
        <f>(INDEX(Models!$BJ302:$BT302,,AH302)*(1-AF302)+INDEX(Models!$BJ302:$BT302,,AH302+1)*AF302-ERP_i)*AE302*Ramure*Pc/MaxiM</f>
        <v>8.0589328078297566E-4</v>
      </c>
      <c r="AE302" s="304">
        <f t="shared" si="113"/>
        <v>0.6</v>
      </c>
      <c r="AF302" s="177">
        <f t="shared" si="114"/>
        <v>0.49658210078080867</v>
      </c>
      <c r="AG302" s="176">
        <f t="shared" si="115"/>
        <v>-1</v>
      </c>
      <c r="AH302" s="176">
        <f t="shared" si="116"/>
        <v>5</v>
      </c>
      <c r="AI302" s="224">
        <f t="shared" si="117"/>
        <v>-0.50341789921919133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19.210999999999999</v>
      </c>
      <c r="C303" s="388"/>
      <c r="D303" s="391">
        <f t="shared" si="99"/>
        <v>19.44733948416437</v>
      </c>
      <c r="E303" s="383">
        <f t="shared" si="121"/>
        <v>20.377752632149228</v>
      </c>
      <c r="F303" s="383">
        <f t="shared" si="100"/>
        <v>20.382899240055625</v>
      </c>
      <c r="G303" s="110">
        <f t="shared" si="122"/>
        <v>0.50955923970372397</v>
      </c>
      <c r="H303" s="412" t="b">
        <f>Wh_hp&gt;='2019'!Maxi_hp</f>
        <v>0</v>
      </c>
      <c r="I303" s="388">
        <f>IF(H303,Wh_hp,'2019'!Maxi_hp)</f>
        <v>33.491975682750187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1.2152792640701349E-2</v>
      </c>
      <c r="M303" s="832"/>
      <c r="N303" s="832"/>
      <c r="O303" s="48">
        <f>IF(t&lt;Tnet,'2019'!Resal+('2019'!Salim-'2019'!Resal)*(1-EXP(('2019'!Tnet-t)/('2019'!Tau_j))),Resal+(Salim-Resal)*(1-EXP((Tnet-t)/(Tau_j))))*Salcycl</f>
        <v>4.5658280615153764E-2</v>
      </c>
      <c r="P303" s="169">
        <f>(INDEX(Models!$BJ303:$BT303,,T303)*(1-R303)+INDEX(Models!$BJ303:$BT303,,T303+1)*R303-ERP_i)*Q303*Ramure*Pc/MaxiM</f>
        <v>8.4221605720294747E-4</v>
      </c>
      <c r="Q303" s="304">
        <f t="shared" si="102"/>
        <v>0.6</v>
      </c>
      <c r="R303" s="177">
        <f t="shared" si="103"/>
        <v>0.49669008715544161</v>
      </c>
      <c r="S303" s="799">
        <f t="shared" si="104"/>
        <v>-1</v>
      </c>
      <c r="T303" s="176">
        <f t="shared" si="105"/>
        <v>5</v>
      </c>
      <c r="U303" s="250">
        <f t="shared" si="106"/>
        <v>-0.50330991284455839</v>
      </c>
      <c r="V303" s="382">
        <f t="shared" si="107"/>
        <v>37.678971427973217</v>
      </c>
      <c r="W303" s="58"/>
      <c r="X303" s="157">
        <f t="shared" si="108"/>
        <v>44119</v>
      </c>
      <c r="Y303" s="383">
        <f t="shared" si="109"/>
        <v>19.210999999999999</v>
      </c>
      <c r="Z303" s="383">
        <f t="shared" si="110"/>
        <v>19.44733948416437</v>
      </c>
      <c r="AA303" s="384">
        <f t="shared" si="111"/>
        <v>20.377752632149228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4.5658280615153764E-2</v>
      </c>
      <c r="AD303" s="230">
        <f>(INDEX(Models!$BJ303:$BT303,,AH303)*(1-AF303)+INDEX(Models!$BJ303:$BT303,,AH303+1)*AF303-ERP_i)*AE303*Ramure*Pc/MaxiM</f>
        <v>8.4221605720294747E-4</v>
      </c>
      <c r="AE303" s="304">
        <f t="shared" si="113"/>
        <v>0.6</v>
      </c>
      <c r="AF303" s="177">
        <f t="shared" si="114"/>
        <v>0.49669008715544161</v>
      </c>
      <c r="AG303" s="176">
        <f t="shared" si="115"/>
        <v>-1</v>
      </c>
      <c r="AH303" s="176">
        <f t="shared" si="116"/>
        <v>5</v>
      </c>
      <c r="AI303" s="224">
        <f t="shared" si="117"/>
        <v>-0.50330991284455839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9.5749999999999993</v>
      </c>
      <c r="C304" s="388"/>
      <c r="D304" s="391">
        <f t="shared" si="99"/>
        <v>9.6929802856898402</v>
      </c>
      <c r="E304" s="383">
        <f t="shared" si="121"/>
        <v>10.156993272170462</v>
      </c>
      <c r="F304" s="383">
        <f t="shared" si="100"/>
        <v>10.156993272170462</v>
      </c>
      <c r="G304" s="110">
        <f t="shared" si="122"/>
        <v>0.25623565156666145</v>
      </c>
      <c r="H304" s="412" t="b">
        <f>Wh_hp&gt;='2019'!Maxi_hp</f>
        <v>0</v>
      </c>
      <c r="I304" s="388">
        <f>IF(H304,Wh_hp,'2019'!Maxi_hp)</f>
        <v>20.310327668561452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1.2171724507066273E-2</v>
      </c>
      <c r="M304" s="832"/>
      <c r="N304" s="832"/>
      <c r="O304" s="48">
        <f>IF(t&lt;Tnet,'2019'!Resal+('2019'!Salim-'2019'!Resal)*(1-EXP(('2019'!Tnet-t)/('2019'!Tau_j))),Resal+(Salim-Resal)*(1-EXP((Tnet-t)/(Tau_j))))*Salcycl</f>
        <v>4.5684089183359873E-2</v>
      </c>
      <c r="P304" s="169">
        <f>(INDEX(Models!$BJ304:$BT304,,T304)*(1-R304)+INDEX(Models!$BJ304:$BT304,,T304+1)*R304-ERP_i)*Q304*Ramure*Pc/MaxiM</f>
        <v>8.7951622479569703E-4</v>
      </c>
      <c r="Q304" s="304">
        <f t="shared" si="102"/>
        <v>0.6</v>
      </c>
      <c r="R304" s="177">
        <f t="shared" si="103"/>
        <v>0.49679376972068645</v>
      </c>
      <c r="S304" s="799">
        <f t="shared" si="104"/>
        <v>-1</v>
      </c>
      <c r="T304" s="176">
        <f t="shared" si="105"/>
        <v>5</v>
      </c>
      <c r="U304" s="250">
        <f t="shared" si="106"/>
        <v>-0.50320623027931355</v>
      </c>
      <c r="V304" s="382">
        <f t="shared" si="107"/>
        <v>37.335080320229252</v>
      </c>
      <c r="W304" s="58"/>
      <c r="X304" s="157">
        <f t="shared" si="108"/>
        <v>44120</v>
      </c>
      <c r="Y304" s="383">
        <f t="shared" si="109"/>
        <v>9.5749999999999993</v>
      </c>
      <c r="Z304" s="383">
        <f t="shared" si="110"/>
        <v>9.6929802856898402</v>
      </c>
      <c r="AA304" s="384">
        <f t="shared" si="111"/>
        <v>10.156993272170462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4.5684089183359873E-2</v>
      </c>
      <c r="AD304" s="230">
        <f>(INDEX(Models!$BJ304:$BT304,,AH304)*(1-AF304)+INDEX(Models!$BJ304:$BT304,,AH304+1)*AF304-ERP_i)*AE304*Ramure*Pc/MaxiM</f>
        <v>8.7951622479569703E-4</v>
      </c>
      <c r="AE304" s="304">
        <f t="shared" si="113"/>
        <v>0.6</v>
      </c>
      <c r="AF304" s="177">
        <f t="shared" si="114"/>
        <v>0.49679376972068645</v>
      </c>
      <c r="AG304" s="176">
        <f t="shared" si="115"/>
        <v>-1</v>
      </c>
      <c r="AH304" s="176">
        <f t="shared" si="116"/>
        <v>5</v>
      </c>
      <c r="AI304" s="224">
        <f t="shared" si="117"/>
        <v>-0.50320623027931355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36.518999999999998</v>
      </c>
      <c r="C305" s="388"/>
      <c r="D305" s="391">
        <f t="shared" si="99"/>
        <v>36.969684709109316</v>
      </c>
      <c r="E305" s="383">
        <f t="shared" si="121"/>
        <v>38.740482373142143</v>
      </c>
      <c r="F305" s="383">
        <f t="shared" si="100"/>
        <v>38.775386152374139</v>
      </c>
      <c r="G305" s="110">
        <f t="shared" si="122"/>
        <v>0.98725319731957417</v>
      </c>
      <c r="H305" s="412" t="b">
        <f>Wh_hp&gt;='2019'!Maxi_hp</f>
        <v>1</v>
      </c>
      <c r="I305" s="388">
        <f>IF(H305,Wh_hp,'2019'!Maxi_hp)</f>
        <v>38.775386152374139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1.2190656010606205E-2</v>
      </c>
      <c r="M305" s="832"/>
      <c r="N305" s="832"/>
      <c r="O305" s="48">
        <f>IF(t&lt;Tnet,'2019'!Resal+('2019'!Salim-'2019'!Resal)*(1-EXP(('2019'!Tnet-t)/('2019'!Tau_j))),Resal+(Salim-Resal)*(1-EXP((Tnet-t)/(Tau_j))))*Salcycl</f>
        <v>4.5709231159715251E-2</v>
      </c>
      <c r="P305" s="169">
        <f>(INDEX(Models!$BJ305:$BT305,,T305)*(1-R305)+INDEX(Models!$BJ305:$BT305,,T305+1)*R305-ERP_i)*Q305*Ramure*Pc/MaxiM</f>
        <v>9.1682654913126968E-4</v>
      </c>
      <c r="Q305" s="304">
        <f t="shared" si="102"/>
        <v>0.6</v>
      </c>
      <c r="R305" s="177">
        <f t="shared" si="103"/>
        <v>0.49689331831112693</v>
      </c>
      <c r="S305" s="799">
        <f t="shared" si="104"/>
        <v>-1</v>
      </c>
      <c r="T305" s="176">
        <f t="shared" si="105"/>
        <v>5</v>
      </c>
      <c r="U305" s="250">
        <f t="shared" si="106"/>
        <v>-0.50310668168887307</v>
      </c>
      <c r="V305" s="382">
        <f t="shared" si="107"/>
        <v>36.989893421793305</v>
      </c>
      <c r="W305" s="58"/>
      <c r="X305" s="157">
        <f t="shared" si="108"/>
        <v>44121</v>
      </c>
      <c r="Y305" s="383">
        <f t="shared" si="109"/>
        <v>36.518999999999998</v>
      </c>
      <c r="Z305" s="383">
        <f t="shared" si="110"/>
        <v>36.969684709109316</v>
      </c>
      <c r="AA305" s="384">
        <f t="shared" si="111"/>
        <v>38.740482373142143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4.5709231159715251E-2</v>
      </c>
      <c r="AD305" s="230">
        <f>(INDEX(Models!$BJ305:$BT305,,AH305)*(1-AF305)+INDEX(Models!$BJ305:$BT305,,AH305+1)*AF305-ERP_i)*AE305*Ramure*Pc/MaxiM</f>
        <v>9.1682654913126968E-4</v>
      </c>
      <c r="AE305" s="304">
        <f t="shared" si="113"/>
        <v>0.6</v>
      </c>
      <c r="AF305" s="177">
        <f t="shared" si="114"/>
        <v>0.49689331831112693</v>
      </c>
      <c r="AG305" s="176">
        <f t="shared" si="115"/>
        <v>-1</v>
      </c>
      <c r="AH305" s="176">
        <f t="shared" si="116"/>
        <v>5</v>
      </c>
      <c r="AI305" s="224">
        <f t="shared" si="117"/>
        <v>-0.50310668168887307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36.308999999999997</v>
      </c>
      <c r="C306" s="388"/>
      <c r="D306" s="391">
        <f t="shared" si="99"/>
        <v>36.757797532463492</v>
      </c>
      <c r="E306" s="383">
        <f t="shared" si="121"/>
        <v>38.519434838090604</v>
      </c>
      <c r="F306" s="383">
        <f t="shared" si="100"/>
        <v>38.555741543850147</v>
      </c>
      <c r="G306" s="110">
        <f t="shared" si="122"/>
        <v>0.99084759756940388</v>
      </c>
      <c r="H306" s="412" t="b">
        <f>Wh_hp&gt;='2019'!Maxi_hp</f>
        <v>1</v>
      </c>
      <c r="I306" s="388">
        <f>IF(H306,Wh_hp,'2019'!Maxi_hp)</f>
        <v>38.555741543850147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1.2209587151328249E-2</v>
      </c>
      <c r="M306" s="832"/>
      <c r="N306" s="832"/>
      <c r="O306" s="48">
        <f>IF(t&lt;Tnet,'2019'!Resal+('2019'!Salim-'2019'!Resal)*(1-EXP(('2019'!Tnet-t)/('2019'!Tau_j))),Resal+(Salim-Resal)*(1-EXP((Tnet-t)/(Tau_j))))*Salcycl</f>
        <v>4.5733726702684795E-2</v>
      </c>
      <c r="P306" s="169">
        <f>(INDEX(Models!$BJ306:$BT306,,T306)*(1-R306)+INDEX(Models!$BJ306:$BT306,,T306+1)*R306-ERP_i)*Q306*Ramure*Pc/MaxiM</f>
        <v>9.5412616611431243E-4</v>
      </c>
      <c r="Q306" s="304">
        <f t="shared" si="102"/>
        <v>0.6</v>
      </c>
      <c r="R306" s="177">
        <f t="shared" si="103"/>
        <v>0.49698889619255704</v>
      </c>
      <c r="S306" s="799">
        <f t="shared" si="104"/>
        <v>-1</v>
      </c>
      <c r="T306" s="176">
        <f t="shared" si="105"/>
        <v>5</v>
      </c>
      <c r="U306" s="250">
        <f t="shared" si="106"/>
        <v>-0.50301110380744296</v>
      </c>
      <c r="V306" s="382">
        <f t="shared" si="107"/>
        <v>36.643927196287137</v>
      </c>
      <c r="W306" s="58"/>
      <c r="X306" s="157">
        <f t="shared" si="108"/>
        <v>44122</v>
      </c>
      <c r="Y306" s="383">
        <f t="shared" si="109"/>
        <v>36.308999999999997</v>
      </c>
      <c r="Z306" s="383">
        <f t="shared" si="110"/>
        <v>36.757797532463492</v>
      </c>
      <c r="AA306" s="384">
        <f t="shared" si="111"/>
        <v>38.519434838090604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4.5733726702684795E-2</v>
      </c>
      <c r="AD306" s="230">
        <f>(INDEX(Models!$BJ306:$BT306,,AH306)*(1-AF306)+INDEX(Models!$BJ306:$BT306,,AH306+1)*AF306-ERP_i)*AE306*Ramure*Pc/MaxiM</f>
        <v>9.5412616611431243E-4</v>
      </c>
      <c r="AE306" s="304">
        <f t="shared" si="113"/>
        <v>0.6</v>
      </c>
      <c r="AF306" s="177">
        <f t="shared" si="114"/>
        <v>0.49698889619255704</v>
      </c>
      <c r="AG306" s="176">
        <f t="shared" si="115"/>
        <v>-1</v>
      </c>
      <c r="AH306" s="176">
        <f t="shared" si="116"/>
        <v>5</v>
      </c>
      <c r="AI306" s="224">
        <f t="shared" si="117"/>
        <v>-0.50301110380744296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29.86</v>
      </c>
      <c r="C307" s="388"/>
      <c r="D307" s="391">
        <f t="shared" si="99"/>
        <v>30.229663988073028</v>
      </c>
      <c r="E307" s="383">
        <f t="shared" si="121"/>
        <v>31.679229447234714</v>
      </c>
      <c r="F307" s="383">
        <f t="shared" si="100"/>
        <v>31.702695928532638</v>
      </c>
      <c r="G307" s="110">
        <f t="shared" si="122"/>
        <v>0.82243491179794126</v>
      </c>
      <c r="H307" s="412" t="b">
        <f>Wh_hp&gt;='2019'!Maxi_hp</f>
        <v>1</v>
      </c>
      <c r="I307" s="388">
        <f>IF(H307,Wh_hp,'2019'!Maxi_hp)</f>
        <v>31.702695928532638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1.2228517929239291E-2</v>
      </c>
      <c r="M307" s="832"/>
      <c r="N307" s="832"/>
      <c r="O307" s="48">
        <f>IF(t&lt;Tnet,'2019'!Resal+('2019'!Salim-'2019'!Resal)*(1-EXP(('2019'!Tnet-t)/('2019'!Tau_j))),Resal+(Salim-Resal)*(1-EXP((Tnet-t)/(Tau_j))))*Salcycl</f>
        <v>4.5757598415583252E-2</v>
      </c>
      <c r="P307" s="169">
        <f>(INDEX(Models!$BJ307:$BT307,,T307)*(1-R307)+INDEX(Models!$BJ307:$BT307,,T307+1)*R307-ERP_i)*Q307*Ramure*Pc/MaxiM</f>
        <v>9.9139279535067747E-4</v>
      </c>
      <c r="Q307" s="304">
        <f t="shared" si="102"/>
        <v>0.6</v>
      </c>
      <c r="R307" s="177">
        <f t="shared" si="103"/>
        <v>0.49708066030555043</v>
      </c>
      <c r="S307" s="799">
        <f t="shared" si="104"/>
        <v>-1</v>
      </c>
      <c r="T307" s="176">
        <f t="shared" si="105"/>
        <v>5</v>
      </c>
      <c r="U307" s="250">
        <f t="shared" si="106"/>
        <v>-0.50291933969444957</v>
      </c>
      <c r="V307" s="382">
        <f t="shared" si="107"/>
        <v>36.297697892185063</v>
      </c>
      <c r="W307" s="58"/>
      <c r="X307" s="157">
        <f t="shared" si="108"/>
        <v>44123</v>
      </c>
      <c r="Y307" s="383">
        <f t="shared" si="109"/>
        <v>29.86</v>
      </c>
      <c r="Z307" s="383">
        <f t="shared" si="110"/>
        <v>30.229663988073028</v>
      </c>
      <c r="AA307" s="384">
        <f t="shared" si="111"/>
        <v>31.679229447234714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4.5757598415583252E-2</v>
      </c>
      <c r="AD307" s="230">
        <f>(INDEX(Models!$BJ307:$BT307,,AH307)*(1-AF307)+INDEX(Models!$BJ307:$BT307,,AH307+1)*AF307-ERP_i)*AE307*Ramure*Pc/MaxiM</f>
        <v>9.9139279535067747E-4</v>
      </c>
      <c r="AE307" s="304">
        <f t="shared" si="113"/>
        <v>0.6</v>
      </c>
      <c r="AF307" s="177">
        <f t="shared" si="114"/>
        <v>0.49708066030555043</v>
      </c>
      <c r="AG307" s="176">
        <f t="shared" si="115"/>
        <v>-1</v>
      </c>
      <c r="AH307" s="176">
        <f t="shared" si="116"/>
        <v>5</v>
      </c>
      <c r="AI307" s="224">
        <f t="shared" si="117"/>
        <v>-0.50291933969444957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5.6079999999999997</v>
      </c>
      <c r="C308" s="388"/>
      <c r="D308" s="391">
        <f t="shared" si="99"/>
        <v>5.6775353205617822</v>
      </c>
      <c r="E308" s="383">
        <f t="shared" si="121"/>
        <v>5.9499282187248506</v>
      </c>
      <c r="F308" s="383">
        <f t="shared" si="100"/>
        <v>5.9499282187248506</v>
      </c>
      <c r="G308" s="110">
        <f t="shared" si="122"/>
        <v>0.15582651830011754</v>
      </c>
      <c r="H308" s="412" t="b">
        <f>Wh_hp&gt;='2019'!Maxi_hp</f>
        <v>0</v>
      </c>
      <c r="I308" s="388">
        <f>IF(H308,Wh_hp,'2019'!Maxi_hp)</f>
        <v>24.418087613545492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1.2247448344346323E-2</v>
      </c>
      <c r="M308" s="832"/>
      <c r="N308" s="832"/>
      <c r="O308" s="48">
        <f>IF(t&lt;Tnet,'2019'!Resal+('2019'!Salim-'2019'!Resal)*(1-EXP(('2019'!Tnet-t)/('2019'!Tau_j))),Resal+(Salim-Resal)*(1-EXP((Tnet-t)/(Tau_j))))*Salcycl</f>
        <v>4.5780871323090576E-2</v>
      </c>
      <c r="P308" s="169">
        <f>(INDEX(Models!$BJ308:$BT308,,T308)*(1-R308)+INDEX(Models!$BJ308:$BT308,,T308+1)*R308-ERP_i)*Q308*Ramure*Pc/MaxiM</f>
        <v>1.0286027836714062E-3</v>
      </c>
      <c r="Q308" s="304">
        <f t="shared" si="102"/>
        <v>0.6</v>
      </c>
      <c r="R308" s="177">
        <f t="shared" si="103"/>
        <v>0.49716876150083578</v>
      </c>
      <c r="S308" s="799">
        <f t="shared" si="104"/>
        <v>-1</v>
      </c>
      <c r="T308" s="176">
        <f t="shared" si="105"/>
        <v>5</v>
      </c>
      <c r="U308" s="250">
        <f t="shared" si="106"/>
        <v>-0.50283123849916422</v>
      </c>
      <c r="V308" s="382">
        <f t="shared" si="107"/>
        <v>35.951721547159437</v>
      </c>
      <c r="W308" s="58"/>
      <c r="X308" s="157">
        <f t="shared" si="108"/>
        <v>44124</v>
      </c>
      <c r="Y308" s="383">
        <f t="shared" si="109"/>
        <v>5.6079999999999997</v>
      </c>
      <c r="Z308" s="383">
        <f t="shared" si="110"/>
        <v>5.6775353205617822</v>
      </c>
      <c r="AA308" s="384">
        <f t="shared" si="111"/>
        <v>5.9499282187248506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4.5780871323090576E-2</v>
      </c>
      <c r="AD308" s="230">
        <f>(INDEX(Models!$BJ308:$BT308,,AH308)*(1-AF308)+INDEX(Models!$BJ308:$BT308,,AH308+1)*AF308-ERP_i)*AE308*Ramure*Pc/MaxiM</f>
        <v>1.0286027836714062E-3</v>
      </c>
      <c r="AE308" s="304">
        <f t="shared" si="113"/>
        <v>0.6</v>
      </c>
      <c r="AF308" s="177">
        <f t="shared" si="114"/>
        <v>0.49716876150083578</v>
      </c>
      <c r="AG308" s="176">
        <f t="shared" si="115"/>
        <v>-1</v>
      </c>
      <c r="AH308" s="176">
        <f t="shared" si="116"/>
        <v>5</v>
      </c>
      <c r="AI308" s="224">
        <f t="shared" si="117"/>
        <v>-0.50283123849916422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24.57</v>
      </c>
      <c r="C309" s="388"/>
      <c r="D309" s="391">
        <f t="shared" si="99"/>
        <v>24.875127729393903</v>
      </c>
      <c r="E309" s="383">
        <f t="shared" si="121"/>
        <v>26.069189761299306</v>
      </c>
      <c r="F309" s="383">
        <f t="shared" si="100"/>
        <v>26.084679596950284</v>
      </c>
      <c r="G309" s="110">
        <f t="shared" si="122"/>
        <v>0.68971645119090863</v>
      </c>
      <c r="H309" s="412" t="b">
        <f>Wh_hp&gt;='2019'!Maxi_hp</f>
        <v>1</v>
      </c>
      <c r="I309" s="388">
        <f>IF(H309,Wh_hp,'2019'!Maxi_hp)</f>
        <v>26.084679596950284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1.226637839665623E-2</v>
      </c>
      <c r="M309" s="832"/>
      <c r="N309" s="832"/>
      <c r="O309" s="48">
        <f>IF(t&lt;Tnet,'2019'!Resal+('2019'!Salim-'2019'!Resal)*(1-EXP(('2019'!Tnet-t)/('2019'!Tau_j))),Resal+(Salim-Resal)*(1-EXP((Tnet-t)/(Tau_j))))*Salcycl</f>
        <v>4.5803572832095969E-2</v>
      </c>
      <c r="P309" s="169">
        <f>(INDEX(Models!$BJ309:$BT309,,T309)*(1-R309)+INDEX(Models!$BJ309:$BT309,,T309+1)*R309-ERP_i)*Q309*Ramure*Pc/MaxiM</f>
        <v>1.0657311502976035E-3</v>
      </c>
      <c r="Q309" s="304">
        <f t="shared" si="102"/>
        <v>0.6</v>
      </c>
      <c r="R309" s="177">
        <f t="shared" si="103"/>
        <v>0.49725334476668159</v>
      </c>
      <c r="S309" s="799">
        <f t="shared" si="104"/>
        <v>-1</v>
      </c>
      <c r="T309" s="176">
        <f t="shared" si="105"/>
        <v>5</v>
      </c>
      <c r="U309" s="250">
        <f t="shared" si="106"/>
        <v>-0.50274665523331841</v>
      </c>
      <c r="V309" s="382">
        <f t="shared" si="107"/>
        <v>35.606513994406399</v>
      </c>
      <c r="W309" s="58"/>
      <c r="X309" s="157">
        <f t="shared" si="108"/>
        <v>44125</v>
      </c>
      <c r="Y309" s="383">
        <f t="shared" si="109"/>
        <v>24.57</v>
      </c>
      <c r="Z309" s="383">
        <f t="shared" si="110"/>
        <v>24.875127729393903</v>
      </c>
      <c r="AA309" s="384">
        <f t="shared" si="111"/>
        <v>26.069189761299306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4.5803572832095969E-2</v>
      </c>
      <c r="AD309" s="230">
        <f>(INDEX(Models!$BJ309:$BT309,,AH309)*(1-AF309)+INDEX(Models!$BJ309:$BT309,,AH309+1)*AF309-ERP_i)*AE309*Ramure*Pc/MaxiM</f>
        <v>1.0657311502976035E-3</v>
      </c>
      <c r="AE309" s="304">
        <f t="shared" si="113"/>
        <v>0.6</v>
      </c>
      <c r="AF309" s="177">
        <f t="shared" si="114"/>
        <v>0.49725334476668159</v>
      </c>
      <c r="AG309" s="176">
        <f t="shared" si="115"/>
        <v>-1</v>
      </c>
      <c r="AH309" s="176">
        <f t="shared" si="116"/>
        <v>5</v>
      </c>
      <c r="AI309" s="224">
        <f t="shared" si="117"/>
        <v>-0.50274665523331841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4.9950000000000001</v>
      </c>
      <c r="C310" s="388"/>
      <c r="D310" s="391">
        <f t="shared" si="99"/>
        <v>5.0571283801818785</v>
      </c>
      <c r="E310" s="383">
        <f t="shared" si="121"/>
        <v>5.3000049921370316</v>
      </c>
      <c r="F310" s="383">
        <f t="shared" si="100"/>
        <v>5.3000049921370316</v>
      </c>
      <c r="G310" s="110">
        <f t="shared" si="122"/>
        <v>0.14149532500728981</v>
      </c>
      <c r="H310" s="412" t="b">
        <f>Wh_hp&gt;='2019'!Maxi_hp</f>
        <v>0</v>
      </c>
      <c r="I310" s="388">
        <f>IF(H310,Wh_hp,'2019'!Maxi_hp)</f>
        <v>18.032818335876019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1.2285308086176006E-2</v>
      </c>
      <c r="M310" s="832"/>
      <c r="N310" s="832"/>
      <c r="O310" s="48">
        <f>IF(t&lt;Tnet,'2019'!Resal+('2019'!Salim-'2019'!Resal)*(1-EXP(('2019'!Tnet-t)/('2019'!Tau_j))),Resal+(Salim-Resal)*(1-EXP((Tnet-t)/(Tau_j))))*Salcycl</f>
        <v>4.5825732676757658E-2</v>
      </c>
      <c r="P310" s="169">
        <f>(INDEX(Models!$BJ310:$BT310,,T310)*(1-R310)+INDEX(Models!$BJ310:$BT310,,T310+1)*R310-ERP_i)*Q310*Ramure*Pc/MaxiM</f>
        <v>1.1018000847465576E-3</v>
      </c>
      <c r="Q310" s="304">
        <f t="shared" si="102"/>
        <v>0.6</v>
      </c>
      <c r="R310" s="177">
        <f t="shared" si="103"/>
        <v>0.49733454944850342</v>
      </c>
      <c r="S310" s="799">
        <f t="shared" si="104"/>
        <v>-1</v>
      </c>
      <c r="T310" s="176">
        <f t="shared" si="105"/>
        <v>5</v>
      </c>
      <c r="U310" s="250">
        <f t="shared" si="106"/>
        <v>-0.50266545055149658</v>
      </c>
      <c r="V310" s="382">
        <f t="shared" si="107"/>
        <v>35.262624459992814</v>
      </c>
      <c r="W310" s="58"/>
      <c r="X310" s="157">
        <f t="shared" si="108"/>
        <v>44126</v>
      </c>
      <c r="Y310" s="383">
        <f t="shared" si="109"/>
        <v>4.9950000000000001</v>
      </c>
      <c r="Z310" s="383">
        <f t="shared" si="110"/>
        <v>5.0571283801818785</v>
      </c>
      <c r="AA310" s="384">
        <f t="shared" si="111"/>
        <v>5.3000049921370316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4.5825732676757658E-2</v>
      </c>
      <c r="AD310" s="230">
        <f>(INDEX(Models!$BJ310:$BT310,,AH310)*(1-AF310)+INDEX(Models!$BJ310:$BT310,,AH310+1)*AF310-ERP_i)*AE310*Ramure*Pc/MaxiM</f>
        <v>1.1018000847465576E-3</v>
      </c>
      <c r="AE310" s="304">
        <f t="shared" si="113"/>
        <v>0.6</v>
      </c>
      <c r="AF310" s="177">
        <f t="shared" si="114"/>
        <v>0.49733454944850342</v>
      </c>
      <c r="AG310" s="176">
        <f t="shared" si="115"/>
        <v>-1</v>
      </c>
      <c r="AH310" s="176">
        <f t="shared" si="116"/>
        <v>5</v>
      </c>
      <c r="AI310" s="224">
        <f t="shared" si="117"/>
        <v>-0.50266545055149658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9.5969999999999995</v>
      </c>
      <c r="C311" s="388"/>
      <c r="D311" s="391">
        <f t="shared" si="99"/>
        <v>9.716554797058583</v>
      </c>
      <c r="E311" s="383">
        <f t="shared" si="121"/>
        <v>10.183438815122589</v>
      </c>
      <c r="F311" s="383">
        <f t="shared" si="100"/>
        <v>10.183438815122589</v>
      </c>
      <c r="G311" s="110">
        <f t="shared" si="122"/>
        <v>0.27451129844470179</v>
      </c>
      <c r="H311" s="412" t="b">
        <f>Wh_hp&gt;='2019'!Maxi_hp</f>
        <v>0</v>
      </c>
      <c r="I311" s="388">
        <f>IF(H311,Wh_hp,'2019'!Maxi_hp)</f>
        <v>17.785128153170593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1.2304237412912644E-2</v>
      </c>
      <c r="M311" s="832"/>
      <c r="N311" s="832"/>
      <c r="O311" s="48">
        <f>IF(t&lt;Tnet,'2019'!Resal+('2019'!Salim-'2019'!Resal)*(1-EXP(('2019'!Tnet-t)/('2019'!Tau_j))),Resal+(Salim-Resal)*(1-EXP((Tnet-t)/(Tau_j))))*Salcycl</f>
        <v>4.5847382847793466E-2</v>
      </c>
      <c r="P311" s="169">
        <f>(INDEX(Models!$BJ311:$BT311,,T311)*(1-R311)+INDEX(Models!$BJ311:$BT311,,T311+1)*R311-ERP_i)*Q311*Ramure*Pc/MaxiM</f>
        <v>1.13629596439666E-3</v>
      </c>
      <c r="Q311" s="304">
        <f t="shared" si="102"/>
        <v>0.6</v>
      </c>
      <c r="R311" s="177">
        <f t="shared" si="103"/>
        <v>0.4974125094608961</v>
      </c>
      <c r="S311" s="799">
        <f t="shared" si="104"/>
        <v>-1</v>
      </c>
      <c r="T311" s="176">
        <f t="shared" si="105"/>
        <v>5</v>
      </c>
      <c r="U311" s="250">
        <f t="shared" si="106"/>
        <v>-0.5025874905391039</v>
      </c>
      <c r="V311" s="382">
        <f t="shared" si="107"/>
        <v>34.92058440560227</v>
      </c>
      <c r="W311" s="58"/>
      <c r="X311" s="157">
        <f t="shared" si="108"/>
        <v>44127</v>
      </c>
      <c r="Y311" s="383">
        <f t="shared" si="109"/>
        <v>9.5969999999999995</v>
      </c>
      <c r="Z311" s="383">
        <f t="shared" si="110"/>
        <v>9.716554797058583</v>
      </c>
      <c r="AA311" s="384">
        <f t="shared" si="111"/>
        <v>10.183438815122589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4.5847382847793466E-2</v>
      </c>
      <c r="AD311" s="230">
        <f>(INDEX(Models!$BJ311:$BT311,,AH311)*(1-AF311)+INDEX(Models!$BJ311:$BT311,,AH311+1)*AF311-ERP_i)*AE311*Ramure*Pc/MaxiM</f>
        <v>1.13629596439666E-3</v>
      </c>
      <c r="AE311" s="304">
        <f t="shared" si="113"/>
        <v>0.6</v>
      </c>
      <c r="AF311" s="177">
        <f t="shared" si="114"/>
        <v>0.4974125094608961</v>
      </c>
      <c r="AG311" s="176">
        <f t="shared" si="115"/>
        <v>-1</v>
      </c>
      <c r="AH311" s="176">
        <f t="shared" si="116"/>
        <v>5</v>
      </c>
      <c r="AI311" s="224">
        <f t="shared" si="117"/>
        <v>-0.5025874905391039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30.431999999999999</v>
      </c>
      <c r="C312" s="388"/>
      <c r="D312" s="391">
        <f t="shared" si="99"/>
        <v>30.811697676825428</v>
      </c>
      <c r="E312" s="383">
        <f t="shared" si="121"/>
        <v>32.292927687501482</v>
      </c>
      <c r="F312" s="383">
        <f t="shared" si="100"/>
        <v>32.324243434315413</v>
      </c>
      <c r="G312" s="110">
        <f t="shared" si="122"/>
        <v>0.87984665286173136</v>
      </c>
      <c r="H312" s="412" t="b">
        <f>Wh_hp&gt;='2019'!Maxi_hp</f>
        <v>1</v>
      </c>
      <c r="I312" s="388">
        <f>IF(H312,Wh_hp,'2019'!Maxi_hp)</f>
        <v>32.324243434315413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1.2323166376872918E-2</v>
      </c>
      <c r="M312" s="832"/>
      <c r="N312" s="832"/>
      <c r="O312" s="48">
        <f>IF(t&lt;Tnet,'2019'!Resal+('2019'!Salim-'2019'!Resal)*(1-EXP(('2019'!Tnet-t)/('2019'!Tau_j))),Resal+(Salim-Resal)*(1-EXP((Tnet-t)/(Tau_j))))*Salcycl</f>
        <v>4.5868557506148523E-2</v>
      </c>
      <c r="P312" s="169">
        <f>(INDEX(Models!$BJ312:$BT312,,T312)*(1-R312)+INDEX(Models!$BJ312:$BT312,,T312+1)*R312-ERP_i)*Q312*Ramure*Pc/MaxiM</f>
        <v>1.1691953983424209E-3</v>
      </c>
      <c r="Q312" s="304">
        <f t="shared" si="102"/>
        <v>0.6</v>
      </c>
      <c r="R312" s="177">
        <f t="shared" si="103"/>
        <v>0.49748735349230433</v>
      </c>
      <c r="S312" s="799">
        <f t="shared" si="104"/>
        <v>-1</v>
      </c>
      <c r="T312" s="176">
        <f t="shared" si="105"/>
        <v>5</v>
      </c>
      <c r="U312" s="250">
        <f t="shared" si="106"/>
        <v>-0.50251264650769567</v>
      </c>
      <c r="V312" s="382">
        <f t="shared" si="107"/>
        <v>34.580907449061513</v>
      </c>
      <c r="W312" s="58"/>
      <c r="X312" s="157">
        <f t="shared" si="108"/>
        <v>44128</v>
      </c>
      <c r="Y312" s="383">
        <f t="shared" si="109"/>
        <v>30.431999999999995</v>
      </c>
      <c r="Z312" s="383">
        <f t="shared" si="110"/>
        <v>30.811697676825425</v>
      </c>
      <c r="AA312" s="384">
        <f t="shared" si="111"/>
        <v>32.292927687501482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4.5868557506148523E-2</v>
      </c>
      <c r="AD312" s="230">
        <f>(INDEX(Models!$BJ312:$BT312,,AH312)*(1-AF312)+INDEX(Models!$BJ312:$BT312,,AH312+1)*AF312-ERP_i)*AE312*Ramure*Pc/MaxiM</f>
        <v>1.1691953983424209E-3</v>
      </c>
      <c r="AE312" s="304">
        <f t="shared" si="113"/>
        <v>0.6</v>
      </c>
      <c r="AF312" s="177">
        <f t="shared" si="114"/>
        <v>0.49748735349230433</v>
      </c>
      <c r="AG312" s="176">
        <f t="shared" si="115"/>
        <v>-1</v>
      </c>
      <c r="AH312" s="176">
        <f t="shared" si="116"/>
        <v>5</v>
      </c>
      <c r="AI312" s="224">
        <f t="shared" si="117"/>
        <v>-0.50251264650769567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22.297999999999998</v>
      </c>
      <c r="C313" s="388"/>
      <c r="D313" s="391">
        <f t="shared" si="99"/>
        <v>22.576643073093976</v>
      </c>
      <c r="E313" s="383">
        <f t="shared" si="121"/>
        <v>23.662498392113363</v>
      </c>
      <c r="F313" s="383">
        <f t="shared" si="100"/>
        <v>23.676756603089075</v>
      </c>
      <c r="G313" s="110">
        <f t="shared" si="122"/>
        <v>0.65075873270924034</v>
      </c>
      <c r="H313" s="412" t="b">
        <f>Wh_hp&gt;='2019'!Maxi_hp</f>
        <v>0</v>
      </c>
      <c r="I313" s="388">
        <f>IF(H313,Wh_hp,'2019'!Maxi_hp)</f>
        <v>35.899581400046522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1.2342094978064044E-2</v>
      </c>
      <c r="M313" s="832"/>
      <c r="N313" s="832"/>
      <c r="O313" s="48">
        <f>IF(t&lt;Tnet,'2019'!Resal+('2019'!Salim-'2019'!Resal)*(1-EXP(('2019'!Tnet-t)/('2019'!Tau_j))),Resal+(Salim-Resal)*(1-EXP((Tnet-t)/(Tau_j))))*Salcycl</f>
        <v>4.5889292881317274E-2</v>
      </c>
      <c r="P313" s="169">
        <f>(INDEX(Models!$BJ313:$BT313,,T313)*(1-R313)+INDEX(Models!$BJ313:$BT313,,T313+1)*R313-ERP_i)*Q313*Ramure*Pc/MaxiM</f>
        <v>1.2004664230958297E-3</v>
      </c>
      <c r="Q313" s="304">
        <f t="shared" si="102"/>
        <v>0.6</v>
      </c>
      <c r="R313" s="177">
        <f t="shared" si="103"/>
        <v>0.49755920520253383</v>
      </c>
      <c r="S313" s="799">
        <f t="shared" si="104"/>
        <v>-1</v>
      </c>
      <c r="T313" s="176">
        <f t="shared" si="105"/>
        <v>5</v>
      </c>
      <c r="U313" s="250">
        <f t="shared" si="106"/>
        <v>-0.50244079479746617</v>
      </c>
      <c r="V313" s="382">
        <f t="shared" si="107"/>
        <v>34.24410731827993</v>
      </c>
      <c r="W313" s="58"/>
      <c r="X313" s="157">
        <f t="shared" si="108"/>
        <v>44129</v>
      </c>
      <c r="Y313" s="383">
        <f t="shared" si="109"/>
        <v>22.297999999999998</v>
      </c>
      <c r="Z313" s="383">
        <f t="shared" si="110"/>
        <v>22.576643073093976</v>
      </c>
      <c r="AA313" s="384">
        <f t="shared" si="111"/>
        <v>23.662498392113363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4.5889292881317274E-2</v>
      </c>
      <c r="AD313" s="230">
        <f>(INDEX(Models!$BJ313:$BT313,,AH313)*(1-AF313)+INDEX(Models!$BJ313:$BT313,,AH313+1)*AF313-ERP_i)*AE313*Ramure*Pc/MaxiM</f>
        <v>1.2004664230958297E-3</v>
      </c>
      <c r="AE313" s="304">
        <f t="shared" si="113"/>
        <v>0.6</v>
      </c>
      <c r="AF313" s="177">
        <f t="shared" si="114"/>
        <v>0.49755920520253383</v>
      </c>
      <c r="AG313" s="176">
        <f t="shared" si="115"/>
        <v>-1</v>
      </c>
      <c r="AH313" s="176">
        <f t="shared" si="116"/>
        <v>5</v>
      </c>
      <c r="AI313" s="224">
        <f t="shared" si="117"/>
        <v>-0.50244079479746617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23.433</v>
      </c>
      <c r="C314" s="388"/>
      <c r="D314" s="391">
        <f t="shared" si="99"/>
        <v>23.726281111662292</v>
      </c>
      <c r="E314" s="383">
        <f t="shared" si="121"/>
        <v>24.867959877748476</v>
      </c>
      <c r="F314" s="383">
        <f t="shared" si="100"/>
        <v>24.885058970048526</v>
      </c>
      <c r="G314" s="110">
        <f t="shared" si="122"/>
        <v>0.69064542722207078</v>
      </c>
      <c r="H314" s="412" t="b">
        <f>Wh_hp&gt;='2019'!Maxi_hp</f>
        <v>1</v>
      </c>
      <c r="I314" s="388">
        <f>IF(H314,Wh_hp,'2019'!Maxi_hp)</f>
        <v>24.885058970048526</v>
      </c>
      <c r="J314" s="85">
        <f>IF(H314,An,'2019'!An_max)</f>
        <v>2020</v>
      </c>
      <c r="K314" s="197">
        <f t="shared" si="101"/>
        <v>44130</v>
      </c>
      <c r="L314" s="147">
        <f>IF(t&lt;Tvie,1-EXP((T0-t)*PertePVj)+'2019'!Pspv,1-EXP((T0-t)*PertePVj)+Pspv)</f>
        <v>1.2361023216492795E-2</v>
      </c>
      <c r="M314" s="832"/>
      <c r="N314" s="832"/>
      <c r="O314" s="48">
        <f>IF(t&lt;Tnet,'2019'!Resal+('2019'!Salim-'2019'!Resal)*(1-EXP(('2019'!Tnet-t)/('2019'!Tau_j))),Resal+(Salim-Resal)*(1-EXP((Tnet-t)/(Tau_j))))*Salcycl</f>
        <v>4.590962715472853E-2</v>
      </c>
      <c r="P314" s="169">
        <f>(INDEX(Models!$BJ314:$BT314,,T314)*(1-R314)+INDEX(Models!$BJ314:$BT314,,T314+1)*R314-ERP_i)*Q314*Ramure*Pc/MaxiM</f>
        <v>1.2300775027182982E-3</v>
      </c>
      <c r="Q314" s="304">
        <f t="shared" si="102"/>
        <v>0.6</v>
      </c>
      <c r="R314" s="177">
        <f t="shared" si="103"/>
        <v>0.49762818341331116</v>
      </c>
      <c r="S314" s="799">
        <f t="shared" si="104"/>
        <v>-1</v>
      </c>
      <c r="T314" s="176">
        <f t="shared" si="105"/>
        <v>5</v>
      </c>
      <c r="U314" s="250">
        <f t="shared" si="106"/>
        <v>-0.50237181658668884</v>
      </c>
      <c r="V314" s="382">
        <f t="shared" si="107"/>
        <v>33.910697547348541</v>
      </c>
      <c r="W314" s="58"/>
      <c r="X314" s="157">
        <f t="shared" si="108"/>
        <v>44130</v>
      </c>
      <c r="Y314" s="383">
        <f t="shared" si="109"/>
        <v>23.433</v>
      </c>
      <c r="Z314" s="383">
        <f t="shared" si="110"/>
        <v>23.726281111662292</v>
      </c>
      <c r="AA314" s="384">
        <f t="shared" si="111"/>
        <v>24.867959877748476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4.590962715472853E-2</v>
      </c>
      <c r="AD314" s="230">
        <f>(INDEX(Models!$BJ314:$BT314,,AH314)*(1-AF314)+INDEX(Models!$BJ314:$BT314,,AH314+1)*AF314-ERP_i)*AE314*Ramure*Pc/MaxiM</f>
        <v>1.2300775027182982E-3</v>
      </c>
      <c r="AE314" s="304">
        <f t="shared" si="113"/>
        <v>0.6</v>
      </c>
      <c r="AF314" s="177">
        <f t="shared" si="114"/>
        <v>0.49762818341331116</v>
      </c>
      <c r="AG314" s="176">
        <f t="shared" si="115"/>
        <v>-1</v>
      </c>
      <c r="AH314" s="176">
        <f t="shared" si="116"/>
        <v>5</v>
      </c>
      <c r="AI314" s="224">
        <f t="shared" si="117"/>
        <v>-0.50237181658668884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24.466000000000001</v>
      </c>
      <c r="C315" s="388"/>
      <c r="D315" s="391">
        <f t="shared" si="99"/>
        <v>24.772684624067615</v>
      </c>
      <c r="E315" s="383">
        <f t="shared" si="121"/>
        <v>25.965258572745991</v>
      </c>
      <c r="F315" s="383">
        <f t="shared" si="100"/>
        <v>25.985272086310616</v>
      </c>
      <c r="G315" s="110">
        <f t="shared" si="122"/>
        <v>0.72820691977137275</v>
      </c>
      <c r="H315" s="412" t="b">
        <f>Wh_hp&gt;='2019'!Maxi_hp</f>
        <v>1</v>
      </c>
      <c r="I315" s="388">
        <f>IF(H315,Wh_hp,'2019'!Maxi_hp)</f>
        <v>25.985272086310616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1.2379951092166164E-2</v>
      </c>
      <c r="M315" s="832"/>
      <c r="N315" s="832"/>
      <c r="O315" s="48">
        <f>IF(t&lt;Tnet,'2019'!Resal+('2019'!Salim-'2019'!Resal)*(1-EXP(('2019'!Tnet-t)/('2019'!Tau_j))),Resal+(Salim-Resal)*(1-EXP((Tnet-t)/(Tau_j))))*Salcycl</f>
        <v>4.5929600328730842E-2</v>
      </c>
      <c r="P315" s="169">
        <f>(INDEX(Models!$BJ315:$BT315,,T315)*(1-R315)+INDEX(Models!$BJ315:$BT315,,T315+1)*R315-ERP_i)*Q315*Ramure*Pc/MaxiM</f>
        <v>1.2579977048596661E-3</v>
      </c>
      <c r="Q315" s="304">
        <f t="shared" si="102"/>
        <v>0.6</v>
      </c>
      <c r="R315" s="177">
        <f t="shared" si="103"/>
        <v>0.49769440229209327</v>
      </c>
      <c r="S315" s="799">
        <f t="shared" si="104"/>
        <v>-1</v>
      </c>
      <c r="T315" s="176">
        <f t="shared" si="105"/>
        <v>5</v>
      </c>
      <c r="U315" s="250">
        <f t="shared" si="106"/>
        <v>-0.50230559770790673</v>
      </c>
      <c r="V315" s="382">
        <f t="shared" si="107"/>
        <v>33.581191492923196</v>
      </c>
      <c r="W315" s="58"/>
      <c r="X315" s="157">
        <f t="shared" si="108"/>
        <v>44131</v>
      </c>
      <c r="Y315" s="383">
        <f t="shared" si="109"/>
        <v>24.466000000000001</v>
      </c>
      <c r="Z315" s="383">
        <f t="shared" si="110"/>
        <v>24.772684624067615</v>
      </c>
      <c r="AA315" s="384">
        <f t="shared" si="111"/>
        <v>25.965258572745991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4.5929600328730842E-2</v>
      </c>
      <c r="AD315" s="230">
        <f>(INDEX(Models!$BJ315:$BT315,,AH315)*(1-AF315)+INDEX(Models!$BJ315:$BT315,,AH315+1)*AF315-ERP_i)*AE315*Ramure*Pc/MaxiM</f>
        <v>1.2579977048596661E-3</v>
      </c>
      <c r="AE315" s="304">
        <f t="shared" si="113"/>
        <v>0.6</v>
      </c>
      <c r="AF315" s="177">
        <f t="shared" si="114"/>
        <v>0.49769440229209327</v>
      </c>
      <c r="AG315" s="176">
        <f t="shared" si="115"/>
        <v>-1</v>
      </c>
      <c r="AH315" s="176">
        <f t="shared" si="116"/>
        <v>5</v>
      </c>
      <c r="AI315" s="224">
        <f t="shared" si="117"/>
        <v>-0.50230559770790673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13.099</v>
      </c>
      <c r="C316" s="388"/>
      <c r="D316" s="391">
        <f t="shared" si="99"/>
        <v>13.263451930369108</v>
      </c>
      <c r="E316" s="383">
        <f t="shared" si="121"/>
        <v>13.902249945420509</v>
      </c>
      <c r="F316" s="383">
        <f t="shared" si="100"/>
        <v>13.904644796800467</v>
      </c>
      <c r="G316" s="110">
        <f t="shared" si="122"/>
        <v>0.39344453993139666</v>
      </c>
      <c r="H316" s="412" t="b">
        <f>Wh_hp&gt;='2019'!Maxi_hp</f>
        <v>0</v>
      </c>
      <c r="I316" s="388">
        <f>IF(H316,Wh_hp,'2019'!Maxi_hp)</f>
        <v>29.777598995663187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1.2398878605091146E-2</v>
      </c>
      <c r="M316" s="832"/>
      <c r="N316" s="832"/>
      <c r="O316" s="48">
        <f>IF(t&lt;Tnet,'2019'!Resal+('2019'!Salim-'2019'!Resal)*(1-EXP(('2019'!Tnet-t)/('2019'!Tau_j))),Resal+(Salim-Resal)*(1-EXP((Tnet-t)/(Tau_j))))*Salcycl</f>
        <v>4.594925408184198E-2</v>
      </c>
      <c r="P316" s="169">
        <f>(INDEX(Models!$BJ316:$BT316,,T316)*(1-R316)+INDEX(Models!$BJ316:$BT316,,T316+1)*R316-ERP_i)*Q316*Ramure*Pc/MaxiM</f>
        <v>1.2841968719089726E-3</v>
      </c>
      <c r="Q316" s="304">
        <f t="shared" si="102"/>
        <v>0.6</v>
      </c>
      <c r="R316" s="177">
        <f t="shared" si="103"/>
        <v>0.49775797152932943</v>
      </c>
      <c r="S316" s="799">
        <f t="shared" si="104"/>
        <v>-1</v>
      </c>
      <c r="T316" s="176">
        <f t="shared" si="105"/>
        <v>5</v>
      </c>
      <c r="U316" s="250">
        <f t="shared" si="106"/>
        <v>-0.50224202847067057</v>
      </c>
      <c r="V316" s="382">
        <f t="shared" si="107"/>
        <v>33.256102347633728</v>
      </c>
      <c r="W316" s="58"/>
      <c r="X316" s="157">
        <f t="shared" si="108"/>
        <v>44132</v>
      </c>
      <c r="Y316" s="383">
        <f t="shared" si="109"/>
        <v>13.099</v>
      </c>
      <c r="Z316" s="383">
        <f t="shared" si="110"/>
        <v>13.263451930369108</v>
      </c>
      <c r="AA316" s="384">
        <f t="shared" si="111"/>
        <v>13.902249945420509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4.594925408184198E-2</v>
      </c>
      <c r="AD316" s="230">
        <f>(INDEX(Models!$BJ316:$BT316,,AH316)*(1-AF316)+INDEX(Models!$BJ316:$BT316,,AH316+1)*AF316-ERP_i)*AE316*Ramure*Pc/MaxiM</f>
        <v>1.2841968719089726E-3</v>
      </c>
      <c r="AE316" s="304">
        <f t="shared" si="113"/>
        <v>0.6</v>
      </c>
      <c r="AF316" s="177">
        <f t="shared" si="114"/>
        <v>0.49775797152932943</v>
      </c>
      <c r="AG316" s="176">
        <f t="shared" si="115"/>
        <v>-1</v>
      </c>
      <c r="AH316" s="176">
        <f t="shared" si="116"/>
        <v>5</v>
      </c>
      <c r="AI316" s="224">
        <f t="shared" si="117"/>
        <v>-0.50224202847067057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26.818000000000001</v>
      </c>
      <c r="C317" s="388"/>
      <c r="D317" s="391">
        <f t="shared" si="99"/>
        <v>27.155208099422694</v>
      </c>
      <c r="E317" s="383">
        <f t="shared" si="121"/>
        <v>28.463642810067132</v>
      </c>
      <c r="F317" s="383">
        <f t="shared" si="100"/>
        <v>28.491037803008169</v>
      </c>
      <c r="G317" s="110">
        <f t="shared" si="122"/>
        <v>0.8140128067755501</v>
      </c>
      <c r="H317" s="412" t="b">
        <f>Wh_hp&gt;='2019'!Maxi_hp</f>
        <v>1</v>
      </c>
      <c r="I317" s="388">
        <f>IF(H317,Wh_hp,'2019'!Maxi_hp)</f>
        <v>28.491037803008169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1.2417805755274736E-2</v>
      </c>
      <c r="M317" s="832"/>
      <c r="N317" s="832"/>
      <c r="O317" s="48">
        <f>IF(t&lt;Tnet,'2019'!Resal+('2019'!Salim-'2019'!Resal)*(1-EXP(('2019'!Tnet-t)/('2019'!Tau_j))),Resal+(Salim-Resal)*(1-EXP((Tnet-t)/(Tau_j))))*Salcycl</f>
        <v>4.5968631611048229E-2</v>
      </c>
      <c r="P317" s="169">
        <f>(INDEX(Models!$BJ317:$BT317,,T317)*(1-R317)+INDEX(Models!$BJ317:$BT317,,T317+1)*R317-ERP_i)*Q317*Ramure*Pc/MaxiM</f>
        <v>1.3087237645688821E-3</v>
      </c>
      <c r="Q317" s="304">
        <f t="shared" si="102"/>
        <v>0.6</v>
      </c>
      <c r="R317" s="177">
        <f t="shared" si="103"/>
        <v>0.497818996509372</v>
      </c>
      <c r="S317" s="799">
        <f t="shared" si="104"/>
        <v>-1</v>
      </c>
      <c r="T317" s="176">
        <f t="shared" si="105"/>
        <v>5</v>
      </c>
      <c r="U317" s="250">
        <f t="shared" si="106"/>
        <v>-0.502181003490628</v>
      </c>
      <c r="V317" s="382">
        <f t="shared" si="107"/>
        <v>32.933978161109025</v>
      </c>
      <c r="W317" s="58"/>
      <c r="X317" s="157">
        <f t="shared" si="108"/>
        <v>44133</v>
      </c>
      <c r="Y317" s="383">
        <f t="shared" si="109"/>
        <v>26.818000000000001</v>
      </c>
      <c r="Z317" s="383">
        <f t="shared" si="110"/>
        <v>27.155208099422694</v>
      </c>
      <c r="AA317" s="384">
        <f t="shared" si="111"/>
        <v>28.463642810067132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4.5968631611048229E-2</v>
      </c>
      <c r="AD317" s="230">
        <f>(INDEX(Models!$BJ317:$BT317,,AH317)*(1-AF317)+INDEX(Models!$BJ317:$BT317,,AH317+1)*AF317-ERP_i)*AE317*Ramure*Pc/MaxiM</f>
        <v>1.3087237645688821E-3</v>
      </c>
      <c r="AE317" s="304">
        <f t="shared" si="113"/>
        <v>0.6</v>
      </c>
      <c r="AF317" s="177">
        <f t="shared" si="114"/>
        <v>0.497818996509372</v>
      </c>
      <c r="AG317" s="176">
        <f t="shared" si="115"/>
        <v>-1</v>
      </c>
      <c r="AH317" s="176">
        <f t="shared" si="116"/>
        <v>5</v>
      </c>
      <c r="AI317" s="224">
        <f t="shared" si="117"/>
        <v>-0.502181003490628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32.104999999999997</v>
      </c>
      <c r="C318" s="388"/>
      <c r="D318" s="391">
        <f t="shared" si="99"/>
        <v>32.509309588500784</v>
      </c>
      <c r="E318" s="383">
        <f t="shared" si="121"/>
        <v>34.076407849384537</v>
      </c>
      <c r="F318" s="383">
        <f t="shared" si="100"/>
        <v>34.120858369867321</v>
      </c>
      <c r="G318" s="110">
        <f t="shared" si="122"/>
        <v>0.98438797742065753</v>
      </c>
      <c r="H318" s="412" t="b">
        <f>Wh_hp&gt;='2019'!Maxi_hp</f>
        <v>1</v>
      </c>
      <c r="I318" s="388">
        <f>IF(H318,Wh_hp,'2019'!Maxi_hp)</f>
        <v>34.120858369867321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1.2436732542723705E-2</v>
      </c>
      <c r="M318" s="832"/>
      <c r="N318" s="832"/>
      <c r="O318" s="48">
        <f>IF(t&lt;Tnet,'2019'!Resal+('2019'!Salim-'2019'!Resal)*(1-EXP(('2019'!Tnet-t)/('2019'!Tau_j))),Resal+(Salim-Resal)*(1-EXP((Tnet-t)/(Tau_j))))*Salcycl</f>
        <v>4.5987777462056047E-2</v>
      </c>
      <c r="P318" s="169">
        <f>(INDEX(Models!$BJ318:$BT318,,T318)*(1-R318)+INDEX(Models!$BJ318:$BT318,,T318+1)*R318-ERP_i)*Q318*Ramure*Pc/MaxiM</f>
        <v>1.3323981421839819E-3</v>
      </c>
      <c r="Q318" s="304">
        <f t="shared" si="102"/>
        <v>0.6</v>
      </c>
      <c r="R318" s="177">
        <f t="shared" si="103"/>
        <v>0.49787757847523295</v>
      </c>
      <c r="S318" s="799">
        <f t="shared" si="104"/>
        <v>-1</v>
      </c>
      <c r="T318" s="176">
        <f t="shared" si="105"/>
        <v>5</v>
      </c>
      <c r="U318" s="250">
        <f t="shared" si="106"/>
        <v>-0.50212242152476705</v>
      </c>
      <c r="V318" s="382">
        <f t="shared" si="107"/>
        <v>32.613204588165836</v>
      </c>
      <c r="W318" s="58"/>
      <c r="X318" s="157">
        <f t="shared" si="108"/>
        <v>44134</v>
      </c>
      <c r="Y318" s="383">
        <f t="shared" si="109"/>
        <v>32.104999999999997</v>
      </c>
      <c r="Z318" s="383">
        <f t="shared" si="110"/>
        <v>32.509309588500784</v>
      </c>
      <c r="AA318" s="384">
        <f t="shared" si="111"/>
        <v>34.076407849384537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4.5987777462056047E-2</v>
      </c>
      <c r="AD318" s="230">
        <f>(INDEX(Models!$BJ318:$BT318,,AH318)*(1-AF318)+INDEX(Models!$BJ318:$BT318,,AH318+1)*AF318-ERP_i)*AE318*Ramure*Pc/MaxiM</f>
        <v>1.3323981421839819E-3</v>
      </c>
      <c r="AE318" s="304">
        <f t="shared" si="113"/>
        <v>0.6</v>
      </c>
      <c r="AF318" s="177">
        <f t="shared" si="114"/>
        <v>0.49787757847523295</v>
      </c>
      <c r="AG318" s="176">
        <f t="shared" si="115"/>
        <v>-1</v>
      </c>
      <c r="AH318" s="176">
        <f t="shared" si="116"/>
        <v>5</v>
      </c>
      <c r="AI318" s="224">
        <f t="shared" si="117"/>
        <v>-0.50212242152476705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30.908000000000001</v>
      </c>
      <c r="C319" s="388"/>
      <c r="D319" s="391">
        <f t="shared" si="99"/>
        <v>31.297835161187063</v>
      </c>
      <c r="E319" s="383">
        <f t="shared" si="121"/>
        <v>32.807186786832325</v>
      </c>
      <c r="F319" s="383">
        <f t="shared" si="100"/>
        <v>32.848992554762482</v>
      </c>
      <c r="G319" s="110">
        <f t="shared" si="122"/>
        <v>0.9570000728533824</v>
      </c>
      <c r="H319" s="412" t="b">
        <f>Wh_hp&gt;='2019'!Maxi_hp</f>
        <v>1</v>
      </c>
      <c r="I319" s="388">
        <f>IF(H319,Wh_hp,'2019'!Maxi_hp)</f>
        <v>32.848992554762482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1.245565896744516E-2</v>
      </c>
      <c r="M319" s="832"/>
      <c r="N319" s="832"/>
      <c r="O319" s="48">
        <f>IF(t&lt;Tnet,'2019'!Resal+('2019'!Salim-'2019'!Resal)*(1-EXP(('2019'!Tnet-t)/('2019'!Tau_j))),Resal+(Salim-Resal)*(1-EXP((Tnet-t)/(Tau_j))))*Salcycl</f>
        <v>4.6006737348508693E-2</v>
      </c>
      <c r="P319" s="169">
        <f>(INDEX(Models!$BJ319:$BT319,,T319)*(1-R319)+INDEX(Models!$BJ319:$BT319,,T319+1)*R319-ERP_i)*Q319*Ramure*Pc/MaxiM</f>
        <v>1.3557952762351941E-3</v>
      </c>
      <c r="Q319" s="304">
        <f t="shared" si="102"/>
        <v>0.6</v>
      </c>
      <c r="R319" s="177">
        <f t="shared" si="103"/>
        <v>0.49793381468737463</v>
      </c>
      <c r="S319" s="799">
        <f t="shared" si="104"/>
        <v>-1</v>
      </c>
      <c r="T319" s="176">
        <f t="shared" si="105"/>
        <v>5</v>
      </c>
      <c r="U319" s="250">
        <f t="shared" si="106"/>
        <v>-0.50206618531262537</v>
      </c>
      <c r="V319" s="382">
        <f t="shared" si="107"/>
        <v>32.294069996959848</v>
      </c>
      <c r="W319" s="58"/>
      <c r="X319" s="157">
        <f t="shared" si="108"/>
        <v>44135</v>
      </c>
      <c r="Y319" s="383">
        <f t="shared" si="109"/>
        <v>30.908000000000005</v>
      </c>
      <c r="Z319" s="383">
        <f t="shared" si="110"/>
        <v>31.297835161187066</v>
      </c>
      <c r="AA319" s="384">
        <f t="shared" si="111"/>
        <v>32.807186786832325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4.6006737348508693E-2</v>
      </c>
      <c r="AD319" s="230">
        <f>(INDEX(Models!$BJ319:$BT319,,AH319)*(1-AF319)+INDEX(Models!$BJ319:$BT319,,AH319+1)*AF319-ERP_i)*AE319*Ramure*Pc/MaxiM</f>
        <v>1.3557952762351941E-3</v>
      </c>
      <c r="AE319" s="304">
        <f t="shared" si="113"/>
        <v>0.6</v>
      </c>
      <c r="AF319" s="177">
        <f t="shared" si="114"/>
        <v>0.49793381468737463</v>
      </c>
      <c r="AG319" s="176">
        <f t="shared" si="115"/>
        <v>-1</v>
      </c>
      <c r="AH319" s="176">
        <f t="shared" si="116"/>
        <v>5</v>
      </c>
      <c r="AI319" s="224">
        <f t="shared" si="117"/>
        <v>-0.50206618531262537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27.364000000000001</v>
      </c>
      <c r="C320" s="388"/>
      <c r="D320" s="391">
        <f t="shared" si="99"/>
        <v>27.709666592040001</v>
      </c>
      <c r="E320" s="383">
        <f t="shared" si="121"/>
        <v>29.04655027531167</v>
      </c>
      <c r="F320" s="383">
        <f t="shared" si="100"/>
        <v>29.07838367630567</v>
      </c>
      <c r="G320" s="110">
        <f t="shared" si="122"/>
        <v>0.85549978083134526</v>
      </c>
      <c r="H320" s="412" t="b">
        <f>Wh_hp&gt;='2019'!Maxi_hp</f>
        <v>1</v>
      </c>
      <c r="I320" s="388">
        <f>IF(H320,Wh_hp,'2019'!Maxi_hp)</f>
        <v>29.07838367630567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1.2474585029445984E-2</v>
      </c>
      <c r="M320" s="832"/>
      <c r="N320" s="832"/>
      <c r="O320" s="48">
        <f>IF(t&lt;Tnet,'2019'!Resal+('2019'!Salim-'2019'!Resal)*(1-EXP(('2019'!Tnet-t)/('2019'!Tau_j))),Resal+(Salim-Resal)*(1-EXP((Tnet-t)/(Tau_j))))*Salcycl</f>
        <v>4.6025557961282722E-2</v>
      </c>
      <c r="P320" s="169">
        <f>(INDEX(Models!$BJ320:$BT320,,T320)*(1-R320)+INDEX(Models!$BJ320:$BT320,,T320+1)*R320-ERP_i)*Q320*Ramure*Pc/MaxiM</f>
        <v>1.3789122911487867E-3</v>
      </c>
      <c r="Q320" s="304">
        <f t="shared" si="102"/>
        <v>0.6</v>
      </c>
      <c r="R320" s="177">
        <f t="shared" si="103"/>
        <v>0.4979877985767287</v>
      </c>
      <c r="S320" s="799">
        <f t="shared" si="104"/>
        <v>-1</v>
      </c>
      <c r="T320" s="176">
        <f t="shared" si="105"/>
        <v>5</v>
      </c>
      <c r="U320" s="250">
        <f t="shared" si="106"/>
        <v>-0.5020122014232713</v>
      </c>
      <c r="V320" s="382">
        <f t="shared" si="107"/>
        <v>31.976881962873918</v>
      </c>
      <c r="W320" s="58"/>
      <c r="X320" s="157">
        <f t="shared" si="108"/>
        <v>44136</v>
      </c>
      <c r="Y320" s="383">
        <f t="shared" si="109"/>
        <v>27.364000000000001</v>
      </c>
      <c r="Z320" s="383">
        <f t="shared" si="110"/>
        <v>27.709666592040001</v>
      </c>
      <c r="AA320" s="384">
        <f t="shared" si="111"/>
        <v>29.04655027531167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4.6025557961282722E-2</v>
      </c>
      <c r="AD320" s="230">
        <f>(INDEX(Models!$BJ320:$BT320,,AH320)*(1-AF320)+INDEX(Models!$BJ320:$BT320,,AH320+1)*AF320-ERP_i)*AE320*Ramure*Pc/MaxiM</f>
        <v>1.3789122911487867E-3</v>
      </c>
      <c r="AE320" s="304">
        <f t="shared" si="113"/>
        <v>0.6</v>
      </c>
      <c r="AF320" s="177">
        <f t="shared" si="114"/>
        <v>0.4979877985767287</v>
      </c>
      <c r="AG320" s="176">
        <f t="shared" si="115"/>
        <v>-1</v>
      </c>
      <c r="AH320" s="176">
        <f t="shared" si="116"/>
        <v>5</v>
      </c>
      <c r="AI320" s="224">
        <f t="shared" si="117"/>
        <v>-0.5020122014232713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27.866</v>
      </c>
      <c r="C321" s="388"/>
      <c r="D321" s="391">
        <f t="shared" si="99"/>
        <v>28.21854874145059</v>
      </c>
      <c r="E321" s="383">
        <f t="shared" si="121"/>
        <v>29.58056474747448</v>
      </c>
      <c r="F321" s="383">
        <f t="shared" si="100"/>
        <v>29.614967506581426</v>
      </c>
      <c r="G321" s="110">
        <f t="shared" si="122"/>
        <v>0.87989855138119466</v>
      </c>
      <c r="H321" s="412" t="b">
        <f>Wh_hp&gt;='2019'!Maxi_hp</f>
        <v>1</v>
      </c>
      <c r="I321" s="388">
        <f>IF(H321,Wh_hp,'2019'!Maxi_hp)</f>
        <v>29.614967506581426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1.2493510728733059E-2</v>
      </c>
      <c r="M321" s="832"/>
      <c r="N321" s="832"/>
      <c r="O321" s="48">
        <f>IF(t&lt;Tnet,'2019'!Resal+('2019'!Salim-'2019'!Resal)*(1-EXP(('2019'!Tnet-t)/('2019'!Tau_j))),Resal+(Salim-Resal)*(1-EXP((Tnet-t)/(Tau_j))))*Salcycl</f>
        <v>4.604428676907444E-2</v>
      </c>
      <c r="P321" s="169">
        <f>(INDEX(Models!$BJ321:$BT321,,T321)*(1-R321)+INDEX(Models!$BJ321:$BT321,,T321+1)*R321-ERP_i)*Q321*Ramure*Pc/MaxiM</f>
        <v>1.4017469905042528E-3</v>
      </c>
      <c r="Q321" s="304">
        <f t="shared" si="102"/>
        <v>0.6</v>
      </c>
      <c r="R321" s="177">
        <f t="shared" si="103"/>
        <v>0.49803961989212198</v>
      </c>
      <c r="S321" s="799">
        <f t="shared" si="104"/>
        <v>-1</v>
      </c>
      <c r="T321" s="176">
        <f t="shared" si="105"/>
        <v>5</v>
      </c>
      <c r="U321" s="250">
        <f t="shared" si="106"/>
        <v>-0.50196038010787802</v>
      </c>
      <c r="V321" s="382">
        <f t="shared" si="107"/>
        <v>31.661947997941123</v>
      </c>
      <c r="W321" s="58"/>
      <c r="X321" s="157">
        <f t="shared" si="108"/>
        <v>44137</v>
      </c>
      <c r="Y321" s="383">
        <f t="shared" si="109"/>
        <v>27.866</v>
      </c>
      <c r="Z321" s="383">
        <f t="shared" si="110"/>
        <v>28.21854874145059</v>
      </c>
      <c r="AA321" s="384">
        <f t="shared" si="111"/>
        <v>29.58056474747448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4.604428676907444E-2</v>
      </c>
      <c r="AD321" s="230">
        <f>(INDEX(Models!$BJ321:$BT321,,AH321)*(1-AF321)+INDEX(Models!$BJ321:$BT321,,AH321+1)*AF321-ERP_i)*AE321*Ramure*Pc/MaxiM</f>
        <v>1.4017469905042528E-3</v>
      </c>
      <c r="AE321" s="304">
        <f t="shared" si="113"/>
        <v>0.6</v>
      </c>
      <c r="AF321" s="177">
        <f t="shared" si="114"/>
        <v>0.49803961989212198</v>
      </c>
      <c r="AG321" s="176">
        <f t="shared" si="115"/>
        <v>-1</v>
      </c>
      <c r="AH321" s="176">
        <f t="shared" si="116"/>
        <v>5</v>
      </c>
      <c r="AI321" s="224">
        <f t="shared" si="117"/>
        <v>-0.50196038010787802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5.1719999999999997</v>
      </c>
      <c r="C322" s="388"/>
      <c r="D322" s="391">
        <f t="shared" si="99"/>
        <v>5.2375343132342289</v>
      </c>
      <c r="E322" s="383">
        <f t="shared" si="121"/>
        <v>5.4904403104894079</v>
      </c>
      <c r="F322" s="383">
        <f t="shared" si="100"/>
        <v>5.4904403104894079</v>
      </c>
      <c r="G322" s="110">
        <f t="shared" si="122"/>
        <v>0.16474333188962775</v>
      </c>
      <c r="H322" s="412" t="b">
        <f>Wh_hp&gt;='2019'!Maxi_hp</f>
        <v>0</v>
      </c>
      <c r="I322" s="388">
        <f>IF(H322,Wh_hp,'2019'!Maxi_hp)</f>
        <v>12.452040044547871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1.2512436065313604E-2</v>
      </c>
      <c r="M322" s="832"/>
      <c r="N322" s="832"/>
      <c r="O322" s="48">
        <f>IF(t&lt;Tnet,'2019'!Resal+('2019'!Salim-'2019'!Resal)*(1-EXP(('2019'!Tnet-t)/('2019'!Tau_j))),Resal+(Salim-Resal)*(1-EXP((Tnet-t)/(Tau_j))))*Salcycl</f>
        <v>4.6062971811569556E-2</v>
      </c>
      <c r="P322" s="169">
        <f>(INDEX(Models!$BJ322:$BT322,,T322)*(1-R322)+INDEX(Models!$BJ322:$BT322,,T322+1)*R322-ERP_i)*Q322*Ramure*Pc/MaxiM</f>
        <v>1.4242978252041833E-3</v>
      </c>
      <c r="Q322" s="304">
        <f t="shared" si="102"/>
        <v>0.6</v>
      </c>
      <c r="R322" s="177">
        <f t="shared" si="103"/>
        <v>0.49808936484229438</v>
      </c>
      <c r="S322" s="799">
        <f t="shared" si="104"/>
        <v>-1</v>
      </c>
      <c r="T322" s="176">
        <f t="shared" si="105"/>
        <v>5</v>
      </c>
      <c r="U322" s="250">
        <f t="shared" si="106"/>
        <v>-0.50191063515770562</v>
      </c>
      <c r="V322" s="382">
        <f t="shared" si="107"/>
        <v>31.34957556344779</v>
      </c>
      <c r="W322" s="58"/>
      <c r="X322" s="157">
        <f t="shared" si="108"/>
        <v>44138</v>
      </c>
      <c r="Y322" s="383">
        <f t="shared" si="109"/>
        <v>5.1719999999999997</v>
      </c>
      <c r="Z322" s="383">
        <f t="shared" si="110"/>
        <v>5.2375343132342289</v>
      </c>
      <c r="AA322" s="384">
        <f t="shared" si="111"/>
        <v>5.4904403104894079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4.6062971811569556E-2</v>
      </c>
      <c r="AD322" s="230">
        <f>(INDEX(Models!$BJ322:$BT322,,AH322)*(1-AF322)+INDEX(Models!$BJ322:$BT322,,AH322+1)*AF322-ERP_i)*AE322*Ramure*Pc/MaxiM</f>
        <v>1.4242978252041833E-3</v>
      </c>
      <c r="AE322" s="304">
        <f t="shared" si="113"/>
        <v>0.6</v>
      </c>
      <c r="AF322" s="177">
        <f t="shared" si="114"/>
        <v>0.49808936484229438</v>
      </c>
      <c r="AG322" s="176">
        <f t="shared" si="115"/>
        <v>-1</v>
      </c>
      <c r="AH322" s="176">
        <f t="shared" si="116"/>
        <v>5</v>
      </c>
      <c r="AI322" s="224">
        <f t="shared" si="117"/>
        <v>-0.50191063515770562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15.654999999999999</v>
      </c>
      <c r="C323" s="388"/>
      <c r="D323" s="391">
        <f t="shared" si="99"/>
        <v>15.853668037979455</v>
      </c>
      <c r="E323" s="383">
        <f t="shared" si="121"/>
        <v>16.619523284021827</v>
      </c>
      <c r="F323" s="383">
        <f t="shared" si="100"/>
        <v>16.626544495845593</v>
      </c>
      <c r="G323" s="110">
        <f t="shared" si="122"/>
        <v>0.50383124647228494</v>
      </c>
      <c r="H323" s="412" t="b">
        <f>Wh_hp&gt;='2019'!Maxi_hp</f>
        <v>1</v>
      </c>
      <c r="I323" s="388">
        <f>IF(H323,Wh_hp,'2019'!Maxi_hp)</f>
        <v>16.626544495845593</v>
      </c>
      <c r="J323" s="85">
        <f>IF(H323,An,'2019'!An_max)</f>
        <v>2020</v>
      </c>
      <c r="K323" s="197">
        <f t="shared" si="101"/>
        <v>44139</v>
      </c>
      <c r="L323" s="147">
        <f>IF(t&lt;Tvie,1-EXP((T0-t)*PertePVj)+'2019'!Pspv,1-EXP((T0-t)*PertePVj)+Pspv)</f>
        <v>1.2531361039194278E-2</v>
      </c>
      <c r="M323" s="832"/>
      <c r="N323" s="832"/>
      <c r="O323" s="48">
        <f>IF(t&lt;Tnet,'2019'!Resal+('2019'!Salim-'2019'!Resal)*(1-EXP(('2019'!Tnet-t)/('2019'!Tau_j))),Resal+(Salim-Resal)*(1-EXP((Tnet-t)/(Tau_j))))*Salcycl</f>
        <v>4.6081661486564542E-2</v>
      </c>
      <c r="P323" s="169">
        <f>(INDEX(Models!$BJ323:$BT323,,T323)*(1-R323)+INDEX(Models!$BJ323:$BT323,,T323+1)*R323-ERP_i)*Q323*Ramure*Pc/MaxiM</f>
        <v>1.4465638471808536E-3</v>
      </c>
      <c r="Q323" s="304">
        <f t="shared" si="102"/>
        <v>0.6</v>
      </c>
      <c r="R323" s="177">
        <f t="shared" si="103"/>
        <v>0.49813711623268375</v>
      </c>
      <c r="S323" s="799">
        <f t="shared" si="104"/>
        <v>-1</v>
      </c>
      <c r="T323" s="176">
        <f t="shared" si="105"/>
        <v>5</v>
      </c>
      <c r="U323" s="250">
        <f t="shared" si="106"/>
        <v>-0.50186288376731625</v>
      </c>
      <c r="V323" s="382">
        <f t="shared" si="107"/>
        <v>31.040072082021748</v>
      </c>
      <c r="W323" s="58"/>
      <c r="X323" s="157">
        <f t="shared" si="108"/>
        <v>44139</v>
      </c>
      <c r="Y323" s="383">
        <f t="shared" si="109"/>
        <v>15.654999999999999</v>
      </c>
      <c r="Z323" s="383">
        <f t="shared" si="110"/>
        <v>15.853668037979455</v>
      </c>
      <c r="AA323" s="384">
        <f t="shared" si="111"/>
        <v>16.619523284021827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4.6081661486564542E-2</v>
      </c>
      <c r="AD323" s="230">
        <f>(INDEX(Models!$BJ323:$BT323,,AH323)*(1-AF323)+INDEX(Models!$BJ323:$BT323,,AH323+1)*AF323-ERP_i)*AE323*Ramure*Pc/MaxiM</f>
        <v>1.4465638471808536E-3</v>
      </c>
      <c r="AE323" s="304">
        <f t="shared" si="113"/>
        <v>0.6</v>
      </c>
      <c r="AF323" s="177">
        <f t="shared" si="114"/>
        <v>0.49813711623268375</v>
      </c>
      <c r="AG323" s="176">
        <f t="shared" si="115"/>
        <v>-1</v>
      </c>
      <c r="AH323" s="176">
        <f t="shared" si="116"/>
        <v>5</v>
      </c>
      <c r="AI323" s="224">
        <f t="shared" si="117"/>
        <v>-0.50186288376731625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23.021999999999998</v>
      </c>
      <c r="C324" s="388"/>
      <c r="D324" s="391">
        <f t="shared" si="99"/>
        <v>23.314604951973077</v>
      </c>
      <c r="E324" s="383">
        <f t="shared" si="121"/>
        <v>24.441361604370698</v>
      </c>
      <c r="F324" s="383">
        <f t="shared" si="100"/>
        <v>24.464414265930557</v>
      </c>
      <c r="G324" s="110">
        <f t="shared" si="122"/>
        <v>0.74868432937360219</v>
      </c>
      <c r="H324" s="412" t="b">
        <f>Wh_hp&gt;='2019'!Maxi_hp</f>
        <v>1</v>
      </c>
      <c r="I324" s="388">
        <f>IF(H324,Wh_hp,'2019'!Maxi_hp)</f>
        <v>24.464414265930557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1.2550285650382187E-2</v>
      </c>
      <c r="M324" s="832"/>
      <c r="N324" s="832"/>
      <c r="O324" s="48">
        <f>IF(t&lt;Tnet,'2019'!Resal+('2019'!Salim-'2019'!Resal)*(1-EXP(('2019'!Tnet-t)/('2019'!Tau_j))),Resal+(Salim-Resal)*(1-EXP((Tnet-t)/(Tau_j))))*Salcycl</f>
        <v>4.6100404332470993E-2</v>
      </c>
      <c r="P324" s="169">
        <f>(INDEX(Models!$BJ324:$BT324,,T324)*(1-R324)+INDEX(Models!$BJ324:$BT324,,T324+1)*R324-ERP_i)*Q324*Ramure*Pc/MaxiM</f>
        <v>1.4687959120281131E-3</v>
      </c>
      <c r="Q324" s="304">
        <f t="shared" si="102"/>
        <v>0.6</v>
      </c>
      <c r="R324" s="177">
        <f t="shared" si="103"/>
        <v>0.49818295359715292</v>
      </c>
      <c r="S324" s="799">
        <f t="shared" si="104"/>
        <v>-1</v>
      </c>
      <c r="T324" s="176">
        <f t="shared" si="105"/>
        <v>5</v>
      </c>
      <c r="U324" s="250">
        <f t="shared" si="106"/>
        <v>-0.50181704640284708</v>
      </c>
      <c r="V324" s="382">
        <f t="shared" si="107"/>
        <v>30.733737209536905</v>
      </c>
      <c r="W324" s="58"/>
      <c r="X324" s="157">
        <f t="shared" si="108"/>
        <v>44140</v>
      </c>
      <c r="Y324" s="383">
        <f t="shared" si="109"/>
        <v>23.021999999999998</v>
      </c>
      <c r="Z324" s="383">
        <f t="shared" si="110"/>
        <v>23.314604951973077</v>
      </c>
      <c r="AA324" s="384">
        <f t="shared" si="111"/>
        <v>24.441361604370698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4.6100404332470993E-2</v>
      </c>
      <c r="AD324" s="230">
        <f>(INDEX(Models!$BJ324:$BT324,,AH324)*(1-AF324)+INDEX(Models!$BJ324:$BT324,,AH324+1)*AF324-ERP_i)*AE324*Ramure*Pc/MaxiM</f>
        <v>1.4687959120281131E-3</v>
      </c>
      <c r="AE324" s="304">
        <f t="shared" si="113"/>
        <v>0.6</v>
      </c>
      <c r="AF324" s="177">
        <f t="shared" si="114"/>
        <v>0.49818295359715292</v>
      </c>
      <c r="AG324" s="176">
        <f t="shared" si="115"/>
        <v>-1</v>
      </c>
      <c r="AH324" s="176">
        <f t="shared" si="116"/>
        <v>5</v>
      </c>
      <c r="AI324" s="224">
        <f t="shared" si="117"/>
        <v>-0.50181704640284708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16.626000000000001</v>
      </c>
      <c r="C325" s="388"/>
      <c r="D325" s="391">
        <f t="shared" si="99"/>
        <v>16.837635778298395</v>
      </c>
      <c r="E325" s="383">
        <f t="shared" si="121"/>
        <v>17.65171983736121</v>
      </c>
      <c r="F325" s="383">
        <f t="shared" si="100"/>
        <v>17.660993083535338</v>
      </c>
      <c r="G325" s="110">
        <f t="shared" si="122"/>
        <v>0.54582492826267126</v>
      </c>
      <c r="H325" s="412" t="b">
        <f>Wh_hp&gt;='2019'!Maxi_hp</f>
        <v>1</v>
      </c>
      <c r="I325" s="388">
        <f>IF(H325,Wh_hp,'2019'!Maxi_hp)</f>
        <v>17.660993083535338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1.2569209898884215E-2</v>
      </c>
      <c r="M325" s="832"/>
      <c r="N325" s="832"/>
      <c r="O325" s="48">
        <f>IF(t&lt;Tnet,'2019'!Resal+('2019'!Salim-'2019'!Resal)*(1-EXP(('2019'!Tnet-t)/('2019'!Tau_j))),Resal+(Salim-Resal)*(1-EXP((Tnet-t)/(Tau_j))))*Salcycl</f>
        <v>4.6119248807685295E-2</v>
      </c>
      <c r="P325" s="169">
        <f>(INDEX(Models!$BJ325:$BT325,,T325)*(1-R325)+INDEX(Models!$BJ325:$BT325,,T325+1)*R325-ERP_i)*Q325*Ramure*Pc/MaxiM</f>
        <v>1.4919560462034671E-3</v>
      </c>
      <c r="Q325" s="304">
        <f t="shared" si="102"/>
        <v>0.6</v>
      </c>
      <c r="R325" s="177">
        <f t="shared" si="103"/>
        <v>0.49822695332482403</v>
      </c>
      <c r="S325" s="799">
        <f t="shared" si="104"/>
        <v>-1</v>
      </c>
      <c r="T325" s="176">
        <f t="shared" si="105"/>
        <v>5</v>
      </c>
      <c r="U325" s="250">
        <f t="shared" si="106"/>
        <v>-0.50177304667517597</v>
      </c>
      <c r="V325" s="382">
        <f t="shared" si="107"/>
        <v>30.430849227621596</v>
      </c>
      <c r="W325" s="58"/>
      <c r="X325" s="157">
        <f t="shared" si="108"/>
        <v>44141</v>
      </c>
      <c r="Y325" s="383">
        <f t="shared" si="109"/>
        <v>16.626000000000001</v>
      </c>
      <c r="Z325" s="383">
        <f t="shared" si="110"/>
        <v>16.837635778298395</v>
      </c>
      <c r="AA325" s="384">
        <f t="shared" si="111"/>
        <v>17.65171983736121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4.6119248807685295E-2</v>
      </c>
      <c r="AD325" s="230">
        <f>(INDEX(Models!$BJ325:$BT325,,AH325)*(1-AF325)+INDEX(Models!$BJ325:$BT325,,AH325+1)*AF325-ERP_i)*AE325*Ramure*Pc/MaxiM</f>
        <v>1.4919560462034671E-3</v>
      </c>
      <c r="AE325" s="304">
        <f t="shared" si="113"/>
        <v>0.6</v>
      </c>
      <c r="AF325" s="177">
        <f t="shared" si="114"/>
        <v>0.49822695332482403</v>
      </c>
      <c r="AG325" s="176">
        <f t="shared" si="115"/>
        <v>-1</v>
      </c>
      <c r="AH325" s="176">
        <f t="shared" si="116"/>
        <v>5</v>
      </c>
      <c r="AI325" s="224">
        <f t="shared" si="117"/>
        <v>-0.50177304667517597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5.3550000000000004</v>
      </c>
      <c r="C326" s="388"/>
      <c r="D326" s="391">
        <f t="shared" si="99"/>
        <v>5.4232688336281445</v>
      </c>
      <c r="E326" s="383">
        <f t="shared" si="121"/>
        <v>5.6855920621804827</v>
      </c>
      <c r="F326" s="383">
        <f t="shared" si="100"/>
        <v>5.6855920621804827</v>
      </c>
      <c r="G326" s="110">
        <f t="shared" si="122"/>
        <v>0.17745028121699605</v>
      </c>
      <c r="H326" s="412" t="b">
        <f>Wh_hp&gt;='2019'!Maxi_hp</f>
        <v>0</v>
      </c>
      <c r="I326" s="388">
        <f>IF(H326,Wh_hp,'2019'!Maxi_hp)</f>
        <v>13.546734711418843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1.2588133784707245E-2</v>
      </c>
      <c r="M326" s="832"/>
      <c r="N326" s="832"/>
      <c r="O326" s="48">
        <f>IF(t&lt;Tnet,'2019'!Resal+('2019'!Salim-'2019'!Resal)*(1-EXP(('2019'!Tnet-t)/('2019'!Tau_j))),Resal+(Salim-Resal)*(1-EXP((Tnet-t)/(Tau_j))))*Salcycl</f>
        <v>4.6138243068345464E-2</v>
      </c>
      <c r="P326" s="169">
        <f>(INDEX(Models!$BJ326:$BT326,,T326)*(1-R326)+INDEX(Models!$BJ326:$BT326,,T326+1)*R326-ERP_i)*Q326*Ramure*Pc/MaxiM</f>
        <v>1.5160447708937536E-3</v>
      </c>
      <c r="Q326" s="304">
        <f t="shared" si="102"/>
        <v>0.6</v>
      </c>
      <c r="R326" s="177">
        <f t="shared" si="103"/>
        <v>0.49826918878219006</v>
      </c>
      <c r="S326" s="799">
        <f t="shared" si="104"/>
        <v>-1</v>
      </c>
      <c r="T326" s="176">
        <f t="shared" si="105"/>
        <v>5</v>
      </c>
      <c r="U326" s="250">
        <f t="shared" si="106"/>
        <v>-0.50173081121780994</v>
      </c>
      <c r="V326" s="382">
        <f t="shared" si="107"/>
        <v>30.131716577633377</v>
      </c>
      <c r="W326" s="58"/>
      <c r="X326" s="157">
        <f t="shared" si="108"/>
        <v>44142</v>
      </c>
      <c r="Y326" s="383">
        <f t="shared" si="109"/>
        <v>5.3550000000000004</v>
      </c>
      <c r="Z326" s="383">
        <f t="shared" si="110"/>
        <v>5.4232688336281445</v>
      </c>
      <c r="AA326" s="384">
        <f t="shared" si="111"/>
        <v>5.6855920621804827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4.6138243068345464E-2</v>
      </c>
      <c r="AD326" s="230">
        <f>(INDEX(Models!$BJ326:$BT326,,AH326)*(1-AF326)+INDEX(Models!$BJ326:$BT326,,AH326+1)*AF326-ERP_i)*AE326*Ramure*Pc/MaxiM</f>
        <v>1.5160447708937536E-3</v>
      </c>
      <c r="AE326" s="304">
        <f t="shared" si="113"/>
        <v>0.6</v>
      </c>
      <c r="AF326" s="177">
        <f t="shared" si="114"/>
        <v>0.49826918878219006</v>
      </c>
      <c r="AG326" s="176">
        <f t="shared" si="115"/>
        <v>-1</v>
      </c>
      <c r="AH326" s="176">
        <f t="shared" si="116"/>
        <v>5</v>
      </c>
      <c r="AI326" s="224">
        <f t="shared" si="117"/>
        <v>-0.50173081121780994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22.867999999999999</v>
      </c>
      <c r="C327" s="388"/>
      <c r="D327" s="391">
        <f t="shared" si="99"/>
        <v>23.159979184831986</v>
      </c>
      <c r="E327" s="383">
        <f t="shared" si="121"/>
        <v>24.280714688660634</v>
      </c>
      <c r="F327" s="383">
        <f t="shared" si="100"/>
        <v>24.305673600704964</v>
      </c>
      <c r="G327" s="110">
        <f t="shared" si="122"/>
        <v>0.7660454934904225</v>
      </c>
      <c r="H327" s="412" t="b">
        <f>Wh_hp&gt;='2019'!Maxi_hp</f>
        <v>1</v>
      </c>
      <c r="I327" s="388">
        <f>IF(H327,Wh_hp,'2019'!Maxi_hp)</f>
        <v>24.305673600704964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1.2607057307858494E-2</v>
      </c>
      <c r="M327" s="832"/>
      <c r="N327" s="832"/>
      <c r="O327" s="48">
        <f>IF(t&lt;Tnet,'2019'!Resal+('2019'!Salim-'2019'!Resal)*(1-EXP(('2019'!Tnet-t)/('2019'!Tau_j))),Resal+(Salim-Resal)*(1-EXP((Tnet-t)/(Tau_j))))*Salcycl</f>
        <v>4.6157434746022769E-2</v>
      </c>
      <c r="P327" s="169">
        <f>(INDEX(Models!$BJ327:$BT327,,T327)*(1-R327)+INDEX(Models!$BJ327:$BT327,,T327+1)*R327-ERP_i)*Q327*Ramure*Pc/MaxiM</f>
        <v>1.5410624916058315E-3</v>
      </c>
      <c r="Q327" s="304">
        <f t="shared" si="102"/>
        <v>0.6</v>
      </c>
      <c r="R327" s="177">
        <f t="shared" si="103"/>
        <v>0.49830973043065963</v>
      </c>
      <c r="S327" s="799">
        <f t="shared" si="104"/>
        <v>-1</v>
      </c>
      <c r="T327" s="176">
        <f t="shared" si="105"/>
        <v>5</v>
      </c>
      <c r="U327" s="250">
        <f t="shared" si="106"/>
        <v>-0.50169026956934037</v>
      </c>
      <c r="V327" s="382">
        <f t="shared" si="107"/>
        <v>29.836647679407498</v>
      </c>
      <c r="W327" s="58"/>
      <c r="X327" s="157">
        <f t="shared" si="108"/>
        <v>44143</v>
      </c>
      <c r="Y327" s="383">
        <f t="shared" si="109"/>
        <v>22.867999999999999</v>
      </c>
      <c r="Z327" s="383">
        <f t="shared" si="110"/>
        <v>23.159979184831986</v>
      </c>
      <c r="AA327" s="384">
        <f t="shared" si="111"/>
        <v>24.280714688660634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4.6157434746022769E-2</v>
      </c>
      <c r="AD327" s="230">
        <f>(INDEX(Models!$BJ327:$BT327,,AH327)*(1-AF327)+INDEX(Models!$BJ327:$BT327,,AH327+1)*AF327-ERP_i)*AE327*Ramure*Pc/MaxiM</f>
        <v>1.5410624916058315E-3</v>
      </c>
      <c r="AE327" s="304">
        <f t="shared" si="113"/>
        <v>0.6</v>
      </c>
      <c r="AF327" s="177">
        <f t="shared" si="114"/>
        <v>0.49830973043065963</v>
      </c>
      <c r="AG327" s="176">
        <f t="shared" si="115"/>
        <v>-1</v>
      </c>
      <c r="AH327" s="176">
        <f t="shared" si="116"/>
        <v>5</v>
      </c>
      <c r="AI327" s="224">
        <f t="shared" si="117"/>
        <v>-0.50169026956934037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14.817</v>
      </c>
      <c r="C328" s="388"/>
      <c r="D328" s="391">
        <f t="shared" si="99"/>
        <v>15.006471414984365</v>
      </c>
      <c r="E328" s="383">
        <f t="shared" si="121"/>
        <v>15.732970772496158</v>
      </c>
      <c r="F328" s="383">
        <f t="shared" si="100"/>
        <v>15.74007037130697</v>
      </c>
      <c r="G328" s="110">
        <f t="shared" si="122"/>
        <v>0.50093014226342669</v>
      </c>
      <c r="H328" s="412" t="b">
        <f>Wh_hp&gt;='2019'!Maxi_hp</f>
        <v>0</v>
      </c>
      <c r="I328" s="388">
        <f>IF(H328,Wh_hp,'2019'!Maxi_hp)</f>
        <v>19.151082328690954</v>
      </c>
      <c r="J328" s="85">
        <f>IF(H328,An,'2019'!An_max)</f>
        <v>2018</v>
      </c>
      <c r="K328" s="197">
        <f t="shared" si="101"/>
        <v>44144</v>
      </c>
      <c r="L328" s="147">
        <f>IF(t&lt;Tvie,1-EXP((T0-t)*PertePVj)+'2019'!Pspv,1-EXP((T0-t)*PertePVj)+Pspv)</f>
        <v>1.2625980468344622E-2</v>
      </c>
      <c r="M328" s="832"/>
      <c r="N328" s="832"/>
      <c r="O328" s="48">
        <f>IF(t&lt;Tnet,'2019'!Resal+('2019'!Salim-'2019'!Resal)*(1-EXP(('2019'!Tnet-t)/('2019'!Tau_j))),Resal+(Salim-Resal)*(1-EXP((Tnet-t)/(Tau_j))))*Salcycl</f>
        <v>4.6176870726908972E-2</v>
      </c>
      <c r="P328" s="169">
        <f>(INDEX(Models!$BJ328:$BT328,,T328)*(1-R328)+INDEX(Models!$BJ328:$BT328,,T328+1)*R328-ERP_i)*Q328*Ramure*Pc/MaxiM</f>
        <v>1.5670094074719523E-3</v>
      </c>
      <c r="Q328" s="304">
        <f t="shared" si="102"/>
        <v>0.6</v>
      </c>
      <c r="R328" s="177">
        <f t="shared" si="103"/>
        <v>0.49834864593969475</v>
      </c>
      <c r="S328" s="799">
        <f t="shared" si="104"/>
        <v>-1</v>
      </c>
      <c r="T328" s="176">
        <f t="shared" si="105"/>
        <v>5</v>
      </c>
      <c r="U328" s="250">
        <f t="shared" si="106"/>
        <v>-0.50165135406030525</v>
      </c>
      <c r="V328" s="382">
        <f t="shared" si="107"/>
        <v>29.545950935843138</v>
      </c>
      <c r="W328" s="58"/>
      <c r="X328" s="157">
        <f t="shared" si="108"/>
        <v>44144</v>
      </c>
      <c r="Y328" s="383">
        <f t="shared" si="109"/>
        <v>14.817</v>
      </c>
      <c r="Z328" s="383">
        <f t="shared" si="110"/>
        <v>15.006471414984365</v>
      </c>
      <c r="AA328" s="384">
        <f t="shared" si="111"/>
        <v>15.732970772496158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4.6176870726908972E-2</v>
      </c>
      <c r="AD328" s="230">
        <f>(INDEX(Models!$BJ328:$BT328,,AH328)*(1-AF328)+INDEX(Models!$BJ328:$BT328,,AH328+1)*AF328-ERP_i)*AE328*Ramure*Pc/MaxiM</f>
        <v>1.5670094074719523E-3</v>
      </c>
      <c r="AE328" s="304">
        <f t="shared" si="113"/>
        <v>0.6</v>
      </c>
      <c r="AF328" s="177">
        <f t="shared" si="114"/>
        <v>0.49834864593969475</v>
      </c>
      <c r="AG328" s="176">
        <f t="shared" si="115"/>
        <v>-1</v>
      </c>
      <c r="AH328" s="176">
        <f t="shared" si="116"/>
        <v>5</v>
      </c>
      <c r="AI328" s="224">
        <f t="shared" si="117"/>
        <v>-0.50165135406030525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10.241</v>
      </c>
      <c r="C329" s="388"/>
      <c r="D329" s="391">
        <f t="shared" si="99"/>
        <v>10.372154895312992</v>
      </c>
      <c r="E329" s="383">
        <f t="shared" si="121"/>
        <v>10.87452074711871</v>
      </c>
      <c r="F329" s="383">
        <f t="shared" si="100"/>
        <v>10.875758960269664</v>
      </c>
      <c r="G329" s="110">
        <f t="shared" si="122"/>
        <v>0.34948270843455664</v>
      </c>
      <c r="H329" s="412" t="b">
        <f>Wh_hp&gt;='2019'!Maxi_hp</f>
        <v>0</v>
      </c>
      <c r="I329" s="388">
        <f>IF(H329,Wh_hp,'2019'!Maxi_hp)</f>
        <v>24.228823723355269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1.2644903266172736E-2</v>
      </c>
      <c r="M329" s="832"/>
      <c r="N329" s="832"/>
      <c r="O329" s="48">
        <f>IF(t&lt;Tnet,'2019'!Resal+('2019'!Salim-'2019'!Resal)*(1-EXP(('2019'!Tnet-t)/('2019'!Tau_j))),Resal+(Salim-Resal)*(1-EXP((Tnet-t)/(Tau_j))))*Salcycl</f>
        <v>4.6196596934060183E-2</v>
      </c>
      <c r="P329" s="169">
        <f>(INDEX(Models!$BJ329:$BT329,,T329)*(1-R329)+INDEX(Models!$BJ329:$BT329,,T329+1)*R329-ERP_i)*Q329*Ramure*Pc/MaxiM</f>
        <v>1.5938854024069075E-3</v>
      </c>
      <c r="Q329" s="304">
        <f t="shared" si="102"/>
        <v>0.6</v>
      </c>
      <c r="R329" s="177">
        <f t="shared" si="103"/>
        <v>0.49838600029569191</v>
      </c>
      <c r="S329" s="799">
        <f t="shared" si="104"/>
        <v>-1</v>
      </c>
      <c r="T329" s="176">
        <f t="shared" si="105"/>
        <v>5</v>
      </c>
      <c r="U329" s="250">
        <f t="shared" si="106"/>
        <v>-0.50161399970430809</v>
      </c>
      <c r="V329" s="382">
        <f t="shared" si="107"/>
        <v>29.259934733078655</v>
      </c>
      <c r="W329" s="58"/>
      <c r="X329" s="157">
        <f t="shared" si="108"/>
        <v>44145</v>
      </c>
      <c r="Y329" s="383">
        <f t="shared" si="109"/>
        <v>10.241</v>
      </c>
      <c r="Z329" s="383">
        <f t="shared" si="110"/>
        <v>10.372154895312992</v>
      </c>
      <c r="AA329" s="384">
        <f t="shared" si="111"/>
        <v>10.87452074711871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4.6196596934060183E-2</v>
      </c>
      <c r="AD329" s="230">
        <f>(INDEX(Models!$BJ329:$BT329,,AH329)*(1-AF329)+INDEX(Models!$BJ329:$BT329,,AH329+1)*AF329-ERP_i)*AE329*Ramure*Pc/MaxiM</f>
        <v>1.5938854024069075E-3</v>
      </c>
      <c r="AE329" s="304">
        <f t="shared" si="113"/>
        <v>0.6</v>
      </c>
      <c r="AF329" s="177">
        <f t="shared" si="114"/>
        <v>0.49838600029569191</v>
      </c>
      <c r="AG329" s="176">
        <f t="shared" si="115"/>
        <v>-1</v>
      </c>
      <c r="AH329" s="176">
        <f t="shared" si="116"/>
        <v>5</v>
      </c>
      <c r="AI329" s="224">
        <f t="shared" si="117"/>
        <v>-0.50161399970430809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24.347000000000001</v>
      </c>
      <c r="C330" s="388"/>
      <c r="D330" s="391">
        <f t="shared" si="99"/>
        <v>24.659280834407571</v>
      </c>
      <c r="E330" s="383">
        <f t="shared" si="121"/>
        <v>25.854174372193285</v>
      </c>
      <c r="F330" s="383">
        <f t="shared" si="100"/>
        <v>25.88656869722448</v>
      </c>
      <c r="G330" s="110">
        <f t="shared" si="122"/>
        <v>0.83985130156378418</v>
      </c>
      <c r="H330" s="412" t="b">
        <f>Wh_hp&gt;='2019'!Maxi_hp</f>
        <v>1</v>
      </c>
      <c r="I330" s="388">
        <f>IF(H330,Wh_hp,'2019'!Maxi_hp)</f>
        <v>25.88656869722448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1.2663825701349718E-2</v>
      </c>
      <c r="M330" s="832"/>
      <c r="N330" s="832"/>
      <c r="O330" s="48">
        <f>IF(t&lt;Tnet,'2019'!Resal+('2019'!Salim-'2019'!Resal)*(1-EXP(('2019'!Tnet-t)/('2019'!Tau_j))),Resal+(Salim-Resal)*(1-EXP((Tnet-t)/(Tau_j))))*Salcycl</f>
        <v>4.6216658114244247E-2</v>
      </c>
      <c r="P330" s="169">
        <f>(INDEX(Models!$BJ330:$BT330,,T330)*(1-R330)+INDEX(Models!$BJ330:$BT330,,T330+1)*R330-ERP_i)*Q330*Ramure*Pc/MaxiM</f>
        <v>1.6216899163075448E-3</v>
      </c>
      <c r="Q330" s="304">
        <f t="shared" si="102"/>
        <v>0.6</v>
      </c>
      <c r="R330" s="177">
        <f t="shared" si="103"/>
        <v>0.49842185590675503</v>
      </c>
      <c r="S330" s="799">
        <f t="shared" si="104"/>
        <v>-1</v>
      </c>
      <c r="T330" s="176">
        <f t="shared" si="105"/>
        <v>5</v>
      </c>
      <c r="U330" s="250">
        <f t="shared" si="106"/>
        <v>-0.50157814409324497</v>
      </c>
      <c r="V330" s="382">
        <f t="shared" si="107"/>
        <v>28.978907445206193</v>
      </c>
      <c r="W330" s="58"/>
      <c r="X330" s="157">
        <f t="shared" si="108"/>
        <v>44146</v>
      </c>
      <c r="Y330" s="383">
        <f t="shared" si="109"/>
        <v>24.347000000000001</v>
      </c>
      <c r="Z330" s="383">
        <f t="shared" si="110"/>
        <v>24.659280834407571</v>
      </c>
      <c r="AA330" s="384">
        <f t="shared" si="111"/>
        <v>25.854174372193285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4.6216658114244247E-2</v>
      </c>
      <c r="AD330" s="230">
        <f>(INDEX(Models!$BJ330:$BT330,,AH330)*(1-AF330)+INDEX(Models!$BJ330:$BT330,,AH330+1)*AF330-ERP_i)*AE330*Ramure*Pc/MaxiM</f>
        <v>1.6216899163075448E-3</v>
      </c>
      <c r="AE330" s="304">
        <f t="shared" si="113"/>
        <v>0.6</v>
      </c>
      <c r="AF330" s="177">
        <f t="shared" si="114"/>
        <v>0.49842185590675503</v>
      </c>
      <c r="AG330" s="176">
        <f t="shared" si="115"/>
        <v>-1</v>
      </c>
      <c r="AH330" s="176">
        <f t="shared" si="116"/>
        <v>5</v>
      </c>
      <c r="AI330" s="224">
        <f t="shared" si="117"/>
        <v>-0.50157814409324497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27.334</v>
      </c>
      <c r="C331" s="388"/>
      <c r="D331" s="391">
        <f t="shared" si="99"/>
        <v>27.6851234376485</v>
      </c>
      <c r="E331" s="383">
        <f t="shared" si="121"/>
        <v>29.027259677305935</v>
      </c>
      <c r="F331" s="383">
        <f t="shared" si="100"/>
        <v>29.071978311267806</v>
      </c>
      <c r="G331" s="110">
        <f t="shared" si="122"/>
        <v>0.95225448534538915</v>
      </c>
      <c r="H331" s="412" t="b">
        <f>Wh_hp&gt;='2019'!Maxi_hp</f>
        <v>1</v>
      </c>
      <c r="I331" s="388">
        <f>IF(H331,Wh_hp,'2019'!Maxi_hp)</f>
        <v>29.071978311267806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1.2682747773882563E-2</v>
      </c>
      <c r="M331" s="832"/>
      <c r="N331" s="832"/>
      <c r="O331" s="48">
        <f>IF(t&lt;Tnet,'2019'!Resal+('2019'!Salim-'2019'!Resal)*(1-EXP(('2019'!Tnet-t)/('2019'!Tau_j))),Resal+(Salim-Resal)*(1-EXP((Tnet-t)/(Tau_j))))*Salcycl</f>
        <v>4.6237097630912188E-2</v>
      </c>
      <c r="P331" s="169">
        <f>(INDEX(Models!$BJ331:$BT331,,T331)*(1-R331)+INDEX(Models!$BJ331:$BT331,,T331+1)*R331-ERP_i)*Q331*Ramure*Pc/MaxiM</f>
        <v>1.650530584503753E-3</v>
      </c>
      <c r="Q331" s="304">
        <f t="shared" si="102"/>
        <v>0.6</v>
      </c>
      <c r="R331" s="177">
        <f t="shared" si="103"/>
        <v>0.49845627270350579</v>
      </c>
      <c r="S331" s="799">
        <f t="shared" si="104"/>
        <v>-1</v>
      </c>
      <c r="T331" s="176">
        <f t="shared" si="105"/>
        <v>5</v>
      </c>
      <c r="U331" s="250">
        <f t="shared" si="106"/>
        <v>-0.50154372729649421</v>
      </c>
      <c r="V331" s="382">
        <f t="shared" si="107"/>
        <v>28.701282436855411</v>
      </c>
      <c r="W331" s="58"/>
      <c r="X331" s="157">
        <f t="shared" si="108"/>
        <v>44147</v>
      </c>
      <c r="Y331" s="383">
        <f t="shared" si="109"/>
        <v>27.334</v>
      </c>
      <c r="Z331" s="383">
        <f t="shared" si="110"/>
        <v>27.6851234376485</v>
      </c>
      <c r="AA331" s="384">
        <f t="shared" si="111"/>
        <v>29.027259677305935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4.6237097630912188E-2</v>
      </c>
      <c r="AD331" s="230">
        <f>(INDEX(Models!$BJ331:$BT331,,AH331)*(1-AF331)+INDEX(Models!$BJ331:$BT331,,AH331+1)*AF331-ERP_i)*AE331*Ramure*Pc/MaxiM</f>
        <v>1.650530584503753E-3</v>
      </c>
      <c r="AE331" s="304">
        <f t="shared" si="113"/>
        <v>0.6</v>
      </c>
      <c r="AF331" s="177">
        <f t="shared" si="114"/>
        <v>0.49845627270350579</v>
      </c>
      <c r="AG331" s="176">
        <f t="shared" si="115"/>
        <v>-1</v>
      </c>
      <c r="AH331" s="176">
        <f t="shared" si="116"/>
        <v>5</v>
      </c>
      <c r="AI331" s="224">
        <f t="shared" si="117"/>
        <v>-0.50154372729649421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18.699000000000002</v>
      </c>
      <c r="C332" s="388"/>
      <c r="D332" s="391">
        <f t="shared" si="99"/>
        <v>18.939564083151023</v>
      </c>
      <c r="E332" s="383">
        <f t="shared" si="121"/>
        <v>19.858162096780873</v>
      </c>
      <c r="F332" s="383">
        <f t="shared" si="100"/>
        <v>19.875209801097167</v>
      </c>
      <c r="G332" s="110">
        <f t="shared" si="122"/>
        <v>0.65728055896284443</v>
      </c>
      <c r="H332" s="412" t="b">
        <f>Wh_hp&gt;='2019'!Maxi_hp</f>
        <v>1</v>
      </c>
      <c r="I332" s="388">
        <f>IF(H332,Wh_hp,'2019'!Maxi_hp)</f>
        <v>19.875209801097167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1.2701669483778266E-2</v>
      </c>
      <c r="M332" s="832"/>
      <c r="N332" s="832"/>
      <c r="O332" s="48">
        <f>IF(t&lt;Tnet,'2019'!Resal+('2019'!Salim-'2019'!Resal)*(1-EXP(('2019'!Tnet-t)/('2019'!Tau_j))),Resal+(Salim-Resal)*(1-EXP((Tnet-t)/(Tau_j))))*Salcycl</f>
        <v>4.6257957264774198E-2</v>
      </c>
      <c r="P332" s="169">
        <f>(INDEX(Models!$BJ332:$BT332,,T332)*(1-R332)+INDEX(Models!$BJ332:$BT332,,T332+1)*R332-ERP_i)*Q332*Ramure*Pc/MaxiM</f>
        <v>1.6779804196185655E-3</v>
      </c>
      <c r="Q332" s="304">
        <f t="shared" si="102"/>
        <v>0.6</v>
      </c>
      <c r="R332" s="177">
        <f t="shared" si="103"/>
        <v>0.49848930823606752</v>
      </c>
      <c r="S332" s="799">
        <f t="shared" si="104"/>
        <v>-1</v>
      </c>
      <c r="T332" s="176">
        <f t="shared" si="105"/>
        <v>5</v>
      </c>
      <c r="U332" s="250">
        <f t="shared" si="106"/>
        <v>-0.50151069176393248</v>
      </c>
      <c r="V332" s="382">
        <f t="shared" si="107"/>
        <v>28.425683443526392</v>
      </c>
      <c r="W332" s="58"/>
      <c r="X332" s="157">
        <f t="shared" si="108"/>
        <v>44148</v>
      </c>
      <c r="Y332" s="383">
        <f t="shared" si="109"/>
        <v>18.699000000000002</v>
      </c>
      <c r="Z332" s="383">
        <f t="shared" si="110"/>
        <v>18.939564083151023</v>
      </c>
      <c r="AA332" s="384">
        <f t="shared" si="111"/>
        <v>19.858162096780873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4.6257957264774198E-2</v>
      </c>
      <c r="AD332" s="230">
        <f>(INDEX(Models!$BJ332:$BT332,,AH332)*(1-AF332)+INDEX(Models!$BJ332:$BT332,,AH332+1)*AF332-ERP_i)*AE332*Ramure*Pc/MaxiM</f>
        <v>1.6779804196185655E-3</v>
      </c>
      <c r="AE332" s="304">
        <f t="shared" si="113"/>
        <v>0.6</v>
      </c>
      <c r="AF332" s="177">
        <f t="shared" si="114"/>
        <v>0.49848930823606752</v>
      </c>
      <c r="AG332" s="176">
        <f t="shared" si="115"/>
        <v>-1</v>
      </c>
      <c r="AH332" s="176">
        <f t="shared" si="116"/>
        <v>5</v>
      </c>
      <c r="AI332" s="224">
        <f t="shared" si="117"/>
        <v>-0.50151069176393248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25.303000000000001</v>
      </c>
      <c r="C333" s="388"/>
      <c r="D333" s="391">
        <f t="shared" si="99"/>
        <v>25.62901622884937</v>
      </c>
      <c r="E333" s="383">
        <f t="shared" si="121"/>
        <v>26.872663675442013</v>
      </c>
      <c r="F333" s="383">
        <f t="shared" si="100"/>
        <v>26.911873928380832</v>
      </c>
      <c r="G333" s="110">
        <f t="shared" si="122"/>
        <v>0.89855708387674382</v>
      </c>
      <c r="H333" s="412" t="b">
        <f>Wh_hp&gt;='2019'!Maxi_hp</f>
        <v>1</v>
      </c>
      <c r="I333" s="388">
        <f>IF(H333,Wh_hp,'2019'!Maxi_hp)</f>
        <v>26.911873928380832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1.2720590831043599E-2</v>
      </c>
      <c r="M333" s="832"/>
      <c r="N333" s="832"/>
      <c r="O333" s="48">
        <f>IF(t&lt;Tnet,'2019'!Resal+('2019'!Salim-'2019'!Resal)*(1-EXP(('2019'!Tnet-t)/('2019'!Tau_j))),Resal+(Salim-Resal)*(1-EXP((Tnet-t)/(Tau_j))))*Salcycl</f>
        <v>4.6279277023407582E-2</v>
      </c>
      <c r="P333" s="169">
        <f>(INDEX(Models!$BJ333:$BT333,,T333)*(1-R333)+INDEX(Models!$BJ333:$BT333,,T333+1)*R333-ERP_i)*Q333*Ramure*Pc/MaxiM</f>
        <v>1.7032851000596391E-3</v>
      </c>
      <c r="Q333" s="304">
        <f t="shared" si="102"/>
        <v>0.6</v>
      </c>
      <c r="R333" s="177">
        <f t="shared" si="103"/>
        <v>0.49852101776736257</v>
      </c>
      <c r="S333" s="799">
        <f t="shared" si="104"/>
        <v>-1</v>
      </c>
      <c r="T333" s="176">
        <f t="shared" si="105"/>
        <v>5</v>
      </c>
      <c r="U333" s="250">
        <f t="shared" si="106"/>
        <v>-0.50147898223263743</v>
      </c>
      <c r="V333" s="382">
        <f t="shared" si="107"/>
        <v>28.152645259951804</v>
      </c>
      <c r="W333" s="58"/>
      <c r="X333" s="157">
        <f t="shared" si="108"/>
        <v>44149</v>
      </c>
      <c r="Y333" s="383">
        <f t="shared" si="109"/>
        <v>25.303000000000001</v>
      </c>
      <c r="Z333" s="383">
        <f t="shared" si="110"/>
        <v>25.62901622884937</v>
      </c>
      <c r="AA333" s="384">
        <f t="shared" si="111"/>
        <v>26.872663675442013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4.6279277023407582E-2</v>
      </c>
      <c r="AD333" s="230">
        <f>(INDEX(Models!$BJ333:$BT333,,AH333)*(1-AF333)+INDEX(Models!$BJ333:$BT333,,AH333+1)*AF333-ERP_i)*AE333*Ramure*Pc/MaxiM</f>
        <v>1.7032851000596391E-3</v>
      </c>
      <c r="AE333" s="304">
        <f t="shared" si="113"/>
        <v>0.6</v>
      </c>
      <c r="AF333" s="177">
        <f t="shared" si="114"/>
        <v>0.49852101776736257</v>
      </c>
      <c r="AG333" s="176">
        <f t="shared" si="115"/>
        <v>-1</v>
      </c>
      <c r="AH333" s="176">
        <f t="shared" si="116"/>
        <v>5</v>
      </c>
      <c r="AI333" s="224">
        <f t="shared" si="117"/>
        <v>-0.50147898223263743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19.539000000000001</v>
      </c>
      <c r="C334" s="388"/>
      <c r="D334" s="391">
        <f t="shared" si="99"/>
        <v>19.791129325892982</v>
      </c>
      <c r="E334" s="383">
        <f t="shared" si="121"/>
        <v>20.751968174996527</v>
      </c>
      <c r="F334" s="383">
        <f t="shared" si="100"/>
        <v>20.772499884462185</v>
      </c>
      <c r="G334" s="110">
        <f t="shared" si="122"/>
        <v>0.70023988709401397</v>
      </c>
      <c r="H334" s="412" t="b">
        <f>Wh_hp&gt;='2019'!Maxi_hp</f>
        <v>1</v>
      </c>
      <c r="I334" s="388">
        <f>IF(H334,Wh_hp,'2019'!Maxi_hp)</f>
        <v>20.772499884462185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1.2739511815685778E-2</v>
      </c>
      <c r="M334" s="832"/>
      <c r="N334" s="832"/>
      <c r="O334" s="48">
        <f>IF(t&lt;Tnet,'2019'!Resal+('2019'!Salim-'2019'!Resal)*(1-EXP(('2019'!Tnet-t)/('2019'!Tau_j))),Resal+(Salim-Resal)*(1-EXP((Tnet-t)/(Tau_j))))*Salcycl</f>
        <v>4.6301094961259344E-2</v>
      </c>
      <c r="P334" s="169">
        <f>(INDEX(Models!$BJ334:$BT334,,T334)*(1-R334)+INDEX(Models!$BJ334:$BT334,,T334+1)*R334-ERP_i)*Q334*Ramure*Pc/MaxiM</f>
        <v>1.7264445565237777E-3</v>
      </c>
      <c r="Q334" s="304">
        <f t="shared" si="102"/>
        <v>0.6</v>
      </c>
      <c r="R334" s="177">
        <f t="shared" si="103"/>
        <v>0.4985514543628522</v>
      </c>
      <c r="S334" s="799">
        <f t="shared" si="104"/>
        <v>-1</v>
      </c>
      <c r="T334" s="176">
        <f t="shared" si="105"/>
        <v>5</v>
      </c>
      <c r="U334" s="250">
        <f t="shared" si="106"/>
        <v>-0.5014485456371478</v>
      </c>
      <c r="V334" s="382">
        <f t="shared" si="107"/>
        <v>27.882680778800609</v>
      </c>
      <c r="W334" s="58"/>
      <c r="X334" s="157">
        <f t="shared" si="108"/>
        <v>44150</v>
      </c>
      <c r="Y334" s="383">
        <f t="shared" si="109"/>
        <v>19.539000000000001</v>
      </c>
      <c r="Z334" s="383">
        <f t="shared" si="110"/>
        <v>19.791129325892982</v>
      </c>
      <c r="AA334" s="384">
        <f t="shared" si="111"/>
        <v>20.751968174996527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4.6301094961259344E-2</v>
      </c>
      <c r="AD334" s="230">
        <f>(INDEX(Models!$BJ334:$BT334,,AH334)*(1-AF334)+INDEX(Models!$BJ334:$BT334,,AH334+1)*AF334-ERP_i)*AE334*Ramure*Pc/MaxiM</f>
        <v>1.7264445565237777E-3</v>
      </c>
      <c r="AE334" s="304">
        <f t="shared" si="113"/>
        <v>0.6</v>
      </c>
      <c r="AF334" s="177">
        <f t="shared" si="114"/>
        <v>0.4985514543628522</v>
      </c>
      <c r="AG334" s="176">
        <f t="shared" si="115"/>
        <v>-1</v>
      </c>
      <c r="AH334" s="176">
        <f t="shared" si="116"/>
        <v>5</v>
      </c>
      <c r="AI334" s="224">
        <f t="shared" si="117"/>
        <v>-0.5014485456371478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21.817</v>
      </c>
      <c r="C335" s="388"/>
      <c r="D335" s="391">
        <f t="shared" ref="D335:D379" si="123">Wh/(1-Ppv)</f>
        <v>22.098947934162517</v>
      </c>
      <c r="E335" s="383">
        <f t="shared" si="121"/>
        <v>23.17237208454786</v>
      </c>
      <c r="F335" s="383">
        <f t="shared" ref="F335:F379" si="124">Wh_sa/(1-Pvg*MEDIAN((-Sdif+Wh/Env_an)/Csdif,0,1))</f>
        <v>23.200751935750731</v>
      </c>
      <c r="G335" s="110">
        <f t="shared" si="122"/>
        <v>0.78958972097648272</v>
      </c>
      <c r="H335" s="412" t="b">
        <f>Wh_hp&gt;='2019'!Maxi_hp</f>
        <v>1</v>
      </c>
      <c r="I335" s="388">
        <f>IF(H335,Wh_hp,'2019'!Maxi_hp)</f>
        <v>23.200751935750731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1.2758432437711464E-2</v>
      </c>
      <c r="M335" s="832"/>
      <c r="N335" s="832"/>
      <c r="O335" s="48">
        <f>IF(t&lt;Tnet,'2019'!Resal+('2019'!Salim-'2019'!Resal)*(1-EXP(('2019'!Tnet-t)/('2019'!Tau_j))),Resal+(Salim-Resal)*(1-EXP((Tnet-t)/(Tau_j))))*Salcycl</f>
        <v>4.632344701132865E-2</v>
      </c>
      <c r="P335" s="169">
        <f>(INDEX(Models!$BJ335:$BT335,,T335)*(1-R335)+INDEX(Models!$BJ335:$BT335,,T335+1)*R335-ERP_i)*Q335*Ramure*Pc/MaxiM</f>
        <v>1.7474555658225084E-3</v>
      </c>
      <c r="Q335" s="304">
        <f t="shared" ref="Q335:Q379" si="126">IF(OR(t&lt;Ttai,Notai),Dd+PousD*Croivg,Dens+PousD*(Croivg-Croi_tai))</f>
        <v>0.6</v>
      </c>
      <c r="R335" s="177">
        <f t="shared" ref="R335:R379" si="127">(Hp_vg-S335)/(INDEX(Echel_vg,T335+1)-S335)</f>
        <v>0.49858066897684639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-0.50141933102315361</v>
      </c>
      <c r="V335" s="382">
        <f t="shared" ref="V335:V379" si="131">MaxiM*(1-Ppv)*(1-Pvg)*(1-Psa)</f>
        <v>27.616302973518231</v>
      </c>
      <c r="W335" s="58"/>
      <c r="X335" s="157">
        <f t="shared" ref="X335:X379" si="132">t</f>
        <v>44151</v>
      </c>
      <c r="Y335" s="383">
        <f t="shared" ref="Y335:Y379" si="133">Wh_pvt_s*(1-Ppv)</f>
        <v>21.817</v>
      </c>
      <c r="Z335" s="383">
        <f t="shared" ref="Z335:Z379" si="134">Wh_sa_s*(1-Psa_s)</f>
        <v>22.098947934162517</v>
      </c>
      <c r="AA335" s="384">
        <f t="shared" ref="AA335:AA379" si="135">Wh_hp*(1-Pvg_s*MEDIAN((-Sdif+Wh/Env_an)/Csdif,0,1))</f>
        <v>23.17237208454786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4.632344701132865E-2</v>
      </c>
      <c r="AD335" s="230">
        <f>(INDEX(Models!$BJ335:$BT335,,AH335)*(1-AF335)+INDEX(Models!$BJ335:$BT335,,AH335+1)*AF335-ERP_i)*AE335*Ramure*Pc/MaxiM</f>
        <v>1.7474555658225084E-3</v>
      </c>
      <c r="AE335" s="304">
        <f t="shared" ref="AE335:AE379" si="137">IF(OR(t&lt;Ttai,Notai),Dd_s+PousD*Croivg,Dens_s+PousD*(Croivg-Croi_tai))</f>
        <v>0.6</v>
      </c>
      <c r="AF335" s="177">
        <f t="shared" ref="AF335:AF379" si="138">(Hp_vg_s-AG335)/(INDEX(Echel_vg,AH335+1)-AG335)</f>
        <v>0.49858066897684639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-0.50141933102315361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25.614000000000001</v>
      </c>
      <c r="C336" s="388"/>
      <c r="D336" s="391">
        <f t="shared" si="123"/>
        <v>25.945514996012673</v>
      </c>
      <c r="E336" s="383">
        <f t="shared" si="121"/>
        <v>27.206434384107393</v>
      </c>
      <c r="F336" s="383">
        <f t="shared" si="124"/>
        <v>27.250192771666942</v>
      </c>
      <c r="G336" s="110">
        <f t="shared" si="122"/>
        <v>0.93623816419138495</v>
      </c>
      <c r="H336" s="412" t="b">
        <f>Wh_hp&gt;='2019'!Maxi_hp</f>
        <v>1</v>
      </c>
      <c r="I336" s="388">
        <f>IF(H336,Wh_hp,'2019'!Maxi_hp)</f>
        <v>27.250192771666942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1.2777352697127764E-2</v>
      </c>
      <c r="M336" s="832"/>
      <c r="N336" s="832"/>
      <c r="O336" s="48">
        <f>IF(t&lt;Tnet,'2019'!Resal+('2019'!Salim-'2019'!Resal)*(1-EXP(('2019'!Tnet-t)/('2019'!Tau_j))),Resal+(Salim-Resal)*(1-EXP((Tnet-t)/(Tau_j))))*Salcycl</f>
        <v>4.6346366829726413E-2</v>
      </c>
      <c r="P336" s="169">
        <f>(INDEX(Models!$BJ336:$BT336,,T336)*(1-R336)+INDEX(Models!$BJ336:$BT336,,T336+1)*R336-ERP_i)*Q336*Ramure*Pc/MaxiM</f>
        <v>1.766311545979063E-3</v>
      </c>
      <c r="Q336" s="304">
        <f t="shared" si="126"/>
        <v>0.6</v>
      </c>
      <c r="R336" s="177">
        <f t="shared" si="127"/>
        <v>0.4986087105355097</v>
      </c>
      <c r="S336" s="799">
        <f t="shared" si="128"/>
        <v>-1</v>
      </c>
      <c r="T336" s="176">
        <f t="shared" si="129"/>
        <v>5</v>
      </c>
      <c r="U336" s="250">
        <f t="shared" si="130"/>
        <v>-0.5013912894644903</v>
      </c>
      <c r="V336" s="382">
        <f t="shared" si="131"/>
        <v>27.354024916438597</v>
      </c>
      <c r="W336" s="58"/>
      <c r="X336" s="157">
        <f t="shared" si="132"/>
        <v>44152</v>
      </c>
      <c r="Y336" s="383">
        <f t="shared" si="133"/>
        <v>25.614000000000001</v>
      </c>
      <c r="Z336" s="383">
        <f t="shared" si="134"/>
        <v>25.945514996012673</v>
      </c>
      <c r="AA336" s="384">
        <f t="shared" si="135"/>
        <v>27.206434384107393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4.6346366829726413E-2</v>
      </c>
      <c r="AD336" s="230">
        <f>(INDEX(Models!$BJ336:$BT336,,AH336)*(1-AF336)+INDEX(Models!$BJ336:$BT336,,AH336+1)*AF336-ERP_i)*AE336*Ramure*Pc/MaxiM</f>
        <v>1.766311545979063E-3</v>
      </c>
      <c r="AE336" s="304">
        <f t="shared" si="137"/>
        <v>0.6</v>
      </c>
      <c r="AF336" s="177">
        <f t="shared" si="138"/>
        <v>0.4986087105355097</v>
      </c>
      <c r="AG336" s="176">
        <f t="shared" si="139"/>
        <v>-1</v>
      </c>
      <c r="AH336" s="176">
        <f t="shared" si="140"/>
        <v>5</v>
      </c>
      <c r="AI336" s="224">
        <f t="shared" si="141"/>
        <v>-0.5013912894644903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26.841999999999999</v>
      </c>
      <c r="C337" s="388"/>
      <c r="D337" s="391">
        <f t="shared" si="123"/>
        <v>27.189929752928599</v>
      </c>
      <c r="E337" s="383">
        <f t="shared" si="121"/>
        <v>28.512029290917962</v>
      </c>
      <c r="F337" s="383">
        <f t="shared" si="124"/>
        <v>28.562272949049884</v>
      </c>
      <c r="G337" s="110">
        <f t="shared" si="122"/>
        <v>0.99058904142120285</v>
      </c>
      <c r="H337" s="412" t="b">
        <f>Wh_hp&gt;='2019'!Maxi_hp</f>
        <v>1</v>
      </c>
      <c r="I337" s="388">
        <f>IF(H337,Wh_hp,'2019'!Maxi_hp)</f>
        <v>28.562272949049884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1.2796272593941671E-2</v>
      </c>
      <c r="M337" s="832"/>
      <c r="N337" s="832"/>
      <c r="O337" s="48">
        <f>IF(t&lt;Tnet,'2019'!Resal+('2019'!Salim-'2019'!Resal)*(1-EXP(('2019'!Tnet-t)/('2019'!Tau_j))),Resal+(Salim-Resal)*(1-EXP((Tnet-t)/(Tau_j))))*Salcycl</f>
        <v>4.6369885654210415E-2</v>
      </c>
      <c r="P337" s="169">
        <f>(INDEX(Models!$BJ337:$BT337,,T337)*(1-R337)+INDEX(Models!$BJ337:$BT337,,T337+1)*R337-ERP_i)*Q337*Ramure*Pc/MaxiM</f>
        <v>1.7830023792953641E-3</v>
      </c>
      <c r="Q337" s="304">
        <f t="shared" si="126"/>
        <v>0.6</v>
      </c>
      <c r="R337" s="177">
        <f t="shared" si="127"/>
        <v>0.49863562601668021</v>
      </c>
      <c r="S337" s="799">
        <f t="shared" si="128"/>
        <v>-1</v>
      </c>
      <c r="T337" s="176">
        <f t="shared" si="129"/>
        <v>5</v>
      </c>
      <c r="U337" s="250">
        <f t="shared" si="130"/>
        <v>-0.50136437398331979</v>
      </c>
      <c r="V337" s="382">
        <f t="shared" si="131"/>
        <v>27.09635977887261</v>
      </c>
      <c r="W337" s="58"/>
      <c r="X337" s="157">
        <f t="shared" si="132"/>
        <v>44153</v>
      </c>
      <c r="Y337" s="383">
        <f t="shared" si="133"/>
        <v>26.841999999999999</v>
      </c>
      <c r="Z337" s="383">
        <f t="shared" si="134"/>
        <v>27.189929752928599</v>
      </c>
      <c r="AA337" s="384">
        <f t="shared" si="135"/>
        <v>28.512029290917962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4.6369885654210415E-2</v>
      </c>
      <c r="AD337" s="230">
        <f>(INDEX(Models!$BJ337:$BT337,,AH337)*(1-AF337)+INDEX(Models!$BJ337:$BT337,,AH337+1)*AF337-ERP_i)*AE337*Ramure*Pc/MaxiM</f>
        <v>1.7830023792953641E-3</v>
      </c>
      <c r="AE337" s="304">
        <f t="shared" si="137"/>
        <v>0.6</v>
      </c>
      <c r="AF337" s="177">
        <f t="shared" si="138"/>
        <v>0.49863562601668021</v>
      </c>
      <c r="AG337" s="176">
        <f t="shared" si="139"/>
        <v>-1</v>
      </c>
      <c r="AH337" s="176">
        <f t="shared" si="140"/>
        <v>5</v>
      </c>
      <c r="AI337" s="224">
        <f t="shared" si="141"/>
        <v>-0.50136437398331979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8.8290000000000006</v>
      </c>
      <c r="C338" s="388"/>
      <c r="D338" s="391">
        <f t="shared" si="123"/>
        <v>8.943614133440164</v>
      </c>
      <c r="E338" s="383">
        <f t="shared" si="121"/>
        <v>9.3787312949226784</v>
      </c>
      <c r="F338" s="383">
        <f t="shared" si="124"/>
        <v>9.3794278545764893</v>
      </c>
      <c r="G338" s="110">
        <f t="shared" si="122"/>
        <v>0.32833568476600394</v>
      </c>
      <c r="H338" s="412" t="b">
        <f>Wh_hp&gt;='2019'!Maxi_hp</f>
        <v>0</v>
      </c>
      <c r="I338" s="388">
        <f>IF(H338,Wh_hp,'2019'!Maxi_hp)</f>
        <v>28.66422438766487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1.2815192128160069E-2</v>
      </c>
      <c r="M338" s="832"/>
      <c r="N338" s="832"/>
      <c r="O338" s="48">
        <f>IF(t&lt;Tnet,'2019'!Resal+('2019'!Salim-'2019'!Resal)*(1-EXP(('2019'!Tnet-t)/('2019'!Tau_j))),Resal+(Salim-Resal)*(1-EXP((Tnet-t)/(Tau_j))))*Salcycl</f>
        <v>4.6394032177686124E-2</v>
      </c>
      <c r="P338" s="169">
        <f>(INDEX(Models!$BJ338:$BT338,,T338)*(1-R338)+INDEX(Models!$BJ338:$BT338,,T338+1)*R338-ERP_i)*Q338*Ramure*Pc/MaxiM</f>
        <v>1.7986183185079829E-3</v>
      </c>
      <c r="Q338" s="304">
        <f t="shared" si="126"/>
        <v>0.6</v>
      </c>
      <c r="R338" s="177">
        <f t="shared" si="127"/>
        <v>0.4986614605266193</v>
      </c>
      <c r="S338" s="799">
        <f t="shared" si="128"/>
        <v>-1</v>
      </c>
      <c r="T338" s="176">
        <f t="shared" si="129"/>
        <v>5</v>
      </c>
      <c r="U338" s="250">
        <f t="shared" si="130"/>
        <v>-0.5013385394733807</v>
      </c>
      <c r="V338" s="382">
        <f t="shared" si="131"/>
        <v>26.843791154692369</v>
      </c>
      <c r="W338" s="58"/>
      <c r="X338" s="157">
        <f t="shared" si="132"/>
        <v>44154</v>
      </c>
      <c r="Y338" s="383">
        <f t="shared" si="133"/>
        <v>8.8290000000000006</v>
      </c>
      <c r="Z338" s="383">
        <f t="shared" si="134"/>
        <v>8.943614133440164</v>
      </c>
      <c r="AA338" s="384">
        <f t="shared" si="135"/>
        <v>9.3787312949226784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4.6394032177686124E-2</v>
      </c>
      <c r="AD338" s="230">
        <f>(INDEX(Models!$BJ338:$BT338,,AH338)*(1-AF338)+INDEX(Models!$BJ338:$BT338,,AH338+1)*AF338-ERP_i)*AE338*Ramure*Pc/MaxiM</f>
        <v>1.7986183185079829E-3</v>
      </c>
      <c r="AE338" s="304">
        <f t="shared" si="137"/>
        <v>0.6</v>
      </c>
      <c r="AF338" s="177">
        <f t="shared" si="138"/>
        <v>0.4986614605266193</v>
      </c>
      <c r="AG338" s="176">
        <f t="shared" si="139"/>
        <v>-1</v>
      </c>
      <c r="AH338" s="176">
        <f t="shared" si="140"/>
        <v>5</v>
      </c>
      <c r="AI338" s="224">
        <f t="shared" si="141"/>
        <v>-0.5013385394733807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19.265999999999998</v>
      </c>
      <c r="C339" s="388"/>
      <c r="D339" s="391">
        <f t="shared" si="123"/>
        <v>19.516476633291408</v>
      </c>
      <c r="E339" s="383">
        <f t="shared" si="121"/>
        <v>20.466508040610194</v>
      </c>
      <c r="F339" s="383">
        <f t="shared" si="124"/>
        <v>20.489026658115929</v>
      </c>
      <c r="G339" s="110">
        <f t="shared" si="122"/>
        <v>0.72385411931091592</v>
      </c>
      <c r="H339" s="412" t="b">
        <f>Wh_hp&gt;='2019'!Maxi_hp</f>
        <v>0</v>
      </c>
      <c r="I339" s="388">
        <f>IF(H339,Wh_hp,'2019'!Maxi_hp)</f>
        <v>27.981917732937102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1.2834111299789841E-2</v>
      </c>
      <c r="M339" s="832"/>
      <c r="N339" s="832"/>
      <c r="O339" s="48">
        <f>IF(t&lt;Tnet,'2019'!Resal+('2019'!Salim-'2019'!Resal)*(1-EXP(('2019'!Tnet-t)/('2019'!Tau_j))),Resal+(Salim-Resal)*(1-EXP((Tnet-t)/(Tau_j))))*Salcycl</f>
        <v>4.6418832437546582E-2</v>
      </c>
      <c r="P339" s="169">
        <f>(INDEX(Models!$BJ339:$BT339,,T339)*(1-R339)+INDEX(Models!$BJ339:$BT339,,T339+1)*R339-ERP_i)*Q339*Ramure*Pc/MaxiM</f>
        <v>1.8128920759676603E-3</v>
      </c>
      <c r="Q339" s="304">
        <f t="shared" si="126"/>
        <v>0.6</v>
      </c>
      <c r="R339" s="177">
        <f t="shared" si="127"/>
        <v>0.49868625737380445</v>
      </c>
      <c r="S339" s="799">
        <f t="shared" si="128"/>
        <v>-1</v>
      </c>
      <c r="T339" s="176">
        <f t="shared" si="129"/>
        <v>5</v>
      </c>
      <c r="U339" s="250">
        <f t="shared" si="130"/>
        <v>-0.50131374262619555</v>
      </c>
      <c r="V339" s="382">
        <f t="shared" si="131"/>
        <v>26.596839911405151</v>
      </c>
      <c r="W339" s="58"/>
      <c r="X339" s="157">
        <f t="shared" si="132"/>
        <v>44155</v>
      </c>
      <c r="Y339" s="383">
        <f t="shared" si="133"/>
        <v>19.265999999999998</v>
      </c>
      <c r="Z339" s="383">
        <f t="shared" si="134"/>
        <v>19.516476633291408</v>
      </c>
      <c r="AA339" s="384">
        <f t="shared" si="135"/>
        <v>20.466508040610194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4.6418832437546582E-2</v>
      </c>
      <c r="AD339" s="230">
        <f>(INDEX(Models!$BJ339:$BT339,,AH339)*(1-AF339)+INDEX(Models!$BJ339:$BT339,,AH339+1)*AF339-ERP_i)*AE339*Ramure*Pc/MaxiM</f>
        <v>1.8128920759676603E-3</v>
      </c>
      <c r="AE339" s="304">
        <f t="shared" si="137"/>
        <v>0.6</v>
      </c>
      <c r="AF339" s="177">
        <f t="shared" si="138"/>
        <v>0.49868625737380445</v>
      </c>
      <c r="AG339" s="176">
        <f t="shared" si="139"/>
        <v>-1</v>
      </c>
      <c r="AH339" s="176">
        <f t="shared" si="140"/>
        <v>5</v>
      </c>
      <c r="AI339" s="224">
        <f t="shared" si="141"/>
        <v>-0.50131374262619555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27.439</v>
      </c>
      <c r="C340" s="388"/>
      <c r="D340" s="391">
        <f t="shared" si="123"/>
        <v>27.796266246985788</v>
      </c>
      <c r="E340" s="383">
        <f t="shared" si="121"/>
        <v>29.150123616660924</v>
      </c>
      <c r="F340" s="383">
        <f t="shared" si="124"/>
        <v>29.203443370360098</v>
      </c>
      <c r="G340" s="110">
        <f t="shared" si="122"/>
        <v>1.0410904176789828</v>
      </c>
      <c r="H340" s="412" t="b">
        <f>Wh_hp&gt;='2019'!Maxi_hp</f>
        <v>1</v>
      </c>
      <c r="I340" s="388">
        <f>IF(H340,Wh_hp,'2019'!Maxi_hp)</f>
        <v>29.203443370360098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1.2853030108838093E-2</v>
      </c>
      <c r="M340" s="832"/>
      <c r="N340" s="832"/>
      <c r="O340" s="48">
        <f>IF(t&lt;Tnet,'2019'!Resal+('2019'!Salim-'2019'!Resal)*(1-EXP(('2019'!Tnet-t)/('2019'!Tau_j))),Resal+(Salim-Resal)*(1-EXP((Tnet-t)/(Tau_j))))*Salcycl</f>
        <v>4.6444309721600283E-2</v>
      </c>
      <c r="P340" s="169">
        <f>(INDEX(Models!$BJ340:$BT340,,T340)*(1-R340)+INDEX(Models!$BJ340:$BT340,,T340+1)*R340-ERP_i)*Q340*Ramure*Pc/MaxiM</f>
        <v>1.8258036568828072E-3</v>
      </c>
      <c r="Q340" s="304">
        <f t="shared" si="126"/>
        <v>0.6</v>
      </c>
      <c r="R340" s="177">
        <f t="shared" si="127"/>
        <v>0.49871005813987301</v>
      </c>
      <c r="S340" s="799">
        <f t="shared" si="128"/>
        <v>-1</v>
      </c>
      <c r="T340" s="176">
        <f t="shared" si="129"/>
        <v>5</v>
      </c>
      <c r="U340" s="250">
        <f t="shared" si="130"/>
        <v>-0.50128994186012699</v>
      </c>
      <c r="V340" s="382">
        <f t="shared" si="131"/>
        <v>26.356020124719596</v>
      </c>
      <c r="W340" s="58"/>
      <c r="X340" s="157">
        <f t="shared" si="132"/>
        <v>44156</v>
      </c>
      <c r="Y340" s="383">
        <f t="shared" si="133"/>
        <v>27.439</v>
      </c>
      <c r="Z340" s="383">
        <f t="shared" si="134"/>
        <v>27.796266246985788</v>
      </c>
      <c r="AA340" s="384">
        <f t="shared" si="135"/>
        <v>29.150123616660924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4.6444309721600283E-2</v>
      </c>
      <c r="AD340" s="230">
        <f>(INDEX(Models!$BJ340:$BT340,,AH340)*(1-AF340)+INDEX(Models!$BJ340:$BT340,,AH340+1)*AF340-ERP_i)*AE340*Ramure*Pc/MaxiM</f>
        <v>1.8258036568828072E-3</v>
      </c>
      <c r="AE340" s="304">
        <f t="shared" si="137"/>
        <v>0.6</v>
      </c>
      <c r="AF340" s="177">
        <f t="shared" si="138"/>
        <v>0.49871005813987301</v>
      </c>
      <c r="AG340" s="176">
        <f t="shared" si="139"/>
        <v>-1</v>
      </c>
      <c r="AH340" s="176">
        <f t="shared" si="140"/>
        <v>5</v>
      </c>
      <c r="AI340" s="224">
        <f t="shared" si="141"/>
        <v>-0.50128994186012699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27.347000000000001</v>
      </c>
      <c r="C341" s="388"/>
      <c r="D341" s="391">
        <f t="shared" si="123"/>
        <v>27.70359930505159</v>
      </c>
      <c r="E341" s="383">
        <f t="shared" si="121"/>
        <v>29.053740712230791</v>
      </c>
      <c r="F341" s="383">
        <f t="shared" si="124"/>
        <v>29.107219927904186</v>
      </c>
      <c r="G341" s="110">
        <f t="shared" si="122"/>
        <v>1.0469014992264492</v>
      </c>
      <c r="H341" s="412" t="b">
        <f>Wh_hp&gt;='2019'!Maxi_hp</f>
        <v>1</v>
      </c>
      <c r="I341" s="388">
        <f>IF(H341,Wh_hp,'2019'!Maxi_hp)</f>
        <v>29.107219927904186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1.2871948555311596E-2</v>
      </c>
      <c r="M341" s="832"/>
      <c r="N341" s="832"/>
      <c r="O341" s="48">
        <f>IF(t&lt;Tnet,'2019'!Resal+('2019'!Salim-'2019'!Resal)*(1-EXP(('2019'!Tnet-t)/('2019'!Tau_j))),Resal+(Salim-Resal)*(1-EXP((Tnet-t)/(Tau_j))))*Salcycl</f>
        <v>4.647048449120459E-2</v>
      </c>
      <c r="P341" s="169">
        <f>(INDEX(Models!$BJ341:$BT341,,T341)*(1-R341)+INDEX(Models!$BJ341:$BT341,,T341+1)*R341-ERP_i)*Q341*Ramure*Pc/MaxiM</f>
        <v>1.8373178821563714E-3</v>
      </c>
      <c r="Q341" s="304">
        <f t="shared" si="126"/>
        <v>0.6</v>
      </c>
      <c r="R341" s="177">
        <f t="shared" si="127"/>
        <v>0.49873290274782267</v>
      </c>
      <c r="S341" s="799">
        <f t="shared" si="128"/>
        <v>-1</v>
      </c>
      <c r="T341" s="176">
        <f t="shared" si="129"/>
        <v>5</v>
      </c>
      <c r="U341" s="250">
        <f t="shared" si="130"/>
        <v>-0.50126709725217733</v>
      </c>
      <c r="V341" s="382">
        <f t="shared" si="131"/>
        <v>26.121846248387818</v>
      </c>
      <c r="W341" s="58"/>
      <c r="X341" s="157">
        <f t="shared" si="132"/>
        <v>44157</v>
      </c>
      <c r="Y341" s="383">
        <f t="shared" si="133"/>
        <v>27.347000000000001</v>
      </c>
      <c r="Z341" s="383">
        <f t="shared" si="134"/>
        <v>27.70359930505159</v>
      </c>
      <c r="AA341" s="384">
        <f t="shared" si="135"/>
        <v>29.053740712230791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4.647048449120459E-2</v>
      </c>
      <c r="AD341" s="230">
        <f>(INDEX(Models!$BJ341:$BT341,,AH341)*(1-AF341)+INDEX(Models!$BJ341:$BT341,,AH341+1)*AF341-ERP_i)*AE341*Ramure*Pc/MaxiM</f>
        <v>1.8373178821563714E-3</v>
      </c>
      <c r="AE341" s="304">
        <f t="shared" si="137"/>
        <v>0.6</v>
      </c>
      <c r="AF341" s="177">
        <f t="shared" si="138"/>
        <v>0.49873290274782267</v>
      </c>
      <c r="AG341" s="176">
        <f t="shared" si="139"/>
        <v>-1</v>
      </c>
      <c r="AH341" s="176">
        <f t="shared" si="140"/>
        <v>5</v>
      </c>
      <c r="AI341" s="224">
        <f t="shared" si="141"/>
        <v>-0.50126709725217733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25.472999999999999</v>
      </c>
      <c r="C342" s="388"/>
      <c r="D342" s="391">
        <f t="shared" si="123"/>
        <v>25.805657286619155</v>
      </c>
      <c r="E342" s="383">
        <f t="shared" si="121"/>
        <v>27.064065259675679</v>
      </c>
      <c r="F342" s="383">
        <f t="shared" si="124"/>
        <v>27.112988230859333</v>
      </c>
      <c r="G342" s="110">
        <f t="shared" si="122"/>
        <v>0.98366740791809637</v>
      </c>
      <c r="H342" s="412" t="b">
        <f>Wh_hp&gt;='2019'!Maxi_hp</f>
        <v>1</v>
      </c>
      <c r="I342" s="388">
        <f>IF(H342,Wh_hp,'2019'!Maxi_hp)</f>
        <v>27.112988230859333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1.2890866639217458E-2</v>
      </c>
      <c r="M342" s="832"/>
      <c r="N342" s="832"/>
      <c r="O342" s="48">
        <f>IF(t&lt;Tnet,'2019'!Resal+('2019'!Salim-'2019'!Resal)*(1-EXP(('2019'!Tnet-t)/('2019'!Tau_j))),Resal+(Salim-Resal)*(1-EXP((Tnet-t)/(Tau_j))))*Salcycl</f>
        <v>4.6497374322086803E-2</v>
      </c>
      <c r="P342" s="169">
        <f>(INDEX(Models!$BJ342:$BT342,,T342)*(1-R342)+INDEX(Models!$BJ342:$BT342,,T342+1)*R342-ERP_i)*Q342*Ramure*Pc/MaxiM</f>
        <v>1.8474031902243793E-3</v>
      </c>
      <c r="Q342" s="304">
        <f t="shared" si="126"/>
        <v>0.6</v>
      </c>
      <c r="R342" s="177">
        <f t="shared" si="127"/>
        <v>0.49875482952757078</v>
      </c>
      <c r="S342" s="799">
        <f t="shared" si="128"/>
        <v>-1</v>
      </c>
      <c r="T342" s="176">
        <f t="shared" si="129"/>
        <v>5</v>
      </c>
      <c r="U342" s="250">
        <f t="shared" si="130"/>
        <v>-0.50124517047242922</v>
      </c>
      <c r="V342" s="382">
        <f t="shared" si="131"/>
        <v>25.894832615577791</v>
      </c>
      <c r="W342" s="58"/>
      <c r="X342" s="157">
        <f t="shared" si="132"/>
        <v>44158</v>
      </c>
      <c r="Y342" s="383">
        <f t="shared" si="133"/>
        <v>25.472999999999999</v>
      </c>
      <c r="Z342" s="383">
        <f t="shared" si="134"/>
        <v>25.805657286619155</v>
      </c>
      <c r="AA342" s="384">
        <f t="shared" si="135"/>
        <v>27.064065259675679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4.6497374322086803E-2</v>
      </c>
      <c r="AD342" s="230">
        <f>(INDEX(Models!$BJ342:$BT342,,AH342)*(1-AF342)+INDEX(Models!$BJ342:$BT342,,AH342+1)*AF342-ERP_i)*AE342*Ramure*Pc/MaxiM</f>
        <v>1.8474031902243793E-3</v>
      </c>
      <c r="AE342" s="304">
        <f t="shared" si="137"/>
        <v>0.6</v>
      </c>
      <c r="AF342" s="177">
        <f t="shared" si="138"/>
        <v>0.49875482952757078</v>
      </c>
      <c r="AG342" s="176">
        <f t="shared" si="139"/>
        <v>-1</v>
      </c>
      <c r="AH342" s="176">
        <f t="shared" si="140"/>
        <v>5</v>
      </c>
      <c r="AI342" s="224">
        <f t="shared" si="141"/>
        <v>-0.50124517047242922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24.155999999999999</v>
      </c>
      <c r="C343" s="388"/>
      <c r="D343" s="391">
        <f t="shared" si="123"/>
        <v>24.471927304386998</v>
      </c>
      <c r="E343" s="383">
        <f t="shared" si="121"/>
        <v>25.666039641185648</v>
      </c>
      <c r="F343" s="383">
        <f t="shared" si="124"/>
        <v>25.709723482797013</v>
      </c>
      <c r="G343" s="110">
        <f t="shared" si="122"/>
        <v>0.94067142995990827</v>
      </c>
      <c r="H343" s="412" t="b">
        <f>Wh_hp&gt;='2019'!Maxi_hp</f>
        <v>1</v>
      </c>
      <c r="I343" s="388">
        <f>IF(H343,Wh_hp,'2019'!Maxi_hp)</f>
        <v>25.709723482797013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1.290978436056256E-2</v>
      </c>
      <c r="M343" s="832"/>
      <c r="N343" s="832"/>
      <c r="O343" s="48">
        <f>IF(t&lt;Tnet,'2019'!Resal+('2019'!Salim-'2019'!Resal)*(1-EXP(('2019'!Tnet-t)/('2019'!Tau_j))),Resal+(Salim-Resal)*(1-EXP((Tnet-t)/(Tau_j))))*Salcycl</f>
        <v>4.6524993863193732E-2</v>
      </c>
      <c r="P343" s="169">
        <f>(INDEX(Models!$BJ343:$BT343,,T343)*(1-R343)+INDEX(Models!$BJ343:$BT343,,T343+1)*R343-ERP_i)*Q343*Ramure*Pc/MaxiM</f>
        <v>1.8560337426036934E-3</v>
      </c>
      <c r="Q343" s="304">
        <f t="shared" si="126"/>
        <v>0.6</v>
      </c>
      <c r="R343" s="177">
        <f t="shared" si="127"/>
        <v>0.49877587527896805</v>
      </c>
      <c r="S343" s="799">
        <f t="shared" si="128"/>
        <v>-1</v>
      </c>
      <c r="T343" s="176">
        <f t="shared" si="129"/>
        <v>5</v>
      </c>
      <c r="U343" s="250">
        <f t="shared" si="130"/>
        <v>-0.50122412472103195</v>
      </c>
      <c r="V343" s="382">
        <f t="shared" si="131"/>
        <v>25.675493388111462</v>
      </c>
      <c r="W343" s="58"/>
      <c r="X343" s="157">
        <f t="shared" si="132"/>
        <v>44159</v>
      </c>
      <c r="Y343" s="383">
        <f t="shared" si="133"/>
        <v>24.155999999999999</v>
      </c>
      <c r="Z343" s="383">
        <f t="shared" si="134"/>
        <v>24.471927304386998</v>
      </c>
      <c r="AA343" s="384">
        <f t="shared" si="135"/>
        <v>25.666039641185648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4.6524993863193732E-2</v>
      </c>
      <c r="AD343" s="230">
        <f>(INDEX(Models!$BJ343:$BT343,,AH343)*(1-AF343)+INDEX(Models!$BJ343:$BT343,,AH343+1)*AF343-ERP_i)*AE343*Ramure*Pc/MaxiM</f>
        <v>1.8560337426036934E-3</v>
      </c>
      <c r="AE343" s="304">
        <f t="shared" si="137"/>
        <v>0.6</v>
      </c>
      <c r="AF343" s="177">
        <f t="shared" si="138"/>
        <v>0.49877587527896805</v>
      </c>
      <c r="AG343" s="176">
        <f t="shared" si="139"/>
        <v>-1</v>
      </c>
      <c r="AH343" s="176">
        <f t="shared" si="140"/>
        <v>5</v>
      </c>
      <c r="AI343" s="224">
        <f t="shared" si="141"/>
        <v>-0.50122412472103195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25.283999999999999</v>
      </c>
      <c r="C344" s="388"/>
      <c r="D344" s="391">
        <f t="shared" si="123"/>
        <v>25.615170904109501</v>
      </c>
      <c r="E344" s="383">
        <f t="shared" si="121"/>
        <v>26.86586714991925</v>
      </c>
      <c r="F344" s="383">
        <f t="shared" si="124"/>
        <v>26.915508219914461</v>
      </c>
      <c r="G344" s="110">
        <f t="shared" si="122"/>
        <v>0.99289907847691605</v>
      </c>
      <c r="H344" s="412" t="b">
        <f>Wh_hp&gt;='2019'!Maxi_hp</f>
        <v>1</v>
      </c>
      <c r="I344" s="388">
        <f>IF(H344,Wh_hp,'2019'!Maxi_hp)</f>
        <v>26.915508219914461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1.2928701719353786E-2</v>
      </c>
      <c r="M344" s="832"/>
      <c r="N344" s="832"/>
      <c r="O344" s="48">
        <f>IF(t&lt;Tnet,'2019'!Resal+('2019'!Salim-'2019'!Resal)*(1-EXP(('2019'!Tnet-t)/('2019'!Tau_j))),Resal+(Salim-Resal)*(1-EXP((Tnet-t)/(Tau_j))))*Salcycl</f>
        <v>4.6553354813768169E-2</v>
      </c>
      <c r="P344" s="169">
        <f>(INDEX(Models!$BJ344:$BT344,,T344)*(1-R344)+INDEX(Models!$BJ344:$BT344,,T344+1)*R344-ERP_i)*Q344*Ramure*Pc/MaxiM</f>
        <v>1.8631801674374891E-3</v>
      </c>
      <c r="Q344" s="304">
        <f t="shared" si="126"/>
        <v>0.6</v>
      </c>
      <c r="R344" s="177">
        <f t="shared" si="127"/>
        <v>0.49879607533236636</v>
      </c>
      <c r="S344" s="799">
        <f t="shared" si="128"/>
        <v>-1</v>
      </c>
      <c r="T344" s="176">
        <f t="shared" si="129"/>
        <v>5</v>
      </c>
      <c r="U344" s="250">
        <f t="shared" si="130"/>
        <v>-0.50120392466763364</v>
      </c>
      <c r="V344" s="382">
        <f t="shared" si="131"/>
        <v>25.464342802867169</v>
      </c>
      <c r="W344" s="58"/>
      <c r="X344" s="157">
        <f t="shared" si="132"/>
        <v>44160</v>
      </c>
      <c r="Y344" s="383">
        <f t="shared" si="133"/>
        <v>25.283999999999999</v>
      </c>
      <c r="Z344" s="383">
        <f t="shared" si="134"/>
        <v>25.615170904109501</v>
      </c>
      <c r="AA344" s="384">
        <f t="shared" si="135"/>
        <v>26.86586714991925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4.6553354813768169E-2</v>
      </c>
      <c r="AD344" s="230">
        <f>(INDEX(Models!$BJ344:$BT344,,AH344)*(1-AF344)+INDEX(Models!$BJ344:$BT344,,AH344+1)*AF344-ERP_i)*AE344*Ramure*Pc/MaxiM</f>
        <v>1.8631801674374891E-3</v>
      </c>
      <c r="AE344" s="304">
        <f t="shared" si="137"/>
        <v>0.6</v>
      </c>
      <c r="AF344" s="177">
        <f t="shared" si="138"/>
        <v>0.49879607533236636</v>
      </c>
      <c r="AG344" s="176">
        <f t="shared" si="139"/>
        <v>-1</v>
      </c>
      <c r="AH344" s="176">
        <f t="shared" si="140"/>
        <v>5</v>
      </c>
      <c r="AI344" s="224">
        <f t="shared" si="141"/>
        <v>-0.50120392466763364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21.893999999999998</v>
      </c>
      <c r="C345" s="388"/>
      <c r="D345" s="391">
        <f t="shared" si="123"/>
        <v>22.181193637880124</v>
      </c>
      <c r="E345" s="383">
        <f t="shared" si="121"/>
        <v>23.264931517389961</v>
      </c>
      <c r="F345" s="383">
        <f t="shared" si="124"/>
        <v>23.300191289146664</v>
      </c>
      <c r="G345" s="110">
        <f t="shared" si="122"/>
        <v>0.86646240303740329</v>
      </c>
      <c r="H345" s="412" t="b">
        <f>Wh_hp&gt;='2019'!Maxi_hp</f>
        <v>1</v>
      </c>
      <c r="I345" s="388">
        <f>IF(H345,Wh_hp,'2019'!Maxi_hp)</f>
        <v>23.300191289146664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1.2947618715598241E-2</v>
      </c>
      <c r="M345" s="832"/>
      <c r="N345" s="832"/>
      <c r="O345" s="48">
        <f>IF(t&lt;Tnet,'2019'!Resal+('2019'!Salim-'2019'!Resal)*(1-EXP(('2019'!Tnet-t)/('2019'!Tau_j))),Resal+(Salim-Resal)*(1-EXP((Tnet-t)/(Tau_j))))*Salcycl</f>
        <v>4.6582465918705601E-2</v>
      </c>
      <c r="P345" s="169">
        <f>(INDEX(Models!$BJ345:$BT345,,T345)*(1-R345)+INDEX(Models!$BJ345:$BT345,,T345+1)*R345-ERP_i)*Q345*Ramure*Pc/MaxiM</f>
        <v>1.8690041971291189E-3</v>
      </c>
      <c r="Q345" s="304">
        <f t="shared" si="126"/>
        <v>0.6</v>
      </c>
      <c r="R345" s="177">
        <f t="shared" si="127"/>
        <v>0.49881546360682694</v>
      </c>
      <c r="S345" s="799">
        <f t="shared" si="128"/>
        <v>-1</v>
      </c>
      <c r="T345" s="176">
        <f t="shared" si="129"/>
        <v>5</v>
      </c>
      <c r="U345" s="250">
        <f t="shared" si="130"/>
        <v>-0.50118453639317306</v>
      </c>
      <c r="V345" s="382">
        <f t="shared" si="131"/>
        <v>25.259261046879828</v>
      </c>
      <c r="W345" s="58"/>
      <c r="X345" s="157">
        <f t="shared" si="132"/>
        <v>44161</v>
      </c>
      <c r="Y345" s="383">
        <f t="shared" si="133"/>
        <v>21.893999999999998</v>
      </c>
      <c r="Z345" s="383">
        <f t="shared" si="134"/>
        <v>22.181193637880124</v>
      </c>
      <c r="AA345" s="384">
        <f t="shared" si="135"/>
        <v>23.264931517389961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4.6582465918705601E-2</v>
      </c>
      <c r="AD345" s="230">
        <f>(INDEX(Models!$BJ345:$BT345,,AH345)*(1-AF345)+INDEX(Models!$BJ345:$BT345,,AH345+1)*AF345-ERP_i)*AE345*Ramure*Pc/MaxiM</f>
        <v>1.8690041971291189E-3</v>
      </c>
      <c r="AE345" s="304">
        <f t="shared" si="137"/>
        <v>0.6</v>
      </c>
      <c r="AF345" s="177">
        <f t="shared" si="138"/>
        <v>0.49881546360682694</v>
      </c>
      <c r="AG345" s="176">
        <f t="shared" si="139"/>
        <v>-1</v>
      </c>
      <c r="AH345" s="176">
        <f t="shared" si="140"/>
        <v>5</v>
      </c>
      <c r="AI345" s="224">
        <f t="shared" si="141"/>
        <v>-0.50118453639317306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15.404999999999999</v>
      </c>
      <c r="C346" s="388"/>
      <c r="D346" s="391">
        <f t="shared" si="123"/>
        <v>15.607373560988327</v>
      </c>
      <c r="E346" s="383">
        <f t="shared" si="121"/>
        <v>16.370437861658736</v>
      </c>
      <c r="F346" s="383">
        <f t="shared" si="124"/>
        <v>16.384266753107251</v>
      </c>
      <c r="G346" s="110">
        <f t="shared" si="122"/>
        <v>0.61413535225781712</v>
      </c>
      <c r="H346" s="412" t="b">
        <f>Wh_hp&gt;='2019'!Maxi_hp</f>
        <v>1</v>
      </c>
      <c r="I346" s="388">
        <f>IF(H346,Wh_hp,'2019'!Maxi_hp)</f>
        <v>16.384266753107251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1.2966535349302699E-2</v>
      </c>
      <c r="M346" s="832"/>
      <c r="N346" s="832"/>
      <c r="O346" s="48">
        <f>IF(t&lt;Tnet,'2019'!Resal+('2019'!Salim-'2019'!Resal)*(1-EXP(('2019'!Tnet-t)/('2019'!Tau_j))),Resal+(Salim-Resal)*(1-EXP((Tnet-t)/(Tau_j))))*Salcycl</f>
        <v>4.6612332982099693E-2</v>
      </c>
      <c r="P346" s="169">
        <f>(INDEX(Models!$BJ346:$BT346,,T346)*(1-R346)+INDEX(Models!$BJ346:$BT346,,T346+1)*R346-ERP_i)*Q346*Ramure*Pc/MaxiM</f>
        <v>1.8769979056669577E-3</v>
      </c>
      <c r="Q346" s="304">
        <f t="shared" si="126"/>
        <v>0.6</v>
      </c>
      <c r="R346" s="177">
        <f t="shared" si="127"/>
        <v>0.49883407266606172</v>
      </c>
      <c r="S346" s="799">
        <f t="shared" si="128"/>
        <v>-1</v>
      </c>
      <c r="T346" s="176">
        <f t="shared" si="129"/>
        <v>5</v>
      </c>
      <c r="U346" s="250">
        <f t="shared" si="130"/>
        <v>-0.50116592733393828</v>
      </c>
      <c r="V346" s="382">
        <f t="shared" si="131"/>
        <v>25.05811415123538</v>
      </c>
      <c r="W346" s="58"/>
      <c r="X346" s="157">
        <f t="shared" si="132"/>
        <v>44162</v>
      </c>
      <c r="Y346" s="383">
        <f t="shared" si="133"/>
        <v>15.405000000000001</v>
      </c>
      <c r="Z346" s="383">
        <f t="shared" si="134"/>
        <v>15.607373560988329</v>
      </c>
      <c r="AA346" s="384">
        <f t="shared" si="135"/>
        <v>16.370437861658736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4.6612332982099693E-2</v>
      </c>
      <c r="AD346" s="230">
        <f>(INDEX(Models!$BJ346:$BT346,,AH346)*(1-AF346)+INDEX(Models!$BJ346:$BT346,,AH346+1)*AF346-ERP_i)*AE346*Ramure*Pc/MaxiM</f>
        <v>1.8769979056669577E-3</v>
      </c>
      <c r="AE346" s="304">
        <f t="shared" si="137"/>
        <v>0.6</v>
      </c>
      <c r="AF346" s="177">
        <f t="shared" si="138"/>
        <v>0.49883407266606172</v>
      </c>
      <c r="AG346" s="176">
        <f t="shared" si="139"/>
        <v>-1</v>
      </c>
      <c r="AH346" s="176">
        <f t="shared" si="140"/>
        <v>5</v>
      </c>
      <c r="AI346" s="224">
        <f t="shared" si="141"/>
        <v>-0.50116592733393828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8.6669999999999998</v>
      </c>
      <c r="C347" s="388"/>
      <c r="D347" s="391">
        <f t="shared" si="123"/>
        <v>8.7810255828846966</v>
      </c>
      <c r="E347" s="383">
        <f t="shared" si="121"/>
        <v>9.21063694326042</v>
      </c>
      <c r="F347" s="383">
        <f t="shared" si="124"/>
        <v>9.2118458160245016</v>
      </c>
      <c r="G347" s="110">
        <f t="shared" si="122"/>
        <v>0.34799878537238516</v>
      </c>
      <c r="H347" s="412" t="b">
        <f>Wh_hp&gt;='2019'!Maxi_hp</f>
        <v>0</v>
      </c>
      <c r="I347" s="388">
        <f>IF(H347,Wh_hp,'2019'!Maxi_hp)</f>
        <v>16.175594142321199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1.2985451620474264E-2</v>
      </c>
      <c r="M347" s="832"/>
      <c r="N347" s="832"/>
      <c r="O347" s="48">
        <f>IF(t&lt;Tnet,'2019'!Resal+('2019'!Salim-'2019'!Resal)*(1-EXP(('2019'!Tnet-t)/('2019'!Tau_j))),Resal+(Salim-Resal)*(1-EXP((Tnet-t)/(Tau_j))))*Salcycl</f>
        <v>4.6642958898741295E-2</v>
      </c>
      <c r="P347" s="169">
        <f>(INDEX(Models!$BJ347:$BT347,,T347)*(1-R347)+INDEX(Models!$BJ347:$BT347,,T347+1)*R347-ERP_i)*Q347*Ramure*Pc/MaxiM</f>
        <v>1.8896854447857929E-3</v>
      </c>
      <c r="Q347" s="304">
        <f t="shared" si="126"/>
        <v>0.6</v>
      </c>
      <c r="R347" s="177">
        <f t="shared" si="127"/>
        <v>0.49885193377219084</v>
      </c>
      <c r="S347" s="799">
        <f t="shared" si="128"/>
        <v>-1</v>
      </c>
      <c r="T347" s="176">
        <f t="shared" si="129"/>
        <v>5</v>
      </c>
      <c r="U347" s="250">
        <f t="shared" si="130"/>
        <v>-0.50114806622780916</v>
      </c>
      <c r="V347" s="382">
        <f t="shared" si="131"/>
        <v>24.86145881005357</v>
      </c>
      <c r="W347" s="58"/>
      <c r="X347" s="157">
        <f t="shared" si="132"/>
        <v>44163</v>
      </c>
      <c r="Y347" s="383">
        <f t="shared" si="133"/>
        <v>8.6669999999999998</v>
      </c>
      <c r="Z347" s="383">
        <f t="shared" si="134"/>
        <v>8.7810255828846966</v>
      </c>
      <c r="AA347" s="384">
        <f t="shared" si="135"/>
        <v>9.21063694326042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4.6642958898741295E-2</v>
      </c>
      <c r="AD347" s="230">
        <f>(INDEX(Models!$BJ347:$BT347,,AH347)*(1-AF347)+INDEX(Models!$BJ347:$BT347,,AH347+1)*AF347-ERP_i)*AE347*Ramure*Pc/MaxiM</f>
        <v>1.8896854447857929E-3</v>
      </c>
      <c r="AE347" s="304">
        <f t="shared" si="137"/>
        <v>0.6</v>
      </c>
      <c r="AF347" s="177">
        <f t="shared" si="138"/>
        <v>0.49885193377219084</v>
      </c>
      <c r="AG347" s="176">
        <f t="shared" si="139"/>
        <v>-1</v>
      </c>
      <c r="AH347" s="176">
        <f t="shared" si="140"/>
        <v>5</v>
      </c>
      <c r="AI347" s="224">
        <f t="shared" si="141"/>
        <v>-0.50114806622780916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23.771999999999998</v>
      </c>
      <c r="C348" s="388"/>
      <c r="D348" s="391">
        <f t="shared" si="123"/>
        <v>24.085212961366729</v>
      </c>
      <c r="E348" s="383">
        <f t="shared" si="121"/>
        <v>25.26441285019618</v>
      </c>
      <c r="F348" s="383">
        <f t="shared" si="124"/>
        <v>25.310170680267795</v>
      </c>
      <c r="G348" s="110">
        <f t="shared" si="122"/>
        <v>0.96350705212929011</v>
      </c>
      <c r="H348" s="412" t="b">
        <f>Wh_hp&gt;='2019'!Maxi_hp</f>
        <v>1</v>
      </c>
      <c r="I348" s="388">
        <f>IF(H348,Wh_hp,'2019'!Maxi_hp)</f>
        <v>25.310170680267795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1.3004367529119709E-2</v>
      </c>
      <c r="M348" s="832"/>
      <c r="N348" s="832"/>
      <c r="O348" s="48">
        <f>IF(t&lt;Tnet,'2019'!Resal+('2019'!Salim-'2019'!Resal)*(1-EXP(('2019'!Tnet-t)/('2019'!Tau_j))),Resal+(Salim-Resal)*(1-EXP((Tnet-t)/(Tau_j))))*Salcycl</f>
        <v>4.6674343703194086E-2</v>
      </c>
      <c r="P348" s="169">
        <f>(INDEX(Models!$BJ348:$BT348,,T348)*(1-R348)+INDEX(Models!$BJ348:$BT348,,T348+1)*R348-ERP_i)*Q348*Ramure*Pc/MaxiM</f>
        <v>1.9070417197010574E-3</v>
      </c>
      <c r="Q348" s="304">
        <f t="shared" si="126"/>
        <v>0.6</v>
      </c>
      <c r="R348" s="177">
        <f t="shared" si="127"/>
        <v>0.49886907693740001</v>
      </c>
      <c r="S348" s="799">
        <f t="shared" si="128"/>
        <v>-1</v>
      </c>
      <c r="T348" s="176">
        <f t="shared" si="129"/>
        <v>5</v>
      </c>
      <c r="U348" s="250">
        <f t="shared" si="130"/>
        <v>-0.50113092306259999</v>
      </c>
      <c r="V348" s="382">
        <f t="shared" si="131"/>
        <v>24.669916509413646</v>
      </c>
      <c r="W348" s="58"/>
      <c r="X348" s="157">
        <f t="shared" si="132"/>
        <v>44164</v>
      </c>
      <c r="Y348" s="383">
        <f t="shared" si="133"/>
        <v>23.771999999999998</v>
      </c>
      <c r="Z348" s="383">
        <f t="shared" si="134"/>
        <v>24.085212961366729</v>
      </c>
      <c r="AA348" s="384">
        <f t="shared" si="135"/>
        <v>25.26441285019618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4.6674343703194086E-2</v>
      </c>
      <c r="AD348" s="230">
        <f>(INDEX(Models!$BJ348:$BT348,,AH348)*(1-AF348)+INDEX(Models!$BJ348:$BT348,,AH348+1)*AF348-ERP_i)*AE348*Ramure*Pc/MaxiM</f>
        <v>1.9070417197010574E-3</v>
      </c>
      <c r="AE348" s="304">
        <f t="shared" si="137"/>
        <v>0.6</v>
      </c>
      <c r="AF348" s="177">
        <f t="shared" si="138"/>
        <v>0.49886907693740001</v>
      </c>
      <c r="AG348" s="176">
        <f t="shared" si="139"/>
        <v>-1</v>
      </c>
      <c r="AH348" s="176">
        <f t="shared" si="140"/>
        <v>5</v>
      </c>
      <c r="AI348" s="224">
        <f t="shared" si="141"/>
        <v>-0.50113092306259999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24.553000000000001</v>
      </c>
      <c r="C349" s="388"/>
      <c r="D349" s="391">
        <f t="shared" si="123"/>
        <v>24.876979951971752</v>
      </c>
      <c r="E349" s="383">
        <f t="shared" si="121"/>
        <v>26.095824162268745</v>
      </c>
      <c r="F349" s="383">
        <f t="shared" si="124"/>
        <v>26.146261330818092</v>
      </c>
      <c r="G349" s="110">
        <f t="shared" si="122"/>
        <v>1.0028137228871641</v>
      </c>
      <c r="H349" s="412" t="b">
        <f>Wh_hp&gt;='2019'!Maxi_hp</f>
        <v>1</v>
      </c>
      <c r="I349" s="388">
        <f>IF(H349,Wh_hp,'2019'!Maxi_hp)</f>
        <v>26.146261330818092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1.3023283075246139E-2</v>
      </c>
      <c r="M349" s="832"/>
      <c r="N349" s="832"/>
      <c r="O349" s="48">
        <f>IF(t&lt;Tnet,'2019'!Resal+('2019'!Salim-'2019'!Resal)*(1-EXP(('2019'!Tnet-t)/('2019'!Tau_j))),Resal+(Salim-Resal)*(1-EXP((Tnet-t)/(Tau_j))))*Salcycl</f>
        <v>4.6706484635932216E-2</v>
      </c>
      <c r="P349" s="169">
        <f>(INDEX(Models!$BJ349:$BT349,,T349)*(1-R349)+INDEX(Models!$BJ349:$BT349,,T349+1)*R349-ERP_i)*Q349*Ramure*Pc/MaxiM</f>
        <v>1.9290394106900055E-3</v>
      </c>
      <c r="Q349" s="304">
        <f t="shared" si="126"/>
        <v>0.6</v>
      </c>
      <c r="R349" s="177">
        <f t="shared" si="127"/>
        <v>0.49888553097357546</v>
      </c>
      <c r="S349" s="799">
        <f t="shared" si="128"/>
        <v>-1</v>
      </c>
      <c r="T349" s="176">
        <f t="shared" si="129"/>
        <v>5</v>
      </c>
      <c r="U349" s="250">
        <f t="shared" si="130"/>
        <v>-0.50111446902642454</v>
      </c>
      <c r="V349" s="382">
        <f t="shared" si="131"/>
        <v>24.484108503531804</v>
      </c>
      <c r="W349" s="58"/>
      <c r="X349" s="157">
        <f t="shared" si="132"/>
        <v>44165</v>
      </c>
      <c r="Y349" s="383">
        <f t="shared" si="133"/>
        <v>24.553000000000001</v>
      </c>
      <c r="Z349" s="383">
        <f t="shared" si="134"/>
        <v>24.876979951971752</v>
      </c>
      <c r="AA349" s="384">
        <f t="shared" si="135"/>
        <v>26.095824162268745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4.6706484635932216E-2</v>
      </c>
      <c r="AD349" s="230">
        <f>(INDEX(Models!$BJ349:$BT349,,AH349)*(1-AF349)+INDEX(Models!$BJ349:$BT349,,AH349+1)*AF349-ERP_i)*AE349*Ramure*Pc/MaxiM</f>
        <v>1.9290394106900055E-3</v>
      </c>
      <c r="AE349" s="304">
        <f t="shared" si="137"/>
        <v>0.6</v>
      </c>
      <c r="AF349" s="177">
        <f t="shared" si="138"/>
        <v>0.49888553097357546</v>
      </c>
      <c r="AG349" s="176">
        <f t="shared" si="139"/>
        <v>-1</v>
      </c>
      <c r="AH349" s="176">
        <f t="shared" si="140"/>
        <v>5</v>
      </c>
      <c r="AI349" s="224">
        <f t="shared" si="141"/>
        <v>-0.50111446902642454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4.5819999999999999</v>
      </c>
      <c r="C350" s="388"/>
      <c r="D350" s="391">
        <f t="shared" si="123"/>
        <v>4.6425490450723164</v>
      </c>
      <c r="E350" s="383">
        <f t="shared" si="121"/>
        <v>4.8701781331234901</v>
      </c>
      <c r="F350" s="383">
        <f t="shared" si="124"/>
        <v>4.8701781331234901</v>
      </c>
      <c r="G350" s="110">
        <f t="shared" si="122"/>
        <v>0.18815486456186903</v>
      </c>
      <c r="H350" s="412" t="b">
        <f>Wh_hp&gt;='2019'!Maxi_hp</f>
        <v>1</v>
      </c>
      <c r="I350" s="388">
        <f>IF(H350,Wh_hp,'2019'!Maxi_hp)</f>
        <v>4.8701781331234901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1.3042198258860438E-2</v>
      </c>
      <c r="M350" s="832"/>
      <c r="N350" s="832"/>
      <c r="O350" s="48">
        <f>IF(t&lt;Tnet,'2019'!Resal+('2019'!Salim-'2019'!Resal)*(1-EXP(('2019'!Tnet-t)/('2019'!Tau_j))),Resal+(Salim-Resal)*(1-EXP((Tnet-t)/(Tau_j))))*Salcycl</f>
        <v>4.673937622589254E-2</v>
      </c>
      <c r="P350" s="169">
        <f>(INDEX(Models!$BJ350:$BT350,,T350)*(1-R350)+INDEX(Models!$BJ350:$BT350,,T350+1)*R350-ERP_i)*Q350*Ramure*Pc/MaxiM</f>
        <v>1.9556477787614681E-3</v>
      </c>
      <c r="Q350" s="304">
        <f t="shared" si="126"/>
        <v>0.6</v>
      </c>
      <c r="R350" s="177">
        <f t="shared" si="127"/>
        <v>0.49890132353999739</v>
      </c>
      <c r="S350" s="799">
        <f t="shared" si="128"/>
        <v>-1</v>
      </c>
      <c r="T350" s="176">
        <f t="shared" si="129"/>
        <v>5</v>
      </c>
      <c r="U350" s="250">
        <f t="shared" si="130"/>
        <v>-0.50109867646000261</v>
      </c>
      <c r="V350" s="382">
        <f t="shared" si="131"/>
        <v>24.304655808534832</v>
      </c>
      <c r="W350" s="58"/>
      <c r="X350" s="157">
        <f t="shared" si="132"/>
        <v>44166</v>
      </c>
      <c r="Y350" s="383">
        <f t="shared" si="133"/>
        <v>4.5819999999999999</v>
      </c>
      <c r="Z350" s="383">
        <f t="shared" si="134"/>
        <v>4.6425490450723164</v>
      </c>
      <c r="AA350" s="384">
        <f t="shared" si="135"/>
        <v>4.8701781331234901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4.673937622589254E-2</v>
      </c>
      <c r="AD350" s="230">
        <f>(INDEX(Models!$BJ350:$BT350,,AH350)*(1-AF350)+INDEX(Models!$BJ350:$BT350,,AH350+1)*AF350-ERP_i)*AE350*Ramure*Pc/MaxiM</f>
        <v>1.9556477787614681E-3</v>
      </c>
      <c r="AE350" s="304">
        <f t="shared" si="137"/>
        <v>0.6</v>
      </c>
      <c r="AF350" s="177">
        <f t="shared" si="138"/>
        <v>0.49890132353999739</v>
      </c>
      <c r="AG350" s="176">
        <f t="shared" si="139"/>
        <v>-1</v>
      </c>
      <c r="AH350" s="176">
        <f t="shared" si="140"/>
        <v>5</v>
      </c>
      <c r="AI350" s="224">
        <f t="shared" si="141"/>
        <v>-0.50109867646000261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1.2110000000000001</v>
      </c>
      <c r="C351" s="388"/>
      <c r="D351" s="391">
        <f t="shared" si="123"/>
        <v>1.2270263296435748</v>
      </c>
      <c r="E351" s="383">
        <f t="shared" si="121"/>
        <v>1.2872341457136878</v>
      </c>
      <c r="F351" s="383">
        <f t="shared" si="124"/>
        <v>1.2872341457136878</v>
      </c>
      <c r="G351" s="110">
        <f t="shared" si="122"/>
        <v>5.0082254795531606E-2</v>
      </c>
      <c r="H351" s="412" t="b">
        <f>Wh_hp&gt;='2019'!Maxi_hp</f>
        <v>0</v>
      </c>
      <c r="I351" s="388">
        <f>IF(H351,Wh_hp,'2019'!Maxi_hp)</f>
        <v>4.7620300329688083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1.3061113079969489E-2</v>
      </c>
      <c r="M351" s="832"/>
      <c r="N351" s="832"/>
      <c r="O351" s="48">
        <f>IF(t&lt;Tnet,'2019'!Resal+('2019'!Salim-'2019'!Resal)*(1-EXP(('2019'!Tnet-t)/('2019'!Tau_j))),Resal+(Salim-Resal)*(1-EXP((Tnet-t)/(Tau_j))))*Salcycl</f>
        <v>4.6773010388666783E-2</v>
      </c>
      <c r="P351" s="169">
        <f>(INDEX(Models!$BJ351:$BT351,,T351)*(1-R351)+INDEX(Models!$BJ351:$BT351,,T351+1)*R351-ERP_i)*Q351*Ramure*Pc/MaxiM</f>
        <v>1.9868313837251919E-3</v>
      </c>
      <c r="Q351" s="304">
        <f t="shared" si="126"/>
        <v>0.6</v>
      </c>
      <c r="R351" s="177">
        <f t="shared" si="127"/>
        <v>0.49891648118915999</v>
      </c>
      <c r="S351" s="799">
        <f t="shared" si="128"/>
        <v>-1</v>
      </c>
      <c r="T351" s="176">
        <f t="shared" si="129"/>
        <v>5</v>
      </c>
      <c r="U351" s="250">
        <f t="shared" si="130"/>
        <v>-0.50108351881084001</v>
      </c>
      <c r="V351" s="382">
        <f t="shared" si="131"/>
        <v>24.132179194578534</v>
      </c>
      <c r="W351" s="58"/>
      <c r="X351" s="157">
        <f t="shared" si="132"/>
        <v>44167</v>
      </c>
      <c r="Y351" s="383">
        <f t="shared" si="133"/>
        <v>1.2110000000000001</v>
      </c>
      <c r="Z351" s="383">
        <f t="shared" si="134"/>
        <v>1.2270263296435748</v>
      </c>
      <c r="AA351" s="384">
        <f t="shared" si="135"/>
        <v>1.2872341457136878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4.6773010388666783E-2</v>
      </c>
      <c r="AD351" s="230">
        <f>(INDEX(Models!$BJ351:$BT351,,AH351)*(1-AF351)+INDEX(Models!$BJ351:$BT351,,AH351+1)*AF351-ERP_i)*AE351*Ramure*Pc/MaxiM</f>
        <v>1.9868313837251919E-3</v>
      </c>
      <c r="AE351" s="304">
        <f t="shared" si="137"/>
        <v>0.6</v>
      </c>
      <c r="AF351" s="177">
        <f t="shared" si="138"/>
        <v>0.49891648118915999</v>
      </c>
      <c r="AG351" s="176">
        <f t="shared" si="139"/>
        <v>-1</v>
      </c>
      <c r="AH351" s="176">
        <f t="shared" si="140"/>
        <v>5</v>
      </c>
      <c r="AI351" s="224">
        <f t="shared" si="141"/>
        <v>-0.50108351881084001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12.276999999999999</v>
      </c>
      <c r="C352" s="388"/>
      <c r="D352" s="391">
        <f t="shared" si="123"/>
        <v>12.439711772557049</v>
      </c>
      <c r="E352" s="383">
        <f t="shared" si="121"/>
        <v>13.050574948214292</v>
      </c>
      <c r="F352" s="383">
        <f t="shared" si="124"/>
        <v>13.058578014907082</v>
      </c>
      <c r="G352" s="110">
        <f t="shared" si="122"/>
        <v>0.51151706913007422</v>
      </c>
      <c r="H352" s="412" t="b">
        <f>Wh_hp&gt;='2019'!Maxi_hp</f>
        <v>1</v>
      </c>
      <c r="I352" s="388">
        <f>IF(H352,Wh_hp,'2019'!Maxi_hp)</f>
        <v>13.058578014907082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1.3080027538580397E-2</v>
      </c>
      <c r="M352" s="832"/>
      <c r="N352" s="832"/>
      <c r="O352" s="48">
        <f>IF(t&lt;Tnet,'2019'!Resal+('2019'!Salim-'2019'!Resal)*(1-EXP(('2019'!Tnet-t)/('2019'!Tau_j))),Resal+(Salim-Resal)*(1-EXP((Tnet-t)/(Tau_j))))*Salcycl</f>
        <v>4.6807376539439539E-2</v>
      </c>
      <c r="P352" s="169">
        <f>(INDEX(Models!$BJ352:$BT352,,T352)*(1-R352)+INDEX(Models!$BJ352:$BT352,,T352+1)*R352-ERP_i)*Q352*Ramure*Pc/MaxiM</f>
        <v>2.0213124260835881E-3</v>
      </c>
      <c r="Q352" s="304">
        <f t="shared" si="126"/>
        <v>0.6</v>
      </c>
      <c r="R352" s="177">
        <f t="shared" si="127"/>
        <v>0.49893102941079492</v>
      </c>
      <c r="S352" s="799">
        <f t="shared" si="128"/>
        <v>-1</v>
      </c>
      <c r="T352" s="176">
        <f t="shared" si="129"/>
        <v>5</v>
      </c>
      <c r="U352" s="250">
        <f t="shared" si="130"/>
        <v>-0.50106897058920508</v>
      </c>
      <c r="V352" s="382">
        <f t="shared" si="131"/>
        <v>23.967328859599295</v>
      </c>
      <c r="W352" s="58"/>
      <c r="X352" s="157">
        <f t="shared" si="132"/>
        <v>44168</v>
      </c>
      <c r="Y352" s="383">
        <f t="shared" si="133"/>
        <v>12.276999999999999</v>
      </c>
      <c r="Z352" s="383">
        <f t="shared" si="134"/>
        <v>12.439711772557049</v>
      </c>
      <c r="AA352" s="384">
        <f t="shared" si="135"/>
        <v>13.050574948214292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4.6807376539439539E-2</v>
      </c>
      <c r="AD352" s="230">
        <f>(INDEX(Models!$BJ352:$BT352,,AH352)*(1-AF352)+INDEX(Models!$BJ352:$BT352,,AH352+1)*AF352-ERP_i)*AE352*Ramure*Pc/MaxiM</f>
        <v>2.0213124260835881E-3</v>
      </c>
      <c r="AE352" s="304">
        <f t="shared" si="137"/>
        <v>0.6</v>
      </c>
      <c r="AF352" s="177">
        <f t="shared" si="138"/>
        <v>0.49893102941079492</v>
      </c>
      <c r="AG352" s="176">
        <f t="shared" si="139"/>
        <v>-1</v>
      </c>
      <c r="AH352" s="176">
        <f t="shared" si="140"/>
        <v>5</v>
      </c>
      <c r="AI352" s="224">
        <f t="shared" si="141"/>
        <v>-0.50106897058920508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8.5</v>
      </c>
      <c r="C353" s="388"/>
      <c r="D353" s="391">
        <f t="shared" si="123"/>
        <v>8.6128188109144137</v>
      </c>
      <c r="E353" s="383">
        <f t="shared" si="121"/>
        <v>9.0360915850841188</v>
      </c>
      <c r="F353" s="383">
        <f t="shared" si="124"/>
        <v>9.0376055602507197</v>
      </c>
      <c r="G353" s="110">
        <f t="shared" si="122"/>
        <v>0.35630664541261248</v>
      </c>
      <c r="H353" s="412" t="b">
        <f>Wh_hp&gt;='2019'!Maxi_hp</f>
        <v>0</v>
      </c>
      <c r="I353" s="388">
        <f>IF(H353,Wh_hp,'2019'!Maxi_hp)</f>
        <v>9.2474057354658896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1.3098941634700045E-2</v>
      </c>
      <c r="M353" s="832"/>
      <c r="N353" s="832"/>
      <c r="O353" s="48">
        <f>IF(t&lt;Tnet,'2019'!Resal+('2019'!Salim-'2019'!Resal)*(1-EXP(('2019'!Tnet-t)/('2019'!Tau_j))),Resal+(Salim-Resal)*(1-EXP((Tnet-t)/(Tau_j))))*Salcycl</f>
        <v>4.6842461719666703E-2</v>
      </c>
      <c r="P353" s="169">
        <f>(INDEX(Models!$BJ353:$BT353,,T353)*(1-R353)+INDEX(Models!$BJ353:$BT353,,T353+1)*R353-ERP_i)*Q353*Ramure*Pc/MaxiM</f>
        <v>2.0579214334280373E-3</v>
      </c>
      <c r="Q353" s="304">
        <f t="shared" si="126"/>
        <v>0.6</v>
      </c>
      <c r="R353" s="177">
        <f t="shared" si="127"/>
        <v>0.49894499267416392</v>
      </c>
      <c r="S353" s="799">
        <f t="shared" si="128"/>
        <v>-1</v>
      </c>
      <c r="T353" s="176">
        <f t="shared" si="129"/>
        <v>5</v>
      </c>
      <c r="U353" s="250">
        <f t="shared" si="130"/>
        <v>-0.50105500732583608</v>
      </c>
      <c r="V353" s="382">
        <f t="shared" si="131"/>
        <v>23.810751218291177</v>
      </c>
      <c r="W353" s="58"/>
      <c r="X353" s="157">
        <f t="shared" si="132"/>
        <v>44169</v>
      </c>
      <c r="Y353" s="383">
        <f t="shared" si="133"/>
        <v>8.5</v>
      </c>
      <c r="Z353" s="383">
        <f t="shared" si="134"/>
        <v>8.6128188109144137</v>
      </c>
      <c r="AA353" s="384">
        <f t="shared" si="135"/>
        <v>9.0360915850841188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4.6842461719666703E-2</v>
      </c>
      <c r="AD353" s="230">
        <f>(INDEX(Models!$BJ353:$BT353,,AH353)*(1-AF353)+INDEX(Models!$BJ353:$BT353,,AH353+1)*AF353-ERP_i)*AE353*Ramure*Pc/MaxiM</f>
        <v>2.0579214334280373E-3</v>
      </c>
      <c r="AE353" s="304">
        <f t="shared" si="137"/>
        <v>0.6</v>
      </c>
      <c r="AF353" s="177">
        <f t="shared" si="138"/>
        <v>0.49894499267416392</v>
      </c>
      <c r="AG353" s="176">
        <f t="shared" si="139"/>
        <v>-1</v>
      </c>
      <c r="AH353" s="176">
        <f t="shared" si="140"/>
        <v>5</v>
      </c>
      <c r="AI353" s="224">
        <f t="shared" si="141"/>
        <v>-0.50105500732583608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17.736000000000001</v>
      </c>
      <c r="C354" s="388"/>
      <c r="D354" s="391">
        <f t="shared" si="123"/>
        <v>17.971750828078491</v>
      </c>
      <c r="E354" s="383">
        <f t="shared" si="121"/>
        <v>18.855671735498163</v>
      </c>
      <c r="F354" s="383">
        <f t="shared" si="124"/>
        <v>18.881092862283797</v>
      </c>
      <c r="G354" s="110">
        <f t="shared" si="122"/>
        <v>0.74895944251825408</v>
      </c>
      <c r="H354" s="412" t="b">
        <f>Wh_hp&gt;='2019'!Maxi_hp</f>
        <v>1</v>
      </c>
      <c r="I354" s="388">
        <f>IF(H354,Wh_hp,'2019'!Maxi_hp)</f>
        <v>18.881092862283797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1.3117855368335207E-2</v>
      </c>
      <c r="M354" s="832"/>
      <c r="N354" s="832"/>
      <c r="O354" s="48">
        <f>IF(t&lt;Tnet,'2019'!Resal+('2019'!Salim-'2019'!Resal)*(1-EXP(('2019'!Tnet-t)/('2019'!Tau_j))),Resal+(Salim-Resal)*(1-EXP((Tnet-t)/(Tau_j))))*Salcycl</f>
        <v>4.6878250736386143E-2</v>
      </c>
      <c r="P354" s="169">
        <f>(INDEX(Models!$BJ354:$BT354,,T354)*(1-R354)+INDEX(Models!$BJ354:$BT354,,T354+1)*R354-ERP_i)*Q354*Ramure*Pc/MaxiM</f>
        <v>2.0965936761510868E-3</v>
      </c>
      <c r="Q354" s="304">
        <f t="shared" si="126"/>
        <v>0.6</v>
      </c>
      <c r="R354" s="177">
        <f t="shared" si="127"/>
        <v>0.49895839446868684</v>
      </c>
      <c r="S354" s="799">
        <f t="shared" si="128"/>
        <v>-1</v>
      </c>
      <c r="T354" s="176">
        <f t="shared" si="129"/>
        <v>5</v>
      </c>
      <c r="U354" s="250">
        <f t="shared" si="130"/>
        <v>-0.50104160553131316</v>
      </c>
      <c r="V354" s="382">
        <f t="shared" si="131"/>
        <v>23.663065402804019</v>
      </c>
      <c r="W354" s="58"/>
      <c r="X354" s="157">
        <f t="shared" si="132"/>
        <v>44170</v>
      </c>
      <c r="Y354" s="383">
        <f t="shared" si="133"/>
        <v>17.736000000000001</v>
      </c>
      <c r="Z354" s="383">
        <f t="shared" si="134"/>
        <v>17.971750828078491</v>
      </c>
      <c r="AA354" s="384">
        <f t="shared" si="135"/>
        <v>18.855671735498163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4.6878250736386143E-2</v>
      </c>
      <c r="AD354" s="230">
        <f>(INDEX(Models!$BJ354:$BT354,,AH354)*(1-AF354)+INDEX(Models!$BJ354:$BT354,,AH354+1)*AF354-ERP_i)*AE354*Ramure*Pc/MaxiM</f>
        <v>2.0965936761510868E-3</v>
      </c>
      <c r="AE354" s="304">
        <f t="shared" si="137"/>
        <v>0.6</v>
      </c>
      <c r="AF354" s="177">
        <f t="shared" si="138"/>
        <v>0.49895839446868684</v>
      </c>
      <c r="AG354" s="176">
        <f t="shared" si="139"/>
        <v>-1</v>
      </c>
      <c r="AH354" s="176">
        <f t="shared" si="140"/>
        <v>5</v>
      </c>
      <c r="AI354" s="224">
        <f t="shared" si="141"/>
        <v>-0.50104160553131316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12.382999999999999</v>
      </c>
      <c r="C355" s="388"/>
      <c r="D355" s="391">
        <f t="shared" si="123"/>
        <v>12.54783804659878</v>
      </c>
      <c r="E355" s="383">
        <f t="shared" si="121"/>
        <v>13.165493574417631</v>
      </c>
      <c r="F355" s="383">
        <f t="shared" si="124"/>
        <v>13.174599650882447</v>
      </c>
      <c r="G355" s="110">
        <f t="shared" si="122"/>
        <v>0.52561694065477582</v>
      </c>
      <c r="H355" s="412" t="b">
        <f>Wh_hp&gt;='2019'!Maxi_hp</f>
        <v>0</v>
      </c>
      <c r="I355" s="388">
        <f>IF(H355,Wh_hp,'2019'!Maxi_hp)</f>
        <v>15.619266818048127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1.3136768739493099E-2</v>
      </c>
      <c r="M355" s="832"/>
      <c r="N355" s="832"/>
      <c r="O355" s="48">
        <f>IF(t&lt;Tnet,'2019'!Resal+('2019'!Salim-'2019'!Resal)*(1-EXP(('2019'!Tnet-t)/('2019'!Tau_j))),Resal+(Salim-Resal)*(1-EXP((Tnet-t)/(Tau_j))))*Salcycl</f>
        <v>4.6914726312961119E-2</v>
      </c>
      <c r="P355" s="169">
        <f>(INDEX(Models!$BJ355:$BT355,,T355)*(1-R355)+INDEX(Models!$BJ355:$BT355,,T355+1)*R355-ERP_i)*Q355*Ramure*Pc/MaxiM</f>
        <v>2.1372555028072405E-3</v>
      </c>
      <c r="Q355" s="304">
        <f t="shared" si="126"/>
        <v>0.6</v>
      </c>
      <c r="R355" s="177">
        <f t="shared" si="127"/>
        <v>0.49897125734297187</v>
      </c>
      <c r="S355" s="799">
        <f t="shared" si="128"/>
        <v>-1</v>
      </c>
      <c r="T355" s="176">
        <f t="shared" si="129"/>
        <v>5</v>
      </c>
      <c r="U355" s="250">
        <f t="shared" si="130"/>
        <v>-0.50102874265702813</v>
      </c>
      <c r="V355" s="382">
        <f t="shared" si="131"/>
        <v>23.524890387907774</v>
      </c>
      <c r="W355" s="58"/>
      <c r="X355" s="157">
        <f t="shared" si="132"/>
        <v>44171</v>
      </c>
      <c r="Y355" s="383">
        <f t="shared" si="133"/>
        <v>12.382999999999999</v>
      </c>
      <c r="Z355" s="383">
        <f t="shared" si="134"/>
        <v>12.54783804659878</v>
      </c>
      <c r="AA355" s="384">
        <f t="shared" si="135"/>
        <v>13.165493574417631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4.6914726312961119E-2</v>
      </c>
      <c r="AD355" s="230">
        <f>(INDEX(Models!$BJ355:$BT355,,AH355)*(1-AF355)+INDEX(Models!$BJ355:$BT355,,AH355+1)*AF355-ERP_i)*AE355*Ramure*Pc/MaxiM</f>
        <v>2.1372555028072405E-3</v>
      </c>
      <c r="AE355" s="304">
        <f t="shared" si="137"/>
        <v>0.6</v>
      </c>
      <c r="AF355" s="177">
        <f t="shared" si="138"/>
        <v>0.49897125734297187</v>
      </c>
      <c r="AG355" s="176">
        <f t="shared" si="139"/>
        <v>-1</v>
      </c>
      <c r="AH355" s="176">
        <f t="shared" si="140"/>
        <v>5</v>
      </c>
      <c r="AI355" s="224">
        <f t="shared" si="141"/>
        <v>-0.50102874265702813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2.6560000000000001</v>
      </c>
      <c r="C356" s="388"/>
      <c r="D356" s="391">
        <f t="shared" si="123"/>
        <v>2.6914072978654482</v>
      </c>
      <c r="E356" s="383">
        <f t="shared" si="121"/>
        <v>2.8239993459169574</v>
      </c>
      <c r="F356" s="383">
        <f t="shared" si="124"/>
        <v>2.8239993459169574</v>
      </c>
      <c r="G356" s="110">
        <f t="shared" si="122"/>
        <v>0.11327212671559318</v>
      </c>
      <c r="H356" s="412" t="b">
        <f>Wh_hp&gt;='2019'!Maxi_hp</f>
        <v>0</v>
      </c>
      <c r="I356" s="388">
        <f>IF(H356,Wh_hp,'2019'!Maxi_hp)</f>
        <v>17.076709643331426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1.3155681748180492E-2</v>
      </c>
      <c r="M356" s="832"/>
      <c r="N356" s="832"/>
      <c r="O356" s="48">
        <f>IF(t&lt;Tnet,'2019'!Resal+('2019'!Salim-'2019'!Resal)*(1-EXP(('2019'!Tnet-t)/('2019'!Tau_j))),Resal+(Salim-Resal)*(1-EXP((Tnet-t)/(Tau_j))))*Salcycl</f>
        <v>4.6951869249975423E-2</v>
      </c>
      <c r="P356" s="169">
        <f>(INDEX(Models!$BJ356:$BT356,,T356)*(1-R356)+INDEX(Models!$BJ356:$BT356,,T356+1)*R356-ERP_i)*Q356*Ramure*Pc/MaxiM</f>
        <v>2.179823704016608E-3</v>
      </c>
      <c r="Q356" s="304">
        <f t="shared" si="126"/>
        <v>0.6</v>
      </c>
      <c r="R356" s="177">
        <f t="shared" si="127"/>
        <v>0.49898360294230604</v>
      </c>
      <c r="S356" s="799">
        <f t="shared" si="128"/>
        <v>-1</v>
      </c>
      <c r="T356" s="176">
        <f t="shared" si="129"/>
        <v>5</v>
      </c>
      <c r="U356" s="250">
        <f t="shared" si="130"/>
        <v>-0.50101639705769396</v>
      </c>
      <c r="V356" s="382">
        <f t="shared" si="131"/>
        <v>23.396844970487351</v>
      </c>
      <c r="W356" s="58"/>
      <c r="X356" s="157">
        <f t="shared" si="132"/>
        <v>44172</v>
      </c>
      <c r="Y356" s="383">
        <f t="shared" si="133"/>
        <v>2.6560000000000001</v>
      </c>
      <c r="Z356" s="383">
        <f t="shared" si="134"/>
        <v>2.6914072978654482</v>
      </c>
      <c r="AA356" s="384">
        <f t="shared" si="135"/>
        <v>2.8239993459169574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4.6951869249975423E-2</v>
      </c>
      <c r="AD356" s="230">
        <f>(INDEX(Models!$BJ356:$BT356,,AH356)*(1-AF356)+INDEX(Models!$BJ356:$BT356,,AH356+1)*AF356-ERP_i)*AE356*Ramure*Pc/MaxiM</f>
        <v>2.179823704016608E-3</v>
      </c>
      <c r="AE356" s="304">
        <f t="shared" si="137"/>
        <v>0.6</v>
      </c>
      <c r="AF356" s="177">
        <f t="shared" si="138"/>
        <v>0.49898360294230604</v>
      </c>
      <c r="AG356" s="176">
        <f t="shared" si="139"/>
        <v>-1</v>
      </c>
      <c r="AH356" s="176">
        <f t="shared" si="140"/>
        <v>5</v>
      </c>
      <c r="AI356" s="224">
        <f t="shared" si="141"/>
        <v>-0.50101639705769396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8.7539999999999996</v>
      </c>
      <c r="C357" s="388"/>
      <c r="D357" s="391">
        <f t="shared" si="123"/>
        <v>8.8708701156997876</v>
      </c>
      <c r="E357" s="383">
        <f t="shared" si="121"/>
        <v>9.308262177534214</v>
      </c>
      <c r="F357" s="383">
        <f t="shared" si="124"/>
        <v>9.3105116585181111</v>
      </c>
      <c r="G357" s="110">
        <f t="shared" si="122"/>
        <v>0.37529251982155698</v>
      </c>
      <c r="H357" s="412" t="b">
        <f>Wh_hp&gt;='2019'!Maxi_hp</f>
        <v>0</v>
      </c>
      <c r="I357" s="388">
        <f>IF(H357,Wh_hp,'2019'!Maxi_hp)</f>
        <v>11.827516861952027</v>
      </c>
      <c r="J357" s="85">
        <f>IF(H357,An,'2019'!An_max)</f>
        <v>2018</v>
      </c>
      <c r="K357" s="197">
        <f t="shared" si="125"/>
        <v>44173</v>
      </c>
      <c r="L357" s="147">
        <f>IF(t&lt;Tvie,1-EXP((T0-t)*PertePVj)+'2019'!Pspv,1-EXP((T0-t)*PertePVj)+Pspv)</f>
        <v>1.3174594394404493E-2</v>
      </c>
      <c r="M357" s="832"/>
      <c r="N357" s="832"/>
      <c r="O357" s="48">
        <f>IF(t&lt;Tnet,'2019'!Resal+('2019'!Salim-'2019'!Resal)*(1-EXP(('2019'!Tnet-t)/('2019'!Tau_j))),Resal+(Salim-Resal)*(1-EXP((Tnet-t)/(Tau_j))))*Salcycl</f>
        <v>4.6989658594929352E-2</v>
      </c>
      <c r="P357" s="169">
        <f>(INDEX(Models!$BJ357:$BT357,,T357)*(1-R357)+INDEX(Models!$BJ357:$BT357,,T357+1)*R357-ERP_i)*Q357*Ramure*Pc/MaxiM</f>
        <v>2.2242049512568749E-3</v>
      </c>
      <c r="Q357" s="304">
        <f t="shared" si="126"/>
        <v>0.6</v>
      </c>
      <c r="R357" s="177">
        <f t="shared" si="127"/>
        <v>0.498995452044666</v>
      </c>
      <c r="S357" s="799">
        <f t="shared" si="128"/>
        <v>-1</v>
      </c>
      <c r="T357" s="176">
        <f t="shared" si="129"/>
        <v>5</v>
      </c>
      <c r="U357" s="250">
        <f t="shared" si="130"/>
        <v>-0.501004547955334</v>
      </c>
      <c r="V357" s="382">
        <f t="shared" si="131"/>
        <v>23.279547761445482</v>
      </c>
      <c r="W357" s="58"/>
      <c r="X357" s="157">
        <f t="shared" si="132"/>
        <v>44173</v>
      </c>
      <c r="Y357" s="383">
        <f t="shared" si="133"/>
        <v>8.7539999999999996</v>
      </c>
      <c r="Z357" s="383">
        <f t="shared" si="134"/>
        <v>8.8708701156997876</v>
      </c>
      <c r="AA357" s="384">
        <f t="shared" si="135"/>
        <v>9.308262177534214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4.6989658594929352E-2</v>
      </c>
      <c r="AD357" s="230">
        <f>(INDEX(Models!$BJ357:$BT357,,AH357)*(1-AF357)+INDEX(Models!$BJ357:$BT357,,AH357+1)*AF357-ERP_i)*AE357*Ramure*Pc/MaxiM</f>
        <v>2.2242049512568749E-3</v>
      </c>
      <c r="AE357" s="304">
        <f t="shared" si="137"/>
        <v>0.6</v>
      </c>
      <c r="AF357" s="177">
        <f t="shared" si="138"/>
        <v>0.498995452044666</v>
      </c>
      <c r="AG357" s="176">
        <f t="shared" si="139"/>
        <v>-1</v>
      </c>
      <c r="AH357" s="176">
        <f t="shared" si="140"/>
        <v>5</v>
      </c>
      <c r="AI357" s="224">
        <f t="shared" si="141"/>
        <v>-0.501004547955334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8.3620000000000001</v>
      </c>
      <c r="C358" s="388"/>
      <c r="D358" s="391">
        <f t="shared" si="123"/>
        <v>8.4737991253497889</v>
      </c>
      <c r="E358" s="383">
        <f t="shared" si="121"/>
        <v>8.8919713947159078</v>
      </c>
      <c r="F358" s="383">
        <f t="shared" si="124"/>
        <v>8.8937263543519016</v>
      </c>
      <c r="G358" s="110">
        <f t="shared" si="122"/>
        <v>0.3600932187473585</v>
      </c>
      <c r="H358" s="412" t="b">
        <f>Wh_hp&gt;='2019'!Maxi_hp</f>
        <v>0</v>
      </c>
      <c r="I358" s="388">
        <f>IF(H358,Wh_hp,'2019'!Maxi_hp)</f>
        <v>21.581579026303849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1.3193506678171874E-2</v>
      </c>
      <c r="M358" s="832"/>
      <c r="N358" s="832"/>
      <c r="O358" s="48">
        <f>IF(t&lt;Tnet,'2019'!Resal+('2019'!Salim-'2019'!Resal)*(1-EXP(('2019'!Tnet-t)/('2019'!Tau_j))),Resal+(Salim-Resal)*(1-EXP((Tnet-t)/(Tau_j))))*Salcycl</f>
        <v>4.7028071819329116E-2</v>
      </c>
      <c r="P358" s="169">
        <f>(INDEX(Models!$BJ358:$BT358,,T358)*(1-R358)+INDEX(Models!$BJ358:$BT358,,T358+1)*R358-ERP_i)*Q358*Ramure*Pc/MaxiM</f>
        <v>2.2702953299421191E-3</v>
      </c>
      <c r="Q358" s="304">
        <f t="shared" si="126"/>
        <v>0.6</v>
      </c>
      <c r="R358" s="177">
        <f t="shared" si="127"/>
        <v>0.49900682459531054</v>
      </c>
      <c r="S358" s="799">
        <f t="shared" si="128"/>
        <v>-1</v>
      </c>
      <c r="T358" s="176">
        <f t="shared" si="129"/>
        <v>5</v>
      </c>
      <c r="U358" s="250">
        <f t="shared" si="130"/>
        <v>-0.50099317540468946</v>
      </c>
      <c r="V358" s="382">
        <f t="shared" si="131"/>
        <v>23.173617194896856</v>
      </c>
      <c r="W358" s="58"/>
      <c r="X358" s="157">
        <f t="shared" si="132"/>
        <v>44174</v>
      </c>
      <c r="Y358" s="383">
        <f t="shared" si="133"/>
        <v>8.3620000000000001</v>
      </c>
      <c r="Z358" s="383">
        <f t="shared" si="134"/>
        <v>8.4737991253497889</v>
      </c>
      <c r="AA358" s="384">
        <f t="shared" si="135"/>
        <v>8.8919713947159078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4.7028071819329116E-2</v>
      </c>
      <c r="AD358" s="230">
        <f>(INDEX(Models!$BJ358:$BT358,,AH358)*(1-AF358)+INDEX(Models!$BJ358:$BT358,,AH358+1)*AF358-ERP_i)*AE358*Ramure*Pc/MaxiM</f>
        <v>2.2702953299421191E-3</v>
      </c>
      <c r="AE358" s="304">
        <f t="shared" si="137"/>
        <v>0.6</v>
      </c>
      <c r="AF358" s="177">
        <f t="shared" si="138"/>
        <v>0.49900682459531054</v>
      </c>
      <c r="AG358" s="176">
        <f t="shared" si="139"/>
        <v>-1</v>
      </c>
      <c r="AH358" s="176">
        <f t="shared" si="140"/>
        <v>5</v>
      </c>
      <c r="AI358" s="224">
        <f t="shared" si="141"/>
        <v>-0.50099317540468946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4.5670000000000002</v>
      </c>
      <c r="C359" s="388"/>
      <c r="D359" s="391">
        <f t="shared" si="123"/>
        <v>4.6281490424902083</v>
      </c>
      <c r="E359" s="383">
        <f t="shared" si="121"/>
        <v>4.8567417177509773</v>
      </c>
      <c r="F359" s="383">
        <f t="shared" si="124"/>
        <v>4.8567417177509773</v>
      </c>
      <c r="G359" s="110">
        <f t="shared" si="122"/>
        <v>0.19744336930695591</v>
      </c>
      <c r="H359" s="412" t="b">
        <f>Wh_hp&gt;='2019'!Maxi_hp</f>
        <v>1</v>
      </c>
      <c r="I359" s="388">
        <f>IF(H359,Wh_hp,'2019'!Maxi_hp)</f>
        <v>4.8567417177509773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1.3212418599489628E-2</v>
      </c>
      <c r="M359" s="832"/>
      <c r="N359" s="832"/>
      <c r="O359" s="48">
        <f>IF(t&lt;Tnet,'2019'!Resal+('2019'!Salim-'2019'!Resal)*(1-EXP(('2019'!Tnet-t)/('2019'!Tau_j))),Resal+(Salim-Resal)*(1-EXP((Tnet-t)/(Tau_j))))*Salcycl</f>
        <v>4.7067085001716698E-2</v>
      </c>
      <c r="P359" s="169">
        <f>(INDEX(Models!$BJ359:$BT359,,T359)*(1-R359)+INDEX(Models!$BJ359:$BT359,,T359+1)*R359-ERP_i)*Q359*Ramure*Pc/MaxiM</f>
        <v>2.3182416410624045E-3</v>
      </c>
      <c r="Q359" s="304">
        <f t="shared" si="126"/>
        <v>0.6</v>
      </c>
      <c r="R359" s="177">
        <f t="shared" si="127"/>
        <v>0.49901773974000196</v>
      </c>
      <c r="S359" s="799">
        <f t="shared" si="128"/>
        <v>-1</v>
      </c>
      <c r="T359" s="176">
        <f t="shared" si="129"/>
        <v>5</v>
      </c>
      <c r="U359" s="250">
        <f t="shared" si="130"/>
        <v>-0.50098226025999804</v>
      </c>
      <c r="V359" s="382">
        <f t="shared" si="131"/>
        <v>23.077060558775354</v>
      </c>
      <c r="W359" s="58"/>
      <c r="X359" s="157">
        <f t="shared" si="132"/>
        <v>44175</v>
      </c>
      <c r="Y359" s="383">
        <f t="shared" si="133"/>
        <v>4.5670000000000002</v>
      </c>
      <c r="Z359" s="383">
        <f t="shared" si="134"/>
        <v>4.6281490424902083</v>
      </c>
      <c r="AA359" s="384">
        <f t="shared" si="135"/>
        <v>4.8567417177509773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4.7067085001716698E-2</v>
      </c>
      <c r="AD359" s="230">
        <f>(INDEX(Models!$BJ359:$BT359,,AH359)*(1-AF359)+INDEX(Models!$BJ359:$BT359,,AH359+1)*AF359-ERP_i)*AE359*Ramure*Pc/MaxiM</f>
        <v>2.3182416410624045E-3</v>
      </c>
      <c r="AE359" s="304">
        <f t="shared" si="137"/>
        <v>0.6</v>
      </c>
      <c r="AF359" s="177">
        <f t="shared" si="138"/>
        <v>0.49901773974000196</v>
      </c>
      <c r="AG359" s="176">
        <f t="shared" si="139"/>
        <v>-1</v>
      </c>
      <c r="AH359" s="176">
        <f t="shared" si="140"/>
        <v>5</v>
      </c>
      <c r="AI359" s="224">
        <f t="shared" si="141"/>
        <v>-0.50098226025999804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6.77</v>
      </c>
      <c r="C360" s="388"/>
      <c r="D360" s="391">
        <f t="shared" si="123"/>
        <v>6.8607772083871543</v>
      </c>
      <c r="E360" s="383">
        <f t="shared" si="121"/>
        <v>7.1999425477100409</v>
      </c>
      <c r="F360" s="383">
        <f t="shared" si="124"/>
        <v>7.1999425477100409</v>
      </c>
      <c r="G360" s="110">
        <f t="shared" si="122"/>
        <v>0.29380659647389717</v>
      </c>
      <c r="H360" s="412" t="b">
        <f>Wh_hp&gt;='2019'!Maxi_hp</f>
        <v>1</v>
      </c>
      <c r="I360" s="388">
        <f>IF(H360,Wh_hp,'2019'!Maxi_hp)</f>
        <v>7.1999425477100409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1.3231330158364751E-2</v>
      </c>
      <c r="M360" s="832"/>
      <c r="N360" s="832"/>
      <c r="O360" s="48">
        <f>IF(t&lt;Tnet,'2019'!Resal+('2019'!Salim-'2019'!Resal)*(1-EXP(('2019'!Tnet-t)/('2019'!Tau_j))),Resal+(Salim-Resal)*(1-EXP((Tnet-t)/(Tau_j))))*Salcycl</f>
        <v>4.7106673015156059E-2</v>
      </c>
      <c r="P360" s="169">
        <f>(INDEX(Models!$BJ360:$BT360,,T360)*(1-R360)+INDEX(Models!$BJ360:$BT360,,T360+1)*R360-ERP_i)*Q360*Ramure*Pc/MaxiM</f>
        <v>2.3682145866651652E-3</v>
      </c>
      <c r="Q360" s="304">
        <f t="shared" si="126"/>
        <v>0.6</v>
      </c>
      <c r="R360" s="177">
        <f t="shared" si="127"/>
        <v>0.49902821585691659</v>
      </c>
      <c r="S360" s="799">
        <f t="shared" si="128"/>
        <v>-1</v>
      </c>
      <c r="T360" s="176">
        <f t="shared" si="129"/>
        <v>5</v>
      </c>
      <c r="U360" s="250">
        <f t="shared" si="130"/>
        <v>-0.50097178414308341</v>
      </c>
      <c r="V360" s="382">
        <f t="shared" si="131"/>
        <v>22.98779968967893</v>
      </c>
      <c r="W360" s="58"/>
      <c r="X360" s="157">
        <f t="shared" si="132"/>
        <v>44176</v>
      </c>
      <c r="Y360" s="383">
        <f t="shared" si="133"/>
        <v>6.77</v>
      </c>
      <c r="Z360" s="383">
        <f t="shared" si="134"/>
        <v>6.8607772083871543</v>
      </c>
      <c r="AA360" s="384">
        <f t="shared" si="135"/>
        <v>7.1999425477100409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4.7106673015156059E-2</v>
      </c>
      <c r="AD360" s="230">
        <f>(INDEX(Models!$BJ360:$BT360,,AH360)*(1-AF360)+INDEX(Models!$BJ360:$BT360,,AH360+1)*AF360-ERP_i)*AE360*Ramure*Pc/MaxiM</f>
        <v>2.3682145866651652E-3</v>
      </c>
      <c r="AE360" s="304">
        <f t="shared" si="137"/>
        <v>0.6</v>
      </c>
      <c r="AF360" s="177">
        <f t="shared" si="138"/>
        <v>0.49902821585691659</v>
      </c>
      <c r="AG360" s="176">
        <f t="shared" si="139"/>
        <v>-1</v>
      </c>
      <c r="AH360" s="176">
        <f t="shared" si="140"/>
        <v>5</v>
      </c>
      <c r="AI360" s="224">
        <f t="shared" si="141"/>
        <v>-0.50097178414308341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10.417999999999999</v>
      </c>
      <c r="C361" s="388"/>
      <c r="D361" s="391">
        <f t="shared" si="123"/>
        <v>10.557894652342128</v>
      </c>
      <c r="E361" s="383">
        <f t="shared" ref="E361:E379" si="145">Wh_pvt/(1-Psa)</f>
        <v>11.080295222828463</v>
      </c>
      <c r="F361" s="383">
        <f t="shared" si="124"/>
        <v>11.086213606132517</v>
      </c>
      <c r="G361" s="110">
        <f t="shared" ref="G361:G379" si="146">+Wh_hp/MaxiM</f>
        <v>0.45395053173594468</v>
      </c>
      <c r="H361" s="412" t="b">
        <f>Wh_hp&gt;='2019'!Maxi_hp</f>
        <v>1</v>
      </c>
      <c r="I361" s="388">
        <f>IF(H361,Wh_hp,'2019'!Maxi_hp)</f>
        <v>11.086213606132517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1.3250241354804126E-2</v>
      </c>
      <c r="M361" s="832"/>
      <c r="N361" s="832"/>
      <c r="O361" s="48">
        <f>IF(t&lt;Tnet,'2019'!Resal+('2019'!Salim-'2019'!Resal)*(1-EXP(('2019'!Tnet-t)/('2019'!Tau_j))),Resal+(Salim-Resal)*(1-EXP((Tnet-t)/(Tau_j))))*Salcycl</f>
        <v>4.7146809717672988E-2</v>
      </c>
      <c r="P361" s="169">
        <f>(INDEX(Models!$BJ361:$BT361,,T361)*(1-R361)+INDEX(Models!$BJ361:$BT361,,T361+1)*R361-ERP_i)*Q361*Ramure*Pc/MaxiM</f>
        <v>2.41395901553115E-3</v>
      </c>
      <c r="Q361" s="304">
        <f t="shared" si="126"/>
        <v>0.6</v>
      </c>
      <c r="R361" s="177">
        <f t="shared" si="127"/>
        <v>0.49903827058729255</v>
      </c>
      <c r="S361" s="799">
        <f t="shared" si="128"/>
        <v>-1</v>
      </c>
      <c r="T361" s="176">
        <f t="shared" si="129"/>
        <v>5</v>
      </c>
      <c r="U361" s="250">
        <f t="shared" si="130"/>
        <v>-0.50096172941270745</v>
      </c>
      <c r="V361" s="382">
        <f t="shared" si="131"/>
        <v>22.906466328142105</v>
      </c>
      <c r="W361" s="58"/>
      <c r="X361" s="157">
        <f t="shared" si="132"/>
        <v>44177</v>
      </c>
      <c r="Y361" s="383">
        <f t="shared" si="133"/>
        <v>10.417999999999999</v>
      </c>
      <c r="Z361" s="383">
        <f t="shared" si="134"/>
        <v>10.557894652342128</v>
      </c>
      <c r="AA361" s="384">
        <f t="shared" si="135"/>
        <v>11.080295222828463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4.7146809717672988E-2</v>
      </c>
      <c r="AD361" s="230">
        <f>(INDEX(Models!$BJ361:$BT361,,AH361)*(1-AF361)+INDEX(Models!$BJ361:$BT361,,AH361+1)*AF361-ERP_i)*AE361*Ramure*Pc/MaxiM</f>
        <v>2.41395901553115E-3</v>
      </c>
      <c r="AE361" s="304">
        <f t="shared" si="137"/>
        <v>0.6</v>
      </c>
      <c r="AF361" s="177">
        <f t="shared" si="138"/>
        <v>0.49903827058729255</v>
      </c>
      <c r="AG361" s="176">
        <f t="shared" si="139"/>
        <v>-1</v>
      </c>
      <c r="AH361" s="176">
        <f t="shared" si="140"/>
        <v>5</v>
      </c>
      <c r="AI361" s="224">
        <f t="shared" si="141"/>
        <v>-0.50096172941270745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10.044</v>
      </c>
      <c r="C362" s="388"/>
      <c r="D362" s="391">
        <f t="shared" si="123"/>
        <v>10.179067597085966</v>
      </c>
      <c r="E362" s="383">
        <f t="shared" si="145"/>
        <v>10.683179803753719</v>
      </c>
      <c r="F362" s="383">
        <f t="shared" si="124"/>
        <v>10.688424105553938</v>
      </c>
      <c r="G362" s="110">
        <f t="shared" si="146"/>
        <v>0.43901438901744949</v>
      </c>
      <c r="H362" s="412" t="b">
        <f>Wh_hp&gt;='2019'!Maxi_hp</f>
        <v>0</v>
      </c>
      <c r="I362" s="388">
        <f>IF(H362,Wh_hp,'2019'!Maxi_hp)</f>
        <v>18.906274254752212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1.3269152188814748E-2</v>
      </c>
      <c r="M362" s="832"/>
      <c r="N362" s="832"/>
      <c r="O362" s="48">
        <f>IF(t&lt;Tnet,'2019'!Resal+('2019'!Salim-'2019'!Resal)*(1-EXP(('2019'!Tnet-t)/('2019'!Tau_j))),Resal+(Salim-Resal)*(1-EXP((Tnet-t)/(Tau_j))))*Salcycl</f>
        <v>4.7187468144140307E-2</v>
      </c>
      <c r="P362" s="169">
        <f>(INDEX(Models!$BJ362:$BT362,,T362)*(1-R362)+INDEX(Models!$BJ362:$BT362,,T362+1)*R362-ERP_i)*Q362*Ramure*Pc/MaxiM</f>
        <v>2.4553835502134666E-3</v>
      </c>
      <c r="Q362" s="304">
        <f t="shared" si="126"/>
        <v>0.6</v>
      </c>
      <c r="R362" s="177">
        <f t="shared" si="127"/>
        <v>0.49904792086486194</v>
      </c>
      <c r="S362" s="799">
        <f t="shared" si="128"/>
        <v>-1</v>
      </c>
      <c r="T362" s="176">
        <f t="shared" si="129"/>
        <v>5</v>
      </c>
      <c r="U362" s="250">
        <f t="shared" si="130"/>
        <v>-0.50095207913513806</v>
      </c>
      <c r="V362" s="382">
        <f t="shared" si="131"/>
        <v>22.833548978657227</v>
      </c>
      <c r="W362" s="58"/>
      <c r="X362" s="157">
        <f t="shared" si="132"/>
        <v>44178</v>
      </c>
      <c r="Y362" s="383">
        <f t="shared" si="133"/>
        <v>10.044</v>
      </c>
      <c r="Z362" s="383">
        <f t="shared" si="134"/>
        <v>10.179067597085966</v>
      </c>
      <c r="AA362" s="384">
        <f t="shared" si="135"/>
        <v>10.683179803753719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4.7187468144140307E-2</v>
      </c>
      <c r="AD362" s="230">
        <f>(INDEX(Models!$BJ362:$BT362,,AH362)*(1-AF362)+INDEX(Models!$BJ362:$BT362,,AH362+1)*AF362-ERP_i)*AE362*Ramure*Pc/MaxiM</f>
        <v>2.4553835502134666E-3</v>
      </c>
      <c r="AE362" s="304">
        <f t="shared" si="137"/>
        <v>0.6</v>
      </c>
      <c r="AF362" s="177">
        <f t="shared" si="138"/>
        <v>0.49904792086486194</v>
      </c>
      <c r="AG362" s="176">
        <f t="shared" si="139"/>
        <v>-1</v>
      </c>
      <c r="AH362" s="176">
        <f t="shared" si="140"/>
        <v>5</v>
      </c>
      <c r="AI362" s="224">
        <f t="shared" si="141"/>
        <v>-0.50095207913513806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3.6589999999999998</v>
      </c>
      <c r="C363" s="388"/>
      <c r="D363" s="391">
        <f t="shared" si="123"/>
        <v>3.7082758012085169</v>
      </c>
      <c r="E363" s="383">
        <f t="shared" si="145"/>
        <v>3.892094034064733</v>
      </c>
      <c r="F363" s="383">
        <f t="shared" si="124"/>
        <v>3.892094034064733</v>
      </c>
      <c r="G363" s="110">
        <f t="shared" si="146"/>
        <v>0.16029664821201067</v>
      </c>
      <c r="H363" s="412" t="b">
        <f>Wh_hp&gt;='2019'!Maxi_hp</f>
        <v>0</v>
      </c>
      <c r="I363" s="388">
        <f>IF(H363,Wh_hp,'2019'!Maxi_hp)</f>
        <v>24.850474320764231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1.328806266040361E-2</v>
      </c>
      <c r="M363" s="832"/>
      <c r="N363" s="832"/>
      <c r="O363" s="48">
        <f>IF(t&lt;Tnet,'2019'!Resal+('2019'!Salim-'2019'!Resal)*(1-EXP(('2019'!Tnet-t)/('2019'!Tau_j))),Resal+(Salim-Resal)*(1-EXP((Tnet-t)/(Tau_j))))*Salcycl</f>
        <v>4.7228620698108924E-2</v>
      </c>
      <c r="P363" s="169">
        <f>(INDEX(Models!$BJ363:$BT363,,T363)*(1-R363)+INDEX(Models!$BJ363:$BT363,,T363+1)*R363-ERP_i)*Q363*Ramure*Pc/MaxiM</f>
        <v>2.4923930165003253E-3</v>
      </c>
      <c r="Q363" s="304">
        <f t="shared" si="126"/>
        <v>0.6</v>
      </c>
      <c r="R363" s="177">
        <f t="shared" si="127"/>
        <v>0.49905718294411838</v>
      </c>
      <c r="S363" s="799">
        <f t="shared" si="128"/>
        <v>-1</v>
      </c>
      <c r="T363" s="176">
        <f t="shared" si="129"/>
        <v>5</v>
      </c>
      <c r="U363" s="250">
        <f t="shared" si="130"/>
        <v>-0.50094281705588162</v>
      </c>
      <c r="V363" s="382">
        <f t="shared" si="131"/>
        <v>22.769536198444026</v>
      </c>
      <c r="W363" s="58"/>
      <c r="X363" s="157">
        <f t="shared" si="132"/>
        <v>44179</v>
      </c>
      <c r="Y363" s="383">
        <f t="shared" si="133"/>
        <v>3.6589999999999998</v>
      </c>
      <c r="Z363" s="383">
        <f t="shared" si="134"/>
        <v>3.7082758012085169</v>
      </c>
      <c r="AA363" s="384">
        <f t="shared" si="135"/>
        <v>3.892094034064733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4.7228620698108924E-2</v>
      </c>
      <c r="AD363" s="230">
        <f>(INDEX(Models!$BJ363:$BT363,,AH363)*(1-AF363)+INDEX(Models!$BJ363:$BT363,,AH363+1)*AF363-ERP_i)*AE363*Ramure*Pc/MaxiM</f>
        <v>2.4923930165003253E-3</v>
      </c>
      <c r="AE363" s="304">
        <f t="shared" si="137"/>
        <v>0.6</v>
      </c>
      <c r="AF363" s="177">
        <f t="shared" si="138"/>
        <v>0.49905718294411838</v>
      </c>
      <c r="AG363" s="176">
        <f t="shared" si="139"/>
        <v>-1</v>
      </c>
      <c r="AH363" s="176">
        <f t="shared" si="140"/>
        <v>5</v>
      </c>
      <c r="AI363" s="224">
        <f t="shared" si="141"/>
        <v>-0.50094281705588162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2.3919999999999999</v>
      </c>
      <c r="C364" s="388"/>
      <c r="D364" s="391">
        <f t="shared" si="123"/>
        <v>2.4242595558967057</v>
      </c>
      <c r="E364" s="383">
        <f t="shared" si="145"/>
        <v>2.5445405990284868</v>
      </c>
      <c r="F364" s="383">
        <f t="shared" si="124"/>
        <v>2.5445405990284868</v>
      </c>
      <c r="G364" s="110">
        <f t="shared" si="146"/>
        <v>0.1050393671438266</v>
      </c>
      <c r="H364" s="412" t="b">
        <f>Wh_hp&gt;='2019'!Maxi_hp</f>
        <v>0</v>
      </c>
      <c r="I364" s="388">
        <f>IF(H364,Wh_hp,'2019'!Maxi_hp)</f>
        <v>14.539812070698289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1.3306972769577596E-2</v>
      </c>
      <c r="M364" s="832"/>
      <c r="N364" s="832"/>
      <c r="O364" s="48">
        <f>IF(t&lt;Tnet,'2019'!Resal+('2019'!Salim-'2019'!Resal)*(1-EXP(('2019'!Tnet-t)/('2019'!Tau_j))),Resal+(Salim-Resal)*(1-EXP((Tnet-t)/(Tau_j))))*Salcycl</f>
        <v>4.7270239342105544E-2</v>
      </c>
      <c r="P364" s="169">
        <f>(INDEX(Models!$BJ364:$BT364,,T364)*(1-R364)+INDEX(Models!$BJ364:$BT364,,T364+1)*R364-ERP_i)*Q364*Ramure*Pc/MaxiM</f>
        <v>2.524890249090726E-3</v>
      </c>
      <c r="Q364" s="304">
        <f t="shared" si="126"/>
        <v>0.6</v>
      </c>
      <c r="R364" s="177">
        <f t="shared" si="127"/>
        <v>0.49906607242746359</v>
      </c>
      <c r="S364" s="799">
        <f t="shared" si="128"/>
        <v>-1</v>
      </c>
      <c r="T364" s="176">
        <f t="shared" si="129"/>
        <v>5</v>
      </c>
      <c r="U364" s="250">
        <f t="shared" si="130"/>
        <v>-0.50093392757253641</v>
      </c>
      <c r="V364" s="382">
        <f t="shared" si="131"/>
        <v>22.714916582248311</v>
      </c>
      <c r="W364" s="58"/>
      <c r="X364" s="157">
        <f t="shared" si="132"/>
        <v>44180</v>
      </c>
      <c r="Y364" s="383">
        <f t="shared" si="133"/>
        <v>2.3919999999999999</v>
      </c>
      <c r="Z364" s="383">
        <f t="shared" si="134"/>
        <v>2.4242595558967057</v>
      </c>
      <c r="AA364" s="384">
        <f t="shared" si="135"/>
        <v>2.5445405990284868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4.7270239342105544E-2</v>
      </c>
      <c r="AD364" s="230">
        <f>(INDEX(Models!$BJ364:$BT364,,AH364)*(1-AF364)+INDEX(Models!$BJ364:$BT364,,AH364+1)*AF364-ERP_i)*AE364*Ramure*Pc/MaxiM</f>
        <v>2.524890249090726E-3</v>
      </c>
      <c r="AE364" s="304">
        <f t="shared" si="137"/>
        <v>0.6</v>
      </c>
      <c r="AF364" s="177">
        <f t="shared" si="138"/>
        <v>0.49906607242746359</v>
      </c>
      <c r="AG364" s="176">
        <f t="shared" si="139"/>
        <v>-1</v>
      </c>
      <c r="AH364" s="176">
        <f t="shared" si="140"/>
        <v>5</v>
      </c>
      <c r="AI364" s="224">
        <f t="shared" si="141"/>
        <v>-0.50093392757253641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17.013000000000002</v>
      </c>
      <c r="C365" s="388"/>
      <c r="D365" s="391">
        <f t="shared" si="123"/>
        <v>17.242775196524612</v>
      </c>
      <c r="E365" s="383">
        <f t="shared" si="145"/>
        <v>18.099084432638431</v>
      </c>
      <c r="F365" s="383">
        <f t="shared" si="124"/>
        <v>18.128865428523852</v>
      </c>
      <c r="G365" s="110">
        <f t="shared" si="146"/>
        <v>0.74977318168309592</v>
      </c>
      <c r="H365" s="412" t="b">
        <f>Wh_hp&gt;='2019'!Maxi_hp</f>
        <v>1</v>
      </c>
      <c r="I365" s="388">
        <f>IF(H365,Wh_hp,'2019'!Maxi_hp)</f>
        <v>18.128865428523852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1.332588251634359E-2</v>
      </c>
      <c r="M365" s="832"/>
      <c r="N365" s="832"/>
      <c r="O365" s="48">
        <f>IF(t&lt;Tnet,'2019'!Resal+('2019'!Salim-'2019'!Resal)*(1-EXP(('2019'!Tnet-t)/('2019'!Tau_j))),Resal+(Salim-Resal)*(1-EXP((Tnet-t)/(Tau_j))))*Salcycl</f>
        <v>4.7312295784952607E-2</v>
      </c>
      <c r="P365" s="169">
        <f>(INDEX(Models!$BJ365:$BT365,,T365)*(1-R365)+INDEX(Models!$BJ365:$BT365,,T365+1)*R365-ERP_i)*Q365*Ramure*Pc/MaxiM</f>
        <v>2.5527780065426773E-3</v>
      </c>
      <c r="Q365" s="304">
        <f t="shared" si="126"/>
        <v>0.6</v>
      </c>
      <c r="R365" s="177">
        <f t="shared" si="127"/>
        <v>0.49907460429127604</v>
      </c>
      <c r="S365" s="799">
        <f t="shared" si="128"/>
        <v>-1</v>
      </c>
      <c r="T365" s="176">
        <f t="shared" si="129"/>
        <v>5</v>
      </c>
      <c r="U365" s="250">
        <f t="shared" si="130"/>
        <v>-0.50092539570872396</v>
      </c>
      <c r="V365" s="382">
        <f t="shared" si="131"/>
        <v>22.670178725519985</v>
      </c>
      <c r="W365" s="58"/>
      <c r="X365" s="157">
        <f t="shared" si="132"/>
        <v>44181</v>
      </c>
      <c r="Y365" s="383">
        <f t="shared" si="133"/>
        <v>17.013000000000002</v>
      </c>
      <c r="Z365" s="383">
        <f t="shared" si="134"/>
        <v>17.242775196524612</v>
      </c>
      <c r="AA365" s="384">
        <f t="shared" si="135"/>
        <v>18.099084432638431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4.7312295784952607E-2</v>
      </c>
      <c r="AD365" s="230">
        <f>(INDEX(Models!$BJ365:$BT365,,AH365)*(1-AF365)+INDEX(Models!$BJ365:$BT365,,AH365+1)*AF365-ERP_i)*AE365*Ramure*Pc/MaxiM</f>
        <v>2.5527780065426773E-3</v>
      </c>
      <c r="AE365" s="304">
        <f t="shared" si="137"/>
        <v>0.6</v>
      </c>
      <c r="AF365" s="177">
        <f t="shared" si="138"/>
        <v>0.49907460429127604</v>
      </c>
      <c r="AG365" s="176">
        <f t="shared" si="139"/>
        <v>-1</v>
      </c>
      <c r="AH365" s="176">
        <f t="shared" si="140"/>
        <v>5</v>
      </c>
      <c r="AI365" s="224">
        <f t="shared" si="141"/>
        <v>-0.50092539570872396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8.8520000000000003</v>
      </c>
      <c r="C366" s="388"/>
      <c r="D366" s="391">
        <f t="shared" si="123"/>
        <v>8.9717258139777485</v>
      </c>
      <c r="E366" s="383">
        <f t="shared" si="145"/>
        <v>9.4176986909161524</v>
      </c>
      <c r="F366" s="383">
        <f t="shared" si="124"/>
        <v>9.4208521690068814</v>
      </c>
      <c r="G366" s="110">
        <f t="shared" si="146"/>
        <v>0.39018500049799798</v>
      </c>
      <c r="H366" s="412" t="b">
        <f>Wh_hp&gt;='2019'!Maxi_hp</f>
        <v>0</v>
      </c>
      <c r="I366" s="388">
        <f>IF(H366,Wh_hp,'2019'!Maxi_hp)</f>
        <v>19.080468817938161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1.3344791900708586E-2</v>
      </c>
      <c r="M366" s="832"/>
      <c r="N366" s="832"/>
      <c r="O366" s="48">
        <f>IF(t&lt;Tnet,'2019'!Resal+('2019'!Salim-'2019'!Resal)*(1-EXP(('2019'!Tnet-t)/('2019'!Tau_j))),Resal+(Salim-Resal)*(1-EXP((Tnet-t)/(Tau_j))))*Salcycl</f>
        <v>4.7354761664711899E-2</v>
      </c>
      <c r="P366" s="169">
        <f>(INDEX(Models!$BJ366:$BT366,,T366)*(1-R366)+INDEX(Models!$BJ366:$BT366,,T366+1)*R366-ERP_i)*Q366*Ramure*Pc/MaxiM</f>
        <v>2.5731606582491675E-3</v>
      </c>
      <c r="Q366" s="304">
        <f t="shared" si="126"/>
        <v>0.6</v>
      </c>
      <c r="R366" s="177">
        <f t="shared" si="127"/>
        <v>0.49908279291094537</v>
      </c>
      <c r="S366" s="799">
        <f t="shared" si="128"/>
        <v>-1</v>
      </c>
      <c r="T366" s="176">
        <f t="shared" si="129"/>
        <v>5</v>
      </c>
      <c r="U366" s="250">
        <f t="shared" si="130"/>
        <v>-0.50091720708905463</v>
      </c>
      <c r="V366" s="382">
        <f t="shared" si="131"/>
        <v>22.635874776768492</v>
      </c>
      <c r="W366" s="58"/>
      <c r="X366" s="157">
        <f t="shared" si="132"/>
        <v>44182</v>
      </c>
      <c r="Y366" s="383">
        <f t="shared" si="133"/>
        <v>8.8520000000000003</v>
      </c>
      <c r="Z366" s="383">
        <f t="shared" si="134"/>
        <v>8.9717258139777485</v>
      </c>
      <c r="AA366" s="384">
        <f t="shared" si="135"/>
        <v>9.4176986909161524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4.7354761664711899E-2</v>
      </c>
      <c r="AD366" s="230">
        <f>(INDEX(Models!$BJ366:$BT366,,AH366)*(1-AF366)+INDEX(Models!$BJ366:$BT366,,AH366+1)*AF366-ERP_i)*AE366*Ramure*Pc/MaxiM</f>
        <v>2.5731606582491675E-3</v>
      </c>
      <c r="AE366" s="304">
        <f t="shared" si="137"/>
        <v>0.6</v>
      </c>
      <c r="AF366" s="177">
        <f t="shared" si="138"/>
        <v>0.49908279291094537</v>
      </c>
      <c r="AG366" s="176">
        <f t="shared" si="139"/>
        <v>-1</v>
      </c>
      <c r="AH366" s="176">
        <f t="shared" si="140"/>
        <v>5</v>
      </c>
      <c r="AI366" s="224">
        <f t="shared" si="141"/>
        <v>-0.50091720708905463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11.278</v>
      </c>
      <c r="C367" s="388"/>
      <c r="D367" s="391">
        <f t="shared" si="123"/>
        <v>11.430757220818784</v>
      </c>
      <c r="E367" s="383">
        <f t="shared" si="145"/>
        <v>11.999505066883522</v>
      </c>
      <c r="F367" s="383">
        <f t="shared" si="124"/>
        <v>12.008326192183038</v>
      </c>
      <c r="G367" s="110">
        <f t="shared" si="146"/>
        <v>0.4978267952358521</v>
      </c>
      <c r="H367" s="412" t="b">
        <f>Wh_hp&gt;='2019'!Maxi_hp</f>
        <v>1</v>
      </c>
      <c r="I367" s="388">
        <f>IF(H367,Wh_hp,'2019'!Maxi_hp)</f>
        <v>12.008326192183038</v>
      </c>
      <c r="J367" s="85">
        <f>IF(H367,An,'2019'!An_max)</f>
        <v>2020</v>
      </c>
      <c r="K367" s="197">
        <f t="shared" si="125"/>
        <v>44183</v>
      </c>
      <c r="L367" s="147">
        <f>IF(t&lt;Tvie,1-EXP((T0-t)*PertePVj)+'2019'!Pspv,1-EXP((T0-t)*PertePVj)+Pspv)</f>
        <v>1.3363700922679578E-2</v>
      </c>
      <c r="M367" s="832"/>
      <c r="N367" s="832"/>
      <c r="O367" s="48">
        <f>IF(t&lt;Tnet,'2019'!Resal+('2019'!Salim-'2019'!Resal)*(1-EXP(('2019'!Tnet-t)/('2019'!Tau_j))),Resal+(Salim-Resal)*(1-EXP((Tnet-t)/(Tau_j))))*Salcycl</f>
        <v>4.7397608725911644E-2</v>
      </c>
      <c r="P367" s="169">
        <f>(INDEX(Models!$BJ367:$BT367,,T367)*(1-R367)+INDEX(Models!$BJ367:$BT367,,T367+1)*R367-ERP_i)*Q367*Ramure*Pc/MaxiM</f>
        <v>2.5871952878949648E-3</v>
      </c>
      <c r="Q367" s="304">
        <f t="shared" si="126"/>
        <v>0.6</v>
      </c>
      <c r="R367" s="177">
        <f t="shared" si="127"/>
        <v>0.49909065208491155</v>
      </c>
      <c r="S367" s="799">
        <f t="shared" si="128"/>
        <v>-1</v>
      </c>
      <c r="T367" s="176">
        <f t="shared" si="129"/>
        <v>5</v>
      </c>
      <c r="U367" s="250">
        <f t="shared" si="130"/>
        <v>-0.50090934791508845</v>
      </c>
      <c r="V367" s="382">
        <f t="shared" si="131"/>
        <v>22.612464815225348</v>
      </c>
      <c r="W367" s="58"/>
      <c r="X367" s="157">
        <f t="shared" si="132"/>
        <v>44183</v>
      </c>
      <c r="Y367" s="383">
        <f t="shared" si="133"/>
        <v>11.278</v>
      </c>
      <c r="Z367" s="383">
        <f t="shared" si="134"/>
        <v>11.430757220818784</v>
      </c>
      <c r="AA367" s="384">
        <f t="shared" si="135"/>
        <v>11.999505066883522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4.7397608725911644E-2</v>
      </c>
      <c r="AD367" s="230">
        <f>(INDEX(Models!$BJ367:$BT367,,AH367)*(1-AF367)+INDEX(Models!$BJ367:$BT367,,AH367+1)*AF367-ERP_i)*AE367*Ramure*Pc/MaxiM</f>
        <v>2.5871952878949648E-3</v>
      </c>
      <c r="AE367" s="304">
        <f t="shared" si="137"/>
        <v>0.6</v>
      </c>
      <c r="AF367" s="177">
        <f t="shared" si="138"/>
        <v>0.49909065208491155</v>
      </c>
      <c r="AG367" s="176">
        <f t="shared" si="139"/>
        <v>-1</v>
      </c>
      <c r="AH367" s="176">
        <f t="shared" si="140"/>
        <v>5</v>
      </c>
      <c r="AI367" s="224">
        <f t="shared" si="141"/>
        <v>-0.50090934791508845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8.7479999999999993</v>
      </c>
      <c r="C368" s="388"/>
      <c r="D368" s="391">
        <f t="shared" si="123"/>
        <v>8.8666590361802484</v>
      </c>
      <c r="E368" s="383">
        <f t="shared" si="145"/>
        <v>9.3082499437929211</v>
      </c>
      <c r="F368" s="383">
        <f t="shared" si="124"/>
        <v>9.3112552888986162</v>
      </c>
      <c r="G368" s="110">
        <f t="shared" si="146"/>
        <v>0.38619243017617116</v>
      </c>
      <c r="H368" s="412" t="b">
        <f>Wh_hp&gt;='2019'!Maxi_hp</f>
        <v>1</v>
      </c>
      <c r="I368" s="388">
        <f>IF(H368,Wh_hp,'2019'!Maxi_hp)</f>
        <v>9.3112552888986162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1.3382609582263449E-2</v>
      </c>
      <c r="M368" s="832"/>
      <c r="N368" s="832"/>
      <c r="O368" s="48">
        <f>IF(t&lt;Tnet,'2019'!Resal+('2019'!Salim-'2019'!Resal)*(1-EXP(('2019'!Tnet-t)/('2019'!Tau_j))),Resal+(Salim-Resal)*(1-EXP((Tnet-t)/(Tau_j))))*Salcycl</f>
        <v>4.7440808989786781E-2</v>
      </c>
      <c r="P368" s="169">
        <f>(INDEX(Models!$BJ368:$BT368,,T368)*(1-R368)+INDEX(Models!$BJ368:$BT368,,T368+1)*R368-ERP_i)*Q368*Ramure*Pc/MaxiM</f>
        <v>2.5948057270233291E-3</v>
      </c>
      <c r="Q368" s="304">
        <f t="shared" si="126"/>
        <v>0.6</v>
      </c>
      <c r="R368" s="177">
        <f t="shared" si="127"/>
        <v>0.49909819505774988</v>
      </c>
      <c r="S368" s="799">
        <f t="shared" si="128"/>
        <v>-1</v>
      </c>
      <c r="T368" s="176">
        <f t="shared" si="129"/>
        <v>5</v>
      </c>
      <c r="U368" s="250">
        <f t="shared" si="130"/>
        <v>-0.50090180494225012</v>
      </c>
      <c r="V368" s="382">
        <f t="shared" si="131"/>
        <v>22.600437207898118</v>
      </c>
      <c r="W368" s="58"/>
      <c r="X368" s="157">
        <f t="shared" si="132"/>
        <v>44184</v>
      </c>
      <c r="Y368" s="383">
        <f t="shared" si="133"/>
        <v>8.7479999999999993</v>
      </c>
      <c r="Z368" s="383">
        <f t="shared" si="134"/>
        <v>8.8666590361802484</v>
      </c>
      <c r="AA368" s="384">
        <f t="shared" si="135"/>
        <v>9.3082499437929211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4.7440808989786781E-2</v>
      </c>
      <c r="AD368" s="230">
        <f>(INDEX(Models!$BJ368:$BT368,,AH368)*(1-AF368)+INDEX(Models!$BJ368:$BT368,,AH368+1)*AF368-ERP_i)*AE368*Ramure*Pc/MaxiM</f>
        <v>2.5948057270233291E-3</v>
      </c>
      <c r="AE368" s="304">
        <f t="shared" si="137"/>
        <v>0.6</v>
      </c>
      <c r="AF368" s="177">
        <f t="shared" si="138"/>
        <v>0.49909819505774988</v>
      </c>
      <c r="AG368" s="176">
        <f t="shared" si="139"/>
        <v>-1</v>
      </c>
      <c r="AH368" s="176">
        <f t="shared" si="140"/>
        <v>5</v>
      </c>
      <c r="AI368" s="224">
        <f t="shared" si="141"/>
        <v>-0.50090180494225012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6.4050000000000002</v>
      </c>
      <c r="C369" s="388"/>
      <c r="D369" s="391">
        <f t="shared" si="123"/>
        <v>6.4920026901252639</v>
      </c>
      <c r="E369" s="383">
        <f t="shared" si="145"/>
        <v>6.8156387638570548</v>
      </c>
      <c r="F369" s="383">
        <f t="shared" si="124"/>
        <v>6.8156387638570548</v>
      </c>
      <c r="G369" s="110">
        <f t="shared" si="146"/>
        <v>0.28266786957656909</v>
      </c>
      <c r="H369" s="412" t="b">
        <f>Wh_hp&gt;='2019'!Maxi_hp</f>
        <v>0</v>
      </c>
      <c r="I369" s="388">
        <f>IF(H369,Wh_hp,'2019'!Maxi_hp)</f>
        <v>19.700986215963447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1.3401517879467306E-2</v>
      </c>
      <c r="M369" s="832"/>
      <c r="N369" s="832"/>
      <c r="O369" s="48">
        <f>IF(t&lt;Tnet,'2019'!Resal+('2019'!Salim-'2019'!Resal)*(1-EXP(('2019'!Tnet-t)/('2019'!Tau_j))),Resal+(Salim-Resal)*(1-EXP((Tnet-t)/(Tau_j))))*Salcycl</f>
        <v>4.7484334916341867E-2</v>
      </c>
      <c r="P369" s="169">
        <f>(INDEX(Models!$BJ369:$BT369,,T369)*(1-R369)+INDEX(Models!$BJ369:$BT369,,T369+1)*R369-ERP_i)*Q369*Ramure*Pc/MaxiM</f>
        <v>2.595927435648173E-3</v>
      </c>
      <c r="Q369" s="304">
        <f t="shared" si="126"/>
        <v>0.6</v>
      </c>
      <c r="R369" s="177">
        <f t="shared" si="127"/>
        <v>0.4991054345423368</v>
      </c>
      <c r="S369" s="799">
        <f t="shared" si="128"/>
        <v>-1</v>
      </c>
      <c r="T369" s="176">
        <f t="shared" si="129"/>
        <v>5</v>
      </c>
      <c r="U369" s="250">
        <f t="shared" si="130"/>
        <v>-0.5008945654576632</v>
      </c>
      <c r="V369" s="382">
        <f t="shared" si="131"/>
        <v>22.600280301911681</v>
      </c>
      <c r="W369" s="58"/>
      <c r="X369" s="157">
        <f t="shared" si="132"/>
        <v>44185</v>
      </c>
      <c r="Y369" s="383">
        <f t="shared" si="133"/>
        <v>6.4050000000000002</v>
      </c>
      <c r="Z369" s="383">
        <f t="shared" si="134"/>
        <v>6.4920026901252639</v>
      </c>
      <c r="AA369" s="384">
        <f t="shared" si="135"/>
        <v>6.8156387638570548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4.7484334916341867E-2</v>
      </c>
      <c r="AD369" s="230">
        <f>(INDEX(Models!$BJ369:$BT369,,AH369)*(1-AF369)+INDEX(Models!$BJ369:$BT369,,AH369+1)*AF369-ERP_i)*AE369*Ramure*Pc/MaxiM</f>
        <v>2.595927435648173E-3</v>
      </c>
      <c r="AE369" s="304">
        <f t="shared" si="137"/>
        <v>0.6</v>
      </c>
      <c r="AF369" s="177">
        <f t="shared" si="138"/>
        <v>0.4991054345423368</v>
      </c>
      <c r="AG369" s="176">
        <f t="shared" si="139"/>
        <v>-1</v>
      </c>
      <c r="AH369" s="176">
        <f t="shared" si="140"/>
        <v>5</v>
      </c>
      <c r="AI369" s="224">
        <f t="shared" si="141"/>
        <v>-0.5008945654576632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8.0020000000000007</v>
      </c>
      <c r="C370" s="388"/>
      <c r="D370" s="391">
        <f t="shared" si="123"/>
        <v>8.1108510751447991</v>
      </c>
      <c r="E370" s="383">
        <f t="shared" si="145"/>
        <v>8.5155809660194812</v>
      </c>
      <c r="F370" s="383">
        <f t="shared" si="124"/>
        <v>8.5172791243008703</v>
      </c>
      <c r="G370" s="110">
        <f t="shared" si="146"/>
        <v>0.35302901295655575</v>
      </c>
      <c r="H370" s="412" t="b">
        <f>Wh_hp&gt;='2019'!Maxi_hp</f>
        <v>1</v>
      </c>
      <c r="I370" s="388">
        <f>IF(H370,Wh_hp,'2019'!Maxi_hp)</f>
        <v>8.5172791243008703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1.3420425814297809E-2</v>
      </c>
      <c r="M370" s="832"/>
      <c r="N370" s="832"/>
      <c r="O370" s="48">
        <f>IF(t&lt;Tnet,'2019'!Resal+('2019'!Salim-'2019'!Resal)*(1-EXP(('2019'!Tnet-t)/('2019'!Tau_j))),Resal+(Salim-Resal)*(1-EXP((Tnet-t)/(Tau_j))))*Salcycl</f>
        <v>4.7528159557135803E-2</v>
      </c>
      <c r="P370" s="169">
        <f>(INDEX(Models!$BJ370:$BT370,,T370)*(1-R370)+INDEX(Models!$BJ370:$BT370,,T370+1)*R370-ERP_i)*Q370*Ramure*Pc/MaxiM</f>
        <v>2.590509972465896E-3</v>
      </c>
      <c r="Q370" s="304">
        <f t="shared" si="126"/>
        <v>0.6</v>
      </c>
      <c r="R370" s="177">
        <f t="shared" si="127"/>
        <v>0.49911238274113412</v>
      </c>
      <c r="S370" s="799">
        <f t="shared" si="128"/>
        <v>-1</v>
      </c>
      <c r="T370" s="176">
        <f t="shared" si="129"/>
        <v>5</v>
      </c>
      <c r="U370" s="250">
        <f t="shared" si="130"/>
        <v>-0.50088761725886588</v>
      </c>
      <c r="V370" s="382">
        <f t="shared" si="131"/>
        <v>22.61248241232504</v>
      </c>
      <c r="W370" s="58"/>
      <c r="X370" s="157">
        <f t="shared" si="132"/>
        <v>44186</v>
      </c>
      <c r="Y370" s="383">
        <f t="shared" si="133"/>
        <v>8.0020000000000007</v>
      </c>
      <c r="Z370" s="383">
        <f t="shared" si="134"/>
        <v>8.1108510751447991</v>
      </c>
      <c r="AA370" s="384">
        <f t="shared" si="135"/>
        <v>8.5155809660194812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4.7528159557135803E-2</v>
      </c>
      <c r="AD370" s="230">
        <f>(INDEX(Models!$BJ370:$BT370,,AH370)*(1-AF370)+INDEX(Models!$BJ370:$BT370,,AH370+1)*AF370-ERP_i)*AE370*Ramure*Pc/MaxiM</f>
        <v>2.590509972465896E-3</v>
      </c>
      <c r="AE370" s="304">
        <f t="shared" si="137"/>
        <v>0.6</v>
      </c>
      <c r="AF370" s="177">
        <f t="shared" si="138"/>
        <v>0.49911238274113412</v>
      </c>
      <c r="AG370" s="176">
        <f t="shared" si="139"/>
        <v>-1</v>
      </c>
      <c r="AH370" s="176">
        <f t="shared" si="140"/>
        <v>5</v>
      </c>
      <c r="AI370" s="224">
        <f t="shared" si="141"/>
        <v>-0.50088761725886588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19.337</v>
      </c>
      <c r="C371" s="388"/>
      <c r="D371" s="391">
        <f t="shared" si="123"/>
        <v>19.60041653229694</v>
      </c>
      <c r="E371" s="383">
        <f t="shared" si="145"/>
        <v>20.579426282081286</v>
      </c>
      <c r="F371" s="383">
        <f t="shared" si="124"/>
        <v>20.621523847427799</v>
      </c>
      <c r="G371" s="110">
        <f t="shared" si="146"/>
        <v>0.85374118472379368</v>
      </c>
      <c r="H371" s="412" t="b">
        <f>Wh_hp&gt;='2019'!Maxi_hp</f>
        <v>1</v>
      </c>
      <c r="I371" s="388">
        <f>IF(H371,Wh_hp,'2019'!Maxi_hp)</f>
        <v>20.621523847427799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1.3439333386762065E-2</v>
      </c>
      <c r="M371" s="832"/>
      <c r="N371" s="832"/>
      <c r="O371" s="48">
        <f>IF(t&lt;Tnet,'2019'!Resal+('2019'!Salim-'2019'!Resal)*(1-EXP(('2019'!Tnet-t)/('2019'!Tau_j))),Resal+(Salim-Resal)*(1-EXP((Tnet-t)/(Tau_j))))*Salcycl</f>
        <v>4.7572256697786572E-2</v>
      </c>
      <c r="P371" s="169">
        <f>(INDEX(Models!$BJ371:$BT371,,T371)*(1-R371)+INDEX(Models!$BJ371:$BT371,,T371+1)*R371-ERP_i)*Q371*Ramure*Pc/MaxiM</f>
        <v>2.578499507723697E-3</v>
      </c>
      <c r="Q371" s="304">
        <f t="shared" si="126"/>
        <v>0.6</v>
      </c>
      <c r="R371" s="177">
        <f t="shared" si="127"/>
        <v>0.49911238274113412</v>
      </c>
      <c r="S371" s="799">
        <f t="shared" si="128"/>
        <v>-1</v>
      </c>
      <c r="T371" s="176">
        <f t="shared" si="129"/>
        <v>5</v>
      </c>
      <c r="U371" s="250">
        <f t="shared" si="130"/>
        <v>-0.50088761725886588</v>
      </c>
      <c r="V371" s="382">
        <f t="shared" si="131"/>
        <v>22.637532247691158</v>
      </c>
      <c r="W371" s="58"/>
      <c r="X371" s="157">
        <f t="shared" si="132"/>
        <v>44187</v>
      </c>
      <c r="Y371" s="383">
        <f t="shared" si="133"/>
        <v>19.337</v>
      </c>
      <c r="Z371" s="383">
        <f t="shared" si="134"/>
        <v>19.60041653229694</v>
      </c>
      <c r="AA371" s="384">
        <f t="shared" si="135"/>
        <v>20.579426282081286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4.7572256697786572E-2</v>
      </c>
      <c r="AD371" s="230">
        <f>(INDEX(Models!$BJ371:$BT371,,AH371)*(1-AF371)+INDEX(Models!$BJ371:$BT371,,AH371+1)*AF371-ERP_i)*AE371*Ramure*Pc/MaxiM</f>
        <v>2.578499507723697E-3</v>
      </c>
      <c r="AE371" s="304">
        <f t="shared" si="137"/>
        <v>0.6</v>
      </c>
      <c r="AF371" s="177">
        <f t="shared" si="138"/>
        <v>0.49911238274113412</v>
      </c>
      <c r="AG371" s="176">
        <f t="shared" si="139"/>
        <v>-1</v>
      </c>
      <c r="AH371" s="176">
        <f t="shared" si="140"/>
        <v>5</v>
      </c>
      <c r="AI371" s="224">
        <f t="shared" si="141"/>
        <v>-0.50088761725886588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9.5180000000000007</v>
      </c>
      <c r="C372" s="388"/>
      <c r="D372" s="391">
        <f t="shared" si="123"/>
        <v>9.6478429922302329</v>
      </c>
      <c r="E372" s="383">
        <f t="shared" si="145"/>
        <v>10.130209117727219</v>
      </c>
      <c r="F372" s="383">
        <f t="shared" si="124"/>
        <v>10.134646982864375</v>
      </c>
      <c r="G372" s="110">
        <f t="shared" si="146"/>
        <v>0.41884937360200686</v>
      </c>
      <c r="H372" s="412" t="b">
        <f>Wh_hp&gt;='2019'!Maxi_hp</f>
        <v>0</v>
      </c>
      <c r="I372" s="388">
        <f>IF(H372,Wh_hp,'2019'!Maxi_hp)</f>
        <v>13.665587151375444</v>
      </c>
      <c r="J372" s="85">
        <f>IF(H372,An,'2019'!An_max)</f>
        <v>2018</v>
      </c>
      <c r="K372" s="197">
        <f t="shared" si="125"/>
        <v>44188</v>
      </c>
      <c r="L372" s="147">
        <f>IF(t&lt;Tvie,1-EXP((T0-t)*PertePVj)+'2019'!Pspv,1-EXP((T0-t)*PertePVj)+Pspv)</f>
        <v>1.3458240596867066E-2</v>
      </c>
      <c r="M372" s="832"/>
      <c r="N372" s="832"/>
      <c r="O372" s="48">
        <f>IF(t&lt;Tnet,'2019'!Resal+('2019'!Salim-'2019'!Resal)*(1-EXP(('2019'!Tnet-t)/('2019'!Tau_j))),Resal+(Salim-Resal)*(1-EXP((Tnet-t)/(Tau_j))))*Salcycl</f>
        <v>4.7616600989300061E-2</v>
      </c>
      <c r="P372" s="169">
        <f>(INDEX(Models!$BJ372:$BT372,,T372)*(1-R372)+INDEX(Models!$BJ372:$BT372,,T372+1)*R372-ERP_i)*Q372*Ramure*Pc/MaxiM</f>
        <v>2.5598976792965125E-3</v>
      </c>
      <c r="Q372" s="304">
        <f t="shared" si="126"/>
        <v>0.6</v>
      </c>
      <c r="R372" s="177">
        <f t="shared" si="127"/>
        <v>0.49911238274113412</v>
      </c>
      <c r="S372" s="799">
        <f t="shared" si="128"/>
        <v>-1</v>
      </c>
      <c r="T372" s="176">
        <f t="shared" si="129"/>
        <v>5</v>
      </c>
      <c r="U372" s="250">
        <f t="shared" si="130"/>
        <v>-0.50088761725886588</v>
      </c>
      <c r="V372" s="382">
        <f t="shared" si="131"/>
        <v>22.675917610804923</v>
      </c>
      <c r="W372" s="58"/>
      <c r="X372" s="157">
        <f t="shared" si="132"/>
        <v>44188</v>
      </c>
      <c r="Y372" s="383">
        <f t="shared" si="133"/>
        <v>9.5180000000000007</v>
      </c>
      <c r="Z372" s="383">
        <f t="shared" si="134"/>
        <v>9.6478429922302329</v>
      </c>
      <c r="AA372" s="384">
        <f t="shared" si="135"/>
        <v>10.130209117727219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4.7616600989300061E-2</v>
      </c>
      <c r="AD372" s="230">
        <f>(INDEX(Models!$BJ372:$BT372,,AH372)*(1-AF372)+INDEX(Models!$BJ372:$BT372,,AH372+1)*AF372-ERP_i)*AE372*Ramure*Pc/MaxiM</f>
        <v>2.5598976792965125E-3</v>
      </c>
      <c r="AE372" s="304">
        <f t="shared" si="137"/>
        <v>0.6</v>
      </c>
      <c r="AF372" s="177">
        <f t="shared" si="138"/>
        <v>0.49911238274113412</v>
      </c>
      <c r="AG372" s="176">
        <f t="shared" si="139"/>
        <v>-1</v>
      </c>
      <c r="AH372" s="176">
        <f t="shared" si="140"/>
        <v>5</v>
      </c>
      <c r="AI372" s="224">
        <f t="shared" si="141"/>
        <v>-0.50088761725886588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10.885999999999999</v>
      </c>
      <c r="C373" s="388"/>
      <c r="D373" s="391">
        <f t="shared" si="123"/>
        <v>11.034716501297565</v>
      </c>
      <c r="E373" s="383">
        <f t="shared" si="145"/>
        <v>11.586964776921958</v>
      </c>
      <c r="F373" s="383">
        <f t="shared" si="124"/>
        <v>11.594478528110951</v>
      </c>
      <c r="G373" s="110">
        <f t="shared" si="146"/>
        <v>0.47806381635244627</v>
      </c>
      <c r="H373" s="412" t="b">
        <f>Wh_hp&gt;='2019'!Maxi_hp</f>
        <v>1</v>
      </c>
      <c r="I373" s="388">
        <f>IF(H373,Wh_hp,'2019'!Maxi_hp)</f>
        <v>11.594478528110951</v>
      </c>
      <c r="J373" s="85">
        <f>IF(H373,An,'2019'!An_max)</f>
        <v>2020</v>
      </c>
      <c r="K373" s="197">
        <f t="shared" si="125"/>
        <v>44189</v>
      </c>
      <c r="L373" s="147">
        <f>IF(t&lt;Tvie,1-EXP((T0-t)*PertePVj)+'2019'!Pspv,1-EXP((T0-t)*PertePVj)+Pspv)</f>
        <v>1.3477147444619697E-2</v>
      </c>
      <c r="M373" s="832"/>
      <c r="N373" s="832"/>
      <c r="O373" s="48">
        <f>IF(t&lt;Tnet,'2019'!Resal+('2019'!Salim-'2019'!Resal)*(1-EXP(('2019'!Tnet-t)/('2019'!Tau_j))),Resal+(Salim-Resal)*(1-EXP((Tnet-t)/(Tau_j))))*Salcycl</f>
        <v>4.7661168067440661E-2</v>
      </c>
      <c r="P373" s="169">
        <f>(INDEX(Models!$BJ373:$BT373,,T373)*(1-R373)+INDEX(Models!$BJ373:$BT373,,T373+1)*R373-ERP_i)*Q373*Ramure*Pc/MaxiM</f>
        <v>2.5347090393495007E-3</v>
      </c>
      <c r="Q373" s="304">
        <f t="shared" si="126"/>
        <v>0.6</v>
      </c>
      <c r="R373" s="177">
        <f t="shared" si="127"/>
        <v>0.49911238274113412</v>
      </c>
      <c r="S373" s="799">
        <f t="shared" si="128"/>
        <v>-1</v>
      </c>
      <c r="T373" s="176">
        <f t="shared" si="129"/>
        <v>5</v>
      </c>
      <c r="U373" s="250">
        <f t="shared" si="130"/>
        <v>-0.50088761725886588</v>
      </c>
      <c r="V373" s="382">
        <f t="shared" si="131"/>
        <v>22.728029380550307</v>
      </c>
      <c r="W373" s="58"/>
      <c r="X373" s="157">
        <f t="shared" si="132"/>
        <v>44189</v>
      </c>
      <c r="Y373" s="383">
        <f t="shared" si="133"/>
        <v>10.885999999999999</v>
      </c>
      <c r="Z373" s="383">
        <f t="shared" si="134"/>
        <v>11.034716501297565</v>
      </c>
      <c r="AA373" s="384">
        <f t="shared" si="135"/>
        <v>11.586964776921958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4.7661168067440661E-2</v>
      </c>
      <c r="AD373" s="230">
        <f>(INDEX(Models!$BJ373:$BT373,,AH373)*(1-AF373)+INDEX(Models!$BJ373:$BT373,,AH373+1)*AF373-ERP_i)*AE373*Ramure*Pc/MaxiM</f>
        <v>2.5347090393495007E-3</v>
      </c>
      <c r="AE373" s="304">
        <f t="shared" si="137"/>
        <v>0.6</v>
      </c>
      <c r="AF373" s="177">
        <f t="shared" si="138"/>
        <v>0.49911238274113412</v>
      </c>
      <c r="AG373" s="176">
        <f t="shared" si="139"/>
        <v>-1</v>
      </c>
      <c r="AH373" s="176">
        <f t="shared" si="140"/>
        <v>5</v>
      </c>
      <c r="AI373" s="224">
        <f t="shared" si="141"/>
        <v>-0.50088761725886588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4.008</v>
      </c>
      <c r="C374" s="388"/>
      <c r="D374" s="391">
        <f t="shared" si="123"/>
        <v>4.0628322025137757</v>
      </c>
      <c r="E374" s="383">
        <f t="shared" si="145"/>
        <v>4.266363038880213</v>
      </c>
      <c r="F374" s="383">
        <f t="shared" si="124"/>
        <v>4.266363038880213</v>
      </c>
      <c r="G374" s="110">
        <f t="shared" si="146"/>
        <v>0.17539862836235062</v>
      </c>
      <c r="H374" s="412" t="b">
        <f>Wh_hp&gt;='2019'!Maxi_hp</f>
        <v>0</v>
      </c>
      <c r="I374" s="388">
        <f>IF(H374,Wh_hp,'2019'!Maxi_hp)</f>
        <v>8.4515982622369421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1.3496053930026952E-2</v>
      </c>
      <c r="M374" s="832"/>
      <c r="N374" s="832"/>
      <c r="O374" s="48">
        <f>IF(t&lt;Tnet,'2019'!Resal+('2019'!Salim-'2019'!Resal)*(1-EXP(('2019'!Tnet-t)/('2019'!Tau_j))),Resal+(Salim-Resal)*(1-EXP((Tnet-t)/(Tau_j))))*Salcycl</f>
        <v>4.7705934659479393E-2</v>
      </c>
      <c r="P374" s="169">
        <f>(INDEX(Models!$BJ374:$BT374,,T374)*(1-R374)+INDEX(Models!$BJ374:$BT374,,T374+1)*R374-ERP_i)*Q374*Ramure*Pc/MaxiM</f>
        <v>2.5030315756479956E-3</v>
      </c>
      <c r="Q374" s="304">
        <f t="shared" si="126"/>
        <v>0.6</v>
      </c>
      <c r="R374" s="177">
        <f t="shared" si="127"/>
        <v>0.49911238274113412</v>
      </c>
      <c r="S374" s="799">
        <f t="shared" si="128"/>
        <v>-1</v>
      </c>
      <c r="T374" s="176">
        <f t="shared" si="129"/>
        <v>5</v>
      </c>
      <c r="U374" s="250">
        <f t="shared" si="130"/>
        <v>-0.50088761725886588</v>
      </c>
      <c r="V374" s="382">
        <f t="shared" si="131"/>
        <v>22.793609544001246</v>
      </c>
      <c r="W374" s="58"/>
      <c r="X374" s="157">
        <f t="shared" si="132"/>
        <v>44190</v>
      </c>
      <c r="Y374" s="383">
        <f t="shared" si="133"/>
        <v>4.008</v>
      </c>
      <c r="Z374" s="383">
        <f t="shared" si="134"/>
        <v>4.0628322025137757</v>
      </c>
      <c r="AA374" s="384">
        <f t="shared" si="135"/>
        <v>4.266363038880213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4.7705934659479393E-2</v>
      </c>
      <c r="AD374" s="230">
        <f>(INDEX(Models!$BJ374:$BT374,,AH374)*(1-AF374)+INDEX(Models!$BJ374:$BT374,,AH374+1)*AF374-ERP_i)*AE374*Ramure*Pc/MaxiM</f>
        <v>2.5030315756479956E-3</v>
      </c>
      <c r="AE374" s="304">
        <f t="shared" si="137"/>
        <v>0.6</v>
      </c>
      <c r="AF374" s="177">
        <f t="shared" si="138"/>
        <v>0.49911238274113412</v>
      </c>
      <c r="AG374" s="176">
        <f t="shared" si="139"/>
        <v>-1</v>
      </c>
      <c r="AH374" s="176">
        <f t="shared" si="140"/>
        <v>5</v>
      </c>
      <c r="AI374" s="224">
        <f t="shared" si="141"/>
        <v>-0.50088761725886588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14.475</v>
      </c>
      <c r="C375" s="388"/>
      <c r="D375" s="391">
        <f t="shared" si="123"/>
        <v>14.673309187515999</v>
      </c>
      <c r="E375" s="383">
        <f t="shared" si="145"/>
        <v>15.409107615811456</v>
      </c>
      <c r="F375" s="383">
        <f t="shared" si="124"/>
        <v>15.427181860412613</v>
      </c>
      <c r="G375" s="110">
        <f t="shared" si="146"/>
        <v>0.63204556899059194</v>
      </c>
      <c r="H375" s="412" t="b">
        <f>Wh_hp&gt;='2019'!Maxi_hp</f>
        <v>0</v>
      </c>
      <c r="I375" s="388">
        <f>IF(H375,Wh_hp,'2019'!Maxi_hp)</f>
        <v>21.290446008401918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1.3514960053095604E-2</v>
      </c>
      <c r="M375" s="832"/>
      <c r="N375" s="832"/>
      <c r="O375" s="48">
        <f>IF(t&lt;Tnet,'2019'!Resal+('2019'!Salim-'2019'!Resal)*(1-EXP(('2019'!Tnet-t)/('2019'!Tau_j))),Resal+(Salim-Resal)*(1-EXP((Tnet-t)/(Tau_j))))*Salcycl</f>
        <v>4.7750878677779315E-2</v>
      </c>
      <c r="P375" s="169">
        <f>(INDEX(Models!$BJ375:$BT375,,T375)*(1-R375)+INDEX(Models!$BJ375:$BT375,,T375+1)*R375-ERP_i)*Q375*Ramure*Pc/MaxiM</f>
        <v>2.463793749090139E-3</v>
      </c>
      <c r="Q375" s="304">
        <f t="shared" si="126"/>
        <v>0.6</v>
      </c>
      <c r="R375" s="177">
        <f t="shared" si="127"/>
        <v>0.49911238274113412</v>
      </c>
      <c r="S375" s="799">
        <f t="shared" si="128"/>
        <v>-1</v>
      </c>
      <c r="T375" s="176">
        <f t="shared" si="129"/>
        <v>5</v>
      </c>
      <c r="U375" s="250">
        <f t="shared" si="130"/>
        <v>-0.50088761725886588</v>
      </c>
      <c r="V375" s="382">
        <f t="shared" si="131"/>
        <v>22.872201053389478</v>
      </c>
      <c r="W375" s="58"/>
      <c r="X375" s="157">
        <f t="shared" si="132"/>
        <v>44191</v>
      </c>
      <c r="Y375" s="383">
        <f t="shared" si="133"/>
        <v>14.475</v>
      </c>
      <c r="Z375" s="383">
        <f t="shared" si="134"/>
        <v>14.673309187515999</v>
      </c>
      <c r="AA375" s="384">
        <f t="shared" si="135"/>
        <v>15.409107615811456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4.7750878677779315E-2</v>
      </c>
      <c r="AD375" s="230">
        <f>(INDEX(Models!$BJ375:$BT375,,AH375)*(1-AF375)+INDEX(Models!$BJ375:$BT375,,AH375+1)*AF375-ERP_i)*AE375*Ramure*Pc/MaxiM</f>
        <v>2.463793749090139E-3</v>
      </c>
      <c r="AE375" s="304">
        <f t="shared" si="137"/>
        <v>0.6</v>
      </c>
      <c r="AF375" s="177">
        <f t="shared" si="138"/>
        <v>0.49911238274113412</v>
      </c>
      <c r="AG375" s="176">
        <f t="shared" si="139"/>
        <v>-1</v>
      </c>
      <c r="AH375" s="176">
        <f t="shared" si="140"/>
        <v>5</v>
      </c>
      <c r="AI375" s="224">
        <f t="shared" si="141"/>
        <v>-0.50088761725886588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6.1319999999999997</v>
      </c>
      <c r="C376" s="388"/>
      <c r="D376" s="391">
        <f t="shared" si="123"/>
        <v>6.2161282455569431</v>
      </c>
      <c r="E376" s="383">
        <f t="shared" si="145"/>
        <v>6.5281474457395792</v>
      </c>
      <c r="F376" s="383">
        <f t="shared" si="124"/>
        <v>6.5281474457395792</v>
      </c>
      <c r="G376" s="110">
        <f t="shared" si="146"/>
        <v>0.26638910034539881</v>
      </c>
      <c r="H376" s="412" t="b">
        <f>Wh_hp&gt;='2019'!Maxi_hp</f>
        <v>1</v>
      </c>
      <c r="I376" s="388">
        <f>IF(H376,Wh_hp,'2019'!Maxi_hp)</f>
        <v>6.5281474457395792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1.3533865813832757E-2</v>
      </c>
      <c r="M376" s="832"/>
      <c r="N376" s="832"/>
      <c r="O376" s="48">
        <f>IF(t&lt;Tnet,'2019'!Resal+('2019'!Salim-'2019'!Resal)*(1-EXP(('2019'!Tnet-t)/('2019'!Tau_j))),Resal+(Salim-Resal)*(1-EXP((Tnet-t)/(Tau_j))))*Salcycl</f>
        <v>4.7795979299803878E-2</v>
      </c>
      <c r="P376" s="169">
        <f>(INDEX(Models!$BJ376:$BT376,,T376)*(1-R376)+INDEX(Models!$BJ376:$BT376,,T376+1)*R376-ERP_i)*Q376*Ramure*Pc/MaxiM</f>
        <v>2.4198921359617088E-3</v>
      </c>
      <c r="Q376" s="304">
        <f t="shared" si="126"/>
        <v>0.6</v>
      </c>
      <c r="R376" s="177">
        <f t="shared" si="127"/>
        <v>0.49911238274113412</v>
      </c>
      <c r="S376" s="799">
        <f t="shared" si="128"/>
        <v>-1</v>
      </c>
      <c r="T376" s="176">
        <f t="shared" si="129"/>
        <v>5</v>
      </c>
      <c r="U376" s="250">
        <f t="shared" si="130"/>
        <v>-0.50088761725886588</v>
      </c>
      <c r="V376" s="382">
        <f t="shared" si="131"/>
        <v>22.963256430127213</v>
      </c>
      <c r="W376" s="58"/>
      <c r="X376" s="157">
        <f t="shared" si="132"/>
        <v>44192</v>
      </c>
      <c r="Y376" s="383">
        <f t="shared" si="133"/>
        <v>6.1319999999999997</v>
      </c>
      <c r="Z376" s="383">
        <f t="shared" si="134"/>
        <v>6.2161282455569431</v>
      </c>
      <c r="AA376" s="384">
        <f t="shared" si="135"/>
        <v>6.5281474457395792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4.7795979299803878E-2</v>
      </c>
      <c r="AD376" s="230">
        <f>(INDEX(Models!$BJ376:$BT376,,AH376)*(1-AF376)+INDEX(Models!$BJ376:$BT376,,AH376+1)*AF376-ERP_i)*AE376*Ramure*Pc/MaxiM</f>
        <v>2.4198921359617088E-3</v>
      </c>
      <c r="AE376" s="304">
        <f t="shared" si="137"/>
        <v>0.6</v>
      </c>
      <c r="AF376" s="177">
        <f t="shared" si="138"/>
        <v>0.49911238274113412</v>
      </c>
      <c r="AG376" s="176">
        <f t="shared" si="139"/>
        <v>-1</v>
      </c>
      <c r="AH376" s="176">
        <f t="shared" si="140"/>
        <v>5</v>
      </c>
      <c r="AI376" s="224">
        <f t="shared" si="141"/>
        <v>-0.50088761725886588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0</v>
      </c>
      <c r="C377" s="388"/>
      <c r="D377" s="391">
        <f t="shared" si="123"/>
        <v>0</v>
      </c>
      <c r="E377" s="383">
        <f t="shared" si="145"/>
        <v>0</v>
      </c>
      <c r="F377" s="383">
        <f t="shared" si="124"/>
        <v>0</v>
      </c>
      <c r="G377" s="110">
        <f t="shared" si="146"/>
        <v>0</v>
      </c>
      <c r="H377" s="412" t="b">
        <f>Wh_hp&gt;='2019'!Maxi_hp</f>
        <v>0</v>
      </c>
      <c r="I377" s="388">
        <f>IF(H377,Wh_hp,'2019'!Maxi_hp)</f>
        <v>25.022994124609578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1.3552771212245407E-2</v>
      </c>
      <c r="M377" s="832"/>
      <c r="N377" s="832"/>
      <c r="O377" s="48">
        <f>IF(t&lt;Tnet,'2019'!Resal+('2019'!Salim-'2019'!Resal)*(1-EXP(('2019'!Tnet-t)/('2019'!Tau_j))),Resal+(Salim-Resal)*(1-EXP((Tnet-t)/(Tau_j))))*Salcycl</f>
        <v>4.7841217034262216E-2</v>
      </c>
      <c r="P377" s="169">
        <f>(INDEX(Models!$BJ377:$BT377,,T377)*(1-R377)+INDEX(Models!$BJ377:$BT377,,T377+1)*R377-ERP_i)*Q377*Ramure*Pc/MaxiM</f>
        <v>2.3714746982835349E-3</v>
      </c>
      <c r="Q377" s="304">
        <f t="shared" si="126"/>
        <v>0.6</v>
      </c>
      <c r="R377" s="177">
        <f t="shared" si="127"/>
        <v>0.49911238274113412</v>
      </c>
      <c r="S377" s="799">
        <f t="shared" si="128"/>
        <v>-1</v>
      </c>
      <c r="T377" s="176">
        <f t="shared" si="129"/>
        <v>5</v>
      </c>
      <c r="U377" s="250">
        <f t="shared" si="130"/>
        <v>-0.50088761725886588</v>
      </c>
      <c r="V377" s="382">
        <f t="shared" si="131"/>
        <v>23.066291136892399</v>
      </c>
      <c r="W377" s="58"/>
      <c r="X377" s="157">
        <f t="shared" si="132"/>
        <v>44193</v>
      </c>
      <c r="Y377" s="383">
        <f t="shared" si="133"/>
        <v>0</v>
      </c>
      <c r="Z377" s="383">
        <f t="shared" si="134"/>
        <v>0</v>
      </c>
      <c r="AA377" s="384">
        <f t="shared" si="135"/>
        <v>0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4.7841217034262216E-2</v>
      </c>
      <c r="AD377" s="230">
        <f>(INDEX(Models!$BJ377:$BT377,,AH377)*(1-AF377)+INDEX(Models!$BJ377:$BT377,,AH377+1)*AF377-ERP_i)*AE377*Ramure*Pc/MaxiM</f>
        <v>2.3714746982835349E-3</v>
      </c>
      <c r="AE377" s="304">
        <f t="shared" si="137"/>
        <v>0.6</v>
      </c>
      <c r="AF377" s="177">
        <f t="shared" si="138"/>
        <v>0.49911238274113412</v>
      </c>
      <c r="AG377" s="176">
        <f t="shared" si="139"/>
        <v>-1</v>
      </c>
      <c r="AH377" s="176">
        <f t="shared" si="140"/>
        <v>5</v>
      </c>
      <c r="AI377" s="224">
        <f t="shared" si="141"/>
        <v>-0.50088761725886588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7.5250000000000004</v>
      </c>
      <c r="C378" s="388"/>
      <c r="D378" s="391">
        <f t="shared" si="123"/>
        <v>7.6285319660939424</v>
      </c>
      <c r="E378" s="383">
        <f t="shared" si="145"/>
        <v>8.0122092136919996</v>
      </c>
      <c r="F378" s="383">
        <f t="shared" si="124"/>
        <v>8.0128627260106882</v>
      </c>
      <c r="G378" s="110">
        <f t="shared" si="146"/>
        <v>0.32389552751688094</v>
      </c>
      <c r="H378" s="412" t="b">
        <f>Wh_hp&gt;='2019'!Maxi_hp</f>
        <v>0</v>
      </c>
      <c r="I378" s="388">
        <f>IF(H378,Wh_hp,'2019'!Maxi_hp)</f>
        <v>25.027651179472095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1.3571676248340325E-2</v>
      </c>
      <c r="M378" s="832"/>
      <c r="N378" s="832"/>
      <c r="O378" s="48">
        <f>IF(t&lt;Tnet,'2019'!Resal+('2019'!Salim-'2019'!Resal)*(1-EXP(('2019'!Tnet-t)/('2019'!Tau_j))),Resal+(Salim-Resal)*(1-EXP((Tnet-t)/(Tau_j))))*Salcycl</f>
        <v>4.7886573773235346E-2</v>
      </c>
      <c r="P378" s="169">
        <f>(INDEX(Models!$BJ378:$BT378,,T378)*(1-R378)+INDEX(Models!$BJ378:$BT378,,T378+1)*R378-ERP_i)*Q378*Ramure*Pc/MaxiM</f>
        <v>2.3186976439272581E-3</v>
      </c>
      <c r="Q378" s="304">
        <f t="shared" si="126"/>
        <v>0.6</v>
      </c>
      <c r="R378" s="177">
        <f t="shared" si="127"/>
        <v>0.49911238274113412</v>
      </c>
      <c r="S378" s="799">
        <f t="shared" si="128"/>
        <v>-1</v>
      </c>
      <c r="T378" s="176">
        <f t="shared" si="129"/>
        <v>5</v>
      </c>
      <c r="U378" s="250">
        <f t="shared" si="130"/>
        <v>-0.50088761725886588</v>
      </c>
      <c r="V378" s="382">
        <f t="shared" si="131"/>
        <v>23.180820704592687</v>
      </c>
      <c r="W378" s="58"/>
      <c r="X378" s="157">
        <f t="shared" si="132"/>
        <v>44194</v>
      </c>
      <c r="Y378" s="383">
        <f t="shared" si="133"/>
        <v>7.5249999999999995</v>
      </c>
      <c r="Z378" s="383">
        <f t="shared" si="134"/>
        <v>7.6285319660939415</v>
      </c>
      <c r="AA378" s="384">
        <f t="shared" si="135"/>
        <v>8.0122092136919996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4.7886573773235346E-2</v>
      </c>
      <c r="AD378" s="230">
        <f>(INDEX(Models!$BJ378:$BT378,,AH378)*(1-AF378)+INDEX(Models!$BJ378:$BT378,,AH378+1)*AF378-ERP_i)*AE378*Ramure*Pc/MaxiM</f>
        <v>2.3186976439272581E-3</v>
      </c>
      <c r="AE378" s="304">
        <f t="shared" si="137"/>
        <v>0.6</v>
      </c>
      <c r="AF378" s="177">
        <f t="shared" si="138"/>
        <v>0.49911238274113412</v>
      </c>
      <c r="AG378" s="176">
        <f t="shared" si="139"/>
        <v>-1</v>
      </c>
      <c r="AH378" s="176">
        <f t="shared" si="140"/>
        <v>5</v>
      </c>
      <c r="AI378" s="224">
        <f t="shared" si="141"/>
        <v>-0.50088761725886588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12.071</v>
      </c>
      <c r="C379" s="388"/>
      <c r="D379" s="391">
        <f t="shared" si="123"/>
        <v>12.237312181471589</v>
      </c>
      <c r="E379" s="383">
        <f t="shared" si="145"/>
        <v>12.853401861476339</v>
      </c>
      <c r="F379" s="383">
        <f t="shared" si="124"/>
        <v>12.862458710507871</v>
      </c>
      <c r="G379" s="110">
        <f t="shared" si="146"/>
        <v>0.51711999031532863</v>
      </c>
      <c r="H379" s="412" t="b">
        <f>Wh_hp&gt;='2019'!Maxi_hp</f>
        <v>0</v>
      </c>
      <c r="I379" s="388">
        <f>IF(H379,Wh_hp,'2019'!Maxi_hp)</f>
        <v>17.949954639040605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1.3590580922124507E-2</v>
      </c>
      <c r="M379" s="832"/>
      <c r="N379" s="832"/>
      <c r="O379" s="48">
        <f>IF(t&lt;Tnet,'2019'!Resal+('2019'!Salim-'2019'!Resal)*(1-EXP(('2019'!Tnet-t)/('2019'!Tau_j))),Resal+(Salim-Resal)*(1-EXP((Tnet-t)/(Tau_j))))*Salcycl</f>
        <v>4.7932032830255378E-2</v>
      </c>
      <c r="P379" s="169">
        <f>(INDEX(Models!$BJ379:$BT379,,T379)*(1-R379)+INDEX(Models!$BJ379:$BT379,,T379+1)*R379-ERP_i)*Q379*Ramure*Pc/MaxiM</f>
        <v>2.2617238558164409E-3</v>
      </c>
      <c r="Q379" s="305">
        <f t="shared" si="126"/>
        <v>0.6</v>
      </c>
      <c r="R379" s="177">
        <f t="shared" si="127"/>
        <v>0.49911238274113412</v>
      </c>
      <c r="S379" s="799">
        <f t="shared" si="128"/>
        <v>-1</v>
      </c>
      <c r="T379" s="176">
        <f t="shared" si="129"/>
        <v>5</v>
      </c>
      <c r="U379" s="306">
        <f t="shared" si="130"/>
        <v>-0.50088761725886588</v>
      </c>
      <c r="V379" s="382">
        <f t="shared" si="131"/>
        <v>23.306360743555675</v>
      </c>
      <c r="W379" s="58"/>
      <c r="X379" s="157">
        <f t="shared" si="132"/>
        <v>44195</v>
      </c>
      <c r="Y379" s="383">
        <f t="shared" si="133"/>
        <v>12.071</v>
      </c>
      <c r="Z379" s="383">
        <f t="shared" si="134"/>
        <v>12.237312181471589</v>
      </c>
      <c r="AA379" s="384">
        <f t="shared" si="135"/>
        <v>12.853401861476339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4.7932032830255378E-2</v>
      </c>
      <c r="AD379" s="230">
        <f>(INDEX(Models!$BJ379:$BT379,,AH379)*(1-AF379)+INDEX(Models!$BJ379:$BT379,,AH379+1)*AF379-ERP_i)*AE379*Ramure*Pc/MaxiM</f>
        <v>2.2617238558164409E-3</v>
      </c>
      <c r="AE379" s="305">
        <f t="shared" si="137"/>
        <v>0.6</v>
      </c>
      <c r="AF379" s="177">
        <f t="shared" si="138"/>
        <v>0.49911238274113412</v>
      </c>
      <c r="AG379" s="176">
        <f t="shared" si="139"/>
        <v>-1</v>
      </c>
      <c r="AH379" s="176">
        <f t="shared" si="140"/>
        <v>5</v>
      </c>
      <c r="AI379" s="221">
        <f t="shared" si="141"/>
        <v>-0.50088761725886588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13.802</v>
      </c>
      <c r="C380" s="388"/>
      <c r="D380" s="391">
        <f t="shared" ref="D380" si="147">Wh/(1-Ppv)</f>
        <v>13.992429766286532</v>
      </c>
      <c r="E380" s="383">
        <f t="shared" ref="E380" si="148">Wh_pvt/(1-Psa)</f>
        <v>14.697584276498727</v>
      </c>
      <c r="F380" s="383">
        <f t="shared" ref="F380" si="149">Wh_sa/(1-Pvg*MEDIAN((-Sdif+Wh/Env_an)/Csdif,0,1))</f>
        <v>14.71093936617153</v>
      </c>
      <c r="G380" s="110">
        <f t="shared" ref="G380" si="150">+Wh_hp/MaxiM</f>
        <v>0.58799967245701612</v>
      </c>
      <c r="H380" s="412" t="b">
        <f>Wh_hp&gt;='2019'!Maxi_hp</f>
        <v>1</v>
      </c>
      <c r="I380" s="380">
        <f>IF(H380,Wh_hp,'2019'!Maxi_hp)</f>
        <v>14.71093936617153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1.3609485233605056E-2</v>
      </c>
      <c r="M380" s="832"/>
      <c r="N380" s="832"/>
      <c r="O380" s="323">
        <f>IF(t&lt;Tnet,'2020'!Resal+('2020'!Salim-'2020'!Resal)*(1-EXP(('2020'!Tnet-t)/('2020'!Tau_j))),Resal+(Salim-Resal)*(1-EXP((Tnet-t)/(Tau_j))))*Salcycl</f>
        <v>4.7977578964437655E-2</v>
      </c>
      <c r="P380" s="230">
        <f>(INDEX(Models!$BJ380:$BT380,,T380)*(1-R380)+INDEX(Models!$BJ380:$BT380,,T380+1)*R380-ERP_i)*Q380*Ramure*Pc/MaxiM</f>
        <v>2.2007213350179774E-3</v>
      </c>
      <c r="Q380" s="327">
        <f t="shared" ref="Q380" si="152">IF(OR(t&lt;Ttai,Notai),Dd+PousD*Croivg,Dens+PousD*(Croivg-Croi_tai))</f>
        <v>0.6</v>
      </c>
      <c r="R380" s="313">
        <f>(Hp_vg-S380)/(INDEX(Echel_vg,T380+1)-S380)</f>
        <v>0.49911238274113412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-0.50088761725886588</v>
      </c>
      <c r="V380" s="382">
        <f t="shared" ref="V380" si="155">MaxiM*(1-Ppv)*(1-Pvg)*(1-Psa)</f>
        <v>23.442426924703394</v>
      </c>
      <c r="W380" s="400"/>
      <c r="X380" s="325">
        <f t="shared" ref="X380" si="156">t</f>
        <v>44196</v>
      </c>
      <c r="Y380" s="396">
        <f t="shared" ref="Y380" si="157">Wh_pvt_s*(1-Ppv)</f>
        <v>13.802</v>
      </c>
      <c r="Z380" s="396">
        <f t="shared" ref="Z380" si="158">Wh_sa_s*(1-Psa_s)</f>
        <v>13.992429766286532</v>
      </c>
      <c r="AA380" s="397">
        <f t="shared" ref="AA380" si="159">Wh_hp*(1-Pvg_s*MEDIAN((-Sdif+Wh/Env_an)/Csdif,0,1))</f>
        <v>14.697584276498727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4.7977578964437655E-2</v>
      </c>
      <c r="AD380" s="801">
        <f>(INDEX(Models!$BJ380:$BT380,,AH380)*(1-AF380)+INDEX(Models!$BJ380:$BT380,,AH380+1)*AF380-ERP_i)*AE380*Ramure*Pc/MaxiM</f>
        <v>2.2007213350179774E-3</v>
      </c>
      <c r="AE380" s="327">
        <f t="shared" ref="AE380" si="161">IF(OR(t&lt;Ttai,Notai),Dd_s+PousD*Croivg,Dens_s+PousD*(Croivg-Croi_tai))</f>
        <v>0.6</v>
      </c>
      <c r="AF380" s="313">
        <f>(Hp_vg_s-AG380)/(INDEX(Echel_vg,AH380+1)-AG380)</f>
        <v>0.49911238274113412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-0.50088761725886588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336"/>
      <c r="I381" s="373">
        <f>MIN(I15:I380)</f>
        <v>1.1955881215288715</v>
      </c>
      <c r="J381" s="57">
        <f>MIN(J15:J380)</f>
        <v>2018</v>
      </c>
      <c r="K381" s="200" t="s">
        <v>7</v>
      </c>
      <c r="L381" s="146">
        <f t="shared" ref="L381:T381" si="164">MIN(L15:L380)</f>
        <v>6.6852877946201872E-3</v>
      </c>
      <c r="M381" s="833"/>
      <c r="N381" s="833"/>
      <c r="O381" s="47">
        <f t="shared" si="164"/>
        <v>2.7374222417962678E-2</v>
      </c>
      <c r="P381" s="168">
        <f t="shared" si="164"/>
        <v>2.7464964853399867E-5</v>
      </c>
      <c r="Q381" s="309">
        <f t="shared" si="164"/>
        <v>0.6</v>
      </c>
      <c r="R381" s="310">
        <f t="shared" si="164"/>
        <v>6.6141340840375484E-5</v>
      </c>
      <c r="S381" s="799">
        <f t="shared" si="164"/>
        <v>-2</v>
      </c>
      <c r="T381" s="176">
        <f t="shared" si="164"/>
        <v>4</v>
      </c>
      <c r="U381" s="251">
        <f>+MIN(U15:U380)</f>
        <v>-1.000886344222695</v>
      </c>
      <c r="V381" s="372">
        <f>MIN(V15:V380)</f>
        <v>22.600280301911681</v>
      </c>
      <c r="W381" s="793" t="s">
        <v>40</v>
      </c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65">MIN(AC15:AC380)</f>
        <v>2.7374222417962678E-2</v>
      </c>
      <c r="AD381" s="168">
        <f t="shared" si="165"/>
        <v>2.7464964853399867E-5</v>
      </c>
      <c r="AE381" s="309">
        <f t="shared" si="165"/>
        <v>0.6</v>
      </c>
      <c r="AF381" s="310">
        <f t="shared" si="165"/>
        <v>6.6141340840375484E-5</v>
      </c>
      <c r="AG381" s="799">
        <f t="shared" si="165"/>
        <v>-2</v>
      </c>
      <c r="AH381" s="176">
        <f t="shared" si="165"/>
        <v>4</v>
      </c>
      <c r="AI381" s="225">
        <f>MIN(AI15:AI380)</f>
        <v>-1.000886344222695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31.086819672131156</v>
      </c>
      <c r="C382" s="374"/>
      <c r="D382" s="374">
        <f>AVERAGE(D15:D380)</f>
        <v>31.400639006544001</v>
      </c>
      <c r="E382" s="374">
        <f>AVERAGE(E15:E380)</f>
        <v>32.67353237692722</v>
      </c>
      <c r="F382" s="375">
        <f>AVERAGE(F15:F380)</f>
        <v>32.679918117043172</v>
      </c>
      <c r="G382" s="126">
        <f>AVERAGE(G15:G380)</f>
        <v>0.66906454829603301</v>
      </c>
      <c r="H382" s="336"/>
      <c r="I382" s="375">
        <f>AVERAGE(I15:I380)</f>
        <v>38.099031311100312</v>
      </c>
      <c r="J382" s="59">
        <f>AVERAGE(J15:J380)</f>
        <v>2019.2185792349726</v>
      </c>
      <c r="K382" s="200" t="s">
        <v>8</v>
      </c>
      <c r="L382" s="147">
        <f t="shared" ref="L382:V382" si="166">AVERAGE(L15:L380)</f>
        <v>1.015141180288421E-2</v>
      </c>
      <c r="M382" s="832"/>
      <c r="N382" s="832"/>
      <c r="O382" s="48">
        <f t="shared" si="166"/>
        <v>3.911050053979323E-2</v>
      </c>
      <c r="P382" s="169">
        <f t="shared" si="166"/>
        <v>5.4334048150562868E-4</v>
      </c>
      <c r="Q382" s="311">
        <f t="shared" si="166"/>
        <v>0.5999999999999962</v>
      </c>
      <c r="R382" s="177">
        <f t="shared" si="166"/>
        <v>0.33697570941569671</v>
      </c>
      <c r="S382" s="799">
        <f t="shared" si="166"/>
        <v>-1.0573770491803278</v>
      </c>
      <c r="T382" s="176">
        <f t="shared" si="166"/>
        <v>4.942622950819672</v>
      </c>
      <c r="U382" s="250">
        <f t="shared" si="166"/>
        <v>-0.72040133976463139</v>
      </c>
      <c r="V382" s="374">
        <f t="shared" si="166"/>
        <v>44.939568716849195</v>
      </c>
      <c r="X382" s="112" t="s">
        <v>8</v>
      </c>
      <c r="Y382" s="374">
        <f>AVERAGE(Y15:Y380)</f>
        <v>31.086819672131156</v>
      </c>
      <c r="Z382" s="374">
        <f>AVERAGE(Z15:Z380)</f>
        <v>31.400639006544001</v>
      </c>
      <c r="AA382" s="374">
        <f>AVERAGE(AA15:AA380)</f>
        <v>32.67353237692722</v>
      </c>
      <c r="AB382" s="200" t="s">
        <v>8</v>
      </c>
      <c r="AC382" s="48">
        <f t="shared" ref="AC382:AH382" si="167">AVERAGE(AC15:AC380)</f>
        <v>3.911050053979323E-2</v>
      </c>
      <c r="AD382" s="169">
        <f t="shared" si="167"/>
        <v>5.4334048150562868E-4</v>
      </c>
      <c r="AE382" s="311">
        <f t="shared" si="167"/>
        <v>0.5999999999999962</v>
      </c>
      <c r="AF382" s="177">
        <f t="shared" si="167"/>
        <v>0.33697570941569671</v>
      </c>
      <c r="AG382" s="799">
        <f t="shared" si="167"/>
        <v>-1.0573770491803278</v>
      </c>
      <c r="AH382" s="176">
        <f t="shared" si="167"/>
        <v>4.942622950819672</v>
      </c>
      <c r="AI382" s="224">
        <f>AVERAGE(AI15:AI380)</f>
        <v>-0.72040133976463139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62.137999999999998</v>
      </c>
      <c r="C383" s="376"/>
      <c r="D383" s="376">
        <f>MAX(D15:D380)</f>
        <v>62.720669561543929</v>
      </c>
      <c r="E383" s="376">
        <f>MAX(E15:E380)</f>
        <v>65.110114488501296</v>
      </c>
      <c r="F383" s="377">
        <f>MAX(F15:F380)</f>
        <v>65.112138934007149</v>
      </c>
      <c r="G383" s="127">
        <f>+MAX(G15:G380)</f>
        <v>1.0469014992264492</v>
      </c>
      <c r="H383" s="336"/>
      <c r="I383" s="377">
        <f>MAX(I15:I380)</f>
        <v>65.112138934007149</v>
      </c>
      <c r="J383" s="60">
        <f>MAX(J15:J380)</f>
        <v>2020</v>
      </c>
      <c r="K383" s="200" t="s">
        <v>9</v>
      </c>
      <c r="L383" s="148">
        <f t="shared" ref="L383:T383" si="168">MAX(L15:L380)</f>
        <v>1.3609485233605056E-2</v>
      </c>
      <c r="M383" s="834"/>
      <c r="N383" s="834"/>
      <c r="O383" s="49">
        <f t="shared" si="168"/>
        <v>4.7977578964437655E-2</v>
      </c>
      <c r="P383" s="170">
        <f t="shared" si="168"/>
        <v>2.595927435648173E-3</v>
      </c>
      <c r="Q383" s="312">
        <f t="shared" si="168"/>
        <v>0.6</v>
      </c>
      <c r="R383" s="313">
        <f t="shared" si="168"/>
        <v>0.99999992246205838</v>
      </c>
      <c r="S383" s="800">
        <f t="shared" si="168"/>
        <v>-1</v>
      </c>
      <c r="T383" s="232">
        <f t="shared" si="168"/>
        <v>5</v>
      </c>
      <c r="U383" s="252">
        <f>+MAX(U15:U380)</f>
        <v>-0.50088761725886588</v>
      </c>
      <c r="V383" s="376">
        <f>MAX(V15:V380)</f>
        <v>61.081727543479275</v>
      </c>
      <c r="X383" s="112" t="s">
        <v>9</v>
      </c>
      <c r="Y383" s="376">
        <f>MAX(Y15:Y380)</f>
        <v>62.138000000000005</v>
      </c>
      <c r="Z383" s="376">
        <f>MAX(Z15:Z380)</f>
        <v>62.720669561543936</v>
      </c>
      <c r="AA383" s="376">
        <f>MAX(AA15:AA380)</f>
        <v>65.110114488501296</v>
      </c>
      <c r="AB383" s="200" t="s">
        <v>9</v>
      </c>
      <c r="AC383" s="49">
        <f t="shared" ref="AC383:AH383" si="169">MAX(AC15:AC380)</f>
        <v>4.7977578964437655E-2</v>
      </c>
      <c r="AD383" s="170">
        <f t="shared" si="169"/>
        <v>2.595927435648173E-3</v>
      </c>
      <c r="AE383" s="312">
        <f t="shared" si="169"/>
        <v>0.6</v>
      </c>
      <c r="AF383" s="313">
        <f t="shared" si="169"/>
        <v>0.99999992246205838</v>
      </c>
      <c r="AG383" s="800">
        <f t="shared" si="169"/>
        <v>-1</v>
      </c>
      <c r="AH383" s="232">
        <f t="shared" si="169"/>
        <v>5</v>
      </c>
      <c r="AI383" s="226">
        <f>MAX(AI15:AI380)</f>
        <v>-0.50088761725886588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94" sqref="B9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'2020'!An+1</f>
        <v>2021</v>
      </c>
      <c r="K1" s="1279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10779.494999999999</v>
      </c>
      <c r="AK6" s="514">
        <f>SUMIF(AK15:AK380,"FAUX",Wh)</f>
        <v>10779.494999999999</v>
      </c>
      <c r="AL6" s="514">
        <f>SUMIF(AJ15:AJ380,"FAUX",Wh_s)</f>
        <v>10779.494999999999</v>
      </c>
      <c r="AM6" s="514">
        <f>SUMIF(AK15:AK380,"FAUX",Wh_s)</f>
        <v>10779.494999999999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10965.162789927856</v>
      </c>
      <c r="AK8" s="514">
        <f>SUMIF(AK15:AK380,"FAUX",Wh_sa)</f>
        <v>11722.437722782852</v>
      </c>
      <c r="AL8" s="514">
        <f>SUMIF(AJ15:AJ380,"FAUX",Wh_pvt_s)</f>
        <v>10965.162789927856</v>
      </c>
      <c r="AM8" s="514">
        <f>SUMIF(AK15:AK380,"FAUX",Wh_sa_s)</f>
        <v>11722.437722782852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10965.162789927856</v>
      </c>
      <c r="E9" s="184">
        <f>SUM(E$15:E$380)</f>
        <v>11722.437722782852</v>
      </c>
      <c r="F9" s="184">
        <f>SUM(F$15:F$380)</f>
        <v>11726.850945378214</v>
      </c>
      <c r="H9" s="1280">
        <f>+SUM(Wh)</f>
        <v>10779.494999999999</v>
      </c>
      <c r="I9" s="1281"/>
      <c r="J9" s="1282"/>
      <c r="K9" s="191"/>
      <c r="L9" s="231"/>
      <c r="M9" s="231"/>
      <c r="N9" s="231"/>
      <c r="O9" s="222">
        <f>Tnet_2021</f>
        <v>44197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10779.494999999999</v>
      </c>
      <c r="Y9" s="1275"/>
      <c r="Z9" s="514">
        <f>SUM(Z$15:Z$380)</f>
        <v>10965.162789927856</v>
      </c>
      <c r="AA9" s="514">
        <f>SUM(AA$15:AA$380)</f>
        <v>11722.437722782852</v>
      </c>
      <c r="AB9" s="514">
        <f>F9</f>
        <v>11726.850945378214</v>
      </c>
      <c r="AC9" s="324">
        <f>IF(An_Tnet,Tnet,'2020'!Tnet_s)</f>
        <v>44197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4.7997650125778057E-2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4.7997650125778057E-2</v>
      </c>
      <c r="AD10" s="426"/>
      <c r="AE10" s="426"/>
      <c r="AF10" s="259"/>
      <c r="AG10" s="260"/>
      <c r="AH10" s="261"/>
      <c r="AI10" s="521"/>
      <c r="AJ10" s="514">
        <f>SUMIF(AJ15:AJ380,"FAUX",Wh_sa)</f>
        <v>11722.437722782852</v>
      </c>
      <c r="AK10" s="514">
        <f>SUMIF(AK15:AK380,"FAUX",Wh_hp)</f>
        <v>11726.850945378214</v>
      </c>
      <c r="AL10" s="514">
        <f>SUMIF(AJ15:AJ380,"FAUX",Wh_sa_s)</f>
        <v>11722.437722782852</v>
      </c>
      <c r="AM10" s="514">
        <f>SUMIF(AK15:AK380,"FAUX",Wh_hp)</f>
        <v>11726.850945378214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185.66778992785657</v>
      </c>
      <c r="E11" s="51">
        <f>(E$9-D$9)*Prod_an/D$9</f>
        <v>744.45236324571476</v>
      </c>
      <c r="F11" s="186">
        <f>(F$9-E$9)*Prod_an/E$9</f>
        <v>4.0582267976677597</v>
      </c>
      <c r="G11" s="185" t="s">
        <v>6</v>
      </c>
      <c r="K11" s="194"/>
      <c r="L11" s="211">
        <f>Tvie_2021</f>
        <v>43481</v>
      </c>
      <c r="M11" s="831"/>
      <c r="N11" s="831"/>
      <c r="O11" s="202">
        <f>IF(An_Tnet,Salim_2021,'2020'!Salim)</f>
        <v>0.15</v>
      </c>
      <c r="P11" s="255">
        <f>Ttai_2021</f>
        <v>43466</v>
      </c>
      <c r="Q11" s="271">
        <f>Dens_2021</f>
        <v>0.6</v>
      </c>
      <c r="R11" s="276"/>
      <c r="S11" s="229"/>
      <c r="T11" s="229"/>
      <c r="U11" s="265">
        <f>Htf_2021</f>
        <v>-8.8761725886588039E-4</v>
      </c>
      <c r="V11" s="426"/>
      <c r="W11" s="517"/>
      <c r="X11" s="524" t="s">
        <v>43</v>
      </c>
      <c r="Y11" s="50">
        <f>Z$9-Prod_an_s</f>
        <v>185.66778992785657</v>
      </c>
      <c r="Z11" s="51">
        <f>(AA$9-Z$9)*Prod_an_s/Z$9</f>
        <v>744.45236324571476</v>
      </c>
      <c r="AA11" s="186">
        <f>(AB$9-AA$9)*Prod_an_s/AA$9</f>
        <v>4.0582267976677597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4.212991551600509E-2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455">
        <f>INDEX(Croivg,MIN(MAX(Ttai-$A$15,0)+1,366))</f>
        <v>2.3909964587625958E-6</v>
      </c>
      <c r="Q12" s="279">
        <f>'2020'!Df</f>
        <v>0.6</v>
      </c>
      <c r="R12" s="277"/>
      <c r="S12" s="278"/>
      <c r="T12" s="278"/>
      <c r="U12" s="266">
        <f>'2020'!Hdf</f>
        <v>-0.50088761725886588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0.6</v>
      </c>
      <c r="AF12" s="203"/>
      <c r="AG12" s="203"/>
      <c r="AH12" s="203"/>
      <c r="AI12" s="296">
        <f>'2020'!Hdf_s</f>
        <v>-0.50088761725886588</v>
      </c>
      <c r="AJ12" s="821">
        <f>IF($AJ8=0,0,($AJ10-$AJ8)*$AJ6/$AJ8)</f>
        <v>744.45236324571476</v>
      </c>
      <c r="AK12" s="822">
        <f>IF($AK8=0,0,($AK10-$AK8)*$AK6/$AK8)</f>
        <v>4.0582267976677597</v>
      </c>
      <c r="AL12" s="821">
        <f>IF($AL8=0,0,($AL10-$AL8)*$AL6/$AL8)</f>
        <v>744.45236324571476</v>
      </c>
      <c r="AM12" s="822">
        <f>IF($AM8=0,0,($AM10-$AM8)*$AM6/$AM8)</f>
        <v>4.0582267976677597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744.45236324571476</v>
      </c>
      <c r="AK13" s="73">
        <f>+AK11+AK12</f>
        <v>4.0582267976677597</v>
      </c>
      <c r="AL13" s="73">
        <f>+AL11+AL12</f>
        <v>744.45236324571476</v>
      </c>
      <c r="AM13" s="73">
        <f>+AM11+AM12</f>
        <v>4.0582267976677597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7.2709999999999999</v>
      </c>
      <c r="C15" s="388"/>
      <c r="D15" s="391">
        <f t="shared" ref="D15:D78" si="0">Wh/(1-Ppv)</f>
        <v>7.3714611412791564</v>
      </c>
      <c r="E15" s="383">
        <f>Wh_pvt/(1-Psa)</f>
        <v>7.7433357593055598</v>
      </c>
      <c r="F15" s="383">
        <f t="shared" ref="F15:F78" si="1">Wh_sa/(1-Pvg*MEDIAN((-Sdif+Wh/Env_an)/Csdif,0,1))</f>
        <v>7.7435837268740517</v>
      </c>
      <c r="G15" s="110">
        <f>+Wh_hp/MaxiM</f>
        <v>0.30951284498120296</v>
      </c>
      <c r="H15" s="412" t="b">
        <f>Wh_hp&gt;='2020'!Maxi_hp</f>
        <v>0</v>
      </c>
      <c r="I15" s="378">
        <f>IF(H15,Wh_hp,'2020'!Maxi_hp)</f>
        <v>15.358447464851398</v>
      </c>
      <c r="J15" s="84">
        <f>IF(H15,An,'2020'!An_max)</f>
        <v>2020</v>
      </c>
      <c r="K15" s="197">
        <f>t</f>
        <v>44197</v>
      </c>
      <c r="L15" s="146">
        <f>IF(t&lt;Tvie,1-EXP((T0-t)*PertePVj)+'2020'!Pspv,1-EXP((T0-t)*PertePVj)+Pspv)</f>
        <v>1.3628389182788747E-2</v>
      </c>
      <c r="M15" s="833"/>
      <c r="N15" s="833"/>
      <c r="O15" s="47">
        <f>IF(t&lt;Tnet,'2020'!Resal+('2020'!Salim-'2020'!Resal)*(1-EXP(('2020'!Tnet-t)/('2020'!Tau_j))),Resal+(Salim-Resal)*(1-EXP((Tnet-t)/(Tau_j))))*Salcycl</f>
        <v>4.8025118577546266E-2</v>
      </c>
      <c r="P15" s="301">
        <f>(INDEX(Models!$BJ15:$BT15,,T15)*(1-R15)+INDEX(Models!$BJ15:$BT15,,T15+1)*R15-ERP_i)*Q15*Ramure*Pc/MaxiM</f>
        <v>2.2007247483054916E-3</v>
      </c>
      <c r="Q15" s="302">
        <f t="shared" ref="Q15:Q78" si="2">IF(OR(t&lt;Ttai,Notai),Dd+PousD*Croivg,Dens+PousD*(Croivg-Croi_tai))</f>
        <v>0.6</v>
      </c>
      <c r="R15" s="303">
        <f t="shared" ref="R15:R78" si="3">(Hp_vg-S15)/(INDEX(Echel_vg,T15+1)-S15)</f>
        <v>0.49911357823936353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-0.50088642176063647</v>
      </c>
      <c r="V15" s="381">
        <f t="shared" ref="V15:V78" si="6">MaxiM*(1-Ppv)*(1-Pvg)*(1-Psa)</f>
        <v>23.44080698870216</v>
      </c>
      <c r="W15" s="400"/>
      <c r="X15" s="156">
        <f t="shared" ref="X15:X78" si="7">t</f>
        <v>44197</v>
      </c>
      <c r="Y15" s="383">
        <f t="shared" ref="Y15:Y78" si="8">Wh_pvt_s*(1-Ppv)</f>
        <v>7.2709999999999999</v>
      </c>
      <c r="Z15" s="383">
        <f t="shared" ref="Z15:Z78" si="9">Wh_sa_s*(1-Psa_s)</f>
        <v>7.3714611412791564</v>
      </c>
      <c r="AA15" s="384">
        <f t="shared" ref="AA15:AA78" si="10">Wh_hp*(1-Pvg_s*MEDIAN((-Sdif+Wh/Env_an)/Csdif,0,1))</f>
        <v>7.7433357593055598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4.8025118577546266E-2</v>
      </c>
      <c r="AD15" s="230">
        <f>(INDEX(Models!$BJ15:$BT15,,AH15)*(1-AF15)+INDEX(Models!$BJ15:$BT15,,AH15+1)*AF15-ERP_i)*AE15*Ramure*Pc/MaxiM</f>
        <v>2.2007247483054916E-3</v>
      </c>
      <c r="AE15" s="302">
        <f t="shared" ref="AE15:AE78" si="12">IF(OR(t&lt;Ttai,Notai),Dd_s+PousD*Croivg,Dens_s+PousD*(Croivg-Croi_tai))</f>
        <v>0.6</v>
      </c>
      <c r="AF15" s="303">
        <f>(Hp_vg_s-AG15)/(INDEX(Echel_vg,AH15+1)-AG15)</f>
        <v>0.49911357823936353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-0.50088642176063647</v>
      </c>
      <c r="AJ15" s="264" t="b">
        <f t="shared" ref="AJ15:AJ78" si="14">t&lt;Tnet</f>
        <v>0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3.9809999999999999</v>
      </c>
      <c r="C16" s="388"/>
      <c r="D16" s="391">
        <f t="shared" si="0"/>
        <v>4.036081587060945</v>
      </c>
      <c r="E16" s="383">
        <f t="shared" ref="E16:E79" si="17">Wh_pvt/(1-Psa)</f>
        <v>4.2400997454728149</v>
      </c>
      <c r="F16" s="383">
        <f t="shared" si="1"/>
        <v>4.2400997454728149</v>
      </c>
      <c r="G16" s="110">
        <f t="shared" ref="G16:G79" si="18">+Wh_hp/MaxiM</f>
        <v>0.16842767315179211</v>
      </c>
      <c r="H16" s="412" t="b">
        <f>Wh_hp&gt;='2020'!Maxi_hp</f>
        <v>0</v>
      </c>
      <c r="I16" s="379">
        <f>IF(H16,Wh_hp,'2020'!Maxi_hp)</f>
        <v>24.084283353934023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1.3647292769682462E-2</v>
      </c>
      <c r="M16" s="832"/>
      <c r="N16" s="832"/>
      <c r="O16" s="48">
        <f>IF(t&lt;Tnet,'2020'!Resal+('2020'!Salim-'2020'!Resal)*(1-EXP(('2020'!Tnet-t)/('2020'!Tau_j))),Resal+(Salim-Resal)*(1-EXP((Tnet-t)/(Tau_j))))*Salcycl</f>
        <v>4.8116358260133281E-2</v>
      </c>
      <c r="P16" s="169">
        <f>(INDEX(Models!$BJ16:$BT16,,T16)*(1-R16)+INDEX(Models!$BJ16:$BT16,,T16+1)*R16-ERP_i)*Q16*Ramure*Pc/MaxiM</f>
        <v>2.1417658533829475E-3</v>
      </c>
      <c r="Q16" s="304">
        <f t="shared" si="2"/>
        <v>0.6</v>
      </c>
      <c r="R16" s="177">
        <f t="shared" si="3"/>
        <v>0.49914279285335772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-0.50085720714664228</v>
      </c>
      <c r="V16" s="382">
        <f t="shared" si="6"/>
        <v>23.58563504322457</v>
      </c>
      <c r="W16" s="400"/>
      <c r="X16" s="157">
        <f t="shared" si="7"/>
        <v>44198</v>
      </c>
      <c r="Y16" s="383">
        <f t="shared" si="8"/>
        <v>3.9809999999999994</v>
      </c>
      <c r="Z16" s="383">
        <f t="shared" si="9"/>
        <v>4.036081587060945</v>
      </c>
      <c r="AA16" s="384">
        <f t="shared" si="10"/>
        <v>4.2400997454728149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4.8116358260133281E-2</v>
      </c>
      <c r="AD16" s="230">
        <f>(INDEX(Models!$BJ16:$BT16,,AH16)*(1-AF16)+INDEX(Models!$BJ16:$BT16,,AH16+1)*AF16-ERP_i)*AE16*Ramure*Pc/MaxiM</f>
        <v>2.1417658533829475E-3</v>
      </c>
      <c r="AE16" s="304">
        <f t="shared" si="12"/>
        <v>0.6</v>
      </c>
      <c r="AF16" s="177">
        <f t="shared" ref="AF16:AF78" si="21">(Hp_vg_s-AG16)/(INDEX(Echel_vg,AH16+1)-AG16)</f>
        <v>0.49914279285335772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-0.50085720714664228</v>
      </c>
      <c r="AJ16" s="264" t="b">
        <f t="shared" si="14"/>
        <v>0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24.238</v>
      </c>
      <c r="C17" s="388"/>
      <c r="D17" s="391">
        <f t="shared" si="0"/>
        <v>24.573830787877736</v>
      </c>
      <c r="E17" s="383">
        <f t="shared" si="17"/>
        <v>25.818478007769166</v>
      </c>
      <c r="F17" s="383">
        <f t="shared" si="1"/>
        <v>25.872417420672249</v>
      </c>
      <c r="G17" s="110">
        <f t="shared" si="18"/>
        <v>1.0209828961047416</v>
      </c>
      <c r="H17" s="412" t="b">
        <f>Wh_hp&gt;='2020'!Maxi_hp</f>
        <v>1</v>
      </c>
      <c r="I17" s="379">
        <f>IF(H17,Wh_hp,'2020'!Maxi_hp)</f>
        <v>25.872417420672249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1.3666195994293306E-2</v>
      </c>
      <c r="M17" s="832"/>
      <c r="N17" s="832"/>
      <c r="O17" s="48">
        <f>IF(t&lt;Tnet,'2020'!Resal+('2020'!Salim-'2020'!Resal)*(1-EXP(('2020'!Tnet-t)/('2020'!Tau_j))),Resal+(Salim-Resal)*(1-EXP((Tnet-t)/(Tau_j))))*Salcycl</f>
        <v>4.820761392352016E-2</v>
      </c>
      <c r="P17" s="169">
        <f>(INDEX(Models!$BJ17:$BT17,,T17)*(1-R17)+INDEX(Models!$BJ17:$BT17,,T17+1)*R17-ERP_i)*Q17*Ramure*Pc/MaxiM</f>
        <v>2.0848230772585719E-3</v>
      </c>
      <c r="Q17" s="304">
        <f t="shared" si="2"/>
        <v>0.6</v>
      </c>
      <c r="R17" s="177">
        <f t="shared" si="3"/>
        <v>0.49917322944884734</v>
      </c>
      <c r="S17" s="799">
        <f t="shared" si="4"/>
        <v>-1</v>
      </c>
      <c r="T17" s="176">
        <f t="shared" si="5"/>
        <v>5</v>
      </c>
      <c r="U17" s="250">
        <f t="shared" si="20"/>
        <v>-0.50082677055115266</v>
      </c>
      <c r="V17" s="382">
        <f t="shared" si="6"/>
        <v>23.73986879944113</v>
      </c>
      <c r="W17" s="400"/>
      <c r="X17" s="157">
        <f t="shared" si="7"/>
        <v>44199</v>
      </c>
      <c r="Y17" s="383">
        <f t="shared" si="8"/>
        <v>24.238</v>
      </c>
      <c r="Z17" s="383">
        <f t="shared" si="9"/>
        <v>24.573830787877736</v>
      </c>
      <c r="AA17" s="384">
        <f t="shared" si="10"/>
        <v>25.818478007769166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4.820761392352016E-2</v>
      </c>
      <c r="AD17" s="230">
        <f>(INDEX(Models!$BJ17:$BT17,,AH17)*(1-AF17)+INDEX(Models!$BJ17:$BT17,,AH17+1)*AF17-ERP_i)*AE17*Ramure*Pc/MaxiM</f>
        <v>2.0848230772585719E-3</v>
      </c>
      <c r="AE17" s="304">
        <f t="shared" si="12"/>
        <v>0.6</v>
      </c>
      <c r="AF17" s="177">
        <f>(Hp_vg_s-AG17)/(INDEX(Echel_vg,AH17+1)-AG17)</f>
        <v>0.49917322944884734</v>
      </c>
      <c r="AG17" s="799">
        <f>INDEX(Echel_vg,AH17)</f>
        <v>-1</v>
      </c>
      <c r="AH17" s="176">
        <f t="shared" si="13"/>
        <v>5</v>
      </c>
      <c r="AI17" s="224">
        <f t="shared" si="23"/>
        <v>-0.50082677055115266</v>
      </c>
      <c r="AJ17" s="264" t="b">
        <f t="shared" si="14"/>
        <v>0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20.452999999999999</v>
      </c>
      <c r="C18" s="388"/>
      <c r="D18" s="391">
        <f t="shared" si="0"/>
        <v>20.736784952037269</v>
      </c>
      <c r="E18" s="383">
        <f t="shared" si="17"/>
        <v>21.789177722792399</v>
      </c>
      <c r="F18" s="383">
        <f t="shared" si="1"/>
        <v>21.824345162432092</v>
      </c>
      <c r="G18" s="110">
        <f t="shared" si="18"/>
        <v>0.85530710694438783</v>
      </c>
      <c r="H18" s="412" t="b">
        <f>Wh_hp&gt;='2020'!Maxi_hp</f>
        <v>1</v>
      </c>
      <c r="I18" s="379">
        <f>IF(H18,Wh_hp,'2020'!Maxi_hp)</f>
        <v>21.824345162432092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1.3685098856628164E-2</v>
      </c>
      <c r="M18" s="832"/>
      <c r="N18" s="832"/>
      <c r="O18" s="48">
        <f>IF(t&lt;Tnet,'2020'!Resal+('2020'!Salim-'2020'!Resal)*(1-EXP(('2020'!Tnet-t)/('2020'!Tau_j))),Resal+(Salim-Resal)*(1-EXP((Tnet-t)/(Tau_j))))*Salcycl</f>
        <v>4.8298874980228557E-2</v>
      </c>
      <c r="P18" s="169">
        <f>(INDEX(Models!$BJ18:$BT18,,T18)*(1-R18)+INDEX(Models!$BJ18:$BT18,,T18+1)*R18-ERP_i)*Q18*Ramure*Pc/MaxiM</f>
        <v>2.0299431612340688E-3</v>
      </c>
      <c r="Q18" s="304">
        <f t="shared" si="2"/>
        <v>0.6</v>
      </c>
      <c r="R18" s="177">
        <f t="shared" si="3"/>
        <v>0.4992049389801424</v>
      </c>
      <c r="S18" s="799">
        <f t="shared" si="4"/>
        <v>-1</v>
      </c>
      <c r="T18" s="176">
        <f t="shared" si="5"/>
        <v>5</v>
      </c>
      <c r="U18" s="250">
        <f t="shared" si="20"/>
        <v>-0.5007950610198576</v>
      </c>
      <c r="V18" s="382">
        <f t="shared" si="6"/>
        <v>23.903022976336182</v>
      </c>
      <c r="W18" s="400"/>
      <c r="X18" s="157">
        <f t="shared" si="7"/>
        <v>44200</v>
      </c>
      <c r="Y18" s="383">
        <f t="shared" si="8"/>
        <v>20.452999999999999</v>
      </c>
      <c r="Z18" s="383">
        <f>Wh_sa_s*(1-Psa_s)</f>
        <v>20.736784952037269</v>
      </c>
      <c r="AA18" s="384">
        <f t="shared" si="10"/>
        <v>21.789177722792399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4.8298874980228557E-2</v>
      </c>
      <c r="AD18" s="230">
        <f>(INDEX(Models!$BJ18:$BT18,,AH18)*(1-AF18)+INDEX(Models!$BJ18:$BT18,,AH18+1)*AF18-ERP_i)*AE18*Ramure*Pc/MaxiM</f>
        <v>2.0299431612340688E-3</v>
      </c>
      <c r="AE18" s="304">
        <f t="shared" si="12"/>
        <v>0.6</v>
      </c>
      <c r="AF18" s="177">
        <f t="shared" si="21"/>
        <v>0.4992049389801424</v>
      </c>
      <c r="AG18" s="799">
        <f t="shared" si="22"/>
        <v>-1</v>
      </c>
      <c r="AH18" s="176">
        <f t="shared" si="13"/>
        <v>5</v>
      </c>
      <c r="AI18" s="224">
        <f t="shared" si="23"/>
        <v>-0.5007950610198576</v>
      </c>
      <c r="AJ18" s="264" t="b">
        <f t="shared" si="14"/>
        <v>0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3.1379999999999999</v>
      </c>
      <c r="C19" s="388"/>
      <c r="D19" s="391">
        <f t="shared" si="0"/>
        <v>3.1816006597577791</v>
      </c>
      <c r="E19" s="383">
        <f t="shared" si="17"/>
        <v>3.3433876291812741</v>
      </c>
      <c r="F19" s="383">
        <f t="shared" si="1"/>
        <v>3.3433876291812741</v>
      </c>
      <c r="G19" s="110">
        <f t="shared" si="18"/>
        <v>0.13008706434021422</v>
      </c>
      <c r="H19" s="412" t="b">
        <f>Wh_hp&gt;='2020'!Maxi_hp</f>
        <v>0</v>
      </c>
      <c r="I19" s="379">
        <f>IF(H19,Wh_hp,'2020'!Maxi_hp)</f>
        <v>14.123536657491783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1.3704001356694029E-2</v>
      </c>
      <c r="M19" s="832"/>
      <c r="N19" s="832"/>
      <c r="O19" s="48">
        <f>IF(t&lt;Tnet,'2020'!Resal+('2020'!Salim-'2020'!Resal)*(1-EXP(('2020'!Tnet-t)/('2020'!Tau_j))),Resal+(Salim-Resal)*(1-EXP((Tnet-t)/(Tau_j))))*Salcycl</f>
        <v>4.8390132215424153E-2</v>
      </c>
      <c r="P19" s="169">
        <f>(INDEX(Models!$BJ19:$BT19,,T19)*(1-R19)+INDEX(Models!$BJ19:$BT19,,T19+1)*R19-ERP_i)*Q19*Ramure*Pc/MaxiM</f>
        <v>1.9771653479888009E-3</v>
      </c>
      <c r="Q19" s="304">
        <f t="shared" si="2"/>
        <v>0.6</v>
      </c>
      <c r="R19" s="177">
        <f t="shared" si="3"/>
        <v>0.49923797451270413</v>
      </c>
      <c r="S19" s="799">
        <f t="shared" si="4"/>
        <v>-1</v>
      </c>
      <c r="T19" s="176">
        <f t="shared" si="5"/>
        <v>5</v>
      </c>
      <c r="U19" s="250">
        <f t="shared" si="20"/>
        <v>-0.50076202548729587</v>
      </c>
      <c r="V19" s="382">
        <f t="shared" si="6"/>
        <v>24.074612422242737</v>
      </c>
      <c r="W19" s="400"/>
      <c r="X19" s="157">
        <f t="shared" si="7"/>
        <v>44201</v>
      </c>
      <c r="Y19" s="383">
        <f t="shared" si="8"/>
        <v>3.1379999999999999</v>
      </c>
      <c r="Z19" s="383">
        <f t="shared" si="9"/>
        <v>3.1816006597577791</v>
      </c>
      <c r="AA19" s="384">
        <f t="shared" si="10"/>
        <v>3.3433876291812741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4.8390132215424153E-2</v>
      </c>
      <c r="AD19" s="230">
        <f>(INDEX(Models!$BJ19:$BT19,,AH19)*(1-AF19)+INDEX(Models!$BJ19:$BT19,,AH19+1)*AF19-ERP_i)*AE19*Ramure*Pc/MaxiM</f>
        <v>1.9771653479888009E-3</v>
      </c>
      <c r="AE19" s="304">
        <f t="shared" si="12"/>
        <v>0.6</v>
      </c>
      <c r="AF19" s="177">
        <f t="shared" si="21"/>
        <v>0.49923797451270413</v>
      </c>
      <c r="AG19" s="799">
        <f t="shared" si="22"/>
        <v>-1</v>
      </c>
      <c r="AH19" s="176">
        <f t="shared" si="13"/>
        <v>5</v>
      </c>
      <c r="AI19" s="224">
        <f t="shared" si="23"/>
        <v>-0.50076202548729587</v>
      </c>
      <c r="AJ19" s="264" t="b">
        <f t="shared" si="14"/>
        <v>0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7.3220000000000001</v>
      </c>
      <c r="C20" s="388"/>
      <c r="D20" s="391">
        <f t="shared" si="0"/>
        <v>7.4238771496800666</v>
      </c>
      <c r="E20" s="383">
        <f t="shared" si="17"/>
        <v>7.8021354244797161</v>
      </c>
      <c r="F20" s="383">
        <f t="shared" si="1"/>
        <v>7.8021759322217576</v>
      </c>
      <c r="G20" s="110">
        <f t="shared" si="18"/>
        <v>0.30130642854724998</v>
      </c>
      <c r="H20" s="412" t="b">
        <f>Wh_hp&gt;='2020'!Maxi_hp</f>
        <v>0</v>
      </c>
      <c r="I20" s="379">
        <f>IF(H20,Wh_hp,'2020'!Maxi_hp)</f>
        <v>25.97684931198668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1.3722903494497785E-2</v>
      </c>
      <c r="M20" s="832"/>
      <c r="N20" s="832"/>
      <c r="O20" s="48">
        <f>IF(t&lt;Tnet,'2020'!Resal+('2020'!Salim-'2020'!Resal)*(1-EXP(('2020'!Tnet-t)/('2020'!Tau_j))),Resal+(Salim-Resal)*(1-EXP((Tnet-t)/(Tau_j))))*Salcycl</f>
        <v>4.84813777536902E-2</v>
      </c>
      <c r="P20" s="169">
        <f>(INDEX(Models!$BJ20:$BT20,,T20)*(1-R20)+INDEX(Models!$BJ20:$BT20,,T20+1)*R20-ERP_i)*Q20*Ramure*Pc/MaxiM</f>
        <v>1.9265216254794428E-3</v>
      </c>
      <c r="Q20" s="304">
        <f t="shared" si="2"/>
        <v>0.6</v>
      </c>
      <c r="R20" s="177">
        <f t="shared" si="3"/>
        <v>0.49927239130945478</v>
      </c>
      <c r="S20" s="799">
        <f t="shared" si="4"/>
        <v>-1</v>
      </c>
      <c r="T20" s="176">
        <f t="shared" si="5"/>
        <v>5</v>
      </c>
      <c r="U20" s="250">
        <f t="shared" si="20"/>
        <v>-0.50072760869054522</v>
      </c>
      <c r="V20" s="382">
        <f t="shared" si="6"/>
        <v>24.2541521121668</v>
      </c>
      <c r="W20" s="400"/>
      <c r="X20" s="157">
        <f t="shared" si="7"/>
        <v>44202</v>
      </c>
      <c r="Y20" s="383">
        <f t="shared" si="8"/>
        <v>7.3220000000000001</v>
      </c>
      <c r="Z20" s="383">
        <f t="shared" si="9"/>
        <v>7.4238771496800666</v>
      </c>
      <c r="AA20" s="384">
        <f t="shared" si="10"/>
        <v>7.8021354244797161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4.84813777536902E-2</v>
      </c>
      <c r="AD20" s="230">
        <f>(INDEX(Models!$BJ20:$BT20,,AH20)*(1-AF20)+INDEX(Models!$BJ20:$BT20,,AH20+1)*AF20-ERP_i)*AE20*Ramure*Pc/MaxiM</f>
        <v>1.9265216254794428E-3</v>
      </c>
      <c r="AE20" s="304">
        <f t="shared" si="12"/>
        <v>0.6</v>
      </c>
      <c r="AF20" s="177">
        <f t="shared" si="21"/>
        <v>0.49927239130945478</v>
      </c>
      <c r="AG20" s="799">
        <f t="shared" si="22"/>
        <v>-1</v>
      </c>
      <c r="AH20" s="176">
        <f t="shared" si="13"/>
        <v>5</v>
      </c>
      <c r="AI20" s="224">
        <f t="shared" si="23"/>
        <v>-0.50072760869054522</v>
      </c>
      <c r="AJ20" s="264" t="b">
        <f t="shared" si="14"/>
        <v>0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14.141999999999999</v>
      </c>
      <c r="C21" s="388"/>
      <c r="D21" s="391">
        <f t="shared" si="0"/>
        <v>14.339044355288937</v>
      </c>
      <c r="E21" s="383">
        <f t="shared" si="17"/>
        <v>15.0710862761188</v>
      </c>
      <c r="F21" s="383">
        <f t="shared" si="1"/>
        <v>15.082360291680677</v>
      </c>
      <c r="G21" s="110">
        <f t="shared" si="18"/>
        <v>0.57795953955448076</v>
      </c>
      <c r="H21" s="412" t="b">
        <f>Wh_hp&gt;='2020'!Maxi_hp</f>
        <v>1</v>
      </c>
      <c r="I21" s="379">
        <f>IF(H21,Wh_hp,'2020'!Maxi_hp)</f>
        <v>15.082360291680677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1.3741805270046314E-2</v>
      </c>
      <c r="M21" s="832"/>
      <c r="N21" s="832"/>
      <c r="O21" s="48">
        <f>IF(t&lt;Tnet,'2020'!Resal+('2020'!Salim-'2020'!Resal)*(1-EXP(('2020'!Tnet-t)/('2020'!Tau_j))),Resal+(Salim-Resal)*(1-EXP((Tnet-t)/(Tau_j))))*Salcycl</f>
        <v>4.8572605014532623E-2</v>
      </c>
      <c r="P21" s="169">
        <f>(INDEX(Models!$BJ21:$BT21,,T21)*(1-R21)+INDEX(Models!$BJ21:$BT21,,T21+1)*R21-ERP_i)*Q21*Ramure*Pc/MaxiM</f>
        <v>1.8780370244152213E-3</v>
      </c>
      <c r="Q21" s="304">
        <f t="shared" si="2"/>
        <v>0.6</v>
      </c>
      <c r="R21" s="177">
        <f t="shared" si="3"/>
        <v>0.49930824692051801</v>
      </c>
      <c r="S21" s="799">
        <f t="shared" si="4"/>
        <v>-1</v>
      </c>
      <c r="T21" s="176">
        <f t="shared" si="5"/>
        <v>5</v>
      </c>
      <c r="U21" s="250">
        <f t="shared" si="20"/>
        <v>-0.50069175307948199</v>
      </c>
      <c r="V21" s="382">
        <f t="shared" si="6"/>
        <v>24.441157162281776</v>
      </c>
      <c r="W21" s="400"/>
      <c r="X21" s="157">
        <f t="shared" si="7"/>
        <v>44203</v>
      </c>
      <c r="Y21" s="383">
        <f t="shared" si="8"/>
        <v>14.141999999999999</v>
      </c>
      <c r="Z21" s="383">
        <f t="shared" si="9"/>
        <v>14.339044355288937</v>
      </c>
      <c r="AA21" s="384">
        <f t="shared" si="10"/>
        <v>15.0710862761188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4.8572605014532623E-2</v>
      </c>
      <c r="AD21" s="230">
        <f>(INDEX(Models!$BJ21:$BT21,,AH21)*(1-AF21)+INDEX(Models!$BJ21:$BT21,,AH21+1)*AF21-ERP_i)*AE21*Ramure*Pc/MaxiM</f>
        <v>1.8780370244152213E-3</v>
      </c>
      <c r="AE21" s="304">
        <f t="shared" si="12"/>
        <v>0.6</v>
      </c>
      <c r="AF21" s="177">
        <f t="shared" si="21"/>
        <v>0.49930824692051801</v>
      </c>
      <c r="AG21" s="799">
        <f t="shared" si="22"/>
        <v>-1</v>
      </c>
      <c r="AH21" s="176">
        <f t="shared" si="13"/>
        <v>5</v>
      </c>
      <c r="AI21" s="224">
        <f t="shared" si="23"/>
        <v>-0.50069175307948199</v>
      </c>
      <c r="AJ21" s="264" t="b">
        <f t="shared" si="14"/>
        <v>0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19.067</v>
      </c>
      <c r="C22" s="388"/>
      <c r="D22" s="391">
        <f t="shared" si="0"/>
        <v>19.333036241011062</v>
      </c>
      <c r="E22" s="383">
        <f t="shared" si="17"/>
        <v>20.321981248003286</v>
      </c>
      <c r="F22" s="383">
        <f t="shared" si="1"/>
        <v>20.347217475948305</v>
      </c>
      <c r="G22" s="110">
        <f t="shared" si="18"/>
        <v>0.7735172849248938</v>
      </c>
      <c r="H22" s="412" t="b">
        <f>Wh_hp&gt;='2020'!Maxi_hp</f>
        <v>1</v>
      </c>
      <c r="I22" s="379">
        <f>IF(H22,Wh_hp,'2020'!Maxi_hp)</f>
        <v>20.347217475948305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1.3760706683346613E-2</v>
      </c>
      <c r="M22" s="832"/>
      <c r="N22" s="832"/>
      <c r="O22" s="48">
        <f>IF(t&lt;Tnet,'2020'!Resal+('2020'!Salim-'2020'!Resal)*(1-EXP(('2020'!Tnet-t)/('2020'!Tau_j))),Resal+(Salim-Resal)*(1-EXP((Tnet-t)/(Tau_j))))*Salcycl</f>
        <v>4.8663808657406042E-2</v>
      </c>
      <c r="P22" s="169">
        <f>(INDEX(Models!$BJ22:$BT22,,T22)*(1-R22)+INDEX(Models!$BJ22:$BT22,,T22+1)*R22-ERP_i)*Q22*Ramure*Pc/MaxiM</f>
        <v>1.8317299624115418E-3</v>
      </c>
      <c r="Q22" s="304">
        <f t="shared" si="2"/>
        <v>0.6</v>
      </c>
      <c r="R22" s="177">
        <f t="shared" si="3"/>
        <v>0.49934560127651517</v>
      </c>
      <c r="S22" s="799">
        <f t="shared" si="4"/>
        <v>-1</v>
      </c>
      <c r="T22" s="176">
        <f t="shared" si="5"/>
        <v>5</v>
      </c>
      <c r="U22" s="250">
        <f t="shared" si="20"/>
        <v>-0.50065439872348483</v>
      </c>
      <c r="V22" s="382">
        <f t="shared" si="6"/>
        <v>24.635142837727134</v>
      </c>
      <c r="W22" s="400"/>
      <c r="X22" s="157">
        <f t="shared" si="7"/>
        <v>44204</v>
      </c>
      <c r="Y22" s="383">
        <f t="shared" si="8"/>
        <v>19.067</v>
      </c>
      <c r="Z22" s="383">
        <f t="shared" si="9"/>
        <v>19.333036241011062</v>
      </c>
      <c r="AA22" s="384">
        <f t="shared" si="10"/>
        <v>20.321981248003286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4.8663808657406042E-2</v>
      </c>
      <c r="AD22" s="230">
        <f>(INDEX(Models!$BJ22:$BT22,,AH22)*(1-AF22)+INDEX(Models!$BJ22:$BT22,,AH22+1)*AF22-ERP_i)*AE22*Ramure*Pc/MaxiM</f>
        <v>1.8317299624115418E-3</v>
      </c>
      <c r="AE22" s="304">
        <f t="shared" si="12"/>
        <v>0.6</v>
      </c>
      <c r="AF22" s="177">
        <f t="shared" si="21"/>
        <v>0.49934560127651517</v>
      </c>
      <c r="AG22" s="799">
        <f t="shared" si="22"/>
        <v>-1</v>
      </c>
      <c r="AH22" s="176">
        <f t="shared" si="13"/>
        <v>5</v>
      </c>
      <c r="AI22" s="224">
        <f t="shared" si="23"/>
        <v>-0.50065439872348483</v>
      </c>
      <c r="AJ22" s="264" t="b">
        <f t="shared" si="14"/>
        <v>0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5.9809999999999999</v>
      </c>
      <c r="C23" s="388"/>
      <c r="D23" s="391">
        <f t="shared" si="0"/>
        <v>6.0645673592898959</v>
      </c>
      <c r="E23" s="383">
        <f t="shared" si="17"/>
        <v>6.37539988181849</v>
      </c>
      <c r="F23" s="383">
        <f t="shared" si="1"/>
        <v>6.37539988181849</v>
      </c>
      <c r="G23" s="110">
        <f t="shared" si="18"/>
        <v>0.24036382355590261</v>
      </c>
      <c r="H23" s="412" t="b">
        <f>Wh_hp&gt;='2020'!Maxi_hp</f>
        <v>0</v>
      </c>
      <c r="I23" s="379">
        <f>IF(H23,Wh_hp,'2020'!Maxi_hp)</f>
        <v>25.649292652260151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1.3779607734405785E-2</v>
      </c>
      <c r="M23" s="832"/>
      <c r="N23" s="832"/>
      <c r="O23" s="48">
        <f>IF(t&lt;Tnet,'2020'!Resal+('2020'!Salim-'2020'!Resal)*(1-EXP(('2020'!Tnet-t)/('2020'!Tau_j))),Resal+(Salim-Resal)*(1-EXP((Tnet-t)/(Tau_j))))*Salcycl</f>
        <v>4.8754984517133358E-2</v>
      </c>
      <c r="P23" s="169">
        <f>(INDEX(Models!$BJ23:$BT23,,T23)*(1-R23)+INDEX(Models!$BJ23:$BT23,,T23+1)*R23-ERP_i)*Q23*Ramure*Pc/MaxiM</f>
        <v>1.7873962640021254E-3</v>
      </c>
      <c r="Q23" s="304">
        <f t="shared" si="2"/>
        <v>0.6</v>
      </c>
      <c r="R23" s="177">
        <f t="shared" si="3"/>
        <v>0.49938451678555029</v>
      </c>
      <c r="S23" s="799">
        <f t="shared" si="4"/>
        <v>-1</v>
      </c>
      <c r="T23" s="176">
        <f t="shared" si="5"/>
        <v>5</v>
      </c>
      <c r="U23" s="250">
        <f t="shared" si="20"/>
        <v>-0.50061548321444971</v>
      </c>
      <c r="V23" s="382">
        <f t="shared" si="6"/>
        <v>24.838636258240662</v>
      </c>
      <c r="W23" s="400"/>
      <c r="X23" s="157">
        <f t="shared" si="7"/>
        <v>44205</v>
      </c>
      <c r="Y23" s="383">
        <f t="shared" si="8"/>
        <v>5.9809999999999999</v>
      </c>
      <c r="Z23" s="383">
        <f t="shared" si="9"/>
        <v>6.0645673592898959</v>
      </c>
      <c r="AA23" s="384">
        <f t="shared" si="10"/>
        <v>6.37539988181849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4.8754984517133358E-2</v>
      </c>
      <c r="AD23" s="230">
        <f>(INDEX(Models!$BJ23:$BT23,,AH23)*(1-AF23)+INDEX(Models!$BJ23:$BT23,,AH23+1)*AF23-ERP_i)*AE23*Ramure*Pc/MaxiM</f>
        <v>1.7873962640021254E-3</v>
      </c>
      <c r="AE23" s="304">
        <f t="shared" si="12"/>
        <v>0.6</v>
      </c>
      <c r="AF23" s="177">
        <f t="shared" si="21"/>
        <v>0.49938451678555029</v>
      </c>
      <c r="AG23" s="799">
        <f t="shared" si="22"/>
        <v>-1</v>
      </c>
      <c r="AH23" s="176">
        <f t="shared" si="13"/>
        <v>5</v>
      </c>
      <c r="AI23" s="224">
        <f t="shared" si="23"/>
        <v>-0.50061548321444971</v>
      </c>
      <c r="AJ23" s="264" t="b">
        <f t="shared" si="14"/>
        <v>0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5.3769999999999998</v>
      </c>
      <c r="C24" s="388"/>
      <c r="D24" s="391">
        <f t="shared" si="0"/>
        <v>5.4522326785402502</v>
      </c>
      <c r="E24" s="383">
        <f t="shared" si="17"/>
        <v>5.7322299239027661</v>
      </c>
      <c r="F24" s="383">
        <f t="shared" si="1"/>
        <v>5.7322299239027661</v>
      </c>
      <c r="G24" s="110">
        <f t="shared" si="18"/>
        <v>0.21424234202872772</v>
      </c>
      <c r="H24" s="412" t="b">
        <f>Wh_hp&gt;='2020'!Maxi_hp</f>
        <v>0</v>
      </c>
      <c r="I24" s="379">
        <f>IF(H24,Wh_hp,'2020'!Maxi_hp)</f>
        <v>9.0351524420219071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1.3798508423230493E-2</v>
      </c>
      <c r="M24" s="832"/>
      <c r="N24" s="832"/>
      <c r="O24" s="48">
        <f>IF(t&lt;Tnet,'2020'!Resal+('2020'!Salim-'2020'!Resal)*(1-EXP(('2020'!Tnet-t)/('2020'!Tau_j))),Resal+(Salim-Resal)*(1-EXP((Tnet-t)/(Tau_j))))*Salcycl</f>
        <v>4.884612953066636E-2</v>
      </c>
      <c r="P24" s="169">
        <f>(INDEX(Models!$BJ24:$BT24,,T24)*(1-R24)+INDEX(Models!$BJ24:$BT24,,T24+1)*R24-ERP_i)*Q24*Ramure*Pc/MaxiM</f>
        <v>1.7458627300713601E-3</v>
      </c>
      <c r="Q24" s="304">
        <f t="shared" si="2"/>
        <v>0.6</v>
      </c>
      <c r="R24" s="177">
        <f t="shared" si="3"/>
        <v>0.49942505843401985</v>
      </c>
      <c r="S24" s="799">
        <f t="shared" si="4"/>
        <v>-1</v>
      </c>
      <c r="T24" s="176">
        <f t="shared" si="5"/>
        <v>5</v>
      </c>
      <c r="U24" s="250">
        <f t="shared" si="20"/>
        <v>-0.50057494156598015</v>
      </c>
      <c r="V24" s="382">
        <f t="shared" si="6"/>
        <v>25.053929327287989</v>
      </c>
      <c r="W24" s="400"/>
      <c r="X24" s="157">
        <f t="shared" si="7"/>
        <v>44206</v>
      </c>
      <c r="Y24" s="383">
        <f t="shared" si="8"/>
        <v>5.3769999999999998</v>
      </c>
      <c r="Z24" s="383">
        <f t="shared" si="9"/>
        <v>5.4522326785402502</v>
      </c>
      <c r="AA24" s="384">
        <f t="shared" si="10"/>
        <v>5.7322299239027661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4.884612953066636E-2</v>
      </c>
      <c r="AD24" s="230">
        <f>(INDEX(Models!$BJ24:$BT24,,AH24)*(1-AF24)+INDEX(Models!$BJ24:$BT24,,AH24+1)*AF24-ERP_i)*AE24*Ramure*Pc/MaxiM</f>
        <v>1.7458627300713601E-3</v>
      </c>
      <c r="AE24" s="304">
        <f t="shared" si="12"/>
        <v>0.6</v>
      </c>
      <c r="AF24" s="177">
        <f t="shared" si="21"/>
        <v>0.49942505843401985</v>
      </c>
      <c r="AG24" s="799">
        <f t="shared" si="22"/>
        <v>-1</v>
      </c>
      <c r="AH24" s="176">
        <f t="shared" si="13"/>
        <v>5</v>
      </c>
      <c r="AI24" s="224">
        <f t="shared" si="23"/>
        <v>-0.50057494156598015</v>
      </c>
      <c r="AJ24" s="264" t="b">
        <f t="shared" si="14"/>
        <v>0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4.9489999999999998</v>
      </c>
      <c r="C25" s="388"/>
      <c r="D25" s="391">
        <f t="shared" si="0"/>
        <v>5.0183404614009772</v>
      </c>
      <c r="E25" s="383">
        <f t="shared" si="17"/>
        <v>5.2765607919923259</v>
      </c>
      <c r="F25" s="383">
        <f t="shared" si="1"/>
        <v>5.2765607919923259</v>
      </c>
      <c r="G25" s="110">
        <f t="shared" si="18"/>
        <v>0.1954314799022929</v>
      </c>
      <c r="H25" s="412" t="b">
        <f>Wh_hp&gt;='2020'!Maxi_hp</f>
        <v>0</v>
      </c>
      <c r="I25" s="379">
        <f>IF(H25,Wh_hp,'2020'!Maxi_hp)</f>
        <v>27.27128998791828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1.3817408749827842E-2</v>
      </c>
      <c r="M25" s="832"/>
      <c r="N25" s="832"/>
      <c r="O25" s="48">
        <f>IF(t&lt;Tnet,'2020'!Resal+('2020'!Salim-'2020'!Resal)*(1-EXP(('2020'!Tnet-t)/('2020'!Tau_j))),Resal+(Salim-Resal)*(1-EXP((Tnet-t)/(Tau_j))))*Salcycl</f>
        <v>4.8937241656198054E-2</v>
      </c>
      <c r="P25" s="169">
        <f>(INDEX(Models!$BJ25:$BT25,,T25)*(1-R25)+INDEX(Models!$BJ25:$BT25,,T25+1)*R25-ERP_i)*Q25*Ramure*Pc/MaxiM</f>
        <v>1.708254742373174E-3</v>
      </c>
      <c r="Q25" s="304">
        <f t="shared" si="2"/>
        <v>0.6</v>
      </c>
      <c r="R25" s="177">
        <f t="shared" si="3"/>
        <v>0.49946729389138589</v>
      </c>
      <c r="S25" s="799">
        <f t="shared" si="4"/>
        <v>-1</v>
      </c>
      <c r="T25" s="176">
        <f t="shared" si="5"/>
        <v>5</v>
      </c>
      <c r="U25" s="250">
        <f t="shared" si="20"/>
        <v>-0.50053270610861411</v>
      </c>
      <c r="V25" s="382">
        <f t="shared" si="6"/>
        <v>25.280194622432631</v>
      </c>
      <c r="W25" s="400"/>
      <c r="X25" s="157">
        <f t="shared" si="7"/>
        <v>44207</v>
      </c>
      <c r="Y25" s="383">
        <f t="shared" si="8"/>
        <v>4.9489999999999998</v>
      </c>
      <c r="Z25" s="383">
        <f t="shared" si="9"/>
        <v>5.0183404614009772</v>
      </c>
      <c r="AA25" s="384">
        <f t="shared" si="10"/>
        <v>5.2765607919923259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4.8937241656198054E-2</v>
      </c>
      <c r="AD25" s="230">
        <f>(INDEX(Models!$BJ25:$BT25,,AH25)*(1-AF25)+INDEX(Models!$BJ25:$BT25,,AH25+1)*AF25-ERP_i)*AE25*Ramure*Pc/MaxiM</f>
        <v>1.708254742373174E-3</v>
      </c>
      <c r="AE25" s="304">
        <f t="shared" si="12"/>
        <v>0.6</v>
      </c>
      <c r="AF25" s="177">
        <f t="shared" si="21"/>
        <v>0.49946729389138589</v>
      </c>
      <c r="AG25" s="799">
        <f t="shared" si="22"/>
        <v>-1</v>
      </c>
      <c r="AH25" s="176">
        <f t="shared" si="13"/>
        <v>5</v>
      </c>
      <c r="AI25" s="224">
        <f t="shared" si="23"/>
        <v>-0.50053270610861411</v>
      </c>
      <c r="AJ25" s="264" t="b">
        <f t="shared" si="14"/>
        <v>0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11.261000000000001</v>
      </c>
      <c r="C26" s="388"/>
      <c r="D26" s="391">
        <f t="shared" si="0"/>
        <v>11.418996764439287</v>
      </c>
      <c r="E26" s="383">
        <f t="shared" si="17"/>
        <v>12.007714847897388</v>
      </c>
      <c r="F26" s="383">
        <f t="shared" si="1"/>
        <v>12.011775670922304</v>
      </c>
      <c r="G26" s="110">
        <f t="shared" si="18"/>
        <v>0.440729966146156</v>
      </c>
      <c r="H26" s="412" t="b">
        <f>Wh_hp&gt;='2020'!Maxi_hp</f>
        <v>0</v>
      </c>
      <c r="I26" s="379">
        <f>IF(H26,Wh_hp,'2020'!Maxi_hp)</f>
        <v>27.37093962937724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1.3836308714204715E-2</v>
      </c>
      <c r="M26" s="832"/>
      <c r="N26" s="832"/>
      <c r="O26" s="48">
        <f>IF(t&lt;Tnet,'2020'!Resal+('2020'!Salim-'2020'!Resal)*(1-EXP(('2020'!Tnet-t)/('2020'!Tau_j))),Resal+(Salim-Resal)*(1-EXP((Tnet-t)/(Tau_j))))*Salcycl</f>
        <v>4.9028319785690867E-2</v>
      </c>
      <c r="P26" s="169">
        <f>(INDEX(Models!$BJ26:$BT26,,T26)*(1-R26)+INDEX(Models!$BJ26:$BT26,,T26+1)*R26-ERP_i)*Q26*Ramure*Pc/MaxiM</f>
        <v>1.6745622763593801E-3</v>
      </c>
      <c r="Q26" s="304">
        <f t="shared" si="2"/>
        <v>0.6</v>
      </c>
      <c r="R26" s="177">
        <f t="shared" si="3"/>
        <v>0.499511293619057</v>
      </c>
      <c r="S26" s="799">
        <f t="shared" si="4"/>
        <v>-1</v>
      </c>
      <c r="T26" s="176">
        <f t="shared" si="5"/>
        <v>5</v>
      </c>
      <c r="U26" s="250">
        <f t="shared" si="20"/>
        <v>-0.500488706380943</v>
      </c>
      <c r="V26" s="382">
        <f t="shared" si="6"/>
        <v>25.516632714932733</v>
      </c>
      <c r="W26" s="400"/>
      <c r="X26" s="157">
        <f t="shared" si="7"/>
        <v>44208</v>
      </c>
      <c r="Y26" s="383">
        <f t="shared" si="8"/>
        <v>11.261000000000001</v>
      </c>
      <c r="Z26" s="383">
        <f t="shared" si="9"/>
        <v>11.418996764439287</v>
      </c>
      <c r="AA26" s="384">
        <f t="shared" si="10"/>
        <v>12.007714847897388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4.9028319785690867E-2</v>
      </c>
      <c r="AD26" s="230">
        <f>(INDEX(Models!$BJ26:$BT26,,AH26)*(1-AF26)+INDEX(Models!$BJ26:$BT26,,AH26+1)*AF26-ERP_i)*AE26*Ramure*Pc/MaxiM</f>
        <v>1.6745622763593801E-3</v>
      </c>
      <c r="AE26" s="304">
        <f t="shared" si="12"/>
        <v>0.6</v>
      </c>
      <c r="AF26" s="177">
        <f t="shared" si="21"/>
        <v>0.499511293619057</v>
      </c>
      <c r="AG26" s="799">
        <f t="shared" si="22"/>
        <v>-1</v>
      </c>
      <c r="AH26" s="176">
        <f t="shared" si="13"/>
        <v>5</v>
      </c>
      <c r="AI26" s="224">
        <f t="shared" si="23"/>
        <v>-0.500488706380943</v>
      </c>
      <c r="AJ26" s="264" t="b">
        <f t="shared" si="14"/>
        <v>0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9.327</v>
      </c>
      <c r="C27" s="388"/>
      <c r="D27" s="391">
        <f t="shared" si="0"/>
        <v>9.4580431582223703</v>
      </c>
      <c r="E27" s="383">
        <f t="shared" si="17"/>
        <v>9.9466145346556623</v>
      </c>
      <c r="F27" s="383">
        <f t="shared" si="1"/>
        <v>9.9480646615944384</v>
      </c>
      <c r="G27" s="110">
        <f t="shared" si="18"/>
        <v>0.36149585323969941</v>
      </c>
      <c r="H27" s="412" t="b">
        <f>Wh_hp&gt;='2020'!Maxi_hp</f>
        <v>0</v>
      </c>
      <c r="I27" s="379">
        <f>IF(H27,Wh_hp,'2020'!Maxi_hp)</f>
        <v>16.17097757884445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1.3855208316368106E-2</v>
      </c>
      <c r="M27" s="832"/>
      <c r="N27" s="832"/>
      <c r="O27" s="48">
        <f>IF(t&lt;Tnet,'2020'!Resal+('2020'!Salim-'2020'!Resal)*(1-EXP(('2020'!Tnet-t)/('2020'!Tau_j))),Resal+(Salim-Resal)*(1-EXP((Tnet-t)/(Tau_j))))*Salcycl</f>
        <v>4.9119363651926776E-2</v>
      </c>
      <c r="P27" s="169">
        <f>(INDEX(Models!$BJ27:$BT27,,T27)*(1-R27)+INDEX(Models!$BJ27:$BT27,,T27+1)*R27-ERP_i)*Q27*Ramure*Pc/MaxiM</f>
        <v>1.6447628644422224E-3</v>
      </c>
      <c r="Q27" s="304">
        <f t="shared" si="2"/>
        <v>0.6</v>
      </c>
      <c r="R27" s="177">
        <f t="shared" si="3"/>
        <v>0.49955713098352605</v>
      </c>
      <c r="S27" s="799">
        <f t="shared" si="4"/>
        <v>-1</v>
      </c>
      <c r="T27" s="176">
        <f t="shared" si="5"/>
        <v>5</v>
      </c>
      <c r="U27" s="250">
        <f t="shared" si="20"/>
        <v>-0.50044286901647395</v>
      </c>
      <c r="V27" s="382">
        <f t="shared" si="6"/>
        <v>25.762444491345288</v>
      </c>
      <c r="W27" s="400"/>
      <c r="X27" s="157">
        <f t="shared" si="7"/>
        <v>44209</v>
      </c>
      <c r="Y27" s="383">
        <f t="shared" si="8"/>
        <v>9.327</v>
      </c>
      <c r="Z27" s="383">
        <f t="shared" si="9"/>
        <v>9.4580431582223703</v>
      </c>
      <c r="AA27" s="384">
        <f t="shared" si="10"/>
        <v>9.9466145346556623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4.9119363651926776E-2</v>
      </c>
      <c r="AD27" s="230">
        <f>(INDEX(Models!$BJ27:$BT27,,AH27)*(1-AF27)+INDEX(Models!$BJ27:$BT27,,AH27+1)*AF27-ERP_i)*AE27*Ramure*Pc/MaxiM</f>
        <v>1.6447628644422224E-3</v>
      </c>
      <c r="AE27" s="304">
        <f t="shared" si="12"/>
        <v>0.6</v>
      </c>
      <c r="AF27" s="177">
        <f t="shared" si="21"/>
        <v>0.49955713098352605</v>
      </c>
      <c r="AG27" s="799">
        <f t="shared" si="22"/>
        <v>-1</v>
      </c>
      <c r="AH27" s="176">
        <f t="shared" si="13"/>
        <v>5</v>
      </c>
      <c r="AI27" s="224">
        <f t="shared" si="23"/>
        <v>-0.50044286901647395</v>
      </c>
      <c r="AJ27" s="264" t="b">
        <f t="shared" si="14"/>
        <v>0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11.311999999999999</v>
      </c>
      <c r="C28" s="388"/>
      <c r="D28" s="391">
        <f t="shared" si="0"/>
        <v>11.47115199659572</v>
      </c>
      <c r="E28" s="383">
        <f t="shared" si="17"/>
        <v>12.064868694047863</v>
      </c>
      <c r="F28" s="383">
        <f t="shared" si="1"/>
        <v>12.068630831418272</v>
      </c>
      <c r="G28" s="110">
        <f t="shared" si="18"/>
        <v>0.43422696102202296</v>
      </c>
      <c r="H28" s="412" t="b">
        <f>Wh_hp&gt;='2020'!Maxi_hp</f>
        <v>0</v>
      </c>
      <c r="I28" s="379">
        <f>IF(H28,Wh_hp,'2020'!Maxi_hp)</f>
        <v>27.13739332527097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1.387410755632501E-2</v>
      </c>
      <c r="M28" s="832"/>
      <c r="N28" s="832"/>
      <c r="O28" s="48">
        <f>IF(t&lt;Tnet,'2020'!Resal+('2020'!Salim-'2020'!Resal)*(1-EXP(('2020'!Tnet-t)/('2020'!Tau_j))),Resal+(Salim-Resal)*(1-EXP((Tnet-t)/(Tau_j))))*Salcycl</f>
        <v>4.9210373731215944E-2</v>
      </c>
      <c r="P28" s="169">
        <f>(INDEX(Models!$BJ28:$BT28,,T28)*(1-R28)+INDEX(Models!$BJ28:$BT28,,T28+1)*R28-ERP_i)*Q28*Ramure*Pc/MaxiM</f>
        <v>1.6188232412535902E-3</v>
      </c>
      <c r="Q28" s="304">
        <f t="shared" si="2"/>
        <v>0.6</v>
      </c>
      <c r="R28" s="177">
        <f t="shared" si="3"/>
        <v>0.49960488237391554</v>
      </c>
      <c r="S28" s="799">
        <f t="shared" si="4"/>
        <v>-1</v>
      </c>
      <c r="T28" s="176">
        <f t="shared" si="5"/>
        <v>5</v>
      </c>
      <c r="U28" s="250">
        <f t="shared" si="20"/>
        <v>-0.50039511762608446</v>
      </c>
      <c r="V28" s="382">
        <f t="shared" si="6"/>
        <v>26.016831170953047</v>
      </c>
      <c r="W28" s="400"/>
      <c r="X28" s="157">
        <f t="shared" si="7"/>
        <v>44210</v>
      </c>
      <c r="Y28" s="383">
        <f t="shared" si="8"/>
        <v>11.311999999999999</v>
      </c>
      <c r="Z28" s="383">
        <f t="shared" si="9"/>
        <v>11.47115199659572</v>
      </c>
      <c r="AA28" s="384">
        <f t="shared" si="10"/>
        <v>12.064868694047863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4.9210373731215944E-2</v>
      </c>
      <c r="AD28" s="230">
        <f>(INDEX(Models!$BJ28:$BT28,,AH28)*(1-AF28)+INDEX(Models!$BJ28:$BT28,,AH28+1)*AF28-ERP_i)*AE28*Ramure*Pc/MaxiM</f>
        <v>1.6188232412535902E-3</v>
      </c>
      <c r="AE28" s="304">
        <f t="shared" si="12"/>
        <v>0.6</v>
      </c>
      <c r="AF28" s="177">
        <f t="shared" si="21"/>
        <v>0.49960488237391554</v>
      </c>
      <c r="AG28" s="799">
        <f t="shared" si="22"/>
        <v>-1</v>
      </c>
      <c r="AH28" s="176">
        <f t="shared" si="13"/>
        <v>5</v>
      </c>
      <c r="AI28" s="224">
        <f t="shared" si="23"/>
        <v>-0.50039511762608446</v>
      </c>
      <c r="AJ28" s="264" t="b">
        <f t="shared" si="14"/>
        <v>0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18.644000000000002</v>
      </c>
      <c r="C29" s="388"/>
      <c r="D29" s="391">
        <f t="shared" si="0"/>
        <v>18.906670494831772</v>
      </c>
      <c r="E29" s="383">
        <f t="shared" si="17"/>
        <v>19.887133023236292</v>
      </c>
      <c r="F29" s="383">
        <f t="shared" si="1"/>
        <v>19.905724729475075</v>
      </c>
      <c r="G29" s="110">
        <f t="shared" si="18"/>
        <v>0.70899337365086568</v>
      </c>
      <c r="H29" s="412" t="b">
        <f>Wh_hp&gt;='2020'!Maxi_hp</f>
        <v>0</v>
      </c>
      <c r="I29" s="379">
        <f>IF(H29,Wh_hp,'2020'!Maxi_hp)</f>
        <v>23.429667161752757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1.38930064340822E-2</v>
      </c>
      <c r="M29" s="832"/>
      <c r="N29" s="832"/>
      <c r="O29" s="48">
        <f>IF(t&lt;Tnet,'2020'!Resal+('2020'!Salim-'2020'!Resal)*(1-EXP(('2020'!Tnet-t)/('2020'!Tau_j))),Resal+(Salim-Resal)*(1-EXP((Tnet-t)/(Tau_j))))*Salcycl</f>
        <v>4.9301351142919371E-2</v>
      </c>
      <c r="P29" s="169">
        <f>(INDEX(Models!$BJ29:$BT29,,T29)*(1-R29)+INDEX(Models!$BJ29:$BT29,,T29+1)*R29-ERP_i)*Q29*Ramure*Pc/MaxiM</f>
        <v>1.5967009608356978E-3</v>
      </c>
      <c r="Q29" s="304">
        <f t="shared" si="2"/>
        <v>0.6</v>
      </c>
      <c r="R29" s="177">
        <f t="shared" si="3"/>
        <v>0.49965462732408783</v>
      </c>
      <c r="S29" s="799">
        <f t="shared" si="4"/>
        <v>-1</v>
      </c>
      <c r="T29" s="176">
        <f t="shared" si="5"/>
        <v>5</v>
      </c>
      <c r="U29" s="250">
        <f t="shared" si="20"/>
        <v>-0.50034537267591217</v>
      </c>
      <c r="V29" s="382">
        <f t="shared" si="6"/>
        <v>26.278994303078921</v>
      </c>
      <c r="W29" s="400"/>
      <c r="X29" s="157">
        <f t="shared" si="7"/>
        <v>44211</v>
      </c>
      <c r="Y29" s="383">
        <f t="shared" si="8"/>
        <v>18.644000000000002</v>
      </c>
      <c r="Z29" s="383">
        <f t="shared" si="9"/>
        <v>18.906670494831772</v>
      </c>
      <c r="AA29" s="384">
        <f t="shared" si="10"/>
        <v>19.887133023236292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4.9301351142919371E-2</v>
      </c>
      <c r="AD29" s="230">
        <f>(INDEX(Models!$BJ29:$BT29,,AH29)*(1-AF29)+INDEX(Models!$BJ29:$BT29,,AH29+1)*AF29-ERP_i)*AE29*Ramure*Pc/MaxiM</f>
        <v>1.5967009608356978E-3</v>
      </c>
      <c r="AE29" s="304">
        <f t="shared" si="12"/>
        <v>0.6</v>
      </c>
      <c r="AF29" s="177">
        <f t="shared" si="21"/>
        <v>0.49965462732408783</v>
      </c>
      <c r="AG29" s="799">
        <f t="shared" si="22"/>
        <v>-1</v>
      </c>
      <c r="AH29" s="176">
        <f t="shared" si="13"/>
        <v>5</v>
      </c>
      <c r="AI29" s="224">
        <f t="shared" si="23"/>
        <v>-0.50034537267591217</v>
      </c>
      <c r="AJ29" s="264" t="b">
        <f t="shared" si="14"/>
        <v>0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18.02</v>
      </c>
      <c r="C30" s="388"/>
      <c r="D30" s="391">
        <f t="shared" si="0"/>
        <v>18.274229341628782</v>
      </c>
      <c r="E30" s="383">
        <f t="shared" si="17"/>
        <v>19.223733717359931</v>
      </c>
      <c r="F30" s="383">
        <f t="shared" si="1"/>
        <v>19.240142994653283</v>
      </c>
      <c r="G30" s="110">
        <f t="shared" si="18"/>
        <v>0.67827420559889018</v>
      </c>
      <c r="H30" s="412" t="b">
        <f>Wh_hp&gt;='2020'!Maxi_hp</f>
        <v>0</v>
      </c>
      <c r="I30" s="379">
        <f>IF(H30,Wh_hp,'2020'!Maxi_hp)</f>
        <v>24.71919313908694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1.391190494964667E-2</v>
      </c>
      <c r="M30" s="832"/>
      <c r="N30" s="832"/>
      <c r="O30" s="48">
        <f>IF(t&lt;Tnet,'2020'!Resal+('2020'!Salim-'2020'!Resal)*(1-EXP(('2020'!Tnet-t)/('2020'!Tau_j))),Resal+(Salim-Resal)*(1-EXP((Tnet-t)/(Tau_j))))*Salcycl</f>
        <v>4.9392297546948565E-2</v>
      </c>
      <c r="P30" s="169">
        <f>(INDEX(Models!$BJ30:$BT30,,T30)*(1-R30)+INDEX(Models!$BJ30:$BT30,,T30+1)*R30-ERP_i)*Q30*Ramure*Pc/MaxiM</f>
        <v>1.5761904032887955E-3</v>
      </c>
      <c r="Q30" s="304">
        <f t="shared" si="2"/>
        <v>0.6</v>
      </c>
      <c r="R30" s="177">
        <f t="shared" si="3"/>
        <v>0.4997064486394811</v>
      </c>
      <c r="S30" s="799">
        <f t="shared" si="4"/>
        <v>-1</v>
      </c>
      <c r="T30" s="176">
        <f t="shared" si="5"/>
        <v>5</v>
      </c>
      <c r="U30" s="250">
        <f t="shared" si="20"/>
        <v>-0.5002935513605189</v>
      </c>
      <c r="V30" s="382">
        <f t="shared" si="6"/>
        <v>26.548193093959384</v>
      </c>
      <c r="W30" s="400"/>
      <c r="X30" s="157">
        <f t="shared" si="7"/>
        <v>44212</v>
      </c>
      <c r="Y30" s="383">
        <f t="shared" si="8"/>
        <v>18.02</v>
      </c>
      <c r="Z30" s="383">
        <f t="shared" si="9"/>
        <v>18.274229341628782</v>
      </c>
      <c r="AA30" s="384">
        <f t="shared" si="10"/>
        <v>19.223733717359931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4.9392297546948565E-2</v>
      </c>
      <c r="AD30" s="230">
        <f>(INDEX(Models!$BJ30:$BT30,,AH30)*(1-AF30)+INDEX(Models!$BJ30:$BT30,,AH30+1)*AF30-ERP_i)*AE30*Ramure*Pc/MaxiM</f>
        <v>1.5761904032887955E-3</v>
      </c>
      <c r="AE30" s="304">
        <f t="shared" si="12"/>
        <v>0.6</v>
      </c>
      <c r="AF30" s="177">
        <f t="shared" si="21"/>
        <v>0.4997064486394811</v>
      </c>
      <c r="AG30" s="799">
        <f t="shared" si="22"/>
        <v>-1</v>
      </c>
      <c r="AH30" s="176">
        <f t="shared" si="13"/>
        <v>5</v>
      </c>
      <c r="AI30" s="224">
        <f t="shared" si="23"/>
        <v>-0.5002935513605189</v>
      </c>
      <c r="AJ30" s="264" t="b">
        <f t="shared" si="14"/>
        <v>0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7.2480000000000002</v>
      </c>
      <c r="C31" s="388"/>
      <c r="D31" s="391">
        <f t="shared" si="0"/>
        <v>7.3503969323942675</v>
      </c>
      <c r="E31" s="383">
        <f t="shared" si="17"/>
        <v>7.7330532702867414</v>
      </c>
      <c r="F31" s="383">
        <f t="shared" si="1"/>
        <v>7.7330532702867414</v>
      </c>
      <c r="G31" s="110">
        <f t="shared" si="18"/>
        <v>0.26978871751475036</v>
      </c>
      <c r="H31" s="412" t="b">
        <f>Wh_hp&gt;='2020'!Maxi_hp</f>
        <v>1</v>
      </c>
      <c r="I31" s="379">
        <f>IF(H31,Wh_hp,'2020'!Maxi_hp)</f>
        <v>7.7330532702867414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1.3930803103025524E-2</v>
      </c>
      <c r="M31" s="832"/>
      <c r="N31" s="832"/>
      <c r="O31" s="48">
        <f>IF(t&lt;Tnet,'2020'!Resal+('2020'!Salim-'2020'!Resal)*(1-EXP(('2020'!Tnet-t)/('2020'!Tau_j))),Resal+(Salim-Resal)*(1-EXP((Tnet-t)/(Tau_j))))*Salcycl</f>
        <v>4.9483215040400833E-2</v>
      </c>
      <c r="P31" s="169">
        <f>(INDEX(Models!$BJ31:$BT31,,T31)*(1-R31)+INDEX(Models!$BJ31:$BT31,,T31+1)*R31-ERP_i)*Q31*Ramure*Pc/MaxiM</f>
        <v>1.5545176897769858E-3</v>
      </c>
      <c r="Q31" s="304">
        <f t="shared" si="2"/>
        <v>0.6</v>
      </c>
      <c r="R31" s="177">
        <f t="shared" si="3"/>
        <v>0.49976043252883529</v>
      </c>
      <c r="S31" s="799">
        <f t="shared" si="4"/>
        <v>-1</v>
      </c>
      <c r="T31" s="176">
        <f t="shared" si="5"/>
        <v>5</v>
      </c>
      <c r="U31" s="250">
        <f t="shared" si="20"/>
        <v>-0.50023956747116471</v>
      </c>
      <c r="V31" s="382">
        <f t="shared" si="6"/>
        <v>26.823704573149307</v>
      </c>
      <c r="W31" s="400"/>
      <c r="X31" s="157">
        <f t="shared" si="7"/>
        <v>44213</v>
      </c>
      <c r="Y31" s="383">
        <f t="shared" si="8"/>
        <v>7.2480000000000002</v>
      </c>
      <c r="Z31" s="383">
        <f t="shared" si="9"/>
        <v>7.3503969323942675</v>
      </c>
      <c r="AA31" s="384">
        <f t="shared" si="10"/>
        <v>7.7330532702867414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4.9483215040400833E-2</v>
      </c>
      <c r="AD31" s="230">
        <f>(INDEX(Models!$BJ31:$BT31,,AH31)*(1-AF31)+INDEX(Models!$BJ31:$BT31,,AH31+1)*AF31-ERP_i)*AE31*Ramure*Pc/MaxiM</f>
        <v>1.5545176897769858E-3</v>
      </c>
      <c r="AE31" s="304">
        <f t="shared" si="12"/>
        <v>0.6</v>
      </c>
      <c r="AF31" s="177">
        <f t="shared" si="21"/>
        <v>0.49976043252883529</v>
      </c>
      <c r="AG31" s="799">
        <f t="shared" si="22"/>
        <v>-1</v>
      </c>
      <c r="AH31" s="176">
        <f t="shared" si="13"/>
        <v>5</v>
      </c>
      <c r="AI31" s="224">
        <f t="shared" si="23"/>
        <v>-0.50023956747116471</v>
      </c>
      <c r="AJ31" s="264" t="b">
        <f t="shared" si="14"/>
        <v>0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27.198</v>
      </c>
      <c r="C32" s="388"/>
      <c r="D32" s="391">
        <f t="shared" si="0"/>
        <v>27.58277141101749</v>
      </c>
      <c r="E32" s="383">
        <f t="shared" si="17"/>
        <v>29.021485616845354</v>
      </c>
      <c r="F32" s="383">
        <f t="shared" si="1"/>
        <v>29.066008249734857</v>
      </c>
      <c r="G32" s="110">
        <f t="shared" si="18"/>
        <v>1.0034410499833828</v>
      </c>
      <c r="H32" s="412" t="b">
        <f>Wh_hp&gt;='2020'!Maxi_hp</f>
        <v>1</v>
      </c>
      <c r="I32" s="379">
        <f>IF(H32,Wh_hp,'2020'!Maxi_hp)</f>
        <v>29.066008249734857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1.3949700894225536E-2</v>
      </c>
      <c r="M32" s="832"/>
      <c r="N32" s="832"/>
      <c r="O32" s="48">
        <f>IF(t&lt;Tnet,'2020'!Resal+('2020'!Salim-'2020'!Resal)*(1-EXP(('2020'!Tnet-t)/('2020'!Tau_j))),Resal+(Salim-Resal)*(1-EXP((Tnet-t)/(Tau_j))))*Salcycl</f>
        <v>4.9574106054473273E-2</v>
      </c>
      <c r="P32" s="169">
        <f>(INDEX(Models!$BJ32:$BT32,,T32)*(1-R32)+INDEX(Models!$BJ32:$BT32,,T32+1)*R32-ERP_i)*Q32*Ramure*Pc/MaxiM</f>
        <v>1.5317766549492087E-3</v>
      </c>
      <c r="Q32" s="304">
        <f t="shared" si="2"/>
        <v>0.6</v>
      </c>
      <c r="R32" s="177">
        <f t="shared" si="3"/>
        <v>0.49981666874097697</v>
      </c>
      <c r="S32" s="799">
        <f t="shared" si="4"/>
        <v>-1</v>
      </c>
      <c r="T32" s="176">
        <f t="shared" si="5"/>
        <v>5</v>
      </c>
      <c r="U32" s="250">
        <f t="shared" si="20"/>
        <v>-0.50018333125902303</v>
      </c>
      <c r="V32" s="382">
        <f t="shared" si="6"/>
        <v>27.10473126493121</v>
      </c>
      <c r="W32" s="400"/>
      <c r="X32" s="157">
        <f t="shared" si="7"/>
        <v>44214</v>
      </c>
      <c r="Y32" s="383">
        <f t="shared" si="8"/>
        <v>27.198</v>
      </c>
      <c r="Z32" s="383">
        <f t="shared" si="9"/>
        <v>27.58277141101749</v>
      </c>
      <c r="AA32" s="384">
        <f t="shared" si="10"/>
        <v>29.021485616845354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4.9574106054473273E-2</v>
      </c>
      <c r="AD32" s="230">
        <f>(INDEX(Models!$BJ32:$BT32,,AH32)*(1-AF32)+INDEX(Models!$BJ32:$BT32,,AH32+1)*AF32-ERP_i)*AE32*Ramure*Pc/MaxiM</f>
        <v>1.5317766549492087E-3</v>
      </c>
      <c r="AE32" s="304">
        <f t="shared" si="12"/>
        <v>0.6</v>
      </c>
      <c r="AF32" s="177">
        <f t="shared" si="21"/>
        <v>0.49981666874097697</v>
      </c>
      <c r="AG32" s="799">
        <f t="shared" si="22"/>
        <v>-1</v>
      </c>
      <c r="AH32" s="176">
        <f t="shared" si="13"/>
        <v>5</v>
      </c>
      <c r="AI32" s="224">
        <f t="shared" si="23"/>
        <v>-0.50018333125902303</v>
      </c>
      <c r="AJ32" s="264" t="b">
        <f t="shared" si="14"/>
        <v>0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28.507999999999999</v>
      </c>
      <c r="C33" s="388"/>
      <c r="D33" s="391">
        <f t="shared" si="0"/>
        <v>28.911858133039317</v>
      </c>
      <c r="E33" s="383">
        <f t="shared" si="17"/>
        <v>30.422805978221991</v>
      </c>
      <c r="F33" s="383">
        <f t="shared" si="1"/>
        <v>30.468754573897851</v>
      </c>
      <c r="G33" s="110">
        <f t="shared" si="18"/>
        <v>1.0407997272110978</v>
      </c>
      <c r="H33" s="412" t="b">
        <f>Wh_hp&gt;='2020'!Maxi_hp</f>
        <v>1</v>
      </c>
      <c r="I33" s="379">
        <f>IF(H33,Wh_hp,'2020'!Maxi_hp)</f>
        <v>30.468754573897851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1.3968598323253589E-2</v>
      </c>
      <c r="M33" s="832"/>
      <c r="N33" s="832"/>
      <c r="O33" s="48">
        <f>IF(t&lt;Tnet,'2020'!Resal+('2020'!Salim-'2020'!Resal)*(1-EXP(('2020'!Tnet-t)/('2020'!Tau_j))),Resal+(Salim-Resal)*(1-EXP((Tnet-t)/(Tau_j))))*Salcycl</f>
        <v>4.9664973252772235E-2</v>
      </c>
      <c r="P33" s="169">
        <f>(INDEX(Models!$BJ33:$BT33,,T33)*(1-R33)+INDEX(Models!$BJ33:$BT33,,T33+1)*R33-ERP_i)*Q33*Ramure*Pc/MaxiM</f>
        <v>1.508056247078149E-3</v>
      </c>
      <c r="Q33" s="304">
        <f t="shared" si="2"/>
        <v>0.6</v>
      </c>
      <c r="R33" s="177">
        <f t="shared" si="3"/>
        <v>0.4998752507068378</v>
      </c>
      <c r="S33" s="799">
        <f t="shared" si="4"/>
        <v>-1</v>
      </c>
      <c r="T33" s="176">
        <f t="shared" si="5"/>
        <v>5</v>
      </c>
      <c r="U33" s="250">
        <f t="shared" si="20"/>
        <v>-0.5001247492931622</v>
      </c>
      <c r="V33" s="382">
        <f t="shared" si="6"/>
        <v>27.390476049017963</v>
      </c>
      <c r="W33" s="400"/>
      <c r="X33" s="157">
        <f t="shared" si="7"/>
        <v>44215</v>
      </c>
      <c r="Y33" s="383">
        <f t="shared" si="8"/>
        <v>28.507999999999999</v>
      </c>
      <c r="Z33" s="383">
        <f t="shared" si="9"/>
        <v>28.911858133039317</v>
      </c>
      <c r="AA33" s="384">
        <f t="shared" si="10"/>
        <v>30.422805978221991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4.9664973252772235E-2</v>
      </c>
      <c r="AD33" s="230">
        <f>(INDEX(Models!$BJ33:$BT33,,AH33)*(1-AF33)+INDEX(Models!$BJ33:$BT33,,AH33+1)*AF33-ERP_i)*AE33*Ramure*Pc/MaxiM</f>
        <v>1.508056247078149E-3</v>
      </c>
      <c r="AE33" s="304">
        <f t="shared" si="12"/>
        <v>0.6</v>
      </c>
      <c r="AF33" s="177">
        <f t="shared" si="21"/>
        <v>0.4998752507068378</v>
      </c>
      <c r="AG33" s="799">
        <f t="shared" si="22"/>
        <v>-1</v>
      </c>
      <c r="AH33" s="176">
        <f t="shared" si="13"/>
        <v>5</v>
      </c>
      <c r="AI33" s="224">
        <f t="shared" si="23"/>
        <v>-0.5001247492931622</v>
      </c>
      <c r="AJ33" s="264" t="b">
        <f t="shared" si="14"/>
        <v>0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6.585</v>
      </c>
      <c r="C34" s="388"/>
      <c r="D34" s="391">
        <f t="shared" si="0"/>
        <v>6.6784142890818226</v>
      </c>
      <c r="E34" s="383">
        <f t="shared" si="17"/>
        <v>7.0281033292837884</v>
      </c>
      <c r="F34" s="383">
        <f t="shared" si="1"/>
        <v>7.0281033292837884</v>
      </c>
      <c r="G34" s="110">
        <f t="shared" si="18"/>
        <v>0.23754327229967254</v>
      </c>
      <c r="H34" s="412" t="b">
        <f>Wh_hp&gt;='2020'!Maxi_hp</f>
        <v>0</v>
      </c>
      <c r="I34" s="379">
        <f>IF(H34,Wh_hp,'2020'!Maxi_hp)</f>
        <v>12.26188245483894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1.39874953901169E-2</v>
      </c>
      <c r="M34" s="832"/>
      <c r="N34" s="832"/>
      <c r="O34" s="48">
        <f>IF(t&lt;Tnet,'2020'!Resal+('2020'!Salim-'2020'!Resal)*(1-EXP(('2020'!Tnet-t)/('2020'!Tau_j))),Resal+(Salim-Resal)*(1-EXP((Tnet-t)/(Tau_j))))*Salcycl</f>
        <v>4.9755819432097309E-2</v>
      </c>
      <c r="P34" s="169">
        <f>(INDEX(Models!$BJ34:$BT34,,T34)*(1-R34)+INDEX(Models!$BJ34:$BT34,,T34+1)*R34-ERP_i)*Q34*Ramure*Pc/MaxiM</f>
        <v>1.4834485482928404E-3</v>
      </c>
      <c r="Q34" s="304">
        <f t="shared" si="2"/>
        <v>0.6</v>
      </c>
      <c r="R34" s="177">
        <f t="shared" si="3"/>
        <v>0.49993627568688048</v>
      </c>
      <c r="S34" s="799">
        <f t="shared" si="4"/>
        <v>-1</v>
      </c>
      <c r="T34" s="176">
        <f t="shared" si="5"/>
        <v>5</v>
      </c>
      <c r="U34" s="250">
        <f t="shared" si="20"/>
        <v>-0.50006372431311952</v>
      </c>
      <c r="V34" s="382">
        <f t="shared" si="6"/>
        <v>27.680141928054745</v>
      </c>
      <c r="W34" s="400"/>
      <c r="X34" s="157">
        <f t="shared" si="7"/>
        <v>44216</v>
      </c>
      <c r="Y34" s="383">
        <f t="shared" si="8"/>
        <v>6.585</v>
      </c>
      <c r="Z34" s="383">
        <f t="shared" si="9"/>
        <v>6.6784142890818226</v>
      </c>
      <c r="AA34" s="384">
        <f t="shared" si="10"/>
        <v>7.0281033292837884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4.9755819432097309E-2</v>
      </c>
      <c r="AD34" s="230">
        <f>(INDEX(Models!$BJ34:$BT34,,AH34)*(1-AF34)+INDEX(Models!$BJ34:$BT34,,AH34+1)*AF34-ERP_i)*AE34*Ramure*Pc/MaxiM</f>
        <v>1.4834485482928404E-3</v>
      </c>
      <c r="AE34" s="304">
        <f t="shared" si="12"/>
        <v>0.6</v>
      </c>
      <c r="AF34" s="177">
        <f t="shared" si="21"/>
        <v>0.49993627568688048</v>
      </c>
      <c r="AG34" s="799">
        <f t="shared" si="22"/>
        <v>-1</v>
      </c>
      <c r="AH34" s="176">
        <f t="shared" si="13"/>
        <v>5</v>
      </c>
      <c r="AI34" s="224">
        <f t="shared" si="23"/>
        <v>-0.50006372431311952</v>
      </c>
      <c r="AJ34" s="264" t="b">
        <f t="shared" si="14"/>
        <v>0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12.764000000000001</v>
      </c>
      <c r="C35" s="388"/>
      <c r="D35" s="391">
        <f t="shared" si="0"/>
        <v>12.945317188331614</v>
      </c>
      <c r="E35" s="383">
        <f t="shared" si="17"/>
        <v>13.624450361904476</v>
      </c>
      <c r="F35" s="383">
        <f t="shared" si="1"/>
        <v>13.628887336468116</v>
      </c>
      <c r="G35" s="110">
        <f t="shared" si="18"/>
        <v>0.45578133025533624</v>
      </c>
      <c r="H35" s="412" t="b">
        <f>Wh_hp&gt;='2020'!Maxi_hp</f>
        <v>1</v>
      </c>
      <c r="I35" s="379">
        <f>IF(H35,Wh_hp,'2020'!Maxi_hp)</f>
        <v>13.628887336468116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1.4006392094822129E-2</v>
      </c>
      <c r="M35" s="832"/>
      <c r="N35" s="832"/>
      <c r="O35" s="48">
        <f>IF(t&lt;Tnet,'2020'!Resal+('2020'!Salim-'2020'!Resal)*(1-EXP(('2020'!Tnet-t)/('2020'!Tau_j))),Resal+(Salim-Resal)*(1-EXP((Tnet-t)/(Tau_j))))*Salcycl</f>
        <v>4.9846647426731894E-2</v>
      </c>
      <c r="P35" s="169">
        <f>(INDEX(Models!$BJ35:$BT35,,T35)*(1-R35)+INDEX(Models!$BJ35:$BT35,,T35+1)*R35-ERP_i)*Q35*Ramure*Pc/MaxiM</f>
        <v>1.4580434334285771E-3</v>
      </c>
      <c r="Q35" s="304">
        <f t="shared" si="2"/>
        <v>0.6</v>
      </c>
      <c r="R35" s="177">
        <f t="shared" si="3"/>
        <v>0.49999984492411664</v>
      </c>
      <c r="S35" s="799">
        <f t="shared" si="4"/>
        <v>-1</v>
      </c>
      <c r="T35" s="176">
        <f t="shared" si="5"/>
        <v>5</v>
      </c>
      <c r="U35" s="250">
        <f t="shared" si="20"/>
        <v>-0.50000015507588336</v>
      </c>
      <c r="V35" s="382">
        <f t="shared" si="6"/>
        <v>27.972932159728817</v>
      </c>
      <c r="W35" s="400"/>
      <c r="X35" s="157">
        <f t="shared" si="7"/>
        <v>44217</v>
      </c>
      <c r="Y35" s="383">
        <f t="shared" si="8"/>
        <v>12.764000000000001</v>
      </c>
      <c r="Z35" s="383">
        <f t="shared" si="9"/>
        <v>12.945317188331614</v>
      </c>
      <c r="AA35" s="384">
        <f t="shared" si="10"/>
        <v>13.624450361904476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4.9846647426731894E-2</v>
      </c>
      <c r="AD35" s="230">
        <f>(INDEX(Models!$BJ35:$BT35,,AH35)*(1-AF35)+INDEX(Models!$BJ35:$BT35,,AH35+1)*AF35-ERP_i)*AE35*Ramure*Pc/MaxiM</f>
        <v>1.4580434334285771E-3</v>
      </c>
      <c r="AE35" s="304">
        <f t="shared" si="12"/>
        <v>0.6</v>
      </c>
      <c r="AF35" s="177">
        <f t="shared" si="21"/>
        <v>0.49999984492411664</v>
      </c>
      <c r="AG35" s="799">
        <f t="shared" si="22"/>
        <v>-1</v>
      </c>
      <c r="AH35" s="176">
        <f t="shared" si="13"/>
        <v>5</v>
      </c>
      <c r="AI35" s="224">
        <f t="shared" si="23"/>
        <v>-0.50000015507588336</v>
      </c>
      <c r="AJ35" s="264" t="b">
        <f t="shared" si="14"/>
        <v>0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6.1520000000000001</v>
      </c>
      <c r="C36" s="388"/>
      <c r="D36" s="391">
        <f t="shared" si="0"/>
        <v>6.239510940650792</v>
      </c>
      <c r="E36" s="383">
        <f t="shared" si="17"/>
        <v>6.56747390625869</v>
      </c>
      <c r="F36" s="383">
        <f t="shared" si="1"/>
        <v>6.56747390625869</v>
      </c>
      <c r="G36" s="110">
        <f t="shared" si="18"/>
        <v>0.21731922497728376</v>
      </c>
      <c r="H36" s="412" t="b">
        <f>Wh_hp&gt;='2020'!Maxi_hp</f>
        <v>1</v>
      </c>
      <c r="I36" s="379">
        <f>IF(H36,Wh_hp,'2020'!Maxi_hp)</f>
        <v>6.56747390625869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1.4025288437376271E-2</v>
      </c>
      <c r="M36" s="832"/>
      <c r="N36" s="832"/>
      <c r="O36" s="48">
        <f>IF(t&lt;Tnet,'2020'!Resal+('2020'!Salim-'2020'!Resal)*(1-EXP(('2020'!Tnet-t)/('2020'!Tau_j))),Resal+(Salim-Resal)*(1-EXP((Tnet-t)/(Tau_j))))*Salcycl</f>
        <v>4.9937460017215336E-2</v>
      </c>
      <c r="P36" s="169">
        <f>(INDEX(Models!$BJ36:$BT36,,T36)*(1-R36)+INDEX(Models!$BJ36:$BT36,,T36+1)*R36-ERP_i)*Q36*Ramure*Pc/MaxiM</f>
        <v>1.4319183071223422E-3</v>
      </c>
      <c r="Q36" s="304">
        <f t="shared" si="2"/>
        <v>0.6</v>
      </c>
      <c r="R36" s="177">
        <f t="shared" si="3"/>
        <v>0.50006606380289875</v>
      </c>
      <c r="S36" s="799">
        <f t="shared" si="4"/>
        <v>-1</v>
      </c>
      <c r="T36" s="176">
        <f t="shared" si="5"/>
        <v>5</v>
      </c>
      <c r="U36" s="250">
        <f t="shared" si="20"/>
        <v>-0.49993393619710125</v>
      </c>
      <c r="V36" s="382">
        <f t="shared" si="6"/>
        <v>28.268050556579738</v>
      </c>
      <c r="W36" s="400"/>
      <c r="X36" s="157">
        <f t="shared" si="7"/>
        <v>44218</v>
      </c>
      <c r="Y36" s="383">
        <f t="shared" si="8"/>
        <v>6.1520000000000001</v>
      </c>
      <c r="Z36" s="383">
        <f t="shared" si="9"/>
        <v>6.239510940650792</v>
      </c>
      <c r="AA36" s="384">
        <f t="shared" si="10"/>
        <v>6.56747390625869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4.9937460017215336E-2</v>
      </c>
      <c r="AD36" s="230">
        <f>(INDEX(Models!$BJ36:$BT36,,AH36)*(1-AF36)+INDEX(Models!$BJ36:$BT36,,AH36+1)*AF36-ERP_i)*AE36*Ramure*Pc/MaxiM</f>
        <v>1.4319183071223422E-3</v>
      </c>
      <c r="AE36" s="304">
        <f t="shared" si="12"/>
        <v>0.6</v>
      </c>
      <c r="AF36" s="177">
        <f t="shared" si="21"/>
        <v>0.50006606380289875</v>
      </c>
      <c r="AG36" s="799">
        <f t="shared" si="22"/>
        <v>-1</v>
      </c>
      <c r="AH36" s="176">
        <f t="shared" si="13"/>
        <v>5</v>
      </c>
      <c r="AI36" s="224">
        <f t="shared" si="23"/>
        <v>-0.49993393619710125</v>
      </c>
      <c r="AJ36" s="264" t="b">
        <f t="shared" si="14"/>
        <v>0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8.3109999999999999</v>
      </c>
      <c r="C37" s="388"/>
      <c r="D37" s="391">
        <f t="shared" si="0"/>
        <v>8.4293838209091536</v>
      </c>
      <c r="E37" s="383">
        <f t="shared" si="17"/>
        <v>8.8732995568156685</v>
      </c>
      <c r="F37" s="383">
        <f t="shared" si="1"/>
        <v>8.8732995568156685</v>
      </c>
      <c r="G37" s="110">
        <f t="shared" si="18"/>
        <v>0.29050413385128526</v>
      </c>
      <c r="H37" s="412" t="b">
        <f>Wh_hp&gt;='2020'!Maxi_hp</f>
        <v>0</v>
      </c>
      <c r="I37" s="379">
        <f>IF(H37,Wh_hp,'2020'!Maxi_hp)</f>
        <v>14.136466257593549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1.4044184417786432E-2</v>
      </c>
      <c r="M37" s="832"/>
      <c r="N37" s="832"/>
      <c r="O37" s="48">
        <f>IF(t&lt;Tnet,'2020'!Resal+('2020'!Salim-'2020'!Resal)*(1-EXP(('2020'!Tnet-t)/('2020'!Tau_j))),Resal+(Salim-Resal)*(1-EXP((Tnet-t)/(Tau_j))))*Salcycl</f>
        <v>5.0028259844506123E-2</v>
      </c>
      <c r="P37" s="169">
        <f>(INDEX(Models!$BJ37:$BT37,,T37)*(1-R37)+INDEX(Models!$BJ37:$BT37,,T37+1)*R37-ERP_i)*Q37*Ramure*Pc/MaxiM</f>
        <v>1.4049485995555862E-3</v>
      </c>
      <c r="Q37" s="304">
        <f t="shared" si="2"/>
        <v>0.6</v>
      </c>
      <c r="R37" s="177">
        <f t="shared" si="3"/>
        <v>0.50013504201367609</v>
      </c>
      <c r="S37" s="799">
        <f t="shared" si="4"/>
        <v>-1</v>
      </c>
      <c r="T37" s="176">
        <f t="shared" si="5"/>
        <v>5</v>
      </c>
      <c r="U37" s="250">
        <f t="shared" si="20"/>
        <v>-0.49986495798632391</v>
      </c>
      <c r="V37" s="382">
        <f t="shared" si="6"/>
        <v>28.568693196075753</v>
      </c>
      <c r="W37" s="400"/>
      <c r="X37" s="157">
        <f t="shared" si="7"/>
        <v>44219</v>
      </c>
      <c r="Y37" s="383">
        <f t="shared" si="8"/>
        <v>8.3109999999999999</v>
      </c>
      <c r="Z37" s="383">
        <f t="shared" si="9"/>
        <v>8.4293838209091536</v>
      </c>
      <c r="AA37" s="384">
        <f t="shared" si="10"/>
        <v>8.8732995568156685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5.0028259844506123E-2</v>
      </c>
      <c r="AD37" s="230">
        <f>(INDEX(Models!$BJ37:$BT37,,AH37)*(1-AF37)+INDEX(Models!$BJ37:$BT37,,AH37+1)*AF37-ERP_i)*AE37*Ramure*Pc/MaxiM</f>
        <v>1.4049485995555862E-3</v>
      </c>
      <c r="AE37" s="304">
        <f t="shared" si="12"/>
        <v>0.6</v>
      </c>
      <c r="AF37" s="177">
        <f t="shared" si="21"/>
        <v>0.50013504201367609</v>
      </c>
      <c r="AG37" s="799">
        <f t="shared" si="22"/>
        <v>-1</v>
      </c>
      <c r="AH37" s="176">
        <f t="shared" si="13"/>
        <v>5</v>
      </c>
      <c r="AI37" s="224">
        <f t="shared" si="23"/>
        <v>-0.49986495798632391</v>
      </c>
      <c r="AJ37" s="264" t="b">
        <f t="shared" si="14"/>
        <v>0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15.914</v>
      </c>
      <c r="C38" s="388"/>
      <c r="D38" s="391">
        <f t="shared" si="0"/>
        <v>16.140992063246838</v>
      </c>
      <c r="E38" s="383">
        <f t="shared" si="17"/>
        <v>16.992647396358546</v>
      </c>
      <c r="F38" s="383">
        <f t="shared" si="1"/>
        <v>17.001045690637202</v>
      </c>
      <c r="G38" s="110">
        <f t="shared" si="18"/>
        <v>0.55059069356081036</v>
      </c>
      <c r="H38" s="412" t="b">
        <f>Wh_hp&gt;='2020'!Maxi_hp</f>
        <v>1</v>
      </c>
      <c r="I38" s="379">
        <f>IF(H38,Wh_hp,'2020'!Maxi_hp)</f>
        <v>17.001045690637202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1.4063080036059383E-2</v>
      </c>
      <c r="M38" s="832"/>
      <c r="N38" s="832"/>
      <c r="O38" s="48">
        <f>IF(t&lt;Tnet,'2020'!Resal+('2020'!Salim-'2020'!Resal)*(1-EXP(('2020'!Tnet-t)/('2020'!Tau_j))),Resal+(Salim-Resal)*(1-EXP((Tnet-t)/(Tau_j))))*Salcycl</f>
        <v>5.0119049330371861E-2</v>
      </c>
      <c r="P38" s="169">
        <f>(INDEX(Models!$BJ38:$BT38,,T38)*(1-R38)+INDEX(Models!$BJ38:$BT38,,T38+1)*R38-ERP_i)*Q38*Ramure*Pc/MaxiM</f>
        <v>1.3772266183017605E-3</v>
      </c>
      <c r="Q38" s="304">
        <f t="shared" si="2"/>
        <v>0.6</v>
      </c>
      <c r="R38" s="177">
        <f t="shared" si="3"/>
        <v>0.50020689372390548</v>
      </c>
      <c r="S38" s="799">
        <f t="shared" si="4"/>
        <v>-1</v>
      </c>
      <c r="T38" s="176">
        <f t="shared" si="5"/>
        <v>5</v>
      </c>
      <c r="U38" s="250">
        <f t="shared" si="20"/>
        <v>-0.49979310627609447</v>
      </c>
      <c r="V38" s="382">
        <f t="shared" si="6"/>
        <v>28.87796209165359</v>
      </c>
      <c r="W38" s="400"/>
      <c r="X38" s="157">
        <f t="shared" si="7"/>
        <v>44220</v>
      </c>
      <c r="Y38" s="383">
        <f t="shared" si="8"/>
        <v>15.913999999999998</v>
      </c>
      <c r="Z38" s="383">
        <f t="shared" si="9"/>
        <v>16.140992063246838</v>
      </c>
      <c r="AA38" s="384">
        <f t="shared" si="10"/>
        <v>16.992647396358546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5.0119049330371861E-2</v>
      </c>
      <c r="AD38" s="230">
        <f>(INDEX(Models!$BJ38:$BT38,,AH38)*(1-AF38)+INDEX(Models!$BJ38:$BT38,,AH38+1)*AF38-ERP_i)*AE38*Ramure*Pc/MaxiM</f>
        <v>1.3772266183017605E-3</v>
      </c>
      <c r="AE38" s="304">
        <f t="shared" si="12"/>
        <v>0.6</v>
      </c>
      <c r="AF38" s="177">
        <f t="shared" si="21"/>
        <v>0.50020689372390548</v>
      </c>
      <c r="AG38" s="799">
        <f t="shared" si="22"/>
        <v>-1</v>
      </c>
      <c r="AH38" s="176">
        <f t="shared" si="13"/>
        <v>5</v>
      </c>
      <c r="AI38" s="224">
        <f t="shared" si="23"/>
        <v>-0.49979310627609447</v>
      </c>
      <c r="AJ38" s="264" t="b">
        <f t="shared" si="14"/>
        <v>0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8.1129999999999995</v>
      </c>
      <c r="C39" s="388"/>
      <c r="D39" s="391">
        <f t="shared" si="0"/>
        <v>8.2288788689145793</v>
      </c>
      <c r="E39" s="383">
        <f t="shared" si="17"/>
        <v>8.6638913878779782</v>
      </c>
      <c r="F39" s="383">
        <f t="shared" si="1"/>
        <v>8.6638913878779782</v>
      </c>
      <c r="G39" s="110">
        <f t="shared" si="18"/>
        <v>0.2775158932115166</v>
      </c>
      <c r="H39" s="412" t="b">
        <f>Wh_hp&gt;='2020'!Maxi_hp</f>
        <v>0</v>
      </c>
      <c r="I39" s="379">
        <f>IF(H39,Wh_hp,'2020'!Maxi_hp)</f>
        <v>16.938515203837024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1.408197529220212E-2</v>
      </c>
      <c r="M39" s="832"/>
      <c r="N39" s="832"/>
      <c r="O39" s="48">
        <f>IF(t&lt;Tnet,'2020'!Resal+('2020'!Salim-'2020'!Resal)*(1-EXP(('2020'!Tnet-t)/('2020'!Tau_j))),Resal+(Salim-Resal)*(1-EXP((Tnet-t)/(Tau_j))))*Salcycl</f>
        <v>5.0209830604760669E-2</v>
      </c>
      <c r="P39" s="169">
        <f>(INDEX(Models!$BJ39:$BT39,,T39)*(1-R39)+INDEX(Models!$BJ39:$BT39,,T39+1)*R39-ERP_i)*Q39*Ramure*Pc/MaxiM</f>
        <v>1.3479928553488223E-3</v>
      </c>
      <c r="Q39" s="304">
        <f t="shared" si="2"/>
        <v>0.6</v>
      </c>
      <c r="R39" s="177">
        <f t="shared" si="3"/>
        <v>0.5002817377553137</v>
      </c>
      <c r="S39" s="799">
        <f t="shared" si="4"/>
        <v>-1</v>
      </c>
      <c r="T39" s="176">
        <f t="shared" si="5"/>
        <v>5</v>
      </c>
      <c r="U39" s="250">
        <f t="shared" si="20"/>
        <v>-0.49971826224468624</v>
      </c>
      <c r="V39" s="382">
        <f t="shared" si="6"/>
        <v>29.194953990578615</v>
      </c>
      <c r="W39" s="400"/>
      <c r="X39" s="157">
        <f t="shared" si="7"/>
        <v>44221</v>
      </c>
      <c r="Y39" s="383">
        <f t="shared" si="8"/>
        <v>8.1129999999999995</v>
      </c>
      <c r="Z39" s="383">
        <f t="shared" si="9"/>
        <v>8.2288788689145793</v>
      </c>
      <c r="AA39" s="384">
        <f t="shared" si="10"/>
        <v>8.6638913878779782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5.0209830604760669E-2</v>
      </c>
      <c r="AD39" s="230">
        <f>(INDEX(Models!$BJ39:$BT39,,AH39)*(1-AF39)+INDEX(Models!$BJ39:$BT39,,AH39+1)*AF39-ERP_i)*AE39*Ramure*Pc/MaxiM</f>
        <v>1.3479928553488223E-3</v>
      </c>
      <c r="AE39" s="304">
        <f t="shared" si="12"/>
        <v>0.6</v>
      </c>
      <c r="AF39" s="177">
        <f t="shared" si="21"/>
        <v>0.5002817377553137</v>
      </c>
      <c r="AG39" s="799">
        <f t="shared" si="22"/>
        <v>-1</v>
      </c>
      <c r="AH39" s="176">
        <f t="shared" si="13"/>
        <v>5</v>
      </c>
      <c r="AI39" s="224">
        <f t="shared" si="23"/>
        <v>-0.49971826224468624</v>
      </c>
      <c r="AJ39" s="264" t="b">
        <f t="shared" si="14"/>
        <v>0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18.086000000000002</v>
      </c>
      <c r="C40" s="388"/>
      <c r="D40" s="391">
        <f t="shared" si="0"/>
        <v>18.344675893380874</v>
      </c>
      <c r="E40" s="383">
        <f t="shared" si="17"/>
        <v>19.316297344693922</v>
      </c>
      <c r="F40" s="383">
        <f t="shared" si="1"/>
        <v>19.327671218938356</v>
      </c>
      <c r="G40" s="110">
        <f t="shared" si="18"/>
        <v>0.61224865652444882</v>
      </c>
      <c r="H40" s="412" t="b">
        <f>Wh_hp&gt;='2020'!Maxi_hp</f>
        <v>1</v>
      </c>
      <c r="I40" s="379">
        <f>IF(H40,Wh_hp,'2020'!Maxi_hp)</f>
        <v>19.327671218938356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1.4100870186221637E-2</v>
      </c>
      <c r="M40" s="832"/>
      <c r="N40" s="832"/>
      <c r="O40" s="48">
        <f>IF(t&lt;Tnet,'2020'!Resal+('2020'!Salim-'2020'!Resal)*(1-EXP(('2020'!Tnet-t)/('2020'!Tau_j))),Resal+(Salim-Resal)*(1-EXP((Tnet-t)/(Tau_j))))*Salcycl</f>
        <v>5.0300605440822148E-2</v>
      </c>
      <c r="P40" s="169">
        <f>(INDEX(Models!$BJ40:$BT40,,T40)*(1-R40)+INDEX(Models!$BJ40:$BT40,,T40+1)*R40-ERP_i)*Q40*Ramure*Pc/MaxiM</f>
        <v>1.3173624943684686E-3</v>
      </c>
      <c r="Q40" s="304">
        <f t="shared" si="2"/>
        <v>0.6</v>
      </c>
      <c r="R40" s="177">
        <f t="shared" si="3"/>
        <v>0.5003596977677065</v>
      </c>
      <c r="S40" s="799">
        <f t="shared" si="4"/>
        <v>-1</v>
      </c>
      <c r="T40" s="176">
        <f t="shared" si="5"/>
        <v>5</v>
      </c>
      <c r="U40" s="250">
        <f t="shared" si="20"/>
        <v>-0.49964030223229355</v>
      </c>
      <c r="V40" s="382">
        <f t="shared" si="6"/>
        <v>29.51874113139851</v>
      </c>
      <c r="W40" s="400"/>
      <c r="X40" s="157">
        <f t="shared" si="7"/>
        <v>44222</v>
      </c>
      <c r="Y40" s="383">
        <f t="shared" si="8"/>
        <v>18.086000000000002</v>
      </c>
      <c r="Z40" s="383">
        <f t="shared" si="9"/>
        <v>18.344675893380874</v>
      </c>
      <c r="AA40" s="384">
        <f t="shared" si="10"/>
        <v>19.316297344693922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5.0300605440822148E-2</v>
      </c>
      <c r="AD40" s="230">
        <f>(INDEX(Models!$BJ40:$BT40,,AH40)*(1-AF40)+INDEX(Models!$BJ40:$BT40,,AH40+1)*AF40-ERP_i)*AE40*Ramure*Pc/MaxiM</f>
        <v>1.3173624943684686E-3</v>
      </c>
      <c r="AE40" s="304">
        <f t="shared" si="12"/>
        <v>0.6</v>
      </c>
      <c r="AF40" s="177">
        <f t="shared" si="21"/>
        <v>0.5003596977677065</v>
      </c>
      <c r="AG40" s="799">
        <f t="shared" si="22"/>
        <v>-1</v>
      </c>
      <c r="AH40" s="176">
        <f t="shared" si="13"/>
        <v>5</v>
      </c>
      <c r="AI40" s="224">
        <f t="shared" si="23"/>
        <v>-0.49964030223229355</v>
      </c>
      <c r="AJ40" s="264" t="b">
        <f t="shared" si="14"/>
        <v>0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5.4720000000000004</v>
      </c>
      <c r="C41" s="388"/>
      <c r="D41" s="391">
        <f t="shared" si="0"/>
        <v>5.5503699173312757</v>
      </c>
      <c r="E41" s="383">
        <f t="shared" si="17"/>
        <v>5.8449025970983159</v>
      </c>
      <c r="F41" s="383">
        <f t="shared" si="1"/>
        <v>5.8449025970983159</v>
      </c>
      <c r="G41" s="110">
        <f t="shared" si="18"/>
        <v>0.18309077702421564</v>
      </c>
      <c r="H41" s="412" t="b">
        <f>Wh_hp&gt;='2020'!Maxi_hp</f>
        <v>0</v>
      </c>
      <c r="I41" s="379">
        <f>IF(H41,Wh_hp,'2020'!Maxi_hp)</f>
        <v>11.453166380846145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1.4119764718124816E-2</v>
      </c>
      <c r="M41" s="832"/>
      <c r="N41" s="832"/>
      <c r="O41" s="48">
        <f>IF(t&lt;Tnet,'2020'!Resal+('2020'!Salim-'2020'!Resal)*(1-EXP(('2020'!Tnet-t)/('2020'!Tau_j))),Resal+(Salim-Resal)*(1-EXP((Tnet-t)/(Tau_j))))*Salcycl</f>
        <v>5.039137519815301E-2</v>
      </c>
      <c r="P41" s="169">
        <f>(INDEX(Models!$BJ41:$BT41,,T41)*(1-R41)+INDEX(Models!$BJ41:$BT41,,T41+1)*R41-ERP_i)*Q41*Ramure*Pc/MaxiM</f>
        <v>1.285443464012097E-3</v>
      </c>
      <c r="Q41" s="304">
        <f t="shared" si="2"/>
        <v>0.6</v>
      </c>
      <c r="R41" s="177">
        <f t="shared" si="3"/>
        <v>0.50044090244952821</v>
      </c>
      <c r="S41" s="799">
        <f t="shared" si="4"/>
        <v>-1</v>
      </c>
      <c r="T41" s="176">
        <f t="shared" si="5"/>
        <v>5</v>
      </c>
      <c r="U41" s="250">
        <f t="shared" si="20"/>
        <v>-0.49955909755047179</v>
      </c>
      <c r="V41" s="382">
        <f t="shared" si="6"/>
        <v>29.848396200984656</v>
      </c>
      <c r="W41" s="400"/>
      <c r="X41" s="157">
        <f t="shared" si="7"/>
        <v>44223</v>
      </c>
      <c r="Y41" s="383">
        <f t="shared" si="8"/>
        <v>5.4720000000000004</v>
      </c>
      <c r="Z41" s="383">
        <f t="shared" si="9"/>
        <v>5.5503699173312757</v>
      </c>
      <c r="AA41" s="384">
        <f t="shared" si="10"/>
        <v>5.8449025970983159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5.039137519815301E-2</v>
      </c>
      <c r="AD41" s="230">
        <f>(INDEX(Models!$BJ41:$BT41,,AH41)*(1-AF41)+INDEX(Models!$BJ41:$BT41,,AH41+1)*AF41-ERP_i)*AE41*Ramure*Pc/MaxiM</f>
        <v>1.285443464012097E-3</v>
      </c>
      <c r="AE41" s="304">
        <f t="shared" si="12"/>
        <v>0.6</v>
      </c>
      <c r="AF41" s="177">
        <f t="shared" si="21"/>
        <v>0.50044090244952821</v>
      </c>
      <c r="AG41" s="799">
        <f t="shared" si="22"/>
        <v>-1</v>
      </c>
      <c r="AH41" s="176">
        <f t="shared" si="13"/>
        <v>5</v>
      </c>
      <c r="AI41" s="224">
        <f t="shared" si="23"/>
        <v>-0.49955909755047179</v>
      </c>
      <c r="AJ41" s="264" t="b">
        <f t="shared" si="14"/>
        <v>0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17.283000000000001</v>
      </c>
      <c r="C42" s="388"/>
      <c r="D42" s="391">
        <f t="shared" si="0"/>
        <v>17.530862890418497</v>
      </c>
      <c r="E42" s="383">
        <f t="shared" si="17"/>
        <v>18.462910118112546</v>
      </c>
      <c r="F42" s="383">
        <f t="shared" si="1"/>
        <v>18.471919028830147</v>
      </c>
      <c r="G42" s="110">
        <f t="shared" si="18"/>
        <v>0.57216919695989787</v>
      </c>
      <c r="H42" s="412" t="b">
        <f>Wh_hp&gt;='2020'!Maxi_hp</f>
        <v>1</v>
      </c>
      <c r="I42" s="379">
        <f>IF(H42,Wh_hp,'2020'!Maxi_hp)</f>
        <v>18.471919028830147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1.4138658887918543E-2</v>
      </c>
      <c r="M42" s="832"/>
      <c r="N42" s="832"/>
      <c r="O42" s="48">
        <f>IF(t&lt;Tnet,'2020'!Resal+('2020'!Salim-'2020'!Resal)*(1-EXP(('2020'!Tnet-t)/('2020'!Tau_j))),Resal+(Salim-Resal)*(1-EXP((Tnet-t)/(Tau_j))))*Salcycl</f>
        <v>5.0482140774746567E-2</v>
      </c>
      <c r="P42" s="169">
        <f>(INDEX(Models!$BJ42:$BT42,,T42)*(1-R42)+INDEX(Models!$BJ42:$BT42,,T42+1)*R42-ERP_i)*Q42*Ramure*Pc/MaxiM</f>
        <v>1.2523361518526409E-3</v>
      </c>
      <c r="Q42" s="304">
        <f t="shared" si="2"/>
        <v>0.6</v>
      </c>
      <c r="R42" s="177">
        <f t="shared" si="3"/>
        <v>0.50052548571537414</v>
      </c>
      <c r="S42" s="799">
        <f t="shared" si="4"/>
        <v>-1</v>
      </c>
      <c r="T42" s="176">
        <f t="shared" si="5"/>
        <v>5</v>
      </c>
      <c r="U42" s="250">
        <f t="shared" si="20"/>
        <v>-0.49947451428462586</v>
      </c>
      <c r="V42" s="382">
        <f t="shared" si="6"/>
        <v>30.182992343321413</v>
      </c>
      <c r="W42" s="400"/>
      <c r="X42" s="157">
        <f t="shared" si="7"/>
        <v>44224</v>
      </c>
      <c r="Y42" s="383">
        <f t="shared" si="8"/>
        <v>17.283000000000001</v>
      </c>
      <c r="Z42" s="383">
        <f t="shared" si="9"/>
        <v>17.530862890418497</v>
      </c>
      <c r="AA42" s="384">
        <f t="shared" si="10"/>
        <v>18.462910118112546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5.0482140774746567E-2</v>
      </c>
      <c r="AD42" s="230">
        <f>(INDEX(Models!$BJ42:$BT42,,AH42)*(1-AF42)+INDEX(Models!$BJ42:$BT42,,AH42+1)*AF42-ERP_i)*AE42*Ramure*Pc/MaxiM</f>
        <v>1.2523361518526409E-3</v>
      </c>
      <c r="AE42" s="304">
        <f t="shared" si="12"/>
        <v>0.6</v>
      </c>
      <c r="AF42" s="177">
        <f t="shared" si="21"/>
        <v>0.50052548571537414</v>
      </c>
      <c r="AG42" s="799">
        <f t="shared" si="22"/>
        <v>-1</v>
      </c>
      <c r="AH42" s="176">
        <f t="shared" si="13"/>
        <v>5</v>
      </c>
      <c r="AI42" s="224">
        <f t="shared" si="23"/>
        <v>-0.49947451428462586</v>
      </c>
      <c r="AJ42" s="264" t="b">
        <f t="shared" si="14"/>
        <v>0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15.524000000000001</v>
      </c>
      <c r="C43" s="388"/>
      <c r="D43" s="391">
        <f t="shared" si="0"/>
        <v>15.746938106030635</v>
      </c>
      <c r="E43" s="383">
        <f t="shared" si="17"/>
        <v>16.585726432943815</v>
      </c>
      <c r="F43" s="383">
        <f t="shared" si="1"/>
        <v>16.591749973769669</v>
      </c>
      <c r="G43" s="110">
        <f t="shared" si="18"/>
        <v>0.50818827243542608</v>
      </c>
      <c r="H43" s="412" t="b">
        <f>Wh_hp&gt;='2020'!Maxi_hp</f>
        <v>0</v>
      </c>
      <c r="I43" s="379">
        <f>IF(H43,Wh_hp,'2020'!Maxi_hp)</f>
        <v>19.775703807846384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1.415755269560981E-2</v>
      </c>
      <c r="M43" s="832"/>
      <c r="N43" s="832"/>
      <c r="O43" s="48">
        <f>IF(t&lt;Tnet,'2020'!Resal+('2020'!Salim-'2020'!Resal)*(1-EXP(('2020'!Tnet-t)/('2020'!Tau_j))),Resal+(Salim-Resal)*(1-EXP((Tnet-t)/(Tau_j))))*Salcycl</f>
        <v>5.057290256802479E-2</v>
      </c>
      <c r="P43" s="169">
        <f>(INDEX(Models!$BJ43:$BT43,,T43)*(1-R43)+INDEX(Models!$BJ43:$BT43,,T43+1)*R43-ERP_i)*Q43*Ramure*Pc/MaxiM</f>
        <v>1.2181332330750329E-3</v>
      </c>
      <c r="Q43" s="304">
        <f t="shared" si="2"/>
        <v>0.6</v>
      </c>
      <c r="R43" s="177">
        <f t="shared" si="3"/>
        <v>0.50061358691065938</v>
      </c>
      <c r="S43" s="799">
        <f t="shared" si="4"/>
        <v>-1</v>
      </c>
      <c r="T43" s="176">
        <f t="shared" si="5"/>
        <v>5</v>
      </c>
      <c r="U43" s="250">
        <f t="shared" si="20"/>
        <v>-0.49938641308934056</v>
      </c>
      <c r="V43" s="382">
        <f t="shared" si="6"/>
        <v>30.521603154393933</v>
      </c>
      <c r="W43" s="400"/>
      <c r="X43" s="157">
        <f t="shared" si="7"/>
        <v>44225</v>
      </c>
      <c r="Y43" s="383">
        <f t="shared" si="8"/>
        <v>15.523999999999999</v>
      </c>
      <c r="Z43" s="383">
        <f t="shared" si="9"/>
        <v>15.746938106030633</v>
      </c>
      <c r="AA43" s="384">
        <f t="shared" si="10"/>
        <v>16.585726432943815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5.057290256802479E-2</v>
      </c>
      <c r="AD43" s="230">
        <f>(INDEX(Models!$BJ43:$BT43,,AH43)*(1-AF43)+INDEX(Models!$BJ43:$BT43,,AH43+1)*AF43-ERP_i)*AE43*Ramure*Pc/MaxiM</f>
        <v>1.2181332330750329E-3</v>
      </c>
      <c r="AE43" s="304">
        <f t="shared" si="12"/>
        <v>0.6</v>
      </c>
      <c r="AF43" s="177">
        <f t="shared" si="21"/>
        <v>0.50061358691065938</v>
      </c>
      <c r="AG43" s="799">
        <f t="shared" si="22"/>
        <v>-1</v>
      </c>
      <c r="AH43" s="176">
        <f t="shared" si="13"/>
        <v>5</v>
      </c>
      <c r="AI43" s="224">
        <f t="shared" si="23"/>
        <v>-0.49938641308934056</v>
      </c>
      <c r="AJ43" s="264" t="b">
        <f t="shared" si="14"/>
        <v>0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8.702</v>
      </c>
      <c r="C44" s="388"/>
      <c r="D44" s="391">
        <f t="shared" si="0"/>
        <v>8.8271374384775978</v>
      </c>
      <c r="E44" s="383">
        <f t="shared" si="17"/>
        <v>9.2982192619082191</v>
      </c>
      <c r="F44" s="383">
        <f t="shared" si="1"/>
        <v>9.2982192619082191</v>
      </c>
      <c r="G44" s="110">
        <f t="shared" si="18"/>
        <v>0.28161944691704666</v>
      </c>
      <c r="H44" s="412" t="b">
        <f>Wh_hp&gt;='2020'!Maxi_hp</f>
        <v>0</v>
      </c>
      <c r="I44" s="379">
        <f>IF(H44,Wh_hp,'2020'!Maxi_hp)</f>
        <v>11.80160840972839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1.4176446141205612E-2</v>
      </c>
      <c r="M44" s="832"/>
      <c r="N44" s="832"/>
      <c r="O44" s="48">
        <f>IF(t&lt;Tnet,'2020'!Resal+('2020'!Salim-'2020'!Resal)*(1-EXP(('2020'!Tnet-t)/('2020'!Tau_j))),Resal+(Salim-Resal)*(1-EXP((Tnet-t)/(Tau_j))))*Salcycl</f>
        <v>5.0663660445230574E-2</v>
      </c>
      <c r="P44" s="169">
        <f>(INDEX(Models!$BJ44:$BT44,,T44)*(1-R44)+INDEX(Models!$BJ44:$BT44,,T44+1)*R44-ERP_i)*Q44*Ramure*Pc/MaxiM</f>
        <v>1.1834728301184519E-3</v>
      </c>
      <c r="Q44" s="304">
        <f t="shared" si="2"/>
        <v>0.6</v>
      </c>
      <c r="R44" s="177">
        <f t="shared" si="3"/>
        <v>0.50070535102365288</v>
      </c>
      <c r="S44" s="799">
        <f t="shared" si="4"/>
        <v>-1</v>
      </c>
      <c r="T44" s="176">
        <f t="shared" si="5"/>
        <v>5</v>
      </c>
      <c r="U44" s="250">
        <f t="shared" si="20"/>
        <v>-0.49929464897634712</v>
      </c>
      <c r="V44" s="382">
        <f t="shared" si="6"/>
        <v>30.863285595445838</v>
      </c>
      <c r="W44" s="400"/>
      <c r="X44" s="157">
        <f t="shared" si="7"/>
        <v>44226</v>
      </c>
      <c r="Y44" s="383">
        <f t="shared" si="8"/>
        <v>8.702</v>
      </c>
      <c r="Z44" s="383">
        <f t="shared" si="9"/>
        <v>8.8271374384775978</v>
      </c>
      <c r="AA44" s="384">
        <f t="shared" si="10"/>
        <v>9.2982192619082191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5.0663660445230574E-2</v>
      </c>
      <c r="AD44" s="230">
        <f>(INDEX(Models!$BJ44:$BT44,,AH44)*(1-AF44)+INDEX(Models!$BJ44:$BT44,,AH44+1)*AF44-ERP_i)*AE44*Ramure*Pc/MaxiM</f>
        <v>1.1834728301184519E-3</v>
      </c>
      <c r="AE44" s="304">
        <f t="shared" si="12"/>
        <v>0.6</v>
      </c>
      <c r="AF44" s="177">
        <f t="shared" si="21"/>
        <v>0.50070535102365288</v>
      </c>
      <c r="AG44" s="799">
        <f t="shared" si="22"/>
        <v>-1</v>
      </c>
      <c r="AH44" s="176">
        <f t="shared" si="13"/>
        <v>5</v>
      </c>
      <c r="AI44" s="224">
        <f t="shared" si="23"/>
        <v>-0.49929464897634712</v>
      </c>
      <c r="AJ44" s="264" t="b">
        <f t="shared" si="14"/>
        <v>0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8.58</v>
      </c>
      <c r="C45" s="388"/>
      <c r="D45" s="391">
        <f t="shared" si="0"/>
        <v>8.7035498424731017</v>
      </c>
      <c r="E45" s="383">
        <f t="shared" si="17"/>
        <v>9.1689126273551711</v>
      </c>
      <c r="F45" s="383">
        <f t="shared" si="1"/>
        <v>9.1689126273551711</v>
      </c>
      <c r="G45" s="110">
        <f t="shared" si="18"/>
        <v>0.27462156733551452</v>
      </c>
      <c r="H45" s="412" t="b">
        <f>Wh_hp&gt;='2020'!Maxi_hp</f>
        <v>0</v>
      </c>
      <c r="I45" s="379">
        <f>IF(H45,Wh_hp,'2020'!Maxi_hp)</f>
        <v>23.12427848668732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1.4195339224712833E-2</v>
      </c>
      <c r="M45" s="832"/>
      <c r="N45" s="832"/>
      <c r="O45" s="48">
        <f>IF(t&lt;Tnet,'2020'!Resal+('2020'!Salim-'2020'!Resal)*(1-EXP(('2020'!Tnet-t)/('2020'!Tau_j))),Resal+(Salim-Resal)*(1-EXP((Tnet-t)/(Tau_j))))*Salcycl</f>
        <v>5.0754413723354069E-2</v>
      </c>
      <c r="P45" s="169">
        <f>(INDEX(Models!$BJ45:$BT45,,T45)*(1-R45)+INDEX(Models!$BJ45:$BT45,,T45+1)*R45-ERP_i)*Q45*Ramure*Pc/MaxiM</f>
        <v>1.150245712609233E-3</v>
      </c>
      <c r="Q45" s="304">
        <f t="shared" si="2"/>
        <v>0.6</v>
      </c>
      <c r="R45" s="177">
        <f t="shared" si="3"/>
        <v>0.50080092890508299</v>
      </c>
      <c r="S45" s="799">
        <f t="shared" si="4"/>
        <v>-1</v>
      </c>
      <c r="T45" s="176">
        <f t="shared" si="5"/>
        <v>5</v>
      </c>
      <c r="U45" s="250">
        <f t="shared" si="20"/>
        <v>-0.49919907109491707</v>
      </c>
      <c r="V45" s="382">
        <f t="shared" si="6"/>
        <v>31.207056950903613</v>
      </c>
      <c r="W45" s="400"/>
      <c r="X45" s="157">
        <f t="shared" si="7"/>
        <v>44227</v>
      </c>
      <c r="Y45" s="383">
        <f t="shared" si="8"/>
        <v>8.58</v>
      </c>
      <c r="Z45" s="383">
        <f t="shared" si="9"/>
        <v>8.7035498424731017</v>
      </c>
      <c r="AA45" s="384">
        <f t="shared" si="10"/>
        <v>9.1689126273551711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5.0754413723354069E-2</v>
      </c>
      <c r="AD45" s="230">
        <f>(INDEX(Models!$BJ45:$BT45,,AH45)*(1-AF45)+INDEX(Models!$BJ45:$BT45,,AH45+1)*AF45-ERP_i)*AE45*Ramure*Pc/MaxiM</f>
        <v>1.150245712609233E-3</v>
      </c>
      <c r="AE45" s="304">
        <f t="shared" si="12"/>
        <v>0.6</v>
      </c>
      <c r="AF45" s="177">
        <f t="shared" si="21"/>
        <v>0.50080092890508299</v>
      </c>
      <c r="AG45" s="799">
        <f t="shared" si="22"/>
        <v>-1</v>
      </c>
      <c r="AH45" s="176">
        <f t="shared" si="13"/>
        <v>5</v>
      </c>
      <c r="AI45" s="224">
        <f t="shared" si="23"/>
        <v>-0.49919907109491707</v>
      </c>
      <c r="AJ45" s="264" t="b">
        <f t="shared" si="14"/>
        <v>0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7.7250000000000005</v>
      </c>
      <c r="C46" s="388"/>
      <c r="D46" s="391">
        <f t="shared" si="0"/>
        <v>7.8363882400642648</v>
      </c>
      <c r="E46" s="383">
        <f t="shared" si="17"/>
        <v>8.2561747771632312</v>
      </c>
      <c r="F46" s="383">
        <f t="shared" si="1"/>
        <v>8.2561747771632312</v>
      </c>
      <c r="G46" s="110">
        <f t="shared" si="18"/>
        <v>0.24456015244475887</v>
      </c>
      <c r="H46" s="412" t="b">
        <f>Wh_hp&gt;='2020'!Maxi_hp</f>
        <v>0</v>
      </c>
      <c r="I46" s="379">
        <f>IF(H46,Wh_hp,'2020'!Maxi_hp)</f>
        <v>12.408751534589424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1.4214231946138356E-2</v>
      </c>
      <c r="M46" s="832"/>
      <c r="N46" s="832"/>
      <c r="O46" s="48">
        <f>IF(t&lt;Tnet,'2020'!Resal+('2020'!Salim-'2020'!Resal)*(1-EXP(('2020'!Tnet-t)/('2020'!Tau_j))),Resal+(Salim-Resal)*(1-EXP((Tnet-t)/(Tau_j))))*Salcycl</f>
        <v>5.084516115866463E-2</v>
      </c>
      <c r="P46" s="169">
        <f>(INDEX(Models!$BJ46:$BT46,,T46)*(1-R46)+INDEX(Models!$BJ46:$BT46,,T46+1)*R46-ERP_i)*Q46*Ramure*Pc/MaxiM</f>
        <v>1.1184441613561792E-3</v>
      </c>
      <c r="Q46" s="304">
        <f t="shared" si="2"/>
        <v>0.6</v>
      </c>
      <c r="R46" s="177">
        <f t="shared" si="3"/>
        <v>0.50090047749552347</v>
      </c>
      <c r="S46" s="799">
        <f t="shared" si="4"/>
        <v>-1</v>
      </c>
      <c r="T46" s="176">
        <f t="shared" si="5"/>
        <v>5</v>
      </c>
      <c r="U46" s="250">
        <f t="shared" si="20"/>
        <v>-0.49909952250447659</v>
      </c>
      <c r="V46" s="382">
        <f t="shared" si="6"/>
        <v>31.551992185630041</v>
      </c>
      <c r="W46" s="400"/>
      <c r="X46" s="157">
        <f t="shared" si="7"/>
        <v>44228</v>
      </c>
      <c r="Y46" s="383">
        <f t="shared" si="8"/>
        <v>7.7250000000000005</v>
      </c>
      <c r="Z46" s="383">
        <f t="shared" si="9"/>
        <v>7.8363882400642648</v>
      </c>
      <c r="AA46" s="384">
        <f t="shared" si="10"/>
        <v>8.2561747771632312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5.084516115866463E-2</v>
      </c>
      <c r="AD46" s="230">
        <f>(INDEX(Models!$BJ46:$BT46,,AH46)*(1-AF46)+INDEX(Models!$BJ46:$BT46,,AH46+1)*AF46-ERP_i)*AE46*Ramure*Pc/MaxiM</f>
        <v>1.1184441613561792E-3</v>
      </c>
      <c r="AE46" s="304">
        <f t="shared" si="12"/>
        <v>0.6</v>
      </c>
      <c r="AF46" s="177">
        <f t="shared" si="21"/>
        <v>0.50090047749552347</v>
      </c>
      <c r="AG46" s="799">
        <f t="shared" si="22"/>
        <v>-1</v>
      </c>
      <c r="AH46" s="176">
        <f t="shared" si="13"/>
        <v>5</v>
      </c>
      <c r="AI46" s="224">
        <f t="shared" si="23"/>
        <v>-0.49909952250447659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28.02</v>
      </c>
      <c r="C47" s="388"/>
      <c r="D47" s="391">
        <f t="shared" si="0"/>
        <v>28.424570444466223</v>
      </c>
      <c r="E47" s="383">
        <f t="shared" si="17"/>
        <v>29.950106081131469</v>
      </c>
      <c r="F47" s="383">
        <f t="shared" si="1"/>
        <v>29.977059055663016</v>
      </c>
      <c r="G47" s="110">
        <f t="shared" si="18"/>
        <v>0.87828180735198325</v>
      </c>
      <c r="H47" s="412" t="b">
        <f>Wh_hp&gt;='2020'!Maxi_hp</f>
        <v>1</v>
      </c>
      <c r="I47" s="379">
        <f>IF(H47,Wh_hp,'2020'!Maxi_hp)</f>
        <v>29.977059055663016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1.4233124305489286E-2</v>
      </c>
      <c r="M47" s="832"/>
      <c r="N47" s="832"/>
      <c r="O47" s="48">
        <f>IF(t&lt;Tnet,'2020'!Resal+('2020'!Salim-'2020'!Resal)*(1-EXP(('2020'!Tnet-t)/('2020'!Tau_j))),Resal+(Salim-Resal)*(1-EXP((Tnet-t)/(Tau_j))))*Salcycl</f>
        <v>5.0935900945817805E-2</v>
      </c>
      <c r="P47" s="169">
        <f>(INDEX(Models!$BJ47:$BT47,,T47)*(1-R47)+INDEX(Models!$BJ47:$BT47,,T47+1)*R47-ERP_i)*Q47*Ramure*Pc/MaxiM</f>
        <v>1.0880565006542633E-3</v>
      </c>
      <c r="Q47" s="304">
        <f t="shared" si="2"/>
        <v>0.6</v>
      </c>
      <c r="R47" s="177">
        <f t="shared" si="3"/>
        <v>0.50100416006076831</v>
      </c>
      <c r="S47" s="799">
        <f t="shared" si="4"/>
        <v>-1</v>
      </c>
      <c r="T47" s="176">
        <f t="shared" si="5"/>
        <v>5</v>
      </c>
      <c r="U47" s="250">
        <f t="shared" si="20"/>
        <v>-0.49899583993923169</v>
      </c>
      <c r="V47" s="382">
        <f t="shared" si="6"/>
        <v>31.897166719878474</v>
      </c>
      <c r="W47" s="400"/>
      <c r="X47" s="157">
        <f t="shared" si="7"/>
        <v>44229</v>
      </c>
      <c r="Y47" s="383">
        <f t="shared" si="8"/>
        <v>28.02</v>
      </c>
      <c r="Z47" s="383">
        <f t="shared" si="9"/>
        <v>28.424570444466223</v>
      </c>
      <c r="AA47" s="384">
        <f t="shared" si="10"/>
        <v>29.950106081131469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5.0935900945817805E-2</v>
      </c>
      <c r="AD47" s="230">
        <f>(INDEX(Models!$BJ47:$BT47,,AH47)*(1-AF47)+INDEX(Models!$BJ47:$BT47,,AH47+1)*AF47-ERP_i)*AE47*Ramure*Pc/MaxiM</f>
        <v>1.0880565006542633E-3</v>
      </c>
      <c r="AE47" s="304">
        <f t="shared" si="12"/>
        <v>0.6</v>
      </c>
      <c r="AF47" s="177">
        <f t="shared" si="21"/>
        <v>0.50100416006076831</v>
      </c>
      <c r="AG47" s="799">
        <f t="shared" si="22"/>
        <v>-1</v>
      </c>
      <c r="AH47" s="176">
        <f t="shared" si="13"/>
        <v>5</v>
      </c>
      <c r="AI47" s="224">
        <f t="shared" si="23"/>
        <v>-0.49899583993923169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21.039000000000001</v>
      </c>
      <c r="C48" s="388"/>
      <c r="D48" s="391">
        <f t="shared" si="0"/>
        <v>21.343183397737619</v>
      </c>
      <c r="E48" s="383">
        <f t="shared" si="17"/>
        <v>22.490813850840841</v>
      </c>
      <c r="F48" s="383">
        <f t="shared" si="1"/>
        <v>22.502816361703445</v>
      </c>
      <c r="G48" s="110">
        <f t="shared" si="18"/>
        <v>0.65219769851587939</v>
      </c>
      <c r="H48" s="412" t="b">
        <f>Wh_hp&gt;='2020'!Maxi_hp</f>
        <v>0</v>
      </c>
      <c r="I48" s="379">
        <f>IF(H48,Wh_hp,'2020'!Maxi_hp)</f>
        <v>27.588451395254136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1.4252016302772397E-2</v>
      </c>
      <c r="M48" s="832"/>
      <c r="N48" s="832"/>
      <c r="O48" s="48">
        <f>IF(t&lt;Tnet,'2020'!Resal+('2020'!Salim-'2020'!Resal)*(1-EXP(('2020'!Tnet-t)/('2020'!Tau_j))),Resal+(Salim-Resal)*(1-EXP((Tnet-t)/(Tau_j))))*Salcycl</f>
        <v>5.1026630726407368E-2</v>
      </c>
      <c r="P48" s="169">
        <f>(INDEX(Models!$BJ48:$BT48,,T48)*(1-R48)+INDEX(Models!$BJ48:$BT48,,T48+1)*R48-ERP_i)*Q48*Ramure*Pc/MaxiM</f>
        <v>1.0590677505089793E-3</v>
      </c>
      <c r="Q48" s="304">
        <f t="shared" si="2"/>
        <v>0.6</v>
      </c>
      <c r="R48" s="177">
        <f t="shared" si="3"/>
        <v>0.50111214643540136</v>
      </c>
      <c r="S48" s="799">
        <f t="shared" si="4"/>
        <v>-1</v>
      </c>
      <c r="T48" s="176">
        <f t="shared" si="5"/>
        <v>5</v>
      </c>
      <c r="U48" s="250">
        <f t="shared" si="20"/>
        <v>-0.49888785356459869</v>
      </c>
      <c r="V48" s="382">
        <f t="shared" si="6"/>
        <v>32.241656421551127</v>
      </c>
      <c r="W48" s="400"/>
      <c r="X48" s="157">
        <f t="shared" si="7"/>
        <v>44230</v>
      </c>
      <c r="Y48" s="383">
        <f t="shared" si="8"/>
        <v>21.039000000000001</v>
      </c>
      <c r="Z48" s="383">
        <f t="shared" si="9"/>
        <v>21.343183397737619</v>
      </c>
      <c r="AA48" s="384">
        <f t="shared" si="10"/>
        <v>22.490813850840841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5.1026630726407368E-2</v>
      </c>
      <c r="AD48" s="230">
        <f>(INDEX(Models!$BJ48:$BT48,,AH48)*(1-AF48)+INDEX(Models!$BJ48:$BT48,,AH48+1)*AF48-ERP_i)*AE48*Ramure*Pc/MaxiM</f>
        <v>1.0590677505089793E-3</v>
      </c>
      <c r="AE48" s="304">
        <f t="shared" si="12"/>
        <v>0.6</v>
      </c>
      <c r="AF48" s="177">
        <f t="shared" si="21"/>
        <v>0.50111214643540136</v>
      </c>
      <c r="AG48" s="799">
        <f t="shared" si="22"/>
        <v>-1</v>
      </c>
      <c r="AH48" s="176">
        <f t="shared" si="13"/>
        <v>5</v>
      </c>
      <c r="AI48" s="224">
        <f t="shared" si="23"/>
        <v>-0.49888785356459869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16.53</v>
      </c>
      <c r="C49" s="388"/>
      <c r="D49" s="391">
        <f t="shared" si="0"/>
        <v>16.769313326668271</v>
      </c>
      <c r="E49" s="383">
        <f t="shared" si="17"/>
        <v>17.672694599667128</v>
      </c>
      <c r="F49" s="383">
        <f t="shared" si="1"/>
        <v>17.678094434298181</v>
      </c>
      <c r="G49" s="110">
        <f t="shared" si="18"/>
        <v>0.50692741565077071</v>
      </c>
      <c r="H49" s="412" t="b">
        <f>Wh_hp&gt;='2020'!Maxi_hp</f>
        <v>0</v>
      </c>
      <c r="I49" s="379">
        <f>IF(H49,Wh_hp,'2020'!Maxi_hp)</f>
        <v>19.347515119040757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1.4270907937994681E-2</v>
      </c>
      <c r="M49" s="832"/>
      <c r="N49" s="832"/>
      <c r="O49" s="48">
        <f>IF(t&lt;Tnet,'2020'!Resal+('2020'!Salim-'2020'!Resal)*(1-EXP(('2020'!Tnet-t)/('2020'!Tau_j))),Resal+(Salim-Resal)*(1-EXP((Tnet-t)/(Tau_j))))*Salcycl</f>
        <v>5.1117347606735287E-2</v>
      </c>
      <c r="P49" s="169">
        <f>(INDEX(Models!$BJ49:$BT49,,T49)*(1-R49)+INDEX(Models!$BJ49:$BT49,,T49+1)*R49-ERP_i)*Q49*Ramure*Pc/MaxiM</f>
        <v>1.0314602307030382E-3</v>
      </c>
      <c r="Q49" s="304">
        <f t="shared" si="2"/>
        <v>0.6</v>
      </c>
      <c r="R49" s="177">
        <f t="shared" si="3"/>
        <v>0.50122461327476731</v>
      </c>
      <c r="S49" s="799">
        <f t="shared" si="4"/>
        <v>-1</v>
      </c>
      <c r="T49" s="176">
        <f t="shared" si="5"/>
        <v>5</v>
      </c>
      <c r="U49" s="250">
        <f t="shared" si="20"/>
        <v>-0.49877538672523275</v>
      </c>
      <c r="V49" s="382">
        <f t="shared" si="6"/>
        <v>32.584537609970205</v>
      </c>
      <c r="W49" s="400"/>
      <c r="X49" s="157">
        <f t="shared" si="7"/>
        <v>44231</v>
      </c>
      <c r="Y49" s="383">
        <f t="shared" si="8"/>
        <v>16.53</v>
      </c>
      <c r="Z49" s="383">
        <f t="shared" si="9"/>
        <v>16.769313326668271</v>
      </c>
      <c r="AA49" s="384">
        <f t="shared" si="10"/>
        <v>17.672694599667128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5.1117347606735287E-2</v>
      </c>
      <c r="AD49" s="230">
        <f>(INDEX(Models!$BJ49:$BT49,,AH49)*(1-AF49)+INDEX(Models!$BJ49:$BT49,,AH49+1)*AF49-ERP_i)*AE49*Ramure*Pc/MaxiM</f>
        <v>1.0314602307030382E-3</v>
      </c>
      <c r="AE49" s="304">
        <f t="shared" si="12"/>
        <v>0.6</v>
      </c>
      <c r="AF49" s="177">
        <f t="shared" si="21"/>
        <v>0.50122461327476731</v>
      </c>
      <c r="AG49" s="799">
        <f t="shared" si="22"/>
        <v>-1</v>
      </c>
      <c r="AH49" s="176">
        <f t="shared" si="13"/>
        <v>5</v>
      </c>
      <c r="AI49" s="224">
        <f t="shared" si="23"/>
        <v>-0.49877538672523275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14.532999999999999</v>
      </c>
      <c r="C50" s="388"/>
      <c r="D50" s="391">
        <f t="shared" si="0"/>
        <v>14.74368428810987</v>
      </c>
      <c r="E50" s="383">
        <f t="shared" si="17"/>
        <v>15.539428069449517</v>
      </c>
      <c r="F50" s="383">
        <f t="shared" si="1"/>
        <v>15.542584011069607</v>
      </c>
      <c r="G50" s="110">
        <f t="shared" si="18"/>
        <v>0.44104448335167623</v>
      </c>
      <c r="H50" s="412" t="b">
        <f>Wh_hp&gt;='2020'!Maxi_hp</f>
        <v>0</v>
      </c>
      <c r="I50" s="379">
        <f>IF(H50,Wh_hp,'2020'!Maxi_hp)</f>
        <v>35.681802082367859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1.4289799211163134E-2</v>
      </c>
      <c r="M50" s="832"/>
      <c r="N50" s="832"/>
      <c r="O50" s="48">
        <f>IF(t&lt;Tnet,'2020'!Resal+('2020'!Salim-'2020'!Resal)*(1-EXP(('2020'!Tnet-t)/('2020'!Tau_j))),Resal+(Salim-Resal)*(1-EXP((Tnet-t)/(Tau_j))))*Salcycl</f>
        <v>5.120804818448095E-2</v>
      </c>
      <c r="P50" s="169">
        <f>(INDEX(Models!$BJ50:$BT50,,T50)*(1-R50)+INDEX(Models!$BJ50:$BT50,,T50+1)*R50-ERP_i)*Q50*Ramure*Pc/MaxiM</f>
        <v>1.0052141174703379E-3</v>
      </c>
      <c r="Q50" s="304">
        <f t="shared" si="2"/>
        <v>0.6</v>
      </c>
      <c r="R50" s="177">
        <f t="shared" si="3"/>
        <v>0.50134174431554812</v>
      </c>
      <c r="S50" s="799">
        <f t="shared" si="4"/>
        <v>-1</v>
      </c>
      <c r="T50" s="176">
        <f t="shared" si="5"/>
        <v>5</v>
      </c>
      <c r="U50" s="250">
        <f t="shared" si="20"/>
        <v>-0.49865825568445188</v>
      </c>
      <c r="V50" s="382">
        <f t="shared" si="6"/>
        <v>32.924887053456139</v>
      </c>
      <c r="W50" s="400"/>
      <c r="X50" s="157">
        <f t="shared" si="7"/>
        <v>44232</v>
      </c>
      <c r="Y50" s="383">
        <f t="shared" si="8"/>
        <v>14.532999999999999</v>
      </c>
      <c r="Z50" s="383">
        <f t="shared" si="9"/>
        <v>14.74368428810987</v>
      </c>
      <c r="AA50" s="384">
        <f t="shared" si="10"/>
        <v>15.539428069449517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5.120804818448095E-2</v>
      </c>
      <c r="AD50" s="230">
        <f>(INDEX(Models!$BJ50:$BT50,,AH50)*(1-AF50)+INDEX(Models!$BJ50:$BT50,,AH50+1)*AF50-ERP_i)*AE50*Ramure*Pc/MaxiM</f>
        <v>1.0052141174703379E-3</v>
      </c>
      <c r="AE50" s="304">
        <f t="shared" si="12"/>
        <v>0.6</v>
      </c>
      <c r="AF50" s="177">
        <f t="shared" si="21"/>
        <v>0.50134174431554812</v>
      </c>
      <c r="AG50" s="799">
        <f t="shared" si="22"/>
        <v>-1</v>
      </c>
      <c r="AH50" s="176">
        <f t="shared" si="13"/>
        <v>5</v>
      </c>
      <c r="AI50" s="224">
        <f t="shared" si="23"/>
        <v>-0.49865825568445188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9.7620000000000005</v>
      </c>
      <c r="C51" s="388"/>
      <c r="D51" s="391">
        <f t="shared" si="0"/>
        <v>9.9037091046395371</v>
      </c>
      <c r="E51" s="383">
        <f t="shared" si="17"/>
        <v>10.439228240788751</v>
      </c>
      <c r="F51" s="383">
        <f t="shared" si="1"/>
        <v>10.439228240788751</v>
      </c>
      <c r="G51" s="110">
        <f t="shared" si="18"/>
        <v>0.29317998235220483</v>
      </c>
      <c r="H51" s="412" t="b">
        <f>Wh_hp&gt;='2020'!Maxi_hp</f>
        <v>0</v>
      </c>
      <c r="I51" s="379">
        <f>IF(H51,Wh_hp,'2020'!Maxi_hp)</f>
        <v>37.076232391062831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1.430869012228464E-2</v>
      </c>
      <c r="M51" s="832"/>
      <c r="N51" s="832"/>
      <c r="O51" s="48">
        <f>IF(t&lt;Tnet,'2020'!Resal+('2020'!Salim-'2020'!Resal)*(1-EXP(('2020'!Tnet-t)/('2020'!Tau_j))),Resal+(Salim-Resal)*(1-EXP((Tnet-t)/(Tau_j))))*Salcycl</f>
        <v>5.1298728583862391E-2</v>
      </c>
      <c r="P51" s="169">
        <f>(INDEX(Models!$BJ51:$BT51,,T51)*(1-R51)+INDEX(Models!$BJ51:$BT51,,T51+1)*R51-ERP_i)*Q51*Ramure*Pc/MaxiM</f>
        <v>9.8023341008628227E-4</v>
      </c>
      <c r="Q51" s="304">
        <f t="shared" si="2"/>
        <v>0.6</v>
      </c>
      <c r="R51" s="177">
        <f t="shared" si="3"/>
        <v>0.50146373064514227</v>
      </c>
      <c r="S51" s="799">
        <f t="shared" si="4"/>
        <v>-1</v>
      </c>
      <c r="T51" s="176">
        <f t="shared" si="5"/>
        <v>5</v>
      </c>
      <c r="U51" s="250">
        <f t="shared" si="20"/>
        <v>-0.49853626935485773</v>
      </c>
      <c r="V51" s="382">
        <f t="shared" si="6"/>
        <v>33.264313897580116</v>
      </c>
      <c r="W51" s="400"/>
      <c r="X51" s="157">
        <f t="shared" si="7"/>
        <v>44233</v>
      </c>
      <c r="Y51" s="383">
        <f t="shared" si="8"/>
        <v>9.7620000000000005</v>
      </c>
      <c r="Z51" s="383">
        <f t="shared" si="9"/>
        <v>9.9037091046395371</v>
      </c>
      <c r="AA51" s="384">
        <f t="shared" si="10"/>
        <v>10.439228240788751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5.1298728583862391E-2</v>
      </c>
      <c r="AD51" s="230">
        <f>(INDEX(Models!$BJ51:$BT51,,AH51)*(1-AF51)+INDEX(Models!$BJ51:$BT51,,AH51+1)*AF51-ERP_i)*AE51*Ramure*Pc/MaxiM</f>
        <v>9.8023341008628227E-4</v>
      </c>
      <c r="AE51" s="304">
        <f t="shared" si="12"/>
        <v>0.6</v>
      </c>
      <c r="AF51" s="177">
        <f t="shared" si="21"/>
        <v>0.50146373064514227</v>
      </c>
      <c r="AG51" s="799">
        <f t="shared" si="22"/>
        <v>-1</v>
      </c>
      <c r="AH51" s="176">
        <f t="shared" si="13"/>
        <v>5</v>
      </c>
      <c r="AI51" s="224">
        <f t="shared" si="23"/>
        <v>-0.49853626935485773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19.472999999999999</v>
      </c>
      <c r="C52" s="388"/>
      <c r="D52" s="391">
        <f t="shared" si="0"/>
        <v>19.756056493153725</v>
      </c>
      <c r="E52" s="383">
        <f t="shared" si="17"/>
        <v>20.826307623297694</v>
      </c>
      <c r="F52" s="383">
        <f t="shared" si="1"/>
        <v>20.834257566299783</v>
      </c>
      <c r="G52" s="110">
        <f t="shared" si="18"/>
        <v>0.57913456467555213</v>
      </c>
      <c r="H52" s="412" t="b">
        <f>Wh_hp&gt;='2020'!Maxi_hp</f>
        <v>0</v>
      </c>
      <c r="I52" s="379">
        <f>IF(H52,Wh_hp,'2020'!Maxi_hp)</f>
        <v>24.451684563184926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1.432758067136608E-2</v>
      </c>
      <c r="M52" s="832"/>
      <c r="N52" s="832"/>
      <c r="O52" s="48">
        <f>IF(t&lt;Tnet,'2020'!Resal+('2020'!Salim-'2020'!Resal)*(1-EXP(('2020'!Tnet-t)/('2020'!Tau_j))),Resal+(Salim-Resal)*(1-EXP((Tnet-t)/(Tau_j))))*Salcycl</f>
        <v>5.1389384498801621E-2</v>
      </c>
      <c r="P52" s="169">
        <f>(INDEX(Models!$BJ52:$BT52,,T52)*(1-R52)+INDEX(Models!$BJ52:$BT52,,T52+1)*R52-ERP_i)*Q52*Ramure*Pc/MaxiM</f>
        <v>9.5576879690179668E-4</v>
      </c>
      <c r="Q52" s="304">
        <f t="shared" si="2"/>
        <v>0.6</v>
      </c>
      <c r="R52" s="177">
        <f t="shared" si="3"/>
        <v>0.50159077098004379</v>
      </c>
      <c r="S52" s="799">
        <f t="shared" si="4"/>
        <v>-1</v>
      </c>
      <c r="T52" s="176">
        <f t="shared" si="5"/>
        <v>5</v>
      </c>
      <c r="U52" s="250">
        <f t="shared" si="20"/>
        <v>-0.49840922901995627</v>
      </c>
      <c r="V52" s="382">
        <f t="shared" si="6"/>
        <v>33.604995707447742</v>
      </c>
      <c r="W52" s="400"/>
      <c r="X52" s="157">
        <f t="shared" si="7"/>
        <v>44234</v>
      </c>
      <c r="Y52" s="383">
        <f t="shared" si="8"/>
        <v>19.472999999999999</v>
      </c>
      <c r="Z52" s="383">
        <f t="shared" si="9"/>
        <v>19.756056493153725</v>
      </c>
      <c r="AA52" s="384">
        <f t="shared" si="10"/>
        <v>20.826307623297694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5.1389384498801621E-2</v>
      </c>
      <c r="AD52" s="230">
        <f>(INDEX(Models!$BJ52:$BT52,,AH52)*(1-AF52)+INDEX(Models!$BJ52:$BT52,,AH52+1)*AF52-ERP_i)*AE52*Ramure*Pc/MaxiM</f>
        <v>9.5576879690179668E-4</v>
      </c>
      <c r="AE52" s="304">
        <f t="shared" si="12"/>
        <v>0.6</v>
      </c>
      <c r="AF52" s="177">
        <f t="shared" si="21"/>
        <v>0.50159077098004379</v>
      </c>
      <c r="AG52" s="799">
        <f t="shared" si="22"/>
        <v>-1</v>
      </c>
      <c r="AH52" s="176">
        <f t="shared" si="13"/>
        <v>5</v>
      </c>
      <c r="AI52" s="224">
        <f t="shared" si="23"/>
        <v>-0.49840922901995627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4.4939999999999998</v>
      </c>
      <c r="C53" s="388"/>
      <c r="D53" s="391">
        <f t="shared" si="0"/>
        <v>4.5594114636954268</v>
      </c>
      <c r="E53" s="383">
        <f t="shared" si="17"/>
        <v>4.8068691411268132</v>
      </c>
      <c r="F53" s="383">
        <f t="shared" si="1"/>
        <v>4.8068691411268132</v>
      </c>
      <c r="G53" s="110">
        <f t="shared" si="18"/>
        <v>0.13226014026488769</v>
      </c>
      <c r="H53" s="412" t="b">
        <f>Wh_hp&gt;='2020'!Maxi_hp</f>
        <v>0</v>
      </c>
      <c r="I53" s="379">
        <f>IF(H53,Wh_hp,'2020'!Maxi_hp)</f>
        <v>29.618593127205017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1.4346470858414451E-2</v>
      </c>
      <c r="M53" s="832"/>
      <c r="N53" s="832"/>
      <c r="O53" s="48">
        <f>IF(t&lt;Tnet,'2020'!Resal+('2020'!Salim-'2020'!Resal)*(1-EXP(('2020'!Tnet-t)/('2020'!Tau_j))),Resal+(Salim-Resal)*(1-EXP((Tnet-t)/(Tau_j))))*Salcycl</f>
        <v>5.1480011243530133E-2</v>
      </c>
      <c r="P53" s="169">
        <f>(INDEX(Models!$BJ53:$BT53,,T53)*(1-R53)+INDEX(Models!$BJ53:$BT53,,T53+1)*R53-ERP_i)*Q53*Ramure*Pc/MaxiM</f>
        <v>9.3164317555844637E-4</v>
      </c>
      <c r="Q53" s="304">
        <f t="shared" si="2"/>
        <v>0.6</v>
      </c>
      <c r="R53" s="177">
        <f t="shared" si="3"/>
        <v>0.50172307195341004</v>
      </c>
      <c r="S53" s="799">
        <f t="shared" si="4"/>
        <v>-1</v>
      </c>
      <c r="T53" s="176">
        <f t="shared" si="5"/>
        <v>5</v>
      </c>
      <c r="U53" s="250">
        <f t="shared" si="20"/>
        <v>-0.49827692804659002</v>
      </c>
      <c r="V53" s="382">
        <f t="shared" si="6"/>
        <v>33.946835279147152</v>
      </c>
      <c r="W53" s="400"/>
      <c r="X53" s="157">
        <f t="shared" si="7"/>
        <v>44235</v>
      </c>
      <c r="Y53" s="383">
        <f t="shared" si="8"/>
        <v>4.4939999999999998</v>
      </c>
      <c r="Z53" s="383">
        <f t="shared" si="9"/>
        <v>4.5594114636954268</v>
      </c>
      <c r="AA53" s="384">
        <f t="shared" si="10"/>
        <v>4.8068691411268132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5.1480011243530133E-2</v>
      </c>
      <c r="AD53" s="230">
        <f>(INDEX(Models!$BJ53:$BT53,,AH53)*(1-AF53)+INDEX(Models!$BJ53:$BT53,,AH53+1)*AF53-ERP_i)*AE53*Ramure*Pc/MaxiM</f>
        <v>9.3164317555844637E-4</v>
      </c>
      <c r="AE53" s="304">
        <f t="shared" si="12"/>
        <v>0.6</v>
      </c>
      <c r="AF53" s="177">
        <f t="shared" si="21"/>
        <v>0.50172307195341004</v>
      </c>
      <c r="AG53" s="799">
        <f t="shared" si="22"/>
        <v>-1</v>
      </c>
      <c r="AH53" s="176">
        <f t="shared" si="13"/>
        <v>5</v>
      </c>
      <c r="AI53" s="224">
        <f t="shared" si="23"/>
        <v>-0.49827692804659002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12.750999999999999</v>
      </c>
      <c r="C54" s="388"/>
      <c r="D54" s="391">
        <f t="shared" si="0"/>
        <v>12.936842407285434</v>
      </c>
      <c r="E54" s="383">
        <f t="shared" si="17"/>
        <v>13.640279876662355</v>
      </c>
      <c r="F54" s="383">
        <f t="shared" si="1"/>
        <v>13.641551243073167</v>
      </c>
      <c r="G54" s="110">
        <f t="shared" si="18"/>
        <v>0.37155764892116411</v>
      </c>
      <c r="H54" s="412" t="b">
        <f>Wh_hp&gt;='2020'!Maxi_hp</f>
        <v>0</v>
      </c>
      <c r="I54" s="379">
        <f>IF(H54,Wh_hp,'2020'!Maxi_hp)</f>
        <v>30.258846944858497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1.4365360683436745E-2</v>
      </c>
      <c r="M54" s="832"/>
      <c r="N54" s="832"/>
      <c r="O54" s="48">
        <f>IF(t&lt;Tnet,'2020'!Resal+('2020'!Salim-'2020'!Resal)*(1-EXP(('2020'!Tnet-t)/('2020'!Tau_j))),Resal+(Salim-Resal)*(1-EXP((Tnet-t)/(Tau_j))))*Salcycl</f>
        <v>5.1570603810003668E-2</v>
      </c>
      <c r="P54" s="169">
        <f>(INDEX(Models!$BJ54:$BT54,,T54)*(1-R54)+INDEX(Models!$BJ54:$BT54,,T54+1)*R54-ERP_i)*Q54*Ramure*Pc/MaxiM</f>
        <v>9.078499839814965E-4</v>
      </c>
      <c r="Q54" s="304">
        <f t="shared" si="2"/>
        <v>0.6</v>
      </c>
      <c r="R54" s="177">
        <f t="shared" si="3"/>
        <v>0.50186084841200107</v>
      </c>
      <c r="S54" s="799">
        <f t="shared" si="4"/>
        <v>-1</v>
      </c>
      <c r="T54" s="176">
        <f t="shared" si="5"/>
        <v>5</v>
      </c>
      <c r="U54" s="250">
        <f t="shared" si="20"/>
        <v>-0.49813915158799887</v>
      </c>
      <c r="V54" s="382">
        <f t="shared" si="6"/>
        <v>34.289729850517737</v>
      </c>
      <c r="W54" s="400"/>
      <c r="X54" s="157">
        <f t="shared" si="7"/>
        <v>44236</v>
      </c>
      <c r="Y54" s="383">
        <f t="shared" si="8"/>
        <v>12.750999999999999</v>
      </c>
      <c r="Z54" s="383">
        <f t="shared" si="9"/>
        <v>12.936842407285434</v>
      </c>
      <c r="AA54" s="384">
        <f t="shared" si="10"/>
        <v>13.640279876662355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5.1570603810003668E-2</v>
      </c>
      <c r="AD54" s="230">
        <f>(INDEX(Models!$BJ54:$BT54,,AH54)*(1-AF54)+INDEX(Models!$BJ54:$BT54,,AH54+1)*AF54-ERP_i)*AE54*Ramure*Pc/MaxiM</f>
        <v>9.078499839814965E-4</v>
      </c>
      <c r="AE54" s="304">
        <f t="shared" si="12"/>
        <v>0.6</v>
      </c>
      <c r="AF54" s="177">
        <f t="shared" si="21"/>
        <v>0.50186084841200107</v>
      </c>
      <c r="AG54" s="799">
        <f t="shared" si="22"/>
        <v>-1</v>
      </c>
      <c r="AH54" s="176">
        <f t="shared" si="13"/>
        <v>5</v>
      </c>
      <c r="AI54" s="224">
        <f t="shared" si="23"/>
        <v>-0.49813915158799887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14.488</v>
      </c>
      <c r="C55" s="388"/>
      <c r="D55" s="391">
        <f t="shared" si="0"/>
        <v>14.699440428130925</v>
      </c>
      <c r="E55" s="383">
        <f t="shared" si="17"/>
        <v>15.500198621589256</v>
      </c>
      <c r="F55" s="383">
        <f t="shared" si="1"/>
        <v>15.502516075848805</v>
      </c>
      <c r="G55" s="110">
        <f t="shared" si="18"/>
        <v>0.41801490456621093</v>
      </c>
      <c r="H55" s="412" t="b">
        <f>Wh_hp&gt;='2020'!Maxi_hp</f>
        <v>1</v>
      </c>
      <c r="I55" s="379">
        <f>IF(H55,Wh_hp,'2020'!Maxi_hp)</f>
        <v>15.502516075848805</v>
      </c>
      <c r="J55" s="85">
        <f>IF(H55,An,'2020'!An_max)</f>
        <v>2021</v>
      </c>
      <c r="K55" s="197">
        <f t="shared" si="19"/>
        <v>44237</v>
      </c>
      <c r="L55" s="147">
        <f>IF(t&lt;Tvie,1-EXP((T0-t)*PertePVj)+'2020'!Pspv,1-EXP((T0-t)*PertePVj)+Pspv)</f>
        <v>1.4384250146439848E-2</v>
      </c>
      <c r="M55" s="832"/>
      <c r="N55" s="832"/>
      <c r="O55" s="48">
        <f>IF(t&lt;Tnet,'2020'!Resal+('2020'!Salim-'2020'!Resal)*(1-EXP(('2020'!Tnet-t)/('2020'!Tau_j))),Resal+(Salim-Resal)*(1-EXP((Tnet-t)/(Tau_j))))*Salcycl</f>
        <v>5.1661156931434637E-2</v>
      </c>
      <c r="P55" s="169">
        <f>(INDEX(Models!$BJ55:$BT55,,T55)*(1-R55)+INDEX(Models!$BJ55:$BT55,,T55+1)*R55-ERP_i)*Q55*Ramure*Pc/MaxiM</f>
        <v>8.8438251947172385E-4</v>
      </c>
      <c r="Q55" s="304">
        <f t="shared" si="2"/>
        <v>0.6</v>
      </c>
      <c r="R55" s="177">
        <f t="shared" si="3"/>
        <v>0.50200432372266368</v>
      </c>
      <c r="S55" s="799">
        <f t="shared" si="4"/>
        <v>-1</v>
      </c>
      <c r="T55" s="176">
        <f t="shared" si="5"/>
        <v>5</v>
      </c>
      <c r="U55" s="250">
        <f t="shared" si="20"/>
        <v>-0.49799567627733637</v>
      </c>
      <c r="V55" s="382">
        <f t="shared" si="6"/>
        <v>34.633576725140266</v>
      </c>
      <c r="W55" s="400"/>
      <c r="X55" s="157">
        <f t="shared" si="7"/>
        <v>44237</v>
      </c>
      <c r="Y55" s="383">
        <f t="shared" si="8"/>
        <v>14.488</v>
      </c>
      <c r="Z55" s="383">
        <f t="shared" si="9"/>
        <v>14.699440428130925</v>
      </c>
      <c r="AA55" s="384">
        <f t="shared" si="10"/>
        <v>15.500198621589256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5.1661156931434637E-2</v>
      </c>
      <c r="AD55" s="230">
        <f>(INDEX(Models!$BJ55:$BT55,,AH55)*(1-AF55)+INDEX(Models!$BJ55:$BT55,,AH55+1)*AF55-ERP_i)*AE55*Ramure*Pc/MaxiM</f>
        <v>8.8438251947172385E-4</v>
      </c>
      <c r="AE55" s="304">
        <f t="shared" si="12"/>
        <v>0.6</v>
      </c>
      <c r="AF55" s="177">
        <f t="shared" si="21"/>
        <v>0.50200432372266368</v>
      </c>
      <c r="AG55" s="799">
        <f t="shared" si="22"/>
        <v>-1</v>
      </c>
      <c r="AH55" s="176">
        <f t="shared" si="13"/>
        <v>5</v>
      </c>
      <c r="AI55" s="224">
        <f t="shared" si="23"/>
        <v>-0.49799567627733637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29.477</v>
      </c>
      <c r="C56" s="388"/>
      <c r="D56" s="391">
        <f t="shared" si="0"/>
        <v>29.90776571416059</v>
      </c>
      <c r="E56" s="383">
        <f t="shared" si="17"/>
        <v>31.54001395523612</v>
      </c>
      <c r="F56" s="383">
        <f t="shared" si="1"/>
        <v>31.561088268066062</v>
      </c>
      <c r="G56" s="110">
        <f t="shared" si="18"/>
        <v>0.84255995343375911</v>
      </c>
      <c r="H56" s="412" t="b">
        <f>Wh_hp&gt;='2020'!Maxi_hp</f>
        <v>1</v>
      </c>
      <c r="I56" s="379">
        <f>IF(H56,Wh_hp,'2020'!Maxi_hp)</f>
        <v>31.561088268066062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1.4403139247430752E-2</v>
      </c>
      <c r="M56" s="832"/>
      <c r="N56" s="832"/>
      <c r="O56" s="48">
        <f>IF(t&lt;Tnet,'2020'!Resal+('2020'!Salim-'2020'!Resal)*(1-EXP(('2020'!Tnet-t)/('2020'!Tau_j))),Resal+(Salim-Resal)*(1-EXP((Tnet-t)/(Tau_j))))*Salcycl</f>
        <v>5.1751665151199194E-2</v>
      </c>
      <c r="P56" s="169">
        <f>(INDEX(Models!$BJ56:$BT56,,T56)*(1-R56)+INDEX(Models!$BJ56:$BT56,,T56+1)*R56-ERP_i)*Q56*Ramure*Pc/MaxiM</f>
        <v>8.6123398713567007E-4</v>
      </c>
      <c r="Q56" s="304">
        <f t="shared" si="2"/>
        <v>0.6</v>
      </c>
      <c r="R56" s="177">
        <f t="shared" si="3"/>
        <v>0.50215373008852482</v>
      </c>
      <c r="S56" s="799">
        <f t="shared" si="4"/>
        <v>-1</v>
      </c>
      <c r="T56" s="176">
        <f t="shared" si="5"/>
        <v>5</v>
      </c>
      <c r="U56" s="250">
        <f t="shared" si="20"/>
        <v>-0.49784626991147518</v>
      </c>
      <c r="V56" s="382">
        <f t="shared" si="6"/>
        <v>34.978273269704978</v>
      </c>
      <c r="W56" s="400"/>
      <c r="X56" s="157">
        <f t="shared" si="7"/>
        <v>44238</v>
      </c>
      <c r="Y56" s="383">
        <f t="shared" si="8"/>
        <v>29.477</v>
      </c>
      <c r="Z56" s="383">
        <f t="shared" si="9"/>
        <v>29.90776571416059</v>
      </c>
      <c r="AA56" s="384">
        <f t="shared" si="10"/>
        <v>31.54001395523612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5.1751665151199194E-2</v>
      </c>
      <c r="AD56" s="230">
        <f>(INDEX(Models!$BJ56:$BT56,,AH56)*(1-AF56)+INDEX(Models!$BJ56:$BT56,,AH56+1)*AF56-ERP_i)*AE56*Ramure*Pc/MaxiM</f>
        <v>8.6123398713567007E-4</v>
      </c>
      <c r="AE56" s="304">
        <f t="shared" si="12"/>
        <v>0.6</v>
      </c>
      <c r="AF56" s="177">
        <f t="shared" si="21"/>
        <v>0.50215373008852482</v>
      </c>
      <c r="AG56" s="799">
        <f t="shared" si="22"/>
        <v>-1</v>
      </c>
      <c r="AH56" s="176">
        <f t="shared" si="13"/>
        <v>5</v>
      </c>
      <c r="AI56" s="224">
        <f t="shared" si="23"/>
        <v>-0.49784626991147518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5.1239999999999997</v>
      </c>
      <c r="C57" s="388"/>
      <c r="D57" s="391">
        <f t="shared" si="0"/>
        <v>5.1989798326472521</v>
      </c>
      <c r="E57" s="383">
        <f t="shared" si="17"/>
        <v>5.4832427786483731</v>
      </c>
      <c r="F57" s="383">
        <f t="shared" si="1"/>
        <v>5.4832427786483731</v>
      </c>
      <c r="G57" s="110">
        <f t="shared" si="18"/>
        <v>0.14493673086495998</v>
      </c>
      <c r="H57" s="412" t="b">
        <f>Wh_hp&gt;='2020'!Maxi_hp</f>
        <v>0</v>
      </c>
      <c r="I57" s="379">
        <f>IF(H57,Wh_hp,'2020'!Maxi_hp)</f>
        <v>20.817736666864409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1.4422027986416341E-2</v>
      </c>
      <c r="M57" s="832"/>
      <c r="N57" s="832"/>
      <c r="O57" s="48">
        <f>IF(t&lt;Tnet,'2020'!Resal+('2020'!Salim-'2020'!Resal)*(1-EXP(('2020'!Tnet-t)/('2020'!Tau_j))),Resal+(Salim-Resal)*(1-EXP((Tnet-t)/(Tau_j))))*Salcycl</f>
        <v>5.1842122896333317E-2</v>
      </c>
      <c r="P57" s="169">
        <f>(INDEX(Models!$BJ57:$BT57,,T57)*(1-R57)+INDEX(Models!$BJ57:$BT57,,T57+1)*R57-ERP_i)*Q57*Ramure*Pc/MaxiM</f>
        <v>8.3839754401035613E-4</v>
      </c>
      <c r="Q57" s="304">
        <f t="shared" si="2"/>
        <v>0.6</v>
      </c>
      <c r="R57" s="177">
        <f t="shared" si="3"/>
        <v>0.50230930887504766</v>
      </c>
      <c r="S57" s="799">
        <f t="shared" si="4"/>
        <v>-1</v>
      </c>
      <c r="T57" s="176">
        <f t="shared" si="5"/>
        <v>5</v>
      </c>
      <c r="U57" s="250">
        <f t="shared" si="20"/>
        <v>-0.49769069112495234</v>
      </c>
      <c r="V57" s="382">
        <f t="shared" si="6"/>
        <v>35.323716910343492</v>
      </c>
      <c r="W57" s="400"/>
      <c r="X57" s="157">
        <f t="shared" si="7"/>
        <v>44239</v>
      </c>
      <c r="Y57" s="383">
        <f t="shared" si="8"/>
        <v>5.1239999999999997</v>
      </c>
      <c r="Z57" s="383">
        <f t="shared" si="9"/>
        <v>5.1989798326472521</v>
      </c>
      <c r="AA57" s="384">
        <f t="shared" si="10"/>
        <v>5.4832427786483731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5.1842122896333317E-2</v>
      </c>
      <c r="AD57" s="230">
        <f>(INDEX(Models!$BJ57:$BT57,,AH57)*(1-AF57)+INDEX(Models!$BJ57:$BT57,,AH57+1)*AF57-ERP_i)*AE57*Ramure*Pc/MaxiM</f>
        <v>8.3839754401035613E-4</v>
      </c>
      <c r="AE57" s="304">
        <f t="shared" si="12"/>
        <v>0.6</v>
      </c>
      <c r="AF57" s="177">
        <f t="shared" si="21"/>
        <v>0.50230930887504766</v>
      </c>
      <c r="AG57" s="799">
        <f t="shared" si="22"/>
        <v>-1</v>
      </c>
      <c r="AH57" s="176">
        <f t="shared" si="13"/>
        <v>5</v>
      </c>
      <c r="AI57" s="224">
        <f t="shared" si="23"/>
        <v>-0.49769069112495234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7.8440000000000003</v>
      </c>
      <c r="C58" s="388"/>
      <c r="D58" s="391">
        <f t="shared" si="0"/>
        <v>7.9589343046350578</v>
      </c>
      <c r="E58" s="383">
        <f t="shared" si="17"/>
        <v>8.394902800454819</v>
      </c>
      <c r="F58" s="383">
        <f t="shared" si="1"/>
        <v>8.394902800454819</v>
      </c>
      <c r="G58" s="110">
        <f t="shared" si="18"/>
        <v>0.21972646938171986</v>
      </c>
      <c r="H58" s="412" t="b">
        <f>Wh_hp&gt;='2020'!Maxi_hp</f>
        <v>0</v>
      </c>
      <c r="I58" s="379">
        <f>IF(H58,Wh_hp,'2020'!Maxi_hp)</f>
        <v>17.611423187384954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1.44409163634035E-2</v>
      </c>
      <c r="M58" s="832"/>
      <c r="N58" s="832"/>
      <c r="O58" s="48">
        <f>IF(t&lt;Tnet,'2020'!Resal+('2020'!Salim-'2020'!Resal)*(1-EXP(('2020'!Tnet-t)/('2020'!Tau_j))),Resal+(Salim-Resal)*(1-EXP((Tnet-t)/(Tau_j))))*Salcycl</f>
        <v>5.1932524554797951E-2</v>
      </c>
      <c r="P58" s="169">
        <f>(INDEX(Models!$BJ58:$BT58,,T58)*(1-R58)+INDEX(Models!$BJ58:$BT58,,T58+1)*R58-ERP_i)*Q58*Ramure*Pc/MaxiM</f>
        <v>8.1549877792754877E-4</v>
      </c>
      <c r="Q58" s="304">
        <f t="shared" si="2"/>
        <v>0.6</v>
      </c>
      <c r="R58" s="177">
        <f t="shared" si="3"/>
        <v>0.50247131094608677</v>
      </c>
      <c r="S58" s="799">
        <f t="shared" si="4"/>
        <v>-1</v>
      </c>
      <c r="T58" s="176">
        <f t="shared" si="5"/>
        <v>5</v>
      </c>
      <c r="U58" s="250">
        <f t="shared" si="20"/>
        <v>-0.49752868905391318</v>
      </c>
      <c r="V58" s="382">
        <f t="shared" si="6"/>
        <v>35.669818250117409</v>
      </c>
      <c r="W58" s="400"/>
      <c r="X58" s="157">
        <f t="shared" si="7"/>
        <v>44240</v>
      </c>
      <c r="Y58" s="383">
        <f t="shared" si="8"/>
        <v>7.8439999999999994</v>
      </c>
      <c r="Z58" s="383">
        <f t="shared" si="9"/>
        <v>7.9589343046350569</v>
      </c>
      <c r="AA58" s="384">
        <f t="shared" si="10"/>
        <v>8.394902800454819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5.1932524554797951E-2</v>
      </c>
      <c r="AD58" s="230">
        <f>(INDEX(Models!$BJ58:$BT58,,AH58)*(1-AF58)+INDEX(Models!$BJ58:$BT58,,AH58+1)*AF58-ERP_i)*AE58*Ramure*Pc/MaxiM</f>
        <v>8.1549877792754877E-4</v>
      </c>
      <c r="AE58" s="304">
        <f t="shared" si="12"/>
        <v>0.6</v>
      </c>
      <c r="AF58" s="177">
        <f t="shared" si="21"/>
        <v>0.50247131094608677</v>
      </c>
      <c r="AG58" s="799">
        <f t="shared" si="22"/>
        <v>-1</v>
      </c>
      <c r="AH58" s="176">
        <f t="shared" si="13"/>
        <v>5</v>
      </c>
      <c r="AI58" s="224">
        <f t="shared" si="23"/>
        <v>-0.49752868905391318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35.582999999999998</v>
      </c>
      <c r="C59" s="388"/>
      <c r="D59" s="391">
        <f t="shared" si="0"/>
        <v>36.105072282269582</v>
      </c>
      <c r="E59" s="383">
        <f t="shared" si="17"/>
        <v>38.086437881591515</v>
      </c>
      <c r="F59" s="383">
        <f t="shared" si="1"/>
        <v>38.116109222133424</v>
      </c>
      <c r="G59" s="110">
        <f t="shared" si="18"/>
        <v>0.98795060406929569</v>
      </c>
      <c r="H59" s="412" t="b">
        <f>Wh_hp&gt;='2020'!Maxi_hp</f>
        <v>1</v>
      </c>
      <c r="I59" s="379">
        <f>IF(H59,Wh_hp,'2020'!Maxi_hp)</f>
        <v>38.116109222133424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1.4459804378399221E-2</v>
      </c>
      <c r="M59" s="832"/>
      <c r="N59" s="832"/>
      <c r="O59" s="48">
        <f>IF(t&lt;Tnet,'2020'!Resal+('2020'!Salim-'2020'!Resal)*(1-EXP(('2020'!Tnet-t)/('2020'!Tau_j))),Resal+(Salim-Resal)*(1-EXP((Tnet-t)/(Tau_j))))*Salcycl</f>
        <v>5.2022864555668902E-2</v>
      </c>
      <c r="P59" s="169">
        <f>(INDEX(Models!$BJ59:$BT59,,T59)*(1-R59)+INDEX(Models!$BJ59:$BT59,,T59+1)*R59-ERP_i)*Q59*Ramure*Pc/MaxiM</f>
        <v>7.9206511944588558E-4</v>
      </c>
      <c r="Q59" s="304">
        <f t="shared" si="2"/>
        <v>0.6</v>
      </c>
      <c r="R59" s="177">
        <f t="shared" si="3"/>
        <v>0.50263999701006856</v>
      </c>
      <c r="S59" s="799">
        <f t="shared" si="4"/>
        <v>-1</v>
      </c>
      <c r="T59" s="176">
        <f t="shared" si="5"/>
        <v>5</v>
      </c>
      <c r="U59" s="250">
        <f t="shared" si="20"/>
        <v>-0.49736000298993144</v>
      </c>
      <c r="V59" s="382">
        <f t="shared" si="6"/>
        <v>36.016491992662196</v>
      </c>
      <c r="W59" s="400"/>
      <c r="X59" s="157">
        <f t="shared" si="7"/>
        <v>44241</v>
      </c>
      <c r="Y59" s="383">
        <f t="shared" si="8"/>
        <v>35.582999999999998</v>
      </c>
      <c r="Z59" s="383">
        <f t="shared" si="9"/>
        <v>36.105072282269582</v>
      </c>
      <c r="AA59" s="384">
        <f t="shared" si="10"/>
        <v>38.086437881591515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5.2022864555668902E-2</v>
      </c>
      <c r="AD59" s="230">
        <f>(INDEX(Models!$BJ59:$BT59,,AH59)*(1-AF59)+INDEX(Models!$BJ59:$BT59,,AH59+1)*AF59-ERP_i)*AE59*Ramure*Pc/MaxiM</f>
        <v>7.9206511944588558E-4</v>
      </c>
      <c r="AE59" s="304">
        <f t="shared" si="12"/>
        <v>0.6</v>
      </c>
      <c r="AF59" s="177">
        <f t="shared" si="21"/>
        <v>0.50263999701006856</v>
      </c>
      <c r="AG59" s="799">
        <f t="shared" si="22"/>
        <v>-1</v>
      </c>
      <c r="AH59" s="176">
        <f t="shared" si="13"/>
        <v>5</v>
      </c>
      <c r="AI59" s="224">
        <f t="shared" si="23"/>
        <v>-0.49736000298993144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33.463999999999999</v>
      </c>
      <c r="C60" s="388"/>
      <c r="D60" s="391">
        <f t="shared" si="0"/>
        <v>33.955633155185474</v>
      </c>
      <c r="E60" s="383">
        <f t="shared" si="17"/>
        <v>35.822453603680174</v>
      </c>
      <c r="F60" s="383">
        <f t="shared" si="1"/>
        <v>35.846851459214548</v>
      </c>
      <c r="G60" s="110">
        <f t="shared" si="18"/>
        <v>0.92017943872236452</v>
      </c>
      <c r="H60" s="412" t="b">
        <f>Wh_hp&gt;='2020'!Maxi_hp</f>
        <v>0</v>
      </c>
      <c r="I60" s="379">
        <f>IF(H60,Wh_hp,'2020'!Maxi_hp)</f>
        <v>37.957548920378891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1.447869203141039E-2</v>
      </c>
      <c r="M60" s="832"/>
      <c r="N60" s="832"/>
      <c r="O60" s="48">
        <f>IF(t&lt;Tnet,'2020'!Resal+('2020'!Salim-'2020'!Resal)*(1-EXP(('2020'!Tnet-t)/('2020'!Tau_j))),Resal+(Salim-Resal)*(1-EXP((Tnet-t)/(Tau_j))))*Salcycl</f>
        <v>5.2113137451392053E-2</v>
      </c>
      <c r="P60" s="169">
        <f>(INDEX(Models!$BJ60:$BT60,,T60)*(1-R60)+INDEX(Models!$BJ60:$BT60,,T60+1)*R60-ERP_i)*Q60*Ramure*Pc/MaxiM</f>
        <v>7.6811260767529988E-4</v>
      </c>
      <c r="Q60" s="304">
        <f t="shared" si="2"/>
        <v>0.6</v>
      </c>
      <c r="R60" s="177">
        <f t="shared" si="3"/>
        <v>0.50281563797639905</v>
      </c>
      <c r="S60" s="799">
        <f t="shared" si="4"/>
        <v>-1</v>
      </c>
      <c r="T60" s="176">
        <f t="shared" si="5"/>
        <v>5</v>
      </c>
      <c r="U60" s="250">
        <f t="shared" si="20"/>
        <v>-0.497184362023601</v>
      </c>
      <c r="V60" s="382">
        <f t="shared" si="6"/>
        <v>36.363635755957596</v>
      </c>
      <c r="W60" s="400"/>
      <c r="X60" s="157">
        <f t="shared" si="7"/>
        <v>44242</v>
      </c>
      <c r="Y60" s="383">
        <f t="shared" si="8"/>
        <v>33.463999999999999</v>
      </c>
      <c r="Z60" s="383">
        <f t="shared" si="9"/>
        <v>33.955633155185474</v>
      </c>
      <c r="AA60" s="384">
        <f t="shared" si="10"/>
        <v>35.822453603680174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5.2113137451392053E-2</v>
      </c>
      <c r="AD60" s="230">
        <f>(INDEX(Models!$BJ60:$BT60,,AH60)*(1-AF60)+INDEX(Models!$BJ60:$BT60,,AH60+1)*AF60-ERP_i)*AE60*Ramure*Pc/MaxiM</f>
        <v>7.6811260767529988E-4</v>
      </c>
      <c r="AE60" s="304">
        <f t="shared" si="12"/>
        <v>0.6</v>
      </c>
      <c r="AF60" s="177">
        <f t="shared" si="21"/>
        <v>0.50281563797639905</v>
      </c>
      <c r="AG60" s="799">
        <f t="shared" si="22"/>
        <v>-1</v>
      </c>
      <c r="AH60" s="176">
        <f t="shared" si="13"/>
        <v>5</v>
      </c>
      <c r="AI60" s="224">
        <f t="shared" si="23"/>
        <v>-0.497184362023601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31.19</v>
      </c>
      <c r="C61" s="388"/>
      <c r="D61" s="391">
        <f t="shared" si="0"/>
        <v>31.648831444326792</v>
      </c>
      <c r="E61" s="383">
        <f t="shared" si="17"/>
        <v>33.392005599158921</v>
      </c>
      <c r="F61" s="383">
        <f t="shared" si="1"/>
        <v>33.411514000889703</v>
      </c>
      <c r="G61" s="110">
        <f t="shared" si="18"/>
        <v>0.84946987811004004</v>
      </c>
      <c r="H61" s="412" t="b">
        <f>Wh_hp&gt;='2020'!Maxi_hp</f>
        <v>1</v>
      </c>
      <c r="I61" s="379">
        <f>IF(H61,Wh_hp,'2020'!Maxi_hp)</f>
        <v>33.411514000889703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1.449757932244411E-2</v>
      </c>
      <c r="M61" s="832"/>
      <c r="N61" s="832"/>
      <c r="O61" s="48">
        <f>IF(t&lt;Tnet,'2020'!Resal+('2020'!Salim-'2020'!Resal)*(1-EXP(('2020'!Tnet-t)/('2020'!Tau_j))),Resal+(Salim-Resal)*(1-EXP((Tnet-t)/(Tau_j))))*Salcycl</f>
        <v>5.2203338001238227E-2</v>
      </c>
      <c r="P61" s="169">
        <f>(INDEX(Models!$BJ61:$BT61,,T61)*(1-R61)+INDEX(Models!$BJ61:$BT61,,T61+1)*R61-ERP_i)*Q61*Ramure*Pc/MaxiM</f>
        <v>7.4365644272006101E-4</v>
      </c>
      <c r="Q61" s="304">
        <f t="shared" si="2"/>
        <v>0.6</v>
      </c>
      <c r="R61" s="177">
        <f t="shared" si="3"/>
        <v>0.50299851532218709</v>
      </c>
      <c r="S61" s="799">
        <f t="shared" si="4"/>
        <v>-1</v>
      </c>
      <c r="T61" s="176">
        <f t="shared" si="5"/>
        <v>5</v>
      </c>
      <c r="U61" s="250">
        <f t="shared" si="20"/>
        <v>-0.49700148467781291</v>
      </c>
      <c r="V61" s="382">
        <f t="shared" si="6"/>
        <v>36.711147206185558</v>
      </c>
      <c r="W61" s="400"/>
      <c r="X61" s="157">
        <f t="shared" si="7"/>
        <v>44243</v>
      </c>
      <c r="Y61" s="383">
        <f t="shared" si="8"/>
        <v>31.189999999999998</v>
      </c>
      <c r="Z61" s="383">
        <f t="shared" si="9"/>
        <v>31.648831444326788</v>
      </c>
      <c r="AA61" s="384">
        <f t="shared" si="10"/>
        <v>33.392005599158921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5.2203338001238227E-2</v>
      </c>
      <c r="AD61" s="230">
        <f>(INDEX(Models!$BJ61:$BT61,,AH61)*(1-AF61)+INDEX(Models!$BJ61:$BT61,,AH61+1)*AF61-ERP_i)*AE61*Ramure*Pc/MaxiM</f>
        <v>7.4365644272006101E-4</v>
      </c>
      <c r="AE61" s="304">
        <f t="shared" si="12"/>
        <v>0.6</v>
      </c>
      <c r="AF61" s="177">
        <f t="shared" si="21"/>
        <v>0.50299851532218709</v>
      </c>
      <c r="AG61" s="799">
        <f t="shared" si="22"/>
        <v>-1</v>
      </c>
      <c r="AH61" s="176">
        <f t="shared" si="13"/>
        <v>5</v>
      </c>
      <c r="AI61" s="224">
        <f t="shared" si="23"/>
        <v>-0.49700148467781291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34.372</v>
      </c>
      <c r="C62" s="388"/>
      <c r="D62" s="391">
        <f t="shared" si="0"/>
        <v>34.878309807226209</v>
      </c>
      <c r="E62" s="383">
        <f t="shared" si="17"/>
        <v>36.802858671226772</v>
      </c>
      <c r="F62" s="383">
        <f t="shared" si="1"/>
        <v>36.826584894030596</v>
      </c>
      <c r="G62" s="110">
        <f t="shared" si="18"/>
        <v>0.92742680755923712</v>
      </c>
      <c r="H62" s="412" t="b">
        <f>Wh_hp&gt;='2020'!Maxi_hp</f>
        <v>1</v>
      </c>
      <c r="I62" s="379">
        <f>IF(H62,Wh_hp,'2020'!Maxi_hp)</f>
        <v>36.826584894030596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1.4516466251507154E-2</v>
      </c>
      <c r="M62" s="832"/>
      <c r="N62" s="832"/>
      <c r="O62" s="48">
        <f>IF(t&lt;Tnet,'2020'!Resal+('2020'!Salim-'2020'!Resal)*(1-EXP(('2020'!Tnet-t)/('2020'!Tau_j))),Resal+(Salim-Resal)*(1-EXP((Tnet-t)/(Tau_j))))*Salcycl</f>
        <v>5.2293461255095694E-2</v>
      </c>
      <c r="P62" s="169">
        <f>(INDEX(Models!$BJ62:$BT62,,T62)*(1-R62)+INDEX(Models!$BJ62:$BT62,,T62+1)*R62-ERP_i)*Q62*Ramure*Pc/MaxiM</f>
        <v>7.1871102594169218E-4</v>
      </c>
      <c r="Q62" s="304">
        <f t="shared" si="2"/>
        <v>0.6</v>
      </c>
      <c r="R62" s="177">
        <f t="shared" si="3"/>
        <v>0.50318892146934346</v>
      </c>
      <c r="S62" s="799">
        <f t="shared" si="4"/>
        <v>-1</v>
      </c>
      <c r="T62" s="176">
        <f t="shared" si="5"/>
        <v>5</v>
      </c>
      <c r="U62" s="250">
        <f t="shared" si="20"/>
        <v>-0.49681107853065659</v>
      </c>
      <c r="V62" s="382">
        <f t="shared" si="6"/>
        <v>37.058924052053776</v>
      </c>
      <c r="W62" s="400"/>
      <c r="X62" s="157">
        <f t="shared" si="7"/>
        <v>44244</v>
      </c>
      <c r="Y62" s="383">
        <f t="shared" si="8"/>
        <v>34.372</v>
      </c>
      <c r="Z62" s="383">
        <f t="shared" si="9"/>
        <v>34.878309807226209</v>
      </c>
      <c r="AA62" s="384">
        <f t="shared" si="10"/>
        <v>36.802858671226772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5.2293461255095694E-2</v>
      </c>
      <c r="AD62" s="230">
        <f>(INDEX(Models!$BJ62:$BT62,,AH62)*(1-AF62)+INDEX(Models!$BJ62:$BT62,,AH62+1)*AF62-ERP_i)*AE62*Ramure*Pc/MaxiM</f>
        <v>7.1871102594169218E-4</v>
      </c>
      <c r="AE62" s="304">
        <f t="shared" si="12"/>
        <v>0.6</v>
      </c>
      <c r="AF62" s="177">
        <f t="shared" si="21"/>
        <v>0.50318892146934346</v>
      </c>
      <c r="AG62" s="799">
        <f t="shared" si="22"/>
        <v>-1</v>
      </c>
      <c r="AH62" s="176">
        <f t="shared" si="13"/>
        <v>5</v>
      </c>
      <c r="AI62" s="224">
        <f t="shared" si="23"/>
        <v>-0.49681107853065659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16.321000000000002</v>
      </c>
      <c r="C63" s="388"/>
      <c r="D63" s="391">
        <f t="shared" si="0"/>
        <v>16.561730597521692</v>
      </c>
      <c r="E63" s="383">
        <f t="shared" si="17"/>
        <v>17.477250178320915</v>
      </c>
      <c r="F63" s="383">
        <f t="shared" si="1"/>
        <v>17.479609989735753</v>
      </c>
      <c r="G63" s="110">
        <f t="shared" si="18"/>
        <v>0.4360666791101046</v>
      </c>
      <c r="H63" s="412" t="b">
        <f>Wh_hp&gt;='2020'!Maxi_hp</f>
        <v>0</v>
      </c>
      <c r="I63" s="379">
        <f>IF(H63,Wh_hp,'2020'!Maxi_hp)</f>
        <v>29.950919629336866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1.4535352818606517E-2</v>
      </c>
      <c r="M63" s="832"/>
      <c r="N63" s="832"/>
      <c r="O63" s="48">
        <f>IF(t&lt;Tnet,'2020'!Resal+('2020'!Salim-'2020'!Resal)*(1-EXP(('2020'!Tnet-t)/('2020'!Tau_j))),Resal+(Salim-Resal)*(1-EXP((Tnet-t)/(Tau_j))))*Salcycl</f>
        <v>5.2383502636750609E-2</v>
      </c>
      <c r="P63" s="169">
        <f>(INDEX(Models!$BJ63:$BT63,,T63)*(1-R63)+INDEX(Models!$BJ63:$BT63,,T63+1)*R63-ERP_i)*Q63*Ramure*Pc/MaxiM</f>
        <v>6.9328999329992889E-4</v>
      </c>
      <c r="Q63" s="304">
        <f t="shared" si="2"/>
        <v>0.6</v>
      </c>
      <c r="R63" s="177">
        <f t="shared" si="3"/>
        <v>0.50338716017209162</v>
      </c>
      <c r="S63" s="799">
        <f t="shared" si="4"/>
        <v>-1</v>
      </c>
      <c r="T63" s="176">
        <f t="shared" si="5"/>
        <v>5</v>
      </c>
      <c r="U63" s="250">
        <f t="shared" si="20"/>
        <v>-0.49661283982790833</v>
      </c>
      <c r="V63" s="382">
        <f t="shared" si="6"/>
        <v>37.406864041609282</v>
      </c>
      <c r="W63" s="400"/>
      <c r="X63" s="157">
        <f t="shared" si="7"/>
        <v>44245</v>
      </c>
      <c r="Y63" s="383">
        <f t="shared" si="8"/>
        <v>16.321000000000002</v>
      </c>
      <c r="Z63" s="383">
        <f t="shared" si="9"/>
        <v>16.561730597521692</v>
      </c>
      <c r="AA63" s="384">
        <f t="shared" si="10"/>
        <v>17.477250178320915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5.2383502636750609E-2</v>
      </c>
      <c r="AD63" s="230">
        <f>(INDEX(Models!$BJ63:$BT63,,AH63)*(1-AF63)+INDEX(Models!$BJ63:$BT63,,AH63+1)*AF63-ERP_i)*AE63*Ramure*Pc/MaxiM</f>
        <v>6.9328999329992889E-4</v>
      </c>
      <c r="AE63" s="304">
        <f t="shared" si="12"/>
        <v>0.6</v>
      </c>
      <c r="AF63" s="177">
        <f t="shared" si="21"/>
        <v>0.50338716017209162</v>
      </c>
      <c r="AG63" s="799">
        <f t="shared" si="22"/>
        <v>-1</v>
      </c>
      <c r="AH63" s="176">
        <f t="shared" si="13"/>
        <v>5</v>
      </c>
      <c r="AI63" s="224">
        <f t="shared" si="23"/>
        <v>-0.49661283982790833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36.800000000000004</v>
      </c>
      <c r="C64" s="388"/>
      <c r="D64" s="391">
        <f t="shared" si="0"/>
        <v>37.343506316921363</v>
      </c>
      <c r="E64" s="383">
        <f t="shared" si="17"/>
        <v>39.411567552626103</v>
      </c>
      <c r="F64" s="383">
        <f t="shared" si="1"/>
        <v>39.436937045771522</v>
      </c>
      <c r="G64" s="110">
        <f t="shared" si="18"/>
        <v>0.97468530458309854</v>
      </c>
      <c r="H64" s="412" t="b">
        <f>Wh_hp&gt;='2020'!Maxi_hp</f>
        <v>1</v>
      </c>
      <c r="I64" s="379">
        <f>IF(H64,Wh_hp,'2020'!Maxi_hp)</f>
        <v>39.436937045771522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1.4554239023749194E-2</v>
      </c>
      <c r="M64" s="832"/>
      <c r="N64" s="832"/>
      <c r="O64" s="48">
        <f>IF(t&lt;Tnet,'2020'!Resal+('2020'!Salim-'2020'!Resal)*(1-EXP(('2020'!Tnet-t)/('2020'!Tau_j))),Resal+(Salim-Resal)*(1-EXP((Tnet-t)/(Tau_j))))*Salcycl</f>
        <v>5.2473458025826279E-2</v>
      </c>
      <c r="P64" s="169">
        <f>(INDEX(Models!$BJ64:$BT64,,T64)*(1-R64)+INDEX(Models!$BJ64:$BT64,,T64+1)*R64-ERP_i)*Q64*Ramure*Pc/MaxiM</f>
        <v>6.6740624151062622E-4</v>
      </c>
      <c r="Q64" s="304">
        <f t="shared" si="2"/>
        <v>0.6</v>
      </c>
      <c r="R64" s="177">
        <f t="shared" si="3"/>
        <v>0.50359354691490066</v>
      </c>
      <c r="S64" s="799">
        <f t="shared" si="4"/>
        <v>-1</v>
      </c>
      <c r="T64" s="176">
        <f t="shared" si="5"/>
        <v>5</v>
      </c>
      <c r="U64" s="250">
        <f t="shared" si="20"/>
        <v>-0.49640645308509934</v>
      </c>
      <c r="V64" s="382">
        <f t="shared" si="6"/>
        <v>37.754864956820164</v>
      </c>
      <c r="W64" s="400"/>
      <c r="X64" s="157">
        <f t="shared" si="7"/>
        <v>44246</v>
      </c>
      <c r="Y64" s="383">
        <f t="shared" si="8"/>
        <v>36.800000000000004</v>
      </c>
      <c r="Z64" s="383">
        <f t="shared" si="9"/>
        <v>37.343506316921363</v>
      </c>
      <c r="AA64" s="384">
        <f t="shared" si="10"/>
        <v>39.411567552626103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5.2473458025826279E-2</v>
      </c>
      <c r="AD64" s="230">
        <f>(INDEX(Models!$BJ64:$BT64,,AH64)*(1-AF64)+INDEX(Models!$BJ64:$BT64,,AH64+1)*AF64-ERP_i)*AE64*Ramure*Pc/MaxiM</f>
        <v>6.6740624151062622E-4</v>
      </c>
      <c r="AE64" s="304">
        <f t="shared" si="12"/>
        <v>0.6</v>
      </c>
      <c r="AF64" s="177">
        <f t="shared" si="21"/>
        <v>0.50359354691490066</v>
      </c>
      <c r="AG64" s="799">
        <f t="shared" si="22"/>
        <v>-1</v>
      </c>
      <c r="AH64" s="176">
        <f t="shared" si="13"/>
        <v>5</v>
      </c>
      <c r="AI64" s="224">
        <f t="shared" si="23"/>
        <v>-0.49640645308509934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30.274000000000001</v>
      </c>
      <c r="C65" s="388"/>
      <c r="D65" s="391">
        <f t="shared" si="0"/>
        <v>30.721711335417183</v>
      </c>
      <c r="E65" s="383">
        <f t="shared" si="17"/>
        <v>32.426136868434476</v>
      </c>
      <c r="F65" s="383">
        <f t="shared" si="1"/>
        <v>32.440829157431892</v>
      </c>
      <c r="G65" s="110">
        <f t="shared" si="18"/>
        <v>0.79437935287773687</v>
      </c>
      <c r="H65" s="412" t="b">
        <f>Wh_hp&gt;='2020'!Maxi_hp</f>
        <v>0</v>
      </c>
      <c r="I65" s="379">
        <f>IF(H65,Wh_hp,'2020'!Maxi_hp)</f>
        <v>41.467946828147284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1.4573124866941956E-2</v>
      </c>
      <c r="M65" s="832"/>
      <c r="N65" s="832"/>
      <c r="O65" s="48">
        <f>IF(t&lt;Tnet,'2020'!Resal+('2020'!Salim-'2020'!Resal)*(1-EXP(('2020'!Tnet-t)/('2020'!Tau_j))),Resal+(Salim-Resal)*(1-EXP((Tnet-t)/(Tau_j))))*Salcycl</f>
        <v>5.2563323837582533E-2</v>
      </c>
      <c r="P65" s="169">
        <f>(INDEX(Models!$BJ65:$BT65,,T65)*(1-R65)+INDEX(Models!$BJ65:$BT65,,T65+1)*R65-ERP_i)*Q65*Ramure*Pc/MaxiM</f>
        <v>6.4106763886163747E-4</v>
      </c>
      <c r="Q65" s="304">
        <f t="shared" si="2"/>
        <v>0.6</v>
      </c>
      <c r="R65" s="177">
        <f t="shared" si="3"/>
        <v>0.50380840932081095</v>
      </c>
      <c r="S65" s="799">
        <f t="shared" si="4"/>
        <v>-1</v>
      </c>
      <c r="T65" s="176">
        <f t="shared" si="5"/>
        <v>5</v>
      </c>
      <c r="U65" s="250">
        <f t="shared" si="20"/>
        <v>-0.49619159067918905</v>
      </c>
      <c r="V65" s="382">
        <f t="shared" si="6"/>
        <v>38.103080814455701</v>
      </c>
      <c r="W65" s="400"/>
      <c r="X65" s="157">
        <f t="shared" si="7"/>
        <v>44247</v>
      </c>
      <c r="Y65" s="383">
        <f t="shared" si="8"/>
        <v>30.273999999999997</v>
      </c>
      <c r="Z65" s="383">
        <f t="shared" si="9"/>
        <v>30.721711335417179</v>
      </c>
      <c r="AA65" s="384">
        <f t="shared" si="10"/>
        <v>32.426136868434476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5.2563323837582533E-2</v>
      </c>
      <c r="AD65" s="230">
        <f>(INDEX(Models!$BJ65:$BT65,,AH65)*(1-AF65)+INDEX(Models!$BJ65:$BT65,,AH65+1)*AF65-ERP_i)*AE65*Ramure*Pc/MaxiM</f>
        <v>6.4106763886163747E-4</v>
      </c>
      <c r="AE65" s="304">
        <f t="shared" si="12"/>
        <v>0.6</v>
      </c>
      <c r="AF65" s="177">
        <f t="shared" si="21"/>
        <v>0.50380840932081095</v>
      </c>
      <c r="AG65" s="799">
        <f t="shared" si="22"/>
        <v>-1</v>
      </c>
      <c r="AH65" s="176">
        <f t="shared" si="13"/>
        <v>5</v>
      </c>
      <c r="AI65" s="224">
        <f t="shared" si="23"/>
        <v>-0.49619159067918905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12.268000000000001</v>
      </c>
      <c r="C66" s="388"/>
      <c r="D66" s="391">
        <f t="shared" si="0"/>
        <v>12.449665649996275</v>
      </c>
      <c r="E66" s="383">
        <f t="shared" si="17"/>
        <v>13.141612235056805</v>
      </c>
      <c r="F66" s="383">
        <f t="shared" si="1"/>
        <v>13.141832028682598</v>
      </c>
      <c r="G66" s="110">
        <f t="shared" si="18"/>
        <v>0.31885867883468078</v>
      </c>
      <c r="H66" s="412" t="b">
        <f>Wh_hp&gt;='2020'!Maxi_hp</f>
        <v>0</v>
      </c>
      <c r="I66" s="379">
        <f>IF(H66,Wh_hp,'2020'!Maxi_hp)</f>
        <v>14.376860709433835</v>
      </c>
      <c r="J66" s="85">
        <f>IF(H66,An,'2020'!An_max)</f>
        <v>2020</v>
      </c>
      <c r="K66" s="197">
        <f t="shared" si="19"/>
        <v>44248</v>
      </c>
      <c r="L66" s="147">
        <f>IF(t&lt;Tvie,1-EXP((T0-t)*PertePVj)+'2020'!Pspv,1-EXP((T0-t)*PertePVj)+Pspv)</f>
        <v>1.4592010348191908E-2</v>
      </c>
      <c r="M66" s="832"/>
      <c r="N66" s="832"/>
      <c r="O66" s="48">
        <f>IF(t&lt;Tnet,'2020'!Resal+('2020'!Salim-'2020'!Resal)*(1-EXP(('2020'!Tnet-t)/('2020'!Tau_j))),Resal+(Salim-Resal)*(1-EXP((Tnet-t)/(Tau_j))))*Salcycl</f>
        <v>5.2653097099812501E-2</v>
      </c>
      <c r="P66" s="169">
        <f>(INDEX(Models!$BJ66:$BT66,,T66)*(1-R66)+INDEX(Models!$BJ66:$BT66,,T66+1)*R66-ERP_i)*Q66*Ramure*Pc/MaxiM</f>
        <v>6.1457561898227051E-4</v>
      </c>
      <c r="Q66" s="304">
        <f t="shared" si="2"/>
        <v>0.6</v>
      </c>
      <c r="R66" s="177">
        <f t="shared" si="3"/>
        <v>0.50403208757009754</v>
      </c>
      <c r="S66" s="799">
        <f t="shared" si="4"/>
        <v>-1</v>
      </c>
      <c r="T66" s="176">
        <f t="shared" si="5"/>
        <v>5</v>
      </c>
      <c r="U66" s="250">
        <f t="shared" si="20"/>
        <v>-0.49596791242990246</v>
      </c>
      <c r="V66" s="382">
        <f t="shared" si="6"/>
        <v>38.451722523172883</v>
      </c>
      <c r="W66" s="400"/>
      <c r="X66" s="157">
        <f t="shared" si="7"/>
        <v>44248</v>
      </c>
      <c r="Y66" s="383">
        <f t="shared" si="8"/>
        <v>12.268000000000001</v>
      </c>
      <c r="Z66" s="383">
        <f t="shared" si="9"/>
        <v>12.449665649996275</v>
      </c>
      <c r="AA66" s="384">
        <f t="shared" si="10"/>
        <v>13.141612235056805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5.2653097099812501E-2</v>
      </c>
      <c r="AD66" s="230">
        <f>(INDEX(Models!$BJ66:$BT66,,AH66)*(1-AF66)+INDEX(Models!$BJ66:$BT66,,AH66+1)*AF66-ERP_i)*AE66*Ramure*Pc/MaxiM</f>
        <v>6.1457561898227051E-4</v>
      </c>
      <c r="AE66" s="304">
        <f t="shared" si="12"/>
        <v>0.6</v>
      </c>
      <c r="AF66" s="177">
        <f t="shared" si="21"/>
        <v>0.50403208757009754</v>
      </c>
      <c r="AG66" s="799">
        <f t="shared" si="22"/>
        <v>-1</v>
      </c>
      <c r="AH66" s="176">
        <f t="shared" si="13"/>
        <v>5</v>
      </c>
      <c r="AI66" s="224">
        <f t="shared" si="23"/>
        <v>-0.49596791242990246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9.2270000000000003</v>
      </c>
      <c r="C67" s="388"/>
      <c r="D67" s="391">
        <f t="shared" si="0"/>
        <v>9.363813703194575</v>
      </c>
      <c r="E67" s="383">
        <f t="shared" si="17"/>
        <v>9.8851858410426647</v>
      </c>
      <c r="F67" s="383">
        <f t="shared" si="1"/>
        <v>9.8851858410426647</v>
      </c>
      <c r="G67" s="110">
        <f t="shared" si="18"/>
        <v>0.23766462213562178</v>
      </c>
      <c r="H67" s="412" t="b">
        <f>Wh_hp&gt;='2020'!Maxi_hp</f>
        <v>0</v>
      </c>
      <c r="I67" s="379">
        <f>IF(H67,Wh_hp,'2020'!Maxi_hp)</f>
        <v>39.949310572645629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1.4610895467505824E-2</v>
      </c>
      <c r="M67" s="832"/>
      <c r="N67" s="832"/>
      <c r="O67" s="48">
        <f>IF(t&lt;Tnet,'2020'!Resal+('2020'!Salim-'2020'!Resal)*(1-EXP(('2020'!Tnet-t)/('2020'!Tau_j))),Resal+(Salim-Resal)*(1-EXP((Tnet-t)/(Tau_j))))*Salcycl</f>
        <v>5.2742775526119556E-2</v>
      </c>
      <c r="P67" s="169">
        <f>(INDEX(Models!$BJ67:$BT67,,T67)*(1-R67)+INDEX(Models!$BJ67:$BT67,,T67+1)*R67-ERP_i)*Q67*Ramure*Pc/MaxiM</f>
        <v>5.8849438704943174E-4</v>
      </c>
      <c r="Q67" s="304">
        <f t="shared" si="2"/>
        <v>0.6</v>
      </c>
      <c r="R67" s="177">
        <f t="shared" si="3"/>
        <v>0.50426493482916679</v>
      </c>
      <c r="S67" s="799">
        <f t="shared" si="4"/>
        <v>-1</v>
      </c>
      <c r="T67" s="176">
        <f t="shared" si="5"/>
        <v>5</v>
      </c>
      <c r="U67" s="250">
        <f t="shared" si="20"/>
        <v>-0.49573506517083316</v>
      </c>
      <c r="V67" s="382">
        <f t="shared" si="6"/>
        <v>38.800768408132981</v>
      </c>
      <c r="W67" s="400"/>
      <c r="X67" s="157">
        <f t="shared" si="7"/>
        <v>44249</v>
      </c>
      <c r="Y67" s="383">
        <f t="shared" si="8"/>
        <v>9.2270000000000003</v>
      </c>
      <c r="Z67" s="383">
        <f t="shared" si="9"/>
        <v>9.363813703194575</v>
      </c>
      <c r="AA67" s="384">
        <f t="shared" si="10"/>
        <v>9.8851858410426647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5.2742775526119556E-2</v>
      </c>
      <c r="AD67" s="230">
        <f>(INDEX(Models!$BJ67:$BT67,,AH67)*(1-AF67)+INDEX(Models!$BJ67:$BT67,,AH67+1)*AF67-ERP_i)*AE67*Ramure*Pc/MaxiM</f>
        <v>5.8849438704943174E-4</v>
      </c>
      <c r="AE67" s="304">
        <f t="shared" si="12"/>
        <v>0.6</v>
      </c>
      <c r="AF67" s="177">
        <f t="shared" si="21"/>
        <v>0.50426493482916679</v>
      </c>
      <c r="AG67" s="799">
        <f t="shared" si="22"/>
        <v>-1</v>
      </c>
      <c r="AH67" s="176">
        <f t="shared" si="13"/>
        <v>5</v>
      </c>
      <c r="AI67" s="224">
        <f t="shared" si="23"/>
        <v>-0.49573506517083316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30.52</v>
      </c>
      <c r="C68" s="388"/>
      <c r="D68" s="391">
        <f t="shared" si="0"/>
        <v>30.973130086035656</v>
      </c>
      <c r="E68" s="383">
        <f t="shared" si="17"/>
        <v>32.70078991197402</v>
      </c>
      <c r="F68" s="383">
        <f t="shared" si="1"/>
        <v>32.713403352867928</v>
      </c>
      <c r="G68" s="110">
        <f t="shared" si="18"/>
        <v>0.77942319974689378</v>
      </c>
      <c r="H68" s="412" t="b">
        <f>Wh_hp&gt;='2020'!Maxi_hp</f>
        <v>0</v>
      </c>
      <c r="I68" s="379">
        <f>IF(H68,Wh_hp,'2020'!Maxi_hp)</f>
        <v>41.571938803017574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1.4629780224890809E-2</v>
      </c>
      <c r="M68" s="832"/>
      <c r="N68" s="832"/>
      <c r="O68" s="48">
        <f>IF(t&lt;Tnet,'2020'!Resal+('2020'!Salim-'2020'!Resal)*(1-EXP(('2020'!Tnet-t)/('2020'!Tau_j))),Resal+(Salim-Resal)*(1-EXP((Tnet-t)/(Tau_j))))*Salcycl</f>
        <v>5.2832357584908028E-2</v>
      </c>
      <c r="P68" s="169">
        <f>(INDEX(Models!$BJ68:$BT68,,T68)*(1-R68)+INDEX(Models!$BJ68:$BT68,,T68+1)*R68-ERP_i)*Q68*Ramure*Pc/MaxiM</f>
        <v>5.6280980027772966E-4</v>
      </c>
      <c r="Q68" s="304">
        <f t="shared" si="2"/>
        <v>0.6</v>
      </c>
      <c r="R68" s="177">
        <f t="shared" si="3"/>
        <v>0.50450731768954471</v>
      </c>
      <c r="S68" s="799">
        <f t="shared" si="4"/>
        <v>-1</v>
      </c>
      <c r="T68" s="176">
        <f t="shared" si="5"/>
        <v>5</v>
      </c>
      <c r="U68" s="250">
        <f t="shared" si="20"/>
        <v>-0.49549268231045529</v>
      </c>
      <c r="V68" s="382">
        <f t="shared" si="6"/>
        <v>39.150218635679366</v>
      </c>
      <c r="W68" s="400"/>
      <c r="X68" s="157">
        <f t="shared" si="7"/>
        <v>44250</v>
      </c>
      <c r="Y68" s="383">
        <f t="shared" si="8"/>
        <v>30.52</v>
      </c>
      <c r="Z68" s="383">
        <f t="shared" si="9"/>
        <v>30.973130086035656</v>
      </c>
      <c r="AA68" s="384">
        <f t="shared" si="10"/>
        <v>32.70078991197402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5.2832357584908028E-2</v>
      </c>
      <c r="AD68" s="230">
        <f>(INDEX(Models!$BJ68:$BT68,,AH68)*(1-AF68)+INDEX(Models!$BJ68:$BT68,,AH68+1)*AF68-ERP_i)*AE68*Ramure*Pc/MaxiM</f>
        <v>5.6280980027772966E-4</v>
      </c>
      <c r="AE68" s="304">
        <f t="shared" si="12"/>
        <v>0.6</v>
      </c>
      <c r="AF68" s="177">
        <f t="shared" si="21"/>
        <v>0.50450731768954471</v>
      </c>
      <c r="AG68" s="799">
        <f t="shared" si="22"/>
        <v>-1</v>
      </c>
      <c r="AH68" s="176">
        <f t="shared" si="13"/>
        <v>5</v>
      </c>
      <c r="AI68" s="224">
        <f t="shared" si="23"/>
        <v>-0.49549268231045529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37.811</v>
      </c>
      <c r="C69" s="388"/>
      <c r="D69" s="391">
        <f t="shared" si="0"/>
        <v>38.373114890468777</v>
      </c>
      <c r="E69" s="383">
        <f t="shared" si="17"/>
        <v>40.517368697779027</v>
      </c>
      <c r="F69" s="383">
        <f t="shared" si="1"/>
        <v>40.53782717528037</v>
      </c>
      <c r="G69" s="110">
        <f t="shared" si="18"/>
        <v>0.95720728510903241</v>
      </c>
      <c r="H69" s="412" t="b">
        <f>Wh_hp&gt;='2020'!Maxi_hp</f>
        <v>0</v>
      </c>
      <c r="I69" s="379">
        <f>IF(H69,Wh_hp,'2020'!Maxi_hp)</f>
        <v>41.52507944394246</v>
      </c>
      <c r="J69" s="85">
        <f>IF(H69,An,'2020'!An_max)</f>
        <v>2020</v>
      </c>
      <c r="K69" s="197">
        <f t="shared" si="19"/>
        <v>44251</v>
      </c>
      <c r="L69" s="147">
        <f>IF(t&lt;Tvie,1-EXP((T0-t)*PertePVj)+'2020'!Pspv,1-EXP((T0-t)*PertePVj)+Pspv)</f>
        <v>1.4648664620353746E-2</v>
      </c>
      <c r="M69" s="832"/>
      <c r="N69" s="832"/>
      <c r="O69" s="48">
        <f>IF(t&lt;Tnet,'2020'!Resal+('2020'!Salim-'2020'!Resal)*(1-EXP(('2020'!Tnet-t)/('2020'!Tau_j))),Resal+(Salim-Resal)*(1-EXP((Tnet-t)/(Tau_j))))*Salcycl</f>
        <v>5.2921842563477872E-2</v>
      </c>
      <c r="P69" s="169">
        <f>(INDEX(Models!$BJ69:$BT69,,T69)*(1-R69)+INDEX(Models!$BJ69:$BT69,,T69+1)*R69-ERP_i)*Q69*Ramure*Pc/MaxiM</f>
        <v>5.3751146838188358E-4</v>
      </c>
      <c r="Q69" s="304">
        <f t="shared" si="2"/>
        <v>0.6</v>
      </c>
      <c r="R69" s="177">
        <f t="shared" si="3"/>
        <v>0.50475961661676294</v>
      </c>
      <c r="S69" s="799">
        <f t="shared" si="4"/>
        <v>-1</v>
      </c>
      <c r="T69" s="176">
        <f t="shared" si="5"/>
        <v>5</v>
      </c>
      <c r="U69" s="250">
        <f t="shared" si="20"/>
        <v>-0.495240383383237</v>
      </c>
      <c r="V69" s="382">
        <f t="shared" si="6"/>
        <v>39.500073210721105</v>
      </c>
      <c r="W69" s="400"/>
      <c r="X69" s="157">
        <f t="shared" si="7"/>
        <v>44251</v>
      </c>
      <c r="Y69" s="383">
        <f t="shared" si="8"/>
        <v>37.811</v>
      </c>
      <c r="Z69" s="383">
        <f t="shared" si="9"/>
        <v>38.373114890468777</v>
      </c>
      <c r="AA69" s="384">
        <f t="shared" si="10"/>
        <v>40.517368697779027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5.2921842563477872E-2</v>
      </c>
      <c r="AD69" s="230">
        <f>(INDEX(Models!$BJ69:$BT69,,AH69)*(1-AF69)+INDEX(Models!$BJ69:$BT69,,AH69+1)*AF69-ERP_i)*AE69*Ramure*Pc/MaxiM</f>
        <v>5.3751146838188358E-4</v>
      </c>
      <c r="AE69" s="304">
        <f t="shared" si="12"/>
        <v>0.6</v>
      </c>
      <c r="AF69" s="177">
        <f t="shared" si="21"/>
        <v>0.50475961661676294</v>
      </c>
      <c r="AG69" s="799">
        <f t="shared" si="22"/>
        <v>-1</v>
      </c>
      <c r="AH69" s="176">
        <f t="shared" si="13"/>
        <v>5</v>
      </c>
      <c r="AI69" s="224">
        <f t="shared" si="23"/>
        <v>-0.495240383383237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34.061999999999998</v>
      </c>
      <c r="C70" s="388"/>
      <c r="D70" s="391">
        <f t="shared" si="0"/>
        <v>34.569043121909424</v>
      </c>
      <c r="E70" s="383">
        <f t="shared" si="17"/>
        <v>36.504174325938138</v>
      </c>
      <c r="F70" s="383">
        <f t="shared" si="1"/>
        <v>36.519009293012743</v>
      </c>
      <c r="G70" s="110">
        <f t="shared" si="18"/>
        <v>0.85465725825808236</v>
      </c>
      <c r="H70" s="412" t="b">
        <f>Wh_hp&gt;='2020'!Maxi_hp</f>
        <v>1</v>
      </c>
      <c r="I70" s="379">
        <f>IF(H70,Wh_hp,'2020'!Maxi_hp)</f>
        <v>36.519009293012743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1.4667548653901519E-2</v>
      </c>
      <c r="M70" s="832"/>
      <c r="N70" s="832"/>
      <c r="O70" s="48">
        <f>IF(t&lt;Tnet,'2020'!Resal+('2020'!Salim-'2020'!Resal)*(1-EXP(('2020'!Tnet-t)/('2020'!Tau_j))),Resal+(Salim-Resal)*(1-EXP((Tnet-t)/(Tau_j))))*Salcycl</f>
        <v>5.3011230626676613E-2</v>
      </c>
      <c r="P70" s="169">
        <f>(INDEX(Models!$BJ70:$BT70,,T70)*(1-R70)+INDEX(Models!$BJ70:$BT70,,T70+1)*R70-ERP_i)*Q70*Ramure*Pc/MaxiM</f>
        <v>5.1258952917588316E-4</v>
      </c>
      <c r="Q70" s="304">
        <f t="shared" si="2"/>
        <v>0.6</v>
      </c>
      <c r="R70" s="177">
        <f t="shared" si="3"/>
        <v>0.50502222640889904</v>
      </c>
      <c r="S70" s="799">
        <f t="shared" si="4"/>
        <v>-1</v>
      </c>
      <c r="T70" s="176">
        <f t="shared" si="5"/>
        <v>5</v>
      </c>
      <c r="U70" s="250">
        <f t="shared" si="20"/>
        <v>-0.49497777359110096</v>
      </c>
      <c r="V70" s="382">
        <f t="shared" si="6"/>
        <v>39.850332095490479</v>
      </c>
      <c r="W70" s="400"/>
      <c r="X70" s="157">
        <f t="shared" si="7"/>
        <v>44252</v>
      </c>
      <c r="Y70" s="383">
        <f t="shared" si="8"/>
        <v>34.061999999999998</v>
      </c>
      <c r="Z70" s="383">
        <f t="shared" si="9"/>
        <v>34.569043121909424</v>
      </c>
      <c r="AA70" s="384">
        <f t="shared" si="10"/>
        <v>36.504174325938138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5.3011230626676613E-2</v>
      </c>
      <c r="AD70" s="230">
        <f>(INDEX(Models!$BJ70:$BT70,,AH70)*(1-AF70)+INDEX(Models!$BJ70:$BT70,,AH70+1)*AF70-ERP_i)*AE70*Ramure*Pc/MaxiM</f>
        <v>5.1258952917588316E-4</v>
      </c>
      <c r="AE70" s="304">
        <f t="shared" si="12"/>
        <v>0.6</v>
      </c>
      <c r="AF70" s="177">
        <f t="shared" si="21"/>
        <v>0.50502222640889904</v>
      </c>
      <c r="AG70" s="799">
        <f t="shared" si="22"/>
        <v>-1</v>
      </c>
      <c r="AH70" s="176">
        <f t="shared" si="13"/>
        <v>5</v>
      </c>
      <c r="AI70" s="224">
        <f t="shared" si="23"/>
        <v>-0.49497777359110096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8.3160000000000007</v>
      </c>
      <c r="C71" s="388"/>
      <c r="D71" s="391">
        <f t="shared" si="0"/>
        <v>8.439952795562796</v>
      </c>
      <c r="E71" s="383">
        <f t="shared" si="17"/>
        <v>8.9132510888489538</v>
      </c>
      <c r="F71" s="383">
        <f t="shared" si="1"/>
        <v>8.9132510888489538</v>
      </c>
      <c r="G71" s="110">
        <f t="shared" si="18"/>
        <v>0.20675959541985051</v>
      </c>
      <c r="H71" s="412" t="b">
        <f>Wh_hp&gt;='2020'!Maxi_hp</f>
        <v>0</v>
      </c>
      <c r="I71" s="379">
        <f>IF(H71,Wh_hp,'2020'!Maxi_hp)</f>
        <v>20.542740223257699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1.4686432325541121E-2</v>
      </c>
      <c r="M71" s="832"/>
      <c r="N71" s="832"/>
      <c r="O71" s="48">
        <f>IF(t&lt;Tnet,'2020'!Resal+('2020'!Salim-'2020'!Resal)*(1-EXP(('2020'!Tnet-t)/('2020'!Tau_j))),Resal+(Salim-Resal)*(1-EXP((Tnet-t)/(Tau_j))))*Salcycl</f>
        <v>5.3100522869627617E-2</v>
      </c>
      <c r="P71" s="169">
        <f>(INDEX(Models!$BJ71:$BT71,,T71)*(1-R71)+INDEX(Models!$BJ71:$BT71,,T71+1)*R71-ERP_i)*Q71*Ramure*Pc/MaxiM</f>
        <v>4.8803460010382024E-4</v>
      </c>
      <c r="Q71" s="304">
        <f t="shared" si="2"/>
        <v>0.6</v>
      </c>
      <c r="R71" s="177">
        <f t="shared" si="3"/>
        <v>0.50529555666446435</v>
      </c>
      <c r="S71" s="799">
        <f t="shared" si="4"/>
        <v>-1</v>
      </c>
      <c r="T71" s="176">
        <f t="shared" si="5"/>
        <v>5</v>
      </c>
      <c r="U71" s="250">
        <f t="shared" si="20"/>
        <v>-0.49470444333553565</v>
      </c>
      <c r="V71" s="382">
        <f t="shared" si="6"/>
        <v>40.200995205988534</v>
      </c>
      <c r="W71" s="400"/>
      <c r="X71" s="157">
        <f t="shared" si="7"/>
        <v>44253</v>
      </c>
      <c r="Y71" s="383">
        <f t="shared" si="8"/>
        <v>8.3160000000000007</v>
      </c>
      <c r="Z71" s="383">
        <f t="shared" si="9"/>
        <v>8.439952795562796</v>
      </c>
      <c r="AA71" s="384">
        <f t="shared" si="10"/>
        <v>8.9132510888489538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5.3100522869627617E-2</v>
      </c>
      <c r="AD71" s="230">
        <f>(INDEX(Models!$BJ71:$BT71,,AH71)*(1-AF71)+INDEX(Models!$BJ71:$BT71,,AH71+1)*AF71-ERP_i)*AE71*Ramure*Pc/MaxiM</f>
        <v>4.8803460010382024E-4</v>
      </c>
      <c r="AE71" s="304">
        <f t="shared" si="12"/>
        <v>0.6</v>
      </c>
      <c r="AF71" s="177">
        <f t="shared" si="21"/>
        <v>0.50529555666446435</v>
      </c>
      <c r="AG71" s="799">
        <f t="shared" si="22"/>
        <v>-1</v>
      </c>
      <c r="AH71" s="176">
        <f t="shared" si="13"/>
        <v>5</v>
      </c>
      <c r="AI71" s="224">
        <f t="shared" si="23"/>
        <v>-0.49470444333553565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40.076999999999998</v>
      </c>
      <c r="C72" s="388"/>
      <c r="D72" s="391">
        <f t="shared" si="0"/>
        <v>40.675140783734236</v>
      </c>
      <c r="E72" s="383">
        <f t="shared" si="17"/>
        <v>42.960180831937393</v>
      </c>
      <c r="F72" s="383">
        <f t="shared" si="1"/>
        <v>42.979805880549684</v>
      </c>
      <c r="G72" s="110">
        <f t="shared" si="18"/>
        <v>0.9882779779112556</v>
      </c>
      <c r="H72" s="412" t="b">
        <f>Wh_hp&gt;='2020'!Maxi_hp</f>
        <v>1</v>
      </c>
      <c r="I72" s="379">
        <f>IF(H72,Wh_hp,'2020'!Maxi_hp)</f>
        <v>42.979805880549684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1.4705315635279437E-2</v>
      </c>
      <c r="M72" s="832"/>
      <c r="N72" s="832"/>
      <c r="O72" s="48">
        <f>IF(t&lt;Tnet,'2020'!Resal+('2020'!Salim-'2020'!Resal)*(1-EXP(('2020'!Tnet-t)/('2020'!Tau_j))),Resal+(Salim-Resal)*(1-EXP((Tnet-t)/(Tau_j))))*Salcycl</f>
        <v>5.3189721364124559E-2</v>
      </c>
      <c r="P72" s="169">
        <f>(INDEX(Models!$BJ72:$BT72,,T72)*(1-R72)+INDEX(Models!$BJ72:$BT72,,T72+1)*R72-ERP_i)*Q72*Ramure*Pc/MaxiM</f>
        <v>4.6438224748404861E-4</v>
      </c>
      <c r="Q72" s="304">
        <f t="shared" si="2"/>
        <v>0.6</v>
      </c>
      <c r="R72" s="177">
        <f t="shared" si="3"/>
        <v>0.5055800322592745</v>
      </c>
      <c r="S72" s="799">
        <f t="shared" si="4"/>
        <v>-1</v>
      </c>
      <c r="T72" s="176">
        <f t="shared" si="5"/>
        <v>5</v>
      </c>
      <c r="U72" s="250">
        <f t="shared" si="20"/>
        <v>-0.4944199677407255</v>
      </c>
      <c r="V72" s="382">
        <f t="shared" si="6"/>
        <v>40.552040318502385</v>
      </c>
      <c r="W72" s="400"/>
      <c r="X72" s="157">
        <f t="shared" si="7"/>
        <v>44254</v>
      </c>
      <c r="Y72" s="383">
        <f t="shared" si="8"/>
        <v>40.076999999999998</v>
      </c>
      <c r="Z72" s="383">
        <f t="shared" si="9"/>
        <v>40.675140783734236</v>
      </c>
      <c r="AA72" s="384">
        <f t="shared" si="10"/>
        <v>42.960180831937393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5.3189721364124559E-2</v>
      </c>
      <c r="AD72" s="230">
        <f>(INDEX(Models!$BJ72:$BT72,,AH72)*(1-AF72)+INDEX(Models!$BJ72:$BT72,,AH72+1)*AF72-ERP_i)*AE72*Ramure*Pc/MaxiM</f>
        <v>4.6438224748404861E-4</v>
      </c>
      <c r="AE72" s="304">
        <f t="shared" si="12"/>
        <v>0.6</v>
      </c>
      <c r="AF72" s="177">
        <f t="shared" si="21"/>
        <v>0.5055800322592745</v>
      </c>
      <c r="AG72" s="799">
        <f t="shared" si="22"/>
        <v>-1</v>
      </c>
      <c r="AH72" s="176">
        <f t="shared" si="13"/>
        <v>5</v>
      </c>
      <c r="AI72" s="224">
        <f t="shared" si="23"/>
        <v>-0.4944199677407255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33.225000000000001</v>
      </c>
      <c r="C73" s="388"/>
      <c r="D73" s="391">
        <f t="shared" si="0"/>
        <v>33.721522392228415</v>
      </c>
      <c r="E73" s="383">
        <f t="shared" si="17"/>
        <v>35.619275698328757</v>
      </c>
      <c r="F73" s="383">
        <f t="shared" si="1"/>
        <v>35.630799361902348</v>
      </c>
      <c r="G73" s="110">
        <f t="shared" si="18"/>
        <v>0.8121822930228626</v>
      </c>
      <c r="H73" s="412" t="b">
        <f>Wh_hp&gt;='2020'!Maxi_hp</f>
        <v>1</v>
      </c>
      <c r="I73" s="379">
        <f>IF(H73,Wh_hp,'2020'!Maxi_hp)</f>
        <v>35.630799361902348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1.472419858312346E-2</v>
      </c>
      <c r="M73" s="832"/>
      <c r="N73" s="832"/>
      <c r="O73" s="48">
        <f>IF(t&lt;Tnet,'2020'!Resal+('2020'!Salim-'2020'!Resal)*(1-EXP(('2020'!Tnet-t)/('2020'!Tau_j))),Resal+(Salim-Resal)*(1-EXP((Tnet-t)/(Tau_j))))*Salcycl</f>
        <v>5.327882919835418E-2</v>
      </c>
      <c r="P73" s="169">
        <f>(INDEX(Models!$BJ73:$BT73,,T73)*(1-R73)+INDEX(Models!$BJ73:$BT73,,T73+1)*R73-ERP_i)*Q73*Ramure*Pc/MaxiM</f>
        <v>4.4193341340509205E-4</v>
      </c>
      <c r="Q73" s="304">
        <f t="shared" si="2"/>
        <v>0.6</v>
      </c>
      <c r="R73" s="177">
        <f t="shared" si="3"/>
        <v>0.50587609383186216</v>
      </c>
      <c r="S73" s="799">
        <f t="shared" si="4"/>
        <v>-1</v>
      </c>
      <c r="T73" s="176">
        <f t="shared" si="5"/>
        <v>5</v>
      </c>
      <c r="U73" s="250">
        <f t="shared" si="20"/>
        <v>-0.49412390616813784</v>
      </c>
      <c r="V73" s="382">
        <f t="shared" si="6"/>
        <v>40.903454011612816</v>
      </c>
      <c r="W73" s="400"/>
      <c r="X73" s="157">
        <f t="shared" si="7"/>
        <v>44255</v>
      </c>
      <c r="Y73" s="383">
        <f t="shared" si="8"/>
        <v>33.225000000000001</v>
      </c>
      <c r="Z73" s="383">
        <f t="shared" si="9"/>
        <v>33.721522392228415</v>
      </c>
      <c r="AA73" s="384">
        <f t="shared" si="10"/>
        <v>35.619275698328757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5.327882919835418E-2</v>
      </c>
      <c r="AD73" s="230">
        <f>(INDEX(Models!$BJ73:$BT73,,AH73)*(1-AF73)+INDEX(Models!$BJ73:$BT73,,AH73+1)*AF73-ERP_i)*AE73*Ramure*Pc/MaxiM</f>
        <v>4.4193341340509205E-4</v>
      </c>
      <c r="AE73" s="304">
        <f t="shared" si="12"/>
        <v>0.6</v>
      </c>
      <c r="AF73" s="177">
        <f t="shared" si="21"/>
        <v>0.50587609383186216</v>
      </c>
      <c r="AG73" s="799">
        <f t="shared" si="22"/>
        <v>-1</v>
      </c>
      <c r="AH73" s="176">
        <f t="shared" si="13"/>
        <v>5</v>
      </c>
      <c r="AI73" s="224">
        <f t="shared" si="23"/>
        <v>-0.49412390616813784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36.9</v>
      </c>
      <c r="C74" s="388"/>
      <c r="D74" s="391">
        <f t="shared" si="0"/>
        <v>37.452160238351404</v>
      </c>
      <c r="E74" s="383">
        <f t="shared" si="17"/>
        <v>39.563583656562201</v>
      </c>
      <c r="F74" s="383">
        <f t="shared" si="1"/>
        <v>39.577721571938064</v>
      </c>
      <c r="G74" s="110">
        <f t="shared" si="18"/>
        <v>0.89437515808208767</v>
      </c>
      <c r="H74" s="412" t="b">
        <f>Wh_hp&gt;='2020'!Maxi_hp</f>
        <v>1</v>
      </c>
      <c r="I74" s="379">
        <f>IF(H74,Wh_hp,'2020'!Maxi_hp)</f>
        <v>39.577721571938064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1.4743081169080074E-2</v>
      </c>
      <c r="M74" s="832"/>
      <c r="N74" s="832"/>
      <c r="O74" s="48">
        <f>IF(t&lt;Tnet,'2020'!Resal+('2020'!Salim-'2020'!Resal)*(1-EXP(('2020'!Tnet-t)/('2020'!Tau_j))),Resal+(Salim-Resal)*(1-EXP((Tnet-t)/(Tau_j))))*Salcycl</f>
        <v>5.3367850509684248E-2</v>
      </c>
      <c r="P74" s="169">
        <f>(INDEX(Models!$BJ74:$BT74,,T74)*(1-R74)+INDEX(Models!$BJ74:$BT74,,T74+1)*R74-ERP_i)*Q74*Ramure*Pc/MaxiM</f>
        <v>4.2065931048416928E-4</v>
      </c>
      <c r="Q74" s="304">
        <f t="shared" si="2"/>
        <v>0.6</v>
      </c>
      <c r="R74" s="177">
        <f t="shared" si="3"/>
        <v>0.50618419827692085</v>
      </c>
      <c r="S74" s="799">
        <f t="shared" si="4"/>
        <v>-1</v>
      </c>
      <c r="T74" s="176">
        <f t="shared" si="5"/>
        <v>5</v>
      </c>
      <c r="U74" s="250">
        <f t="shared" si="20"/>
        <v>-0.4938158017230791</v>
      </c>
      <c r="V74" s="382">
        <f t="shared" si="6"/>
        <v>41.255235997728846</v>
      </c>
      <c r="W74" s="400"/>
      <c r="X74" s="157">
        <f t="shared" si="7"/>
        <v>44256</v>
      </c>
      <c r="Y74" s="383">
        <f t="shared" si="8"/>
        <v>36.9</v>
      </c>
      <c r="Z74" s="383">
        <f t="shared" si="9"/>
        <v>37.452160238351404</v>
      </c>
      <c r="AA74" s="384">
        <f t="shared" si="10"/>
        <v>39.563583656562201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5.3367850509684248E-2</v>
      </c>
      <c r="AD74" s="230">
        <f>(INDEX(Models!$BJ74:$BT74,,AH74)*(1-AF74)+INDEX(Models!$BJ74:$BT74,,AH74+1)*AF74-ERP_i)*AE74*Ramure*Pc/MaxiM</f>
        <v>4.2065931048416928E-4</v>
      </c>
      <c r="AE74" s="304">
        <f t="shared" si="12"/>
        <v>0.6</v>
      </c>
      <c r="AF74" s="177">
        <f t="shared" si="21"/>
        <v>0.50618419827692085</v>
      </c>
      <c r="AG74" s="799">
        <f t="shared" si="22"/>
        <v>-1</v>
      </c>
      <c r="AH74" s="176">
        <f t="shared" si="13"/>
        <v>5</v>
      </c>
      <c r="AI74" s="224">
        <f t="shared" si="23"/>
        <v>-0.4938158017230791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16.539000000000001</v>
      </c>
      <c r="C75" s="388"/>
      <c r="D75" s="391">
        <f t="shared" si="0"/>
        <v>16.786806218891282</v>
      </c>
      <c r="E75" s="383">
        <f t="shared" si="17"/>
        <v>17.734854627441575</v>
      </c>
      <c r="F75" s="383">
        <f t="shared" si="1"/>
        <v>17.735844097548878</v>
      </c>
      <c r="G75" s="110">
        <f t="shared" si="18"/>
        <v>0.39736449693422593</v>
      </c>
      <c r="H75" s="412" t="b">
        <f>Wh_hp&gt;='2020'!Maxi_hp</f>
        <v>0</v>
      </c>
      <c r="I75" s="379">
        <f>IF(H75,Wh_hp,'2020'!Maxi_hp)</f>
        <v>30.966593074683484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1.4761963393156274E-2</v>
      </c>
      <c r="M75" s="832"/>
      <c r="N75" s="832"/>
      <c r="O75" s="48">
        <f>IF(t&lt;Tnet,'2020'!Resal+('2020'!Salim-'2020'!Resal)*(1-EXP(('2020'!Tnet-t)/('2020'!Tau_j))),Resal+(Salim-Resal)*(1-EXP((Tnet-t)/(Tau_j))))*Salcycl</f>
        <v>5.3456790510329436E-2</v>
      </c>
      <c r="P75" s="169">
        <f>(INDEX(Models!$BJ75:$BT75,,T75)*(1-R75)+INDEX(Models!$BJ75:$BT75,,T75+1)*R75-ERP_i)*Q75*Ramure*Pc/MaxiM</f>
        <v>4.0053214713728873E-4</v>
      </c>
      <c r="Q75" s="304">
        <f t="shared" si="2"/>
        <v>0.6</v>
      </c>
      <c r="R75" s="177">
        <f t="shared" si="3"/>
        <v>0.50650481924618251</v>
      </c>
      <c r="S75" s="799">
        <f t="shared" si="4"/>
        <v>-1</v>
      </c>
      <c r="T75" s="176">
        <f t="shared" si="5"/>
        <v>5</v>
      </c>
      <c r="U75" s="250">
        <f t="shared" si="20"/>
        <v>-0.49349518075381754</v>
      </c>
      <c r="V75" s="382">
        <f t="shared" si="6"/>
        <v>41.607385932294953</v>
      </c>
      <c r="W75" s="400"/>
      <c r="X75" s="157">
        <f t="shared" si="7"/>
        <v>44257</v>
      </c>
      <c r="Y75" s="383">
        <f t="shared" si="8"/>
        <v>16.539000000000001</v>
      </c>
      <c r="Z75" s="383">
        <f t="shared" si="9"/>
        <v>16.786806218891282</v>
      </c>
      <c r="AA75" s="384">
        <f t="shared" si="10"/>
        <v>17.734854627441575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5.3456790510329436E-2</v>
      </c>
      <c r="AD75" s="230">
        <f>(INDEX(Models!$BJ75:$BT75,,AH75)*(1-AF75)+INDEX(Models!$BJ75:$BT75,,AH75+1)*AF75-ERP_i)*AE75*Ramure*Pc/MaxiM</f>
        <v>4.0053214713728873E-4</v>
      </c>
      <c r="AE75" s="304">
        <f t="shared" si="12"/>
        <v>0.6</v>
      </c>
      <c r="AF75" s="177">
        <f t="shared" si="21"/>
        <v>0.50650481924618251</v>
      </c>
      <c r="AG75" s="799">
        <f t="shared" si="22"/>
        <v>-1</v>
      </c>
      <c r="AH75" s="176">
        <f t="shared" si="13"/>
        <v>5</v>
      </c>
      <c r="AI75" s="224">
        <f t="shared" si="23"/>
        <v>-0.49349518075381754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15.385</v>
      </c>
      <c r="C76" s="388"/>
      <c r="D76" s="391">
        <f t="shared" si="0"/>
        <v>15.61581494422694</v>
      </c>
      <c r="E76" s="383">
        <f t="shared" si="17"/>
        <v>16.499279690635241</v>
      </c>
      <c r="F76" s="383">
        <f t="shared" si="1"/>
        <v>16.49987916179121</v>
      </c>
      <c r="G76" s="110">
        <f t="shared" si="18"/>
        <v>0.36653299361920066</v>
      </c>
      <c r="H76" s="412" t="b">
        <f>Wh_hp&gt;='2020'!Maxi_hp</f>
        <v>0</v>
      </c>
      <c r="I76" s="379">
        <f>IF(H76,Wh_hp,'2020'!Maxi_hp)</f>
        <v>24.214132661085298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1.4780845255358943E-2</v>
      </c>
      <c r="M76" s="832"/>
      <c r="N76" s="832"/>
      <c r="O76" s="48">
        <f>IF(t&lt;Tnet,'2020'!Resal+('2020'!Salim-'2020'!Resal)*(1-EXP(('2020'!Tnet-t)/('2020'!Tau_j))),Resal+(Salim-Resal)*(1-EXP((Tnet-t)/(Tau_j))))*Salcycl</f>
        <v>5.3545655505781949E-2</v>
      </c>
      <c r="P76" s="169">
        <f>(INDEX(Models!$BJ76:$BT76,,T76)*(1-R76)+INDEX(Models!$BJ76:$BT76,,T76+1)*R76-ERP_i)*Q76*Ramure*Pc/MaxiM</f>
        <v>3.8152507123975587E-4</v>
      </c>
      <c r="Q76" s="304">
        <f t="shared" si="2"/>
        <v>0.6</v>
      </c>
      <c r="R76" s="177">
        <f t="shared" si="3"/>
        <v>0.50683844765604036</v>
      </c>
      <c r="S76" s="799">
        <f t="shared" si="4"/>
        <v>-1</v>
      </c>
      <c r="T76" s="176">
        <f t="shared" si="5"/>
        <v>5</v>
      </c>
      <c r="U76" s="250">
        <f t="shared" si="20"/>
        <v>-0.49316155234395964</v>
      </c>
      <c r="V76" s="382">
        <f t="shared" si="6"/>
        <v>41.959903411399893</v>
      </c>
      <c r="W76" s="400"/>
      <c r="X76" s="157">
        <f t="shared" si="7"/>
        <v>44258</v>
      </c>
      <c r="Y76" s="383">
        <f t="shared" si="8"/>
        <v>15.385000000000002</v>
      </c>
      <c r="Z76" s="383">
        <f t="shared" si="9"/>
        <v>15.615814944226942</v>
      </c>
      <c r="AA76" s="384">
        <f t="shared" si="10"/>
        <v>16.499279690635241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5.3545655505781949E-2</v>
      </c>
      <c r="AD76" s="230">
        <f>(INDEX(Models!$BJ76:$BT76,,AH76)*(1-AF76)+INDEX(Models!$BJ76:$BT76,,AH76+1)*AF76-ERP_i)*AE76*Ramure*Pc/MaxiM</f>
        <v>3.8152507123975587E-4</v>
      </c>
      <c r="AE76" s="304">
        <f t="shared" si="12"/>
        <v>0.6</v>
      </c>
      <c r="AF76" s="177">
        <f t="shared" si="21"/>
        <v>0.50683844765604036</v>
      </c>
      <c r="AG76" s="799">
        <f t="shared" si="22"/>
        <v>-1</v>
      </c>
      <c r="AH76" s="176">
        <f t="shared" si="13"/>
        <v>5</v>
      </c>
      <c r="AI76" s="224">
        <f t="shared" si="23"/>
        <v>-0.49316155234395964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29.865000000000002</v>
      </c>
      <c r="C77" s="388"/>
      <c r="D77" s="391">
        <f t="shared" si="0"/>
        <v>30.313633492663708</v>
      </c>
      <c r="E77" s="383">
        <f t="shared" si="17"/>
        <v>32.031632581877773</v>
      </c>
      <c r="F77" s="383">
        <f t="shared" si="1"/>
        <v>32.038386239307918</v>
      </c>
      <c r="G77" s="110">
        <f t="shared" si="18"/>
        <v>0.70570710898743572</v>
      </c>
      <c r="H77" s="412" t="b">
        <f>Wh_hp&gt;='2020'!Maxi_hp</f>
        <v>1</v>
      </c>
      <c r="I77" s="379">
        <f>IF(H77,Wh_hp,'2020'!Maxi_hp)</f>
        <v>32.038386239307918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1.4799726755694964E-2</v>
      </c>
      <c r="M77" s="832"/>
      <c r="N77" s="832"/>
      <c r="O77" s="48">
        <f>IF(t&lt;Tnet,'2020'!Resal+('2020'!Salim-'2020'!Resal)*(1-EXP(('2020'!Tnet-t)/('2020'!Tau_j))),Resal+(Salim-Resal)*(1-EXP((Tnet-t)/(Tau_j))))*Salcycl</f>
        <v>5.3634452905970173E-2</v>
      </c>
      <c r="P77" s="169">
        <f>(INDEX(Models!$BJ77:$BT77,,T77)*(1-R77)+INDEX(Models!$BJ77:$BT77,,T77+1)*R77-ERP_i)*Q77*Ramure*Pc/MaxiM</f>
        <v>3.6361211988678098E-4</v>
      </c>
      <c r="Q77" s="304">
        <f t="shared" si="2"/>
        <v>0.6</v>
      </c>
      <c r="R77" s="177">
        <f t="shared" si="3"/>
        <v>0.50718559220113857</v>
      </c>
      <c r="S77" s="799">
        <f t="shared" si="4"/>
        <v>-1</v>
      </c>
      <c r="T77" s="176">
        <f t="shared" si="5"/>
        <v>5</v>
      </c>
      <c r="U77" s="250">
        <f t="shared" si="20"/>
        <v>-0.49281440779886138</v>
      </c>
      <c r="V77" s="382">
        <f t="shared" si="6"/>
        <v>42.312787970335087</v>
      </c>
      <c r="W77" s="400"/>
      <c r="X77" s="157">
        <f t="shared" si="7"/>
        <v>44259</v>
      </c>
      <c r="Y77" s="383">
        <f t="shared" si="8"/>
        <v>29.865000000000006</v>
      </c>
      <c r="Z77" s="383">
        <f t="shared" si="9"/>
        <v>30.313633492663712</v>
      </c>
      <c r="AA77" s="384">
        <f t="shared" si="10"/>
        <v>32.031632581877773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5.3634452905970173E-2</v>
      </c>
      <c r="AD77" s="230">
        <f>(INDEX(Models!$BJ77:$BT77,,AH77)*(1-AF77)+INDEX(Models!$BJ77:$BT77,,AH77+1)*AF77-ERP_i)*AE77*Ramure*Pc/MaxiM</f>
        <v>3.6361211988678098E-4</v>
      </c>
      <c r="AE77" s="304">
        <f t="shared" si="12"/>
        <v>0.6</v>
      </c>
      <c r="AF77" s="177">
        <f t="shared" si="21"/>
        <v>0.50718559220113857</v>
      </c>
      <c r="AG77" s="799">
        <f t="shared" si="22"/>
        <v>-1</v>
      </c>
      <c r="AH77" s="176">
        <f t="shared" si="13"/>
        <v>5</v>
      </c>
      <c r="AI77" s="224">
        <f t="shared" si="23"/>
        <v>-0.49281440779886138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35.448999999999998</v>
      </c>
      <c r="C78" s="388"/>
      <c r="D78" s="391">
        <f t="shared" si="0"/>
        <v>35.982206204917901</v>
      </c>
      <c r="E78" s="383">
        <f t="shared" si="17"/>
        <v>38.025032285909532</v>
      </c>
      <c r="F78" s="383">
        <f t="shared" si="1"/>
        <v>38.035034481034316</v>
      </c>
      <c r="G78" s="110">
        <f t="shared" si="18"/>
        <v>0.83077851928054958</v>
      </c>
      <c r="H78" s="412" t="b">
        <f>Wh_hp&gt;='2020'!Maxi_hp</f>
        <v>1</v>
      </c>
      <c r="I78" s="379">
        <f>IF(H78,Wh_hp,'2020'!Maxi_hp)</f>
        <v>38.035034481034316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1.4818607894171443E-2</v>
      </c>
      <c r="M78" s="832"/>
      <c r="N78" s="832"/>
      <c r="O78" s="48">
        <f>IF(t&lt;Tnet,'2020'!Resal+('2020'!Salim-'2020'!Resal)*(1-EXP(('2020'!Tnet-t)/('2020'!Tau_j))),Resal+(Salim-Resal)*(1-EXP((Tnet-t)/(Tau_j))))*Salcycl</f>
        <v>5.3723191229179269E-2</v>
      </c>
      <c r="P78" s="169">
        <f>(INDEX(Models!$BJ78:$BT78,,T78)*(1-R78)+INDEX(Models!$BJ78:$BT78,,T78+1)*R78-ERP_i)*Q78*Ramure*Pc/MaxiM</f>
        <v>3.4676817528804505E-4</v>
      </c>
      <c r="Q78" s="304">
        <f t="shared" si="2"/>
        <v>0.6</v>
      </c>
      <c r="R78" s="177">
        <f t="shared" si="3"/>
        <v>0.5075467798730342</v>
      </c>
      <c r="S78" s="799">
        <f t="shared" si="4"/>
        <v>-1</v>
      </c>
      <c r="T78" s="176">
        <f t="shared" si="5"/>
        <v>5</v>
      </c>
      <c r="U78" s="250">
        <f t="shared" si="20"/>
        <v>-0.49245322012696574</v>
      </c>
      <c r="V78" s="382">
        <f t="shared" si="6"/>
        <v>42.666039080586479</v>
      </c>
      <c r="W78" s="400"/>
      <c r="X78" s="157">
        <f t="shared" si="7"/>
        <v>44260</v>
      </c>
      <c r="Y78" s="383">
        <f t="shared" si="8"/>
        <v>35.448999999999998</v>
      </c>
      <c r="Z78" s="383">
        <f t="shared" si="9"/>
        <v>35.982206204917901</v>
      </c>
      <c r="AA78" s="384">
        <f t="shared" si="10"/>
        <v>38.025032285909532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5.3723191229179269E-2</v>
      </c>
      <c r="AD78" s="230">
        <f>(INDEX(Models!$BJ78:$BT78,,AH78)*(1-AF78)+INDEX(Models!$BJ78:$BT78,,AH78+1)*AF78-ERP_i)*AE78*Ramure*Pc/MaxiM</f>
        <v>3.4676817528804505E-4</v>
      </c>
      <c r="AE78" s="304">
        <f t="shared" si="12"/>
        <v>0.6</v>
      </c>
      <c r="AF78" s="177">
        <f t="shared" si="21"/>
        <v>0.5075467798730342</v>
      </c>
      <c r="AG78" s="799">
        <f t="shared" si="22"/>
        <v>-1</v>
      </c>
      <c r="AH78" s="176">
        <f t="shared" si="13"/>
        <v>5</v>
      </c>
      <c r="AI78" s="224">
        <f t="shared" si="23"/>
        <v>-0.49245322012696574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11.215</v>
      </c>
      <c r="C79" s="388"/>
      <c r="D79" s="391">
        <f t="shared" ref="D79:D142" si="24">Wh/(1-Ppv)</f>
        <v>11.383908615106002</v>
      </c>
      <c r="E79" s="383">
        <f t="shared" si="17"/>
        <v>12.031337506430724</v>
      </c>
      <c r="F79" s="383">
        <f t="shared" ref="F79:F142" si="25">Wh_sa/(1-Pvg*MEDIAN((-Sdif+Wh/Env_an)/Csdif,0,1))</f>
        <v>12.031337506430724</v>
      </c>
      <c r="G79" s="110">
        <f t="shared" si="18"/>
        <v>0.26060179036575737</v>
      </c>
      <c r="H79" s="412" t="b">
        <f>Wh_hp&gt;='2020'!Maxi_hp</f>
        <v>1</v>
      </c>
      <c r="I79" s="379">
        <f>IF(H79,Wh_hp,'2020'!Maxi_hp)</f>
        <v>12.031337506430724</v>
      </c>
      <c r="J79" s="85">
        <f>IF(H79,An,'2020'!An_max)</f>
        <v>2021</v>
      </c>
      <c r="K79" s="197">
        <f t="shared" ref="K79:K142" si="26">t</f>
        <v>44261</v>
      </c>
      <c r="L79" s="147">
        <f>IF(t&lt;Tvie,1-EXP((T0-t)*PertePVj)+'2020'!Pspv,1-EXP((T0-t)*PertePVj)+Pspv)</f>
        <v>1.4837488670795151E-2</v>
      </c>
      <c r="M79" s="832"/>
      <c r="N79" s="832"/>
      <c r="O79" s="48">
        <f>IF(t&lt;Tnet,'2020'!Resal+('2020'!Salim-'2020'!Resal)*(1-EXP(('2020'!Tnet-t)/('2020'!Tau_j))),Resal+(Salim-Resal)*(1-EXP((Tnet-t)/(Tau_j))))*Salcycl</f>
        <v>5.3811880098839665E-2</v>
      </c>
      <c r="P79" s="169">
        <f>(INDEX(Models!$BJ79:$BT79,,T79)*(1-R79)+INDEX(Models!$BJ79:$BT79,,T79+1)*R79-ERP_i)*Q79*Ramure*Pc/MaxiM</f>
        <v>3.3096040191656171E-4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0.50792255648293239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-0.49207744351706761</v>
      </c>
      <c r="V79" s="382">
        <f t="shared" ref="V79:V142" si="32">MaxiM*(1-Ppv)*(1-Pvg)*(1-Psa)</f>
        <v>43.020764605482341</v>
      </c>
      <c r="W79" s="400"/>
      <c r="X79" s="157">
        <f t="shared" ref="X79:X142" si="33">t</f>
        <v>44261</v>
      </c>
      <c r="Y79" s="383">
        <f t="shared" ref="Y79:Y142" si="34">Wh_pvt_s*(1-Ppv)</f>
        <v>11.215</v>
      </c>
      <c r="Z79" s="383">
        <f t="shared" ref="Z79:Z142" si="35">Wh_sa_s*(1-Psa_s)</f>
        <v>11.383908615106002</v>
      </c>
      <c r="AA79" s="384">
        <f t="shared" ref="AA79:AA142" si="36">Wh_hp*(1-Pvg_s*MEDIAN((-Sdif+Wh/Env_an)/Csdif,0,1))</f>
        <v>12.031337506430724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5.3811880098839665E-2</v>
      </c>
      <c r="AD79" s="230">
        <f>(INDEX(Models!$BJ79:$BT79,,AH79)*(1-AF79)+INDEX(Models!$BJ79:$BT79,,AH79+1)*AF79-ERP_i)*AE79*Ramure*Pc/MaxiM</f>
        <v>3.3096040191656171E-4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0.50792255648293239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-0.49207744351706761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10.997</v>
      </c>
      <c r="C80" s="388"/>
      <c r="D80" s="391">
        <f t="shared" si="24"/>
        <v>11.162839260090834</v>
      </c>
      <c r="E80" s="383">
        <f t="shared" ref="E80:E143" si="45">Wh_pvt/(1-Psa)</f>
        <v>11.798800883848019</v>
      </c>
      <c r="F80" s="383">
        <f t="shared" si="25"/>
        <v>11.798800883848019</v>
      </c>
      <c r="G80" s="110">
        <f t="shared" ref="G80:G143" si="46">+Wh_hp/MaxiM</f>
        <v>0.25343702795295892</v>
      </c>
      <c r="H80" s="412" t="b">
        <f>Wh_hp&gt;='2020'!Maxi_hp</f>
        <v>0</v>
      </c>
      <c r="I80" s="379">
        <f>IF(H80,Wh_hp,'2020'!Maxi_hp)</f>
        <v>22.040240976103327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1.4856369085573085E-2</v>
      </c>
      <c r="M80" s="832"/>
      <c r="N80" s="832"/>
      <c r="O80" s="48">
        <f>IF(t&lt;Tnet,'2020'!Resal+('2020'!Salim-'2020'!Resal)*(1-EXP(('2020'!Tnet-t)/('2020'!Tau_j))),Resal+(Salim-Resal)*(1-EXP((Tnet-t)/(Tau_j))))*Salcycl</f>
        <v>5.390053023335499E-2</v>
      </c>
      <c r="P80" s="169">
        <f>(INDEX(Models!$BJ80:$BT80,,T80)*(1-R80)+INDEX(Models!$BJ80:$BT80,,T80+1)*R80-ERP_i)*Q80*Ramure*Pc/MaxiM</f>
        <v>3.1640267853163124E-4</v>
      </c>
      <c r="Q80" s="304">
        <f t="shared" si="27"/>
        <v>0.6</v>
      </c>
      <c r="R80" s="177">
        <f t="shared" si="28"/>
        <v>0.50831348718736802</v>
      </c>
      <c r="S80" s="799">
        <f t="shared" si="29"/>
        <v>-1</v>
      </c>
      <c r="T80" s="176">
        <f t="shared" si="30"/>
        <v>5</v>
      </c>
      <c r="U80" s="250">
        <f t="shared" si="31"/>
        <v>-0.49168651281263204</v>
      </c>
      <c r="V80" s="382">
        <f t="shared" si="32"/>
        <v>43.377720329740932</v>
      </c>
      <c r="W80" s="400"/>
      <c r="X80" s="157">
        <f t="shared" si="33"/>
        <v>44262</v>
      </c>
      <c r="Y80" s="383">
        <f t="shared" si="34"/>
        <v>10.997</v>
      </c>
      <c r="Z80" s="383">
        <f t="shared" si="35"/>
        <v>11.162839260090834</v>
      </c>
      <c r="AA80" s="384">
        <f t="shared" si="36"/>
        <v>11.798800883848019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5.390053023335499E-2</v>
      </c>
      <c r="AD80" s="230">
        <f>(INDEX(Models!$BJ80:$BT80,,AH80)*(1-AF80)+INDEX(Models!$BJ80:$BT80,,AH80+1)*AF80-ERP_i)*AE80*Ramure*Pc/MaxiM</f>
        <v>3.1640267853163124E-4</v>
      </c>
      <c r="AE80" s="304">
        <f t="shared" si="38"/>
        <v>0.6</v>
      </c>
      <c r="AF80" s="177">
        <f t="shared" si="39"/>
        <v>0.50831348718736802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-0.49168651281263204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22.77</v>
      </c>
      <c r="C81" s="388"/>
      <c r="D81" s="391">
        <f t="shared" si="24"/>
        <v>23.113823888890948</v>
      </c>
      <c r="E81" s="383">
        <f t="shared" si="45"/>
        <v>24.432937500321991</v>
      </c>
      <c r="F81" s="383">
        <f t="shared" si="25"/>
        <v>24.435269528713803</v>
      </c>
      <c r="G81" s="110">
        <f t="shared" si="46"/>
        <v>0.52051095042586026</v>
      </c>
      <c r="H81" s="412" t="b">
        <f>Wh_hp&gt;='2020'!Maxi_hp</f>
        <v>0</v>
      </c>
      <c r="I81" s="379">
        <f>IF(H81,Wh_hp,'2020'!Maxi_hp)</f>
        <v>28.71098765149868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1.4875249138512237E-2</v>
      </c>
      <c r="M81" s="832"/>
      <c r="N81" s="832"/>
      <c r="O81" s="48">
        <f>IF(t&lt;Tnet,'2020'!Resal+('2020'!Salim-'2020'!Resal)*(1-EXP(('2020'!Tnet-t)/('2020'!Tau_j))),Resal+(Salim-Resal)*(1-EXP((Tnet-t)/(Tau_j))))*Salcycl</f>
        <v>5.398915342920433E-2</v>
      </c>
      <c r="P81" s="169">
        <f>(INDEX(Models!$BJ81:$BT81,,T81)*(1-R81)+INDEX(Models!$BJ81:$BT81,,T81+1)*R81-ERP_i)*Q81*Ramure*Pc/MaxiM</f>
        <v>3.0281123066756182E-4</v>
      </c>
      <c r="Q81" s="304">
        <f t="shared" si="27"/>
        <v>0.6</v>
      </c>
      <c r="R81" s="177">
        <f t="shared" si="28"/>
        <v>0.50872015701557805</v>
      </c>
      <c r="S81" s="799">
        <f t="shared" si="29"/>
        <v>-1</v>
      </c>
      <c r="T81" s="176">
        <f t="shared" si="30"/>
        <v>5</v>
      </c>
      <c r="U81" s="250">
        <f t="shared" si="31"/>
        <v>-0.49127984298442195</v>
      </c>
      <c r="V81" s="382">
        <f t="shared" si="32"/>
        <v>43.736404813495156</v>
      </c>
      <c r="W81" s="400"/>
      <c r="X81" s="157">
        <f t="shared" si="33"/>
        <v>44263</v>
      </c>
      <c r="Y81" s="383">
        <f t="shared" si="34"/>
        <v>22.77</v>
      </c>
      <c r="Z81" s="383">
        <f t="shared" si="35"/>
        <v>23.113823888890948</v>
      </c>
      <c r="AA81" s="384">
        <f t="shared" si="36"/>
        <v>24.432937500321991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5.398915342920433E-2</v>
      </c>
      <c r="AD81" s="230">
        <f>(INDEX(Models!$BJ81:$BT81,,AH81)*(1-AF81)+INDEX(Models!$BJ81:$BT81,,AH81+1)*AF81-ERP_i)*AE81*Ramure*Pc/MaxiM</f>
        <v>3.0281123066756182E-4</v>
      </c>
      <c r="AE81" s="304">
        <f t="shared" si="38"/>
        <v>0.6</v>
      </c>
      <c r="AF81" s="177">
        <f t="shared" si="39"/>
        <v>0.50872015701557805</v>
      </c>
      <c r="AG81" s="799">
        <f t="shared" si="47"/>
        <v>-1</v>
      </c>
      <c r="AH81" s="176">
        <f t="shared" si="40"/>
        <v>5</v>
      </c>
      <c r="AI81" s="224">
        <f t="shared" si="41"/>
        <v>-0.49127984298442195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42.128999999999998</v>
      </c>
      <c r="C82" s="388"/>
      <c r="D82" s="391">
        <f t="shared" si="24"/>
        <v>42.76596174373374</v>
      </c>
      <c r="E82" s="383">
        <f t="shared" si="45"/>
        <v>45.210864117605865</v>
      </c>
      <c r="F82" s="383">
        <f t="shared" si="25"/>
        <v>45.223150143497143</v>
      </c>
      <c r="G82" s="110">
        <f t="shared" si="46"/>
        <v>0.95536848981380529</v>
      </c>
      <c r="H82" s="412" t="b">
        <f>Wh_hp&gt;='2020'!Maxi_hp</f>
        <v>1</v>
      </c>
      <c r="I82" s="379">
        <f>IF(H82,Wh_hp,'2020'!Maxi_hp)</f>
        <v>45.223150143497143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1.489412882961938E-2</v>
      </c>
      <c r="M82" s="832"/>
      <c r="N82" s="832"/>
      <c r="O82" s="48">
        <f>IF(t&lt;Tnet,'2020'!Resal+('2020'!Salim-'2020'!Resal)*(1-EXP(('2020'!Tnet-t)/('2020'!Tau_j))),Resal+(Salim-Resal)*(1-EXP((Tnet-t)/(Tau_j))))*Salcycl</f>
        <v>5.4077762537611734E-2</v>
      </c>
      <c r="P82" s="169">
        <f>(INDEX(Models!$BJ82:$BT82,,T82)*(1-R82)+INDEX(Models!$BJ82:$BT82,,T82+1)*R82-ERP_i)*Q82*Ramure*Pc/MaxiM</f>
        <v>2.9016924988996154E-4</v>
      </c>
      <c r="Q82" s="304">
        <f t="shared" si="27"/>
        <v>0.6</v>
      </c>
      <c r="R82" s="177">
        <f t="shared" si="28"/>
        <v>0.50914317139716503</v>
      </c>
      <c r="S82" s="799">
        <f t="shared" si="29"/>
        <v>-1</v>
      </c>
      <c r="T82" s="176">
        <f t="shared" si="30"/>
        <v>5</v>
      </c>
      <c r="U82" s="250">
        <f t="shared" si="31"/>
        <v>-0.49085682860283503</v>
      </c>
      <c r="V82" s="382">
        <f t="shared" si="32"/>
        <v>44.096305371123698</v>
      </c>
      <c r="W82" s="400"/>
      <c r="X82" s="157">
        <f t="shared" si="33"/>
        <v>44264</v>
      </c>
      <c r="Y82" s="383">
        <f t="shared" si="34"/>
        <v>42.128999999999998</v>
      </c>
      <c r="Z82" s="383">
        <f t="shared" si="35"/>
        <v>42.76596174373374</v>
      </c>
      <c r="AA82" s="384">
        <f t="shared" si="36"/>
        <v>45.210864117605865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5.4077762537611734E-2</v>
      </c>
      <c r="AD82" s="230">
        <f>(INDEX(Models!$BJ82:$BT82,,AH82)*(1-AF82)+INDEX(Models!$BJ82:$BT82,,AH82+1)*AF82-ERP_i)*AE82*Ramure*Pc/MaxiM</f>
        <v>2.9016924988996154E-4</v>
      </c>
      <c r="AE82" s="304">
        <f t="shared" si="38"/>
        <v>0.6</v>
      </c>
      <c r="AF82" s="177">
        <f t="shared" si="39"/>
        <v>0.50914317139716503</v>
      </c>
      <c r="AG82" s="799">
        <f t="shared" si="47"/>
        <v>-1</v>
      </c>
      <c r="AH82" s="176">
        <f t="shared" si="40"/>
        <v>5</v>
      </c>
      <c r="AI82" s="224">
        <f t="shared" si="41"/>
        <v>-0.49085682860283503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41.863</v>
      </c>
      <c r="C83" s="388"/>
      <c r="D83" s="391">
        <f t="shared" si="24"/>
        <v>42.496754445776709</v>
      </c>
      <c r="E83" s="383">
        <f t="shared" si="45"/>
        <v>44.930475257321646</v>
      </c>
      <c r="F83" s="383">
        <f t="shared" si="25"/>
        <v>44.941946667610743</v>
      </c>
      <c r="G83" s="110">
        <f t="shared" si="46"/>
        <v>0.94163153925080156</v>
      </c>
      <c r="H83" s="412" t="b">
        <f>Wh_hp&gt;='2020'!Maxi_hp</f>
        <v>1</v>
      </c>
      <c r="I83" s="379">
        <f>IF(H83,Wh_hp,'2020'!Maxi_hp)</f>
        <v>44.941946667610743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1.4913008158901619E-2</v>
      </c>
      <c r="M83" s="832"/>
      <c r="N83" s="832"/>
      <c r="O83" s="48">
        <f>IF(t&lt;Tnet,'2020'!Resal+('2020'!Salim-'2020'!Resal)*(1-EXP(('2020'!Tnet-t)/('2020'!Tau_j))),Resal+(Salim-Resal)*(1-EXP((Tnet-t)/(Tau_j))))*Salcycl</f>
        <v>5.4166371435128507E-2</v>
      </c>
      <c r="P83" s="169">
        <f>(INDEX(Models!$BJ83:$BT83,,T83)*(1-R83)+INDEX(Models!$BJ83:$BT83,,T83+1)*R83-ERP_i)*Q83*Ramure*Pc/MaxiM</f>
        <v>2.78459778072383E-4</v>
      </c>
      <c r="Q83" s="304">
        <f t="shared" si="27"/>
        <v>0.6</v>
      </c>
      <c r="R83" s="177">
        <f t="shared" si="28"/>
        <v>0.50958315668850174</v>
      </c>
      <c r="S83" s="799">
        <f t="shared" si="29"/>
        <v>-1</v>
      </c>
      <c r="T83" s="176">
        <f t="shared" si="30"/>
        <v>5</v>
      </c>
      <c r="U83" s="250">
        <f t="shared" si="31"/>
        <v>-0.49041684331149826</v>
      </c>
      <c r="V83" s="382">
        <f t="shared" si="32"/>
        <v>44.456909476686242</v>
      </c>
      <c r="W83" s="400"/>
      <c r="X83" s="157">
        <f t="shared" si="33"/>
        <v>44265</v>
      </c>
      <c r="Y83" s="383">
        <f t="shared" si="34"/>
        <v>41.863</v>
      </c>
      <c r="Z83" s="383">
        <f t="shared" si="35"/>
        <v>42.496754445776709</v>
      </c>
      <c r="AA83" s="384">
        <f t="shared" si="36"/>
        <v>44.930475257321646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5.4166371435128507E-2</v>
      </c>
      <c r="AD83" s="230">
        <f>(INDEX(Models!$BJ83:$BT83,,AH83)*(1-AF83)+INDEX(Models!$BJ83:$BT83,,AH83+1)*AF83-ERP_i)*AE83*Ramure*Pc/MaxiM</f>
        <v>2.78459778072383E-4</v>
      </c>
      <c r="AE83" s="304">
        <f t="shared" si="38"/>
        <v>0.6</v>
      </c>
      <c r="AF83" s="177">
        <f t="shared" si="39"/>
        <v>0.50958315668850174</v>
      </c>
      <c r="AG83" s="799">
        <f t="shared" si="47"/>
        <v>-1</v>
      </c>
      <c r="AH83" s="176">
        <f t="shared" si="40"/>
        <v>5</v>
      </c>
      <c r="AI83" s="224">
        <f t="shared" si="41"/>
        <v>-0.49041684331149826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30.663</v>
      </c>
      <c r="C84" s="388"/>
      <c r="D84" s="391">
        <f t="shared" si="24"/>
        <v>31.127796747526521</v>
      </c>
      <c r="E84" s="383">
        <f t="shared" si="45"/>
        <v>32.913519587818172</v>
      </c>
      <c r="F84" s="383">
        <f t="shared" si="25"/>
        <v>32.918355275857436</v>
      </c>
      <c r="G84" s="110">
        <f t="shared" si="46"/>
        <v>0.68408894560429523</v>
      </c>
      <c r="H84" s="412" t="b">
        <f>Wh_hp&gt;='2020'!Maxi_hp</f>
        <v>0</v>
      </c>
      <c r="I84" s="379">
        <f>IF(H84,Wh_hp,'2020'!Maxi_hp)</f>
        <v>33.644561072825525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1.4931887126365728E-2</v>
      </c>
      <c r="M84" s="832"/>
      <c r="N84" s="832"/>
      <c r="O84" s="48">
        <f>IF(t&lt;Tnet,'2020'!Resal+('2020'!Salim-'2020'!Resal)*(1-EXP(('2020'!Tnet-t)/('2020'!Tau_j))),Resal+(Salim-Resal)*(1-EXP((Tnet-t)/(Tau_j))))*Salcycl</f>
        <v>5.4254994988520731E-2</v>
      </c>
      <c r="P84" s="169">
        <f>(INDEX(Models!$BJ84:$BT84,,T84)*(1-R84)+INDEX(Models!$BJ84:$BT84,,T84+1)*R84-ERP_i)*Q84*Ramure*Pc/MaxiM</f>
        <v>2.6766584102382544E-4</v>
      </c>
      <c r="Q84" s="304">
        <f t="shared" si="27"/>
        <v>0.6</v>
      </c>
      <c r="R84" s="177">
        <f t="shared" si="28"/>
        <v>0.51004076069616655</v>
      </c>
      <c r="S84" s="799">
        <f t="shared" si="29"/>
        <v>-1</v>
      </c>
      <c r="T84" s="176">
        <f t="shared" si="30"/>
        <v>5</v>
      </c>
      <c r="U84" s="250">
        <f t="shared" si="31"/>
        <v>-0.48995923930383339</v>
      </c>
      <c r="V84" s="382">
        <f t="shared" si="32"/>
        <v>44.817704763205455</v>
      </c>
      <c r="W84" s="400"/>
      <c r="X84" s="157">
        <f t="shared" si="33"/>
        <v>44266</v>
      </c>
      <c r="Y84" s="383">
        <f t="shared" si="34"/>
        <v>30.662999999999997</v>
      </c>
      <c r="Z84" s="383">
        <f t="shared" si="35"/>
        <v>31.127796747526517</v>
      </c>
      <c r="AA84" s="384">
        <f t="shared" si="36"/>
        <v>32.913519587818172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5.4254994988520731E-2</v>
      </c>
      <c r="AD84" s="230">
        <f>(INDEX(Models!$BJ84:$BT84,,AH84)*(1-AF84)+INDEX(Models!$BJ84:$BT84,,AH84+1)*AF84-ERP_i)*AE84*Ramure*Pc/MaxiM</f>
        <v>2.6766584102382544E-4</v>
      </c>
      <c r="AE84" s="304">
        <f t="shared" si="38"/>
        <v>0.6</v>
      </c>
      <c r="AF84" s="177">
        <f t="shared" si="39"/>
        <v>0.51004076069616655</v>
      </c>
      <c r="AG84" s="799">
        <f t="shared" si="47"/>
        <v>-1</v>
      </c>
      <c r="AH84" s="176">
        <f t="shared" si="40"/>
        <v>5</v>
      </c>
      <c r="AI84" s="224">
        <f t="shared" si="41"/>
        <v>-0.48995923930383339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31.882000000000001</v>
      </c>
      <c r="C85" s="388"/>
      <c r="D85" s="391">
        <f t="shared" si="24"/>
        <v>32.365894912544597</v>
      </c>
      <c r="E85" s="383">
        <f t="shared" si="45"/>
        <v>34.225852635380107</v>
      </c>
      <c r="F85" s="383">
        <f t="shared" si="25"/>
        <v>34.230966553418121</v>
      </c>
      <c r="G85" s="110">
        <f t="shared" si="46"/>
        <v>0.70561817515089265</v>
      </c>
      <c r="H85" s="412" t="b">
        <f>Wh_hp&gt;='2020'!Maxi_hp</f>
        <v>0</v>
      </c>
      <c r="I85" s="379">
        <f>IF(H85,Wh_hp,'2020'!Maxi_hp)</f>
        <v>43.401527185164618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1.4950765732018811E-2</v>
      </c>
      <c r="M85" s="832"/>
      <c r="N85" s="832"/>
      <c r="O85" s="48">
        <f>IF(t&lt;Tnet,'2020'!Resal+('2020'!Salim-'2020'!Resal)*(1-EXP(('2020'!Tnet-t)/('2020'!Tau_j))),Resal+(Salim-Resal)*(1-EXP((Tnet-t)/(Tau_j))))*Salcycl</f>
        <v>5.4343649014395159E-2</v>
      </c>
      <c r="P85" s="169">
        <f>(INDEX(Models!$BJ85:$BT85,,T85)*(1-R85)+INDEX(Models!$BJ85:$BT85,,T85+1)*R85-ERP_i)*Q85*Ramure*Pc/MaxiM</f>
        <v>2.5777057617237364E-4</v>
      </c>
      <c r="Q85" s="304">
        <f t="shared" si="27"/>
        <v>0.6</v>
      </c>
      <c r="R85" s="177">
        <f t="shared" si="28"/>
        <v>0.51051665319552186</v>
      </c>
      <c r="S85" s="799">
        <f t="shared" si="29"/>
        <v>-1</v>
      </c>
      <c r="T85" s="176">
        <f t="shared" si="30"/>
        <v>5</v>
      </c>
      <c r="U85" s="250">
        <f t="shared" si="31"/>
        <v>-0.48948334680447819</v>
      </c>
      <c r="V85" s="382">
        <f t="shared" si="32"/>
        <v>45.178179021199789</v>
      </c>
      <c r="W85" s="400"/>
      <c r="X85" s="157">
        <f t="shared" si="33"/>
        <v>44267</v>
      </c>
      <c r="Y85" s="383">
        <f t="shared" si="34"/>
        <v>31.882000000000005</v>
      </c>
      <c r="Z85" s="383">
        <f t="shared" si="35"/>
        <v>32.365894912544597</v>
      </c>
      <c r="AA85" s="384">
        <f t="shared" si="36"/>
        <v>34.225852635380107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5.4343649014395159E-2</v>
      </c>
      <c r="AD85" s="230">
        <f>(INDEX(Models!$BJ85:$BT85,,AH85)*(1-AF85)+INDEX(Models!$BJ85:$BT85,,AH85+1)*AF85-ERP_i)*AE85*Ramure*Pc/MaxiM</f>
        <v>2.5777057617237364E-4</v>
      </c>
      <c r="AE85" s="304">
        <f t="shared" si="38"/>
        <v>0.6</v>
      </c>
      <c r="AF85" s="177">
        <f t="shared" si="39"/>
        <v>0.51051665319552186</v>
      </c>
      <c r="AG85" s="799">
        <f t="shared" si="47"/>
        <v>-1</v>
      </c>
      <c r="AH85" s="176">
        <f t="shared" si="40"/>
        <v>5</v>
      </c>
      <c r="AI85" s="224">
        <f t="shared" si="41"/>
        <v>-0.48948334680447819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40.475000000000001</v>
      </c>
      <c r="C86" s="388"/>
      <c r="D86" s="391">
        <f t="shared" si="24"/>
        <v>41.090104231273465</v>
      </c>
      <c r="E86" s="383">
        <f t="shared" si="45"/>
        <v>43.455488606704535</v>
      </c>
      <c r="F86" s="383">
        <f t="shared" si="25"/>
        <v>43.4645843753053</v>
      </c>
      <c r="G86" s="110">
        <f t="shared" si="46"/>
        <v>0.88878653344312375</v>
      </c>
      <c r="H86" s="412" t="b">
        <f>Wh_hp&gt;='2020'!Maxi_hp</f>
        <v>1</v>
      </c>
      <c r="I86" s="379">
        <f>IF(H86,Wh_hp,'2020'!Maxi_hp)</f>
        <v>43.4645843753053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1.4969643975867752E-2</v>
      </c>
      <c r="M86" s="832"/>
      <c r="N86" s="832"/>
      <c r="O86" s="48">
        <f>IF(t&lt;Tnet,'2020'!Resal+('2020'!Salim-'2020'!Resal)*(1-EXP(('2020'!Tnet-t)/('2020'!Tau_j))),Resal+(Salim-Resal)*(1-EXP((Tnet-t)/(Tau_j))))*Salcycl</f>
        <v>5.4432350234030563E-2</v>
      </c>
      <c r="P86" s="169">
        <f>(INDEX(Models!$BJ86:$BT86,,T86)*(1-R86)+INDEX(Models!$BJ86:$BT86,,T86+1)*R86-ERP_i)*Q86*Ramure*Pc/MaxiM</f>
        <v>2.4878152991996983E-4</v>
      </c>
      <c r="Q86" s="304">
        <f t="shared" si="27"/>
        <v>0.6</v>
      </c>
      <c r="R86" s="177">
        <f t="shared" si="28"/>
        <v>0.51101152644236758</v>
      </c>
      <c r="S86" s="799">
        <f t="shared" si="29"/>
        <v>-1</v>
      </c>
      <c r="T86" s="176">
        <f t="shared" si="30"/>
        <v>5</v>
      </c>
      <c r="U86" s="250">
        <f t="shared" si="31"/>
        <v>-0.48898847355763236</v>
      </c>
      <c r="V86" s="382">
        <f t="shared" si="32"/>
        <v>45.53781909676394</v>
      </c>
      <c r="W86" s="400"/>
      <c r="X86" s="157">
        <f t="shared" si="33"/>
        <v>44268</v>
      </c>
      <c r="Y86" s="383">
        <f t="shared" si="34"/>
        <v>40.475000000000001</v>
      </c>
      <c r="Z86" s="383">
        <f t="shared" si="35"/>
        <v>41.090104231273465</v>
      </c>
      <c r="AA86" s="384">
        <f t="shared" si="36"/>
        <v>43.455488606704535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5.4432350234030563E-2</v>
      </c>
      <c r="AD86" s="230">
        <f>(INDEX(Models!$BJ86:$BT86,,AH86)*(1-AF86)+INDEX(Models!$BJ86:$BT86,,AH86+1)*AF86-ERP_i)*AE86*Ramure*Pc/MaxiM</f>
        <v>2.4878152991996983E-4</v>
      </c>
      <c r="AE86" s="304">
        <f t="shared" si="38"/>
        <v>0.6</v>
      </c>
      <c r="AF86" s="177">
        <f t="shared" si="39"/>
        <v>0.51101152644236758</v>
      </c>
      <c r="AG86" s="799">
        <f t="shared" si="47"/>
        <v>-1</v>
      </c>
      <c r="AH86" s="176">
        <f t="shared" si="40"/>
        <v>5</v>
      </c>
      <c r="AI86" s="224">
        <f t="shared" si="41"/>
        <v>-0.48898847355763236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27.586000000000002</v>
      </c>
      <c r="C87" s="388"/>
      <c r="D87" s="391">
        <f t="shared" si="24"/>
        <v>28.005765021167527</v>
      </c>
      <c r="E87" s="383">
        <f t="shared" si="45"/>
        <v>29.620719723868373</v>
      </c>
      <c r="F87" s="383">
        <f t="shared" si="25"/>
        <v>29.623779935398698</v>
      </c>
      <c r="G87" s="110">
        <f t="shared" si="46"/>
        <v>0.60097049626001786</v>
      </c>
      <c r="H87" s="412" t="b">
        <f>Wh_hp&gt;='2020'!Maxi_hp</f>
        <v>0</v>
      </c>
      <c r="I87" s="379">
        <f>IF(H87,Wh_hp,'2020'!Maxi_hp)</f>
        <v>41.9627960937136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1.4988521857919435E-2</v>
      </c>
      <c r="M87" s="832"/>
      <c r="N87" s="832"/>
      <c r="O87" s="48">
        <f>IF(t&lt;Tnet,'2020'!Resal+('2020'!Salim-'2020'!Resal)*(1-EXP(('2020'!Tnet-t)/('2020'!Tau_j))),Resal+(Salim-Resal)*(1-EXP((Tnet-t)/(Tau_j))))*Salcycl</f>
        <v>5.4521116223908497E-2</v>
      </c>
      <c r="P87" s="169">
        <f>(INDEX(Models!$BJ87:$BT87,,T87)*(1-R87)+INDEX(Models!$BJ87:$BT87,,T87+1)*R87-ERP_i)*Q87*Ramure*Pc/MaxiM</f>
        <v>2.4019632861314389E-4</v>
      </c>
      <c r="Q87" s="304">
        <f t="shared" si="27"/>
        <v>0.6</v>
      </c>
      <c r="R87" s="177">
        <f t="shared" si="28"/>
        <v>0.5115260956754053</v>
      </c>
      <c r="S87" s="799">
        <f t="shared" si="29"/>
        <v>-1</v>
      </c>
      <c r="T87" s="176">
        <f t="shared" si="30"/>
        <v>5</v>
      </c>
      <c r="U87" s="250">
        <f t="shared" si="31"/>
        <v>-0.48847390432459475</v>
      </c>
      <c r="V87" s="382">
        <f t="shared" si="32"/>
        <v>45.896135383154515</v>
      </c>
      <c r="W87" s="400"/>
      <c r="X87" s="157">
        <f t="shared" si="33"/>
        <v>44269</v>
      </c>
      <c r="Y87" s="383">
        <f t="shared" si="34"/>
        <v>27.586000000000002</v>
      </c>
      <c r="Z87" s="383">
        <f t="shared" si="35"/>
        <v>28.005765021167527</v>
      </c>
      <c r="AA87" s="384">
        <f t="shared" si="36"/>
        <v>29.620719723868373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5.4521116223908497E-2</v>
      </c>
      <c r="AD87" s="230">
        <f>(INDEX(Models!$BJ87:$BT87,,AH87)*(1-AF87)+INDEX(Models!$BJ87:$BT87,,AH87+1)*AF87-ERP_i)*AE87*Ramure*Pc/MaxiM</f>
        <v>2.4019632861314389E-4</v>
      </c>
      <c r="AE87" s="304">
        <f t="shared" si="38"/>
        <v>0.6</v>
      </c>
      <c r="AF87" s="177">
        <f t="shared" si="39"/>
        <v>0.5115260956754053</v>
      </c>
      <c r="AG87" s="799">
        <f t="shared" si="47"/>
        <v>-1</v>
      </c>
      <c r="AH87" s="176">
        <f t="shared" si="40"/>
        <v>5</v>
      </c>
      <c r="AI87" s="224">
        <f t="shared" si="41"/>
        <v>-0.48847390432459475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17.936</v>
      </c>
      <c r="C88" s="388"/>
      <c r="D88" s="391">
        <f t="shared" si="24"/>
        <v>18.209273844978249</v>
      </c>
      <c r="E88" s="383">
        <f t="shared" si="45"/>
        <v>19.261123110906908</v>
      </c>
      <c r="F88" s="383">
        <f t="shared" si="25"/>
        <v>19.261683529961616</v>
      </c>
      <c r="G88" s="110">
        <f t="shared" si="46"/>
        <v>0.38770478105434281</v>
      </c>
      <c r="H88" s="412" t="b">
        <f>Wh_hp&gt;='2020'!Maxi_hp</f>
        <v>0</v>
      </c>
      <c r="I88" s="379">
        <f>IF(H88,Wh_hp,'2020'!Maxi_hp)</f>
        <v>33.906662518762403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1.5007399378180741E-2</v>
      </c>
      <c r="M88" s="832"/>
      <c r="N88" s="832"/>
      <c r="O88" s="48">
        <f>IF(t&lt;Tnet,'2020'!Resal+('2020'!Salim-'2020'!Resal)*(1-EXP(('2020'!Tnet-t)/('2020'!Tau_j))),Resal+(Salim-Resal)*(1-EXP((Tnet-t)/(Tau_j))))*Salcycl</f>
        <v>5.4609965362457623E-2</v>
      </c>
      <c r="P88" s="169">
        <f>(INDEX(Models!$BJ88:$BT88,,T88)*(1-R88)+INDEX(Models!$BJ88:$BT88,,T88+1)*R88-ERP_i)*Q88*Ramure*Pc/MaxiM</f>
        <v>2.32008526993194E-4</v>
      </c>
      <c r="Q88" s="304">
        <f t="shared" si="27"/>
        <v>0.6</v>
      </c>
      <c r="R88" s="177">
        <f t="shared" si="28"/>
        <v>0.51206109960703683</v>
      </c>
      <c r="S88" s="799">
        <f t="shared" si="29"/>
        <v>-1</v>
      </c>
      <c r="T88" s="176">
        <f t="shared" si="30"/>
        <v>5</v>
      </c>
      <c r="U88" s="250">
        <f t="shared" si="31"/>
        <v>-0.48793890039296317</v>
      </c>
      <c r="V88" s="382">
        <f t="shared" si="32"/>
        <v>46.252616201088273</v>
      </c>
      <c r="W88" s="400"/>
      <c r="X88" s="157">
        <f t="shared" si="33"/>
        <v>44270</v>
      </c>
      <c r="Y88" s="383">
        <f t="shared" si="34"/>
        <v>17.936</v>
      </c>
      <c r="Z88" s="383">
        <f t="shared" si="35"/>
        <v>18.209273844978249</v>
      </c>
      <c r="AA88" s="384">
        <f t="shared" si="36"/>
        <v>19.261123110906908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5.4609965362457623E-2</v>
      </c>
      <c r="AD88" s="230">
        <f>(INDEX(Models!$BJ88:$BT88,,AH88)*(1-AF88)+INDEX(Models!$BJ88:$BT88,,AH88+1)*AF88-ERP_i)*AE88*Ramure*Pc/MaxiM</f>
        <v>2.32008526993194E-4</v>
      </c>
      <c r="AE88" s="304">
        <f t="shared" si="38"/>
        <v>0.6</v>
      </c>
      <c r="AF88" s="177">
        <f t="shared" si="39"/>
        <v>0.51206109960703683</v>
      </c>
      <c r="AG88" s="799">
        <f t="shared" si="47"/>
        <v>-1</v>
      </c>
      <c r="AH88" s="176">
        <f t="shared" si="40"/>
        <v>5</v>
      </c>
      <c r="AI88" s="224">
        <f t="shared" si="41"/>
        <v>-0.48793890039296317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31.25</v>
      </c>
      <c r="C89" s="388"/>
      <c r="D89" s="391">
        <f t="shared" si="24"/>
        <v>31.726734689042761</v>
      </c>
      <c r="E89" s="383">
        <f t="shared" si="45"/>
        <v>33.562570964961147</v>
      </c>
      <c r="F89" s="383">
        <f t="shared" si="25"/>
        <v>33.566554415339255</v>
      </c>
      <c r="G89" s="110">
        <f t="shared" si="46"/>
        <v>0.67043296321501589</v>
      </c>
      <c r="H89" s="412" t="b">
        <f>Wh_hp&gt;='2020'!Maxi_hp</f>
        <v>0</v>
      </c>
      <c r="I89" s="379">
        <f>IF(H89,Wh_hp,'2020'!Maxi_hp)</f>
        <v>50.695816320188271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1.5026276536658778E-2</v>
      </c>
      <c r="M89" s="832"/>
      <c r="N89" s="832"/>
      <c r="O89" s="48">
        <f>IF(t&lt;Tnet,'2020'!Resal+('2020'!Salim-'2020'!Resal)*(1-EXP(('2020'!Tnet-t)/('2020'!Tau_j))),Resal+(Salim-Resal)*(1-EXP((Tnet-t)/(Tau_j))))*Salcycl</f>
        <v>5.4698916773538289E-2</v>
      </c>
      <c r="P89" s="169">
        <f>(INDEX(Models!$BJ89:$BT89,,T89)*(1-R89)+INDEX(Models!$BJ89:$BT89,,T89+1)*R89-ERP_i)*Q89*Ramure*Pc/MaxiM</f>
        <v>2.2421160989905971E-4</v>
      </c>
      <c r="Q89" s="304">
        <f t="shared" si="27"/>
        <v>0.6</v>
      </c>
      <c r="R89" s="177">
        <f t="shared" si="28"/>
        <v>0.51261730089980873</v>
      </c>
      <c r="S89" s="799">
        <f t="shared" si="29"/>
        <v>-1</v>
      </c>
      <c r="T89" s="176">
        <f t="shared" si="30"/>
        <v>5</v>
      </c>
      <c r="U89" s="250">
        <f t="shared" si="31"/>
        <v>-0.48738269910019122</v>
      </c>
      <c r="V89" s="382">
        <f t="shared" si="32"/>
        <v>46.606750037118616</v>
      </c>
      <c r="W89" s="400"/>
      <c r="X89" s="157">
        <f t="shared" si="33"/>
        <v>44271</v>
      </c>
      <c r="Y89" s="383">
        <f t="shared" si="34"/>
        <v>31.25</v>
      </c>
      <c r="Z89" s="383">
        <f t="shared" si="35"/>
        <v>31.726734689042761</v>
      </c>
      <c r="AA89" s="384">
        <f t="shared" si="36"/>
        <v>33.562570964961147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5.4698916773538289E-2</v>
      </c>
      <c r="AD89" s="230">
        <f>(INDEX(Models!$BJ89:$BT89,,AH89)*(1-AF89)+INDEX(Models!$BJ89:$BT89,,AH89+1)*AF89-ERP_i)*AE89*Ramure*Pc/MaxiM</f>
        <v>2.2421160989905971E-4</v>
      </c>
      <c r="AE89" s="304">
        <f t="shared" si="38"/>
        <v>0.6</v>
      </c>
      <c r="AF89" s="177">
        <f t="shared" si="39"/>
        <v>0.51261730089980873</v>
      </c>
      <c r="AG89" s="799">
        <f t="shared" si="47"/>
        <v>-1</v>
      </c>
      <c r="AH89" s="176">
        <f t="shared" si="40"/>
        <v>5</v>
      </c>
      <c r="AI89" s="224">
        <f t="shared" si="41"/>
        <v>-0.48738269910019122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25.422000000000001</v>
      </c>
      <c r="C90" s="388"/>
      <c r="D90" s="391">
        <f t="shared" si="24"/>
        <v>25.810320225373882</v>
      </c>
      <c r="E90" s="383">
        <f t="shared" si="45"/>
        <v>27.306382017585808</v>
      </c>
      <c r="F90" s="383">
        <f t="shared" si="25"/>
        <v>27.308423529990701</v>
      </c>
      <c r="G90" s="110">
        <f t="shared" si="46"/>
        <v>0.54130020279617586</v>
      </c>
      <c r="H90" s="412" t="b">
        <f>Wh_hp&gt;='2020'!Maxi_hp</f>
        <v>1</v>
      </c>
      <c r="I90" s="379">
        <f>IF(H90,Wh_hp,'2020'!Maxi_hp)</f>
        <v>27.308423529990701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1.5045153333360317E-2</v>
      </c>
      <c r="M90" s="832"/>
      <c r="N90" s="832"/>
      <c r="O90" s="48">
        <f>IF(t&lt;Tnet,'2020'!Resal+('2020'!Salim-'2020'!Resal)*(1-EXP(('2020'!Tnet-t)/('2020'!Tau_j))),Resal+(Salim-Resal)*(1-EXP((Tnet-t)/(Tau_j))))*Salcycl</f>
        <v>5.4787990267199625E-2</v>
      </c>
      <c r="P90" s="169">
        <f>(INDEX(Models!$BJ90:$BT90,,T90)*(1-R90)+INDEX(Models!$BJ90:$BT90,,T90+1)*R90-ERP_i)*Q90*Ramure*Pc/MaxiM</f>
        <v>2.1679904085093382E-4</v>
      </c>
      <c r="Q90" s="304">
        <f t="shared" si="27"/>
        <v>0.6</v>
      </c>
      <c r="R90" s="177">
        <f t="shared" si="28"/>
        <v>0.51319548662557302</v>
      </c>
      <c r="S90" s="799">
        <f t="shared" si="29"/>
        <v>-1</v>
      </c>
      <c r="T90" s="176">
        <f t="shared" si="30"/>
        <v>5</v>
      </c>
      <c r="U90" s="250">
        <f t="shared" si="31"/>
        <v>-0.48680451337442698</v>
      </c>
      <c r="V90" s="382">
        <f t="shared" si="32"/>
        <v>46.958025549237995</v>
      </c>
      <c r="W90" s="400"/>
      <c r="X90" s="157">
        <f t="shared" si="33"/>
        <v>44272</v>
      </c>
      <c r="Y90" s="383">
        <f t="shared" si="34"/>
        <v>25.422000000000001</v>
      </c>
      <c r="Z90" s="383">
        <f t="shared" si="35"/>
        <v>25.810320225373882</v>
      </c>
      <c r="AA90" s="384">
        <f t="shared" si="36"/>
        <v>27.306382017585808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5.4787990267199625E-2</v>
      </c>
      <c r="AD90" s="230">
        <f>(INDEX(Models!$BJ90:$BT90,,AH90)*(1-AF90)+INDEX(Models!$BJ90:$BT90,,AH90+1)*AF90-ERP_i)*AE90*Ramure*Pc/MaxiM</f>
        <v>2.1679904085093382E-4</v>
      </c>
      <c r="AE90" s="304">
        <f t="shared" si="38"/>
        <v>0.6</v>
      </c>
      <c r="AF90" s="177">
        <f t="shared" si="39"/>
        <v>0.51319548662557302</v>
      </c>
      <c r="AG90" s="799">
        <f t="shared" si="47"/>
        <v>-1</v>
      </c>
      <c r="AH90" s="176">
        <f t="shared" si="40"/>
        <v>5</v>
      </c>
      <c r="AI90" s="224">
        <f t="shared" si="41"/>
        <v>-0.48680451337442698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21.187000000000001</v>
      </c>
      <c r="C91" s="388"/>
      <c r="D91" s="391">
        <f t="shared" si="24"/>
        <v>21.511042991978176</v>
      </c>
      <c r="E91" s="383">
        <f t="shared" si="45"/>
        <v>22.760051005934084</v>
      </c>
      <c r="F91" s="383">
        <f t="shared" si="25"/>
        <v>22.761059589395479</v>
      </c>
      <c r="G91" s="110">
        <f t="shared" si="46"/>
        <v>0.44779784905283276</v>
      </c>
      <c r="H91" s="412" t="b">
        <f>Wh_hp&gt;='2020'!Maxi_hp</f>
        <v>0</v>
      </c>
      <c r="I91" s="379">
        <f>IF(H91,Wh_hp,'2020'!Maxi_hp)</f>
        <v>34.112652515484889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1.5064029768292353E-2</v>
      </c>
      <c r="M91" s="832"/>
      <c r="N91" s="832"/>
      <c r="O91" s="48">
        <f>IF(t&lt;Tnet,'2020'!Resal+('2020'!Salim-'2020'!Resal)*(1-EXP(('2020'!Tnet-t)/('2020'!Tau_j))),Resal+(Salim-Resal)*(1-EXP((Tnet-t)/(Tau_j))))*Salcycl</f>
        <v>5.4877206278240026E-2</v>
      </c>
      <c r="P91" s="169">
        <f>(INDEX(Models!$BJ91:$BT91,,T91)*(1-R91)+INDEX(Models!$BJ91:$BT91,,T91+1)*R91-ERP_i)*Q91*Ramure*Pc/MaxiM</f>
        <v>2.09764308747402E-4</v>
      </c>
      <c r="Q91" s="304">
        <f t="shared" si="27"/>
        <v>0.6</v>
      </c>
      <c r="R91" s="177">
        <f t="shared" si="28"/>
        <v>0.51379646870419848</v>
      </c>
      <c r="S91" s="799">
        <f t="shared" si="29"/>
        <v>-1</v>
      </c>
      <c r="T91" s="176">
        <f t="shared" si="30"/>
        <v>5</v>
      </c>
      <c r="U91" s="250">
        <f t="shared" si="31"/>
        <v>-0.48620353129580157</v>
      </c>
      <c r="V91" s="382">
        <f t="shared" si="32"/>
        <v>47.305931565123906</v>
      </c>
      <c r="W91" s="400"/>
      <c r="X91" s="157">
        <f t="shared" si="33"/>
        <v>44273</v>
      </c>
      <c r="Y91" s="383">
        <f t="shared" si="34"/>
        <v>21.187000000000001</v>
      </c>
      <c r="Z91" s="383">
        <f t="shared" si="35"/>
        <v>21.511042991978176</v>
      </c>
      <c r="AA91" s="384">
        <f t="shared" si="36"/>
        <v>22.760051005934084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5.4877206278240026E-2</v>
      </c>
      <c r="AD91" s="230">
        <f>(INDEX(Models!$BJ91:$BT91,,AH91)*(1-AF91)+INDEX(Models!$BJ91:$BT91,,AH91+1)*AF91-ERP_i)*AE91*Ramure*Pc/MaxiM</f>
        <v>2.09764308747402E-4</v>
      </c>
      <c r="AE91" s="304">
        <f t="shared" si="38"/>
        <v>0.6</v>
      </c>
      <c r="AF91" s="177">
        <f t="shared" si="39"/>
        <v>0.51379646870419848</v>
      </c>
      <c r="AG91" s="799">
        <f t="shared" si="47"/>
        <v>-1</v>
      </c>
      <c r="AH91" s="176">
        <f t="shared" si="40"/>
        <v>5</v>
      </c>
      <c r="AI91" s="224">
        <f t="shared" si="41"/>
        <v>-0.48620353129580157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9.918000000000001</v>
      </c>
      <c r="C92" s="388"/>
      <c r="D92" s="391">
        <f t="shared" si="24"/>
        <v>10.069883098610877</v>
      </c>
      <c r="E92" s="383">
        <f t="shared" si="45"/>
        <v>10.655584180764977</v>
      </c>
      <c r="F92" s="383">
        <f t="shared" si="25"/>
        <v>10.655584180764977</v>
      </c>
      <c r="G92" s="110">
        <f t="shared" si="46"/>
        <v>0.2081006206684255</v>
      </c>
      <c r="H92" s="412" t="b">
        <f>Wh_hp&gt;='2020'!Maxi_hp</f>
        <v>0</v>
      </c>
      <c r="I92" s="379">
        <f>IF(H92,Wh_hp,'2020'!Maxi_hp)</f>
        <v>46.811989092410982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1.508290584146188E-2</v>
      </c>
      <c r="M92" s="832"/>
      <c r="N92" s="832"/>
      <c r="O92" s="48">
        <f>IF(t&lt;Tnet,'2020'!Resal+('2020'!Salim-'2020'!Resal)*(1-EXP(('2020'!Tnet-t)/('2020'!Tau_j))),Resal+(Salim-Resal)*(1-EXP((Tnet-t)/(Tau_j))))*Salcycl</f>
        <v>5.4966585803093181E-2</v>
      </c>
      <c r="P92" s="169">
        <f>(INDEX(Models!$BJ92:$BT92,,T92)*(1-R92)+INDEX(Models!$BJ92:$BT92,,T92+1)*R92-ERP_i)*Q92*Ramure*Pc/MaxiM</f>
        <v>2.0310097272523248E-4</v>
      </c>
      <c r="Q92" s="304">
        <f t="shared" si="27"/>
        <v>0.6</v>
      </c>
      <c r="R92" s="177">
        <f t="shared" si="28"/>
        <v>0.51442108431840505</v>
      </c>
      <c r="S92" s="799">
        <f t="shared" si="29"/>
        <v>-1</v>
      </c>
      <c r="T92" s="176">
        <f t="shared" si="30"/>
        <v>5</v>
      </c>
      <c r="U92" s="250">
        <f t="shared" si="31"/>
        <v>-0.48557891568159495</v>
      </c>
      <c r="V92" s="382">
        <f t="shared" si="32"/>
        <v>47.649957086634657</v>
      </c>
      <c r="W92" s="400"/>
      <c r="X92" s="157">
        <f t="shared" si="33"/>
        <v>44274</v>
      </c>
      <c r="Y92" s="383">
        <f t="shared" si="34"/>
        <v>9.918000000000001</v>
      </c>
      <c r="Z92" s="383">
        <f t="shared" si="35"/>
        <v>10.069883098610877</v>
      </c>
      <c r="AA92" s="384">
        <f t="shared" si="36"/>
        <v>10.655584180764977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5.4966585803093181E-2</v>
      </c>
      <c r="AD92" s="230">
        <f>(INDEX(Models!$BJ92:$BT92,,AH92)*(1-AF92)+INDEX(Models!$BJ92:$BT92,,AH92+1)*AF92-ERP_i)*AE92*Ramure*Pc/MaxiM</f>
        <v>2.0310097272523248E-4</v>
      </c>
      <c r="AE92" s="304">
        <f t="shared" si="38"/>
        <v>0.6</v>
      </c>
      <c r="AF92" s="177">
        <f t="shared" si="39"/>
        <v>0.51442108431840505</v>
      </c>
      <c r="AG92" s="799">
        <f t="shared" si="47"/>
        <v>-1</v>
      </c>
      <c r="AH92" s="176">
        <f t="shared" si="40"/>
        <v>5</v>
      </c>
      <c r="AI92" s="224">
        <f t="shared" si="41"/>
        <v>-0.48557891568159495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41.128</v>
      </c>
      <c r="C93" s="388"/>
      <c r="D93" s="391">
        <f t="shared" si="24"/>
        <v>41.758629703733206</v>
      </c>
      <c r="E93" s="383">
        <f t="shared" si="45"/>
        <v>44.191651936315125</v>
      </c>
      <c r="F93" s="383">
        <f t="shared" si="25"/>
        <v>44.198572499194924</v>
      </c>
      <c r="G93" s="110">
        <f t="shared" si="46"/>
        <v>0.85693028773037105</v>
      </c>
      <c r="H93" s="412" t="b">
        <f>Wh_hp&gt;='2020'!Maxi_hp</f>
        <v>0</v>
      </c>
      <c r="I93" s="379">
        <f>IF(H93,Wh_hp,'2020'!Maxi_hp)</f>
        <v>50.974512464979433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1.510178155287567E-2</v>
      </c>
      <c r="M93" s="832"/>
      <c r="N93" s="832"/>
      <c r="O93" s="48">
        <f>IF(t&lt;Tnet,'2020'!Resal+('2020'!Salim-'2020'!Resal)*(1-EXP(('2020'!Tnet-t)/('2020'!Tau_j))),Resal+(Salim-Resal)*(1-EXP((Tnet-t)/(Tau_j))))*Salcycl</f>
        <v>5.5056150335546686E-2</v>
      </c>
      <c r="P93" s="169">
        <f>(INDEX(Models!$BJ93:$BT93,,T93)*(1-R93)+INDEX(Models!$BJ93:$BT93,,T93+1)*R93-ERP_i)*Q93*Ramure*Pc/MaxiM</f>
        <v>1.9679021673137703E-4</v>
      </c>
      <c r="Q93" s="304">
        <f t="shared" si="27"/>
        <v>0.6</v>
      </c>
      <c r="R93" s="177">
        <f t="shared" si="28"/>
        <v>0.51507019630102646</v>
      </c>
      <c r="S93" s="799">
        <f t="shared" si="29"/>
        <v>-1</v>
      </c>
      <c r="T93" s="176">
        <f t="shared" si="30"/>
        <v>5</v>
      </c>
      <c r="U93" s="250">
        <f t="shared" si="31"/>
        <v>-0.48492980369897348</v>
      </c>
      <c r="V93" s="382">
        <f t="shared" si="32"/>
        <v>47.992638978817091</v>
      </c>
      <c r="W93" s="400"/>
      <c r="X93" s="157">
        <f t="shared" si="33"/>
        <v>44275</v>
      </c>
      <c r="Y93" s="383">
        <f t="shared" si="34"/>
        <v>41.128</v>
      </c>
      <c r="Z93" s="383">
        <f t="shared" si="35"/>
        <v>41.758629703733206</v>
      </c>
      <c r="AA93" s="384">
        <f t="shared" si="36"/>
        <v>44.191651936315125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5.5056150335546686E-2</v>
      </c>
      <c r="AD93" s="230">
        <f>(INDEX(Models!$BJ93:$BT93,,AH93)*(1-AF93)+INDEX(Models!$BJ93:$BT93,,AH93+1)*AF93-ERP_i)*AE93*Ramure*Pc/MaxiM</f>
        <v>1.9679021673137703E-4</v>
      </c>
      <c r="AE93" s="304">
        <f t="shared" si="38"/>
        <v>0.6</v>
      </c>
      <c r="AF93" s="177">
        <f t="shared" si="39"/>
        <v>0.51507019630102646</v>
      </c>
      <c r="AG93" s="799">
        <f t="shared" si="47"/>
        <v>-1</v>
      </c>
      <c r="AH93" s="176">
        <f t="shared" si="40"/>
        <v>5</v>
      </c>
      <c r="AI93" s="224">
        <f t="shared" si="41"/>
        <v>-0.48492980369897348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39.965000000000003</v>
      </c>
      <c r="C94" s="388"/>
      <c r="D94" s="391">
        <f t="shared" si="24"/>
        <v>40.578574705719305</v>
      </c>
      <c r="E94" s="383">
        <f t="shared" si="45"/>
        <v>42.946922325932249</v>
      </c>
      <c r="F94" s="383">
        <f t="shared" si="25"/>
        <v>42.953092911357352</v>
      </c>
      <c r="G94" s="110">
        <f t="shared" si="46"/>
        <v>0.82677217685533477</v>
      </c>
      <c r="H94" s="412" t="b">
        <f>Wh_hp&gt;='2020'!Maxi_hp</f>
        <v>0</v>
      </c>
      <c r="I94" s="379">
        <f>IF(H94,Wh_hp,'2020'!Maxi_hp)</f>
        <v>52.150714918937091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1.512065690254083E-2</v>
      </c>
      <c r="M94" s="832"/>
      <c r="N94" s="832"/>
      <c r="O94" s="48">
        <f>IF(t&lt;Tnet,'2020'!Resal+('2020'!Salim-'2020'!Resal)*(1-EXP(('2020'!Tnet-t)/('2020'!Tau_j))),Resal+(Salim-Resal)*(1-EXP((Tnet-t)/(Tau_j))))*Salcycl</f>
        <v>5.5145921801779178E-2</v>
      </c>
      <c r="P94" s="169">
        <f>(INDEX(Models!$BJ94:$BT94,,T94)*(1-R94)+INDEX(Models!$BJ94:$BT94,,T94+1)*R94-ERP_i)*Q94*Ramure*Pc/MaxiM</f>
        <v>1.9088638031467445E-4</v>
      </c>
      <c r="Q94" s="304">
        <f t="shared" si="27"/>
        <v>0.6</v>
      </c>
      <c r="R94" s="177">
        <f t="shared" si="28"/>
        <v>0.51574469349072671</v>
      </c>
      <c r="S94" s="799">
        <f t="shared" si="29"/>
        <v>-1</v>
      </c>
      <c r="T94" s="176">
        <f t="shared" si="30"/>
        <v>5</v>
      </c>
      <c r="U94" s="250">
        <f t="shared" si="31"/>
        <v>-0.48425530650927329</v>
      </c>
      <c r="V94" s="382">
        <f t="shared" si="32"/>
        <v>48.336305203823422</v>
      </c>
      <c r="W94" s="400"/>
      <c r="X94" s="157">
        <f t="shared" si="33"/>
        <v>44276</v>
      </c>
      <c r="Y94" s="383">
        <f t="shared" si="34"/>
        <v>39.965000000000003</v>
      </c>
      <c r="Z94" s="383">
        <f t="shared" si="35"/>
        <v>40.578574705719305</v>
      </c>
      <c r="AA94" s="384">
        <f t="shared" si="36"/>
        <v>42.946922325932249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5.5145921801779178E-2</v>
      </c>
      <c r="AD94" s="230">
        <f>(INDEX(Models!$BJ94:$BT94,,AH94)*(1-AF94)+INDEX(Models!$BJ94:$BT94,,AH94+1)*AF94-ERP_i)*AE94*Ramure*Pc/MaxiM</f>
        <v>1.9088638031467445E-4</v>
      </c>
      <c r="AE94" s="304">
        <f t="shared" si="38"/>
        <v>0.6</v>
      </c>
      <c r="AF94" s="177">
        <f t="shared" si="39"/>
        <v>0.51574469349072671</v>
      </c>
      <c r="AG94" s="799">
        <f t="shared" si="47"/>
        <v>-1</v>
      </c>
      <c r="AH94" s="176">
        <f t="shared" si="40"/>
        <v>5</v>
      </c>
      <c r="AI94" s="224">
        <f t="shared" si="41"/>
        <v>-0.48425530650927329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39.677999999999997</v>
      </c>
      <c r="C95" s="388"/>
      <c r="D95" s="391">
        <f t="shared" si="24"/>
        <v>40.287940560923225</v>
      </c>
      <c r="E95" s="383">
        <f t="shared" si="45"/>
        <v>42.643387402414682</v>
      </c>
      <c r="F95" s="383">
        <f t="shared" si="25"/>
        <v>42.64919832990018</v>
      </c>
      <c r="G95" s="110">
        <f t="shared" si="46"/>
        <v>0.81503571367625838</v>
      </c>
      <c r="H95" s="412" t="b">
        <f>Wh_hp&gt;='2020'!Maxi_hp</f>
        <v>0</v>
      </c>
      <c r="I95" s="379">
        <f>IF(H95,Wh_hp,'2020'!Maxi_hp)</f>
        <v>50.892769880316351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1.5139531890464242E-2</v>
      </c>
      <c r="M95" s="832"/>
      <c r="N95" s="832"/>
      <c r="O95" s="48">
        <f>IF(t&lt;Tnet,'2020'!Resal+('2020'!Salim-'2020'!Resal)*(1-EXP(('2020'!Tnet-t)/('2020'!Tau_j))),Resal+(Salim-Resal)*(1-EXP((Tnet-t)/(Tau_j))))*Salcycl</f>
        <v>5.5235922495174089E-2</v>
      </c>
      <c r="P95" s="169">
        <f>(INDEX(Models!$BJ95:$BT95,,T95)*(1-R95)+INDEX(Models!$BJ95:$BT95,,T95+1)*R95-ERP_i)*Q95*Ramure*Pc/MaxiM</f>
        <v>1.8516617485770908E-4</v>
      </c>
      <c r="Q95" s="304">
        <f t="shared" si="27"/>
        <v>0.6</v>
      </c>
      <c r="R95" s="177">
        <f t="shared" si="28"/>
        <v>0.51644549105190141</v>
      </c>
      <c r="S95" s="799">
        <f t="shared" si="29"/>
        <v>-1</v>
      </c>
      <c r="T95" s="176">
        <f t="shared" si="30"/>
        <v>5</v>
      </c>
      <c r="U95" s="250">
        <f t="shared" si="31"/>
        <v>-0.48355450894809859</v>
      </c>
      <c r="V95" s="382">
        <f t="shared" si="32"/>
        <v>48.680147568721253</v>
      </c>
      <c r="W95" s="400"/>
      <c r="X95" s="157">
        <f t="shared" si="33"/>
        <v>44277</v>
      </c>
      <c r="Y95" s="383">
        <f t="shared" si="34"/>
        <v>39.677999999999997</v>
      </c>
      <c r="Z95" s="383">
        <f t="shared" si="35"/>
        <v>40.287940560923225</v>
      </c>
      <c r="AA95" s="384">
        <f t="shared" si="36"/>
        <v>42.643387402414682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5.5235922495174089E-2</v>
      </c>
      <c r="AD95" s="230">
        <f>(INDEX(Models!$BJ95:$BT95,,AH95)*(1-AF95)+INDEX(Models!$BJ95:$BT95,,AH95+1)*AF95-ERP_i)*AE95*Ramure*Pc/MaxiM</f>
        <v>1.8516617485770908E-4</v>
      </c>
      <c r="AE95" s="304">
        <f t="shared" si="38"/>
        <v>0.6</v>
      </c>
      <c r="AF95" s="177">
        <f t="shared" si="39"/>
        <v>0.51644549105190141</v>
      </c>
      <c r="AG95" s="799">
        <f t="shared" si="47"/>
        <v>-1</v>
      </c>
      <c r="AH95" s="176">
        <f t="shared" si="40"/>
        <v>5</v>
      </c>
      <c r="AI95" s="224">
        <f t="shared" si="41"/>
        <v>-0.48355450894809859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49.566000000000003</v>
      </c>
      <c r="C96" s="388"/>
      <c r="D96" s="391">
        <f t="shared" si="24"/>
        <v>50.328906016943243</v>
      </c>
      <c r="E96" s="383">
        <f t="shared" si="45"/>
        <v>53.27649045166163</v>
      </c>
      <c r="F96" s="383">
        <f t="shared" si="25"/>
        <v>53.286062169656844</v>
      </c>
      <c r="G96" s="110">
        <f t="shared" si="46"/>
        <v>1.0110692649673609</v>
      </c>
      <c r="H96" s="412" t="b">
        <f>Wh_hp&gt;='2020'!Maxi_hp</f>
        <v>1</v>
      </c>
      <c r="I96" s="379">
        <f>IF(H96,Wh_hp,'2020'!Maxi_hp)</f>
        <v>53.286062169656844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1.5158406516652789E-2</v>
      </c>
      <c r="M96" s="832"/>
      <c r="N96" s="832"/>
      <c r="O96" s="48">
        <f>IF(t&lt;Tnet,'2020'!Resal+('2020'!Salim-'2020'!Resal)*(1-EXP(('2020'!Tnet-t)/('2020'!Tau_j))),Resal+(Salim-Resal)*(1-EXP((Tnet-t)/(Tau_j))))*Salcycl</f>
        <v>5.5326175011335792E-2</v>
      </c>
      <c r="P96" s="169">
        <f>(INDEX(Models!$BJ96:$BT96,,T96)*(1-R96)+INDEX(Models!$BJ96:$BT96,,T96+1)*R96-ERP_i)*Q96*Ramure*Pc/MaxiM</f>
        <v>1.7962892369009244E-4</v>
      </c>
      <c r="Q96" s="304">
        <f t="shared" si="27"/>
        <v>0.6</v>
      </c>
      <c r="R96" s="177">
        <f t="shared" si="28"/>
        <v>0.51717353075419603</v>
      </c>
      <c r="S96" s="799">
        <f t="shared" si="29"/>
        <v>-1</v>
      </c>
      <c r="T96" s="176">
        <f t="shared" si="30"/>
        <v>5</v>
      </c>
      <c r="U96" s="250">
        <f t="shared" si="31"/>
        <v>-0.48282646924580391</v>
      </c>
      <c r="V96" s="382">
        <f t="shared" si="32"/>
        <v>49.023347576093194</v>
      </c>
      <c r="W96" s="400"/>
      <c r="X96" s="157">
        <f t="shared" si="33"/>
        <v>44278</v>
      </c>
      <c r="Y96" s="383">
        <f t="shared" si="34"/>
        <v>49.566000000000003</v>
      </c>
      <c r="Z96" s="383">
        <f t="shared" si="35"/>
        <v>50.328906016943243</v>
      </c>
      <c r="AA96" s="384">
        <f t="shared" si="36"/>
        <v>53.27649045166163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5.5326175011335792E-2</v>
      </c>
      <c r="AD96" s="230">
        <f>(INDEX(Models!$BJ96:$BT96,,AH96)*(1-AF96)+INDEX(Models!$BJ96:$BT96,,AH96+1)*AF96-ERP_i)*AE96*Ramure*Pc/MaxiM</f>
        <v>1.7962892369009244E-4</v>
      </c>
      <c r="AE96" s="304">
        <f t="shared" si="38"/>
        <v>0.6</v>
      </c>
      <c r="AF96" s="177">
        <f t="shared" si="39"/>
        <v>0.51717353075419603</v>
      </c>
      <c r="AG96" s="799">
        <f t="shared" si="47"/>
        <v>-1</v>
      </c>
      <c r="AH96" s="176">
        <f t="shared" si="40"/>
        <v>5</v>
      </c>
      <c r="AI96" s="224">
        <f t="shared" si="41"/>
        <v>-0.48282646924580391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48.767000000000003</v>
      </c>
      <c r="C97" s="388"/>
      <c r="D97" s="391">
        <f t="shared" si="24"/>
        <v>49.518557044134411</v>
      </c>
      <c r="E97" s="383">
        <f t="shared" si="45"/>
        <v>52.423705943786914</v>
      </c>
      <c r="F97" s="383">
        <f t="shared" si="25"/>
        <v>52.432685420203406</v>
      </c>
      <c r="G97" s="110">
        <f t="shared" si="46"/>
        <v>0.98788143161955166</v>
      </c>
      <c r="H97" s="412" t="b">
        <f>Wh_hp&gt;='2020'!Maxi_hp</f>
        <v>1</v>
      </c>
      <c r="I97" s="379">
        <f>IF(H97,Wh_hp,'2020'!Maxi_hp)</f>
        <v>52.432685420203406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1.5177280781113356E-2</v>
      </c>
      <c r="M97" s="832"/>
      <c r="N97" s="832"/>
      <c r="O97" s="48">
        <f>IF(t&lt;Tnet,'2020'!Resal+('2020'!Salim-'2020'!Resal)*(1-EXP(('2020'!Tnet-t)/('2020'!Tau_j))),Resal+(Salim-Resal)*(1-EXP((Tnet-t)/(Tau_j))))*Salcycl</f>
        <v>5.5416702183696202E-2</v>
      </c>
      <c r="P97" s="169">
        <f>(INDEX(Models!$BJ97:$BT97,,T97)*(1-R97)+INDEX(Models!$BJ97:$BT97,,T97+1)*R97-ERP_i)*Q97*Ramure*Pc/MaxiM</f>
        <v>1.7427355273153168E-4</v>
      </c>
      <c r="Q97" s="304">
        <f t="shared" si="27"/>
        <v>0.6</v>
      </c>
      <c r="R97" s="177">
        <f t="shared" si="28"/>
        <v>0.51792978120675581</v>
      </c>
      <c r="S97" s="799">
        <f t="shared" si="29"/>
        <v>-1</v>
      </c>
      <c r="T97" s="176">
        <f t="shared" si="30"/>
        <v>5</v>
      </c>
      <c r="U97" s="250">
        <f t="shared" si="31"/>
        <v>-0.48207021879324413</v>
      </c>
      <c r="V97" s="382">
        <f t="shared" si="32"/>
        <v>49.365087060901388</v>
      </c>
      <c r="W97" s="400"/>
      <c r="X97" s="157">
        <f t="shared" si="33"/>
        <v>44279</v>
      </c>
      <c r="Y97" s="383">
        <f t="shared" si="34"/>
        <v>48.767000000000003</v>
      </c>
      <c r="Z97" s="383">
        <f t="shared" si="35"/>
        <v>49.518557044134411</v>
      </c>
      <c r="AA97" s="384">
        <f t="shared" si="36"/>
        <v>52.423705943786914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5.5416702183696202E-2</v>
      </c>
      <c r="AD97" s="230">
        <f>(INDEX(Models!$BJ97:$BT97,,AH97)*(1-AF97)+INDEX(Models!$BJ97:$BT97,,AH97+1)*AF97-ERP_i)*AE97*Ramure*Pc/MaxiM</f>
        <v>1.7427355273153168E-4</v>
      </c>
      <c r="AE97" s="304">
        <f t="shared" si="38"/>
        <v>0.6</v>
      </c>
      <c r="AF97" s="177">
        <f t="shared" si="39"/>
        <v>0.51792978120675581</v>
      </c>
      <c r="AG97" s="799">
        <f t="shared" si="47"/>
        <v>-1</v>
      </c>
      <c r="AH97" s="176">
        <f t="shared" si="40"/>
        <v>5</v>
      </c>
      <c r="AI97" s="224">
        <f t="shared" si="41"/>
        <v>-0.48207021879324413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35.335999999999999</v>
      </c>
      <c r="C98" s="388"/>
      <c r="D98" s="391">
        <f t="shared" si="24"/>
        <v>35.88125713365411</v>
      </c>
      <c r="E98" s="383">
        <f t="shared" si="45"/>
        <v>37.989987384913896</v>
      </c>
      <c r="F98" s="383">
        <f t="shared" si="25"/>
        <v>37.993758871026351</v>
      </c>
      <c r="G98" s="110">
        <f t="shared" si="46"/>
        <v>0.71087120654710978</v>
      </c>
      <c r="H98" s="412" t="b">
        <f>Wh_hp&gt;='2020'!Maxi_hp</f>
        <v>0</v>
      </c>
      <c r="I98" s="379">
        <f>IF(H98,Wh_hp,'2020'!Maxi_hp)</f>
        <v>44.782002730690941</v>
      </c>
      <c r="J98" s="85">
        <f>IF(H98,An,'2020'!An_max)</f>
        <v>2018</v>
      </c>
      <c r="K98" s="197">
        <f t="shared" si="26"/>
        <v>44280</v>
      </c>
      <c r="L98" s="147">
        <f>IF(t&lt;Tvie,1-EXP((T0-t)*PertePVj)+'2020'!Pspv,1-EXP((T0-t)*PertePVj)+Pspv)</f>
        <v>1.5196154683853047E-2</v>
      </c>
      <c r="M98" s="832"/>
      <c r="N98" s="832"/>
      <c r="O98" s="48">
        <f>IF(t&lt;Tnet,'2020'!Resal+('2020'!Salim-'2020'!Resal)*(1-EXP(('2020'!Tnet-t)/('2020'!Tau_j))),Resal+(Salim-Resal)*(1-EXP((Tnet-t)/(Tau_j))))*Salcycl</f>
        <v>5.5507527020058428E-2</v>
      </c>
      <c r="P98" s="169">
        <f>(INDEX(Models!$BJ98:$BT98,,T98)*(1-R98)+INDEX(Models!$BJ98:$BT98,,T98+1)*R98-ERP_i)*Q98*Ramure*Pc/MaxiM</f>
        <v>1.6909863643159838E-4</v>
      </c>
      <c r="Q98" s="304">
        <f t="shared" si="27"/>
        <v>0.6</v>
      </c>
      <c r="R98" s="177">
        <f t="shared" si="28"/>
        <v>0.51871523804200315</v>
      </c>
      <c r="S98" s="799">
        <f t="shared" si="29"/>
        <v>-1</v>
      </c>
      <c r="T98" s="176">
        <f t="shared" si="30"/>
        <v>5</v>
      </c>
      <c r="U98" s="250">
        <f t="shared" si="31"/>
        <v>-0.48128476195799685</v>
      </c>
      <c r="V98" s="382">
        <f t="shared" si="32"/>
        <v>49.704548195753745</v>
      </c>
      <c r="W98" s="400"/>
      <c r="X98" s="157">
        <f t="shared" si="33"/>
        <v>44280</v>
      </c>
      <c r="Y98" s="383">
        <f t="shared" si="34"/>
        <v>35.335999999999999</v>
      </c>
      <c r="Z98" s="383">
        <f t="shared" si="35"/>
        <v>35.88125713365411</v>
      </c>
      <c r="AA98" s="384">
        <f t="shared" si="36"/>
        <v>37.989987384913896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5.5507527020058428E-2</v>
      </c>
      <c r="AD98" s="230">
        <f>(INDEX(Models!$BJ98:$BT98,,AH98)*(1-AF98)+INDEX(Models!$BJ98:$BT98,,AH98+1)*AF98-ERP_i)*AE98*Ramure*Pc/MaxiM</f>
        <v>1.6909863643159838E-4</v>
      </c>
      <c r="AE98" s="304">
        <f t="shared" si="38"/>
        <v>0.6</v>
      </c>
      <c r="AF98" s="177">
        <f t="shared" si="39"/>
        <v>0.51871523804200315</v>
      </c>
      <c r="AG98" s="799">
        <f t="shared" si="47"/>
        <v>-1</v>
      </c>
      <c r="AH98" s="176">
        <f t="shared" si="40"/>
        <v>5</v>
      </c>
      <c r="AI98" s="224">
        <f t="shared" si="41"/>
        <v>-0.48128476195799685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39.146999999999998</v>
      </c>
      <c r="C99" s="388"/>
      <c r="D99" s="391">
        <f t="shared" si="24"/>
        <v>39.751825141518651</v>
      </c>
      <c r="E99" s="383">
        <f t="shared" si="45"/>
        <v>42.092089443221873</v>
      </c>
      <c r="F99" s="383">
        <f t="shared" si="25"/>
        <v>42.096849188788383</v>
      </c>
      <c r="G99" s="110">
        <f t="shared" si="46"/>
        <v>0.78225993765034019</v>
      </c>
      <c r="H99" s="412" t="b">
        <f>Wh_hp&gt;='2020'!Maxi_hp</f>
        <v>0</v>
      </c>
      <c r="I99" s="379">
        <f>IF(H99,Wh_hp,'2020'!Maxi_hp)</f>
        <v>54.664172365947202</v>
      </c>
      <c r="J99" s="85">
        <f>IF(H99,An,'2020'!An_max)</f>
        <v>2018</v>
      </c>
      <c r="K99" s="197">
        <f t="shared" si="26"/>
        <v>44281</v>
      </c>
      <c r="L99" s="147">
        <f>IF(t&lt;Tvie,1-EXP((T0-t)*PertePVj)+'2020'!Pspv,1-EXP((T0-t)*PertePVj)+Pspv)</f>
        <v>1.5215028224878746E-2</v>
      </c>
      <c r="M99" s="832"/>
      <c r="N99" s="832"/>
      <c r="O99" s="48">
        <f>IF(t&lt;Tnet,'2020'!Resal+('2020'!Salim-'2020'!Resal)*(1-EXP(('2020'!Tnet-t)/('2020'!Tau_j))),Resal+(Salim-Resal)*(1-EXP((Tnet-t)/(Tau_j))))*Salcycl</f>
        <v>5.5598672640378474E-2</v>
      </c>
      <c r="P99" s="169">
        <f>(INDEX(Models!$BJ99:$BT99,,T99)*(1-R99)+INDEX(Models!$BJ99:$BT99,,T99+1)*R99-ERP_i)*Q99*Ramure*Pc/MaxiM</f>
        <v>1.6410244201342625E-4</v>
      </c>
      <c r="Q99" s="304">
        <f t="shared" si="27"/>
        <v>0.6</v>
      </c>
      <c r="R99" s="177">
        <f t="shared" si="28"/>
        <v>0.51953092404340673</v>
      </c>
      <c r="S99" s="799">
        <f t="shared" si="29"/>
        <v>-1</v>
      </c>
      <c r="T99" s="176">
        <f t="shared" si="30"/>
        <v>5</v>
      </c>
      <c r="U99" s="250">
        <f t="shared" si="31"/>
        <v>-0.48046907595659327</v>
      </c>
      <c r="V99" s="382">
        <f t="shared" si="32"/>
        <v>50.040913496927246</v>
      </c>
      <c r="W99" s="400"/>
      <c r="X99" s="157">
        <f t="shared" si="33"/>
        <v>44281</v>
      </c>
      <c r="Y99" s="383">
        <f t="shared" si="34"/>
        <v>39.146999999999998</v>
      </c>
      <c r="Z99" s="383">
        <f t="shared" si="35"/>
        <v>39.751825141518651</v>
      </c>
      <c r="AA99" s="384">
        <f t="shared" si="36"/>
        <v>42.092089443221873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5.5598672640378474E-2</v>
      </c>
      <c r="AD99" s="230">
        <f>(INDEX(Models!$BJ99:$BT99,,AH99)*(1-AF99)+INDEX(Models!$BJ99:$BT99,,AH99+1)*AF99-ERP_i)*AE99*Ramure*Pc/MaxiM</f>
        <v>1.6410244201342625E-4</v>
      </c>
      <c r="AE99" s="304">
        <f t="shared" si="38"/>
        <v>0.6</v>
      </c>
      <c r="AF99" s="177">
        <f t="shared" si="39"/>
        <v>0.51953092404340673</v>
      </c>
      <c r="AG99" s="799">
        <f t="shared" si="47"/>
        <v>-1</v>
      </c>
      <c r="AH99" s="176">
        <f t="shared" si="40"/>
        <v>5</v>
      </c>
      <c r="AI99" s="224">
        <f t="shared" si="41"/>
        <v>-0.48046907595659327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45.521000000000001</v>
      </c>
      <c r="C100" s="388"/>
      <c r="D100" s="391">
        <f t="shared" si="24"/>
        <v>46.225189986646861</v>
      </c>
      <c r="E100" s="383">
        <f t="shared" si="45"/>
        <v>48.951295578075097</v>
      </c>
      <c r="F100" s="383">
        <f t="shared" si="25"/>
        <v>48.958023642083617</v>
      </c>
      <c r="G100" s="110">
        <f t="shared" si="46"/>
        <v>0.90365224010076239</v>
      </c>
      <c r="H100" s="412" t="b">
        <f>Wh_hp&gt;='2020'!Maxi_hp</f>
        <v>0</v>
      </c>
      <c r="I100" s="379">
        <f>IF(H100,Wh_hp,'2020'!Maxi_hp)</f>
        <v>53.82661692337178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1.5233901404197225E-2</v>
      </c>
      <c r="M100" s="832"/>
      <c r="N100" s="832"/>
      <c r="O100" s="48">
        <f>IF(t&lt;Tnet,'2020'!Resal+('2020'!Salim-'2020'!Resal)*(1-EXP(('2020'!Tnet-t)/('2020'!Tau_j))),Resal+(Salim-Resal)*(1-EXP((Tnet-t)/(Tau_j))))*Salcycl</f>
        <v>5.5690162216038272E-2</v>
      </c>
      <c r="P100" s="169">
        <f>(INDEX(Models!$BJ100:$BT100,,T100)*(1-R100)+INDEX(Models!$BJ100:$BT100,,T100+1)*R100-ERP_i)*Q100*Ramure*Pc/MaxiM</f>
        <v>1.5935408522688288E-4</v>
      </c>
      <c r="Q100" s="304">
        <f t="shared" si="27"/>
        <v>0.6</v>
      </c>
      <c r="R100" s="177">
        <f t="shared" si="28"/>
        <v>0.52037788921137129</v>
      </c>
      <c r="S100" s="799">
        <f t="shared" si="29"/>
        <v>-1</v>
      </c>
      <c r="T100" s="176">
        <f t="shared" si="30"/>
        <v>5</v>
      </c>
      <c r="U100" s="250">
        <f t="shared" si="31"/>
        <v>-0.47962211078862865</v>
      </c>
      <c r="V100" s="382">
        <f t="shared" si="32"/>
        <v>50.373362247085886</v>
      </c>
      <c r="W100" s="400"/>
      <c r="X100" s="157">
        <f t="shared" si="33"/>
        <v>44282</v>
      </c>
      <c r="Y100" s="383">
        <f t="shared" si="34"/>
        <v>45.521000000000001</v>
      </c>
      <c r="Z100" s="383">
        <f t="shared" si="35"/>
        <v>46.225189986646861</v>
      </c>
      <c r="AA100" s="384">
        <f t="shared" si="36"/>
        <v>48.951295578075097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5.5690162216038272E-2</v>
      </c>
      <c r="AD100" s="230">
        <f>(INDEX(Models!$BJ100:$BT100,,AH100)*(1-AF100)+INDEX(Models!$BJ100:$BT100,,AH100+1)*AF100-ERP_i)*AE100*Ramure*Pc/MaxiM</f>
        <v>1.5935408522688288E-4</v>
      </c>
      <c r="AE100" s="304">
        <f t="shared" si="38"/>
        <v>0.6</v>
      </c>
      <c r="AF100" s="177">
        <f t="shared" si="39"/>
        <v>0.52037788921137129</v>
      </c>
      <c r="AG100" s="799">
        <f t="shared" si="47"/>
        <v>-1</v>
      </c>
      <c r="AH100" s="176">
        <f t="shared" si="40"/>
        <v>5</v>
      </c>
      <c r="AI100" s="224">
        <f t="shared" si="41"/>
        <v>-0.47962211078862865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49.536000000000001</v>
      </c>
      <c r="C101" s="388"/>
      <c r="D101" s="391">
        <f t="shared" si="24"/>
        <v>50.303264333499172</v>
      </c>
      <c r="E101" s="383">
        <f t="shared" si="45"/>
        <v>53.275054427021907</v>
      </c>
      <c r="F101" s="383">
        <f t="shared" si="25"/>
        <v>53.283033319082513</v>
      </c>
      <c r="G101" s="110">
        <f t="shared" si="46"/>
        <v>0.97701566480300006</v>
      </c>
      <c r="H101" s="412" t="b">
        <f>Wh_hp&gt;='2020'!Maxi_hp</f>
        <v>1</v>
      </c>
      <c r="I101" s="379">
        <f>IF(H101,Wh_hp,'2020'!Maxi_hp)</f>
        <v>53.283033319082513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1.525277422181559E-2</v>
      </c>
      <c r="M101" s="832"/>
      <c r="N101" s="832"/>
      <c r="O101" s="48">
        <f>IF(t&lt;Tnet,'2020'!Resal+('2020'!Salim-'2020'!Resal)*(1-EXP(('2020'!Tnet-t)/('2020'!Tau_j))),Resal+(Salim-Resal)*(1-EXP((Tnet-t)/(Tau_j))))*Salcycl</f>
        <v>5.5782018910813129E-2</v>
      </c>
      <c r="P101" s="169">
        <f>(INDEX(Models!$BJ101:$BT101,,T101)*(1-R101)+INDEX(Models!$BJ101:$BT101,,T101+1)*R101-ERP_i)*Q101*Ramure*Pc/MaxiM</f>
        <v>1.5482810056275973E-4</v>
      </c>
      <c r="Q101" s="304">
        <f t="shared" si="27"/>
        <v>0.6</v>
      </c>
      <c r="R101" s="177">
        <f t="shared" si="28"/>
        <v>0.52125721076103559</v>
      </c>
      <c r="S101" s="799">
        <f t="shared" si="29"/>
        <v>-1</v>
      </c>
      <c r="T101" s="176">
        <f t="shared" si="30"/>
        <v>5</v>
      </c>
      <c r="U101" s="250">
        <f t="shared" si="31"/>
        <v>-0.47874278923896446</v>
      </c>
      <c r="V101" s="382">
        <f t="shared" si="32"/>
        <v>50.701078777833978</v>
      </c>
      <c r="W101" s="400"/>
      <c r="X101" s="157">
        <f t="shared" si="33"/>
        <v>44283</v>
      </c>
      <c r="Y101" s="383">
        <f t="shared" si="34"/>
        <v>49.536000000000001</v>
      </c>
      <c r="Z101" s="383">
        <f t="shared" si="35"/>
        <v>50.303264333499172</v>
      </c>
      <c r="AA101" s="384">
        <f t="shared" si="36"/>
        <v>53.275054427021907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5.5782018910813129E-2</v>
      </c>
      <c r="AD101" s="230">
        <f>(INDEX(Models!$BJ101:$BT101,,AH101)*(1-AF101)+INDEX(Models!$BJ101:$BT101,,AH101+1)*AF101-ERP_i)*AE101*Ramure*Pc/MaxiM</f>
        <v>1.5482810056275973E-4</v>
      </c>
      <c r="AE101" s="304">
        <f t="shared" si="38"/>
        <v>0.6</v>
      </c>
      <c r="AF101" s="177">
        <f t="shared" si="39"/>
        <v>0.52125721076103559</v>
      </c>
      <c r="AG101" s="799">
        <f t="shared" si="47"/>
        <v>-1</v>
      </c>
      <c r="AH101" s="176">
        <f t="shared" si="40"/>
        <v>5</v>
      </c>
      <c r="AI101" s="224">
        <f t="shared" si="41"/>
        <v>-0.47874278923896446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51.566000000000003</v>
      </c>
      <c r="C102" s="388"/>
      <c r="D102" s="391">
        <f t="shared" si="24"/>
        <v>52.365710630782111</v>
      </c>
      <c r="E102" s="383">
        <f t="shared" si="45"/>
        <v>55.464763574596994</v>
      </c>
      <c r="F102" s="383">
        <f t="shared" si="25"/>
        <v>55.473113479022246</v>
      </c>
      <c r="G102" s="110">
        <f t="shared" si="46"/>
        <v>1.010637373882314</v>
      </c>
      <c r="H102" s="412" t="b">
        <f>Wh_hp&gt;='2020'!Maxi_hp</f>
        <v>1</v>
      </c>
      <c r="I102" s="379">
        <f>IF(H102,Wh_hp,'2020'!Maxi_hp)</f>
        <v>55.473113479022246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1.5271646677740613E-2</v>
      </c>
      <c r="M102" s="832"/>
      <c r="N102" s="832"/>
      <c r="O102" s="48">
        <f>IF(t&lt;Tnet,'2020'!Resal+('2020'!Salim-'2020'!Resal)*(1-EXP(('2020'!Tnet-t)/('2020'!Tau_j))),Resal+(Salim-Resal)*(1-EXP((Tnet-t)/(Tau_j))))*Salcycl</f>
        <v>5.5874265823685168E-2</v>
      </c>
      <c r="P102" s="169">
        <f>(INDEX(Models!$BJ102:$BT102,,T102)*(1-R102)+INDEX(Models!$BJ102:$BT102,,T102+1)*R102-ERP_i)*Q102*Ramure*Pc/MaxiM</f>
        <v>1.5052164736362378E-4</v>
      </c>
      <c r="Q102" s="304">
        <f t="shared" si="27"/>
        <v>0.6</v>
      </c>
      <c r="R102" s="177">
        <f t="shared" si="28"/>
        <v>0.522169993045422</v>
      </c>
      <c r="S102" s="799">
        <f t="shared" si="29"/>
        <v>-1</v>
      </c>
      <c r="T102" s="176">
        <f t="shared" si="30"/>
        <v>5</v>
      </c>
      <c r="U102" s="250">
        <f t="shared" si="31"/>
        <v>-0.47783000695457806</v>
      </c>
      <c r="V102" s="382">
        <f t="shared" si="32"/>
        <v>51.02324664870816</v>
      </c>
      <c r="W102" s="400"/>
      <c r="X102" s="157">
        <f t="shared" si="33"/>
        <v>44284</v>
      </c>
      <c r="Y102" s="383">
        <f t="shared" si="34"/>
        <v>51.566000000000003</v>
      </c>
      <c r="Z102" s="383">
        <f t="shared" si="35"/>
        <v>52.365710630782111</v>
      </c>
      <c r="AA102" s="384">
        <f t="shared" si="36"/>
        <v>55.464763574596994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5.5874265823685168E-2</v>
      </c>
      <c r="AD102" s="230">
        <f>(INDEX(Models!$BJ102:$BT102,,AH102)*(1-AF102)+INDEX(Models!$BJ102:$BT102,,AH102+1)*AF102-ERP_i)*AE102*Ramure*Pc/MaxiM</f>
        <v>1.5052164736362378E-4</v>
      </c>
      <c r="AE102" s="304">
        <f t="shared" si="38"/>
        <v>0.6</v>
      </c>
      <c r="AF102" s="177">
        <f t="shared" si="39"/>
        <v>0.522169993045422</v>
      </c>
      <c r="AG102" s="799">
        <f t="shared" si="47"/>
        <v>-1</v>
      </c>
      <c r="AH102" s="176">
        <f t="shared" si="40"/>
        <v>5</v>
      </c>
      <c r="AI102" s="224">
        <f t="shared" si="41"/>
        <v>-0.47783000695457806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48.140999999999998</v>
      </c>
      <c r="C103" s="388"/>
      <c r="D103" s="391">
        <f t="shared" si="24"/>
        <v>48.888531001005369</v>
      </c>
      <c r="E103" s="383">
        <f t="shared" si="45"/>
        <v>51.786883684508354</v>
      </c>
      <c r="F103" s="383">
        <f t="shared" si="25"/>
        <v>51.793793024757079</v>
      </c>
      <c r="G103" s="110">
        <f t="shared" si="46"/>
        <v>0.9376950448356669</v>
      </c>
      <c r="H103" s="412" t="b">
        <f>Wh_hp&gt;='2020'!Maxi_hp</f>
        <v>0</v>
      </c>
      <c r="I103" s="379">
        <f>IF(H103,Wh_hp,'2020'!Maxi_hp)</f>
        <v>54.228775027955102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1.52905187719794E-2</v>
      </c>
      <c r="M103" s="832"/>
      <c r="N103" s="832"/>
      <c r="O103" s="48">
        <f>IF(t&lt;Tnet,'2020'!Resal+('2020'!Salim-'2020'!Resal)*(1-EXP(('2020'!Tnet-t)/('2020'!Tau_j))),Resal+(Salim-Resal)*(1-EXP((Tnet-t)/(Tau_j))))*Salcycl</f>
        <v>5.5966925933602849E-2</v>
      </c>
      <c r="P103" s="169">
        <f>(INDEX(Models!$BJ103:$BT103,,T103)*(1-R103)+INDEX(Models!$BJ103:$BT103,,T103+1)*R103-ERP_i)*Q103*Ramure*Pc/MaxiM</f>
        <v>1.4643184617751302E-4</v>
      </c>
      <c r="Q103" s="304">
        <f t="shared" si="27"/>
        <v>0.6</v>
      </c>
      <c r="R103" s="177">
        <f t="shared" si="28"/>
        <v>0.52311736739704029</v>
      </c>
      <c r="S103" s="799">
        <f t="shared" si="29"/>
        <v>-1</v>
      </c>
      <c r="T103" s="176">
        <f t="shared" si="30"/>
        <v>5</v>
      </c>
      <c r="U103" s="250">
        <f t="shared" si="31"/>
        <v>-0.47688263260295971</v>
      </c>
      <c r="V103" s="382">
        <f t="shared" si="32"/>
        <v>51.339049790424333</v>
      </c>
      <c r="W103" s="400"/>
      <c r="X103" s="157">
        <f t="shared" si="33"/>
        <v>44285</v>
      </c>
      <c r="Y103" s="383">
        <f t="shared" si="34"/>
        <v>48.140999999999998</v>
      </c>
      <c r="Z103" s="383">
        <f t="shared" si="35"/>
        <v>48.888531001005369</v>
      </c>
      <c r="AA103" s="384">
        <f t="shared" si="36"/>
        <v>51.786883684508354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5.5966925933602849E-2</v>
      </c>
      <c r="AD103" s="230">
        <f>(INDEX(Models!$BJ103:$BT103,,AH103)*(1-AF103)+INDEX(Models!$BJ103:$BT103,,AH103+1)*AF103-ERP_i)*AE103*Ramure*Pc/MaxiM</f>
        <v>1.4643184617751302E-4</v>
      </c>
      <c r="AE103" s="304">
        <f t="shared" si="38"/>
        <v>0.6</v>
      </c>
      <c r="AF103" s="177">
        <f t="shared" si="39"/>
        <v>0.52311736739704029</v>
      </c>
      <c r="AG103" s="799">
        <f t="shared" si="47"/>
        <v>-1</v>
      </c>
      <c r="AH103" s="176">
        <f t="shared" si="40"/>
        <v>5</v>
      </c>
      <c r="AI103" s="224">
        <f t="shared" si="41"/>
        <v>-0.47688263260295971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46.420999999999999</v>
      </c>
      <c r="C104" s="388"/>
      <c r="D104" s="391">
        <f t="shared" si="24"/>
        <v>47.142726408029155</v>
      </c>
      <c r="E104" s="383">
        <f t="shared" si="45"/>
        <v>49.942504300139113</v>
      </c>
      <c r="F104" s="383">
        <f t="shared" si="25"/>
        <v>49.948595361830613</v>
      </c>
      <c r="G104" s="110">
        <f t="shared" si="46"/>
        <v>0.89878286729442913</v>
      </c>
      <c r="H104" s="412" t="b">
        <f>Wh_hp&gt;='2020'!Maxi_hp</f>
        <v>1</v>
      </c>
      <c r="I104" s="379">
        <f>IF(H104,Wh_hp,'2020'!Maxi_hp)</f>
        <v>49.948595361830613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1.5309390504538833E-2</v>
      </c>
      <c r="M104" s="832"/>
      <c r="N104" s="832"/>
      <c r="O104" s="48">
        <f>IF(t&lt;Tnet,'2020'!Resal+('2020'!Salim-'2020'!Resal)*(1-EXP(('2020'!Tnet-t)/('2020'!Tau_j))),Resal+(Salim-Resal)*(1-EXP((Tnet-t)/(Tau_j))))*Salcycl</f>
        <v>5.6060022046234503E-2</v>
      </c>
      <c r="P104" s="169">
        <f>(INDEX(Models!$BJ104:$BT104,,T104)*(1-R104)+INDEX(Models!$BJ104:$BT104,,T104+1)*R104-ERP_i)*Q104*Ramure*Pc/MaxiM</f>
        <v>1.4255582127007104E-4</v>
      </c>
      <c r="Q104" s="304">
        <f t="shared" si="27"/>
        <v>0.6</v>
      </c>
      <c r="R104" s="177">
        <f t="shared" si="28"/>
        <v>0.52410049188070462</v>
      </c>
      <c r="S104" s="799">
        <f t="shared" si="29"/>
        <v>-1</v>
      </c>
      <c r="T104" s="176">
        <f t="shared" si="30"/>
        <v>5</v>
      </c>
      <c r="U104" s="250">
        <f t="shared" si="31"/>
        <v>-0.47589950811929543</v>
      </c>
      <c r="V104" s="382">
        <f t="shared" si="32"/>
        <v>51.64767250480147</v>
      </c>
      <c r="W104" s="400"/>
      <c r="X104" s="157">
        <f t="shared" si="33"/>
        <v>44286</v>
      </c>
      <c r="Y104" s="383">
        <f t="shared" si="34"/>
        <v>46.420999999999999</v>
      </c>
      <c r="Z104" s="383">
        <f t="shared" si="35"/>
        <v>47.142726408029155</v>
      </c>
      <c r="AA104" s="384">
        <f t="shared" si="36"/>
        <v>49.942504300139113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5.6060022046234503E-2</v>
      </c>
      <c r="AD104" s="230">
        <f>(INDEX(Models!$BJ104:$BT104,,AH104)*(1-AF104)+INDEX(Models!$BJ104:$BT104,,AH104+1)*AF104-ERP_i)*AE104*Ramure*Pc/MaxiM</f>
        <v>1.4255582127007104E-4</v>
      </c>
      <c r="AE104" s="304">
        <f t="shared" si="38"/>
        <v>0.6</v>
      </c>
      <c r="AF104" s="177">
        <f t="shared" si="39"/>
        <v>0.52410049188070462</v>
      </c>
      <c r="AG104" s="799">
        <f t="shared" si="47"/>
        <v>-1</v>
      </c>
      <c r="AH104" s="176">
        <f t="shared" si="40"/>
        <v>5</v>
      </c>
      <c r="AI104" s="224">
        <f t="shared" si="41"/>
        <v>-0.47589950811929543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47.117000000000004</v>
      </c>
      <c r="C105" s="388"/>
      <c r="D105" s="391">
        <f t="shared" si="24"/>
        <v>47.850464449949584</v>
      </c>
      <c r="E105" s="383">
        <f t="shared" si="45"/>
        <v>50.69729912713337</v>
      </c>
      <c r="F105" s="383">
        <f t="shared" si="25"/>
        <v>50.703405728850484</v>
      </c>
      <c r="G105" s="110">
        <f t="shared" si="46"/>
        <v>0.90698118930034277</v>
      </c>
      <c r="H105" s="412" t="b">
        <f>Wh_hp&gt;='2020'!Maxi_hp</f>
        <v>1</v>
      </c>
      <c r="I105" s="379">
        <f>IF(H105,Wh_hp,'2020'!Maxi_hp)</f>
        <v>50.703405728850484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1.5328261875425797E-2</v>
      </c>
      <c r="M105" s="832"/>
      <c r="N105" s="832"/>
      <c r="O105" s="48">
        <f>IF(t&lt;Tnet,'2020'!Resal+('2020'!Salim-'2020'!Resal)*(1-EXP(('2020'!Tnet-t)/('2020'!Tau_j))),Resal+(Salim-Resal)*(1-EXP((Tnet-t)/(Tau_j))))*Salcycl</f>
        <v>5.6153576742713512E-2</v>
      </c>
      <c r="P105" s="169">
        <f>(INDEX(Models!$BJ105:$BT105,,T105)*(1-R105)+INDEX(Models!$BJ105:$BT105,,T105+1)*R105-ERP_i)*Q105*Ramure*Pc/MaxiM</f>
        <v>1.3889074104223649E-4</v>
      </c>
      <c r="Q105" s="304">
        <f t="shared" si="27"/>
        <v>0.6</v>
      </c>
      <c r="R105" s="177">
        <f t="shared" si="28"/>
        <v>0.52512055094998977</v>
      </c>
      <c r="S105" s="799">
        <f t="shared" si="29"/>
        <v>-1</v>
      </c>
      <c r="T105" s="176">
        <f t="shared" si="30"/>
        <v>5</v>
      </c>
      <c r="U105" s="250">
        <f t="shared" si="31"/>
        <v>-0.47487944905001023</v>
      </c>
      <c r="V105" s="382">
        <f t="shared" si="32"/>
        <v>51.948299478870403</v>
      </c>
      <c r="W105" s="400"/>
      <c r="X105" s="157">
        <f t="shared" si="33"/>
        <v>44287</v>
      </c>
      <c r="Y105" s="383">
        <f t="shared" si="34"/>
        <v>47.117000000000004</v>
      </c>
      <c r="Z105" s="383">
        <f t="shared" si="35"/>
        <v>47.850464449949584</v>
      </c>
      <c r="AA105" s="384">
        <f t="shared" si="36"/>
        <v>50.69729912713337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5.6153576742713512E-2</v>
      </c>
      <c r="AD105" s="230">
        <f>(INDEX(Models!$BJ105:$BT105,,AH105)*(1-AF105)+INDEX(Models!$BJ105:$BT105,,AH105+1)*AF105-ERP_i)*AE105*Ramure*Pc/MaxiM</f>
        <v>1.3889074104223649E-4</v>
      </c>
      <c r="AE105" s="304">
        <f t="shared" si="38"/>
        <v>0.6</v>
      </c>
      <c r="AF105" s="177">
        <f t="shared" si="39"/>
        <v>0.52512055094998977</v>
      </c>
      <c r="AG105" s="799">
        <f t="shared" si="47"/>
        <v>-1</v>
      </c>
      <c r="AH105" s="176">
        <f t="shared" si="40"/>
        <v>5</v>
      </c>
      <c r="AI105" s="224">
        <f t="shared" si="41"/>
        <v>-0.47487944905001023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42.689</v>
      </c>
      <c r="C106" s="388"/>
      <c r="D106" s="391">
        <f t="shared" si="24"/>
        <v>43.354365203913993</v>
      </c>
      <c r="E106" s="383">
        <f t="shared" si="45"/>
        <v>45.938283993076936</v>
      </c>
      <c r="F106" s="383">
        <f t="shared" si="25"/>
        <v>45.942881049826532</v>
      </c>
      <c r="G106" s="110">
        <f t="shared" si="46"/>
        <v>0.8171400300522208</v>
      </c>
      <c r="H106" s="412" t="b">
        <f>Wh_hp&gt;='2020'!Maxi_hp</f>
        <v>1</v>
      </c>
      <c r="I106" s="379">
        <f>IF(H106,Wh_hp,'2020'!Maxi_hp)</f>
        <v>45.942881049826532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1.5347132884647174E-2</v>
      </c>
      <c r="M106" s="832"/>
      <c r="N106" s="832"/>
      <c r="O106" s="48">
        <f>IF(t&lt;Tnet,'2020'!Resal+('2020'!Salim-'2020'!Resal)*(1-EXP(('2020'!Tnet-t)/('2020'!Tau_j))),Resal+(Salim-Resal)*(1-EXP((Tnet-t)/(Tau_j))))*Salcycl</f>
        <v>5.6247612330324513E-2</v>
      </c>
      <c r="P106" s="169">
        <f>(INDEX(Models!$BJ106:$BT106,,T106)*(1-R106)+INDEX(Models!$BJ106:$BT106,,T106+1)*R106-ERP_i)*Q106*Ramure*Pc/MaxiM</f>
        <v>1.3543385657403584E-4</v>
      </c>
      <c r="Q106" s="304">
        <f t="shared" si="27"/>
        <v>0.6</v>
      </c>
      <c r="R106" s="177">
        <f t="shared" si="28"/>
        <v>0.52617875499942912</v>
      </c>
      <c r="S106" s="799">
        <f t="shared" si="29"/>
        <v>-1</v>
      </c>
      <c r="T106" s="176">
        <f t="shared" si="30"/>
        <v>5</v>
      </c>
      <c r="U106" s="250">
        <f t="shared" si="31"/>
        <v>-0.47382124500057088</v>
      </c>
      <c r="V106" s="382">
        <f t="shared" si="32"/>
        <v>52.240115788738215</v>
      </c>
      <c r="W106" s="400"/>
      <c r="X106" s="157">
        <f t="shared" si="33"/>
        <v>44288</v>
      </c>
      <c r="Y106" s="383">
        <f t="shared" si="34"/>
        <v>42.689</v>
      </c>
      <c r="Z106" s="383">
        <f t="shared" si="35"/>
        <v>43.354365203913993</v>
      </c>
      <c r="AA106" s="384">
        <f t="shared" si="36"/>
        <v>45.938283993076936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5.6247612330324513E-2</v>
      </c>
      <c r="AD106" s="230">
        <f>(INDEX(Models!$BJ106:$BT106,,AH106)*(1-AF106)+INDEX(Models!$BJ106:$BT106,,AH106+1)*AF106-ERP_i)*AE106*Ramure*Pc/MaxiM</f>
        <v>1.3543385657403584E-4</v>
      </c>
      <c r="AE106" s="304">
        <f t="shared" si="38"/>
        <v>0.6</v>
      </c>
      <c r="AF106" s="177">
        <f t="shared" si="39"/>
        <v>0.52617875499942912</v>
      </c>
      <c r="AG106" s="799">
        <f t="shared" si="47"/>
        <v>-1</v>
      </c>
      <c r="AH106" s="176">
        <f t="shared" si="40"/>
        <v>5</v>
      </c>
      <c r="AI106" s="224">
        <f t="shared" si="41"/>
        <v>-0.47382124500057088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51.619</v>
      </c>
      <c r="C107" s="388"/>
      <c r="D107" s="391">
        <f t="shared" si="24"/>
        <v>52.424555911307699</v>
      </c>
      <c r="E107" s="383">
        <f t="shared" si="45"/>
        <v>55.554622849240801</v>
      </c>
      <c r="F107" s="383">
        <f t="shared" si="25"/>
        <v>55.561785950469968</v>
      </c>
      <c r="G107" s="110">
        <f t="shared" si="46"/>
        <v>0.98275595956137141</v>
      </c>
      <c r="H107" s="412" t="b">
        <f>Wh_hp&gt;='2020'!Maxi_hp</f>
        <v>1</v>
      </c>
      <c r="I107" s="379">
        <f>IF(H107,Wh_hp,'2020'!Maxi_hp)</f>
        <v>55.561785950469968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1.5366003532210071E-2</v>
      </c>
      <c r="M107" s="832"/>
      <c r="N107" s="832"/>
      <c r="O107" s="48">
        <f>IF(t&lt;Tnet,'2020'!Resal+('2020'!Salim-'2020'!Resal)*(1-EXP(('2020'!Tnet-t)/('2020'!Tau_j))),Resal+(Salim-Resal)*(1-EXP((Tnet-t)/(Tau_j))))*Salcycl</f>
        <v>5.6342150795032769E-2</v>
      </c>
      <c r="P107" s="169">
        <f>(INDEX(Models!$BJ107:$BT107,,T107)*(1-R107)+INDEX(Models!$BJ107:$BT107,,T107+1)*R107-ERP_i)*Q107*Ramure*Pc/MaxiM</f>
        <v>1.3217684968889147E-4</v>
      </c>
      <c r="Q107" s="304">
        <f t="shared" si="27"/>
        <v>0.6</v>
      </c>
      <c r="R107" s="177">
        <f t="shared" si="28"/>
        <v>0.52727633980424271</v>
      </c>
      <c r="S107" s="799">
        <f t="shared" si="29"/>
        <v>-1</v>
      </c>
      <c r="T107" s="176">
        <f t="shared" si="30"/>
        <v>5</v>
      </c>
      <c r="U107" s="250">
        <f t="shared" si="31"/>
        <v>-0.47272366019575729</v>
      </c>
      <c r="V107" s="382">
        <f t="shared" si="32"/>
        <v>52.524567702905529</v>
      </c>
      <c r="W107" s="400"/>
      <c r="X107" s="157">
        <f t="shared" si="33"/>
        <v>44289</v>
      </c>
      <c r="Y107" s="383">
        <f t="shared" si="34"/>
        <v>51.619</v>
      </c>
      <c r="Z107" s="383">
        <f t="shared" si="35"/>
        <v>52.424555911307699</v>
      </c>
      <c r="AA107" s="384">
        <f t="shared" si="36"/>
        <v>55.554622849240801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5.6342150795032769E-2</v>
      </c>
      <c r="AD107" s="230">
        <f>(INDEX(Models!$BJ107:$BT107,,AH107)*(1-AF107)+INDEX(Models!$BJ107:$BT107,,AH107+1)*AF107-ERP_i)*AE107*Ramure*Pc/MaxiM</f>
        <v>1.3217684968889147E-4</v>
      </c>
      <c r="AE107" s="304">
        <f t="shared" si="38"/>
        <v>0.6</v>
      </c>
      <c r="AF107" s="177">
        <f t="shared" si="39"/>
        <v>0.52727633980424271</v>
      </c>
      <c r="AG107" s="799">
        <f t="shared" si="47"/>
        <v>-1</v>
      </c>
      <c r="AH107" s="176">
        <f t="shared" si="40"/>
        <v>5</v>
      </c>
      <c r="AI107" s="224">
        <f t="shared" si="41"/>
        <v>-0.47272366019575729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51.276000000000003</v>
      </c>
      <c r="C108" s="388"/>
      <c r="D108" s="391">
        <f t="shared" si="24"/>
        <v>52.077201168782643</v>
      </c>
      <c r="E108" s="383">
        <f t="shared" si="45"/>
        <v>55.192088886918171</v>
      </c>
      <c r="F108" s="383">
        <f t="shared" si="25"/>
        <v>55.198921303597992</v>
      </c>
      <c r="G108" s="110">
        <f t="shared" si="46"/>
        <v>0.97106540326986712</v>
      </c>
      <c r="H108" s="412" t="b">
        <f>Wh_hp&gt;='2020'!Maxi_hp</f>
        <v>0</v>
      </c>
      <c r="I108" s="379">
        <f>IF(H108,Wh_hp,'2020'!Maxi_hp)</f>
        <v>57.558924699627966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1.5384873818121259E-2</v>
      </c>
      <c r="M108" s="832"/>
      <c r="N108" s="832"/>
      <c r="O108" s="48">
        <f>IF(t&lt;Tnet,'2020'!Resal+('2020'!Salim-'2020'!Resal)*(1-EXP(('2020'!Tnet-t)/('2020'!Tau_j))),Resal+(Salim-Resal)*(1-EXP((Tnet-t)/(Tau_j))))*Salcycl</f>
        <v>5.6437213755716871E-2</v>
      </c>
      <c r="P108" s="169">
        <f>(INDEX(Models!$BJ108:$BT108,,T108)*(1-R108)+INDEX(Models!$BJ108:$BT108,,T108+1)*R108-ERP_i)*Q108*Ramure*Pc/MaxiM</f>
        <v>1.2911407560619844E-4</v>
      </c>
      <c r="Q108" s="304">
        <f t="shared" si="27"/>
        <v>0.6</v>
      </c>
      <c r="R108" s="177">
        <f t="shared" si="28"/>
        <v>0.52841456583909541</v>
      </c>
      <c r="S108" s="799">
        <f t="shared" si="29"/>
        <v>-1</v>
      </c>
      <c r="T108" s="176">
        <f t="shared" si="30"/>
        <v>5</v>
      </c>
      <c r="U108" s="250">
        <f t="shared" si="31"/>
        <v>-0.47158543416090459</v>
      </c>
      <c r="V108" s="382">
        <f t="shared" si="32"/>
        <v>52.803576551206035</v>
      </c>
      <c r="W108" s="400"/>
      <c r="X108" s="157">
        <f t="shared" si="33"/>
        <v>44290</v>
      </c>
      <c r="Y108" s="383">
        <f t="shared" si="34"/>
        <v>51.276000000000003</v>
      </c>
      <c r="Z108" s="383">
        <f t="shared" si="35"/>
        <v>52.077201168782643</v>
      </c>
      <c r="AA108" s="384">
        <f t="shared" si="36"/>
        <v>55.192088886918171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5.6437213755716871E-2</v>
      </c>
      <c r="AD108" s="230">
        <f>(INDEX(Models!$BJ108:$BT108,,AH108)*(1-AF108)+INDEX(Models!$BJ108:$BT108,,AH108+1)*AF108-ERP_i)*AE108*Ramure*Pc/MaxiM</f>
        <v>1.2911407560619844E-4</v>
      </c>
      <c r="AE108" s="304">
        <f t="shared" si="38"/>
        <v>0.6</v>
      </c>
      <c r="AF108" s="177">
        <f t="shared" si="39"/>
        <v>0.52841456583909541</v>
      </c>
      <c r="AG108" s="799">
        <f t="shared" si="47"/>
        <v>-1</v>
      </c>
      <c r="AH108" s="176">
        <f t="shared" si="40"/>
        <v>5</v>
      </c>
      <c r="AI108" s="224">
        <f t="shared" si="41"/>
        <v>-0.47158543416090459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49.024000000000001</v>
      </c>
      <c r="C109" s="388"/>
      <c r="D109" s="391">
        <f t="shared" si="24"/>
        <v>49.790967300990062</v>
      </c>
      <c r="E109" s="383">
        <f t="shared" si="45"/>
        <v>52.774456265347062</v>
      </c>
      <c r="F109" s="383">
        <f t="shared" si="25"/>
        <v>52.780389403706025</v>
      </c>
      <c r="G109" s="110">
        <f t="shared" si="46"/>
        <v>0.92362575882789555</v>
      </c>
      <c r="H109" s="412" t="b">
        <f>Wh_hp&gt;='2020'!Maxi_hp</f>
        <v>0</v>
      </c>
      <c r="I109" s="379">
        <f>IF(H109,Wh_hp,'2020'!Maxi_hp)</f>
        <v>59.132284614261103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1.5403743742387732E-2</v>
      </c>
      <c r="M109" s="832"/>
      <c r="N109" s="832"/>
      <c r="O109" s="48">
        <f>IF(t&lt;Tnet,'2020'!Resal+('2020'!Salim-'2020'!Resal)*(1-EXP(('2020'!Tnet-t)/('2020'!Tau_j))),Resal+(Salim-Resal)*(1-EXP((Tnet-t)/(Tau_j))))*Salcycl</f>
        <v>5.6532822419925695E-2</v>
      </c>
      <c r="P109" s="169">
        <f>(INDEX(Models!$BJ109:$BT109,,T109)*(1-R109)+INDEX(Models!$BJ109:$BT109,,T109+1)*R109-ERP_i)*Q109*Ramure*Pc/MaxiM</f>
        <v>1.2617607868512784E-4</v>
      </c>
      <c r="Q109" s="304">
        <f t="shared" si="27"/>
        <v>0.6</v>
      </c>
      <c r="R109" s="177">
        <f t="shared" si="28"/>
        <v>0.52959471746711406</v>
      </c>
      <c r="S109" s="799">
        <f t="shared" si="29"/>
        <v>-1</v>
      </c>
      <c r="T109" s="176">
        <f t="shared" si="30"/>
        <v>5</v>
      </c>
      <c r="U109" s="250">
        <f t="shared" si="31"/>
        <v>-0.47040528253288588</v>
      </c>
      <c r="V109" s="382">
        <f t="shared" si="32"/>
        <v>53.077044111620225</v>
      </c>
      <c r="W109" s="400"/>
      <c r="X109" s="157">
        <f t="shared" si="33"/>
        <v>44291</v>
      </c>
      <c r="Y109" s="383">
        <f t="shared" si="34"/>
        <v>49.024000000000001</v>
      </c>
      <c r="Z109" s="383">
        <f t="shared" si="35"/>
        <v>49.790967300990062</v>
      </c>
      <c r="AA109" s="384">
        <f t="shared" si="36"/>
        <v>52.774456265347062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5.6532822419925695E-2</v>
      </c>
      <c r="AD109" s="230">
        <f>(INDEX(Models!$BJ109:$BT109,,AH109)*(1-AF109)+INDEX(Models!$BJ109:$BT109,,AH109+1)*AF109-ERP_i)*AE109*Ramure*Pc/MaxiM</f>
        <v>1.2617607868512784E-4</v>
      </c>
      <c r="AE109" s="304">
        <f t="shared" si="38"/>
        <v>0.6</v>
      </c>
      <c r="AF109" s="177">
        <f t="shared" si="39"/>
        <v>0.52959471746711406</v>
      </c>
      <c r="AG109" s="799">
        <f t="shared" si="47"/>
        <v>-1</v>
      </c>
      <c r="AH109" s="176">
        <f t="shared" si="40"/>
        <v>5</v>
      </c>
      <c r="AI109" s="224">
        <f t="shared" si="41"/>
        <v>-0.47040528253288588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33.474000000000004</v>
      </c>
      <c r="C110" s="388"/>
      <c r="D110" s="391">
        <f t="shared" si="24"/>
        <v>33.998343301754154</v>
      </c>
      <c r="E110" s="383">
        <f t="shared" si="45"/>
        <v>36.039207494328082</v>
      </c>
      <c r="F110" s="383">
        <f t="shared" si="25"/>
        <v>36.041287626364571</v>
      </c>
      <c r="G110" s="110">
        <f t="shared" si="46"/>
        <v>0.62746058357910417</v>
      </c>
      <c r="H110" s="412" t="b">
        <f>Wh_hp&gt;='2020'!Maxi_hp</f>
        <v>0</v>
      </c>
      <c r="I110" s="379">
        <f>IF(H110,Wh_hp,'2020'!Maxi_hp)</f>
        <v>59.680123270108488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1.5422613305016375E-2</v>
      </c>
      <c r="M110" s="832"/>
      <c r="N110" s="832"/>
      <c r="O110" s="48">
        <f>IF(t&lt;Tnet,'2020'!Resal+('2020'!Salim-'2020'!Resal)*(1-EXP(('2020'!Tnet-t)/('2020'!Tau_j))),Resal+(Salim-Resal)*(1-EXP((Tnet-t)/(Tau_j))))*Salcycl</f>
        <v>5.6628997540945532E-2</v>
      </c>
      <c r="P110" s="169">
        <f>(INDEX(Models!$BJ110:$BT110,,T110)*(1-R110)+INDEX(Models!$BJ110:$BT110,,T110+1)*R110-ERP_i)*Q110*Ramure*Pc/MaxiM</f>
        <v>1.2336017644393174E-4</v>
      </c>
      <c r="Q110" s="304">
        <f t="shared" si="27"/>
        <v>0.6</v>
      </c>
      <c r="R110" s="177">
        <f t="shared" si="28"/>
        <v>0.53081810199015433</v>
      </c>
      <c r="S110" s="799">
        <f t="shared" si="29"/>
        <v>-1</v>
      </c>
      <c r="T110" s="176">
        <f t="shared" si="30"/>
        <v>5</v>
      </c>
      <c r="U110" s="250">
        <f t="shared" si="31"/>
        <v>-0.46918189800984567</v>
      </c>
      <c r="V110" s="382">
        <f t="shared" si="32"/>
        <v>53.344868747097365</v>
      </c>
      <c r="W110" s="400"/>
      <c r="X110" s="157">
        <f t="shared" si="33"/>
        <v>44292</v>
      </c>
      <c r="Y110" s="383">
        <f t="shared" si="34"/>
        <v>33.474000000000004</v>
      </c>
      <c r="Z110" s="383">
        <f t="shared" si="35"/>
        <v>33.998343301754154</v>
      </c>
      <c r="AA110" s="384">
        <f t="shared" si="36"/>
        <v>36.039207494328082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5.6628997540945532E-2</v>
      </c>
      <c r="AD110" s="230">
        <f>(INDEX(Models!$BJ110:$BT110,,AH110)*(1-AF110)+INDEX(Models!$BJ110:$BT110,,AH110+1)*AF110-ERP_i)*AE110*Ramure*Pc/MaxiM</f>
        <v>1.2336017644393174E-4</v>
      </c>
      <c r="AE110" s="304">
        <f t="shared" si="38"/>
        <v>0.6</v>
      </c>
      <c r="AF110" s="177">
        <f t="shared" si="39"/>
        <v>0.53081810199015433</v>
      </c>
      <c r="AG110" s="799">
        <f t="shared" si="47"/>
        <v>-1</v>
      </c>
      <c r="AH110" s="176">
        <f t="shared" si="40"/>
        <v>5</v>
      </c>
      <c r="AI110" s="224">
        <f t="shared" si="41"/>
        <v>-0.46918189800984567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53.72</v>
      </c>
      <c r="C111" s="388"/>
      <c r="D111" s="391">
        <f t="shared" si="24"/>
        <v>54.562526295272384</v>
      </c>
      <c r="E111" s="383">
        <f t="shared" si="45"/>
        <v>57.843757356475784</v>
      </c>
      <c r="F111" s="383">
        <f t="shared" si="25"/>
        <v>57.850737846912956</v>
      </c>
      <c r="G111" s="110">
        <f t="shared" si="46"/>
        <v>1.0021088890352954</v>
      </c>
      <c r="H111" s="412" t="b">
        <f>Wh_hp&gt;='2020'!Maxi_hp</f>
        <v>1</v>
      </c>
      <c r="I111" s="379">
        <f>IF(H111,Wh_hp,'2020'!Maxi_hp)</f>
        <v>57.850737846912956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1.5441482506014181E-2</v>
      </c>
      <c r="M111" s="832"/>
      <c r="N111" s="832"/>
      <c r="O111" s="48">
        <f>IF(t&lt;Tnet,'2020'!Resal+('2020'!Salim-'2020'!Resal)*(1-EXP(('2020'!Tnet-t)/('2020'!Tau_j))),Resal+(Salim-Resal)*(1-EXP((Tnet-t)/(Tau_j))))*Salcycl</f>
        <v>5.6725759375934756E-2</v>
      </c>
      <c r="P111" s="169">
        <f>(INDEX(Models!$BJ111:$BT111,,T111)*(1-R111)+INDEX(Models!$BJ111:$BT111,,T111+1)*R111-ERP_i)*Q111*Ramure*Pc/MaxiM</f>
        <v>1.206638099524617E-4</v>
      </c>
      <c r="Q111" s="304">
        <f t="shared" si="27"/>
        <v>0.6</v>
      </c>
      <c r="R111" s="177">
        <f t="shared" si="28"/>
        <v>0.53208604855110331</v>
      </c>
      <c r="S111" s="799">
        <f t="shared" si="29"/>
        <v>-1</v>
      </c>
      <c r="T111" s="176">
        <f t="shared" si="30"/>
        <v>5</v>
      </c>
      <c r="U111" s="250">
        <f t="shared" si="31"/>
        <v>-0.46791395144889669</v>
      </c>
      <c r="V111" s="382">
        <f t="shared" si="32"/>
        <v>53.606948893263365</v>
      </c>
      <c r="W111" s="400"/>
      <c r="X111" s="157">
        <f t="shared" si="33"/>
        <v>44293</v>
      </c>
      <c r="Y111" s="383">
        <f t="shared" si="34"/>
        <v>53.72</v>
      </c>
      <c r="Z111" s="383">
        <f t="shared" si="35"/>
        <v>54.562526295272384</v>
      </c>
      <c r="AA111" s="384">
        <f t="shared" si="36"/>
        <v>57.843757356475784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5.6725759375934756E-2</v>
      </c>
      <c r="AD111" s="230">
        <f>(INDEX(Models!$BJ111:$BT111,,AH111)*(1-AF111)+INDEX(Models!$BJ111:$BT111,,AH111+1)*AF111-ERP_i)*AE111*Ramure*Pc/MaxiM</f>
        <v>1.206638099524617E-4</v>
      </c>
      <c r="AE111" s="304">
        <f t="shared" si="38"/>
        <v>0.6</v>
      </c>
      <c r="AF111" s="177">
        <f t="shared" si="39"/>
        <v>0.53208604855110331</v>
      </c>
      <c r="AG111" s="799">
        <f t="shared" si="47"/>
        <v>-1</v>
      </c>
      <c r="AH111" s="176">
        <f t="shared" si="40"/>
        <v>5</v>
      </c>
      <c r="AI111" s="224">
        <f t="shared" si="41"/>
        <v>-0.46791395144889669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53.012999999999998</v>
      </c>
      <c r="C112" s="388"/>
      <c r="D112" s="391">
        <f t="shared" si="24"/>
        <v>53.845469882744744</v>
      </c>
      <c r="E112" s="383">
        <f t="shared" si="45"/>
        <v>57.089472251679531</v>
      </c>
      <c r="F112" s="383">
        <f t="shared" si="25"/>
        <v>57.096062387011123</v>
      </c>
      <c r="G112" s="110">
        <f t="shared" si="46"/>
        <v>0.98421325688484529</v>
      </c>
      <c r="H112" s="412" t="b">
        <f>Wh_hp&gt;='2020'!Maxi_hp</f>
        <v>1</v>
      </c>
      <c r="I112" s="379">
        <f>IF(H112,Wh_hp,'2020'!Maxi_hp)</f>
        <v>57.096062387011123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1.5460351345388035E-2</v>
      </c>
      <c r="M112" s="832"/>
      <c r="N112" s="832"/>
      <c r="O112" s="48">
        <f>IF(t&lt;Tnet,'2020'!Resal+('2020'!Salim-'2020'!Resal)*(1-EXP(('2020'!Tnet-t)/('2020'!Tau_j))),Resal+(Salim-Resal)*(1-EXP((Tnet-t)/(Tau_j))))*Salcycl</f>
        <v>5.6823127644858439E-2</v>
      </c>
      <c r="P112" s="169">
        <f>(INDEX(Models!$BJ112:$BT112,,T112)*(1-R112)+INDEX(Models!$BJ112:$BT112,,T112+1)*R112-ERP_i)*Q112*Ramure*Pc/MaxiM</f>
        <v>1.1808454668340348E-4</v>
      </c>
      <c r="Q112" s="304">
        <f t="shared" si="27"/>
        <v>0.6</v>
      </c>
      <c r="R112" s="177">
        <f t="shared" si="28"/>
        <v>0.53339990687884686</v>
      </c>
      <c r="S112" s="799">
        <f t="shared" si="29"/>
        <v>-1</v>
      </c>
      <c r="T112" s="176">
        <f t="shared" si="30"/>
        <v>5</v>
      </c>
      <c r="U112" s="250">
        <f t="shared" si="31"/>
        <v>-0.46660009312115308</v>
      </c>
      <c r="V112" s="382">
        <f t="shared" si="32"/>
        <v>53.86318306256674</v>
      </c>
      <c r="W112" s="400"/>
      <c r="X112" s="157">
        <f t="shared" si="33"/>
        <v>44294</v>
      </c>
      <c r="Y112" s="383">
        <f t="shared" si="34"/>
        <v>53.012999999999998</v>
      </c>
      <c r="Z112" s="383">
        <f t="shared" si="35"/>
        <v>53.845469882744744</v>
      </c>
      <c r="AA112" s="384">
        <f t="shared" si="36"/>
        <v>57.089472251679531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5.6823127644858439E-2</v>
      </c>
      <c r="AD112" s="230">
        <f>(INDEX(Models!$BJ112:$BT112,,AH112)*(1-AF112)+INDEX(Models!$BJ112:$BT112,,AH112+1)*AF112-ERP_i)*AE112*Ramure*Pc/MaxiM</f>
        <v>1.1808454668340348E-4</v>
      </c>
      <c r="AE112" s="304">
        <f t="shared" si="38"/>
        <v>0.6</v>
      </c>
      <c r="AF112" s="177">
        <f t="shared" si="39"/>
        <v>0.53339990687884686</v>
      </c>
      <c r="AG112" s="799">
        <f t="shared" si="47"/>
        <v>-1</v>
      </c>
      <c r="AH112" s="176">
        <f t="shared" si="40"/>
        <v>5</v>
      </c>
      <c r="AI112" s="224">
        <f t="shared" si="41"/>
        <v>-0.46660009312115308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31.617000000000001</v>
      </c>
      <c r="C113" s="388"/>
      <c r="D113" s="391">
        <f t="shared" si="24"/>
        <v>32.114101232399037</v>
      </c>
      <c r="E113" s="383">
        <f t="shared" si="45"/>
        <v>34.052402152336413</v>
      </c>
      <c r="F113" s="383">
        <f t="shared" si="25"/>
        <v>34.054001113390662</v>
      </c>
      <c r="G113" s="110">
        <f t="shared" si="46"/>
        <v>0.58423215074861468</v>
      </c>
      <c r="H113" s="412" t="b">
        <f>Wh_hp&gt;='2020'!Maxi_hp</f>
        <v>0</v>
      </c>
      <c r="I113" s="379">
        <f>IF(H113,Wh_hp,'2020'!Maxi_hp)</f>
        <v>45.048186570983958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1.547921982314493E-2</v>
      </c>
      <c r="M113" s="832"/>
      <c r="N113" s="832"/>
      <c r="O113" s="48">
        <f>IF(t&lt;Tnet,'2020'!Resal+('2020'!Salim-'2020'!Resal)*(1-EXP(('2020'!Tnet-t)/('2020'!Tau_j))),Resal+(Salim-Resal)*(1-EXP((Tnet-t)/(Tau_j))))*Salcycl</f>
        <v>5.6921121489938359E-2</v>
      </c>
      <c r="P113" s="169">
        <f>(INDEX(Models!$BJ113:$BT113,,T113)*(1-R113)+INDEX(Models!$BJ113:$BT113,,T113+1)*R113-ERP_i)*Q113*Ramure*Pc/MaxiM</f>
        <v>1.1562008348083887E-4</v>
      </c>
      <c r="Q113" s="304">
        <f t="shared" si="27"/>
        <v>0.6</v>
      </c>
      <c r="R113" s="177">
        <f t="shared" si="28"/>
        <v>0.53476104586641293</v>
      </c>
      <c r="S113" s="799">
        <f t="shared" si="29"/>
        <v>-1</v>
      </c>
      <c r="T113" s="176">
        <f t="shared" si="30"/>
        <v>5</v>
      </c>
      <c r="U113" s="250">
        <f t="shared" si="31"/>
        <v>-0.46523895413358707</v>
      </c>
      <c r="V113" s="382">
        <f t="shared" si="32"/>
        <v>54.113469846232178</v>
      </c>
      <c r="W113" s="400"/>
      <c r="X113" s="157">
        <f t="shared" si="33"/>
        <v>44295</v>
      </c>
      <c r="Y113" s="383">
        <f t="shared" si="34"/>
        <v>31.617000000000001</v>
      </c>
      <c r="Z113" s="383">
        <f t="shared" si="35"/>
        <v>32.114101232399037</v>
      </c>
      <c r="AA113" s="384">
        <f t="shared" si="36"/>
        <v>34.052402152336413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5.6921121489938359E-2</v>
      </c>
      <c r="AD113" s="230">
        <f>(INDEX(Models!$BJ113:$BT113,,AH113)*(1-AF113)+INDEX(Models!$BJ113:$BT113,,AH113+1)*AF113-ERP_i)*AE113*Ramure*Pc/MaxiM</f>
        <v>1.1562008348083887E-4</v>
      </c>
      <c r="AE113" s="304">
        <f t="shared" si="38"/>
        <v>0.6</v>
      </c>
      <c r="AF113" s="177">
        <f t="shared" si="39"/>
        <v>0.53476104586641293</v>
      </c>
      <c r="AG113" s="799">
        <f t="shared" si="47"/>
        <v>-1</v>
      </c>
      <c r="AH113" s="176">
        <f t="shared" si="40"/>
        <v>5</v>
      </c>
      <c r="AI113" s="224">
        <f t="shared" si="41"/>
        <v>-0.46523895413358707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33.816000000000003</v>
      </c>
      <c r="C114" s="388"/>
      <c r="D114" s="391">
        <f t="shared" si="24"/>
        <v>34.348333493043306</v>
      </c>
      <c r="E114" s="383">
        <f t="shared" si="45"/>
        <v>36.425295054406142</v>
      </c>
      <c r="F114" s="383">
        <f t="shared" si="25"/>
        <v>36.427193799409679</v>
      </c>
      <c r="G114" s="110">
        <f t="shared" si="46"/>
        <v>0.62206324625200127</v>
      </c>
      <c r="H114" s="412" t="b">
        <f>Wh_hp&gt;='2020'!Maxi_hp</f>
        <v>0</v>
      </c>
      <c r="I114" s="379">
        <f>IF(H114,Wh_hp,'2020'!Maxi_hp)</f>
        <v>58.174018609089053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1.5498087939291749E-2</v>
      </c>
      <c r="M114" s="832"/>
      <c r="N114" s="832"/>
      <c r="O114" s="48">
        <f>IF(t&lt;Tnet,'2020'!Resal+('2020'!Salim-'2020'!Resal)*(1-EXP(('2020'!Tnet-t)/('2020'!Tau_j))),Resal+(Salim-Resal)*(1-EXP((Tnet-t)/(Tau_j))))*Salcycl</f>
        <v>5.7019759435321303E-2</v>
      </c>
      <c r="P114" s="169">
        <f>(INDEX(Models!$BJ114:$BT114,,T114)*(1-R114)+INDEX(Models!$BJ114:$BT114,,T114+1)*R114-ERP_i)*Q114*Ramure*Pc/MaxiM</f>
        <v>1.1327824208116082E-4</v>
      </c>
      <c r="Q114" s="304">
        <f t="shared" si="27"/>
        <v>0.6</v>
      </c>
      <c r="R114" s="177">
        <f t="shared" si="28"/>
        <v>0.53617085197275549</v>
      </c>
      <c r="S114" s="799">
        <f t="shared" si="29"/>
        <v>-1</v>
      </c>
      <c r="T114" s="176">
        <f t="shared" si="30"/>
        <v>5</v>
      </c>
      <c r="U114" s="250">
        <f t="shared" si="31"/>
        <v>-0.46382914802724451</v>
      </c>
      <c r="V114" s="382">
        <f t="shared" si="32"/>
        <v>54.357707382711233</v>
      </c>
      <c r="W114" s="400"/>
      <c r="X114" s="157">
        <f t="shared" si="33"/>
        <v>44296</v>
      </c>
      <c r="Y114" s="383">
        <f t="shared" si="34"/>
        <v>33.816000000000003</v>
      </c>
      <c r="Z114" s="383">
        <f t="shared" si="35"/>
        <v>34.348333493043306</v>
      </c>
      <c r="AA114" s="384">
        <f t="shared" si="36"/>
        <v>36.425295054406142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5.7019759435321303E-2</v>
      </c>
      <c r="AD114" s="230">
        <f>(INDEX(Models!$BJ114:$BT114,,AH114)*(1-AF114)+INDEX(Models!$BJ114:$BT114,,AH114+1)*AF114-ERP_i)*AE114*Ramure*Pc/MaxiM</f>
        <v>1.1327824208116082E-4</v>
      </c>
      <c r="AE114" s="304">
        <f t="shared" si="38"/>
        <v>0.6</v>
      </c>
      <c r="AF114" s="177">
        <f t="shared" si="39"/>
        <v>0.53617085197275549</v>
      </c>
      <c r="AG114" s="799">
        <f t="shared" si="47"/>
        <v>-1</v>
      </c>
      <c r="AH114" s="176">
        <f t="shared" si="40"/>
        <v>5</v>
      </c>
      <c r="AI114" s="224">
        <f t="shared" si="41"/>
        <v>-0.46382914802724451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8.36</v>
      </c>
      <c r="C115" s="388"/>
      <c r="D115" s="391">
        <f t="shared" si="24"/>
        <v>8.4917663624078834</v>
      </c>
      <c r="E115" s="383">
        <f t="shared" si="45"/>
        <v>9.0061915521633189</v>
      </c>
      <c r="F115" s="383">
        <f t="shared" si="25"/>
        <v>9.0061915521633189</v>
      </c>
      <c r="G115" s="110">
        <f t="shared" si="46"/>
        <v>0.15310834195518619</v>
      </c>
      <c r="H115" s="412" t="b">
        <f>Wh_hp&gt;='2020'!Maxi_hp</f>
        <v>0</v>
      </c>
      <c r="I115" s="379">
        <f>IF(H115,Wh_hp,'2020'!Maxi_hp)</f>
        <v>59.403908056990687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1.5516955693835377E-2</v>
      </c>
      <c r="M115" s="832"/>
      <c r="N115" s="832"/>
      <c r="O115" s="48">
        <f>IF(t&lt;Tnet,'2020'!Resal+('2020'!Salim-'2020'!Resal)*(1-EXP(('2020'!Tnet-t)/('2020'!Tau_j))),Resal+(Salim-Resal)*(1-EXP((Tnet-t)/(Tau_j))))*Salcycl</f>
        <v>5.711905934666351E-2</v>
      </c>
      <c r="P115" s="169">
        <f>(INDEX(Models!$BJ115:$BT115,,T115)*(1-R115)+INDEX(Models!$BJ115:$BT115,,T115+1)*R115-ERP_i)*Q115*Ramure*Pc/MaxiM</f>
        <v>1.1098686361434014E-4</v>
      </c>
      <c r="Q115" s="304">
        <f t="shared" si="27"/>
        <v>0.6</v>
      </c>
      <c r="R115" s="177">
        <f t="shared" si="28"/>
        <v>0.53763072743865259</v>
      </c>
      <c r="S115" s="799">
        <f t="shared" si="29"/>
        <v>-1</v>
      </c>
      <c r="T115" s="176">
        <f t="shared" si="30"/>
        <v>5</v>
      </c>
      <c r="U115" s="250">
        <f t="shared" si="31"/>
        <v>-0.46236927256134741</v>
      </c>
      <c r="V115" s="382">
        <f t="shared" si="32"/>
        <v>54.595798263342353</v>
      </c>
      <c r="W115" s="400"/>
      <c r="X115" s="157">
        <f t="shared" si="33"/>
        <v>44297</v>
      </c>
      <c r="Y115" s="383">
        <f t="shared" si="34"/>
        <v>8.36</v>
      </c>
      <c r="Z115" s="383">
        <f t="shared" si="35"/>
        <v>8.4917663624078834</v>
      </c>
      <c r="AA115" s="384">
        <f t="shared" si="36"/>
        <v>9.0061915521633189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5.711905934666351E-2</v>
      </c>
      <c r="AD115" s="230">
        <f>(INDEX(Models!$BJ115:$BT115,,AH115)*(1-AF115)+INDEX(Models!$BJ115:$BT115,,AH115+1)*AF115-ERP_i)*AE115*Ramure*Pc/MaxiM</f>
        <v>1.1098686361434014E-4</v>
      </c>
      <c r="AE115" s="304">
        <f t="shared" si="38"/>
        <v>0.6</v>
      </c>
      <c r="AF115" s="177">
        <f t="shared" si="39"/>
        <v>0.53763072743865259</v>
      </c>
      <c r="AG115" s="799">
        <f t="shared" si="47"/>
        <v>-1</v>
      </c>
      <c r="AH115" s="176">
        <f t="shared" si="40"/>
        <v>5</v>
      </c>
      <c r="AI115" s="224">
        <f t="shared" si="41"/>
        <v>-0.46236927256134741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44.102000000000004</v>
      </c>
      <c r="C116" s="388"/>
      <c r="D116" s="391">
        <f t="shared" si="24"/>
        <v>44.797973389221355</v>
      </c>
      <c r="E116" s="383">
        <f t="shared" si="45"/>
        <v>47.516841359137089</v>
      </c>
      <c r="F116" s="383">
        <f t="shared" si="25"/>
        <v>47.520564771922238</v>
      </c>
      <c r="G116" s="110">
        <f t="shared" si="46"/>
        <v>0.80435084378382726</v>
      </c>
      <c r="H116" s="412" t="b">
        <f>Wh_hp&gt;='2020'!Maxi_hp</f>
        <v>0</v>
      </c>
      <c r="I116" s="379">
        <f>IF(H116,Wh_hp,'2020'!Maxi_hp)</f>
        <v>58.857771528976158</v>
      </c>
      <c r="J116" s="85">
        <f>IF(H116,An,'2020'!An_max)</f>
        <v>2018</v>
      </c>
      <c r="K116" s="197">
        <f t="shared" si="26"/>
        <v>44298</v>
      </c>
      <c r="L116" s="147">
        <f>IF(t&lt;Tvie,1-EXP((T0-t)*PertePVj)+'2020'!Pspv,1-EXP((T0-t)*PertePVj)+Pspv)</f>
        <v>1.5535823086782918E-2</v>
      </c>
      <c r="M116" s="832"/>
      <c r="N116" s="832"/>
      <c r="O116" s="48">
        <f>IF(t&lt;Tnet,'2020'!Resal+('2020'!Salim-'2020'!Resal)*(1-EXP(('2020'!Tnet-t)/('2020'!Tau_j))),Resal+(Salim-Resal)*(1-EXP((Tnet-t)/(Tau_j))))*Salcycl</f>
        <v>5.7219038390331038E-2</v>
      </c>
      <c r="P116" s="169">
        <f>(INDEX(Models!$BJ116:$BT116,,T116)*(1-R116)+INDEX(Models!$BJ116:$BT116,,T116+1)*R116-ERP_i)*Q116*Ramure*Pc/MaxiM</f>
        <v>1.0874363092129188E-4</v>
      </c>
      <c r="Q116" s="304">
        <f t="shared" si="27"/>
        <v>0.6</v>
      </c>
      <c r="R116" s="177">
        <f t="shared" si="28"/>
        <v>0.53914208830728083</v>
      </c>
      <c r="S116" s="799">
        <f t="shared" si="29"/>
        <v>-1</v>
      </c>
      <c r="T116" s="176">
        <f t="shared" si="30"/>
        <v>5</v>
      </c>
      <c r="U116" s="250">
        <f t="shared" si="31"/>
        <v>-0.46085791169271911</v>
      </c>
      <c r="V116" s="382">
        <f t="shared" si="32"/>
        <v>54.827641420060033</v>
      </c>
      <c r="W116" s="400"/>
      <c r="X116" s="157">
        <f t="shared" si="33"/>
        <v>44298</v>
      </c>
      <c r="Y116" s="383">
        <f t="shared" si="34"/>
        <v>44.102000000000004</v>
      </c>
      <c r="Z116" s="383">
        <f t="shared" si="35"/>
        <v>44.797973389221355</v>
      </c>
      <c r="AA116" s="384">
        <f t="shared" si="36"/>
        <v>47.516841359137089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5.7219038390331038E-2</v>
      </c>
      <c r="AD116" s="230">
        <f>(INDEX(Models!$BJ116:$BT116,,AH116)*(1-AF116)+INDEX(Models!$BJ116:$BT116,,AH116+1)*AF116-ERP_i)*AE116*Ramure*Pc/MaxiM</f>
        <v>1.0874363092129188E-4</v>
      </c>
      <c r="AE116" s="304">
        <f t="shared" si="38"/>
        <v>0.6</v>
      </c>
      <c r="AF116" s="177">
        <f t="shared" si="39"/>
        <v>0.53914208830728083</v>
      </c>
      <c r="AG116" s="799">
        <f t="shared" si="47"/>
        <v>-1</v>
      </c>
      <c r="AH116" s="176">
        <f t="shared" si="40"/>
        <v>5</v>
      </c>
      <c r="AI116" s="224">
        <f t="shared" si="41"/>
        <v>-0.46085791169271911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49.228000000000002</v>
      </c>
      <c r="C117" s="388"/>
      <c r="D117" s="391">
        <f t="shared" si="24"/>
        <v>50.005825113746276</v>
      </c>
      <c r="E117" s="383">
        <f t="shared" si="45"/>
        <v>53.046431332999546</v>
      </c>
      <c r="F117" s="383">
        <f t="shared" si="25"/>
        <v>53.05122934443164</v>
      </c>
      <c r="G117" s="110">
        <f t="shared" si="46"/>
        <v>0.89417625920586485</v>
      </c>
      <c r="H117" s="412" t="b">
        <f>Wh_hp&gt;='2020'!Maxi_hp</f>
        <v>0</v>
      </c>
      <c r="I117" s="379">
        <f>IF(H117,Wh_hp,'2020'!Maxi_hp)</f>
        <v>58.816606841862637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1.5554690118141035E-2</v>
      </c>
      <c r="M117" s="832"/>
      <c r="N117" s="832"/>
      <c r="O117" s="48">
        <f>IF(t&lt;Tnet,'2020'!Resal+('2020'!Salim-'2020'!Resal)*(1-EXP(('2020'!Tnet-t)/('2020'!Tau_j))),Resal+(Salim-Resal)*(1-EXP((Tnet-t)/(Tau_j))))*Salcycl</f>
        <v>5.7319712991922692E-2</v>
      </c>
      <c r="P117" s="169">
        <f>(INDEX(Models!$BJ117:$BT117,,T117)*(1-R117)+INDEX(Models!$BJ117:$BT117,,T117+1)*R117-ERP_i)*Q117*Ramure*Pc/MaxiM</f>
        <v>1.0654621941235904E-4</v>
      </c>
      <c r="Q117" s="304">
        <f t="shared" si="27"/>
        <v>0.6</v>
      </c>
      <c r="R117" s="177">
        <f t="shared" si="28"/>
        <v>0.54070636224020241</v>
      </c>
      <c r="S117" s="799">
        <f t="shared" si="29"/>
        <v>-1</v>
      </c>
      <c r="T117" s="176">
        <f t="shared" si="30"/>
        <v>5</v>
      </c>
      <c r="U117" s="250">
        <f t="shared" si="31"/>
        <v>-0.45929363775979754</v>
      </c>
      <c r="V117" s="382">
        <f t="shared" si="32"/>
        <v>55.053135887428304</v>
      </c>
      <c r="W117" s="400"/>
      <c r="X117" s="157">
        <f t="shared" si="33"/>
        <v>44299</v>
      </c>
      <c r="Y117" s="383">
        <f t="shared" si="34"/>
        <v>49.228000000000002</v>
      </c>
      <c r="Z117" s="383">
        <f t="shared" si="35"/>
        <v>50.005825113746276</v>
      </c>
      <c r="AA117" s="384">
        <f t="shared" si="36"/>
        <v>53.046431332999546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5.7319712991922692E-2</v>
      </c>
      <c r="AD117" s="230">
        <f>(INDEX(Models!$BJ117:$BT117,,AH117)*(1-AF117)+INDEX(Models!$BJ117:$BT117,,AH117+1)*AF117-ERP_i)*AE117*Ramure*Pc/MaxiM</f>
        <v>1.0654621941235904E-4</v>
      </c>
      <c r="AE117" s="304">
        <f t="shared" si="38"/>
        <v>0.6</v>
      </c>
      <c r="AF117" s="177">
        <f t="shared" si="39"/>
        <v>0.54070636224020241</v>
      </c>
      <c r="AG117" s="799">
        <f t="shared" si="47"/>
        <v>-1</v>
      </c>
      <c r="AH117" s="176">
        <f t="shared" si="40"/>
        <v>5</v>
      </c>
      <c r="AI117" s="224">
        <f t="shared" si="41"/>
        <v>-0.45929363775979754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54.774000000000001</v>
      </c>
      <c r="C118" s="388"/>
      <c r="D118" s="391">
        <f t="shared" si="24"/>
        <v>55.64052081055241</v>
      </c>
      <c r="E118" s="383">
        <f t="shared" si="45"/>
        <v>59.030093649828743</v>
      </c>
      <c r="F118" s="383">
        <f t="shared" si="25"/>
        <v>59.036177217934771</v>
      </c>
      <c r="G118" s="110">
        <f t="shared" si="46"/>
        <v>0.99098543893944468</v>
      </c>
      <c r="H118" s="412" t="b">
        <f>Wh_hp&gt;='2020'!Maxi_hp</f>
        <v>1</v>
      </c>
      <c r="I118" s="379">
        <f>IF(H118,Wh_hp,'2020'!Maxi_hp)</f>
        <v>59.036177217934771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1.5573556787916831E-2</v>
      </c>
      <c r="M118" s="832"/>
      <c r="N118" s="832"/>
      <c r="O118" s="48">
        <f>IF(t&lt;Tnet,'2020'!Resal+('2020'!Salim-'2020'!Resal)*(1-EXP(('2020'!Tnet-t)/('2020'!Tau_j))),Resal+(Salim-Resal)*(1-EXP((Tnet-t)/(Tau_j))))*Salcycl</f>
        <v>5.7421098793838152E-2</v>
      </c>
      <c r="P118" s="169">
        <f>(INDEX(Models!$BJ118:$BT118,,T118)*(1-R118)+INDEX(Models!$BJ118:$BT118,,T118+1)*R118-ERP_i)*Q118*Ramure*Pc/MaxiM</f>
        <v>1.0439229699925256E-4</v>
      </c>
      <c r="Q118" s="304">
        <f t="shared" si="27"/>
        <v>0.6</v>
      </c>
      <c r="R118" s="177">
        <f t="shared" si="28"/>
        <v>0.54232498611976609</v>
      </c>
      <c r="S118" s="799">
        <f t="shared" si="29"/>
        <v>-1</v>
      </c>
      <c r="T118" s="176">
        <f t="shared" si="30"/>
        <v>5</v>
      </c>
      <c r="U118" s="250">
        <f t="shared" si="31"/>
        <v>-0.45767501388023396</v>
      </c>
      <c r="V118" s="382">
        <f t="shared" si="32"/>
        <v>55.272180816337524</v>
      </c>
      <c r="W118" s="400"/>
      <c r="X118" s="157">
        <f t="shared" si="33"/>
        <v>44300</v>
      </c>
      <c r="Y118" s="383">
        <f t="shared" si="34"/>
        <v>54.774000000000001</v>
      </c>
      <c r="Z118" s="383">
        <f t="shared" si="35"/>
        <v>55.64052081055241</v>
      </c>
      <c r="AA118" s="384">
        <f t="shared" si="36"/>
        <v>59.030093649828743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5.7421098793838152E-2</v>
      </c>
      <c r="AD118" s="230">
        <f>(INDEX(Models!$BJ118:$BT118,,AH118)*(1-AF118)+INDEX(Models!$BJ118:$BT118,,AH118+1)*AF118-ERP_i)*AE118*Ramure*Pc/MaxiM</f>
        <v>1.0439229699925256E-4</v>
      </c>
      <c r="AE118" s="304">
        <f t="shared" si="38"/>
        <v>0.6</v>
      </c>
      <c r="AF118" s="177">
        <f t="shared" si="39"/>
        <v>0.54232498611976609</v>
      </c>
      <c r="AG118" s="799">
        <f t="shared" si="47"/>
        <v>-1</v>
      </c>
      <c r="AH118" s="176">
        <f t="shared" si="40"/>
        <v>5</v>
      </c>
      <c r="AI118" s="224">
        <f t="shared" si="41"/>
        <v>-0.45767501388023396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55.491</v>
      </c>
      <c r="C119" s="388"/>
      <c r="D119" s="391">
        <f t="shared" si="24"/>
        <v>56.369944017017787</v>
      </c>
      <c r="E119" s="383">
        <f t="shared" si="45"/>
        <v>59.810432099447141</v>
      </c>
      <c r="F119" s="383">
        <f t="shared" si="25"/>
        <v>59.816550107721071</v>
      </c>
      <c r="G119" s="110">
        <f t="shared" si="46"/>
        <v>1.0001139869407007</v>
      </c>
      <c r="H119" s="412" t="b">
        <f>Wh_hp&gt;='2020'!Maxi_hp</f>
        <v>1</v>
      </c>
      <c r="I119" s="379">
        <f>IF(H119,Wh_hp,'2020'!Maxi_hp)</f>
        <v>59.816550107721071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1.5592423096117303E-2</v>
      </c>
      <c r="M119" s="832"/>
      <c r="N119" s="832"/>
      <c r="O119" s="48">
        <f>IF(t&lt;Tnet,'2020'!Resal+('2020'!Salim-'2020'!Resal)*(1-EXP(('2020'!Tnet-t)/('2020'!Tau_j))),Resal+(Salim-Resal)*(1-EXP((Tnet-t)/(Tau_j))))*Salcycl</f>
        <v>5.7523210611634304E-2</v>
      </c>
      <c r="P119" s="169">
        <f>(INDEX(Models!$BJ119:$BT119,,T119)*(1-R119)+INDEX(Models!$BJ119:$BT119,,T119+1)*R119-ERP_i)*Q119*Ramure*Pc/MaxiM</f>
        <v>1.0227952402652951E-4</v>
      </c>
      <c r="Q119" s="304">
        <f t="shared" si="27"/>
        <v>0.6</v>
      </c>
      <c r="R119" s="177">
        <f t="shared" si="28"/>
        <v>0.54399940342929753</v>
      </c>
      <c r="S119" s="799">
        <f t="shared" si="29"/>
        <v>-1</v>
      </c>
      <c r="T119" s="176">
        <f t="shared" si="30"/>
        <v>5</v>
      </c>
      <c r="U119" s="250">
        <f t="shared" si="31"/>
        <v>-0.45600059657070247</v>
      </c>
      <c r="V119" s="382">
        <f t="shared" si="32"/>
        <v>55.484675471587224</v>
      </c>
      <c r="W119" s="400"/>
      <c r="X119" s="157">
        <f t="shared" si="33"/>
        <v>44301</v>
      </c>
      <c r="Y119" s="383">
        <f t="shared" si="34"/>
        <v>55.491</v>
      </c>
      <c r="Z119" s="383">
        <f t="shared" si="35"/>
        <v>56.369944017017787</v>
      </c>
      <c r="AA119" s="384">
        <f t="shared" si="36"/>
        <v>59.810432099447141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5.7523210611634304E-2</v>
      </c>
      <c r="AD119" s="230">
        <f>(INDEX(Models!$BJ119:$BT119,,AH119)*(1-AF119)+INDEX(Models!$BJ119:$BT119,,AH119+1)*AF119-ERP_i)*AE119*Ramure*Pc/MaxiM</f>
        <v>1.0227952402652951E-4</v>
      </c>
      <c r="AE119" s="304">
        <f t="shared" si="38"/>
        <v>0.6</v>
      </c>
      <c r="AF119" s="177">
        <f t="shared" si="39"/>
        <v>0.54399940342929753</v>
      </c>
      <c r="AG119" s="799">
        <f t="shared" si="47"/>
        <v>-1</v>
      </c>
      <c r="AH119" s="176">
        <f t="shared" si="40"/>
        <v>5</v>
      </c>
      <c r="AI119" s="224">
        <f t="shared" si="41"/>
        <v>-0.45600059657070247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48.127000000000002</v>
      </c>
      <c r="C120" s="388"/>
      <c r="D120" s="391">
        <f t="shared" si="24"/>
        <v>48.890239662744385</v>
      </c>
      <c r="E120" s="383">
        <f t="shared" si="45"/>
        <v>51.879872428011232</v>
      </c>
      <c r="F120" s="383">
        <f t="shared" si="25"/>
        <v>51.884062779817704</v>
      </c>
      <c r="G120" s="110">
        <f t="shared" si="46"/>
        <v>0.86416978873902039</v>
      </c>
      <c r="H120" s="412" t="b">
        <f>Wh_hp&gt;='2020'!Maxi_hp</f>
        <v>1</v>
      </c>
      <c r="I120" s="379">
        <f>IF(H120,Wh_hp,'2020'!Maxi_hp)</f>
        <v>51.884062779817704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1.5611289042749221E-2</v>
      </c>
      <c r="M120" s="832"/>
      <c r="N120" s="832"/>
      <c r="O120" s="48">
        <f>IF(t&lt;Tnet,'2020'!Resal+('2020'!Salim-'2020'!Resal)*(1-EXP(('2020'!Tnet-t)/('2020'!Tau_j))),Resal+(Salim-Resal)*(1-EXP((Tnet-t)/(Tau_j))))*Salcycl</f>
        <v>5.7626062388940504E-2</v>
      </c>
      <c r="P120" s="169">
        <f>(INDEX(Models!$BJ120:$BT120,,T120)*(1-R120)+INDEX(Models!$BJ120:$BT120,,T120+1)*R120-ERP_i)*Q120*Ramure*Pc/MaxiM</f>
        <v>1.0020555313748987E-4</v>
      </c>
      <c r="Q120" s="304">
        <f t="shared" si="27"/>
        <v>0.6</v>
      </c>
      <c r="R120" s="177">
        <f t="shared" si="28"/>
        <v>0.54573106140293992</v>
      </c>
      <c r="S120" s="799">
        <f t="shared" si="29"/>
        <v>-1</v>
      </c>
      <c r="T120" s="176">
        <f t="shared" si="30"/>
        <v>5</v>
      </c>
      <c r="U120" s="250">
        <f t="shared" si="31"/>
        <v>-0.45426893859706008</v>
      </c>
      <c r="V120" s="382">
        <f t="shared" si="32"/>
        <v>55.690519243096205</v>
      </c>
      <c r="W120" s="400"/>
      <c r="X120" s="157">
        <f t="shared" si="33"/>
        <v>44302</v>
      </c>
      <c r="Y120" s="383">
        <f t="shared" si="34"/>
        <v>48.127000000000002</v>
      </c>
      <c r="Z120" s="383">
        <f t="shared" si="35"/>
        <v>48.890239662744385</v>
      </c>
      <c r="AA120" s="384">
        <f t="shared" si="36"/>
        <v>51.879872428011232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5.7626062388940504E-2</v>
      </c>
      <c r="AD120" s="230">
        <f>(INDEX(Models!$BJ120:$BT120,,AH120)*(1-AF120)+INDEX(Models!$BJ120:$BT120,,AH120+1)*AF120-ERP_i)*AE120*Ramure*Pc/MaxiM</f>
        <v>1.0020555313748987E-4</v>
      </c>
      <c r="AE120" s="304">
        <f t="shared" si="38"/>
        <v>0.6</v>
      </c>
      <c r="AF120" s="177">
        <f t="shared" si="39"/>
        <v>0.54573106140293992</v>
      </c>
      <c r="AG120" s="799">
        <f t="shared" si="47"/>
        <v>-1</v>
      </c>
      <c r="AH120" s="176">
        <f t="shared" si="40"/>
        <v>5</v>
      </c>
      <c r="AI120" s="224">
        <f t="shared" si="41"/>
        <v>-0.45426893859706008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50.643000000000001</v>
      </c>
      <c r="C121" s="388"/>
      <c r="D121" s="391">
        <f t="shared" si="24"/>
        <v>51.447126543024467</v>
      </c>
      <c r="E121" s="383">
        <f t="shared" si="45"/>
        <v>54.599115295774268</v>
      </c>
      <c r="F121" s="383">
        <f t="shared" si="25"/>
        <v>54.603756729424184</v>
      </c>
      <c r="G121" s="110">
        <f t="shared" si="46"/>
        <v>0.90610940168593768</v>
      </c>
      <c r="H121" s="412" t="b">
        <f>Wh_hp&gt;='2020'!Maxi_hp</f>
        <v>1</v>
      </c>
      <c r="I121" s="379">
        <f>IF(H121,Wh_hp,'2020'!Maxi_hp)</f>
        <v>54.603756729424184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1.563015462781947E-2</v>
      </c>
      <c r="M121" s="832"/>
      <c r="N121" s="832"/>
      <c r="O121" s="48">
        <f>IF(t&lt;Tnet,'2020'!Resal+('2020'!Salim-'2020'!Resal)*(1-EXP(('2020'!Tnet-t)/('2020'!Tau_j))),Resal+(Salim-Resal)*(1-EXP((Tnet-t)/(Tau_j))))*Salcycl</f>
        <v>5.7729667150737636E-2</v>
      </c>
      <c r="P121" s="169">
        <f>(INDEX(Models!$BJ121:$BT121,,T121)*(1-R121)+INDEX(Models!$BJ121:$BT121,,T121+1)*R121-ERP_i)*Q121*Ramure*Pc/MaxiM</f>
        <v>9.816758209574568E-5</v>
      </c>
      <c r="Q121" s="304">
        <f t="shared" si="27"/>
        <v>0.6</v>
      </c>
      <c r="R121" s="177">
        <f t="shared" si="28"/>
        <v>0.54752140793761672</v>
      </c>
      <c r="S121" s="799">
        <f t="shared" si="29"/>
        <v>-1</v>
      </c>
      <c r="T121" s="176">
        <f t="shared" si="30"/>
        <v>5</v>
      </c>
      <c r="U121" s="250">
        <f t="shared" si="31"/>
        <v>-0.45247859206238328</v>
      </c>
      <c r="V121" s="382">
        <f t="shared" si="32"/>
        <v>55.889866178707535</v>
      </c>
      <c r="W121" s="400"/>
      <c r="X121" s="157">
        <f t="shared" si="33"/>
        <v>44303</v>
      </c>
      <c r="Y121" s="383">
        <f t="shared" si="34"/>
        <v>50.643000000000001</v>
      </c>
      <c r="Z121" s="383">
        <f t="shared" si="35"/>
        <v>51.447126543024467</v>
      </c>
      <c r="AA121" s="384">
        <f t="shared" si="36"/>
        <v>54.599115295774268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5.7729667150737636E-2</v>
      </c>
      <c r="AD121" s="230">
        <f>(INDEX(Models!$BJ121:$BT121,,AH121)*(1-AF121)+INDEX(Models!$BJ121:$BT121,,AH121+1)*AF121-ERP_i)*AE121*Ramure*Pc/MaxiM</f>
        <v>9.816758209574568E-5</v>
      </c>
      <c r="AE121" s="304">
        <f t="shared" si="38"/>
        <v>0.6</v>
      </c>
      <c r="AF121" s="177">
        <f t="shared" si="39"/>
        <v>0.54752140793761672</v>
      </c>
      <c r="AG121" s="799">
        <f t="shared" si="47"/>
        <v>-1</v>
      </c>
      <c r="AH121" s="176">
        <f t="shared" si="40"/>
        <v>5</v>
      </c>
      <c r="AI121" s="224">
        <f t="shared" si="41"/>
        <v>-0.45247859206238328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39.233000000000004</v>
      </c>
      <c r="C122" s="388"/>
      <c r="D122" s="391">
        <f t="shared" si="24"/>
        <v>39.85671858027176</v>
      </c>
      <c r="E122" s="383">
        <f t="shared" si="45"/>
        <v>42.303288532576197</v>
      </c>
      <c r="F122" s="383">
        <f t="shared" si="25"/>
        <v>42.305611519554077</v>
      </c>
      <c r="G122" s="110">
        <f t="shared" si="46"/>
        <v>0.69952435968395832</v>
      </c>
      <c r="H122" s="412" t="b">
        <f>Wh_hp&gt;='2020'!Maxi_hp</f>
        <v>1</v>
      </c>
      <c r="I122" s="379">
        <f>IF(H122,Wh_hp,'2020'!Maxi_hp)</f>
        <v>42.305611519554077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1.5649019851335266E-2</v>
      </c>
      <c r="M122" s="832"/>
      <c r="N122" s="832"/>
      <c r="O122" s="48">
        <f>IF(t&lt;Tnet,'2020'!Resal+('2020'!Salim-'2020'!Resal)*(1-EXP(('2020'!Tnet-t)/('2020'!Tau_j))),Resal+(Salim-Resal)*(1-EXP((Tnet-t)/(Tau_j))))*Salcycl</f>
        <v>5.7834036954843918E-2</v>
      </c>
      <c r="P122" s="169">
        <f>(INDEX(Models!$BJ122:$BT122,,T122)*(1-R122)+INDEX(Models!$BJ122:$BT122,,T122+1)*R122-ERP_i)*Q122*Ramure*Pc/MaxiM</f>
        <v>9.6199358362955906E-5</v>
      </c>
      <c r="Q122" s="304">
        <f t="shared" si="27"/>
        <v>0.6</v>
      </c>
      <c r="R122" s="177">
        <f t="shared" si="28"/>
        <v>0.54937188826033956</v>
      </c>
      <c r="S122" s="799">
        <f t="shared" si="29"/>
        <v>-1</v>
      </c>
      <c r="T122" s="176">
        <f t="shared" si="30"/>
        <v>5</v>
      </c>
      <c r="U122" s="250">
        <f t="shared" si="31"/>
        <v>-0.45062811173966039</v>
      </c>
      <c r="V122" s="382">
        <f t="shared" si="32"/>
        <v>56.08293613999507</v>
      </c>
      <c r="W122" s="400"/>
      <c r="X122" s="157">
        <f t="shared" si="33"/>
        <v>44304</v>
      </c>
      <c r="Y122" s="383">
        <f t="shared" si="34"/>
        <v>39.233000000000004</v>
      </c>
      <c r="Z122" s="383">
        <f t="shared" si="35"/>
        <v>39.85671858027176</v>
      </c>
      <c r="AA122" s="384">
        <f t="shared" si="36"/>
        <v>42.303288532576197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5.7834036954843918E-2</v>
      </c>
      <c r="AD122" s="230">
        <f>(INDEX(Models!$BJ122:$BT122,,AH122)*(1-AF122)+INDEX(Models!$BJ122:$BT122,,AH122+1)*AF122-ERP_i)*AE122*Ramure*Pc/MaxiM</f>
        <v>9.6199358362955906E-5</v>
      </c>
      <c r="AE122" s="304">
        <f t="shared" si="38"/>
        <v>0.6</v>
      </c>
      <c r="AF122" s="177">
        <f t="shared" si="39"/>
        <v>0.54937188826033956</v>
      </c>
      <c r="AG122" s="799">
        <f t="shared" si="47"/>
        <v>-1</v>
      </c>
      <c r="AH122" s="176">
        <f t="shared" si="40"/>
        <v>5</v>
      </c>
      <c r="AI122" s="224">
        <f t="shared" si="41"/>
        <v>-0.45062811173966039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55.2</v>
      </c>
      <c r="C123" s="388"/>
      <c r="D123" s="391">
        <f t="shared" si="24"/>
        <v>56.078633565585172</v>
      </c>
      <c r="E123" s="383">
        <f t="shared" si="45"/>
        <v>59.527614931202272</v>
      </c>
      <c r="F123" s="383">
        <f t="shared" si="25"/>
        <v>59.533076172726751</v>
      </c>
      <c r="G123" s="110">
        <f t="shared" si="46"/>
        <v>0.98098672266652187</v>
      </c>
      <c r="H123" s="412" t="b">
        <f>Wh_hp&gt;='2020'!Maxi_hp</f>
        <v>1</v>
      </c>
      <c r="I123" s="379">
        <f>IF(H123,Wh_hp,'2020'!Maxi_hp)</f>
        <v>59.533076172726751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1.5667884713303271E-2</v>
      </c>
      <c r="M123" s="832"/>
      <c r="N123" s="832"/>
      <c r="O123" s="48">
        <f>IF(t&lt;Tnet,'2020'!Resal+('2020'!Salim-'2020'!Resal)*(1-EXP(('2020'!Tnet-t)/('2020'!Tau_j))),Resal+(Salim-Resal)*(1-EXP((Tnet-t)/(Tau_j))))*Salcycl</f>
        <v>5.7939182841496135E-2</v>
      </c>
      <c r="P123" s="169">
        <f>(INDEX(Models!$BJ123:$BT123,,T123)*(1-R123)+INDEX(Models!$BJ123:$BT123,,T123+1)*R123-ERP_i)*Q123*Ramure*Pc/MaxiM</f>
        <v>9.42954751250563E-5</v>
      </c>
      <c r="Q123" s="304">
        <f t="shared" si="27"/>
        <v>0.6</v>
      </c>
      <c r="R123" s="177">
        <f t="shared" si="28"/>
        <v>0.55128394134497649</v>
      </c>
      <c r="S123" s="799">
        <f t="shared" si="29"/>
        <v>-1</v>
      </c>
      <c r="T123" s="176">
        <f t="shared" si="30"/>
        <v>5</v>
      </c>
      <c r="U123" s="250">
        <f t="shared" si="31"/>
        <v>-0.44871605865502351</v>
      </c>
      <c r="V123" s="382">
        <f t="shared" si="32"/>
        <v>56.269730619163688</v>
      </c>
      <c r="W123" s="400"/>
      <c r="X123" s="157">
        <f t="shared" si="33"/>
        <v>44305</v>
      </c>
      <c r="Y123" s="383">
        <f t="shared" si="34"/>
        <v>55.2</v>
      </c>
      <c r="Z123" s="383">
        <f t="shared" si="35"/>
        <v>56.078633565585172</v>
      </c>
      <c r="AA123" s="384">
        <f t="shared" si="36"/>
        <v>59.527614931202272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5.7939182841496135E-2</v>
      </c>
      <c r="AD123" s="230">
        <f>(INDEX(Models!$BJ123:$BT123,,AH123)*(1-AF123)+INDEX(Models!$BJ123:$BT123,,AH123+1)*AF123-ERP_i)*AE123*Ramure*Pc/MaxiM</f>
        <v>9.42954751250563E-5</v>
      </c>
      <c r="AE123" s="304">
        <f t="shared" si="38"/>
        <v>0.6</v>
      </c>
      <c r="AF123" s="177">
        <f t="shared" si="39"/>
        <v>0.55128394134497649</v>
      </c>
      <c r="AG123" s="799">
        <f t="shared" si="47"/>
        <v>-1</v>
      </c>
      <c r="AH123" s="176">
        <f t="shared" si="40"/>
        <v>5</v>
      </c>
      <c r="AI123" s="224">
        <f t="shared" si="41"/>
        <v>-0.44871605865502351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38.148000000000003</v>
      </c>
      <c r="C124" s="388"/>
      <c r="D124" s="391">
        <f t="shared" si="24"/>
        <v>38.755954945772984</v>
      </c>
      <c r="E124" s="383">
        <f t="shared" si="45"/>
        <v>41.144173201841696</v>
      </c>
      <c r="F124" s="383">
        <f t="shared" si="25"/>
        <v>41.146215371639606</v>
      </c>
      <c r="G124" s="110">
        <f t="shared" si="46"/>
        <v>0.67575193495924146</v>
      </c>
      <c r="H124" s="412" t="b">
        <f>Wh_hp&gt;='2020'!Maxi_hp</f>
        <v>0</v>
      </c>
      <c r="I124" s="379">
        <f>IF(H124,Wh_hp,'2020'!Maxi_hp)</f>
        <v>52.580415314681325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1.5686749213730478E-2</v>
      </c>
      <c r="M124" s="832"/>
      <c r="N124" s="832"/>
      <c r="O124" s="48">
        <f>IF(t&lt;Tnet,'2020'!Resal+('2020'!Salim-'2020'!Resal)*(1-EXP(('2020'!Tnet-t)/('2020'!Tau_j))),Resal+(Salim-Resal)*(1-EXP((Tnet-t)/(Tau_j))))*Salcycl</f>
        <v>5.8045114780962692E-2</v>
      </c>
      <c r="P124" s="169">
        <f>(INDEX(Models!$BJ124:$BT124,,T124)*(1-R124)+INDEX(Models!$BJ124:$BT124,,T124+1)*R124-ERP_i)*Q124*Ramure*Pc/MaxiM</f>
        <v>9.2453918172172601E-5</v>
      </c>
      <c r="Q124" s="304">
        <f t="shared" si="27"/>
        <v>0.6</v>
      </c>
      <c r="R124" s="177">
        <f t="shared" si="28"/>
        <v>0.5532589960736457</v>
      </c>
      <c r="S124" s="799">
        <f t="shared" si="29"/>
        <v>-1</v>
      </c>
      <c r="T124" s="176">
        <f t="shared" si="30"/>
        <v>5</v>
      </c>
      <c r="U124" s="250">
        <f t="shared" si="31"/>
        <v>-0.4467410039263543</v>
      </c>
      <c r="V124" s="382">
        <f t="shared" si="32"/>
        <v>56.450251010321765</v>
      </c>
      <c r="W124" s="400"/>
      <c r="X124" s="157">
        <f t="shared" si="33"/>
        <v>44306</v>
      </c>
      <c r="Y124" s="383">
        <f t="shared" si="34"/>
        <v>38.148000000000003</v>
      </c>
      <c r="Z124" s="383">
        <f t="shared" si="35"/>
        <v>38.755954945772984</v>
      </c>
      <c r="AA124" s="384">
        <f t="shared" si="36"/>
        <v>41.144173201841696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5.8045114780962692E-2</v>
      </c>
      <c r="AD124" s="230">
        <f>(INDEX(Models!$BJ124:$BT124,,AH124)*(1-AF124)+INDEX(Models!$BJ124:$BT124,,AH124+1)*AF124-ERP_i)*AE124*Ramure*Pc/MaxiM</f>
        <v>9.2453918172172601E-5</v>
      </c>
      <c r="AE124" s="304">
        <f t="shared" si="38"/>
        <v>0.6</v>
      </c>
      <c r="AF124" s="177">
        <f t="shared" si="39"/>
        <v>0.5532589960736457</v>
      </c>
      <c r="AG124" s="799">
        <f t="shared" si="47"/>
        <v>-1</v>
      </c>
      <c r="AH124" s="176">
        <f t="shared" si="40"/>
        <v>5</v>
      </c>
      <c r="AI124" s="224">
        <f t="shared" si="41"/>
        <v>-0.4467410039263543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51.213000000000001</v>
      </c>
      <c r="C125" s="388"/>
      <c r="D125" s="391">
        <f t="shared" si="24"/>
        <v>52.030165664601185</v>
      </c>
      <c r="E125" s="383">
        <f t="shared" si="45"/>
        <v>55.242626108701927</v>
      </c>
      <c r="F125" s="383">
        <f t="shared" si="25"/>
        <v>55.246951602065522</v>
      </c>
      <c r="G125" s="110">
        <f t="shared" si="46"/>
        <v>0.90442064964384228</v>
      </c>
      <c r="H125" s="412" t="b">
        <f>Wh_hp&gt;='2020'!Maxi_hp</f>
        <v>1</v>
      </c>
      <c r="I125" s="379">
        <f>IF(H125,Wh_hp,'2020'!Maxi_hp)</f>
        <v>55.246951602065522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1.5705613352623771E-2</v>
      </c>
      <c r="M125" s="832"/>
      <c r="N125" s="832"/>
      <c r="O125" s="48">
        <f>IF(t&lt;Tnet,'2020'!Resal+('2020'!Salim-'2020'!Resal)*(1-EXP(('2020'!Tnet-t)/('2020'!Tau_j))),Resal+(Salim-Resal)*(1-EXP((Tnet-t)/(Tau_j))))*Salcycl</f>
        <v>5.8151841619178732E-2</v>
      </c>
      <c r="P125" s="169">
        <f>(INDEX(Models!$BJ125:$BT125,,T125)*(1-R125)+INDEX(Models!$BJ125:$BT125,,T125+1)*R125-ERP_i)*Q125*Ramure*Pc/MaxiM</f>
        <v>9.0673009758666982E-5</v>
      </c>
      <c r="Q125" s="304">
        <f t="shared" si="27"/>
        <v>0.6</v>
      </c>
      <c r="R125" s="177">
        <f t="shared" si="28"/>
        <v>0.55529846713911879</v>
      </c>
      <c r="S125" s="799">
        <f t="shared" si="29"/>
        <v>-1</v>
      </c>
      <c r="T125" s="176">
        <f t="shared" si="30"/>
        <v>5</v>
      </c>
      <c r="U125" s="250">
        <f t="shared" si="31"/>
        <v>-0.44470153286088127</v>
      </c>
      <c r="V125" s="382">
        <f t="shared" si="32"/>
        <v>56.624498781260854</v>
      </c>
      <c r="W125" s="400"/>
      <c r="X125" s="157">
        <f t="shared" si="33"/>
        <v>44307</v>
      </c>
      <c r="Y125" s="383">
        <f t="shared" si="34"/>
        <v>51.213000000000001</v>
      </c>
      <c r="Z125" s="383">
        <f t="shared" si="35"/>
        <v>52.030165664601185</v>
      </c>
      <c r="AA125" s="384">
        <f t="shared" si="36"/>
        <v>55.242626108701927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5.8151841619178732E-2</v>
      </c>
      <c r="AD125" s="230">
        <f>(INDEX(Models!$BJ125:$BT125,,AH125)*(1-AF125)+INDEX(Models!$BJ125:$BT125,,AH125+1)*AF125-ERP_i)*AE125*Ramure*Pc/MaxiM</f>
        <v>9.0673009758666982E-5</v>
      </c>
      <c r="AE125" s="304">
        <f t="shared" si="38"/>
        <v>0.6</v>
      </c>
      <c r="AF125" s="177">
        <f t="shared" si="39"/>
        <v>0.55529846713911879</v>
      </c>
      <c r="AG125" s="799">
        <f t="shared" si="47"/>
        <v>-1</v>
      </c>
      <c r="AH125" s="176">
        <f t="shared" si="40"/>
        <v>5</v>
      </c>
      <c r="AI125" s="224">
        <f t="shared" si="41"/>
        <v>-0.44470153286088127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56.987000000000002</v>
      </c>
      <c r="C126" s="388"/>
      <c r="D126" s="391">
        <f t="shared" si="24"/>
        <v>57.897406443506675</v>
      </c>
      <c r="E126" s="383">
        <f t="shared" si="45"/>
        <v>61.479142623701513</v>
      </c>
      <c r="F126" s="383">
        <f t="shared" si="25"/>
        <v>61.484611749803321</v>
      </c>
      <c r="G126" s="110">
        <f t="shared" si="46"/>
        <v>1.0034251809712271</v>
      </c>
      <c r="H126" s="412" t="b">
        <f>Wh_hp&gt;='2020'!Maxi_hp</f>
        <v>1</v>
      </c>
      <c r="I126" s="379">
        <f>IF(H126,Wh_hp,'2020'!Maxi_hp)</f>
        <v>61.484611749803321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1.5724477129990255E-2</v>
      </c>
      <c r="M126" s="832"/>
      <c r="N126" s="832"/>
      <c r="O126" s="48">
        <f>IF(t&lt;Tnet,'2020'!Resal+('2020'!Salim-'2020'!Resal)*(1-EXP(('2020'!Tnet-t)/('2020'!Tau_j))),Resal+(Salim-Resal)*(1-EXP((Tnet-t)/(Tau_j))))*Salcycl</f>
        <v>5.8259371021449506E-2</v>
      </c>
      <c r="P126" s="169">
        <f>(INDEX(Models!$BJ126:$BT126,,T126)*(1-R126)+INDEX(Models!$BJ126:$BT126,,T126+1)*R126-ERP_i)*Q126*Ramure*Pc/MaxiM</f>
        <v>8.8951136652869924E-5</v>
      </c>
      <c r="Q126" s="304">
        <f t="shared" si="27"/>
        <v>0.6</v>
      </c>
      <c r="R126" s="177">
        <f t="shared" si="28"/>
        <v>0.55740375068600123</v>
      </c>
      <c r="S126" s="799">
        <f t="shared" si="29"/>
        <v>-1</v>
      </c>
      <c r="T126" s="176">
        <f t="shared" si="30"/>
        <v>5</v>
      </c>
      <c r="U126" s="250">
        <f t="shared" si="31"/>
        <v>-0.44259624931399877</v>
      </c>
      <c r="V126" s="382">
        <f t="shared" si="32"/>
        <v>56.792475493630349</v>
      </c>
      <c r="W126" s="400"/>
      <c r="X126" s="157">
        <f t="shared" si="33"/>
        <v>44308</v>
      </c>
      <c r="Y126" s="383">
        <f t="shared" si="34"/>
        <v>56.987000000000002</v>
      </c>
      <c r="Z126" s="383">
        <f t="shared" si="35"/>
        <v>57.897406443506675</v>
      </c>
      <c r="AA126" s="384">
        <f t="shared" si="36"/>
        <v>61.479142623701513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5.8259371021449506E-2</v>
      </c>
      <c r="AD126" s="230">
        <f>(INDEX(Models!$BJ126:$BT126,,AH126)*(1-AF126)+INDEX(Models!$BJ126:$BT126,,AH126+1)*AF126-ERP_i)*AE126*Ramure*Pc/MaxiM</f>
        <v>8.8951136652869924E-5</v>
      </c>
      <c r="AE126" s="304">
        <f t="shared" si="38"/>
        <v>0.6</v>
      </c>
      <c r="AF126" s="177">
        <f t="shared" si="39"/>
        <v>0.55740375068600123</v>
      </c>
      <c r="AG126" s="799">
        <f t="shared" si="47"/>
        <v>-1</v>
      </c>
      <c r="AH126" s="176">
        <f t="shared" si="40"/>
        <v>5</v>
      </c>
      <c r="AI126" s="224">
        <f t="shared" si="41"/>
        <v>-0.44259624931399877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56.911999999999999</v>
      </c>
      <c r="C127" s="388"/>
      <c r="D127" s="391">
        <f t="shared" si="24"/>
        <v>57.822316418525979</v>
      </c>
      <c r="E127" s="383">
        <f t="shared" si="45"/>
        <v>61.406471503395316</v>
      </c>
      <c r="F127" s="383">
        <f t="shared" si="25"/>
        <v>61.411826255045938</v>
      </c>
      <c r="G127" s="110">
        <f t="shared" si="46"/>
        <v>0.99925926281273347</v>
      </c>
      <c r="H127" s="412" t="b">
        <f>Wh_hp&gt;='2020'!Maxi_hp</f>
        <v>1</v>
      </c>
      <c r="I127" s="379">
        <f>IF(H127,Wh_hp,'2020'!Maxi_hp)</f>
        <v>61.411826255045938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1.5743340545836704E-2</v>
      </c>
      <c r="M127" s="832"/>
      <c r="N127" s="832"/>
      <c r="O127" s="48">
        <f>IF(t&lt;Tnet,'2020'!Resal+('2020'!Salim-'2020'!Resal)*(1-EXP(('2020'!Tnet-t)/('2020'!Tau_j))),Resal+(Salim-Resal)*(1-EXP((Tnet-t)/(Tau_j))))*Salcycl</f>
        <v>5.8367709414327174E-2</v>
      </c>
      <c r="P127" s="169">
        <f>(INDEX(Models!$BJ127:$BT127,,T127)*(1-R127)+INDEX(Models!$BJ127:$BT127,,T127+1)*R127-ERP_i)*Q127*Ramure*Pc/MaxiM</f>
        <v>8.728649918365416E-5</v>
      </c>
      <c r="Q127" s="304">
        <f t="shared" si="27"/>
        <v>0.6</v>
      </c>
      <c r="R127" s="177">
        <f t="shared" si="28"/>
        <v>0.55957621969003457</v>
      </c>
      <c r="S127" s="799">
        <f t="shared" si="29"/>
        <v>-1</v>
      </c>
      <c r="T127" s="176">
        <f t="shared" si="30"/>
        <v>5</v>
      </c>
      <c r="U127" s="250">
        <f t="shared" si="31"/>
        <v>-0.44042378030996543</v>
      </c>
      <c r="V127" s="382">
        <f t="shared" si="32"/>
        <v>56.954182824638757</v>
      </c>
      <c r="W127" s="400"/>
      <c r="X127" s="157">
        <f t="shared" si="33"/>
        <v>44309</v>
      </c>
      <c r="Y127" s="383">
        <f t="shared" si="34"/>
        <v>56.911999999999999</v>
      </c>
      <c r="Z127" s="383">
        <f t="shared" si="35"/>
        <v>57.822316418525979</v>
      </c>
      <c r="AA127" s="384">
        <f t="shared" si="36"/>
        <v>61.406471503395316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5.8367709414327174E-2</v>
      </c>
      <c r="AD127" s="230">
        <f>(INDEX(Models!$BJ127:$BT127,,AH127)*(1-AF127)+INDEX(Models!$BJ127:$BT127,,AH127+1)*AF127-ERP_i)*AE127*Ramure*Pc/MaxiM</f>
        <v>8.728649918365416E-5</v>
      </c>
      <c r="AE127" s="304">
        <f t="shared" si="38"/>
        <v>0.6</v>
      </c>
      <c r="AF127" s="177">
        <f t="shared" si="39"/>
        <v>0.55957621969003457</v>
      </c>
      <c r="AG127" s="799">
        <f t="shared" si="47"/>
        <v>-1</v>
      </c>
      <c r="AH127" s="176">
        <f t="shared" si="40"/>
        <v>5</v>
      </c>
      <c r="AI127" s="224">
        <f t="shared" si="41"/>
        <v>-0.44042378030996543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53.837000000000003</v>
      </c>
      <c r="C128" s="388"/>
      <c r="D128" s="391">
        <f t="shared" si="24"/>
        <v>54.699179605707435</v>
      </c>
      <c r="E128" s="383">
        <f t="shared" si="45"/>
        <v>58.096479410576343</v>
      </c>
      <c r="F128" s="383">
        <f t="shared" si="25"/>
        <v>58.10105142457774</v>
      </c>
      <c r="G128" s="110">
        <f t="shared" si="46"/>
        <v>0.94268918999467355</v>
      </c>
      <c r="H128" s="412" t="b">
        <f>Wh_hp&gt;='2020'!Maxi_hp</f>
        <v>1</v>
      </c>
      <c r="I128" s="379">
        <f>IF(H128,Wh_hp,'2020'!Maxi_hp)</f>
        <v>58.10105142457774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1.576220360017011E-2</v>
      </c>
      <c r="M128" s="832"/>
      <c r="N128" s="832"/>
      <c r="O128" s="48">
        <f>IF(t&lt;Tnet,'2020'!Resal+('2020'!Salim-'2020'!Resal)*(1-EXP(('2020'!Tnet-t)/('2020'!Tau_j))),Resal+(Salim-Resal)*(1-EXP((Tnet-t)/(Tau_j))))*Salcycl</f>
        <v>5.8476861925826733E-2</v>
      </c>
      <c r="P128" s="169">
        <f>(INDEX(Models!$BJ128:$BT128,,T128)*(1-R128)+INDEX(Models!$BJ128:$BT128,,T128+1)*R128-ERP_i)*Q128*Ramure*Pc/MaxiM</f>
        <v>8.570696868215792E-5</v>
      </c>
      <c r="Q128" s="304">
        <f t="shared" si="27"/>
        <v>0.6</v>
      </c>
      <c r="R128" s="177">
        <f t="shared" si="28"/>
        <v>0.56181721907661608</v>
      </c>
      <c r="S128" s="799">
        <f t="shared" si="29"/>
        <v>-1</v>
      </c>
      <c r="T128" s="176">
        <f t="shared" si="30"/>
        <v>5</v>
      </c>
      <c r="U128" s="250">
        <f t="shared" si="31"/>
        <v>-0.43818278092338392</v>
      </c>
      <c r="V128" s="382">
        <f t="shared" si="32"/>
        <v>57.109620867931845</v>
      </c>
      <c r="W128" s="400"/>
      <c r="X128" s="157">
        <f t="shared" si="33"/>
        <v>44310</v>
      </c>
      <c r="Y128" s="383">
        <f t="shared" si="34"/>
        <v>53.837000000000003</v>
      </c>
      <c r="Z128" s="383">
        <f t="shared" si="35"/>
        <v>54.699179605707435</v>
      </c>
      <c r="AA128" s="384">
        <f t="shared" si="36"/>
        <v>58.096479410576343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5.8476861925826733E-2</v>
      </c>
      <c r="AD128" s="230">
        <f>(INDEX(Models!$BJ128:$BT128,,AH128)*(1-AF128)+INDEX(Models!$BJ128:$BT128,,AH128+1)*AF128-ERP_i)*AE128*Ramure*Pc/MaxiM</f>
        <v>8.570696868215792E-5</v>
      </c>
      <c r="AE128" s="304">
        <f t="shared" si="38"/>
        <v>0.6</v>
      </c>
      <c r="AF128" s="177">
        <f t="shared" si="39"/>
        <v>0.56181721907661608</v>
      </c>
      <c r="AG128" s="799">
        <f t="shared" si="47"/>
        <v>-1</v>
      </c>
      <c r="AH128" s="176">
        <f t="shared" si="40"/>
        <v>5</v>
      </c>
      <c r="AI128" s="224">
        <f t="shared" si="41"/>
        <v>-0.43818278092338392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25.894000000000002</v>
      </c>
      <c r="C129" s="388"/>
      <c r="D129" s="391">
        <f t="shared" si="24"/>
        <v>26.309187024549281</v>
      </c>
      <c r="E129" s="383">
        <f t="shared" si="45"/>
        <v>27.946482934270769</v>
      </c>
      <c r="F129" s="383">
        <f t="shared" si="25"/>
        <v>27.946994672820285</v>
      </c>
      <c r="G129" s="110">
        <f t="shared" si="46"/>
        <v>0.45219769538075466</v>
      </c>
      <c r="H129" s="412" t="b">
        <f>Wh_hp&gt;='2020'!Maxi_hp</f>
        <v>0</v>
      </c>
      <c r="I129" s="379">
        <f>IF(H129,Wh_hp,'2020'!Maxi_hp)</f>
        <v>57.415722541484826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1.578106629299747E-2</v>
      </c>
      <c r="M129" s="832"/>
      <c r="N129" s="832"/>
      <c r="O129" s="48">
        <f>IF(t&lt;Tnet,'2020'!Resal+('2020'!Salim-'2020'!Resal)*(1-EXP(('2020'!Tnet-t)/('2020'!Tau_j))),Resal+(Salim-Resal)*(1-EXP((Tnet-t)/(Tau_j))))*Salcycl</f>
        <v>5.8586832324208908E-2</v>
      </c>
      <c r="P129" s="169">
        <f>(INDEX(Models!$BJ129:$BT129,,T129)*(1-R129)+INDEX(Models!$BJ129:$BT129,,T129+1)*R129-ERP_i)*Q129*Ramure*Pc/MaxiM</f>
        <v>8.4201138915928066E-5</v>
      </c>
      <c r="Q129" s="304">
        <f t="shared" si="27"/>
        <v>0.6</v>
      </c>
      <c r="R129" s="177">
        <f t="shared" si="28"/>
        <v>0.56412806058158194</v>
      </c>
      <c r="S129" s="799">
        <f t="shared" si="29"/>
        <v>-1</v>
      </c>
      <c r="T129" s="176">
        <f t="shared" si="30"/>
        <v>5</v>
      </c>
      <c r="U129" s="250">
        <f t="shared" si="31"/>
        <v>-0.43587193941841806</v>
      </c>
      <c r="V129" s="382">
        <f t="shared" si="32"/>
        <v>57.258792061614344</v>
      </c>
      <c r="W129" s="400"/>
      <c r="X129" s="157">
        <f t="shared" si="33"/>
        <v>44311</v>
      </c>
      <c r="Y129" s="383">
        <f t="shared" si="34"/>
        <v>25.894000000000002</v>
      </c>
      <c r="Z129" s="383">
        <f t="shared" si="35"/>
        <v>26.309187024549281</v>
      </c>
      <c r="AA129" s="384">
        <f t="shared" si="36"/>
        <v>27.946482934270769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5.8586832324208908E-2</v>
      </c>
      <c r="AD129" s="230">
        <f>(INDEX(Models!$BJ129:$BT129,,AH129)*(1-AF129)+INDEX(Models!$BJ129:$BT129,,AH129+1)*AF129-ERP_i)*AE129*Ramure*Pc/MaxiM</f>
        <v>8.4201138915928066E-5</v>
      </c>
      <c r="AE129" s="304">
        <f t="shared" si="38"/>
        <v>0.6</v>
      </c>
      <c r="AF129" s="177">
        <f t="shared" si="39"/>
        <v>0.56412806058158194</v>
      </c>
      <c r="AG129" s="799">
        <f t="shared" si="47"/>
        <v>-1</v>
      </c>
      <c r="AH129" s="176">
        <f t="shared" si="40"/>
        <v>5</v>
      </c>
      <c r="AI129" s="224">
        <f t="shared" si="41"/>
        <v>-0.43587193941841806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7.2919999999999998</v>
      </c>
      <c r="C130" s="388"/>
      <c r="D130" s="391">
        <f t="shared" si="24"/>
        <v>7.409062661220438</v>
      </c>
      <c r="E130" s="383">
        <f t="shared" si="45"/>
        <v>7.8710761195401862</v>
      </c>
      <c r="F130" s="383">
        <f t="shared" si="25"/>
        <v>7.8710761195401862</v>
      </c>
      <c r="G130" s="110">
        <f t="shared" si="46"/>
        <v>0.12702405438647632</v>
      </c>
      <c r="H130" s="412" t="b">
        <f>Wh_hp&gt;='2020'!Maxi_hp</f>
        <v>0</v>
      </c>
      <c r="I130" s="379">
        <f>IF(H130,Wh_hp,'2020'!Maxi_hp)</f>
        <v>48.969253892862483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1.5799928624325554E-2</v>
      </c>
      <c r="M130" s="832"/>
      <c r="N130" s="832"/>
      <c r="O130" s="48">
        <f>IF(t&lt;Tnet,'2020'!Resal+('2020'!Salim-'2020'!Resal)*(1-EXP(('2020'!Tnet-t)/('2020'!Tau_j))),Resal+(Salim-Resal)*(1-EXP((Tnet-t)/(Tau_j))))*Salcycl</f>
        <v>5.8697622955619165E-2</v>
      </c>
      <c r="P130" s="169">
        <f>(INDEX(Models!$BJ130:$BT130,,T130)*(1-R130)+INDEX(Models!$BJ130:$BT130,,T130+1)*R130-ERP_i)*Q130*Ramure*Pc/MaxiM</f>
        <v>8.276803740317686E-5</v>
      </c>
      <c r="Q130" s="304">
        <f t="shared" si="27"/>
        <v>0.6</v>
      </c>
      <c r="R130" s="177">
        <f t="shared" si="28"/>
        <v>0.56651001735944084</v>
      </c>
      <c r="S130" s="799">
        <f t="shared" si="29"/>
        <v>-1</v>
      </c>
      <c r="T130" s="176">
        <f t="shared" si="30"/>
        <v>5</v>
      </c>
      <c r="U130" s="250">
        <f t="shared" si="31"/>
        <v>-0.4334899826405591</v>
      </c>
      <c r="V130" s="382">
        <f t="shared" si="32"/>
        <v>57.401698368773985</v>
      </c>
      <c r="W130" s="400"/>
      <c r="X130" s="157">
        <f t="shared" si="33"/>
        <v>44312</v>
      </c>
      <c r="Y130" s="383">
        <f t="shared" si="34"/>
        <v>7.2919999999999998</v>
      </c>
      <c r="Z130" s="383">
        <f t="shared" si="35"/>
        <v>7.409062661220438</v>
      </c>
      <c r="AA130" s="384">
        <f t="shared" si="36"/>
        <v>7.8710761195401862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5.8697622955619165E-2</v>
      </c>
      <c r="AD130" s="230">
        <f>(INDEX(Models!$BJ130:$BT130,,AH130)*(1-AF130)+INDEX(Models!$BJ130:$BT130,,AH130+1)*AF130-ERP_i)*AE130*Ramure*Pc/MaxiM</f>
        <v>8.276803740317686E-5</v>
      </c>
      <c r="AE130" s="304">
        <f t="shared" si="38"/>
        <v>0.6</v>
      </c>
      <c r="AF130" s="177">
        <f t="shared" si="39"/>
        <v>0.56651001735944084</v>
      </c>
      <c r="AG130" s="799">
        <f t="shared" si="47"/>
        <v>-1</v>
      </c>
      <c r="AH130" s="176">
        <f t="shared" si="40"/>
        <v>5</v>
      </c>
      <c r="AI130" s="224">
        <f t="shared" si="41"/>
        <v>-0.4334899826405591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20.023</v>
      </c>
      <c r="C131" s="388"/>
      <c r="D131" s="391">
        <f t="shared" si="24"/>
        <v>20.344830615175137</v>
      </c>
      <c r="E131" s="383">
        <f t="shared" si="45"/>
        <v>21.616054220717078</v>
      </c>
      <c r="F131" s="383">
        <f t="shared" si="25"/>
        <v>21.61617487116699</v>
      </c>
      <c r="G131" s="110">
        <f t="shared" si="46"/>
        <v>0.34796765234560445</v>
      </c>
      <c r="H131" s="412" t="b">
        <f>Wh_hp&gt;='2020'!Maxi_hp</f>
        <v>0</v>
      </c>
      <c r="I131" s="379">
        <f>IF(H131,Wh_hp,'2020'!Maxi_hp)</f>
        <v>29.835618313978816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1.5818790594161358E-2</v>
      </c>
      <c r="M131" s="832"/>
      <c r="N131" s="832"/>
      <c r="O131" s="48">
        <f>IF(t&lt;Tnet,'2020'!Resal+('2020'!Salim-'2020'!Resal)*(1-EXP(('2020'!Tnet-t)/('2020'!Tau_j))),Resal+(Salim-Resal)*(1-EXP((Tnet-t)/(Tau_j))))*Salcycl</f>
        <v>5.8809234680933763E-2</v>
      </c>
      <c r="P131" s="169">
        <f>(INDEX(Models!$BJ131:$BT131,,T131)*(1-R131)+INDEX(Models!$BJ131:$BT131,,T131+1)*R131-ERP_i)*Q131*Ramure*Pc/MaxiM</f>
        <v>8.1406829012789731E-5</v>
      </c>
      <c r="Q131" s="304">
        <f t="shared" si="27"/>
        <v>0.6</v>
      </c>
      <c r="R131" s="177">
        <f t="shared" si="28"/>
        <v>0.56896431834657579</v>
      </c>
      <c r="S131" s="799">
        <f t="shared" si="29"/>
        <v>-1</v>
      </c>
      <c r="T131" s="176">
        <f t="shared" si="30"/>
        <v>5</v>
      </c>
      <c r="U131" s="250">
        <f t="shared" si="31"/>
        <v>-0.43103568165342415</v>
      </c>
      <c r="V131" s="382">
        <f t="shared" si="32"/>
        <v>57.538341871112635</v>
      </c>
      <c r="W131" s="400"/>
      <c r="X131" s="157">
        <f t="shared" si="33"/>
        <v>44313</v>
      </c>
      <c r="Y131" s="383">
        <f t="shared" si="34"/>
        <v>20.023</v>
      </c>
      <c r="Z131" s="383">
        <f t="shared" si="35"/>
        <v>20.344830615175137</v>
      </c>
      <c r="AA131" s="384">
        <f t="shared" si="36"/>
        <v>21.616054220717078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5.8809234680933763E-2</v>
      </c>
      <c r="AD131" s="230">
        <f>(INDEX(Models!$BJ131:$BT131,,AH131)*(1-AF131)+INDEX(Models!$BJ131:$BT131,,AH131+1)*AF131-ERP_i)*AE131*Ramure*Pc/MaxiM</f>
        <v>8.1406829012789731E-5</v>
      </c>
      <c r="AE131" s="304">
        <f t="shared" si="38"/>
        <v>0.6</v>
      </c>
      <c r="AF131" s="177">
        <f t="shared" si="39"/>
        <v>0.56896431834657579</v>
      </c>
      <c r="AG131" s="799">
        <f t="shared" si="47"/>
        <v>-1</v>
      </c>
      <c r="AH131" s="176">
        <f t="shared" si="40"/>
        <v>5</v>
      </c>
      <c r="AI131" s="224">
        <f t="shared" si="41"/>
        <v>-0.43103568165342415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16.202000000000002</v>
      </c>
      <c r="C132" s="388"/>
      <c r="D132" s="391">
        <f t="shared" si="24"/>
        <v>16.462731008008344</v>
      </c>
      <c r="E132" s="383">
        <f t="shared" si="45"/>
        <v>17.493475758009474</v>
      </c>
      <c r="F132" s="383">
        <f t="shared" si="25"/>
        <v>17.493475758009474</v>
      </c>
      <c r="G132" s="110">
        <f t="shared" si="46"/>
        <v>0.2809270017945707</v>
      </c>
      <c r="H132" s="412" t="b">
        <f>Wh_hp&gt;='2020'!Maxi_hp</f>
        <v>0</v>
      </c>
      <c r="I132" s="379">
        <f>IF(H132,Wh_hp,'2020'!Maxi_hp)</f>
        <v>46.721279625112096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1.5837652202511765E-2</v>
      </c>
      <c r="M132" s="832"/>
      <c r="N132" s="832"/>
      <c r="O132" s="48">
        <f>IF(t&lt;Tnet,'2020'!Resal+('2020'!Salim-'2020'!Resal)*(1-EXP(('2020'!Tnet-t)/('2020'!Tau_j))),Resal+(Salim-Resal)*(1-EXP((Tnet-t)/(Tau_j))))*Salcycl</f>
        <v>5.8921666812222634E-2</v>
      </c>
      <c r="P132" s="169">
        <f>(INDEX(Models!$BJ132:$BT132,,T132)*(1-R132)+INDEX(Models!$BJ132:$BT132,,T132+1)*R132-ERP_i)*Q132*Ramure*Pc/MaxiM</f>
        <v>8.0116817277597381E-5</v>
      </c>
      <c r="Q132" s="304">
        <f t="shared" si="27"/>
        <v>0.6</v>
      </c>
      <c r="R132" s="177">
        <f t="shared" si="28"/>
        <v>0.57149214238945323</v>
      </c>
      <c r="S132" s="799">
        <f t="shared" si="29"/>
        <v>-1</v>
      </c>
      <c r="T132" s="176">
        <f t="shared" si="30"/>
        <v>5</v>
      </c>
      <c r="U132" s="250">
        <f t="shared" si="31"/>
        <v>-0.42850785761054683</v>
      </c>
      <c r="V132" s="382">
        <f t="shared" si="32"/>
        <v>57.668724771331583</v>
      </c>
      <c r="W132" s="400"/>
      <c r="X132" s="157">
        <f t="shared" si="33"/>
        <v>44314</v>
      </c>
      <c r="Y132" s="383">
        <f t="shared" si="34"/>
        <v>16.202000000000002</v>
      </c>
      <c r="Z132" s="383">
        <f t="shared" si="35"/>
        <v>16.462731008008344</v>
      </c>
      <c r="AA132" s="384">
        <f t="shared" si="36"/>
        <v>17.493475758009474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5.8921666812222634E-2</v>
      </c>
      <c r="AD132" s="230">
        <f>(INDEX(Models!$BJ132:$BT132,,AH132)*(1-AF132)+INDEX(Models!$BJ132:$BT132,,AH132+1)*AF132-ERP_i)*AE132*Ramure*Pc/MaxiM</f>
        <v>8.0116817277597381E-5</v>
      </c>
      <c r="AE132" s="304">
        <f t="shared" si="38"/>
        <v>0.6</v>
      </c>
      <c r="AF132" s="177">
        <f t="shared" si="39"/>
        <v>0.57149214238945323</v>
      </c>
      <c r="AG132" s="799">
        <f t="shared" si="47"/>
        <v>-1</v>
      </c>
      <c r="AH132" s="176">
        <f t="shared" si="40"/>
        <v>5</v>
      </c>
      <c r="AI132" s="224">
        <f t="shared" si="41"/>
        <v>-0.42850785761054683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25.239000000000001</v>
      </c>
      <c r="C133" s="388"/>
      <c r="D133" s="391">
        <f t="shared" si="24"/>
        <v>25.645650603716021</v>
      </c>
      <c r="E133" s="383">
        <f t="shared" si="45"/>
        <v>27.254625137944231</v>
      </c>
      <c r="F133" s="383">
        <f t="shared" si="25"/>
        <v>27.255045117106764</v>
      </c>
      <c r="G133" s="110">
        <f t="shared" si="46"/>
        <v>0.43668720018482321</v>
      </c>
      <c r="H133" s="412" t="b">
        <f>Wh_hp&gt;='2020'!Maxi_hp</f>
        <v>0</v>
      </c>
      <c r="I133" s="379">
        <f>IF(H133,Wh_hp,'2020'!Maxi_hp)</f>
        <v>51.783140656081144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1.5856513449383769E-2</v>
      </c>
      <c r="M133" s="832"/>
      <c r="N133" s="832"/>
      <c r="O133" s="48">
        <f>IF(t&lt;Tnet,'2020'!Resal+('2020'!Salim-'2020'!Resal)*(1-EXP(('2020'!Tnet-t)/('2020'!Tau_j))),Resal+(Salim-Resal)*(1-EXP((Tnet-t)/(Tau_j))))*Salcycl</f>
        <v>5.9034917049296538E-2</v>
      </c>
      <c r="P133" s="169">
        <f>(INDEX(Models!$BJ133:$BT133,,T133)*(1-R133)+INDEX(Models!$BJ133:$BT133,,T133+1)*R133-ERP_i)*Q133*Ramure*Pc/MaxiM</f>
        <v>7.8897445751447621E-5</v>
      </c>
      <c r="Q133" s="304">
        <f t="shared" si="27"/>
        <v>0.6</v>
      </c>
      <c r="R133" s="177">
        <f t="shared" si="28"/>
        <v>0.57409461215058522</v>
      </c>
      <c r="S133" s="799">
        <f t="shared" si="29"/>
        <v>-1</v>
      </c>
      <c r="T133" s="176">
        <f t="shared" si="30"/>
        <v>5</v>
      </c>
      <c r="U133" s="250">
        <f t="shared" si="31"/>
        <v>-0.42590538784941478</v>
      </c>
      <c r="V133" s="382">
        <f t="shared" si="32"/>
        <v>57.79284940218119</v>
      </c>
      <c r="W133" s="400"/>
      <c r="X133" s="157">
        <f t="shared" si="33"/>
        <v>44315</v>
      </c>
      <c r="Y133" s="383">
        <f t="shared" si="34"/>
        <v>25.239000000000001</v>
      </c>
      <c r="Z133" s="383">
        <f t="shared" si="35"/>
        <v>25.645650603716021</v>
      </c>
      <c r="AA133" s="384">
        <f t="shared" si="36"/>
        <v>27.254625137944231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5.9034917049296538E-2</v>
      </c>
      <c r="AD133" s="230">
        <f>(INDEX(Models!$BJ133:$BT133,,AH133)*(1-AF133)+INDEX(Models!$BJ133:$BT133,,AH133+1)*AF133-ERP_i)*AE133*Ramure*Pc/MaxiM</f>
        <v>7.8897445751447621E-5</v>
      </c>
      <c r="AE133" s="304">
        <f t="shared" si="38"/>
        <v>0.6</v>
      </c>
      <c r="AF133" s="177">
        <f t="shared" si="39"/>
        <v>0.57409461215058522</v>
      </c>
      <c r="AG133" s="799">
        <f t="shared" si="47"/>
        <v>-1</v>
      </c>
      <c r="AH133" s="176">
        <f t="shared" si="40"/>
        <v>5</v>
      </c>
      <c r="AI133" s="224">
        <f t="shared" si="41"/>
        <v>-0.42590538784941478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14.507</v>
      </c>
      <c r="C134" s="388"/>
      <c r="D134" s="391">
        <f t="shared" si="24"/>
        <v>14.741019197841984</v>
      </c>
      <c r="E134" s="383">
        <f t="shared" si="45"/>
        <v>15.667750692390163</v>
      </c>
      <c r="F134" s="383">
        <f t="shared" si="25"/>
        <v>15.667750692390163</v>
      </c>
      <c r="G134" s="110">
        <f t="shared" si="46"/>
        <v>0.25048682784788628</v>
      </c>
      <c r="H134" s="412" t="b">
        <f>Wh_hp&gt;='2020'!Maxi_hp</f>
        <v>0</v>
      </c>
      <c r="I134" s="379">
        <f>IF(H134,Wh_hp,'2020'!Maxi_hp)</f>
        <v>61.648626642094747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1.5875374334784365E-2</v>
      </c>
      <c r="M134" s="832"/>
      <c r="N134" s="832"/>
      <c r="O134" s="48">
        <f>IF(t&lt;Tnet,'2020'!Resal+('2020'!Salim-'2020'!Resal)*(1-EXP(('2020'!Tnet-t)/('2020'!Tau_j))),Resal+(Salim-Resal)*(1-EXP((Tnet-t)/(Tau_j))))*Salcycl</f>
        <v>5.9148981416859835E-2</v>
      </c>
      <c r="P134" s="169">
        <f>(INDEX(Models!$BJ134:$BT134,,T134)*(1-R134)+INDEX(Models!$BJ134:$BT134,,T134+1)*R134-ERP_i)*Q134*Ramure*Pc/MaxiM</f>
        <v>7.7748299428094273E-5</v>
      </c>
      <c r="Q134" s="304">
        <f t="shared" si="27"/>
        <v>0.6</v>
      </c>
      <c r="R134" s="177">
        <f t="shared" si="28"/>
        <v>0.57677278780786434</v>
      </c>
      <c r="S134" s="799">
        <f t="shared" si="29"/>
        <v>-1</v>
      </c>
      <c r="T134" s="176">
        <f t="shared" si="30"/>
        <v>5</v>
      </c>
      <c r="U134" s="250">
        <f t="shared" si="31"/>
        <v>-0.42322721219213566</v>
      </c>
      <c r="V134" s="382">
        <f t="shared" si="32"/>
        <v>57.910718220397641</v>
      </c>
      <c r="W134" s="400"/>
      <c r="X134" s="157">
        <f t="shared" si="33"/>
        <v>44316</v>
      </c>
      <c r="Y134" s="383">
        <f t="shared" si="34"/>
        <v>14.507</v>
      </c>
      <c r="Z134" s="383">
        <f t="shared" si="35"/>
        <v>14.741019197841984</v>
      </c>
      <c r="AA134" s="384">
        <f t="shared" si="36"/>
        <v>15.667750692390163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5.9148981416859835E-2</v>
      </c>
      <c r="AD134" s="230">
        <f>(INDEX(Models!$BJ134:$BT134,,AH134)*(1-AF134)+INDEX(Models!$BJ134:$BT134,,AH134+1)*AF134-ERP_i)*AE134*Ramure*Pc/MaxiM</f>
        <v>7.7748299428094273E-5</v>
      </c>
      <c r="AE134" s="304">
        <f t="shared" si="38"/>
        <v>0.6</v>
      </c>
      <c r="AF134" s="177">
        <f t="shared" si="39"/>
        <v>0.57677278780786434</v>
      </c>
      <c r="AG134" s="799">
        <f t="shared" si="47"/>
        <v>-1</v>
      </c>
      <c r="AH134" s="176">
        <f t="shared" si="40"/>
        <v>5</v>
      </c>
      <c r="AI134" s="224">
        <f t="shared" si="41"/>
        <v>-0.42322721219213566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18.181999999999999</v>
      </c>
      <c r="C135" s="388"/>
      <c r="D135" s="391">
        <f t="shared" si="24"/>
        <v>18.475656422345786</v>
      </c>
      <c r="E135" s="383">
        <f t="shared" si="45"/>
        <v>19.639573226656331</v>
      </c>
      <c r="F135" s="383">
        <f t="shared" si="25"/>
        <v>19.639601980155962</v>
      </c>
      <c r="G135" s="110">
        <f t="shared" si="46"/>
        <v>0.31334328291265945</v>
      </c>
      <c r="H135" s="412" t="b">
        <f>Wh_hp&gt;='2020'!Maxi_hp</f>
        <v>0</v>
      </c>
      <c r="I135" s="379">
        <f>IF(H135,Wh_hp,'2020'!Maxi_hp)</f>
        <v>57.098058064772587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1.5894234858720324E-2</v>
      </c>
      <c r="M135" s="832"/>
      <c r="N135" s="832"/>
      <c r="O135" s="48">
        <f>IF(t&lt;Tnet,'2020'!Resal+('2020'!Salim-'2020'!Resal)*(1-EXP(('2020'!Tnet-t)/('2020'!Tau_j))),Resal+(Salim-Resal)*(1-EXP((Tnet-t)/(Tau_j))))*Salcycl</f>
        <v>5.9263854202839188E-2</v>
      </c>
      <c r="P135" s="169">
        <f>(INDEX(Models!$BJ135:$BT135,,T135)*(1-R135)+INDEX(Models!$BJ135:$BT135,,T135+1)*R135-ERP_i)*Q135*Ramure*Pc/MaxiM</f>
        <v>7.6670269825010272E-5</v>
      </c>
      <c r="Q135" s="304">
        <f t="shared" si="27"/>
        <v>0.6</v>
      </c>
      <c r="R135" s="177">
        <f t="shared" si="28"/>
        <v>0.57952766056592431</v>
      </c>
      <c r="S135" s="799">
        <f t="shared" si="29"/>
        <v>-1</v>
      </c>
      <c r="T135" s="176">
        <f t="shared" si="30"/>
        <v>5</v>
      </c>
      <c r="U135" s="250">
        <f t="shared" si="31"/>
        <v>-0.42047233943407564</v>
      </c>
      <c r="V135" s="382">
        <f t="shared" si="32"/>
        <v>58.021453115708709</v>
      </c>
      <c r="W135" s="400"/>
      <c r="X135" s="157">
        <f t="shared" si="33"/>
        <v>44317</v>
      </c>
      <c r="Y135" s="383">
        <f t="shared" si="34"/>
        <v>18.181999999999999</v>
      </c>
      <c r="Z135" s="383">
        <f t="shared" si="35"/>
        <v>18.475656422345786</v>
      </c>
      <c r="AA135" s="384">
        <f t="shared" si="36"/>
        <v>19.639573226656331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5.9263854202839188E-2</v>
      </c>
      <c r="AD135" s="230">
        <f>(INDEX(Models!$BJ135:$BT135,,AH135)*(1-AF135)+INDEX(Models!$BJ135:$BT135,,AH135+1)*AF135-ERP_i)*AE135*Ramure*Pc/MaxiM</f>
        <v>7.6670269825010272E-5</v>
      </c>
      <c r="AE135" s="304">
        <f t="shared" si="38"/>
        <v>0.6</v>
      </c>
      <c r="AF135" s="177">
        <f t="shared" si="39"/>
        <v>0.57952766056592431</v>
      </c>
      <c r="AG135" s="799">
        <f t="shared" si="47"/>
        <v>-1</v>
      </c>
      <c r="AH135" s="176">
        <f t="shared" si="40"/>
        <v>5</v>
      </c>
      <c r="AI135" s="224">
        <f t="shared" si="41"/>
        <v>-0.42047233943407564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45.877000000000002</v>
      </c>
      <c r="C136" s="388"/>
      <c r="D136" s="391">
        <f t="shared" si="24"/>
        <v>46.61885019289862</v>
      </c>
      <c r="E136" s="383">
        <f t="shared" si="45"/>
        <v>49.561806887686267</v>
      </c>
      <c r="F136" s="383">
        <f t="shared" si="25"/>
        <v>49.564429764978506</v>
      </c>
      <c r="G136" s="110">
        <f t="shared" si="46"/>
        <v>0.78927126839435335</v>
      </c>
      <c r="H136" s="412" t="b">
        <f>Wh_hp&gt;='2020'!Maxi_hp</f>
        <v>1</v>
      </c>
      <c r="I136" s="379">
        <f>IF(H136,Wh_hp,'2020'!Maxi_hp)</f>
        <v>49.564429764978506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1.5913095021198642E-2</v>
      </c>
      <c r="M136" s="832"/>
      <c r="N136" s="832"/>
      <c r="O136" s="48">
        <f>IF(t&lt;Tnet,'2020'!Resal+('2020'!Salim-'2020'!Resal)*(1-EXP(('2020'!Tnet-t)/('2020'!Tau_j))),Resal+(Salim-Resal)*(1-EXP((Tnet-t)/(Tau_j))))*Salcycl</f>
        <v>5.9379527898504196E-2</v>
      </c>
      <c r="P136" s="169">
        <f>(INDEX(Models!$BJ136:$BT136,,T136)*(1-R136)+INDEX(Models!$BJ136:$BT136,,T136+1)*R136-ERP_i)*Q136*Ramure*Pc/MaxiM</f>
        <v>7.5707729053627688E-5</v>
      </c>
      <c r="Q136" s="304">
        <f t="shared" si="27"/>
        <v>0.6</v>
      </c>
      <c r="R136" s="177">
        <f t="shared" si="28"/>
        <v>0.58236014600135944</v>
      </c>
      <c r="S136" s="799">
        <f t="shared" si="29"/>
        <v>-1</v>
      </c>
      <c r="T136" s="176">
        <f t="shared" si="30"/>
        <v>5</v>
      </c>
      <c r="U136" s="250">
        <f t="shared" si="31"/>
        <v>-0.41763985399864056</v>
      </c>
      <c r="V136" s="382">
        <f t="shared" si="32"/>
        <v>58.124445019267647</v>
      </c>
      <c r="W136" s="400"/>
      <c r="X136" s="157">
        <f t="shared" si="33"/>
        <v>44318</v>
      </c>
      <c r="Y136" s="383">
        <f t="shared" si="34"/>
        <v>45.877000000000002</v>
      </c>
      <c r="Z136" s="383">
        <f t="shared" si="35"/>
        <v>46.61885019289862</v>
      </c>
      <c r="AA136" s="384">
        <f t="shared" si="36"/>
        <v>49.561806887686267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5.9379527898504196E-2</v>
      </c>
      <c r="AD136" s="230">
        <f>(INDEX(Models!$BJ136:$BT136,,AH136)*(1-AF136)+INDEX(Models!$BJ136:$BT136,,AH136+1)*AF136-ERP_i)*AE136*Ramure*Pc/MaxiM</f>
        <v>7.5707729053627688E-5</v>
      </c>
      <c r="AE136" s="304">
        <f t="shared" si="38"/>
        <v>0.6</v>
      </c>
      <c r="AF136" s="177">
        <f t="shared" si="39"/>
        <v>0.58236014600135944</v>
      </c>
      <c r="AG136" s="799">
        <f t="shared" si="47"/>
        <v>-1</v>
      </c>
      <c r="AH136" s="176">
        <f t="shared" si="40"/>
        <v>5</v>
      </c>
      <c r="AI136" s="224">
        <f t="shared" si="41"/>
        <v>-0.41763985399864056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56.826999999999998</v>
      </c>
      <c r="C137" s="388"/>
      <c r="D137" s="391">
        <f t="shared" si="24"/>
        <v>57.747022960931623</v>
      </c>
      <c r="E137" s="383">
        <f t="shared" si="45"/>
        <v>61.400081806978569</v>
      </c>
      <c r="F137" s="383">
        <f t="shared" si="25"/>
        <v>61.404519088032231</v>
      </c>
      <c r="G137" s="110">
        <f t="shared" si="46"/>
        <v>0.97606923882988783</v>
      </c>
      <c r="H137" s="412" t="b">
        <f>Wh_hp&gt;='2020'!Maxi_hp</f>
        <v>1</v>
      </c>
      <c r="I137" s="379">
        <f>IF(H137,Wh_hp,'2020'!Maxi_hp)</f>
        <v>61.404519088032231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1.5931954822226202E-2</v>
      </c>
      <c r="M137" s="832"/>
      <c r="N137" s="832"/>
      <c r="O137" s="48">
        <f>IF(t&lt;Tnet,'2020'!Resal+('2020'!Salim-'2020'!Resal)*(1-EXP(('2020'!Tnet-t)/('2020'!Tau_j))),Resal+(Salim-Resal)*(1-EXP((Tnet-t)/(Tau_j))))*Salcycl</f>
        <v>5.9495993141034362E-2</v>
      </c>
      <c r="P137" s="169">
        <f>(INDEX(Models!$BJ137:$BT137,,T137)*(1-R137)+INDEX(Models!$BJ137:$BT137,,T137+1)*R137-ERP_i)*Q137*Ramure*Pc/MaxiM</f>
        <v>7.4820716594801E-5</v>
      </c>
      <c r="Q137" s="304">
        <f t="shared" si="27"/>
        <v>0.6</v>
      </c>
      <c r="R137" s="177">
        <f t="shared" si="28"/>
        <v>0.58527107726692318</v>
      </c>
      <c r="S137" s="799">
        <f t="shared" si="29"/>
        <v>-1</v>
      </c>
      <c r="T137" s="176">
        <f t="shared" si="30"/>
        <v>5</v>
      </c>
      <c r="U137" s="250">
        <f t="shared" si="31"/>
        <v>-0.41472892273307677</v>
      </c>
      <c r="V137" s="382">
        <f t="shared" si="32"/>
        <v>58.220106102392258</v>
      </c>
      <c r="W137" s="400"/>
      <c r="X137" s="157">
        <f t="shared" si="33"/>
        <v>44319</v>
      </c>
      <c r="Y137" s="383">
        <f t="shared" si="34"/>
        <v>56.826999999999998</v>
      </c>
      <c r="Z137" s="383">
        <f t="shared" si="35"/>
        <v>57.747022960931623</v>
      </c>
      <c r="AA137" s="384">
        <f t="shared" si="36"/>
        <v>61.400081806978569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5.9495993141034362E-2</v>
      </c>
      <c r="AD137" s="230">
        <f>(INDEX(Models!$BJ137:$BT137,,AH137)*(1-AF137)+INDEX(Models!$BJ137:$BT137,,AH137+1)*AF137-ERP_i)*AE137*Ramure*Pc/MaxiM</f>
        <v>7.4820716594801E-5</v>
      </c>
      <c r="AE137" s="304">
        <f t="shared" si="38"/>
        <v>0.6</v>
      </c>
      <c r="AF137" s="177">
        <f t="shared" si="39"/>
        <v>0.58527107726692318</v>
      </c>
      <c r="AG137" s="799">
        <f t="shared" si="47"/>
        <v>-1</v>
      </c>
      <c r="AH137" s="176">
        <f t="shared" si="40"/>
        <v>5</v>
      </c>
      <c r="AI137" s="224">
        <f t="shared" si="41"/>
        <v>-0.41472892273307677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49.968000000000004</v>
      </c>
      <c r="C138" s="388"/>
      <c r="D138" s="391">
        <f t="shared" si="24"/>
        <v>50.777949643356735</v>
      </c>
      <c r="E138" s="383">
        <f t="shared" si="45"/>
        <v>53.996878444948337</v>
      </c>
      <c r="F138" s="383">
        <f t="shared" si="25"/>
        <v>54.000058250195806</v>
      </c>
      <c r="G138" s="110">
        <f t="shared" si="46"/>
        <v>0.85694105683308486</v>
      </c>
      <c r="H138" s="412" t="b">
        <f>Wh_hp&gt;='2020'!Maxi_hp</f>
        <v>1</v>
      </c>
      <c r="I138" s="379">
        <f>IF(H138,Wh_hp,'2020'!Maxi_hp)</f>
        <v>54.000058250195806</v>
      </c>
      <c r="J138" s="85">
        <f>IF(H138,An,'2020'!An_max)</f>
        <v>2021</v>
      </c>
      <c r="K138" s="197">
        <f t="shared" si="26"/>
        <v>44320</v>
      </c>
      <c r="L138" s="147">
        <f>IF(t&lt;Tvie,1-EXP((T0-t)*PertePVj)+'2020'!Pspv,1-EXP((T0-t)*PertePVj)+Pspv)</f>
        <v>1.5950814261810109E-2</v>
      </c>
      <c r="M138" s="832"/>
      <c r="N138" s="832"/>
      <c r="O138" s="48">
        <f>IF(t&lt;Tnet,'2020'!Resal+('2020'!Salim-'2020'!Resal)*(1-EXP(('2020'!Tnet-t)/('2020'!Tau_j))),Resal+(Salim-Resal)*(1-EXP((Tnet-t)/(Tau_j))))*Salcycl</f>
        <v>5.9613238659220073E-2</v>
      </c>
      <c r="P138" s="169">
        <f>(INDEX(Models!$BJ138:$BT138,,T138)*(1-R138)+INDEX(Models!$BJ138:$BT138,,T138+1)*R138-ERP_i)*Q138*Ramure*Pc/MaxiM</f>
        <v>7.4009077684596415E-5</v>
      </c>
      <c r="Q138" s="304">
        <f t="shared" si="27"/>
        <v>0.6</v>
      </c>
      <c r="R138" s="177">
        <f t="shared" si="28"/>
        <v>0.58826119818321365</v>
      </c>
      <c r="S138" s="799">
        <f t="shared" si="29"/>
        <v>-1</v>
      </c>
      <c r="T138" s="176">
        <f t="shared" si="30"/>
        <v>5</v>
      </c>
      <c r="U138" s="250">
        <f t="shared" si="31"/>
        <v>-0.41173880181678635</v>
      </c>
      <c r="V138" s="382">
        <f t="shared" si="32"/>
        <v>58.308846154690904</v>
      </c>
      <c r="W138" s="400"/>
      <c r="X138" s="157">
        <f t="shared" si="33"/>
        <v>44320</v>
      </c>
      <c r="Y138" s="383">
        <f t="shared" si="34"/>
        <v>49.968000000000004</v>
      </c>
      <c r="Z138" s="383">
        <f t="shared" si="35"/>
        <v>50.777949643356735</v>
      </c>
      <c r="AA138" s="384">
        <f t="shared" si="36"/>
        <v>53.996878444948337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5.9613238659220073E-2</v>
      </c>
      <c r="AD138" s="230">
        <f>(INDEX(Models!$BJ138:$BT138,,AH138)*(1-AF138)+INDEX(Models!$BJ138:$BT138,,AH138+1)*AF138-ERP_i)*AE138*Ramure*Pc/MaxiM</f>
        <v>7.4009077684596415E-5</v>
      </c>
      <c r="AE138" s="304">
        <f t="shared" si="38"/>
        <v>0.6</v>
      </c>
      <c r="AF138" s="177">
        <f t="shared" si="39"/>
        <v>0.58826119818321365</v>
      </c>
      <c r="AG138" s="799">
        <f t="shared" si="47"/>
        <v>-1</v>
      </c>
      <c r="AH138" s="176">
        <f t="shared" si="40"/>
        <v>5</v>
      </c>
      <c r="AI138" s="224">
        <f t="shared" si="41"/>
        <v>-0.41173880181678635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32.488999999999997</v>
      </c>
      <c r="C139" s="388"/>
      <c r="D139" s="391">
        <f t="shared" si="24"/>
        <v>33.016258869046126</v>
      </c>
      <c r="E139" s="383">
        <f t="shared" si="45"/>
        <v>35.113640554352656</v>
      </c>
      <c r="F139" s="383">
        <f t="shared" si="25"/>
        <v>35.114583000579039</v>
      </c>
      <c r="G139" s="110">
        <f t="shared" si="46"/>
        <v>0.55637769016818051</v>
      </c>
      <c r="H139" s="412" t="b">
        <f>Wh_hp&gt;='2020'!Maxi_hp</f>
        <v>0</v>
      </c>
      <c r="I139" s="379">
        <f>IF(H139,Wh_hp,'2020'!Maxi_hp)</f>
        <v>59.96671405061354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1.5969673339957025E-2</v>
      </c>
      <c r="M139" s="832"/>
      <c r="N139" s="832"/>
      <c r="O139" s="48">
        <f>IF(t&lt;Tnet,'2020'!Resal+('2020'!Salim-'2020'!Resal)*(1-EXP(('2020'!Tnet-t)/('2020'!Tau_j))),Resal+(Salim-Resal)*(1-EXP((Tnet-t)/(Tau_j))))*Salcycl</f>
        <v>5.9731251223010436E-2</v>
      </c>
      <c r="P139" s="169">
        <f>(INDEX(Models!$BJ139:$BT139,,T139)*(1-R139)+INDEX(Models!$BJ139:$BT139,,T139+1)*R139-ERP_i)*Q139*Ramure*Pc/MaxiM</f>
        <v>7.3272854383421649E-5</v>
      </c>
      <c r="Q139" s="304">
        <f t="shared" si="27"/>
        <v>0.6</v>
      </c>
      <c r="R139" s="177">
        <f t="shared" si="28"/>
        <v>0.59133115624979005</v>
      </c>
      <c r="S139" s="799">
        <f t="shared" si="29"/>
        <v>-1</v>
      </c>
      <c r="T139" s="176">
        <f t="shared" si="30"/>
        <v>5</v>
      </c>
      <c r="U139" s="250">
        <f t="shared" si="31"/>
        <v>-0.40866884375020995</v>
      </c>
      <c r="V139" s="382">
        <f t="shared" si="32"/>
        <v>58.391074893179237</v>
      </c>
      <c r="W139" s="400"/>
      <c r="X139" s="157">
        <f t="shared" si="33"/>
        <v>44321</v>
      </c>
      <c r="Y139" s="383">
        <f t="shared" si="34"/>
        <v>32.488999999999997</v>
      </c>
      <c r="Z139" s="383">
        <f t="shared" si="35"/>
        <v>33.016258869046126</v>
      </c>
      <c r="AA139" s="384">
        <f t="shared" si="36"/>
        <v>35.113640554352656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5.9731251223010436E-2</v>
      </c>
      <c r="AD139" s="230">
        <f>(INDEX(Models!$BJ139:$BT139,,AH139)*(1-AF139)+INDEX(Models!$BJ139:$BT139,,AH139+1)*AF139-ERP_i)*AE139*Ramure*Pc/MaxiM</f>
        <v>7.3272854383421649E-5</v>
      </c>
      <c r="AE139" s="304">
        <f t="shared" si="38"/>
        <v>0.6</v>
      </c>
      <c r="AF139" s="177">
        <f t="shared" si="39"/>
        <v>0.59133115624979005</v>
      </c>
      <c r="AG139" s="799">
        <f t="shared" si="47"/>
        <v>-1</v>
      </c>
      <c r="AH139" s="176">
        <f t="shared" si="40"/>
        <v>5</v>
      </c>
      <c r="AI139" s="224">
        <f t="shared" si="41"/>
        <v>-0.40866884375020995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33.599000000000004</v>
      </c>
      <c r="C140" s="388"/>
      <c r="D140" s="391">
        <f t="shared" si="24"/>
        <v>34.14492726413544</v>
      </c>
      <c r="E140" s="383">
        <f t="shared" si="45"/>
        <v>36.318595788565439</v>
      </c>
      <c r="F140" s="383">
        <f t="shared" si="25"/>
        <v>36.319630585916087</v>
      </c>
      <c r="G140" s="110">
        <f t="shared" si="46"/>
        <v>0.57463871058000182</v>
      </c>
      <c r="H140" s="412" t="b">
        <f>Wh_hp&gt;='2020'!Maxi_hp</f>
        <v>0</v>
      </c>
      <c r="I140" s="379">
        <f>IF(H140,Wh_hp,'2020'!Maxi_hp)</f>
        <v>63.959766591204975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1.5988532056674054E-2</v>
      </c>
      <c r="M140" s="832"/>
      <c r="N140" s="832"/>
      <c r="O140" s="48">
        <f>IF(t&lt;Tnet,'2020'!Resal+('2020'!Salim-'2020'!Resal)*(1-EXP(('2020'!Tnet-t)/('2020'!Tau_j))),Resal+(Salim-Resal)*(1-EXP((Tnet-t)/(Tau_j))))*Salcycl</f>
        <v>5.9850015597639417E-2</v>
      </c>
      <c r="P140" s="169">
        <f>(INDEX(Models!$BJ140:$BT140,,T140)*(1-R140)+INDEX(Models!$BJ140:$BT140,,T140+1)*R140-ERP_i)*Q140*Ramure*Pc/MaxiM</f>
        <v>7.2612281182607338E-5</v>
      </c>
      <c r="Q140" s="304">
        <f t="shared" si="27"/>
        <v>0.6</v>
      </c>
      <c r="R140" s="177">
        <f t="shared" si="28"/>
        <v>0.59448149561113139</v>
      </c>
      <c r="S140" s="799">
        <f t="shared" si="29"/>
        <v>-1</v>
      </c>
      <c r="T140" s="176">
        <f t="shared" si="30"/>
        <v>5</v>
      </c>
      <c r="U140" s="250">
        <f t="shared" si="31"/>
        <v>-0.40551850438886861</v>
      </c>
      <c r="V140" s="382">
        <f t="shared" si="32"/>
        <v>58.467201951249365</v>
      </c>
      <c r="W140" s="400"/>
      <c r="X140" s="157">
        <f t="shared" si="33"/>
        <v>44322</v>
      </c>
      <c r="Y140" s="383">
        <f t="shared" si="34"/>
        <v>33.599000000000004</v>
      </c>
      <c r="Z140" s="383">
        <f t="shared" si="35"/>
        <v>34.14492726413544</v>
      </c>
      <c r="AA140" s="384">
        <f t="shared" si="36"/>
        <v>36.318595788565439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5.9850015597639417E-2</v>
      </c>
      <c r="AD140" s="230">
        <f>(INDEX(Models!$BJ140:$BT140,,AH140)*(1-AF140)+INDEX(Models!$BJ140:$BT140,,AH140+1)*AF140-ERP_i)*AE140*Ramure*Pc/MaxiM</f>
        <v>7.2612281182607338E-5</v>
      </c>
      <c r="AE140" s="304">
        <f t="shared" si="38"/>
        <v>0.6</v>
      </c>
      <c r="AF140" s="177">
        <f t="shared" si="39"/>
        <v>0.59448149561113139</v>
      </c>
      <c r="AG140" s="799">
        <f t="shared" si="47"/>
        <v>-1</v>
      </c>
      <c r="AH140" s="176">
        <f t="shared" si="40"/>
        <v>5</v>
      </c>
      <c r="AI140" s="224">
        <f t="shared" si="41"/>
        <v>-0.40551850438886861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26.446999999999999</v>
      </c>
      <c r="C141" s="388"/>
      <c r="D141" s="391">
        <f t="shared" si="24"/>
        <v>26.877234383978312</v>
      </c>
      <c r="E141" s="383">
        <f t="shared" si="45"/>
        <v>28.591875262183869</v>
      </c>
      <c r="F141" s="383">
        <f t="shared" si="25"/>
        <v>28.592321851483756</v>
      </c>
      <c r="G141" s="110">
        <f t="shared" si="46"/>
        <v>0.45176931537826526</v>
      </c>
      <c r="H141" s="412" t="b">
        <f>Wh_hp&gt;='2020'!Maxi_hp</f>
        <v>0</v>
      </c>
      <c r="I141" s="379">
        <f>IF(H141,Wh_hp,'2020'!Maxi_hp)</f>
        <v>60.392486037860046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1.6007390411968081E-2</v>
      </c>
      <c r="M141" s="832"/>
      <c r="N141" s="832"/>
      <c r="O141" s="48">
        <f>IF(t&lt;Tnet,'2020'!Resal+('2020'!Salim-'2020'!Resal)*(1-EXP(('2020'!Tnet-t)/('2020'!Tau_j))),Resal+(Salim-Resal)*(1-EXP((Tnet-t)/(Tau_j))))*Salcycl</f>
        <v>5.9969514503071822E-2</v>
      </c>
      <c r="P141" s="169">
        <f>(INDEX(Models!$BJ141:$BT141,,T141)*(1-R141)+INDEX(Models!$BJ141:$BT141,,T141+1)*R141-ERP_i)*Q141*Ramure*Pc/MaxiM</f>
        <v>7.202778054515563E-5</v>
      </c>
      <c r="Q141" s="304">
        <f t="shared" si="27"/>
        <v>0.6</v>
      </c>
      <c r="R141" s="177">
        <f t="shared" si="28"/>
        <v>0.59771265001628371</v>
      </c>
      <c r="S141" s="799">
        <f t="shared" si="29"/>
        <v>-1</v>
      </c>
      <c r="T141" s="176">
        <f t="shared" si="30"/>
        <v>5</v>
      </c>
      <c r="U141" s="250">
        <f t="shared" si="31"/>
        <v>-0.40228734998371629</v>
      </c>
      <c r="V141" s="382">
        <f t="shared" si="32"/>
        <v>58.537636884267641</v>
      </c>
      <c r="W141" s="400"/>
      <c r="X141" s="157">
        <f t="shared" si="33"/>
        <v>44323</v>
      </c>
      <c r="Y141" s="383">
        <f t="shared" si="34"/>
        <v>26.446999999999999</v>
      </c>
      <c r="Z141" s="383">
        <f t="shared" si="35"/>
        <v>26.877234383978312</v>
      </c>
      <c r="AA141" s="384">
        <f t="shared" si="36"/>
        <v>28.591875262183869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5.9969514503071822E-2</v>
      </c>
      <c r="AD141" s="230">
        <f>(INDEX(Models!$BJ141:$BT141,,AH141)*(1-AF141)+INDEX(Models!$BJ141:$BT141,,AH141+1)*AF141-ERP_i)*AE141*Ramure*Pc/MaxiM</f>
        <v>7.202778054515563E-5</v>
      </c>
      <c r="AE141" s="304">
        <f t="shared" si="38"/>
        <v>0.6</v>
      </c>
      <c r="AF141" s="177">
        <f t="shared" si="39"/>
        <v>0.59771265001628371</v>
      </c>
      <c r="AG141" s="799">
        <f t="shared" si="47"/>
        <v>-1</v>
      </c>
      <c r="AH141" s="176">
        <f t="shared" si="40"/>
        <v>5</v>
      </c>
      <c r="AI141" s="224">
        <f t="shared" si="41"/>
        <v>-0.40228734998371629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54.972999999999999</v>
      </c>
      <c r="C142" s="388"/>
      <c r="D142" s="391">
        <f t="shared" si="24"/>
        <v>55.868360218895305</v>
      </c>
      <c r="E142" s="383">
        <f t="shared" si="45"/>
        <v>59.440099675111924</v>
      </c>
      <c r="F142" s="383">
        <f t="shared" si="25"/>
        <v>59.443974291396984</v>
      </c>
      <c r="G142" s="110">
        <f t="shared" si="46"/>
        <v>0.93805520682310539</v>
      </c>
      <c r="H142" s="412" t="b">
        <f>Wh_hp&gt;='2020'!Maxi_hp</f>
        <v>1</v>
      </c>
      <c r="I142" s="379">
        <f>IF(H142,Wh_hp,'2020'!Maxi_hp)</f>
        <v>59.443974291396984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1.60262484058461E-2</v>
      </c>
      <c r="M142" s="832"/>
      <c r="N142" s="832"/>
      <c r="O142" s="48">
        <f>IF(t&lt;Tnet,'2020'!Resal+('2020'!Salim-'2020'!Resal)*(1-EXP(('2020'!Tnet-t)/('2020'!Tau_j))),Resal+(Salim-Resal)*(1-EXP((Tnet-t)/(Tau_j))))*Salcycl</f>
        <v>6.0089728579512149E-2</v>
      </c>
      <c r="P142" s="169">
        <f>(INDEX(Models!$BJ142:$BT142,,T142)*(1-R142)+INDEX(Models!$BJ142:$BT142,,T142+1)*R142-ERP_i)*Q142*Ramure*Pc/MaxiM</f>
        <v>7.1508324870573728E-5</v>
      </c>
      <c r="Q142" s="304">
        <f t="shared" si="27"/>
        <v>0.6</v>
      </c>
      <c r="R142" s="177">
        <f t="shared" si="28"/>
        <v>0.60102493581441663</v>
      </c>
      <c r="S142" s="799">
        <f t="shared" si="29"/>
        <v>-1</v>
      </c>
      <c r="T142" s="176">
        <f t="shared" si="30"/>
        <v>5</v>
      </c>
      <c r="U142" s="250">
        <f t="shared" si="31"/>
        <v>-0.39897506418558332</v>
      </c>
      <c r="V142" s="382">
        <f t="shared" si="32"/>
        <v>58.602789840241378</v>
      </c>
      <c r="W142" s="400"/>
      <c r="X142" s="157">
        <f t="shared" si="33"/>
        <v>44324</v>
      </c>
      <c r="Y142" s="383">
        <f t="shared" si="34"/>
        <v>54.972999999999999</v>
      </c>
      <c r="Z142" s="383">
        <f t="shared" si="35"/>
        <v>55.868360218895305</v>
      </c>
      <c r="AA142" s="384">
        <f t="shared" si="36"/>
        <v>59.440099675111924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6.0089728579512149E-2</v>
      </c>
      <c r="AD142" s="230">
        <f>(INDEX(Models!$BJ142:$BT142,,AH142)*(1-AF142)+INDEX(Models!$BJ142:$BT142,,AH142+1)*AF142-ERP_i)*AE142*Ramure*Pc/MaxiM</f>
        <v>7.1508324870573728E-5</v>
      </c>
      <c r="AE142" s="304">
        <f t="shared" si="38"/>
        <v>0.6</v>
      </c>
      <c r="AF142" s="177">
        <f t="shared" si="39"/>
        <v>0.60102493581441663</v>
      </c>
      <c r="AG142" s="799">
        <f t="shared" si="47"/>
        <v>-1</v>
      </c>
      <c r="AH142" s="176">
        <f t="shared" si="40"/>
        <v>5</v>
      </c>
      <c r="AI142" s="224">
        <f t="shared" si="41"/>
        <v>-0.39897506418558332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20.51</v>
      </c>
      <c r="C143" s="388"/>
      <c r="D143" s="391">
        <f t="shared" ref="D143:D206" si="48">Wh/(1-Ppv)</f>
        <v>20.844451433562007</v>
      </c>
      <c r="E143" s="383">
        <f t="shared" si="45"/>
        <v>22.179918437064153</v>
      </c>
      <c r="F143" s="383">
        <f t="shared" ref="F143:F206" si="49">Wh_sa/(1-Pvg*MEDIAN((-Sdif+Wh/Env_an)/Csdif,0,1))</f>
        <v>22.180030106070422</v>
      </c>
      <c r="G143" s="110">
        <f t="shared" si="46"/>
        <v>0.34960062350243903</v>
      </c>
      <c r="H143" s="412" t="b">
        <f>Wh_hp&gt;='2020'!Maxi_hp</f>
        <v>0</v>
      </c>
      <c r="I143" s="379">
        <f>IF(H143,Wh_hp,'2020'!Maxi_hp)</f>
        <v>54.519329052918785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1.6045106038314882E-2</v>
      </c>
      <c r="M143" s="832"/>
      <c r="N143" s="832"/>
      <c r="O143" s="48">
        <f>IF(t&lt;Tnet,'2020'!Resal+('2020'!Salim-'2020'!Resal)*(1-EXP(('2020'!Tnet-t)/('2020'!Tau_j))),Resal+(Salim-Resal)*(1-EXP((Tnet-t)/(Tau_j))))*Salcycl</f>
        <v>6.0210636359712223E-2</v>
      </c>
      <c r="P143" s="169">
        <f>(INDEX(Models!$BJ143:$BT143,,T143)*(1-R143)+INDEX(Models!$BJ143:$BT143,,T143+1)*R143-ERP_i)*Q143*Ramure*Pc/MaxiM</f>
        <v>7.1019804687758923E-5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0.60441854503176207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-0.39558145496823793</v>
      </c>
      <c r="V143" s="382">
        <f t="shared" ref="V143:V206" si="56">MaxiM*(1-Ppv)*(1-Pvg)*(1-Psa)</f>
        <v>58.663072257977035</v>
      </c>
      <c r="W143" s="400"/>
      <c r="X143" s="157">
        <f t="shared" ref="X143:X206" si="57">t</f>
        <v>44325</v>
      </c>
      <c r="Y143" s="383">
        <f t="shared" ref="Y143:Y206" si="58">Wh_pvt_s*(1-Ppv)</f>
        <v>20.51</v>
      </c>
      <c r="Z143" s="383">
        <f t="shared" ref="Z143:Z206" si="59">Wh_sa_s*(1-Psa_s)</f>
        <v>20.844451433562007</v>
      </c>
      <c r="AA143" s="384">
        <f t="shared" ref="AA143:AA206" si="60">Wh_hp*(1-Pvg_s*MEDIAN((-Sdif+Wh/Env_an)/Csdif,0,1))</f>
        <v>22.179918437064153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6.0210636359712223E-2</v>
      </c>
      <c r="AD143" s="230">
        <f>(INDEX(Models!$BJ143:$BT143,,AH143)*(1-AF143)+INDEX(Models!$BJ143:$BT143,,AH143+1)*AF143-ERP_i)*AE143*Ramure*Pc/MaxiM</f>
        <v>7.1019804687758923E-5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0.60441854503176207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-0.39558145496823793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39.768000000000001</v>
      </c>
      <c r="C144" s="388"/>
      <c r="D144" s="391">
        <f t="shared" si="48"/>
        <v>40.417261404263776</v>
      </c>
      <c r="E144" s="383">
        <f t="shared" ref="E144:E169" si="69">Wh_pvt/(1-Psa)</f>
        <v>43.012287977875999</v>
      </c>
      <c r="F144" s="383">
        <f t="shared" si="49"/>
        <v>43.013923740126152</v>
      </c>
      <c r="G144" s="110">
        <f t="shared" ref="G144:G169" si="70">+Wh_hp/MaxiM</f>
        <v>0.67723868392793218</v>
      </c>
      <c r="H144" s="412" t="b">
        <f>Wh_hp&gt;='2020'!Maxi_hp</f>
        <v>0</v>
      </c>
      <c r="I144" s="379">
        <f>IF(H144,Wh_hp,'2020'!Maxi_hp)</f>
        <v>51.867721466832606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1.6063963309381535E-2</v>
      </c>
      <c r="M144" s="832"/>
      <c r="N144" s="832"/>
      <c r="O144" s="48">
        <f>IF(t&lt;Tnet,'2020'!Resal+('2020'!Salim-'2020'!Resal)*(1-EXP(('2020'!Tnet-t)/('2020'!Tau_j))),Resal+(Salim-Resal)*(1-EXP((Tnet-t)/(Tau_j))))*Salcycl</f>
        <v>6.0332214248798262E-2</v>
      </c>
      <c r="P144" s="169">
        <f>(INDEX(Models!$BJ144:$BT144,,T144)*(1-R144)+INDEX(Models!$BJ144:$BT144,,T144+1)*R144-ERP_i)*Q144*Ramure*Pc/MaxiM</f>
        <v>7.0561462505994065E-5</v>
      </c>
      <c r="Q144" s="304">
        <f t="shared" si="51"/>
        <v>0.6</v>
      </c>
      <c r="R144" s="177">
        <f t="shared" si="52"/>
        <v>0.60789353857848027</v>
      </c>
      <c r="S144" s="799">
        <f t="shared" si="53"/>
        <v>-1</v>
      </c>
      <c r="T144" s="176">
        <f t="shared" si="54"/>
        <v>5</v>
      </c>
      <c r="U144" s="250">
        <f t="shared" si="55"/>
        <v>-0.39210646142151973</v>
      </c>
      <c r="V144" s="382">
        <f t="shared" si="56"/>
        <v>58.718893545780993</v>
      </c>
      <c r="W144" s="400"/>
      <c r="X144" s="157">
        <f t="shared" si="57"/>
        <v>44326</v>
      </c>
      <c r="Y144" s="383">
        <f t="shared" si="58"/>
        <v>39.768000000000001</v>
      </c>
      <c r="Z144" s="383">
        <f t="shared" si="59"/>
        <v>40.417261404263776</v>
      </c>
      <c r="AA144" s="384">
        <f t="shared" si="60"/>
        <v>43.012287977875999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6.0332214248798262E-2</v>
      </c>
      <c r="AD144" s="230">
        <f>(INDEX(Models!$BJ144:$BT144,,AH144)*(1-AF144)+INDEX(Models!$BJ144:$BT144,,AH144+1)*AF144-ERP_i)*AE144*Ramure*Pc/MaxiM</f>
        <v>7.0561462505994065E-5</v>
      </c>
      <c r="AE144" s="304">
        <f t="shared" si="62"/>
        <v>0.6</v>
      </c>
      <c r="AF144" s="177">
        <f t="shared" si="63"/>
        <v>0.60789353857848027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-0.39210646142151973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34.733000000000004</v>
      </c>
      <c r="C145" s="388"/>
      <c r="D145" s="391">
        <f t="shared" si="48"/>
        <v>35.300735380728618</v>
      </c>
      <c r="E145" s="383">
        <f t="shared" si="69"/>
        <v>37.572137799989939</v>
      </c>
      <c r="F145" s="383">
        <f t="shared" si="49"/>
        <v>37.573233222812263</v>
      </c>
      <c r="G145" s="110">
        <f t="shared" si="70"/>
        <v>0.59096792296328737</v>
      </c>
      <c r="H145" s="412" t="b">
        <f>Wh_hp&gt;='2020'!Maxi_hp</f>
        <v>0</v>
      </c>
      <c r="I145" s="379">
        <f>IF(H145,Wh_hp,'2020'!Maxi_hp)</f>
        <v>37.893036720520001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1.6082820219052829E-2</v>
      </c>
      <c r="M145" s="832"/>
      <c r="N145" s="832"/>
      <c r="O145" s="48">
        <f>IF(t&lt;Tnet,'2020'!Resal+('2020'!Salim-'2020'!Resal)*(1-EXP(('2020'!Tnet-t)/('2020'!Tau_j))),Resal+(Salim-Resal)*(1-EXP((Tnet-t)/(Tau_j))))*Salcycl</f>
        <v>6.0454436512311784E-2</v>
      </c>
      <c r="P145" s="169">
        <f>(INDEX(Models!$BJ145:$BT145,,T145)*(1-R145)+INDEX(Models!$BJ145:$BT145,,T145+1)*R145-ERP_i)*Q145*Ramure*Pc/MaxiM</f>
        <v>7.0132609104611881E-5</v>
      </c>
      <c r="Q145" s="304">
        <f t="shared" si="51"/>
        <v>0.6</v>
      </c>
      <c r="R145" s="177">
        <f t="shared" si="52"/>
        <v>0.61144983963684463</v>
      </c>
      <c r="S145" s="799">
        <f t="shared" si="53"/>
        <v>-1</v>
      </c>
      <c r="T145" s="176">
        <f t="shared" si="54"/>
        <v>5</v>
      </c>
      <c r="U145" s="250">
        <f t="shared" si="55"/>
        <v>-0.38855016036315543</v>
      </c>
      <c r="V145" s="382">
        <f t="shared" si="56"/>
        <v>58.770663027079181</v>
      </c>
      <c r="W145" s="400"/>
      <c r="X145" s="157">
        <f t="shared" si="57"/>
        <v>44327</v>
      </c>
      <c r="Y145" s="383">
        <f t="shared" si="58"/>
        <v>34.733000000000004</v>
      </c>
      <c r="Z145" s="383">
        <f t="shared" si="59"/>
        <v>35.300735380728618</v>
      </c>
      <c r="AA145" s="384">
        <f t="shared" si="60"/>
        <v>37.572137799989939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6.0454436512311784E-2</v>
      </c>
      <c r="AD145" s="230">
        <f>(INDEX(Models!$BJ145:$BT145,,AH145)*(1-AF145)+INDEX(Models!$BJ145:$BT145,,AH145+1)*AF145-ERP_i)*AE145*Ramure*Pc/MaxiM</f>
        <v>7.0132609104611881E-5</v>
      </c>
      <c r="AE145" s="304">
        <f t="shared" si="62"/>
        <v>0.6</v>
      </c>
      <c r="AF145" s="177">
        <f t="shared" si="63"/>
        <v>0.61144983963684463</v>
      </c>
      <c r="AG145" s="799">
        <f t="shared" si="71"/>
        <v>-1</v>
      </c>
      <c r="AH145" s="176">
        <f t="shared" si="64"/>
        <v>5</v>
      </c>
      <c r="AI145" s="224">
        <f t="shared" si="65"/>
        <v>-0.38855016036315543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39.957000000000001</v>
      </c>
      <c r="C146" s="388"/>
      <c r="D146" s="391">
        <f t="shared" si="48"/>
        <v>40.610903643700283</v>
      </c>
      <c r="E146" s="383">
        <f t="shared" si="69"/>
        <v>43.229637281243555</v>
      </c>
      <c r="F146" s="383">
        <f t="shared" si="49"/>
        <v>43.231270882186216</v>
      </c>
      <c r="G146" s="110">
        <f t="shared" si="70"/>
        <v>0.67930203188415628</v>
      </c>
      <c r="H146" s="412" t="b">
        <f>Wh_hp&gt;='2020'!Maxi_hp</f>
        <v>0</v>
      </c>
      <c r="I146" s="379">
        <f>IF(H146,Wh_hp,'2020'!Maxi_hp)</f>
        <v>56.127004376201441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1.610167676733576E-2</v>
      </c>
      <c r="M146" s="832"/>
      <c r="N146" s="832"/>
      <c r="O146" s="48">
        <f>IF(t&lt;Tnet,'2020'!Resal+('2020'!Salim-'2020'!Resal)*(1-EXP(('2020'!Tnet-t)/('2020'!Tau_j))),Resal+(Salim-Resal)*(1-EXP((Tnet-t)/(Tau_j))))*Salcycl</f>
        <v>6.0577275273125883E-2</v>
      </c>
      <c r="P146" s="169">
        <f>(INDEX(Models!$BJ146:$BT146,,T146)*(1-R146)+INDEX(Models!$BJ146:$BT146,,T146+1)*R146-ERP_i)*Q146*Ramure*Pc/MaxiM</f>
        <v>6.9732622072152825E-5</v>
      </c>
      <c r="Q146" s="304">
        <f t="shared" si="51"/>
        <v>0.6</v>
      </c>
      <c r="R146" s="177">
        <f t="shared" si="52"/>
        <v>0.61508722728467324</v>
      </c>
      <c r="S146" s="799">
        <f t="shared" si="53"/>
        <v>-1</v>
      </c>
      <c r="T146" s="176">
        <f t="shared" si="54"/>
        <v>5</v>
      </c>
      <c r="U146" s="250">
        <f t="shared" si="55"/>
        <v>-0.3849127727153267</v>
      </c>
      <c r="V146" s="382">
        <f t="shared" si="56"/>
        <v>58.818789940972586</v>
      </c>
      <c r="W146" s="400"/>
      <c r="X146" s="157">
        <f t="shared" si="57"/>
        <v>44328</v>
      </c>
      <c r="Y146" s="383">
        <f t="shared" si="58"/>
        <v>39.957000000000001</v>
      </c>
      <c r="Z146" s="383">
        <f t="shared" si="59"/>
        <v>40.610903643700283</v>
      </c>
      <c r="AA146" s="384">
        <f t="shared" si="60"/>
        <v>43.229637281243555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6.0577275273125883E-2</v>
      </c>
      <c r="AD146" s="230">
        <f>(INDEX(Models!$BJ146:$BT146,,AH146)*(1-AF146)+INDEX(Models!$BJ146:$BT146,,AH146+1)*AF146-ERP_i)*AE146*Ramure*Pc/MaxiM</f>
        <v>6.9732622072152825E-5</v>
      </c>
      <c r="AE146" s="304">
        <f t="shared" si="62"/>
        <v>0.6</v>
      </c>
      <c r="AF146" s="177">
        <f t="shared" si="63"/>
        <v>0.61508722728467324</v>
      </c>
      <c r="AG146" s="799">
        <f t="shared" si="71"/>
        <v>-1</v>
      </c>
      <c r="AH146" s="176">
        <f t="shared" si="64"/>
        <v>5</v>
      </c>
      <c r="AI146" s="224">
        <f t="shared" si="65"/>
        <v>-0.3849127727153267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45.34</v>
      </c>
      <c r="C147" s="388"/>
      <c r="D147" s="391">
        <f t="shared" si="48"/>
        <v>46.082880595262104</v>
      </c>
      <c r="E147" s="383">
        <f t="shared" si="69"/>
        <v>49.060912342496707</v>
      </c>
      <c r="F147" s="383">
        <f t="shared" si="49"/>
        <v>49.063198496631209</v>
      </c>
      <c r="G147" s="110">
        <f t="shared" si="70"/>
        <v>0.77023667478969304</v>
      </c>
      <c r="H147" s="412" t="b">
        <f>Wh_hp&gt;='2020'!Maxi_hp</f>
        <v>0</v>
      </c>
      <c r="I147" s="379">
        <f>IF(H147,Wh_hp,'2020'!Maxi_hp)</f>
        <v>64.735176440204555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1.612053295423721E-2</v>
      </c>
      <c r="M147" s="832"/>
      <c r="N147" s="832"/>
      <c r="O147" s="48">
        <f>IF(t&lt;Tnet,'2020'!Resal+('2020'!Salim-'2020'!Resal)*(1-EXP(('2020'!Tnet-t)/('2020'!Tau_j))),Resal+(Salim-Resal)*(1-EXP((Tnet-t)/(Tau_j))))*Salcycl</f>
        <v>6.0700700517854457E-2</v>
      </c>
      <c r="P147" s="169">
        <f>(INDEX(Models!$BJ147:$BT147,,T147)*(1-R147)+INDEX(Models!$BJ147:$BT147,,T147+1)*R147-ERP_i)*Q147*Ramure*Pc/MaxiM</f>
        <v>6.9360944429642523E-5</v>
      </c>
      <c r="Q147" s="304">
        <f t="shared" si="51"/>
        <v>0.6</v>
      </c>
      <c r="R147" s="177">
        <f t="shared" si="52"/>
        <v>0.61880533041012542</v>
      </c>
      <c r="S147" s="799">
        <f t="shared" si="53"/>
        <v>-1</v>
      </c>
      <c r="T147" s="176">
        <f t="shared" si="54"/>
        <v>5</v>
      </c>
      <c r="U147" s="250">
        <f t="shared" si="55"/>
        <v>-0.38119466958987458</v>
      </c>
      <c r="V147" s="382">
        <f t="shared" si="56"/>
        <v>58.863683434230857</v>
      </c>
      <c r="W147" s="400"/>
      <c r="X147" s="157">
        <f t="shared" si="57"/>
        <v>44329</v>
      </c>
      <c r="Y147" s="383">
        <f t="shared" si="58"/>
        <v>45.34</v>
      </c>
      <c r="Z147" s="383">
        <f t="shared" si="59"/>
        <v>46.082880595262104</v>
      </c>
      <c r="AA147" s="384">
        <f t="shared" si="60"/>
        <v>49.060912342496707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6.0700700517854457E-2</v>
      </c>
      <c r="AD147" s="230">
        <f>(INDEX(Models!$BJ147:$BT147,,AH147)*(1-AF147)+INDEX(Models!$BJ147:$BT147,,AH147+1)*AF147-ERP_i)*AE147*Ramure*Pc/MaxiM</f>
        <v>6.9360944429642523E-5</v>
      </c>
      <c r="AE147" s="304">
        <f t="shared" si="62"/>
        <v>0.6</v>
      </c>
      <c r="AF147" s="177">
        <f t="shared" si="63"/>
        <v>0.61880533041012542</v>
      </c>
      <c r="AG147" s="799">
        <f t="shared" si="71"/>
        <v>-1</v>
      </c>
      <c r="AH147" s="176">
        <f t="shared" si="64"/>
        <v>5</v>
      </c>
      <c r="AI147" s="224">
        <f t="shared" si="65"/>
        <v>-0.38119466958987458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45.313000000000002</v>
      </c>
      <c r="C148" s="388"/>
      <c r="D148" s="391">
        <f t="shared" si="48"/>
        <v>46.056320868258389</v>
      </c>
      <c r="E148" s="383">
        <f t="shared" si="69"/>
        <v>49.039108985333598</v>
      </c>
      <c r="F148" s="383">
        <f t="shared" si="49"/>
        <v>49.041377917837558</v>
      </c>
      <c r="G148" s="110">
        <f t="shared" si="70"/>
        <v>0.76922825105728787</v>
      </c>
      <c r="H148" s="412" t="b">
        <f>Wh_hp&gt;='2020'!Maxi_hp</f>
        <v>0</v>
      </c>
      <c r="I148" s="379">
        <f>IF(H148,Wh_hp,'2020'!Maxi_hp)</f>
        <v>63.17753058579234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1.6139388779764174E-2</v>
      </c>
      <c r="M148" s="832"/>
      <c r="N148" s="832"/>
      <c r="O148" s="48">
        <f>IF(t&lt;Tnet,'2020'!Resal+('2020'!Salim-'2020'!Resal)*(1-EXP(('2020'!Tnet-t)/('2020'!Tau_j))),Resal+(Salim-Resal)*(1-EXP((Tnet-t)/(Tau_j))))*Salcycl</f>
        <v>6.0824680113321081E-2</v>
      </c>
      <c r="P148" s="169">
        <f>(INDEX(Models!$BJ148:$BT148,,T148)*(1-R148)+INDEX(Models!$BJ148:$BT148,,T148+1)*R148-ERP_i)*Q148*Ramure*Pc/MaxiM</f>
        <v>6.9017083287883772E-5</v>
      </c>
      <c r="Q148" s="304">
        <f t="shared" si="51"/>
        <v>0.6</v>
      </c>
      <c r="R148" s="177">
        <f t="shared" si="52"/>
        <v>0.62260362197572783</v>
      </c>
      <c r="S148" s="799">
        <f t="shared" si="53"/>
        <v>-1</v>
      </c>
      <c r="T148" s="176">
        <f t="shared" si="54"/>
        <v>5</v>
      </c>
      <c r="U148" s="250">
        <f t="shared" si="55"/>
        <v>-0.37739637802427223</v>
      </c>
      <c r="V148" s="382">
        <f t="shared" si="56"/>
        <v>58.90575255849555</v>
      </c>
      <c r="W148" s="400"/>
      <c r="X148" s="157">
        <f t="shared" si="57"/>
        <v>44330</v>
      </c>
      <c r="Y148" s="383">
        <f t="shared" si="58"/>
        <v>45.313000000000002</v>
      </c>
      <c r="Z148" s="383">
        <f t="shared" si="59"/>
        <v>46.056320868258389</v>
      </c>
      <c r="AA148" s="384">
        <f t="shared" si="60"/>
        <v>49.039108985333598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6.0824680113321081E-2</v>
      </c>
      <c r="AD148" s="230">
        <f>(INDEX(Models!$BJ148:$BT148,,AH148)*(1-AF148)+INDEX(Models!$BJ148:$BT148,,AH148+1)*AF148-ERP_i)*AE148*Ramure*Pc/MaxiM</f>
        <v>6.9017083287883772E-5</v>
      </c>
      <c r="AE148" s="304">
        <f t="shared" si="62"/>
        <v>0.6</v>
      </c>
      <c r="AF148" s="177">
        <f t="shared" si="63"/>
        <v>0.62260362197572783</v>
      </c>
      <c r="AG148" s="799">
        <f t="shared" si="71"/>
        <v>-1</v>
      </c>
      <c r="AH148" s="176">
        <f t="shared" si="64"/>
        <v>5</v>
      </c>
      <c r="AI148" s="224">
        <f t="shared" si="65"/>
        <v>-0.37739637802427223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20.253</v>
      </c>
      <c r="C149" s="388"/>
      <c r="D149" s="391">
        <f t="shared" si="48"/>
        <v>20.585627598653495</v>
      </c>
      <c r="E149" s="383">
        <f t="shared" si="69"/>
        <v>21.921739650901497</v>
      </c>
      <c r="F149" s="383">
        <f t="shared" si="49"/>
        <v>21.921833453008379</v>
      </c>
      <c r="G149" s="110">
        <f t="shared" si="70"/>
        <v>0.34357545255383998</v>
      </c>
      <c r="H149" s="412" t="b">
        <f>Wh_hp&gt;='2020'!Maxi_hp</f>
        <v>0</v>
      </c>
      <c r="I149" s="379">
        <f>IF(H149,Wh_hp,'2020'!Maxi_hp)</f>
        <v>63.749746861981109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1.6158244243923536E-2</v>
      </c>
      <c r="M149" s="832"/>
      <c r="N149" s="832"/>
      <c r="O149" s="48">
        <f>IF(t&lt;Tnet,'2020'!Resal+('2020'!Salim-'2020'!Resal)*(1-EXP(('2020'!Tnet-t)/('2020'!Tau_j))),Resal+(Salim-Resal)*(1-EXP((Tnet-t)/(Tau_j))))*Salcycl</f>
        <v>6.0949179833592979E-2</v>
      </c>
      <c r="P149" s="169">
        <f>(INDEX(Models!$BJ149:$BT149,,T149)*(1-R149)+INDEX(Models!$BJ149:$BT149,,T149+1)*R149-ERP_i)*Q149*Ramure*Pc/MaxiM</f>
        <v>6.8702302550241771E-5</v>
      </c>
      <c r="Q149" s="304">
        <f t="shared" si="51"/>
        <v>0.6</v>
      </c>
      <c r="R149" s="177">
        <f t="shared" si="52"/>
        <v>0.62648141369076737</v>
      </c>
      <c r="S149" s="799">
        <f t="shared" si="53"/>
        <v>-1</v>
      </c>
      <c r="T149" s="176">
        <f t="shared" si="54"/>
        <v>5</v>
      </c>
      <c r="U149" s="250">
        <f t="shared" si="55"/>
        <v>-0.37351858630923263</v>
      </c>
      <c r="V149" s="382">
        <f t="shared" si="56"/>
        <v>58.943952710900945</v>
      </c>
      <c r="W149" s="400"/>
      <c r="X149" s="157">
        <f t="shared" si="57"/>
        <v>44331</v>
      </c>
      <c r="Y149" s="383">
        <f t="shared" si="58"/>
        <v>20.253</v>
      </c>
      <c r="Z149" s="383">
        <f t="shared" si="59"/>
        <v>20.585627598653495</v>
      </c>
      <c r="AA149" s="384">
        <f t="shared" si="60"/>
        <v>21.921739650901497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6.0949179833592979E-2</v>
      </c>
      <c r="AD149" s="230">
        <f>(INDEX(Models!$BJ149:$BT149,,AH149)*(1-AF149)+INDEX(Models!$BJ149:$BT149,,AH149+1)*AF149-ERP_i)*AE149*Ramure*Pc/MaxiM</f>
        <v>6.8702302550241771E-5</v>
      </c>
      <c r="AE149" s="304">
        <f t="shared" si="62"/>
        <v>0.6</v>
      </c>
      <c r="AF149" s="177">
        <f t="shared" si="63"/>
        <v>0.62648141369076737</v>
      </c>
      <c r="AG149" s="799">
        <f t="shared" si="71"/>
        <v>-1</v>
      </c>
      <c r="AH149" s="176">
        <f t="shared" si="64"/>
        <v>5</v>
      </c>
      <c r="AI149" s="224">
        <f t="shared" si="65"/>
        <v>-0.37351858630923263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12.499000000000001</v>
      </c>
      <c r="C150" s="388"/>
      <c r="D150" s="391">
        <f t="shared" si="48"/>
        <v>12.704522319718739</v>
      </c>
      <c r="E150" s="383">
        <f t="shared" si="69"/>
        <v>13.530911414363704</v>
      </c>
      <c r="F150" s="383">
        <f t="shared" si="49"/>
        <v>13.530911414363704</v>
      </c>
      <c r="G150" s="110">
        <f t="shared" si="70"/>
        <v>0.21191519776391607</v>
      </c>
      <c r="H150" s="412" t="b">
        <f>Wh_hp&gt;='2020'!Maxi_hp</f>
        <v>0</v>
      </c>
      <c r="I150" s="379">
        <f>IF(H150,Wh_hp,'2020'!Maxi_hp)</f>
        <v>54.786265720122543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1.6177099346722179E-2</v>
      </c>
      <c r="M150" s="832"/>
      <c r="N150" s="832"/>
      <c r="O150" s="48">
        <f>IF(t&lt;Tnet,'2020'!Resal+('2020'!Salim-'2020'!Resal)*(1-EXP(('2020'!Tnet-t)/('2020'!Tau_j))),Resal+(Salim-Resal)*(1-EXP((Tnet-t)/(Tau_j))))*Salcycl</f>
        <v>6.1074163398018654E-2</v>
      </c>
      <c r="P150" s="169">
        <f>(INDEX(Models!$BJ150:$BT150,,T150)*(1-R150)+INDEX(Models!$BJ150:$BT150,,T150+1)*R150-ERP_i)*Q150*Ramure*Pc/MaxiM</f>
        <v>6.8399505775228197E-5</v>
      </c>
      <c r="Q150" s="304">
        <f t="shared" si="51"/>
        <v>0.6</v>
      </c>
      <c r="R150" s="177">
        <f t="shared" si="52"/>
        <v>0.63043785115189355</v>
      </c>
      <c r="S150" s="799">
        <f t="shared" si="53"/>
        <v>-1</v>
      </c>
      <c r="T150" s="176">
        <f t="shared" si="54"/>
        <v>5</v>
      </c>
      <c r="U150" s="250">
        <f t="shared" si="55"/>
        <v>-0.36956214884810645</v>
      </c>
      <c r="V150" s="382">
        <f t="shared" si="56"/>
        <v>58.97710596717495</v>
      </c>
      <c r="W150" s="400"/>
      <c r="X150" s="157">
        <f t="shared" si="57"/>
        <v>44332</v>
      </c>
      <c r="Y150" s="383">
        <f t="shared" si="58"/>
        <v>12.499000000000001</v>
      </c>
      <c r="Z150" s="383">
        <f t="shared" si="59"/>
        <v>12.704522319718739</v>
      </c>
      <c r="AA150" s="384">
        <f t="shared" si="60"/>
        <v>13.530911414363704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6.1074163398018654E-2</v>
      </c>
      <c r="AD150" s="230">
        <f>(INDEX(Models!$BJ150:$BT150,,AH150)*(1-AF150)+INDEX(Models!$BJ150:$BT150,,AH150+1)*AF150-ERP_i)*AE150*Ramure*Pc/MaxiM</f>
        <v>6.8399505775228197E-5</v>
      </c>
      <c r="AE150" s="304">
        <f t="shared" si="62"/>
        <v>0.6</v>
      </c>
      <c r="AF150" s="177">
        <f t="shared" si="63"/>
        <v>0.63043785115189355</v>
      </c>
      <c r="AG150" s="799">
        <f t="shared" si="71"/>
        <v>-1</v>
      </c>
      <c r="AH150" s="176">
        <f t="shared" si="64"/>
        <v>5</v>
      </c>
      <c r="AI150" s="224">
        <f t="shared" si="65"/>
        <v>-0.36956214884810645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53.216000000000001</v>
      </c>
      <c r="C151" s="388"/>
      <c r="D151" s="391">
        <f t="shared" si="48"/>
        <v>54.092072726410748</v>
      </c>
      <c r="E151" s="383">
        <f t="shared" si="69"/>
        <v>57.618288504630264</v>
      </c>
      <c r="F151" s="383">
        <f t="shared" si="49"/>
        <v>57.621660324486911</v>
      </c>
      <c r="G151" s="110">
        <f t="shared" si="70"/>
        <v>0.90187460388189611</v>
      </c>
      <c r="H151" s="412" t="b">
        <f>Wh_hp&gt;='2020'!Maxi_hp</f>
        <v>1</v>
      </c>
      <c r="I151" s="379">
        <f>IF(H151,Wh_hp,'2020'!Maxi_hp)</f>
        <v>57.621660324486911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1.6195954088167097E-2</v>
      </c>
      <c r="M151" s="832"/>
      <c r="N151" s="832"/>
      <c r="O151" s="48">
        <f>IF(t&lt;Tnet,'2020'!Resal+('2020'!Salim-'2020'!Resal)*(1-EXP(('2020'!Tnet-t)/('2020'!Tau_j))),Resal+(Salim-Resal)*(1-EXP((Tnet-t)/(Tau_j))))*Salcycl</f>
        <v>6.1199592520630841E-2</v>
      </c>
      <c r="P151" s="169">
        <f>(INDEX(Models!$BJ151:$BT151,,T151)*(1-R151)+INDEX(Models!$BJ151:$BT151,,T151+1)*R151-ERP_i)*Q151*Ramure*Pc/MaxiM</f>
        <v>6.8055684922006316E-5</v>
      </c>
      <c r="Q151" s="304">
        <f t="shared" si="51"/>
        <v>0.6</v>
      </c>
      <c r="R151" s="177">
        <f t="shared" si="52"/>
        <v>0.63447190951186738</v>
      </c>
      <c r="S151" s="799">
        <f t="shared" si="53"/>
        <v>-1</v>
      </c>
      <c r="T151" s="176">
        <f t="shared" si="54"/>
        <v>5</v>
      </c>
      <c r="U151" s="250">
        <f t="shared" si="55"/>
        <v>-0.36552809048813267</v>
      </c>
      <c r="V151" s="382">
        <f t="shared" si="56"/>
        <v>59.005422822413557</v>
      </c>
      <c r="W151" s="400"/>
      <c r="X151" s="157">
        <f t="shared" si="57"/>
        <v>44333</v>
      </c>
      <c r="Y151" s="383">
        <f t="shared" si="58"/>
        <v>53.216000000000001</v>
      </c>
      <c r="Z151" s="383">
        <f t="shared" si="59"/>
        <v>54.092072726410748</v>
      </c>
      <c r="AA151" s="384">
        <f t="shared" si="60"/>
        <v>57.618288504630264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6.1199592520630841E-2</v>
      </c>
      <c r="AD151" s="230">
        <f>(INDEX(Models!$BJ151:$BT151,,AH151)*(1-AF151)+INDEX(Models!$BJ151:$BT151,,AH151+1)*AF151-ERP_i)*AE151*Ramure*Pc/MaxiM</f>
        <v>6.8055684922006316E-5</v>
      </c>
      <c r="AE151" s="304">
        <f t="shared" si="62"/>
        <v>0.6</v>
      </c>
      <c r="AF151" s="177">
        <f t="shared" si="63"/>
        <v>0.63447190951186738</v>
      </c>
      <c r="AG151" s="799">
        <f t="shared" si="71"/>
        <v>-1</v>
      </c>
      <c r="AH151" s="176">
        <f t="shared" si="64"/>
        <v>5</v>
      </c>
      <c r="AI151" s="224">
        <f t="shared" si="65"/>
        <v>-0.36552809048813267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34.317999999999998</v>
      </c>
      <c r="C152" s="388"/>
      <c r="D152" s="391">
        <f t="shared" si="48"/>
        <v>34.8836314018587</v>
      </c>
      <c r="E152" s="383">
        <f t="shared" si="69"/>
        <v>37.162646570152944</v>
      </c>
      <c r="F152" s="383">
        <f t="shared" si="49"/>
        <v>37.163657423150838</v>
      </c>
      <c r="G152" s="110">
        <f t="shared" si="70"/>
        <v>0.58135063691299049</v>
      </c>
      <c r="H152" s="412" t="b">
        <f>Wh_hp&gt;='2020'!Maxi_hp</f>
        <v>0</v>
      </c>
      <c r="I152" s="379">
        <f>IF(H152,Wh_hp,'2020'!Maxi_hp)</f>
        <v>65.112138934007149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1.6214808468265285E-2</v>
      </c>
      <c r="M152" s="832"/>
      <c r="N152" s="832"/>
      <c r="O152" s="48">
        <f>IF(t&lt;Tnet,'2020'!Resal+('2020'!Salim-'2020'!Resal)*(1-EXP(('2020'!Tnet-t)/('2020'!Tau_j))),Resal+(Salim-Resal)*(1-EXP((Tnet-t)/(Tau_j))))*Salcycl</f>
        <v>6.1325426971195023E-2</v>
      </c>
      <c r="P152" s="169">
        <f>(INDEX(Models!$BJ152:$BT152,,T152)*(1-R152)+INDEX(Models!$BJ152:$BT152,,T152+1)*R152-ERP_i)*Q152*Ramure*Pc/MaxiM</f>
        <v>6.7668005634879814E-5</v>
      </c>
      <c r="Q152" s="304">
        <f t="shared" si="51"/>
        <v>0.6</v>
      </c>
      <c r="R152" s="177">
        <f t="shared" si="52"/>
        <v>0.63858238973582448</v>
      </c>
      <c r="S152" s="799">
        <f t="shared" si="53"/>
        <v>-1</v>
      </c>
      <c r="T152" s="176">
        <f t="shared" si="54"/>
        <v>5</v>
      </c>
      <c r="U152" s="250">
        <f t="shared" si="55"/>
        <v>-0.36141761026417557</v>
      </c>
      <c r="V152" s="382">
        <f t="shared" si="56"/>
        <v>59.029110838907926</v>
      </c>
      <c r="W152" s="400"/>
      <c r="X152" s="157">
        <f t="shared" si="57"/>
        <v>44334</v>
      </c>
      <c r="Y152" s="383">
        <f t="shared" si="58"/>
        <v>34.317999999999998</v>
      </c>
      <c r="Z152" s="383">
        <f t="shared" si="59"/>
        <v>34.8836314018587</v>
      </c>
      <c r="AA152" s="384">
        <f t="shared" si="60"/>
        <v>37.162646570152944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6.1325426971195023E-2</v>
      </c>
      <c r="AD152" s="230">
        <f>(INDEX(Models!$BJ152:$BT152,,AH152)*(1-AF152)+INDEX(Models!$BJ152:$BT152,,AH152+1)*AF152-ERP_i)*AE152*Ramure*Pc/MaxiM</f>
        <v>6.7668005634879814E-5</v>
      </c>
      <c r="AE152" s="304">
        <f t="shared" si="62"/>
        <v>0.6</v>
      </c>
      <c r="AF152" s="177">
        <f t="shared" si="63"/>
        <v>0.63858238973582448</v>
      </c>
      <c r="AG152" s="799">
        <f t="shared" si="71"/>
        <v>-1</v>
      </c>
      <c r="AH152" s="176">
        <f t="shared" si="64"/>
        <v>5</v>
      </c>
      <c r="AI152" s="224">
        <f t="shared" si="65"/>
        <v>-0.36141761026417557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41.828000000000003</v>
      </c>
      <c r="C153" s="388"/>
      <c r="D153" s="391">
        <f t="shared" si="48"/>
        <v>42.518226539183921</v>
      </c>
      <c r="E153" s="383">
        <f t="shared" si="69"/>
        <v>45.302115112864428</v>
      </c>
      <c r="F153" s="383">
        <f t="shared" si="49"/>
        <v>45.303892065128075</v>
      </c>
      <c r="G153" s="110">
        <f t="shared" si="70"/>
        <v>0.70834847684958624</v>
      </c>
      <c r="H153" s="412" t="b">
        <f>Wh_hp&gt;='2020'!Maxi_hp</f>
        <v>0</v>
      </c>
      <c r="I153" s="379">
        <f>IF(H153,Wh_hp,'2020'!Maxi_hp)</f>
        <v>63.796579298765408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1.6233662487023515E-2</v>
      </c>
      <c r="M153" s="832"/>
      <c r="N153" s="832"/>
      <c r="O153" s="48">
        <f>IF(t&lt;Tnet,'2020'!Resal+('2020'!Salim-'2020'!Resal)*(1-EXP(('2020'!Tnet-t)/('2020'!Tau_j))),Resal+(Salim-Resal)*(1-EXP((Tnet-t)/(Tau_j))))*Salcycl</f>
        <v>6.1451624648094352E-2</v>
      </c>
      <c r="P153" s="169">
        <f>(INDEX(Models!$BJ153:$BT153,,T153)*(1-R153)+INDEX(Models!$BJ153:$BT153,,T153+1)*R153-ERP_i)*Q153*Ramure*Pc/MaxiM</f>
        <v>6.7233581140007303E-5</v>
      </c>
      <c r="Q153" s="304">
        <f t="shared" si="51"/>
        <v>0.6</v>
      </c>
      <c r="R153" s="177">
        <f t="shared" si="52"/>
        <v>0.64276791550312096</v>
      </c>
      <c r="S153" s="799">
        <f t="shared" si="53"/>
        <v>-1</v>
      </c>
      <c r="T153" s="176">
        <f t="shared" si="54"/>
        <v>5</v>
      </c>
      <c r="U153" s="250">
        <f t="shared" si="55"/>
        <v>-0.3572320844968791</v>
      </c>
      <c r="V153" s="382">
        <f t="shared" si="56"/>
        <v>59.048377588617974</v>
      </c>
      <c r="W153" s="400"/>
      <c r="X153" s="157">
        <f t="shared" si="57"/>
        <v>44335</v>
      </c>
      <c r="Y153" s="383">
        <f t="shared" si="58"/>
        <v>41.828000000000003</v>
      </c>
      <c r="Z153" s="383">
        <f t="shared" si="59"/>
        <v>42.518226539183921</v>
      </c>
      <c r="AA153" s="384">
        <f t="shared" si="60"/>
        <v>45.302115112864428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6.1451624648094352E-2</v>
      </c>
      <c r="AD153" s="230">
        <f>(INDEX(Models!$BJ153:$BT153,,AH153)*(1-AF153)+INDEX(Models!$BJ153:$BT153,,AH153+1)*AF153-ERP_i)*AE153*Ramure*Pc/MaxiM</f>
        <v>6.7233581140007303E-5</v>
      </c>
      <c r="AE153" s="304">
        <f t="shared" si="62"/>
        <v>0.6</v>
      </c>
      <c r="AF153" s="177">
        <f t="shared" si="63"/>
        <v>0.64276791550312096</v>
      </c>
      <c r="AG153" s="799">
        <f t="shared" si="71"/>
        <v>-1</v>
      </c>
      <c r="AH153" s="176">
        <f t="shared" si="64"/>
        <v>5</v>
      </c>
      <c r="AI153" s="224">
        <f t="shared" si="65"/>
        <v>-0.3572320844968791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58.438000000000002</v>
      </c>
      <c r="C154" s="388"/>
      <c r="D154" s="391">
        <f t="shared" si="48"/>
        <v>59.403455621524884</v>
      </c>
      <c r="E154" s="383">
        <f t="shared" si="69"/>
        <v>63.301440704721593</v>
      </c>
      <c r="F154" s="383">
        <f t="shared" si="49"/>
        <v>63.305602398396879</v>
      </c>
      <c r="G154" s="110">
        <f t="shared" si="70"/>
        <v>0.98940986574140355</v>
      </c>
      <c r="H154" s="412" t="b">
        <f>Wh_hp&gt;='2020'!Maxi_hp</f>
        <v>1</v>
      </c>
      <c r="I154" s="379">
        <f>IF(H154,Wh_hp,'2020'!Maxi_hp)</f>
        <v>63.305602398396879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1.6252516144448781E-2</v>
      </c>
      <c r="M154" s="832"/>
      <c r="N154" s="832"/>
      <c r="O154" s="48">
        <f>IF(t&lt;Tnet,'2020'!Resal+('2020'!Salim-'2020'!Resal)*(1-EXP(('2020'!Tnet-t)/('2020'!Tau_j))),Resal+(Salim-Resal)*(1-EXP((Tnet-t)/(Tau_j))))*Salcycl</f>
        <v>6.1578141663148019E-2</v>
      </c>
      <c r="P154" s="169">
        <f>(INDEX(Models!$BJ154:$BT154,,T154)*(1-R154)+INDEX(Models!$BJ154:$BT154,,T154+1)*R154-ERP_i)*Q154*Ramure*Pc/MaxiM</f>
        <v>6.6749479156718799E-5</v>
      </c>
      <c r="Q154" s="304">
        <f t="shared" si="51"/>
        <v>0.6</v>
      </c>
      <c r="R154" s="177">
        <f t="shared" si="52"/>
        <v>0.64702693081078155</v>
      </c>
      <c r="S154" s="799">
        <f t="shared" si="53"/>
        <v>-1</v>
      </c>
      <c r="T154" s="176">
        <f t="shared" si="54"/>
        <v>5</v>
      </c>
      <c r="U154" s="250">
        <f t="shared" si="55"/>
        <v>-0.35297306918921845</v>
      </c>
      <c r="V154" s="382">
        <f t="shared" si="56"/>
        <v>59.063430649177782</v>
      </c>
      <c r="W154" s="400"/>
      <c r="X154" s="157">
        <f t="shared" si="57"/>
        <v>44336</v>
      </c>
      <c r="Y154" s="383">
        <f t="shared" si="58"/>
        <v>58.438000000000002</v>
      </c>
      <c r="Z154" s="383">
        <f t="shared" si="59"/>
        <v>59.403455621524884</v>
      </c>
      <c r="AA154" s="384">
        <f t="shared" si="60"/>
        <v>63.301440704721593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6.1578141663148019E-2</v>
      </c>
      <c r="AD154" s="230">
        <f>(INDEX(Models!$BJ154:$BT154,,AH154)*(1-AF154)+INDEX(Models!$BJ154:$BT154,,AH154+1)*AF154-ERP_i)*AE154*Ramure*Pc/MaxiM</f>
        <v>6.6749479156718799E-5</v>
      </c>
      <c r="AE154" s="304">
        <f t="shared" si="62"/>
        <v>0.6</v>
      </c>
      <c r="AF154" s="177">
        <f t="shared" si="63"/>
        <v>0.64702693081078155</v>
      </c>
      <c r="AG154" s="799">
        <f t="shared" si="71"/>
        <v>-1</v>
      </c>
      <c r="AH154" s="176">
        <f t="shared" si="64"/>
        <v>5</v>
      </c>
      <c r="AI154" s="224">
        <f t="shared" si="65"/>
        <v>-0.35297306918921845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37.959000000000003</v>
      </c>
      <c r="C155" s="388"/>
      <c r="D155" s="391">
        <f t="shared" si="48"/>
        <v>38.586861072054504</v>
      </c>
      <c r="E155" s="383">
        <f t="shared" si="69"/>
        <v>41.124441986390032</v>
      </c>
      <c r="F155" s="383">
        <f t="shared" si="49"/>
        <v>41.125774575981914</v>
      </c>
      <c r="G155" s="110">
        <f t="shared" si="70"/>
        <v>0.64254002931104948</v>
      </c>
      <c r="H155" s="412" t="b">
        <f>Wh_hp&gt;='2020'!Maxi_hp</f>
        <v>0</v>
      </c>
      <c r="I155" s="379">
        <f>IF(H155,Wh_hp,'2020'!Maxi_hp)</f>
        <v>61.653025263591708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1.6271369440547967E-2</v>
      </c>
      <c r="M155" s="832"/>
      <c r="N155" s="832"/>
      <c r="O155" s="48">
        <f>IF(t&lt;Tnet,'2020'!Resal+('2020'!Salim-'2020'!Resal)*(1-EXP(('2020'!Tnet-t)/('2020'!Tau_j))),Resal+(Salim-Resal)*(1-EXP((Tnet-t)/(Tau_j))))*Salcycl</f>
        <v>6.1704932438361844E-2</v>
      </c>
      <c r="P155" s="169">
        <f>(INDEX(Models!$BJ155:$BT155,,T155)*(1-R155)+INDEX(Models!$BJ155:$BT155,,T155+1)*R155-ERP_i)*Q155*Ramure*Pc/MaxiM</f>
        <v>6.6212729513217219E-5</v>
      </c>
      <c r="Q155" s="304">
        <f t="shared" si="51"/>
        <v>0.6</v>
      </c>
      <c r="R155" s="177">
        <f t="shared" si="52"/>
        <v>0.65135769833172441</v>
      </c>
      <c r="S155" s="799">
        <f t="shared" si="53"/>
        <v>-1</v>
      </c>
      <c r="T155" s="176">
        <f t="shared" si="54"/>
        <v>5</v>
      </c>
      <c r="U155" s="250">
        <f t="shared" si="55"/>
        <v>-0.34864230166827559</v>
      </c>
      <c r="V155" s="382">
        <f t="shared" si="56"/>
        <v>59.074477596971192</v>
      </c>
      <c r="W155" s="400"/>
      <c r="X155" s="157">
        <f t="shared" si="57"/>
        <v>44337</v>
      </c>
      <c r="Y155" s="383">
        <f t="shared" si="58"/>
        <v>37.959000000000003</v>
      </c>
      <c r="Z155" s="383">
        <f t="shared" si="59"/>
        <v>38.586861072054504</v>
      </c>
      <c r="AA155" s="384">
        <f t="shared" si="60"/>
        <v>41.124441986390032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6.1704932438361844E-2</v>
      </c>
      <c r="AD155" s="230">
        <f>(INDEX(Models!$BJ155:$BT155,,AH155)*(1-AF155)+INDEX(Models!$BJ155:$BT155,,AH155+1)*AF155-ERP_i)*AE155*Ramure*Pc/MaxiM</f>
        <v>6.6212729513217219E-5</v>
      </c>
      <c r="AE155" s="304">
        <f t="shared" si="62"/>
        <v>0.6</v>
      </c>
      <c r="AF155" s="177">
        <f t="shared" si="63"/>
        <v>0.65135769833172441</v>
      </c>
      <c r="AG155" s="799">
        <f t="shared" si="71"/>
        <v>-1</v>
      </c>
      <c r="AH155" s="176">
        <f t="shared" si="64"/>
        <v>5</v>
      </c>
      <c r="AI155" s="224">
        <f t="shared" si="65"/>
        <v>-0.34864230166827559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28.629000000000001</v>
      </c>
      <c r="C156" s="388"/>
      <c r="D156" s="391">
        <f t="shared" si="48"/>
        <v>29.103095904088097</v>
      </c>
      <c r="E156" s="383">
        <f t="shared" si="69"/>
        <v>31.021197000189773</v>
      </c>
      <c r="F156" s="383">
        <f t="shared" si="49"/>
        <v>31.021734028347286</v>
      </c>
      <c r="G156" s="110">
        <f t="shared" si="70"/>
        <v>0.48454266453846051</v>
      </c>
      <c r="H156" s="412" t="b">
        <f>Wh_hp&gt;='2020'!Maxi_hp</f>
        <v>0</v>
      </c>
      <c r="I156" s="379">
        <f>IF(H156,Wh_hp,'2020'!Maxi_hp)</f>
        <v>60.757180610940942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1.6290222375328067E-2</v>
      </c>
      <c r="M156" s="832"/>
      <c r="N156" s="832"/>
      <c r="O156" s="48">
        <f>IF(t&lt;Tnet,'2020'!Resal+('2020'!Salim-'2020'!Resal)*(1-EXP(('2020'!Tnet-t)/('2020'!Tau_j))),Resal+(Salim-Resal)*(1-EXP((Tnet-t)/(Tau_j))))*Salcycl</f>
        <v>6.1831949814507188E-2</v>
      </c>
      <c r="P156" s="169">
        <f>(INDEX(Models!$BJ156:$BT156,,T156)*(1-R156)+INDEX(Models!$BJ156:$BT156,,T156+1)*R156-ERP_i)*Q156*Ramure*Pc/MaxiM</f>
        <v>6.565640695747859E-5</v>
      </c>
      <c r="Q156" s="304">
        <f t="shared" si="51"/>
        <v>0.6</v>
      </c>
      <c r="R156" s="177">
        <f t="shared" si="52"/>
        <v>0.65575829857728007</v>
      </c>
      <c r="S156" s="799">
        <f t="shared" si="53"/>
        <v>-1</v>
      </c>
      <c r="T156" s="176">
        <f t="shared" si="54"/>
        <v>5</v>
      </c>
      <c r="U156" s="250">
        <f t="shared" si="55"/>
        <v>-0.34424170142271998</v>
      </c>
      <c r="V156" s="382">
        <f t="shared" si="56"/>
        <v>59.08172386167422</v>
      </c>
      <c r="W156" s="400"/>
      <c r="X156" s="157">
        <f t="shared" si="57"/>
        <v>44338</v>
      </c>
      <c r="Y156" s="383">
        <f t="shared" si="58"/>
        <v>28.629000000000001</v>
      </c>
      <c r="Z156" s="383">
        <f t="shared" si="59"/>
        <v>29.103095904088097</v>
      </c>
      <c r="AA156" s="384">
        <f t="shared" si="60"/>
        <v>31.021197000189773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6.1831949814507188E-2</v>
      </c>
      <c r="AD156" s="230">
        <f>(INDEX(Models!$BJ156:$BT156,,AH156)*(1-AF156)+INDEX(Models!$BJ156:$BT156,,AH156+1)*AF156-ERP_i)*AE156*Ramure*Pc/MaxiM</f>
        <v>6.565640695747859E-5</v>
      </c>
      <c r="AE156" s="304">
        <f t="shared" si="62"/>
        <v>0.6</v>
      </c>
      <c r="AF156" s="177">
        <f t="shared" si="63"/>
        <v>0.65575829857728007</v>
      </c>
      <c r="AG156" s="799">
        <f t="shared" si="71"/>
        <v>-1</v>
      </c>
      <c r="AH156" s="176">
        <f t="shared" si="64"/>
        <v>5</v>
      </c>
      <c r="AI156" s="224">
        <f t="shared" si="65"/>
        <v>-0.34424170142271998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37.012</v>
      </c>
      <c r="C157" s="388"/>
      <c r="D157" s="391">
        <f t="shared" si="48"/>
        <v>37.625639372522841</v>
      </c>
      <c r="E157" s="383">
        <f t="shared" si="69"/>
        <v>40.110874892964695</v>
      </c>
      <c r="F157" s="383">
        <f t="shared" si="49"/>
        <v>40.112092418011876</v>
      </c>
      <c r="G157" s="110">
        <f t="shared" si="70"/>
        <v>0.62639381573873265</v>
      </c>
      <c r="H157" s="412" t="b">
        <f>Wh_hp&gt;='2020'!Maxi_hp</f>
        <v>0</v>
      </c>
      <c r="I157" s="379">
        <f>IF(H157,Wh_hp,'2020'!Maxi_hp)</f>
        <v>57.940082195716684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1.6309074948795965E-2</v>
      </c>
      <c r="M157" s="832"/>
      <c r="N157" s="832"/>
      <c r="O157" s="48">
        <f>IF(t&lt;Tnet,'2020'!Resal+('2020'!Salim-'2020'!Resal)*(1-EXP(('2020'!Tnet-t)/('2020'!Tau_j))),Resal+(Salim-Resal)*(1-EXP((Tnet-t)/(Tau_j))))*Salcycl</f>
        <v>6.1959145171320007E-2</v>
      </c>
      <c r="P157" s="169">
        <f>(INDEX(Models!$BJ157:$BT157,,T157)*(1-R157)+INDEX(Models!$BJ157:$BT157,,T157+1)*R157-ERP_i)*Q157*Ramure*Pc/MaxiM</f>
        <v>6.5092319976612771E-5</v>
      </c>
      <c r="Q157" s="304">
        <f t="shared" si="51"/>
        <v>0.6</v>
      </c>
      <c r="R157" s="177">
        <f t="shared" si="52"/>
        <v>0.66022662990905234</v>
      </c>
      <c r="S157" s="799">
        <f t="shared" si="53"/>
        <v>-1</v>
      </c>
      <c r="T157" s="176">
        <f t="shared" si="54"/>
        <v>5</v>
      </c>
      <c r="U157" s="250">
        <f t="shared" si="55"/>
        <v>-0.33977337009094766</v>
      </c>
      <c r="V157" s="382">
        <f t="shared" si="56"/>
        <v>59.085376103385357</v>
      </c>
      <c r="W157" s="400"/>
      <c r="X157" s="157">
        <f t="shared" si="57"/>
        <v>44339</v>
      </c>
      <c r="Y157" s="383">
        <f t="shared" si="58"/>
        <v>37.012</v>
      </c>
      <c r="Z157" s="383">
        <f t="shared" si="59"/>
        <v>37.625639372522841</v>
      </c>
      <c r="AA157" s="384">
        <f t="shared" si="60"/>
        <v>40.110874892964695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6.1959145171320007E-2</v>
      </c>
      <c r="AD157" s="230">
        <f>(INDEX(Models!$BJ157:$BT157,,AH157)*(1-AF157)+INDEX(Models!$BJ157:$BT157,,AH157+1)*AF157-ERP_i)*AE157*Ramure*Pc/MaxiM</f>
        <v>6.5092319976612771E-5</v>
      </c>
      <c r="AE157" s="304">
        <f t="shared" si="62"/>
        <v>0.6</v>
      </c>
      <c r="AF157" s="177">
        <f t="shared" si="63"/>
        <v>0.66022662990905234</v>
      </c>
      <c r="AG157" s="799">
        <f t="shared" si="71"/>
        <v>-1</v>
      </c>
      <c r="AH157" s="176">
        <f t="shared" si="64"/>
        <v>5</v>
      </c>
      <c r="AI157" s="224">
        <f t="shared" si="65"/>
        <v>-0.33977337009094766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25.271000000000001</v>
      </c>
      <c r="C158" s="388"/>
      <c r="D158" s="391">
        <f t="shared" si="48"/>
        <v>25.690472158128561</v>
      </c>
      <c r="E158" s="383">
        <f t="shared" si="69"/>
        <v>27.391088087468098</v>
      </c>
      <c r="F158" s="383">
        <f t="shared" si="49"/>
        <v>27.39141049073487</v>
      </c>
      <c r="G158" s="110">
        <f t="shared" si="70"/>
        <v>0.42767864117606702</v>
      </c>
      <c r="H158" s="412" t="b">
        <f>Wh_hp&gt;='2020'!Maxi_hp</f>
        <v>1</v>
      </c>
      <c r="I158" s="379">
        <f>IF(H158,Wh_hp,'2020'!Maxi_hp)</f>
        <v>27.39141049073487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1.6327927160958655E-2</v>
      </c>
      <c r="M158" s="832"/>
      <c r="N158" s="832"/>
      <c r="O158" s="48">
        <f>IF(t&lt;Tnet,'2020'!Resal+('2020'!Salim-'2020'!Resal)*(1-EXP(('2020'!Tnet-t)/('2020'!Tau_j))),Resal+(Salim-Resal)*(1-EXP((Tnet-t)/(Tau_j))))*Salcycl</f>
        <v>6.2086468559005466E-2</v>
      </c>
      <c r="P158" s="169">
        <f>(INDEX(Models!$BJ158:$BT158,,T158)*(1-R158)+INDEX(Models!$BJ158:$BT158,,T158+1)*R158-ERP_i)*Q158*Ramure*Pc/MaxiM</f>
        <v>6.4519068945863663E-5</v>
      </c>
      <c r="Q158" s="304">
        <f t="shared" si="51"/>
        <v>0.6</v>
      </c>
      <c r="R158" s="177">
        <f t="shared" si="52"/>
        <v>0.66476040943988191</v>
      </c>
      <c r="S158" s="799">
        <f t="shared" si="53"/>
        <v>-1</v>
      </c>
      <c r="T158" s="176">
        <f t="shared" si="54"/>
        <v>5</v>
      </c>
      <c r="U158" s="250">
        <f t="shared" si="55"/>
        <v>-0.33523959056011809</v>
      </c>
      <c r="V158" s="382">
        <f t="shared" si="56"/>
        <v>59.085641730838965</v>
      </c>
      <c r="W158" s="400"/>
      <c r="X158" s="157">
        <f t="shared" si="57"/>
        <v>44340</v>
      </c>
      <c r="Y158" s="383">
        <f t="shared" si="58"/>
        <v>25.271000000000001</v>
      </c>
      <c r="Z158" s="383">
        <f t="shared" si="59"/>
        <v>25.690472158128561</v>
      </c>
      <c r="AA158" s="384">
        <f t="shared" si="60"/>
        <v>27.391088087468098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6.2086468559005466E-2</v>
      </c>
      <c r="AD158" s="230">
        <f>(INDEX(Models!$BJ158:$BT158,,AH158)*(1-AF158)+INDEX(Models!$BJ158:$BT158,,AH158+1)*AF158-ERP_i)*AE158*Ramure*Pc/MaxiM</f>
        <v>6.4519068945863663E-5</v>
      </c>
      <c r="AE158" s="304">
        <f t="shared" si="62"/>
        <v>0.6</v>
      </c>
      <c r="AF158" s="177">
        <f t="shared" si="63"/>
        <v>0.66476040943988191</v>
      </c>
      <c r="AG158" s="799">
        <f t="shared" si="71"/>
        <v>-1</v>
      </c>
      <c r="AH158" s="176">
        <f t="shared" si="64"/>
        <v>5</v>
      </c>
      <c r="AI158" s="224">
        <f t="shared" si="65"/>
        <v>-0.33523959056011809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47.018999999999998</v>
      </c>
      <c r="C159" s="388"/>
      <c r="D159" s="391">
        <f t="shared" si="48"/>
        <v>47.800382285908398</v>
      </c>
      <c r="E159" s="383">
        <f t="shared" si="69"/>
        <v>50.971517596249136</v>
      </c>
      <c r="F159" s="383">
        <f t="shared" si="49"/>
        <v>50.97382600869669</v>
      </c>
      <c r="G159" s="110">
        <f t="shared" si="70"/>
        <v>0.79580149074182027</v>
      </c>
      <c r="H159" s="412" t="b">
        <f>Wh_hp&gt;='2020'!Maxi_hp</f>
        <v>0</v>
      </c>
      <c r="I159" s="379">
        <f>IF(H159,Wh_hp,'2020'!Maxi_hp)</f>
        <v>59.825577923222795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1.6346779011822909E-2</v>
      </c>
      <c r="M159" s="832"/>
      <c r="N159" s="832"/>
      <c r="O159" s="48">
        <f>IF(t&lt;Tnet,'2020'!Resal+('2020'!Salim-'2020'!Resal)*(1-EXP(('2020'!Tnet-t)/('2020'!Tau_j))),Resal+(Salim-Resal)*(1-EXP((Tnet-t)/(Tau_j))))*Salcycl</f>
        <v>6.2213868840626609E-2</v>
      </c>
      <c r="P159" s="169">
        <f>(INDEX(Models!$BJ159:$BT159,,T159)*(1-R159)+INDEX(Models!$BJ159:$BT159,,T159+1)*R159-ERP_i)*Q159*Ramure*Pc/MaxiM</f>
        <v>6.3935694384045194E-5</v>
      </c>
      <c r="Q159" s="304">
        <f t="shared" si="51"/>
        <v>0.6</v>
      </c>
      <c r="R159" s="177">
        <f t="shared" si="52"/>
        <v>0.66935717485759894</v>
      </c>
      <c r="S159" s="799">
        <f t="shared" si="53"/>
        <v>-1</v>
      </c>
      <c r="T159" s="176">
        <f t="shared" si="54"/>
        <v>5</v>
      </c>
      <c r="U159" s="250">
        <f t="shared" si="55"/>
        <v>-0.33064282514240106</v>
      </c>
      <c r="V159" s="382">
        <f t="shared" si="56"/>
        <v>59.082728077486934</v>
      </c>
      <c r="W159" s="400"/>
      <c r="X159" s="157">
        <f t="shared" si="57"/>
        <v>44341</v>
      </c>
      <c r="Y159" s="383">
        <f t="shared" si="58"/>
        <v>47.018999999999998</v>
      </c>
      <c r="Z159" s="383">
        <f t="shared" si="59"/>
        <v>47.800382285908398</v>
      </c>
      <c r="AA159" s="384">
        <f t="shared" si="60"/>
        <v>50.971517596249136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6.2213868840626609E-2</v>
      </c>
      <c r="AD159" s="230">
        <f>(INDEX(Models!$BJ159:$BT159,,AH159)*(1-AF159)+INDEX(Models!$BJ159:$BT159,,AH159+1)*AF159-ERP_i)*AE159*Ramure*Pc/MaxiM</f>
        <v>6.3935694384045194E-5</v>
      </c>
      <c r="AE159" s="304">
        <f t="shared" si="62"/>
        <v>0.6</v>
      </c>
      <c r="AF159" s="177">
        <f t="shared" si="63"/>
        <v>0.66935717485759894</v>
      </c>
      <c r="AG159" s="799">
        <f t="shared" si="71"/>
        <v>-1</v>
      </c>
      <c r="AH159" s="176">
        <f t="shared" si="64"/>
        <v>5</v>
      </c>
      <c r="AI159" s="224">
        <f t="shared" si="65"/>
        <v>-0.33064282514240106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51.469000000000001</v>
      </c>
      <c r="C160" s="388"/>
      <c r="D160" s="391">
        <f t="shared" si="48"/>
        <v>52.325337133385965</v>
      </c>
      <c r="E160" s="383">
        <f t="shared" si="69"/>
        <v>55.804246033127455</v>
      </c>
      <c r="F160" s="383">
        <f t="shared" si="49"/>
        <v>55.807130614860817</v>
      </c>
      <c r="G160" s="110">
        <f t="shared" si="70"/>
        <v>0.87121108879218201</v>
      </c>
      <c r="H160" s="412" t="b">
        <f>Wh_hp&gt;='2020'!Maxi_hp</f>
        <v>0</v>
      </c>
      <c r="I160" s="379">
        <f>IF(H160,Wh_hp,'2020'!Maxi_hp)</f>
        <v>62.596709791929555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1.6365630501395834E-2</v>
      </c>
      <c r="M160" s="832"/>
      <c r="N160" s="832"/>
      <c r="O160" s="48">
        <f>IF(t&lt;Tnet,'2020'!Resal+('2020'!Salim-'2020'!Resal)*(1-EXP(('2020'!Tnet-t)/('2020'!Tau_j))),Resal+(Salim-Resal)*(1-EXP((Tnet-t)/(Tau_j))))*Salcycl</f>
        <v>6.2341293844849752E-2</v>
      </c>
      <c r="P160" s="169">
        <f>(INDEX(Models!$BJ160:$BT160,,T160)*(1-R160)+INDEX(Models!$BJ160:$BT160,,T160+1)*R160-ERP_i)*Q160*Ramure*Pc/MaxiM</f>
        <v>6.3341281676138539E-5</v>
      </c>
      <c r="Q160" s="304">
        <f t="shared" si="51"/>
        <v>0.6</v>
      </c>
      <c r="R160" s="177">
        <f t="shared" si="52"/>
        <v>0.67401428719843126</v>
      </c>
      <c r="S160" s="799">
        <f t="shared" si="53"/>
        <v>-1</v>
      </c>
      <c r="T160" s="176">
        <f t="shared" si="54"/>
        <v>5</v>
      </c>
      <c r="U160" s="250">
        <f t="shared" si="55"/>
        <v>-0.32598571280156874</v>
      </c>
      <c r="V160" s="382">
        <f t="shared" si="56"/>
        <v>59.076842420122986</v>
      </c>
      <c r="W160" s="400"/>
      <c r="X160" s="157">
        <f t="shared" si="57"/>
        <v>44342</v>
      </c>
      <c r="Y160" s="383">
        <f t="shared" si="58"/>
        <v>51.469000000000001</v>
      </c>
      <c r="Z160" s="383">
        <f t="shared" si="59"/>
        <v>52.325337133385965</v>
      </c>
      <c r="AA160" s="384">
        <f t="shared" si="60"/>
        <v>55.804246033127455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6.2341293844849752E-2</v>
      </c>
      <c r="AD160" s="230">
        <f>(INDEX(Models!$BJ160:$BT160,,AH160)*(1-AF160)+INDEX(Models!$BJ160:$BT160,,AH160+1)*AF160-ERP_i)*AE160*Ramure*Pc/MaxiM</f>
        <v>6.3341281676138539E-5</v>
      </c>
      <c r="AE160" s="304">
        <f t="shared" si="62"/>
        <v>0.6</v>
      </c>
      <c r="AF160" s="177">
        <f t="shared" si="63"/>
        <v>0.67401428719843126</v>
      </c>
      <c r="AG160" s="799">
        <f t="shared" si="71"/>
        <v>-1</v>
      </c>
      <c r="AH160" s="176">
        <f t="shared" si="64"/>
        <v>5</v>
      </c>
      <c r="AI160" s="224">
        <f t="shared" si="65"/>
        <v>-0.32598571280156874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57.25</v>
      </c>
      <c r="C161" s="388"/>
      <c r="D161" s="391">
        <f t="shared" si="48"/>
        <v>58.203636411566123</v>
      </c>
      <c r="E161" s="383">
        <f t="shared" si="69"/>
        <v>62.08180550724331</v>
      </c>
      <c r="F161" s="383">
        <f t="shared" si="49"/>
        <v>62.08552916804603</v>
      </c>
      <c r="G161" s="110">
        <f t="shared" si="70"/>
        <v>0.96921609000700759</v>
      </c>
      <c r="H161" s="412" t="b">
        <f>Wh_hp&gt;='2020'!Maxi_hp</f>
        <v>0</v>
      </c>
      <c r="I161" s="379">
        <f>IF(H161,Wh_hp,'2020'!Maxi_hp)</f>
        <v>62.270971233570506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1.63844816296842E-2</v>
      </c>
      <c r="M161" s="832"/>
      <c r="N161" s="832"/>
      <c r="O161" s="48">
        <f>IF(t&lt;Tnet,'2020'!Resal+('2020'!Salim-'2020'!Resal)*(1-EXP(('2020'!Tnet-t)/('2020'!Tau_j))),Resal+(Salim-Resal)*(1-EXP((Tnet-t)/(Tau_j))))*Salcycl</f>
        <v>6.2468690528414257E-2</v>
      </c>
      <c r="P161" s="169">
        <f>(INDEX(Models!$BJ161:$BT161,,T161)*(1-R161)+INDEX(Models!$BJ161:$BT161,,T161+1)*R161-ERP_i)*Q161*Ramure*Pc/MaxiM</f>
        <v>6.2734964517547264E-5</v>
      </c>
      <c r="Q161" s="304">
        <f t="shared" si="51"/>
        <v>0.6</v>
      </c>
      <c r="R161" s="177">
        <f t="shared" si="52"/>
        <v>0.6787289345894072</v>
      </c>
      <c r="S161" s="799">
        <f t="shared" si="53"/>
        <v>-1</v>
      </c>
      <c r="T161" s="176">
        <f t="shared" si="54"/>
        <v>5</v>
      </c>
      <c r="U161" s="250">
        <f t="shared" si="55"/>
        <v>-0.32127106541059286</v>
      </c>
      <c r="V161" s="382">
        <f t="shared" si="56"/>
        <v>59.068191962240277</v>
      </c>
      <c r="W161" s="400"/>
      <c r="X161" s="157">
        <f t="shared" si="57"/>
        <v>44343</v>
      </c>
      <c r="Y161" s="383">
        <f t="shared" si="58"/>
        <v>57.25</v>
      </c>
      <c r="Z161" s="383">
        <f t="shared" si="59"/>
        <v>58.203636411566123</v>
      </c>
      <c r="AA161" s="384">
        <f t="shared" si="60"/>
        <v>62.08180550724331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6.2468690528414257E-2</v>
      </c>
      <c r="AD161" s="230">
        <f>(INDEX(Models!$BJ161:$BT161,,AH161)*(1-AF161)+INDEX(Models!$BJ161:$BT161,,AH161+1)*AF161-ERP_i)*AE161*Ramure*Pc/MaxiM</f>
        <v>6.2734964517547264E-5</v>
      </c>
      <c r="AE161" s="304">
        <f t="shared" si="62"/>
        <v>0.6</v>
      </c>
      <c r="AF161" s="177">
        <f t="shared" si="63"/>
        <v>0.6787289345894072</v>
      </c>
      <c r="AG161" s="799">
        <f t="shared" si="71"/>
        <v>-1</v>
      </c>
      <c r="AH161" s="176">
        <f t="shared" si="64"/>
        <v>5</v>
      </c>
      <c r="AI161" s="224">
        <f t="shared" si="65"/>
        <v>-0.32127106541059286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48.933999999999997</v>
      </c>
      <c r="C162" s="388"/>
      <c r="D162" s="391">
        <f t="shared" si="48"/>
        <v>49.750066883853655</v>
      </c>
      <c r="E162" s="383">
        <f t="shared" si="69"/>
        <v>53.072172891354882</v>
      </c>
      <c r="F162" s="383">
        <f t="shared" si="49"/>
        <v>53.074662383489581</v>
      </c>
      <c r="G162" s="110">
        <f t="shared" si="70"/>
        <v>0.82857695211943261</v>
      </c>
      <c r="H162" s="412" t="b">
        <f>Wh_hp&gt;='2020'!Maxi_hp</f>
        <v>0</v>
      </c>
      <c r="I162" s="379">
        <f>IF(H162,Wh_hp,'2020'!Maxi_hp)</f>
        <v>61.405954695216622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1.6403332396695003E-2</v>
      </c>
      <c r="M162" s="832"/>
      <c r="N162" s="832"/>
      <c r="O162" s="48">
        <f>IF(t&lt;Tnet,'2020'!Resal+('2020'!Salim-'2020'!Resal)*(1-EXP(('2020'!Tnet-t)/('2020'!Tau_j))),Resal+(Salim-Resal)*(1-EXP((Tnet-t)/(Tau_j))))*Salcycl</f>
        <v>6.2596005147593614E-2</v>
      </c>
      <c r="P162" s="169">
        <f>(INDEX(Models!$BJ162:$BT162,,T162)*(1-R162)+INDEX(Models!$BJ162:$BT162,,T162+1)*R162-ERP_i)*Q162*Ramure*Pc/MaxiM</f>
        <v>6.2115928353821602E-5</v>
      </c>
      <c r="Q162" s="304">
        <f t="shared" si="51"/>
        <v>0.6</v>
      </c>
      <c r="R162" s="177">
        <f t="shared" si="52"/>
        <v>0.68349813697094952</v>
      </c>
      <c r="S162" s="799">
        <f t="shared" si="53"/>
        <v>-1</v>
      </c>
      <c r="T162" s="176">
        <f t="shared" si="54"/>
        <v>5</v>
      </c>
      <c r="U162" s="250">
        <f t="shared" si="55"/>
        <v>-0.31650186302905048</v>
      </c>
      <c r="V162" s="382">
        <f t="shared" si="56"/>
        <v>59.05698382206819</v>
      </c>
      <c r="W162" s="400"/>
      <c r="X162" s="157">
        <f t="shared" si="57"/>
        <v>44344</v>
      </c>
      <c r="Y162" s="383">
        <f t="shared" si="58"/>
        <v>48.933999999999997</v>
      </c>
      <c r="Z162" s="383">
        <f t="shared" si="59"/>
        <v>49.750066883853655</v>
      </c>
      <c r="AA162" s="384">
        <f t="shared" si="60"/>
        <v>53.072172891354882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6.2596005147593614E-2</v>
      </c>
      <c r="AD162" s="230">
        <f>(INDEX(Models!$BJ162:$BT162,,AH162)*(1-AF162)+INDEX(Models!$BJ162:$BT162,,AH162+1)*AF162-ERP_i)*AE162*Ramure*Pc/MaxiM</f>
        <v>6.2115928353821602E-5</v>
      </c>
      <c r="AE162" s="304">
        <f t="shared" si="62"/>
        <v>0.6</v>
      </c>
      <c r="AF162" s="177">
        <f t="shared" si="63"/>
        <v>0.68349813697094952</v>
      </c>
      <c r="AG162" s="799">
        <f t="shared" si="71"/>
        <v>-1</v>
      </c>
      <c r="AH162" s="176">
        <f t="shared" si="64"/>
        <v>5</v>
      </c>
      <c r="AI162" s="224">
        <f t="shared" si="65"/>
        <v>-0.31650186302905048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35.186</v>
      </c>
      <c r="C163" s="388"/>
      <c r="D163" s="391">
        <f t="shared" si="48"/>
        <v>35.773478605132489</v>
      </c>
      <c r="E163" s="383">
        <f t="shared" si="69"/>
        <v>38.167463414218659</v>
      </c>
      <c r="F163" s="383">
        <f t="shared" si="49"/>
        <v>38.168455594126087</v>
      </c>
      <c r="G163" s="110">
        <f t="shared" si="70"/>
        <v>0.59592707138195833</v>
      </c>
      <c r="H163" s="412" t="b">
        <f>Wh_hp&gt;='2020'!Maxi_hp</f>
        <v>0</v>
      </c>
      <c r="I163" s="379">
        <f>IF(H163,Wh_hp,'2020'!Maxi_hp)</f>
        <v>61.390556895613145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1.6422182802435126E-2</v>
      </c>
      <c r="M163" s="832"/>
      <c r="N163" s="832"/>
      <c r="O163" s="48">
        <f>IF(t&lt;Tnet,'2020'!Resal+('2020'!Salim-'2020'!Resal)*(1-EXP(('2020'!Tnet-t)/('2020'!Tau_j))),Resal+(Salim-Resal)*(1-EXP((Tnet-t)/(Tau_j))))*Salcycl</f>
        <v>6.2723183437816021E-2</v>
      </c>
      <c r="P163" s="169">
        <f>(INDEX(Models!$BJ163:$BT163,,T163)*(1-R163)+INDEX(Models!$BJ163:$BT163,,T163+1)*R163-ERP_i)*Q163*Ramure*Pc/MaxiM</f>
        <v>6.1484853843113356E-5</v>
      </c>
      <c r="Q163" s="304">
        <f t="shared" si="51"/>
        <v>0.6</v>
      </c>
      <c r="R163" s="177">
        <f t="shared" si="52"/>
        <v>0.6883187518021715</v>
      </c>
      <c r="S163" s="799">
        <f t="shared" si="53"/>
        <v>-1</v>
      </c>
      <c r="T163" s="176">
        <f t="shared" si="54"/>
        <v>5</v>
      </c>
      <c r="U163" s="250">
        <f t="shared" si="55"/>
        <v>-0.3116812481978285</v>
      </c>
      <c r="V163" s="382">
        <f t="shared" si="56"/>
        <v>59.042042059881773</v>
      </c>
      <c r="W163" s="400"/>
      <c r="X163" s="157">
        <f t="shared" si="57"/>
        <v>44345</v>
      </c>
      <c r="Y163" s="383">
        <f t="shared" si="58"/>
        <v>35.186</v>
      </c>
      <c r="Z163" s="383">
        <f t="shared" si="59"/>
        <v>35.773478605132489</v>
      </c>
      <c r="AA163" s="384">
        <f t="shared" si="60"/>
        <v>38.167463414218659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6.2723183437816021E-2</v>
      </c>
      <c r="AD163" s="230">
        <f>(INDEX(Models!$BJ163:$BT163,,AH163)*(1-AF163)+INDEX(Models!$BJ163:$BT163,,AH163+1)*AF163-ERP_i)*AE163*Ramure*Pc/MaxiM</f>
        <v>6.1484853843113356E-5</v>
      </c>
      <c r="AE163" s="304">
        <f t="shared" si="62"/>
        <v>0.6</v>
      </c>
      <c r="AF163" s="177">
        <f t="shared" si="63"/>
        <v>0.6883187518021715</v>
      </c>
      <c r="AG163" s="799">
        <f t="shared" si="71"/>
        <v>-1</v>
      </c>
      <c r="AH163" s="176">
        <f t="shared" si="64"/>
        <v>5</v>
      </c>
      <c r="AI163" s="224">
        <f t="shared" si="65"/>
        <v>-0.3116812481978285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51.204000000000001</v>
      </c>
      <c r="C164" s="388"/>
      <c r="D164" s="391">
        <f t="shared" si="48"/>
        <v>52.059918835583375</v>
      </c>
      <c r="E164" s="383">
        <f t="shared" si="69"/>
        <v>55.551329374998005</v>
      </c>
      <c r="F164" s="383">
        <f t="shared" si="49"/>
        <v>55.554070156156676</v>
      </c>
      <c r="G164" s="110">
        <f t="shared" si="70"/>
        <v>0.86752613647265753</v>
      </c>
      <c r="H164" s="412" t="b">
        <f>Wh_hp&gt;='2020'!Maxi_hp</f>
        <v>0</v>
      </c>
      <c r="I164" s="379">
        <f>IF(H164,Wh_hp,'2020'!Maxi_hp)</f>
        <v>59.25879141798292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1.6441032846911563E-2</v>
      </c>
      <c r="M164" s="832"/>
      <c r="N164" s="832"/>
      <c r="O164" s="48">
        <f>IF(t&lt;Tnet,'2020'!Resal+('2020'!Salim-'2020'!Resal)*(1-EXP(('2020'!Tnet-t)/('2020'!Tau_j))),Resal+(Salim-Resal)*(1-EXP((Tnet-t)/(Tau_j))))*Salcycl</f>
        <v>6.2850170800521105E-2</v>
      </c>
      <c r="P164" s="169">
        <f>(INDEX(Models!$BJ164:$BT164,,T164)*(1-R164)+INDEX(Models!$BJ164:$BT164,,T164+1)*R164-ERP_i)*Q164*Ramure*Pc/MaxiM</f>
        <v>6.085033946326488E-5</v>
      </c>
      <c r="Q164" s="304">
        <f t="shared" si="51"/>
        <v>0.6</v>
      </c>
      <c r="R164" s="177">
        <f t="shared" si="52"/>
        <v>0.69318748074225911</v>
      </c>
      <c r="S164" s="799">
        <f t="shared" si="53"/>
        <v>-1</v>
      </c>
      <c r="T164" s="176">
        <f t="shared" si="54"/>
        <v>5</v>
      </c>
      <c r="U164" s="250">
        <f t="shared" si="55"/>
        <v>-0.30681251925774095</v>
      </c>
      <c r="V164" s="382">
        <f t="shared" si="56"/>
        <v>59.022325906069682</v>
      </c>
      <c r="W164" s="400"/>
      <c r="X164" s="157">
        <f t="shared" si="57"/>
        <v>44346</v>
      </c>
      <c r="Y164" s="383">
        <f t="shared" si="58"/>
        <v>51.204000000000001</v>
      </c>
      <c r="Z164" s="383">
        <f t="shared" si="59"/>
        <v>52.059918835583375</v>
      </c>
      <c r="AA164" s="384">
        <f t="shared" si="60"/>
        <v>55.551329374998005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6.2850170800521105E-2</v>
      </c>
      <c r="AD164" s="230">
        <f>(INDEX(Models!$BJ164:$BT164,,AH164)*(1-AF164)+INDEX(Models!$BJ164:$BT164,,AH164+1)*AF164-ERP_i)*AE164*Ramure*Pc/MaxiM</f>
        <v>6.085033946326488E-5</v>
      </c>
      <c r="AE164" s="304">
        <f t="shared" si="62"/>
        <v>0.6</v>
      </c>
      <c r="AF164" s="177">
        <f t="shared" si="63"/>
        <v>0.69318748074225911</v>
      </c>
      <c r="AG164" s="799">
        <f t="shared" si="71"/>
        <v>-1</v>
      </c>
      <c r="AH164" s="176">
        <f t="shared" si="64"/>
        <v>5</v>
      </c>
      <c r="AI164" s="224">
        <f t="shared" si="65"/>
        <v>-0.30681251925774095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55.63</v>
      </c>
      <c r="C165" s="388"/>
      <c r="D165" s="391">
        <f t="shared" si="48"/>
        <v>56.560987205185612</v>
      </c>
      <c r="E165" s="383">
        <f t="shared" si="69"/>
        <v>60.362426454042684</v>
      </c>
      <c r="F165" s="383">
        <f t="shared" si="49"/>
        <v>60.365765977315824</v>
      </c>
      <c r="G165" s="110">
        <f t="shared" si="70"/>
        <v>0.9429047814215763</v>
      </c>
      <c r="H165" s="412" t="b">
        <f>Wh_hp&gt;='2020'!Maxi_hp</f>
        <v>0</v>
      </c>
      <c r="I165" s="379">
        <f>IF(H165,Wh_hp,'2020'!Maxi_hp)</f>
        <v>62.682352866116169</v>
      </c>
      <c r="J165" s="85">
        <f>IF(H165,An,'2020'!An_max)</f>
        <v>2018</v>
      </c>
      <c r="K165" s="197">
        <f t="shared" si="50"/>
        <v>44347</v>
      </c>
      <c r="L165" s="147">
        <f>IF(t&lt;Tvie,1-EXP((T0-t)*PertePVj)+'2020'!Pspv,1-EXP((T0-t)*PertePVj)+Pspv)</f>
        <v>1.6459882530131198E-2</v>
      </c>
      <c r="M165" s="832"/>
      <c r="N165" s="832"/>
      <c r="O165" s="48">
        <f>IF(t&lt;Tnet,'2020'!Resal+('2020'!Salim-'2020'!Resal)*(1-EXP(('2020'!Tnet-t)/('2020'!Tau_j))),Resal+(Salim-Resal)*(1-EXP((Tnet-t)/(Tau_j))))*Salcycl</f>
        <v>6.2976912496241683E-2</v>
      </c>
      <c r="P165" s="169">
        <f>(INDEX(Models!$BJ165:$BT165,,T165)*(1-R165)+INDEX(Models!$BJ165:$BT165,,T165+1)*R165-ERP_i)*Q165*Ramure*Pc/MaxiM</f>
        <v>6.0234042872787771E-5</v>
      </c>
      <c r="Q165" s="304">
        <f t="shared" si="51"/>
        <v>0.6</v>
      </c>
      <c r="R165" s="177">
        <f t="shared" si="52"/>
        <v>0.69810087729188575</v>
      </c>
      <c r="S165" s="799">
        <f t="shared" si="53"/>
        <v>-1</v>
      </c>
      <c r="T165" s="176">
        <f t="shared" si="54"/>
        <v>5</v>
      </c>
      <c r="U165" s="250">
        <f t="shared" si="55"/>
        <v>-0.30189912270811425</v>
      </c>
      <c r="V165" s="382">
        <f t="shared" si="56"/>
        <v>58.998244356036032</v>
      </c>
      <c r="W165" s="400"/>
      <c r="X165" s="157">
        <f t="shared" si="57"/>
        <v>44347</v>
      </c>
      <c r="Y165" s="383">
        <f t="shared" si="58"/>
        <v>55.63</v>
      </c>
      <c r="Z165" s="383">
        <f t="shared" si="59"/>
        <v>56.560987205185612</v>
      </c>
      <c r="AA165" s="384">
        <f t="shared" si="60"/>
        <v>60.362426454042684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6.2976912496241683E-2</v>
      </c>
      <c r="AD165" s="230">
        <f>(INDEX(Models!$BJ165:$BT165,,AH165)*(1-AF165)+INDEX(Models!$BJ165:$BT165,,AH165+1)*AF165-ERP_i)*AE165*Ramure*Pc/MaxiM</f>
        <v>6.0234042872787771E-5</v>
      </c>
      <c r="AE165" s="304">
        <f t="shared" si="62"/>
        <v>0.6</v>
      </c>
      <c r="AF165" s="177">
        <f t="shared" si="63"/>
        <v>0.69810087729188575</v>
      </c>
      <c r="AG165" s="799">
        <f t="shared" si="71"/>
        <v>-1</v>
      </c>
      <c r="AH165" s="176">
        <f t="shared" si="64"/>
        <v>5</v>
      </c>
      <c r="AI165" s="224">
        <f t="shared" si="65"/>
        <v>-0.30189912270811425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34.822000000000003</v>
      </c>
      <c r="C166" s="388"/>
      <c r="D166" s="391">
        <f t="shared" si="48"/>
        <v>35.405436697443712</v>
      </c>
      <c r="E166" s="383">
        <f t="shared" si="69"/>
        <v>37.790120012345419</v>
      </c>
      <c r="F166" s="383">
        <f t="shared" si="49"/>
        <v>37.791055309445241</v>
      </c>
      <c r="G166" s="110">
        <f t="shared" si="70"/>
        <v>0.59048096769097014</v>
      </c>
      <c r="H166" s="412" t="b">
        <f>Wh_hp&gt;='2020'!Maxi_hp</f>
        <v>0</v>
      </c>
      <c r="I166" s="379">
        <f>IF(H166,Wh_hp,'2020'!Maxi_hp)</f>
        <v>63.124729427681508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1.6478731852101025E-2</v>
      </c>
      <c r="M166" s="832"/>
      <c r="N166" s="832"/>
      <c r="O166" s="48">
        <f>IF(t&lt;Tnet,'2020'!Resal+('2020'!Salim-'2020'!Resal)*(1-EXP(('2020'!Tnet-t)/('2020'!Tau_j))),Resal+(Salim-Resal)*(1-EXP((Tnet-t)/(Tau_j))))*Salcycl</f>
        <v>6.3103353842821105E-2</v>
      </c>
      <c r="P166" s="169">
        <f>(INDEX(Models!$BJ166:$BT166,,T166)*(1-R166)+INDEX(Models!$BJ166:$BT166,,T166+1)*R166-ERP_i)*Q166*Ramure*Pc/MaxiM</f>
        <v>5.9636222382430853E-5</v>
      </c>
      <c r="Q166" s="304">
        <f t="shared" si="51"/>
        <v>0.6</v>
      </c>
      <c r="R166" s="177">
        <f t="shared" si="52"/>
        <v>0.70305535536896802</v>
      </c>
      <c r="S166" s="799">
        <f t="shared" si="53"/>
        <v>-1</v>
      </c>
      <c r="T166" s="176">
        <f t="shared" si="54"/>
        <v>5</v>
      </c>
      <c r="U166" s="250">
        <f t="shared" si="55"/>
        <v>-0.29694464463103193</v>
      </c>
      <c r="V166" s="382">
        <f t="shared" si="56"/>
        <v>58.970207404005642</v>
      </c>
      <c r="W166" s="400"/>
      <c r="X166" s="157">
        <f t="shared" si="57"/>
        <v>44348</v>
      </c>
      <c r="Y166" s="383">
        <f t="shared" si="58"/>
        <v>34.822000000000003</v>
      </c>
      <c r="Z166" s="383">
        <f t="shared" si="59"/>
        <v>35.405436697443712</v>
      </c>
      <c r="AA166" s="384">
        <f t="shared" si="60"/>
        <v>37.790120012345419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6.3103353842821105E-2</v>
      </c>
      <c r="AD166" s="230">
        <f>(INDEX(Models!$BJ166:$BT166,,AH166)*(1-AF166)+INDEX(Models!$BJ166:$BT166,,AH166+1)*AF166-ERP_i)*AE166*Ramure*Pc/MaxiM</f>
        <v>5.9636222382430853E-5</v>
      </c>
      <c r="AE166" s="304">
        <f t="shared" si="62"/>
        <v>0.6</v>
      </c>
      <c r="AF166" s="177">
        <f t="shared" si="63"/>
        <v>0.70305535536896802</v>
      </c>
      <c r="AG166" s="799">
        <f t="shared" si="71"/>
        <v>-1</v>
      </c>
      <c r="AH166" s="176">
        <f t="shared" si="64"/>
        <v>5</v>
      </c>
      <c r="AI166" s="224">
        <f t="shared" si="65"/>
        <v>-0.29694464463103193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46.097999999999999</v>
      </c>
      <c r="C167" s="388"/>
      <c r="D167" s="391">
        <f t="shared" si="48"/>
        <v>46.871262439901535</v>
      </c>
      <c r="E167" s="383">
        <f t="shared" si="69"/>
        <v>50.034943946996307</v>
      </c>
      <c r="F167" s="383">
        <f t="shared" si="49"/>
        <v>50.036979279185566</v>
      </c>
      <c r="G167" s="110">
        <f t="shared" si="70"/>
        <v>0.78212128020551319</v>
      </c>
      <c r="H167" s="412" t="b">
        <f>Wh_hp&gt;='2020'!Maxi_hp</f>
        <v>0</v>
      </c>
      <c r="I167" s="379">
        <f>IF(H167,Wh_hp,'2020'!Maxi_hp)</f>
        <v>62.353294055215706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1.6497580812827817E-2</v>
      </c>
      <c r="M167" s="832"/>
      <c r="N167" s="832"/>
      <c r="O167" s="48">
        <f>IF(t&lt;Tnet,'2020'!Resal+('2020'!Salim-'2020'!Resal)*(1-EXP(('2020'!Tnet-t)/('2020'!Tau_j))),Resal+(Salim-Resal)*(1-EXP((Tnet-t)/(Tau_j))))*Salcycl</f>
        <v>6.3229440417604227E-2</v>
      </c>
      <c r="P167" s="169">
        <f>(INDEX(Models!$BJ167:$BT167,,T167)*(1-R167)+INDEX(Models!$BJ167:$BT167,,T167+1)*R167-ERP_i)*Q167*Ramure*Pc/MaxiM</f>
        <v>5.9057220888745419E-5</v>
      </c>
      <c r="Q167" s="304">
        <f t="shared" si="51"/>
        <v>0.6</v>
      </c>
      <c r="R167" s="177">
        <f t="shared" si="52"/>
        <v>0.70804719878338063</v>
      </c>
      <c r="S167" s="799">
        <f t="shared" si="53"/>
        <v>-1</v>
      </c>
      <c r="T167" s="176">
        <f t="shared" si="54"/>
        <v>5</v>
      </c>
      <c r="U167" s="250">
        <f t="shared" si="55"/>
        <v>-0.29195280121661937</v>
      </c>
      <c r="V167" s="382">
        <f t="shared" si="56"/>
        <v>58.938624763814119</v>
      </c>
      <c r="W167" s="400"/>
      <c r="X167" s="157">
        <f t="shared" si="57"/>
        <v>44349</v>
      </c>
      <c r="Y167" s="383">
        <f t="shared" si="58"/>
        <v>46.097999999999999</v>
      </c>
      <c r="Z167" s="383">
        <f t="shared" si="59"/>
        <v>46.871262439901535</v>
      </c>
      <c r="AA167" s="384">
        <f t="shared" si="60"/>
        <v>50.034943946996307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6.3229440417604227E-2</v>
      </c>
      <c r="AD167" s="230">
        <f>(INDEX(Models!$BJ167:$BT167,,AH167)*(1-AF167)+INDEX(Models!$BJ167:$BT167,,AH167+1)*AF167-ERP_i)*AE167*Ramure*Pc/MaxiM</f>
        <v>5.9057220888745419E-5</v>
      </c>
      <c r="AE167" s="304">
        <f t="shared" si="62"/>
        <v>0.6</v>
      </c>
      <c r="AF167" s="177">
        <f t="shared" si="63"/>
        <v>0.70804719878338063</v>
      </c>
      <c r="AG167" s="799">
        <f t="shared" si="71"/>
        <v>-1</v>
      </c>
      <c r="AH167" s="176">
        <f t="shared" si="64"/>
        <v>5</v>
      </c>
      <c r="AI167" s="224">
        <f t="shared" si="65"/>
        <v>-0.29195280121661937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52.896999999999998</v>
      </c>
      <c r="C168" s="388"/>
      <c r="D168" s="391">
        <f t="shared" si="48"/>
        <v>53.785341801278236</v>
      </c>
      <c r="E168" s="383">
        <f t="shared" si="69"/>
        <v>57.423408647147099</v>
      </c>
      <c r="F168" s="383">
        <f t="shared" si="49"/>
        <v>57.426278547295738</v>
      </c>
      <c r="G168" s="110">
        <f t="shared" si="70"/>
        <v>0.89801428983945919</v>
      </c>
      <c r="H168" s="412" t="b">
        <f>Wh_hp&gt;='2020'!Maxi_hp</f>
        <v>1</v>
      </c>
      <c r="I168" s="379">
        <f>IF(H168,Wh_hp,'2020'!Maxi_hp)</f>
        <v>57.426278547295738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1.6516429412318567E-2</v>
      </c>
      <c r="M168" s="832"/>
      <c r="N168" s="832"/>
      <c r="O168" s="48">
        <f>IF(t&lt;Tnet,'2020'!Resal+('2020'!Salim-'2020'!Resal)*(1-EXP(('2020'!Tnet-t)/('2020'!Tau_j))),Resal+(Salim-Resal)*(1-EXP((Tnet-t)/(Tau_j))))*Salcycl</f>
        <v>6.3355118262377885E-2</v>
      </c>
      <c r="P168" s="169">
        <f>(INDEX(Models!$BJ168:$BT168,,T168)*(1-R168)+INDEX(Models!$BJ168:$BT168,,T168+1)*R168-ERP_i)*Q168*Ramure*Pc/MaxiM</f>
        <v>5.8497463314114402E-5</v>
      </c>
      <c r="Q168" s="304">
        <f t="shared" si="51"/>
        <v>0.6</v>
      </c>
      <c r="R168" s="177">
        <f t="shared" si="52"/>
        <v>0.71307257156565251</v>
      </c>
      <c r="S168" s="799">
        <f t="shared" si="53"/>
        <v>-1</v>
      </c>
      <c r="T168" s="176">
        <f t="shared" si="54"/>
        <v>5</v>
      </c>
      <c r="U168" s="250">
        <f t="shared" si="55"/>
        <v>-0.28692742843434749</v>
      </c>
      <c r="V168" s="382">
        <f t="shared" si="56"/>
        <v>58.903905854702565</v>
      </c>
      <c r="W168" s="400"/>
      <c r="X168" s="157">
        <f t="shared" si="57"/>
        <v>44350</v>
      </c>
      <c r="Y168" s="383">
        <f t="shared" si="58"/>
        <v>52.896999999999998</v>
      </c>
      <c r="Z168" s="383">
        <f t="shared" si="59"/>
        <v>53.785341801278236</v>
      </c>
      <c r="AA168" s="384">
        <f t="shared" si="60"/>
        <v>57.423408647147099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6.3355118262377885E-2</v>
      </c>
      <c r="AD168" s="230">
        <f>(INDEX(Models!$BJ168:$BT168,,AH168)*(1-AF168)+INDEX(Models!$BJ168:$BT168,,AH168+1)*AF168-ERP_i)*AE168*Ramure*Pc/MaxiM</f>
        <v>5.8497463314114402E-5</v>
      </c>
      <c r="AE168" s="304">
        <f t="shared" si="62"/>
        <v>0.6</v>
      </c>
      <c r="AF168" s="177">
        <f t="shared" si="63"/>
        <v>0.71307257156565251</v>
      </c>
      <c r="AG168" s="799">
        <f t="shared" si="71"/>
        <v>-1</v>
      </c>
      <c r="AH168" s="176">
        <f t="shared" si="64"/>
        <v>5</v>
      </c>
      <c r="AI168" s="224">
        <f t="shared" si="65"/>
        <v>-0.28692742843434749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7.5250000000000004</v>
      </c>
      <c r="C169" s="388"/>
      <c r="D169" s="391">
        <f t="shared" si="48"/>
        <v>7.651520007777572</v>
      </c>
      <c r="E169" s="383">
        <f t="shared" si="69"/>
        <v>8.170164798772225</v>
      </c>
      <c r="F169" s="383">
        <f t="shared" si="49"/>
        <v>8.170164798772225</v>
      </c>
      <c r="G169" s="110">
        <f t="shared" si="70"/>
        <v>0.1278242975290004</v>
      </c>
      <c r="H169" s="412" t="b">
        <f>Wh_hp&gt;='2020'!Maxi_hp</f>
        <v>0</v>
      </c>
      <c r="I169" s="379">
        <f>IF(H169,Wh_hp,'2020'!Maxi_hp)</f>
        <v>57.206955445857666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1.653527765058016E-2</v>
      </c>
      <c r="M169" s="832"/>
      <c r="N169" s="832"/>
      <c r="O169" s="48">
        <f>IF(t&lt;Tnet,'2020'!Resal+('2020'!Salim-'2020'!Resal)*(1-EXP(('2020'!Tnet-t)/('2020'!Tau_j))),Resal+(Salim-Resal)*(1-EXP((Tnet-t)/(Tau_j))))*Salcycl</f>
        <v>6.3480334089783957E-2</v>
      </c>
      <c r="P169" s="169">
        <f>(INDEX(Models!$BJ169:$BT169,,T169)*(1-R169)+INDEX(Models!$BJ169:$BT169,,T169+1)*R169-ERP_i)*Q169*Ramure*Pc/MaxiM</f>
        <v>5.7957453732727654E-5</v>
      </c>
      <c r="Q169" s="304">
        <f t="shared" si="51"/>
        <v>0.6</v>
      </c>
      <c r="R169" s="177">
        <f t="shared" si="52"/>
        <v>0.7181275290953123</v>
      </c>
      <c r="S169" s="799">
        <f t="shared" si="53"/>
        <v>-1</v>
      </c>
      <c r="T169" s="176">
        <f t="shared" si="54"/>
        <v>5</v>
      </c>
      <c r="U169" s="250">
        <f t="shared" si="55"/>
        <v>-0.2818724709046877</v>
      </c>
      <c r="V169" s="382">
        <f t="shared" si="56"/>
        <v>58.866459785969177</v>
      </c>
      <c r="W169" s="400"/>
      <c r="X169" s="157">
        <f t="shared" si="57"/>
        <v>44351</v>
      </c>
      <c r="Y169" s="383">
        <f t="shared" si="58"/>
        <v>7.5250000000000004</v>
      </c>
      <c r="Z169" s="383">
        <f t="shared" si="59"/>
        <v>7.651520007777572</v>
      </c>
      <c r="AA169" s="384">
        <f t="shared" si="60"/>
        <v>8.170164798772225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6.3480334089783957E-2</v>
      </c>
      <c r="AD169" s="230">
        <f>(INDEX(Models!$BJ169:$BT169,,AH169)*(1-AF169)+INDEX(Models!$BJ169:$BT169,,AH169+1)*AF169-ERP_i)*AE169*Ramure*Pc/MaxiM</f>
        <v>5.7957453732727654E-5</v>
      </c>
      <c r="AE169" s="304">
        <f t="shared" si="62"/>
        <v>0.6</v>
      </c>
      <c r="AF169" s="177">
        <f t="shared" si="63"/>
        <v>0.7181275290953123</v>
      </c>
      <c r="AG169" s="799">
        <f t="shared" si="71"/>
        <v>-1</v>
      </c>
      <c r="AH169" s="176">
        <f t="shared" si="64"/>
        <v>5</v>
      </c>
      <c r="AI169" s="224">
        <f t="shared" si="65"/>
        <v>-0.2818724709046877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41.901000000000003</v>
      </c>
      <c r="C170" s="388"/>
      <c r="D170" s="391">
        <f t="shared" si="48"/>
        <v>42.606310207442718</v>
      </c>
      <c r="E170" s="383">
        <f t="shared" ref="E170:E232" si="72">Wh_pvt/(1-Psa)</f>
        <v>45.50036237084278</v>
      </c>
      <c r="F170" s="383">
        <f t="shared" si="49"/>
        <v>45.501902889660293</v>
      </c>
      <c r="G170" s="110">
        <f t="shared" ref="G170:G232" si="73">+Wh_hp/MaxiM</f>
        <v>0.71226186723119644</v>
      </c>
      <c r="H170" s="412" t="b">
        <f>Wh_hp&gt;='2020'!Maxi_hp</f>
        <v>1</v>
      </c>
      <c r="I170" s="379">
        <f>IF(H170,Wh_hp,'2020'!Maxi_hp)</f>
        <v>45.501902889660293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1.6554125527619701E-2</v>
      </c>
      <c r="M170" s="832"/>
      <c r="N170" s="832"/>
      <c r="O170" s="48">
        <f>IF(t&lt;Tnet,'2020'!Resal+('2020'!Salim-'2020'!Resal)*(1-EXP(('2020'!Tnet-t)/('2020'!Tau_j))),Resal+(Salim-Resal)*(1-EXP((Tnet-t)/(Tau_j))))*Salcycl</f>
        <v>6.3605035489884512E-2</v>
      </c>
      <c r="P170" s="169">
        <f>(INDEX(Models!$BJ170:$BT170,,T170)*(1-R170)+INDEX(Models!$BJ170:$BT170,,T170+1)*R170-ERP_i)*Q170*Ramure*Pc/MaxiM</f>
        <v>5.7483684010744426E-5</v>
      </c>
      <c r="Q170" s="304">
        <f t="shared" si="51"/>
        <v>0.6</v>
      </c>
      <c r="R170" s="177">
        <f t="shared" si="52"/>
        <v>0.72320802996558431</v>
      </c>
      <c r="S170" s="799">
        <f t="shared" si="53"/>
        <v>-1</v>
      </c>
      <c r="T170" s="176">
        <f t="shared" si="54"/>
        <v>5</v>
      </c>
      <c r="U170" s="250">
        <f t="shared" si="55"/>
        <v>-0.27679197003441569</v>
      </c>
      <c r="V170" s="382">
        <f t="shared" si="56"/>
        <v>58.826692648393283</v>
      </c>
      <c r="W170" s="400"/>
      <c r="X170" s="157">
        <f t="shared" si="57"/>
        <v>44352</v>
      </c>
      <c r="Y170" s="383">
        <f t="shared" si="58"/>
        <v>41.901000000000003</v>
      </c>
      <c r="Z170" s="383">
        <f t="shared" si="59"/>
        <v>42.606310207442718</v>
      </c>
      <c r="AA170" s="384">
        <f t="shared" si="60"/>
        <v>45.50036237084278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6.3605035489884512E-2</v>
      </c>
      <c r="AD170" s="230">
        <f>(INDEX(Models!$BJ170:$BT170,,AH170)*(1-AF170)+INDEX(Models!$BJ170:$BT170,,AH170+1)*AF170-ERP_i)*AE170*Ramure*Pc/MaxiM</f>
        <v>5.7483684010744426E-5</v>
      </c>
      <c r="AE170" s="304">
        <f t="shared" si="62"/>
        <v>0.6</v>
      </c>
      <c r="AF170" s="177">
        <f t="shared" si="63"/>
        <v>0.72320802996558431</v>
      </c>
      <c r="AG170" s="799">
        <f t="shared" si="71"/>
        <v>-1</v>
      </c>
      <c r="AH170" s="176">
        <f t="shared" si="64"/>
        <v>5</v>
      </c>
      <c r="AI170" s="224">
        <f t="shared" si="65"/>
        <v>-0.27679197003441569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43.980000000000004</v>
      </c>
      <c r="C171" s="388"/>
      <c r="D171" s="391">
        <f t="shared" si="48"/>
        <v>44.721162622616092</v>
      </c>
      <c r="E171" s="383">
        <f t="shared" si="72"/>
        <v>47.765199175173329</v>
      </c>
      <c r="F171" s="383">
        <f t="shared" si="49"/>
        <v>47.766943372630493</v>
      </c>
      <c r="G171" s="110">
        <f t="shared" si="73"/>
        <v>0.74813448997694509</v>
      </c>
      <c r="H171" s="412" t="b">
        <f>Wh_hp&gt;='2020'!Maxi_hp</f>
        <v>0</v>
      </c>
      <c r="I171" s="379">
        <f>IF(H171,Wh_hp,'2020'!Maxi_hp)</f>
        <v>58.87079114151684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1.657297304344385E-2</v>
      </c>
      <c r="M171" s="832"/>
      <c r="N171" s="832"/>
      <c r="O171" s="48">
        <f>IF(t&lt;Tnet,'2020'!Resal+('2020'!Salim-'2020'!Resal)*(1-EXP(('2020'!Tnet-t)/('2020'!Tau_j))),Resal+(Salim-Resal)*(1-EXP((Tnet-t)/(Tau_j))))*Salcycl</f>
        <v>6.3729171135528728E-2</v>
      </c>
      <c r="P171" s="169">
        <f>(INDEX(Models!$BJ171:$BT171,,T171)*(1-R171)+INDEX(Models!$BJ171:$BT171,,T171+1)*R171-ERP_i)*Q171*Ramure*Pc/MaxiM</f>
        <v>5.7035202655007093E-5</v>
      </c>
      <c r="Q171" s="304">
        <f t="shared" si="51"/>
        <v>0.6</v>
      </c>
      <c r="R171" s="177">
        <f t="shared" si="52"/>
        <v>0.72830994851272424</v>
      </c>
      <c r="S171" s="799">
        <f t="shared" si="53"/>
        <v>-1</v>
      </c>
      <c r="T171" s="176">
        <f t="shared" si="54"/>
        <v>5</v>
      </c>
      <c r="U171" s="250">
        <f t="shared" si="55"/>
        <v>-0.27169005148727576</v>
      </c>
      <c r="V171" s="382">
        <f t="shared" si="56"/>
        <v>58.785015349842325</v>
      </c>
      <c r="W171" s="400"/>
      <c r="X171" s="157">
        <f t="shared" si="57"/>
        <v>44353</v>
      </c>
      <c r="Y171" s="383">
        <f t="shared" si="58"/>
        <v>43.980000000000004</v>
      </c>
      <c r="Z171" s="383">
        <f t="shared" si="59"/>
        <v>44.721162622616092</v>
      </c>
      <c r="AA171" s="384">
        <f t="shared" si="60"/>
        <v>47.765199175173329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6.3729171135528728E-2</v>
      </c>
      <c r="AD171" s="230">
        <f>(INDEX(Models!$BJ171:$BT171,,AH171)*(1-AF171)+INDEX(Models!$BJ171:$BT171,,AH171+1)*AF171-ERP_i)*AE171*Ramure*Pc/MaxiM</f>
        <v>5.7035202655007093E-5</v>
      </c>
      <c r="AE171" s="304">
        <f t="shared" si="62"/>
        <v>0.6</v>
      </c>
      <c r="AF171" s="177">
        <f t="shared" si="63"/>
        <v>0.72830994851272424</v>
      </c>
      <c r="AG171" s="799">
        <f t="shared" si="71"/>
        <v>-1</v>
      </c>
      <c r="AH171" s="176">
        <f t="shared" si="64"/>
        <v>5</v>
      </c>
      <c r="AI171" s="224">
        <f t="shared" si="65"/>
        <v>-0.27169005148727576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48.435000000000002</v>
      </c>
      <c r="C172" s="388"/>
      <c r="D172" s="391">
        <f t="shared" si="48"/>
        <v>49.252183370851029</v>
      </c>
      <c r="E172" s="383">
        <f t="shared" si="72"/>
        <v>52.611573944149086</v>
      </c>
      <c r="F172" s="383">
        <f t="shared" si="49"/>
        <v>52.613805955532094</v>
      </c>
      <c r="G172" s="110">
        <f t="shared" si="73"/>
        <v>0.82452841045739578</v>
      </c>
      <c r="H172" s="412" t="b">
        <f>Wh_hp&gt;='2020'!Maxi_hp</f>
        <v>1</v>
      </c>
      <c r="I172" s="379">
        <f>IF(H172,Wh_hp,'2020'!Maxi_hp)</f>
        <v>52.613805955532094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1.6591820198059715E-2</v>
      </c>
      <c r="M172" s="832"/>
      <c r="N172" s="832"/>
      <c r="O172" s="48">
        <f>IF(t&lt;Tnet,'2020'!Resal+('2020'!Salim-'2020'!Resal)*(1-EXP(('2020'!Tnet-t)/('2020'!Tau_j))),Resal+(Salim-Resal)*(1-EXP((Tnet-t)/(Tau_j))))*Salcycl</f>
        <v>6.3852690985148813E-2</v>
      </c>
      <c r="P172" s="169">
        <f>(INDEX(Models!$BJ172:$BT172,,T172)*(1-R172)+INDEX(Models!$BJ172:$BT172,,T172+1)*R172-ERP_i)*Q172*Ramure*Pc/MaxiM</f>
        <v>5.6612980808700966E-5</v>
      </c>
      <c r="Q172" s="304">
        <f t="shared" si="51"/>
        <v>0.6</v>
      </c>
      <c r="R172" s="177">
        <f t="shared" si="52"/>
        <v>0.73342908793055028</v>
      </c>
      <c r="S172" s="799">
        <f t="shared" si="53"/>
        <v>-1</v>
      </c>
      <c r="T172" s="176">
        <f t="shared" si="54"/>
        <v>5</v>
      </c>
      <c r="U172" s="250">
        <f t="shared" si="55"/>
        <v>-0.26657091206944977</v>
      </c>
      <c r="V172" s="382">
        <f t="shared" si="56"/>
        <v>58.741835990903041</v>
      </c>
      <c r="W172" s="400"/>
      <c r="X172" s="157">
        <f t="shared" si="57"/>
        <v>44354</v>
      </c>
      <c r="Y172" s="383">
        <f t="shared" si="58"/>
        <v>48.435000000000002</v>
      </c>
      <c r="Z172" s="383">
        <f t="shared" si="59"/>
        <v>49.252183370851029</v>
      </c>
      <c r="AA172" s="384">
        <f t="shared" si="60"/>
        <v>52.611573944149086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6.3852690985148813E-2</v>
      </c>
      <c r="AD172" s="230">
        <f>(INDEX(Models!$BJ172:$BT172,,AH172)*(1-AF172)+INDEX(Models!$BJ172:$BT172,,AH172+1)*AF172-ERP_i)*AE172*Ramure*Pc/MaxiM</f>
        <v>5.6612980808700966E-5</v>
      </c>
      <c r="AE172" s="304">
        <f t="shared" si="62"/>
        <v>0.6</v>
      </c>
      <c r="AF172" s="177">
        <f t="shared" si="63"/>
        <v>0.73342908793055028</v>
      </c>
      <c r="AG172" s="799">
        <f t="shared" si="71"/>
        <v>-1</v>
      </c>
      <c r="AH172" s="176">
        <f t="shared" si="64"/>
        <v>5</v>
      </c>
      <c r="AI172" s="224">
        <f t="shared" si="65"/>
        <v>-0.26657091206944977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57.265000000000001</v>
      </c>
      <c r="C173" s="388"/>
      <c r="D173" s="391">
        <f t="shared" si="48"/>
        <v>58.232276960750319</v>
      </c>
      <c r="E173" s="383">
        <f t="shared" si="72"/>
        <v>62.212345779923581</v>
      </c>
      <c r="F173" s="383">
        <f t="shared" si="49"/>
        <v>62.21572147966711</v>
      </c>
      <c r="G173" s="110">
        <f t="shared" si="73"/>
        <v>0.97559226466210336</v>
      </c>
      <c r="H173" s="412" t="b">
        <f>Wh_hp&gt;='2020'!Maxi_hp</f>
        <v>0</v>
      </c>
      <c r="I173" s="379">
        <f>IF(H173,Wh_hp,'2020'!Maxi_hp)</f>
        <v>63.747853574878313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1.6610666991474177E-2</v>
      </c>
      <c r="M173" s="832"/>
      <c r="N173" s="832"/>
      <c r="O173" s="48">
        <f>IF(t&lt;Tnet,'2020'!Resal+('2020'!Salim-'2020'!Resal)*(1-EXP(('2020'!Tnet-t)/('2020'!Tau_j))),Resal+(Salim-Resal)*(1-EXP((Tnet-t)/(Tau_j))))*Salcycl</f>
        <v>6.3975546481606263E-2</v>
      </c>
      <c r="P173" s="169">
        <f>(INDEX(Models!$BJ173:$BT173,,T173)*(1-R173)+INDEX(Models!$BJ173:$BT173,,T173+1)*R173-ERP_i)*Q173*Ramure*Pc/MaxiM</f>
        <v>5.6218054382913967E-5</v>
      </c>
      <c r="Q173" s="304">
        <f t="shared" si="51"/>
        <v>0.6</v>
      </c>
      <c r="R173" s="177">
        <f t="shared" si="52"/>
        <v>0.73856119388381669</v>
      </c>
      <c r="S173" s="799">
        <f t="shared" si="53"/>
        <v>-1</v>
      </c>
      <c r="T173" s="176">
        <f t="shared" si="54"/>
        <v>5</v>
      </c>
      <c r="U173" s="250">
        <f t="shared" si="55"/>
        <v>-0.26143880611618331</v>
      </c>
      <c r="V173" s="382">
        <f t="shared" si="56"/>
        <v>58.697562316595402</v>
      </c>
      <c r="W173" s="400"/>
      <c r="X173" s="157">
        <f t="shared" si="57"/>
        <v>44355</v>
      </c>
      <c r="Y173" s="383">
        <f t="shared" si="58"/>
        <v>57.265000000000001</v>
      </c>
      <c r="Z173" s="383">
        <f t="shared" si="59"/>
        <v>58.232276960750319</v>
      </c>
      <c r="AA173" s="384">
        <f t="shared" si="60"/>
        <v>62.212345779923581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6.3975546481606263E-2</v>
      </c>
      <c r="AD173" s="230">
        <f>(INDEX(Models!$BJ173:$BT173,,AH173)*(1-AF173)+INDEX(Models!$BJ173:$BT173,,AH173+1)*AF173-ERP_i)*AE173*Ramure*Pc/MaxiM</f>
        <v>5.6218054382913967E-5</v>
      </c>
      <c r="AE173" s="304">
        <f t="shared" si="62"/>
        <v>0.6</v>
      </c>
      <c r="AF173" s="177">
        <f t="shared" si="63"/>
        <v>0.73856119388381669</v>
      </c>
      <c r="AG173" s="799">
        <f t="shared" si="71"/>
        <v>-1</v>
      </c>
      <c r="AH173" s="176">
        <f t="shared" si="64"/>
        <v>5</v>
      </c>
      <c r="AI173" s="224">
        <f t="shared" si="65"/>
        <v>-0.26143880611618331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55.633000000000003</v>
      </c>
      <c r="C174" s="388"/>
      <c r="D174" s="391">
        <f t="shared" si="48"/>
        <v>56.573794678027575</v>
      </c>
      <c r="E174" s="383">
        <f t="shared" si="72"/>
        <v>60.448397357951443</v>
      </c>
      <c r="F174" s="383">
        <f t="shared" si="49"/>
        <v>60.451525350346095</v>
      </c>
      <c r="G174" s="110">
        <f t="shared" si="73"/>
        <v>0.94851327720754541</v>
      </c>
      <c r="H174" s="412" t="b">
        <f>Wh_hp&gt;='2020'!Maxi_hp</f>
        <v>1</v>
      </c>
      <c r="I174" s="379">
        <f>IF(H174,Wh_hp,'2020'!Maxi_hp)</f>
        <v>60.451525350346095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1.662951342369412E-2</v>
      </c>
      <c r="M174" s="832"/>
      <c r="N174" s="832"/>
      <c r="O174" s="48">
        <f>IF(t&lt;Tnet,'2020'!Resal+('2020'!Salim-'2020'!Resal)*(1-EXP(('2020'!Tnet-t)/('2020'!Tau_j))),Resal+(Salim-Resal)*(1-EXP((Tnet-t)/(Tau_j))))*Salcycl</f>
        <v>6.4097690745711741E-2</v>
      </c>
      <c r="P174" s="169">
        <f>(INDEX(Models!$BJ174:$BT174,,T174)*(1-R174)+INDEX(Models!$BJ174:$BT174,,T174+1)*R174-ERP_i)*Q174*Ramure*Pc/MaxiM</f>
        <v>5.5851518264586599E-5</v>
      </c>
      <c r="Q174" s="304">
        <f t="shared" si="51"/>
        <v>0.6</v>
      </c>
      <c r="R174" s="177">
        <f t="shared" si="52"/>
        <v>0.74370196852812254</v>
      </c>
      <c r="S174" s="799">
        <f t="shared" si="53"/>
        <v>-1</v>
      </c>
      <c r="T174" s="176">
        <f t="shared" si="54"/>
        <v>5</v>
      </c>
      <c r="U174" s="250">
        <f t="shared" si="55"/>
        <v>-0.25629803147187741</v>
      </c>
      <c r="V174" s="382">
        <f t="shared" si="56"/>
        <v>58.652601709452156</v>
      </c>
      <c r="W174" s="400"/>
      <c r="X174" s="157">
        <f t="shared" si="57"/>
        <v>44356</v>
      </c>
      <c r="Y174" s="383">
        <f t="shared" si="58"/>
        <v>55.633000000000003</v>
      </c>
      <c r="Z174" s="383">
        <f t="shared" si="59"/>
        <v>56.573794678027575</v>
      </c>
      <c r="AA174" s="384">
        <f t="shared" si="60"/>
        <v>60.448397357951443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6.4097690745711741E-2</v>
      </c>
      <c r="AD174" s="230">
        <f>(INDEX(Models!$BJ174:$BT174,,AH174)*(1-AF174)+INDEX(Models!$BJ174:$BT174,,AH174+1)*AF174-ERP_i)*AE174*Ramure*Pc/MaxiM</f>
        <v>5.5851518264586599E-5</v>
      </c>
      <c r="AE174" s="304">
        <f t="shared" si="62"/>
        <v>0.6</v>
      </c>
      <c r="AF174" s="177">
        <f t="shared" si="63"/>
        <v>0.74370196852812254</v>
      </c>
      <c r="AG174" s="799">
        <f t="shared" si="71"/>
        <v>-1</v>
      </c>
      <c r="AH174" s="176">
        <f t="shared" si="64"/>
        <v>5</v>
      </c>
      <c r="AI174" s="224">
        <f t="shared" si="65"/>
        <v>-0.25629803147187741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55.594000000000001</v>
      </c>
      <c r="C175" s="388"/>
      <c r="D175" s="391">
        <f t="shared" si="48"/>
        <v>56.535218644099942</v>
      </c>
      <c r="E175" s="383">
        <f t="shared" si="72"/>
        <v>60.415015268071691</v>
      </c>
      <c r="F175" s="383">
        <f t="shared" si="49"/>
        <v>60.418122988564832</v>
      </c>
      <c r="G175" s="110">
        <f t="shared" si="73"/>
        <v>0.94858004486334047</v>
      </c>
      <c r="H175" s="412" t="b">
        <f>Wh_hp&gt;='2020'!Maxi_hp</f>
        <v>1</v>
      </c>
      <c r="I175" s="379">
        <f>IF(H175,Wh_hp,'2020'!Maxi_hp)</f>
        <v>60.418122988564832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1.6648359494726539E-2</v>
      </c>
      <c r="M175" s="832"/>
      <c r="N175" s="832"/>
      <c r="O175" s="48">
        <f>IF(t&lt;Tnet,'2020'!Resal+('2020'!Salim-'2020'!Resal)*(1-EXP(('2020'!Tnet-t)/('2020'!Tau_j))),Resal+(Salim-Resal)*(1-EXP((Tnet-t)/(Tau_j))))*Salcycl</f>
        <v>6.4219078763059698E-2</v>
      </c>
      <c r="P175" s="169">
        <f>(INDEX(Models!$BJ175:$BT175,,T175)*(1-R175)+INDEX(Models!$BJ175:$BT175,,T175+1)*R175-ERP_i)*Q175*Ramure*Pc/MaxiM</f>
        <v>5.5514520140302768E-5</v>
      </c>
      <c r="Q175" s="304">
        <f t="shared" si="51"/>
        <v>0.6</v>
      </c>
      <c r="R175" s="177">
        <f t="shared" si="52"/>
        <v>0.74884708483913409</v>
      </c>
      <c r="S175" s="799">
        <f t="shared" si="53"/>
        <v>-1</v>
      </c>
      <c r="T175" s="176">
        <f t="shared" si="54"/>
        <v>5</v>
      </c>
      <c r="U175" s="250">
        <f t="shared" si="55"/>
        <v>-0.25115291516086591</v>
      </c>
      <c r="V175" s="382">
        <f t="shared" si="56"/>
        <v>58.607361179217676</v>
      </c>
      <c r="W175" s="400"/>
      <c r="X175" s="157">
        <f t="shared" si="57"/>
        <v>44357</v>
      </c>
      <c r="Y175" s="383">
        <f t="shared" si="58"/>
        <v>55.594000000000001</v>
      </c>
      <c r="Z175" s="383">
        <f t="shared" si="59"/>
        <v>56.535218644099942</v>
      </c>
      <c r="AA175" s="384">
        <f t="shared" si="60"/>
        <v>60.415015268071691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6.4219078763059698E-2</v>
      </c>
      <c r="AD175" s="230">
        <f>(INDEX(Models!$BJ175:$BT175,,AH175)*(1-AF175)+INDEX(Models!$BJ175:$BT175,,AH175+1)*AF175-ERP_i)*AE175*Ramure*Pc/MaxiM</f>
        <v>5.5514520140302768E-5</v>
      </c>
      <c r="AE175" s="304">
        <f t="shared" si="62"/>
        <v>0.6</v>
      </c>
      <c r="AF175" s="177">
        <f t="shared" si="63"/>
        <v>0.74884708483913409</v>
      </c>
      <c r="AG175" s="799">
        <f t="shared" si="71"/>
        <v>-1</v>
      </c>
      <c r="AH175" s="176">
        <f t="shared" si="64"/>
        <v>5</v>
      </c>
      <c r="AI175" s="224">
        <f t="shared" si="65"/>
        <v>-0.25115291516086591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46.082000000000001</v>
      </c>
      <c r="C176" s="388"/>
      <c r="D176" s="391">
        <f t="shared" si="48"/>
        <v>46.863076512755953</v>
      </c>
      <c r="E176" s="383">
        <f t="shared" si="72"/>
        <v>50.08556512243041</v>
      </c>
      <c r="F176" s="383">
        <f t="shared" si="49"/>
        <v>50.087488503642895</v>
      </c>
      <c r="G176" s="110">
        <f t="shared" si="73"/>
        <v>0.78687597407643406</v>
      </c>
      <c r="H176" s="412" t="b">
        <f>Wh_hp&gt;='2020'!Maxi_hp</f>
        <v>1</v>
      </c>
      <c r="I176" s="379">
        <f>IF(H176,Wh_hp,'2020'!Maxi_hp)</f>
        <v>50.087488503642895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1.6667205204578206E-2</v>
      </c>
      <c r="M176" s="832"/>
      <c r="N176" s="832"/>
      <c r="O176" s="48">
        <f>IF(t&lt;Tnet,'2020'!Resal+('2020'!Salim-'2020'!Resal)*(1-EXP(('2020'!Tnet-t)/('2020'!Tau_j))),Resal+(Salim-Resal)*(1-EXP((Tnet-t)/(Tau_j))))*Salcycl</f>
        <v>6.4339667562846148E-2</v>
      </c>
      <c r="P176" s="169">
        <f>(INDEX(Models!$BJ176:$BT176,,T176)*(1-R176)+INDEX(Models!$BJ176:$BT176,,T176+1)*R176-ERP_i)*Q176*Ramure*Pc/MaxiM</f>
        <v>5.520825395049362E-5</v>
      </c>
      <c r="Q176" s="304">
        <f t="shared" si="51"/>
        <v>0.6</v>
      </c>
      <c r="R176" s="177">
        <f t="shared" si="52"/>
        <v>0.75399220115014565</v>
      </c>
      <c r="S176" s="799">
        <f t="shared" si="53"/>
        <v>-1</v>
      </c>
      <c r="T176" s="176">
        <f t="shared" si="54"/>
        <v>5</v>
      </c>
      <c r="U176" s="250">
        <f t="shared" si="55"/>
        <v>-0.24600779884985435</v>
      </c>
      <c r="V176" s="382">
        <f t="shared" si="56"/>
        <v>58.562247355825164</v>
      </c>
      <c r="W176" s="400"/>
      <c r="X176" s="157">
        <f t="shared" si="57"/>
        <v>44358</v>
      </c>
      <c r="Y176" s="383">
        <f t="shared" si="58"/>
        <v>46.082000000000001</v>
      </c>
      <c r="Z176" s="383">
        <f t="shared" si="59"/>
        <v>46.863076512755953</v>
      </c>
      <c r="AA176" s="384">
        <f t="shared" si="60"/>
        <v>50.08556512243041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6.4339667562846148E-2</v>
      </c>
      <c r="AD176" s="230">
        <f>(INDEX(Models!$BJ176:$BT176,,AH176)*(1-AF176)+INDEX(Models!$BJ176:$BT176,,AH176+1)*AF176-ERP_i)*AE176*Ramure*Pc/MaxiM</f>
        <v>5.520825395049362E-5</v>
      </c>
      <c r="AE176" s="304">
        <f t="shared" si="62"/>
        <v>0.6</v>
      </c>
      <c r="AF176" s="177">
        <f t="shared" si="63"/>
        <v>0.75399220115014565</v>
      </c>
      <c r="AG176" s="799">
        <f t="shared" si="71"/>
        <v>-1</v>
      </c>
      <c r="AH176" s="176">
        <f t="shared" si="64"/>
        <v>5</v>
      </c>
      <c r="AI176" s="224">
        <f t="shared" si="65"/>
        <v>-0.24600779884985435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45.76</v>
      </c>
      <c r="C177" s="388"/>
      <c r="D177" s="391">
        <f t="shared" si="48"/>
        <v>46.536510567908259</v>
      </c>
      <c r="E177" s="383">
        <f t="shared" si="72"/>
        <v>49.742909482564642</v>
      </c>
      <c r="F177" s="383">
        <f t="shared" si="49"/>
        <v>49.744791157336742</v>
      </c>
      <c r="G177" s="110">
        <f t="shared" si="73"/>
        <v>0.78198618427501065</v>
      </c>
      <c r="H177" s="412" t="b">
        <f>Wh_hp&gt;='2020'!Maxi_hp</f>
        <v>0</v>
      </c>
      <c r="I177" s="379">
        <f>IF(H177,Wh_hp,'2020'!Maxi_hp)</f>
        <v>56.41651381708197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1.6686050553256226E-2</v>
      </c>
      <c r="M177" s="832"/>
      <c r="N177" s="832"/>
      <c r="O177" s="48">
        <f>IF(t&lt;Tnet,'2020'!Resal+('2020'!Salim-'2020'!Resal)*(1-EXP(('2020'!Tnet-t)/('2020'!Tau_j))),Resal+(Salim-Resal)*(1-EXP((Tnet-t)/(Tau_j))))*Salcycl</f>
        <v>6.4459416387379856E-2</v>
      </c>
      <c r="P177" s="169">
        <f>(INDEX(Models!$BJ177:$BT177,,T177)*(1-R177)+INDEX(Models!$BJ177:$BT177,,T177+1)*R177-ERP_i)*Q177*Ramure*Pc/MaxiM</f>
        <v>5.493490090755762E-5</v>
      </c>
      <c r="Q177" s="304">
        <f t="shared" si="51"/>
        <v>0.6</v>
      </c>
      <c r="R177" s="177">
        <f t="shared" si="52"/>
        <v>0.7591329757944516</v>
      </c>
      <c r="S177" s="799">
        <f t="shared" si="53"/>
        <v>-1</v>
      </c>
      <c r="T177" s="176">
        <f t="shared" si="54"/>
        <v>5</v>
      </c>
      <c r="U177" s="250">
        <f t="shared" si="55"/>
        <v>-0.24086702420554845</v>
      </c>
      <c r="V177" s="382">
        <f t="shared" si="56"/>
        <v>58.516656704796411</v>
      </c>
      <c r="W177" s="400"/>
      <c r="X177" s="157">
        <f t="shared" si="57"/>
        <v>44359</v>
      </c>
      <c r="Y177" s="383">
        <f t="shared" si="58"/>
        <v>45.76</v>
      </c>
      <c r="Z177" s="383">
        <f t="shared" si="59"/>
        <v>46.536510567908259</v>
      </c>
      <c r="AA177" s="384">
        <f t="shared" si="60"/>
        <v>49.742909482564642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6.4459416387379856E-2</v>
      </c>
      <c r="AD177" s="230">
        <f>(INDEX(Models!$BJ177:$BT177,,AH177)*(1-AF177)+INDEX(Models!$BJ177:$BT177,,AH177+1)*AF177-ERP_i)*AE177*Ramure*Pc/MaxiM</f>
        <v>5.493490090755762E-5</v>
      </c>
      <c r="AE177" s="304">
        <f t="shared" si="62"/>
        <v>0.6</v>
      </c>
      <c r="AF177" s="177">
        <f t="shared" si="63"/>
        <v>0.7591329757944516</v>
      </c>
      <c r="AG177" s="799">
        <f t="shared" si="71"/>
        <v>-1</v>
      </c>
      <c r="AH177" s="176">
        <f t="shared" si="64"/>
        <v>5</v>
      </c>
      <c r="AI177" s="224">
        <f t="shared" si="65"/>
        <v>-0.24086702420554845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55.184000000000005</v>
      </c>
      <c r="C178" s="388"/>
      <c r="D178" s="391">
        <f t="shared" si="48"/>
        <v>56.121503859564811</v>
      </c>
      <c r="E178" s="383">
        <f t="shared" si="72"/>
        <v>59.995938805654362</v>
      </c>
      <c r="F178" s="383">
        <f t="shared" si="49"/>
        <v>59.998959209926603</v>
      </c>
      <c r="G178" s="110">
        <f t="shared" si="73"/>
        <v>0.94380070168548624</v>
      </c>
      <c r="H178" s="412" t="b">
        <f>Wh_hp&gt;='2020'!Maxi_hp</f>
        <v>0</v>
      </c>
      <c r="I178" s="379">
        <f>IF(H178,Wh_hp,'2020'!Maxi_hp)</f>
        <v>64.279104061315721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1.6704895540767373E-2</v>
      </c>
      <c r="M178" s="832"/>
      <c r="N178" s="832"/>
      <c r="O178" s="48">
        <f>IF(t&lt;Tnet,'2020'!Resal+('2020'!Salim-'2020'!Resal)*(1-EXP(('2020'!Tnet-t)/('2020'!Tau_j))),Resal+(Salim-Resal)*(1-EXP((Tnet-t)/(Tau_j))))*Salcycl</f>
        <v>6.4578286851049438E-2</v>
      </c>
      <c r="P178" s="169">
        <f>(INDEX(Models!$BJ178:$BT178,,T178)*(1-R178)+INDEX(Models!$BJ178:$BT178,,T178+1)*R178-ERP_i)*Q178*Ramure*Pc/MaxiM</f>
        <v>5.4735004191765509E-5</v>
      </c>
      <c r="Q178" s="304">
        <f t="shared" si="51"/>
        <v>0.6</v>
      </c>
      <c r="R178" s="177">
        <f t="shared" si="52"/>
        <v>0.76426508174771812</v>
      </c>
      <c r="S178" s="799">
        <f t="shared" si="53"/>
        <v>-1</v>
      </c>
      <c r="T178" s="176">
        <f t="shared" si="54"/>
        <v>5</v>
      </c>
      <c r="U178" s="250">
        <f t="shared" si="55"/>
        <v>-0.23573491825228193</v>
      </c>
      <c r="V178" s="382">
        <f t="shared" si="56"/>
        <v>58.469714429592571</v>
      </c>
      <c r="W178" s="400"/>
      <c r="X178" s="157">
        <f t="shared" si="57"/>
        <v>44360</v>
      </c>
      <c r="Y178" s="383">
        <f t="shared" si="58"/>
        <v>55.184000000000005</v>
      </c>
      <c r="Z178" s="383">
        <f t="shared" si="59"/>
        <v>56.121503859564811</v>
      </c>
      <c r="AA178" s="384">
        <f t="shared" si="60"/>
        <v>59.995938805654362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6.4578286851049438E-2</v>
      </c>
      <c r="AD178" s="230">
        <f>(INDEX(Models!$BJ178:$BT178,,AH178)*(1-AF178)+INDEX(Models!$BJ178:$BT178,,AH178+1)*AF178-ERP_i)*AE178*Ramure*Pc/MaxiM</f>
        <v>5.4735004191765509E-5</v>
      </c>
      <c r="AE178" s="304">
        <f t="shared" si="62"/>
        <v>0.6</v>
      </c>
      <c r="AF178" s="177">
        <f t="shared" si="63"/>
        <v>0.76426508174771812</v>
      </c>
      <c r="AG178" s="799">
        <f t="shared" si="71"/>
        <v>-1</v>
      </c>
      <c r="AH178" s="176">
        <f t="shared" si="64"/>
        <v>5</v>
      </c>
      <c r="AI178" s="224">
        <f t="shared" si="65"/>
        <v>-0.23573491825228193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51.646999999999998</v>
      </c>
      <c r="C179" s="388"/>
      <c r="D179" s="391">
        <f t="shared" si="48"/>
        <v>52.525421501357087</v>
      </c>
      <c r="E179" s="383">
        <f t="shared" si="72"/>
        <v>56.158676914493682</v>
      </c>
      <c r="F179" s="383">
        <f t="shared" si="49"/>
        <v>56.161235442538548</v>
      </c>
      <c r="G179" s="110">
        <f t="shared" si="73"/>
        <v>0.88403413640977924</v>
      </c>
      <c r="H179" s="412" t="b">
        <f>Wh_hp&gt;='2020'!Maxi_hp</f>
        <v>1</v>
      </c>
      <c r="I179" s="379">
        <f>IF(H179,Wh_hp,'2020'!Maxi_hp)</f>
        <v>56.161235442538548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1.672374016711875E-2</v>
      </c>
      <c r="M179" s="832"/>
      <c r="N179" s="832"/>
      <c r="O179" s="48">
        <f>IF(t&lt;Tnet,'2020'!Resal+('2020'!Salim-'2020'!Resal)*(1-EXP(('2020'!Tnet-t)/('2020'!Tau_j))),Resal+(Salim-Resal)*(1-EXP((Tnet-t)/(Tau_j))))*Salcycl</f>
        <v>6.4696243087573713E-2</v>
      </c>
      <c r="P179" s="169">
        <f>(INDEX(Models!$BJ179:$BT179,,T179)*(1-R179)+INDEX(Models!$BJ179:$BT179,,T179+1)*R179-ERP_i)*Q179*Ramure*Pc/MaxiM</f>
        <v>5.460185414568816E-5</v>
      </c>
      <c r="Q179" s="304">
        <f t="shared" si="51"/>
        <v>0.6</v>
      </c>
      <c r="R179" s="177">
        <f t="shared" si="52"/>
        <v>0.76938422116554395</v>
      </c>
      <c r="S179" s="799">
        <f t="shared" si="53"/>
        <v>-1</v>
      </c>
      <c r="T179" s="176">
        <f t="shared" si="54"/>
        <v>5</v>
      </c>
      <c r="U179" s="250">
        <f t="shared" si="55"/>
        <v>-0.230615778834456</v>
      </c>
      <c r="V179" s="382">
        <f t="shared" si="56"/>
        <v>58.42142367971784</v>
      </c>
      <c r="W179" s="400"/>
      <c r="X179" s="157">
        <f t="shared" si="57"/>
        <v>44361</v>
      </c>
      <c r="Y179" s="383">
        <f t="shared" si="58"/>
        <v>51.646999999999998</v>
      </c>
      <c r="Z179" s="383">
        <f t="shared" si="59"/>
        <v>52.525421501357087</v>
      </c>
      <c r="AA179" s="384">
        <f t="shared" si="60"/>
        <v>56.158676914493682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6.4696243087573713E-2</v>
      </c>
      <c r="AD179" s="230">
        <f>(INDEX(Models!$BJ179:$BT179,,AH179)*(1-AF179)+INDEX(Models!$BJ179:$BT179,,AH179+1)*AF179-ERP_i)*AE179*Ramure*Pc/MaxiM</f>
        <v>5.460185414568816E-5</v>
      </c>
      <c r="AE179" s="304">
        <f t="shared" si="62"/>
        <v>0.6</v>
      </c>
      <c r="AF179" s="177">
        <f t="shared" si="63"/>
        <v>0.76938422116554395</v>
      </c>
      <c r="AG179" s="799">
        <f t="shared" si="71"/>
        <v>-1</v>
      </c>
      <c r="AH179" s="176">
        <f t="shared" si="64"/>
        <v>5</v>
      </c>
      <c r="AI179" s="224">
        <f t="shared" si="65"/>
        <v>-0.230615778834456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50.009</v>
      </c>
      <c r="C180" s="388"/>
      <c r="D180" s="391">
        <f t="shared" si="48"/>
        <v>50.860536832185844</v>
      </c>
      <c r="E180" s="383">
        <f t="shared" si="72"/>
        <v>54.385433641646294</v>
      </c>
      <c r="F180" s="383">
        <f t="shared" si="49"/>
        <v>54.387792758109988</v>
      </c>
      <c r="G180" s="110">
        <f t="shared" si="73"/>
        <v>0.8567228182921639</v>
      </c>
      <c r="H180" s="412" t="b">
        <f>Wh_hp&gt;='2020'!Maxi_hp</f>
        <v>1</v>
      </c>
      <c r="I180" s="379">
        <f>IF(H180,Wh_hp,'2020'!Maxi_hp)</f>
        <v>54.387792758109988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1.674258443231702E-2</v>
      </c>
      <c r="M180" s="832"/>
      <c r="N180" s="832"/>
      <c r="O180" s="48">
        <f>IF(t&lt;Tnet,'2020'!Resal+('2020'!Salim-'2020'!Resal)*(1-EXP(('2020'!Tnet-t)/('2020'!Tau_j))),Resal+(Salim-Resal)*(1-EXP((Tnet-t)/(Tau_j))))*Salcycl</f>
        <v>6.4813251884438719E-2</v>
      </c>
      <c r="P180" s="169">
        <f>(INDEX(Models!$BJ180:$BT180,,T180)*(1-R180)+INDEX(Models!$BJ180:$BT180,,T180+1)*R180-ERP_i)*Q180*Ramure*Pc/MaxiM</f>
        <v>5.4538037366502991E-5</v>
      </c>
      <c r="Q180" s="304">
        <f t="shared" si="51"/>
        <v>0.6</v>
      </c>
      <c r="R180" s="177">
        <f t="shared" si="52"/>
        <v>0.7744861397126841</v>
      </c>
      <c r="S180" s="799">
        <f t="shared" si="53"/>
        <v>-1</v>
      </c>
      <c r="T180" s="176">
        <f t="shared" si="54"/>
        <v>5</v>
      </c>
      <c r="U180" s="250">
        <f t="shared" si="55"/>
        <v>-0.22551386028731596</v>
      </c>
      <c r="V180" s="382">
        <f t="shared" si="56"/>
        <v>58.371786881307791</v>
      </c>
      <c r="W180" s="400"/>
      <c r="X180" s="157">
        <f t="shared" si="57"/>
        <v>44362</v>
      </c>
      <c r="Y180" s="383">
        <f t="shared" si="58"/>
        <v>50.009</v>
      </c>
      <c r="Z180" s="383">
        <f t="shared" si="59"/>
        <v>50.860536832185844</v>
      </c>
      <c r="AA180" s="384">
        <f t="shared" si="60"/>
        <v>54.385433641646294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6.4813251884438719E-2</v>
      </c>
      <c r="AD180" s="230">
        <f>(INDEX(Models!$BJ180:$BT180,,AH180)*(1-AF180)+INDEX(Models!$BJ180:$BT180,,AH180+1)*AF180-ERP_i)*AE180*Ramure*Pc/MaxiM</f>
        <v>5.4538037366502991E-5</v>
      </c>
      <c r="AE180" s="304">
        <f t="shared" si="62"/>
        <v>0.6</v>
      </c>
      <c r="AF180" s="177">
        <f t="shared" si="63"/>
        <v>0.7744861397126841</v>
      </c>
      <c r="AG180" s="799">
        <f t="shared" si="71"/>
        <v>-1</v>
      </c>
      <c r="AH180" s="176">
        <f t="shared" si="64"/>
        <v>5</v>
      </c>
      <c r="AI180" s="224">
        <f t="shared" si="65"/>
        <v>-0.22551386028731596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45.835999999999999</v>
      </c>
      <c r="C181" s="388"/>
      <c r="D181" s="391">
        <f t="shared" si="48"/>
        <v>46.617373769670067</v>
      </c>
      <c r="E181" s="383">
        <f t="shared" si="72"/>
        <v>49.85438310958699</v>
      </c>
      <c r="F181" s="383">
        <f t="shared" si="49"/>
        <v>49.856270920019249</v>
      </c>
      <c r="G181" s="110">
        <f t="shared" si="73"/>
        <v>0.78591566722486272</v>
      </c>
      <c r="H181" s="412" t="b">
        <f>Wh_hp&gt;='2020'!Maxi_hp</f>
        <v>0</v>
      </c>
      <c r="I181" s="379">
        <f>IF(H181,Wh_hp,'2020'!Maxi_hp)</f>
        <v>63.760579589282713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1.6761428336369288E-2</v>
      </c>
      <c r="M181" s="832"/>
      <c r="N181" s="832"/>
      <c r="O181" s="48">
        <f>IF(t&lt;Tnet,'2020'!Resal+('2020'!Salim-'2020'!Resal)*(1-EXP(('2020'!Tnet-t)/('2020'!Tau_j))),Resal+(Salim-Resal)*(1-EXP((Tnet-t)/(Tau_j))))*Salcycl</f>
        <v>6.4929282803510444E-2</v>
      </c>
      <c r="P181" s="169">
        <f>(INDEX(Models!$BJ181:$BT181,,T181)*(1-R181)+INDEX(Models!$BJ181:$BT181,,T181+1)*R181-ERP_i)*Q181*Ramure*Pc/MaxiM</f>
        <v>5.454613842991618E-5</v>
      </c>
      <c r="Q181" s="304">
        <f t="shared" si="51"/>
        <v>0.6</v>
      </c>
      <c r="R181" s="177">
        <f t="shared" si="52"/>
        <v>0.77956664058295599</v>
      </c>
      <c r="S181" s="799">
        <f t="shared" si="53"/>
        <v>-1</v>
      </c>
      <c r="T181" s="176">
        <f t="shared" si="54"/>
        <v>5</v>
      </c>
      <c r="U181" s="250">
        <f t="shared" si="55"/>
        <v>-0.22043335941704406</v>
      </c>
      <c r="V181" s="382">
        <f t="shared" si="56"/>
        <v>58.320806275243363</v>
      </c>
      <c r="W181" s="400"/>
      <c r="X181" s="157">
        <f t="shared" si="57"/>
        <v>44363</v>
      </c>
      <c r="Y181" s="383">
        <f t="shared" si="58"/>
        <v>45.835999999999999</v>
      </c>
      <c r="Z181" s="383">
        <f t="shared" si="59"/>
        <v>46.617373769670067</v>
      </c>
      <c r="AA181" s="384">
        <f t="shared" si="60"/>
        <v>49.85438310958699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6.4929282803510444E-2</v>
      </c>
      <c r="AD181" s="230">
        <f>(INDEX(Models!$BJ181:$BT181,,AH181)*(1-AF181)+INDEX(Models!$BJ181:$BT181,,AH181+1)*AF181-ERP_i)*AE181*Ramure*Pc/MaxiM</f>
        <v>5.454613842991618E-5</v>
      </c>
      <c r="AE181" s="304">
        <f t="shared" si="62"/>
        <v>0.6</v>
      </c>
      <c r="AF181" s="177">
        <f t="shared" si="63"/>
        <v>0.77956664058295599</v>
      </c>
      <c r="AG181" s="799">
        <f t="shared" si="71"/>
        <v>-1</v>
      </c>
      <c r="AH181" s="176">
        <f t="shared" si="64"/>
        <v>5</v>
      </c>
      <c r="AI181" s="224">
        <f t="shared" si="65"/>
        <v>-0.22043335941704406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15.502000000000001</v>
      </c>
      <c r="C182" s="388"/>
      <c r="D182" s="391">
        <f t="shared" si="48"/>
        <v>15.766567285656313</v>
      </c>
      <c r="E182" s="383">
        <f t="shared" si="72"/>
        <v>16.863437941928261</v>
      </c>
      <c r="F182" s="383">
        <f t="shared" si="49"/>
        <v>16.863437941928261</v>
      </c>
      <c r="G182" s="110">
        <f t="shared" si="73"/>
        <v>0.26602980042743141</v>
      </c>
      <c r="H182" s="412" t="b">
        <f>Wh_hp&gt;='2020'!Maxi_hp</f>
        <v>0</v>
      </c>
      <c r="I182" s="379">
        <f>IF(H182,Wh_hp,'2020'!Maxi_hp)</f>
        <v>62.238525909161851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1.6780271879282438E-2</v>
      </c>
      <c r="M182" s="832"/>
      <c r="N182" s="832"/>
      <c r="O182" s="48">
        <f>IF(t&lt;Tnet,'2020'!Resal+('2020'!Salim-'2020'!Resal)*(1-EXP(('2020'!Tnet-t)/('2020'!Tau_j))),Resal+(Salim-Resal)*(1-EXP((Tnet-t)/(Tau_j))))*Salcycl</f>
        <v>6.5044308286909477E-2</v>
      </c>
      <c r="P182" s="169">
        <f>(INDEX(Models!$BJ182:$BT182,,T182)*(1-R182)+INDEX(Models!$BJ182:$BT182,,T182+1)*R182-ERP_i)*Q182*Ramure*Pc/MaxiM</f>
        <v>5.4628732998130867E-5</v>
      </c>
      <c r="Q182" s="304">
        <f t="shared" si="51"/>
        <v>0.6</v>
      </c>
      <c r="R182" s="177">
        <f t="shared" si="52"/>
        <v>0.78462159811261567</v>
      </c>
      <c r="S182" s="799">
        <f t="shared" si="53"/>
        <v>-1</v>
      </c>
      <c r="T182" s="176">
        <f t="shared" si="54"/>
        <v>5</v>
      </c>
      <c r="U182" s="250">
        <f t="shared" si="55"/>
        <v>-0.21537840188738427</v>
      </c>
      <c r="V182" s="382">
        <f t="shared" si="56"/>
        <v>58.268483908476732</v>
      </c>
      <c r="W182" s="400"/>
      <c r="X182" s="157">
        <f t="shared" si="57"/>
        <v>44364</v>
      </c>
      <c r="Y182" s="383">
        <f t="shared" si="58"/>
        <v>15.502000000000001</v>
      </c>
      <c r="Z182" s="383">
        <f t="shared" si="59"/>
        <v>15.766567285656313</v>
      </c>
      <c r="AA182" s="384">
        <f t="shared" si="60"/>
        <v>16.863437941928261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6.5044308286909477E-2</v>
      </c>
      <c r="AD182" s="230">
        <f>(INDEX(Models!$BJ182:$BT182,,AH182)*(1-AF182)+INDEX(Models!$BJ182:$BT182,,AH182+1)*AF182-ERP_i)*AE182*Ramure*Pc/MaxiM</f>
        <v>5.4628732998130867E-5</v>
      </c>
      <c r="AE182" s="304">
        <f t="shared" si="62"/>
        <v>0.6</v>
      </c>
      <c r="AF182" s="177">
        <f t="shared" si="63"/>
        <v>0.78462159811261567</v>
      </c>
      <c r="AG182" s="799">
        <f t="shared" si="71"/>
        <v>-1</v>
      </c>
      <c r="AH182" s="176">
        <f t="shared" si="64"/>
        <v>5</v>
      </c>
      <c r="AI182" s="224">
        <f t="shared" si="65"/>
        <v>-0.21537840188738427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42.308</v>
      </c>
      <c r="C183" s="388"/>
      <c r="D183" s="391">
        <f t="shared" si="48"/>
        <v>43.030880716332568</v>
      </c>
      <c r="E183" s="383">
        <f t="shared" si="72"/>
        <v>46.03012562321841</v>
      </c>
      <c r="F183" s="383">
        <f t="shared" si="49"/>
        <v>46.031663166112132</v>
      </c>
      <c r="G183" s="110">
        <f t="shared" si="73"/>
        <v>0.72674095638216585</v>
      </c>
      <c r="H183" s="412" t="b">
        <f>Wh_hp&gt;='2020'!Maxi_hp</f>
        <v>0</v>
      </c>
      <c r="I183" s="379">
        <f>IF(H183,Wh_hp,'2020'!Maxi_hp)</f>
        <v>59.296704532872539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1.6799115061063463E-2</v>
      </c>
      <c r="M183" s="832"/>
      <c r="N183" s="832"/>
      <c r="O183" s="48">
        <f>IF(t&lt;Tnet,'2020'!Resal+('2020'!Salim-'2020'!Resal)*(1-EXP(('2020'!Tnet-t)/('2020'!Tau_j))),Resal+(Salim-Resal)*(1-EXP((Tnet-t)/(Tau_j))))*Salcycl</f>
        <v>6.5158303747339122E-2</v>
      </c>
      <c r="P183" s="169">
        <f>(INDEX(Models!$BJ183:$BT183,,T183)*(1-R183)+INDEX(Models!$BJ183:$BT183,,T183+1)*R183-ERP_i)*Q183*Ramure*Pc/MaxiM</f>
        <v>5.4788381280079115E-5</v>
      </c>
      <c r="Q183" s="304">
        <f t="shared" si="51"/>
        <v>0.6</v>
      </c>
      <c r="R183" s="177">
        <f t="shared" si="52"/>
        <v>0.78964697089488767</v>
      </c>
      <c r="S183" s="799">
        <f t="shared" si="53"/>
        <v>-1</v>
      </c>
      <c r="T183" s="176">
        <f t="shared" si="54"/>
        <v>5</v>
      </c>
      <c r="U183" s="250">
        <f t="shared" si="55"/>
        <v>-0.21035302910511233</v>
      </c>
      <c r="V183" s="382">
        <f t="shared" si="56"/>
        <v>58.214821632171194</v>
      </c>
      <c r="W183" s="400"/>
      <c r="X183" s="157">
        <f t="shared" si="57"/>
        <v>44365</v>
      </c>
      <c r="Y183" s="383">
        <f t="shared" si="58"/>
        <v>42.308</v>
      </c>
      <c r="Z183" s="383">
        <f t="shared" si="59"/>
        <v>43.030880716332568</v>
      </c>
      <c r="AA183" s="384">
        <f t="shared" si="60"/>
        <v>46.03012562321841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6.5158303747339122E-2</v>
      </c>
      <c r="AD183" s="230">
        <f>(INDEX(Models!$BJ183:$BT183,,AH183)*(1-AF183)+INDEX(Models!$BJ183:$BT183,,AH183+1)*AF183-ERP_i)*AE183*Ramure*Pc/MaxiM</f>
        <v>5.4788381280079115E-5</v>
      </c>
      <c r="AE183" s="304">
        <f t="shared" si="62"/>
        <v>0.6</v>
      </c>
      <c r="AF183" s="177">
        <f t="shared" si="63"/>
        <v>0.78964697089488767</v>
      </c>
      <c r="AG183" s="799">
        <f t="shared" si="71"/>
        <v>-1</v>
      </c>
      <c r="AH183" s="176">
        <f t="shared" si="64"/>
        <v>5</v>
      </c>
      <c r="AI183" s="224">
        <f t="shared" si="65"/>
        <v>-0.21035302910511233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31.76</v>
      </c>
      <c r="C184" s="388"/>
      <c r="D184" s="391">
        <f t="shared" si="48"/>
        <v>32.303275120416757</v>
      </c>
      <c r="E184" s="383">
        <f t="shared" si="72"/>
        <v>34.558983062126437</v>
      </c>
      <c r="F184" s="383">
        <f t="shared" si="49"/>
        <v>34.559652099616493</v>
      </c>
      <c r="G184" s="110">
        <f t="shared" si="73"/>
        <v>0.54606198131528527</v>
      </c>
      <c r="H184" s="412" t="b">
        <f>Wh_hp&gt;='2020'!Maxi_hp</f>
        <v>0</v>
      </c>
      <c r="I184" s="379">
        <f>IF(H184,Wh_hp,'2020'!Maxi_hp)</f>
        <v>51.670458904015952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1.6817957881719137E-2</v>
      </c>
      <c r="M184" s="832"/>
      <c r="N184" s="832"/>
      <c r="O184" s="48">
        <f>IF(t&lt;Tnet,'2020'!Resal+('2020'!Salim-'2020'!Resal)*(1-EXP(('2020'!Tnet-t)/('2020'!Tau_j))),Resal+(Salim-Resal)*(1-EXP((Tnet-t)/(Tau_j))))*Salcycl</f>
        <v>6.5271247642171917E-2</v>
      </c>
      <c r="P184" s="169">
        <f>(INDEX(Models!$BJ184:$BT184,,T184)*(1-R184)+INDEX(Models!$BJ184:$BT184,,T184+1)*R184-ERP_i)*Q184*Ramure*Pc/MaxiM</f>
        <v>5.5068113551399622E-5</v>
      </c>
      <c r="Q184" s="304">
        <f t="shared" si="51"/>
        <v>0.6</v>
      </c>
      <c r="R184" s="177">
        <f t="shared" si="52"/>
        <v>0.79463881430930017</v>
      </c>
      <c r="S184" s="799">
        <f t="shared" si="53"/>
        <v>-1</v>
      </c>
      <c r="T184" s="176">
        <f t="shared" si="54"/>
        <v>5</v>
      </c>
      <c r="U184" s="250">
        <f t="shared" si="55"/>
        <v>-0.20536118569069983</v>
      </c>
      <c r="V184" s="382">
        <f t="shared" si="56"/>
        <v>58.159818739832637</v>
      </c>
      <c r="W184" s="400"/>
      <c r="X184" s="157">
        <f t="shared" si="57"/>
        <v>44366</v>
      </c>
      <c r="Y184" s="383">
        <f t="shared" si="58"/>
        <v>31.76</v>
      </c>
      <c r="Z184" s="383">
        <f t="shared" si="59"/>
        <v>32.303275120416757</v>
      </c>
      <c r="AA184" s="384">
        <f t="shared" si="60"/>
        <v>34.558983062126437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6.5271247642171917E-2</v>
      </c>
      <c r="AD184" s="230">
        <f>(INDEX(Models!$BJ184:$BT184,,AH184)*(1-AF184)+INDEX(Models!$BJ184:$BT184,,AH184+1)*AF184-ERP_i)*AE184*Ramure*Pc/MaxiM</f>
        <v>5.5068113551399622E-5</v>
      </c>
      <c r="AE184" s="304">
        <f t="shared" si="62"/>
        <v>0.6</v>
      </c>
      <c r="AF184" s="177">
        <f t="shared" si="63"/>
        <v>0.79463881430930017</v>
      </c>
      <c r="AG184" s="799">
        <f t="shared" si="71"/>
        <v>-1</v>
      </c>
      <c r="AH184" s="176">
        <f t="shared" si="64"/>
        <v>5</v>
      </c>
      <c r="AI184" s="224">
        <f t="shared" si="65"/>
        <v>-0.20536118569069983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34.021000000000001</v>
      </c>
      <c r="C185" s="388"/>
      <c r="D185" s="391">
        <f t="shared" si="48"/>
        <v>34.60361414240149</v>
      </c>
      <c r="E185" s="383">
        <f t="shared" si="72"/>
        <v>37.024383936951224</v>
      </c>
      <c r="F185" s="383">
        <f t="shared" si="49"/>
        <v>37.025220863816884</v>
      </c>
      <c r="G185" s="110">
        <f t="shared" si="73"/>
        <v>0.58550509841317999</v>
      </c>
      <c r="H185" s="412" t="b">
        <f>Wh_hp&gt;='2020'!Maxi_hp</f>
        <v>0</v>
      </c>
      <c r="I185" s="379">
        <f>IF(H185,Wh_hp,'2020'!Maxi_hp)</f>
        <v>56.990075158502776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1.6836800341256453E-2</v>
      </c>
      <c r="M185" s="832"/>
      <c r="N185" s="832"/>
      <c r="O185" s="48">
        <f>IF(t&lt;Tnet,'2020'!Resal+('2020'!Salim-'2020'!Resal)*(1-EXP(('2020'!Tnet-t)/('2020'!Tau_j))),Resal+(Salim-Resal)*(1-EXP((Tnet-t)/(Tau_j))))*Salcycl</f>
        <v>6.5383121530720484E-2</v>
      </c>
      <c r="P185" s="169">
        <f>(INDEX(Models!$BJ185:$BT185,,T185)*(1-R185)+INDEX(Models!$BJ185:$BT185,,T185+1)*R185-ERP_i)*Q185*Ramure*Pc/MaxiM</f>
        <v>5.5417227961854486E-5</v>
      </c>
      <c r="Q185" s="304">
        <f t="shared" si="51"/>
        <v>0.6</v>
      </c>
      <c r="R185" s="177">
        <f t="shared" si="52"/>
        <v>0.79959329238638244</v>
      </c>
      <c r="S185" s="799">
        <f t="shared" si="53"/>
        <v>-1</v>
      </c>
      <c r="T185" s="176">
        <f t="shared" si="54"/>
        <v>5</v>
      </c>
      <c r="U185" s="250">
        <f t="shared" si="55"/>
        <v>-0.20040670761361751</v>
      </c>
      <c r="V185" s="382">
        <f t="shared" si="56"/>
        <v>58.103479775322683</v>
      </c>
      <c r="W185" s="400"/>
      <c r="X185" s="157">
        <f t="shared" si="57"/>
        <v>44367</v>
      </c>
      <c r="Y185" s="383">
        <f t="shared" si="58"/>
        <v>34.021000000000001</v>
      </c>
      <c r="Z185" s="383">
        <f t="shared" si="59"/>
        <v>34.60361414240149</v>
      </c>
      <c r="AA185" s="384">
        <f t="shared" si="60"/>
        <v>37.024383936951224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6.5383121530720484E-2</v>
      </c>
      <c r="AD185" s="230">
        <f>(INDEX(Models!$BJ185:$BT185,,AH185)*(1-AF185)+INDEX(Models!$BJ185:$BT185,,AH185+1)*AF185-ERP_i)*AE185*Ramure*Pc/MaxiM</f>
        <v>5.5417227961854486E-5</v>
      </c>
      <c r="AE185" s="304">
        <f t="shared" si="62"/>
        <v>0.6</v>
      </c>
      <c r="AF185" s="177">
        <f t="shared" si="63"/>
        <v>0.79959329238638244</v>
      </c>
      <c r="AG185" s="799">
        <f t="shared" si="71"/>
        <v>-1</v>
      </c>
      <c r="AH185" s="176">
        <f t="shared" si="64"/>
        <v>5</v>
      </c>
      <c r="AI185" s="224">
        <f t="shared" si="65"/>
        <v>-0.20040670761361751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33.613999999999997</v>
      </c>
      <c r="C186" s="388"/>
      <c r="D186" s="391">
        <f t="shared" si="48"/>
        <v>34.190299462648056</v>
      </c>
      <c r="E186" s="383">
        <f t="shared" si="72"/>
        <v>36.586491872758074</v>
      </c>
      <c r="F186" s="383">
        <f t="shared" si="49"/>
        <v>36.587306410995801</v>
      </c>
      <c r="G186" s="110">
        <f t="shared" si="73"/>
        <v>0.57907493587019587</v>
      </c>
      <c r="H186" s="412" t="b">
        <f>Wh_hp&gt;='2020'!Maxi_hp</f>
        <v>0</v>
      </c>
      <c r="I186" s="379">
        <f>IF(H186,Wh_hp,'2020'!Maxi_hp)</f>
        <v>52.195932812822107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1.6855642439682406E-2</v>
      </c>
      <c r="M186" s="832"/>
      <c r="N186" s="832"/>
      <c r="O186" s="48">
        <f>IF(t&lt;Tnet,'2020'!Resal+('2020'!Salim-'2020'!Resal)*(1-EXP(('2020'!Tnet-t)/('2020'!Tau_j))),Resal+(Salim-Resal)*(1-EXP((Tnet-t)/(Tau_j))))*Salcycl</f>
        <v>6.5493910114246282E-2</v>
      </c>
      <c r="P186" s="169">
        <f>(INDEX(Models!$BJ186:$BT186,,T186)*(1-R186)+INDEX(Models!$BJ186:$BT186,,T186+1)*R186-ERP_i)*Q186*Ramure*Pc/MaxiM</f>
        <v>5.5837760140546971E-5</v>
      </c>
      <c r="Q186" s="304">
        <f t="shared" si="51"/>
        <v>0.6</v>
      </c>
      <c r="R186" s="177">
        <f t="shared" si="52"/>
        <v>0.80450668893600918</v>
      </c>
      <c r="S186" s="799">
        <f t="shared" si="53"/>
        <v>-1</v>
      </c>
      <c r="T186" s="176">
        <f t="shared" si="54"/>
        <v>5</v>
      </c>
      <c r="U186" s="250">
        <f t="shared" si="55"/>
        <v>-0.19549331106399082</v>
      </c>
      <c r="V186" s="382">
        <f t="shared" si="56"/>
        <v>58.045806002316183</v>
      </c>
      <c r="W186" s="400"/>
      <c r="X186" s="157">
        <f t="shared" si="57"/>
        <v>44368</v>
      </c>
      <c r="Y186" s="383">
        <f t="shared" si="58"/>
        <v>33.613999999999997</v>
      </c>
      <c r="Z186" s="383">
        <f t="shared" si="59"/>
        <v>34.190299462648056</v>
      </c>
      <c r="AA186" s="384">
        <f t="shared" si="60"/>
        <v>36.586491872758074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6.5493910114246282E-2</v>
      </c>
      <c r="AD186" s="230">
        <f>(INDEX(Models!$BJ186:$BT186,,AH186)*(1-AF186)+INDEX(Models!$BJ186:$BT186,,AH186+1)*AF186-ERP_i)*AE186*Ramure*Pc/MaxiM</f>
        <v>5.5837760140546971E-5</v>
      </c>
      <c r="AE186" s="304">
        <f t="shared" si="62"/>
        <v>0.6</v>
      </c>
      <c r="AF186" s="177">
        <f t="shared" si="63"/>
        <v>0.80450668893600918</v>
      </c>
      <c r="AG186" s="799">
        <f t="shared" si="71"/>
        <v>-1</v>
      </c>
      <c r="AH186" s="176">
        <f t="shared" si="64"/>
        <v>5</v>
      </c>
      <c r="AI186" s="224">
        <f t="shared" si="65"/>
        <v>-0.19549331106399082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37.813000000000002</v>
      </c>
      <c r="C187" s="388"/>
      <c r="D187" s="391">
        <f t="shared" si="48"/>
        <v>38.462026863727466</v>
      </c>
      <c r="E187" s="383">
        <f t="shared" si="72"/>
        <v>41.162430543959601</v>
      </c>
      <c r="F187" s="383">
        <f t="shared" si="49"/>
        <v>41.163596897572184</v>
      </c>
      <c r="G187" s="110">
        <f t="shared" si="73"/>
        <v>0.6520784438514321</v>
      </c>
      <c r="H187" s="412" t="b">
        <f>Wh_hp&gt;='2020'!Maxi_hp</f>
        <v>0</v>
      </c>
      <c r="I187" s="379">
        <f>IF(H187,Wh_hp,'2020'!Maxi_hp)</f>
        <v>63.676809848065162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1.6874484177003768E-2</v>
      </c>
      <c r="M187" s="832"/>
      <c r="N187" s="832"/>
      <c r="O187" s="48">
        <f>IF(t&lt;Tnet,'2020'!Resal+('2020'!Salim-'2020'!Resal)*(1-EXP(('2020'!Tnet-t)/('2020'!Tau_j))),Resal+(Salim-Resal)*(1-EXP((Tnet-t)/(Tau_j))))*Salcycl</f>
        <v>6.5603601258390959E-2</v>
      </c>
      <c r="P187" s="169">
        <f>(INDEX(Models!$BJ187:$BT187,,T187)*(1-R187)+INDEX(Models!$BJ187:$BT187,,T187+1)*R187-ERP_i)*Q187*Ramure*Pc/MaxiM</f>
        <v>5.6331719236769412E-5</v>
      </c>
      <c r="Q187" s="304">
        <f t="shared" si="51"/>
        <v>0.6</v>
      </c>
      <c r="R187" s="177">
        <f t="shared" si="52"/>
        <v>0.80937541787609679</v>
      </c>
      <c r="S187" s="799">
        <f t="shared" si="53"/>
        <v>-1</v>
      </c>
      <c r="T187" s="176">
        <f t="shared" si="54"/>
        <v>5</v>
      </c>
      <c r="U187" s="250">
        <f t="shared" si="55"/>
        <v>-0.19062458212390321</v>
      </c>
      <c r="V187" s="382">
        <f t="shared" si="56"/>
        <v>57.986798476570421</v>
      </c>
      <c r="W187" s="400"/>
      <c r="X187" s="157">
        <f t="shared" si="57"/>
        <v>44369</v>
      </c>
      <c r="Y187" s="383">
        <f t="shared" si="58"/>
        <v>37.813000000000002</v>
      </c>
      <c r="Z187" s="383">
        <f t="shared" si="59"/>
        <v>38.462026863727466</v>
      </c>
      <c r="AA187" s="384">
        <f t="shared" si="60"/>
        <v>41.162430543959601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6.5603601258390959E-2</v>
      </c>
      <c r="AD187" s="230">
        <f>(INDEX(Models!$BJ187:$BT187,,AH187)*(1-AF187)+INDEX(Models!$BJ187:$BT187,,AH187+1)*AF187-ERP_i)*AE187*Ramure*Pc/MaxiM</f>
        <v>5.6331719236769412E-5</v>
      </c>
      <c r="AE187" s="304">
        <f t="shared" si="62"/>
        <v>0.6</v>
      </c>
      <c r="AF187" s="177">
        <f t="shared" si="63"/>
        <v>0.80937541787609679</v>
      </c>
      <c r="AG187" s="799">
        <f t="shared" si="71"/>
        <v>-1</v>
      </c>
      <c r="AH187" s="176">
        <f t="shared" si="64"/>
        <v>5</v>
      </c>
      <c r="AI187" s="224">
        <f t="shared" si="65"/>
        <v>-0.19062458212390321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20.202999999999999</v>
      </c>
      <c r="C188" s="388"/>
      <c r="D188" s="391">
        <f t="shared" si="48"/>
        <v>20.55016055238249</v>
      </c>
      <c r="E188" s="383">
        <f t="shared" si="72"/>
        <v>21.995535256264436</v>
      </c>
      <c r="F188" s="383">
        <f t="shared" si="49"/>
        <v>21.995622454042934</v>
      </c>
      <c r="G188" s="110">
        <f t="shared" si="73"/>
        <v>0.34875135119521528</v>
      </c>
      <c r="H188" s="412" t="b">
        <f>Wh_hp&gt;='2020'!Maxi_hp</f>
        <v>0</v>
      </c>
      <c r="I188" s="379">
        <f>IF(H188,Wh_hp,'2020'!Maxi_hp)</f>
        <v>54.409239843799597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1.6893325553227534E-2</v>
      </c>
      <c r="M188" s="832"/>
      <c r="N188" s="832"/>
      <c r="O188" s="48">
        <f>IF(t&lt;Tnet,'2020'!Resal+('2020'!Salim-'2020'!Resal)*(1-EXP(('2020'!Tnet-t)/('2020'!Tau_j))),Resal+(Salim-Resal)*(1-EXP((Tnet-t)/(Tau_j))))*Salcycl</f>
        <v>6.5712185997851391E-2</v>
      </c>
      <c r="P188" s="169">
        <f>(INDEX(Models!$BJ188:$BT188,,T188)*(1-R188)+INDEX(Models!$BJ188:$BT188,,T188+1)*R188-ERP_i)*Q188*Ramure*Pc/MaxiM</f>
        <v>5.690050313378242E-5</v>
      </c>
      <c r="Q188" s="304">
        <f t="shared" si="51"/>
        <v>0.6</v>
      </c>
      <c r="R188" s="177">
        <f t="shared" si="52"/>
        <v>0.81419603270731877</v>
      </c>
      <c r="S188" s="799">
        <f t="shared" si="53"/>
        <v>-1</v>
      </c>
      <c r="T188" s="176">
        <f t="shared" si="54"/>
        <v>5</v>
      </c>
      <c r="U188" s="250">
        <f t="shared" si="55"/>
        <v>-0.18580396729268128</v>
      </c>
      <c r="V188" s="382">
        <f t="shared" si="56"/>
        <v>57.926458082249063</v>
      </c>
      <c r="W188" s="400"/>
      <c r="X188" s="157">
        <f t="shared" si="57"/>
        <v>44370</v>
      </c>
      <c r="Y188" s="383">
        <f t="shared" si="58"/>
        <v>20.202999999999999</v>
      </c>
      <c r="Z188" s="383">
        <f t="shared" si="59"/>
        <v>20.55016055238249</v>
      </c>
      <c r="AA188" s="384">
        <f t="shared" si="60"/>
        <v>21.995535256264436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6.5712185997851391E-2</v>
      </c>
      <c r="AD188" s="230">
        <f>(INDEX(Models!$BJ188:$BT188,,AH188)*(1-AF188)+INDEX(Models!$BJ188:$BT188,,AH188+1)*AF188-ERP_i)*AE188*Ramure*Pc/MaxiM</f>
        <v>5.690050313378242E-5</v>
      </c>
      <c r="AE188" s="304">
        <f t="shared" si="62"/>
        <v>0.6</v>
      </c>
      <c r="AF188" s="177">
        <f t="shared" si="63"/>
        <v>0.81419603270731877</v>
      </c>
      <c r="AG188" s="799">
        <f t="shared" si="71"/>
        <v>-1</v>
      </c>
      <c r="AH188" s="176">
        <f t="shared" si="64"/>
        <v>5</v>
      </c>
      <c r="AI188" s="224">
        <f t="shared" si="65"/>
        <v>-0.18580396729268128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36.917999999999999</v>
      </c>
      <c r="C189" s="388"/>
      <c r="D189" s="391">
        <f t="shared" si="48"/>
        <v>37.553104356028179</v>
      </c>
      <c r="E189" s="383">
        <f t="shared" si="72"/>
        <v>40.198988020519295</v>
      </c>
      <c r="F189" s="383">
        <f t="shared" si="49"/>
        <v>40.200105044612201</v>
      </c>
      <c r="G189" s="110">
        <f t="shared" si="73"/>
        <v>0.6379856248210718</v>
      </c>
      <c r="H189" s="412" t="b">
        <f>Wh_hp&gt;='2020'!Maxi_hp</f>
        <v>0</v>
      </c>
      <c r="I189" s="379">
        <f>IF(H189,Wh_hp,'2020'!Maxi_hp)</f>
        <v>62.441537989908561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1.6912166568360587E-2</v>
      </c>
      <c r="M189" s="832"/>
      <c r="N189" s="832"/>
      <c r="O189" s="48">
        <f>IF(t&lt;Tnet,'2020'!Resal+('2020'!Salim-'2020'!Resal)*(1-EXP(('2020'!Tnet-t)/('2020'!Tau_j))),Resal+(Salim-Resal)*(1-EXP((Tnet-t)/(Tau_j))))*Salcycl</f>
        <v>6.581965852325794E-2</v>
      </c>
      <c r="P189" s="169">
        <f>(INDEX(Models!$BJ189:$BT189,,T189)*(1-R189)+INDEX(Models!$BJ189:$BT189,,T189+1)*R189-ERP_i)*Q189*Ramure*Pc/MaxiM</f>
        <v>5.7545420359639138E-5</v>
      </c>
      <c r="Q189" s="304">
        <f t="shared" si="51"/>
        <v>0.6</v>
      </c>
      <c r="R189" s="177">
        <f t="shared" si="52"/>
        <v>0.8189652350888611</v>
      </c>
      <c r="S189" s="799">
        <f t="shared" si="53"/>
        <v>-1</v>
      </c>
      <c r="T189" s="176">
        <f t="shared" si="54"/>
        <v>5</v>
      </c>
      <c r="U189" s="250">
        <f t="shared" si="55"/>
        <v>-0.1810347649111389</v>
      </c>
      <c r="V189" s="382">
        <f t="shared" si="56"/>
        <v>57.864785501336939</v>
      </c>
      <c r="W189" s="400"/>
      <c r="X189" s="157">
        <f t="shared" si="57"/>
        <v>44371</v>
      </c>
      <c r="Y189" s="383">
        <f t="shared" si="58"/>
        <v>36.917999999999999</v>
      </c>
      <c r="Z189" s="383">
        <f t="shared" si="59"/>
        <v>37.553104356028179</v>
      </c>
      <c r="AA189" s="384">
        <f t="shared" si="60"/>
        <v>40.198988020519295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6.581965852325794E-2</v>
      </c>
      <c r="AD189" s="230">
        <f>(INDEX(Models!$BJ189:$BT189,,AH189)*(1-AF189)+INDEX(Models!$BJ189:$BT189,,AH189+1)*AF189-ERP_i)*AE189*Ramure*Pc/MaxiM</f>
        <v>5.7545420359639138E-5</v>
      </c>
      <c r="AE189" s="304">
        <f t="shared" si="62"/>
        <v>0.6</v>
      </c>
      <c r="AF189" s="177">
        <f t="shared" si="63"/>
        <v>0.8189652350888611</v>
      </c>
      <c r="AG189" s="799">
        <f t="shared" si="71"/>
        <v>-1</v>
      </c>
      <c r="AH189" s="176">
        <f t="shared" si="64"/>
        <v>5</v>
      </c>
      <c r="AI189" s="224">
        <f t="shared" si="65"/>
        <v>-0.1810347649111389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52.258000000000003</v>
      </c>
      <c r="C190" s="388"/>
      <c r="D190" s="391">
        <f t="shared" si="48"/>
        <v>53.158018800235794</v>
      </c>
      <c r="E190" s="383">
        <f t="shared" si="72"/>
        <v>56.909859089697562</v>
      </c>
      <c r="F190" s="383">
        <f t="shared" si="49"/>
        <v>56.912720927887193</v>
      </c>
      <c r="G190" s="110">
        <f t="shared" si="73"/>
        <v>0.90408256810247745</v>
      </c>
      <c r="H190" s="412" t="b">
        <f>Wh_hp&gt;='2020'!Maxi_hp</f>
        <v>0</v>
      </c>
      <c r="I190" s="379">
        <f>IF(H190,Wh_hp,'2020'!Maxi_hp)</f>
        <v>58.359170518097258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1.6931007222409922E-2</v>
      </c>
      <c r="M190" s="832"/>
      <c r="N190" s="832"/>
      <c r="O190" s="48">
        <f>IF(t&lt;Tnet,'2020'!Resal+('2020'!Salim-'2020'!Resal)*(1-EXP(('2020'!Tnet-t)/('2020'!Tau_j))),Resal+(Salim-Resal)*(1-EXP((Tnet-t)/(Tau_j))))*Salcycl</f>
        <v>6.5926016150353955E-2</v>
      </c>
      <c r="P190" s="169">
        <f>(INDEX(Models!$BJ190:$BT190,,T190)*(1-R190)+INDEX(Models!$BJ190:$BT190,,T190+1)*R190-ERP_i)*Q190*Ramure*Pc/MaxiM</f>
        <v>5.826828994899597E-5</v>
      </c>
      <c r="Q190" s="304">
        <f t="shared" si="51"/>
        <v>0.6</v>
      </c>
      <c r="R190" s="177">
        <f t="shared" si="52"/>
        <v>0.82367988247983703</v>
      </c>
      <c r="S190" s="799">
        <f t="shared" si="53"/>
        <v>-1</v>
      </c>
      <c r="T190" s="176">
        <f t="shared" si="54"/>
        <v>5</v>
      </c>
      <c r="U190" s="250">
        <f t="shared" si="55"/>
        <v>-0.17632011752016302</v>
      </c>
      <c r="V190" s="382">
        <f t="shared" si="56"/>
        <v>57.801781181803243</v>
      </c>
      <c r="W190" s="400"/>
      <c r="X190" s="157">
        <f t="shared" si="57"/>
        <v>44372</v>
      </c>
      <c r="Y190" s="383">
        <f t="shared" si="58"/>
        <v>52.258000000000003</v>
      </c>
      <c r="Z190" s="383">
        <f t="shared" si="59"/>
        <v>53.158018800235794</v>
      </c>
      <c r="AA190" s="384">
        <f t="shared" si="60"/>
        <v>56.909859089697562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6.5926016150353955E-2</v>
      </c>
      <c r="AD190" s="230">
        <f>(INDEX(Models!$BJ190:$BT190,,AH190)*(1-AF190)+INDEX(Models!$BJ190:$BT190,,AH190+1)*AF190-ERP_i)*AE190*Ramure*Pc/MaxiM</f>
        <v>5.826828994899597E-5</v>
      </c>
      <c r="AE190" s="304">
        <f t="shared" si="62"/>
        <v>0.6</v>
      </c>
      <c r="AF190" s="177">
        <f t="shared" si="63"/>
        <v>0.82367988247983703</v>
      </c>
      <c r="AG190" s="799">
        <f t="shared" si="71"/>
        <v>-1</v>
      </c>
      <c r="AH190" s="176">
        <f t="shared" si="64"/>
        <v>5</v>
      </c>
      <c r="AI190" s="224">
        <f t="shared" si="65"/>
        <v>-0.17632011752016302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55.508000000000003</v>
      </c>
      <c r="C191" s="388"/>
      <c r="D191" s="391">
        <f t="shared" si="48"/>
        <v>56.465074401042394</v>
      </c>
      <c r="E191" s="383">
        <f t="shared" si="72"/>
        <v>60.45713516815605</v>
      </c>
      <c r="F191" s="383">
        <f t="shared" si="49"/>
        <v>60.460509614669505</v>
      </c>
      <c r="G191" s="110">
        <f t="shared" si="73"/>
        <v>0.96138335800192742</v>
      </c>
      <c r="H191" s="412" t="b">
        <f>Wh_hp&gt;='2020'!Maxi_hp</f>
        <v>1</v>
      </c>
      <c r="I191" s="379">
        <f>IF(H191,Wh_hp,'2020'!Maxi_hp)</f>
        <v>60.460509614669505</v>
      </c>
      <c r="J191" s="85">
        <f>IF(H191,An,'2020'!An_max)</f>
        <v>2021</v>
      </c>
      <c r="K191" s="197">
        <f t="shared" si="50"/>
        <v>44373</v>
      </c>
      <c r="L191" s="147">
        <f>IF(t&lt;Tvie,1-EXP((T0-t)*PertePVj)+'2020'!Pspv,1-EXP((T0-t)*PertePVj)+Pspv)</f>
        <v>1.6949847515382421E-2</v>
      </c>
      <c r="M191" s="832"/>
      <c r="N191" s="832"/>
      <c r="O191" s="48">
        <f>IF(t&lt;Tnet,'2020'!Resal+('2020'!Salim-'2020'!Resal)*(1-EXP(('2020'!Tnet-t)/('2020'!Tau_j))),Resal+(Salim-Resal)*(1-EXP((Tnet-t)/(Tau_j))))*Salcycl</f>
        <v>6.603125927171534E-2</v>
      </c>
      <c r="P191" s="169">
        <f>(INDEX(Models!$BJ191:$BT191,,T191)*(1-R191)+INDEX(Models!$BJ191:$BT191,,T191+1)*R191-ERP_i)*Q191*Ramure*Pc/MaxiM</f>
        <v>5.9070883343438078E-5</v>
      </c>
      <c r="Q191" s="304">
        <f t="shared" si="51"/>
        <v>0.6</v>
      </c>
      <c r="R191" s="177">
        <f t="shared" si="52"/>
        <v>0.82833699482066925</v>
      </c>
      <c r="S191" s="799">
        <f t="shared" si="53"/>
        <v>-1</v>
      </c>
      <c r="T191" s="176">
        <f t="shared" si="54"/>
        <v>5</v>
      </c>
      <c r="U191" s="250">
        <f t="shared" si="55"/>
        <v>-0.17166300517933075</v>
      </c>
      <c r="V191" s="382">
        <f t="shared" si="56"/>
        <v>57.737445376328694</v>
      </c>
      <c r="W191" s="400"/>
      <c r="X191" s="157">
        <f t="shared" si="57"/>
        <v>44373</v>
      </c>
      <c r="Y191" s="383">
        <f t="shared" si="58"/>
        <v>55.508000000000003</v>
      </c>
      <c r="Z191" s="383">
        <f t="shared" si="59"/>
        <v>56.465074401042394</v>
      </c>
      <c r="AA191" s="384">
        <f t="shared" si="60"/>
        <v>60.45713516815605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6.603125927171534E-2</v>
      </c>
      <c r="AD191" s="230">
        <f>(INDEX(Models!$BJ191:$BT191,,AH191)*(1-AF191)+INDEX(Models!$BJ191:$BT191,,AH191+1)*AF191-ERP_i)*AE191*Ramure*Pc/MaxiM</f>
        <v>5.9070883343438078E-5</v>
      </c>
      <c r="AE191" s="304">
        <f t="shared" si="62"/>
        <v>0.6</v>
      </c>
      <c r="AF191" s="177">
        <f t="shared" si="63"/>
        <v>0.82833699482066925</v>
      </c>
      <c r="AG191" s="799">
        <f t="shared" si="71"/>
        <v>-1</v>
      </c>
      <c r="AH191" s="176">
        <f t="shared" si="64"/>
        <v>5</v>
      </c>
      <c r="AI191" s="224">
        <f t="shared" si="65"/>
        <v>-0.17166300517933075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8.5820000000000007</v>
      </c>
      <c r="C192" s="388"/>
      <c r="D192" s="391">
        <f t="shared" si="48"/>
        <v>8.7301390000634314</v>
      </c>
      <c r="E192" s="383">
        <f t="shared" si="72"/>
        <v>9.3483990277089735</v>
      </c>
      <c r="F192" s="383">
        <f t="shared" si="49"/>
        <v>9.3483990277089735</v>
      </c>
      <c r="G192" s="110">
        <f t="shared" si="73"/>
        <v>0.14879869744150165</v>
      </c>
      <c r="H192" s="412" t="b">
        <f>Wh_hp&gt;='2020'!Maxi_hp</f>
        <v>0</v>
      </c>
      <c r="I192" s="379">
        <f>IF(H192,Wh_hp,'2020'!Maxi_hp)</f>
        <v>59.284461981263078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1.696868744728508E-2</v>
      </c>
      <c r="M192" s="832"/>
      <c r="N192" s="832"/>
      <c r="O192" s="48">
        <f>IF(t&lt;Tnet,'2020'!Resal+('2020'!Salim-'2020'!Resal)*(1-EXP(('2020'!Tnet-t)/('2020'!Tau_j))),Resal+(Salim-Resal)*(1-EXP((Tnet-t)/(Tau_j))))*Salcycl</f>
        <v>6.6135391291385556E-2</v>
      </c>
      <c r="P192" s="169">
        <f>(INDEX(Models!$BJ192:$BT192,,T192)*(1-R192)+INDEX(Models!$BJ192:$BT192,,T192+1)*R192-ERP_i)*Q192*Ramure*Pc/MaxiM</f>
        <v>6.0012748806700579E-5</v>
      </c>
      <c r="Q192" s="304">
        <f t="shared" si="51"/>
        <v>0.6</v>
      </c>
      <c r="R192" s="177">
        <f t="shared" si="52"/>
        <v>0.83293376023838639</v>
      </c>
      <c r="S192" s="799">
        <f t="shared" si="53"/>
        <v>-1</v>
      </c>
      <c r="T192" s="176">
        <f t="shared" si="54"/>
        <v>5</v>
      </c>
      <c r="U192" s="250">
        <f t="shared" si="55"/>
        <v>-0.16706623976161361</v>
      </c>
      <c r="V192" s="382">
        <f t="shared" si="56"/>
        <v>57.671774808132618</v>
      </c>
      <c r="W192" s="400"/>
      <c r="X192" s="157">
        <f t="shared" si="57"/>
        <v>44374</v>
      </c>
      <c r="Y192" s="383">
        <f t="shared" si="58"/>
        <v>8.5820000000000007</v>
      </c>
      <c r="Z192" s="383">
        <f t="shared" si="59"/>
        <v>8.7301390000634314</v>
      </c>
      <c r="AA192" s="384">
        <f t="shared" si="60"/>
        <v>9.3483990277089735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6.6135391291385556E-2</v>
      </c>
      <c r="AD192" s="230">
        <f>(INDEX(Models!$BJ192:$BT192,,AH192)*(1-AF192)+INDEX(Models!$BJ192:$BT192,,AH192+1)*AF192-ERP_i)*AE192*Ramure*Pc/MaxiM</f>
        <v>6.0012748806700579E-5</v>
      </c>
      <c r="AE192" s="304">
        <f t="shared" si="62"/>
        <v>0.6</v>
      </c>
      <c r="AF192" s="177">
        <f t="shared" si="63"/>
        <v>0.83293376023838639</v>
      </c>
      <c r="AG192" s="799">
        <f t="shared" si="71"/>
        <v>-1</v>
      </c>
      <c r="AH192" s="176">
        <f t="shared" si="64"/>
        <v>5</v>
      </c>
      <c r="AI192" s="224">
        <f t="shared" si="65"/>
        <v>-0.16706623976161361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30.978000000000002</v>
      </c>
      <c r="C193" s="388"/>
      <c r="D193" s="391">
        <f t="shared" si="48"/>
        <v>31.513333606064194</v>
      </c>
      <c r="E193" s="383">
        <f t="shared" si="72"/>
        <v>33.748800798690048</v>
      </c>
      <c r="F193" s="383">
        <f t="shared" si="49"/>
        <v>33.749500690879579</v>
      </c>
      <c r="G193" s="110">
        <f t="shared" si="73"/>
        <v>0.53774626850432361</v>
      </c>
      <c r="H193" s="412" t="b">
        <f>Wh_hp&gt;='2020'!Maxi_hp</f>
        <v>0</v>
      </c>
      <c r="I193" s="379">
        <f>IF(H193,Wh_hp,'2020'!Maxi_hp)</f>
        <v>58.768659974881878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1.6987527018124671E-2</v>
      </c>
      <c r="M193" s="832"/>
      <c r="N193" s="832"/>
      <c r="O193" s="48">
        <f>IF(t&lt;Tnet,'2020'!Resal+('2020'!Salim-'2020'!Resal)*(1-EXP(('2020'!Tnet-t)/('2020'!Tau_j))),Resal+(Salim-Resal)*(1-EXP((Tnet-t)/(Tau_j))))*Salcycl</f>
        <v>6.6238418542937424E-2</v>
      </c>
      <c r="P193" s="169">
        <f>(INDEX(Models!$BJ193:$BT193,,T193)*(1-R193)+INDEX(Models!$BJ193:$BT193,,T193+1)*R193-ERP_i)*Q193*Ramure*Pc/MaxiM</f>
        <v>6.105321283510757E-5</v>
      </c>
      <c r="Q193" s="304">
        <f t="shared" si="51"/>
        <v>0.6</v>
      </c>
      <c r="R193" s="177">
        <f t="shared" si="52"/>
        <v>0.83746753976921595</v>
      </c>
      <c r="S193" s="799">
        <f t="shared" si="53"/>
        <v>-1</v>
      </c>
      <c r="T193" s="176">
        <f t="shared" si="54"/>
        <v>5</v>
      </c>
      <c r="U193" s="250">
        <f t="shared" si="55"/>
        <v>-0.1625324602307841</v>
      </c>
      <c r="V193" s="382">
        <f t="shared" si="56"/>
        <v>57.604771802594279</v>
      </c>
      <c r="W193" s="400"/>
      <c r="X193" s="157">
        <f t="shared" si="57"/>
        <v>44375</v>
      </c>
      <c r="Y193" s="383">
        <f t="shared" si="58"/>
        <v>30.978000000000005</v>
      </c>
      <c r="Z193" s="383">
        <f t="shared" si="59"/>
        <v>31.513333606064197</v>
      </c>
      <c r="AA193" s="384">
        <f t="shared" si="60"/>
        <v>33.748800798690048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6.6238418542937424E-2</v>
      </c>
      <c r="AD193" s="230">
        <f>(INDEX(Models!$BJ193:$BT193,,AH193)*(1-AF193)+INDEX(Models!$BJ193:$BT193,,AH193+1)*AF193-ERP_i)*AE193*Ramure*Pc/MaxiM</f>
        <v>6.105321283510757E-5</v>
      </c>
      <c r="AE193" s="304">
        <f t="shared" si="62"/>
        <v>0.6</v>
      </c>
      <c r="AF193" s="177">
        <f t="shared" si="63"/>
        <v>0.83746753976921595</v>
      </c>
      <c r="AG193" s="799">
        <f t="shared" si="71"/>
        <v>-1</v>
      </c>
      <c r="AH193" s="176">
        <f t="shared" si="64"/>
        <v>5</v>
      </c>
      <c r="AI193" s="224">
        <f t="shared" si="65"/>
        <v>-0.1625324602307841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40.298000000000002</v>
      </c>
      <c r="C194" s="388"/>
      <c r="D194" s="391">
        <f t="shared" si="48"/>
        <v>40.995179028131062</v>
      </c>
      <c r="E194" s="383">
        <f t="shared" si="72"/>
        <v>43.908054756938476</v>
      </c>
      <c r="F194" s="383">
        <f t="shared" si="49"/>
        <v>43.909616810885119</v>
      </c>
      <c r="G194" s="110">
        <f t="shared" si="73"/>
        <v>0.7003723206822875</v>
      </c>
      <c r="H194" s="412" t="b">
        <f>Wh_hp&gt;='2020'!Maxi_hp</f>
        <v>0</v>
      </c>
      <c r="I194" s="379">
        <f>IF(H194,Wh_hp,'2020'!Maxi_hp)</f>
        <v>57.102404093147875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1.7006366227908187E-2</v>
      </c>
      <c r="M194" s="832"/>
      <c r="N194" s="832"/>
      <c r="O194" s="48">
        <f>IF(t&lt;Tnet,'2020'!Resal+('2020'!Salim-'2020'!Resal)*(1-EXP(('2020'!Tnet-t)/('2020'!Tau_j))),Resal+(Salim-Resal)*(1-EXP((Tnet-t)/(Tau_j))))*Salcycl</f>
        <v>6.6340350191603767E-2</v>
      </c>
      <c r="P194" s="169">
        <f>(INDEX(Models!$BJ194:$BT194,,T194)*(1-R194)+INDEX(Models!$BJ194:$BT194,,T194+1)*R194-ERP_i)*Q194*Ramure*Pc/MaxiM</f>
        <v>6.2194238067545123E-5</v>
      </c>
      <c r="Q194" s="304">
        <f t="shared" si="51"/>
        <v>0.6</v>
      </c>
      <c r="R194" s="177">
        <f t="shared" si="52"/>
        <v>0.84193587110098822</v>
      </c>
      <c r="S194" s="799">
        <f t="shared" si="53"/>
        <v>-1</v>
      </c>
      <c r="T194" s="176">
        <f t="shared" si="54"/>
        <v>5</v>
      </c>
      <c r="U194" s="250">
        <f t="shared" si="55"/>
        <v>-0.15806412889901178</v>
      </c>
      <c r="V194" s="382">
        <f t="shared" si="56"/>
        <v>57.536436037872463</v>
      </c>
      <c r="W194" s="400"/>
      <c r="X194" s="157">
        <f t="shared" si="57"/>
        <v>44376</v>
      </c>
      <c r="Y194" s="383">
        <f t="shared" si="58"/>
        <v>40.298000000000002</v>
      </c>
      <c r="Z194" s="383">
        <f t="shared" si="59"/>
        <v>40.995179028131062</v>
      </c>
      <c r="AA194" s="384">
        <f t="shared" si="60"/>
        <v>43.908054756938476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6.6340350191603767E-2</v>
      </c>
      <c r="AD194" s="230">
        <f>(INDEX(Models!$BJ194:$BT194,,AH194)*(1-AF194)+INDEX(Models!$BJ194:$BT194,,AH194+1)*AF194-ERP_i)*AE194*Ramure*Pc/MaxiM</f>
        <v>6.2194238067545123E-5</v>
      </c>
      <c r="AE194" s="304">
        <f t="shared" si="62"/>
        <v>0.6</v>
      </c>
      <c r="AF194" s="177">
        <f t="shared" si="63"/>
        <v>0.84193587110098822</v>
      </c>
      <c r="AG194" s="799">
        <f t="shared" si="71"/>
        <v>-1</v>
      </c>
      <c r="AH194" s="176">
        <f t="shared" si="64"/>
        <v>5</v>
      </c>
      <c r="AI194" s="224">
        <f t="shared" si="65"/>
        <v>-0.15806412889901178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47.222000000000001</v>
      </c>
      <c r="C195" s="388"/>
      <c r="D195" s="391">
        <f t="shared" si="48"/>
        <v>48.039888961427437</v>
      </c>
      <c r="E195" s="383">
        <f t="shared" si="72"/>
        <v>51.458878503152434</v>
      </c>
      <c r="F195" s="383">
        <f t="shared" si="49"/>
        <v>51.461311680583044</v>
      </c>
      <c r="G195" s="110">
        <f t="shared" si="73"/>
        <v>0.82171382680076788</v>
      </c>
      <c r="H195" s="412" t="b">
        <f>Wh_hp&gt;='2020'!Maxi_hp</f>
        <v>0</v>
      </c>
      <c r="I195" s="379">
        <f>IF(H195,Wh_hp,'2020'!Maxi_hp)</f>
        <v>52.702185547178217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1.7025205076642513E-2</v>
      </c>
      <c r="M195" s="832"/>
      <c r="N195" s="832"/>
      <c r="O195" s="48">
        <f>IF(t&lt;Tnet,'2020'!Resal+('2020'!Salim-'2020'!Resal)*(1-EXP(('2020'!Tnet-t)/('2020'!Tau_j))),Resal+(Salim-Resal)*(1-EXP((Tnet-t)/(Tau_j))))*Salcycl</f>
        <v>6.6441198121244507E-2</v>
      </c>
      <c r="P195" s="169">
        <f>(INDEX(Models!$BJ195:$BT195,,T195)*(1-R195)+INDEX(Models!$BJ195:$BT195,,T195+1)*R195-ERP_i)*Q195*Ramure*Pc/MaxiM</f>
        <v>6.3437720523390744E-5</v>
      </c>
      <c r="Q195" s="304">
        <f t="shared" si="51"/>
        <v>0.6</v>
      </c>
      <c r="R195" s="177">
        <f t="shared" si="52"/>
        <v>0.84633647134654377</v>
      </c>
      <c r="S195" s="799">
        <f t="shared" si="53"/>
        <v>-1</v>
      </c>
      <c r="T195" s="176">
        <f t="shared" si="54"/>
        <v>5</v>
      </c>
      <c r="U195" s="250">
        <f t="shared" si="55"/>
        <v>-0.15366352865345617</v>
      </c>
      <c r="V195" s="382">
        <f t="shared" si="56"/>
        <v>57.466767022013343</v>
      </c>
      <c r="W195" s="400"/>
      <c r="X195" s="157">
        <f t="shared" si="57"/>
        <v>44377</v>
      </c>
      <c r="Y195" s="383">
        <f t="shared" si="58"/>
        <v>47.222000000000001</v>
      </c>
      <c r="Z195" s="383">
        <f t="shared" si="59"/>
        <v>48.039888961427437</v>
      </c>
      <c r="AA195" s="384">
        <f t="shared" si="60"/>
        <v>51.458878503152434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6.6441198121244507E-2</v>
      </c>
      <c r="AD195" s="230">
        <f>(INDEX(Models!$BJ195:$BT195,,AH195)*(1-AF195)+INDEX(Models!$BJ195:$BT195,,AH195+1)*AF195-ERP_i)*AE195*Ramure*Pc/MaxiM</f>
        <v>6.3437720523390744E-5</v>
      </c>
      <c r="AE195" s="304">
        <f t="shared" si="62"/>
        <v>0.6</v>
      </c>
      <c r="AF195" s="177">
        <f t="shared" si="63"/>
        <v>0.84633647134654377</v>
      </c>
      <c r="AG195" s="799">
        <f t="shared" si="71"/>
        <v>-1</v>
      </c>
      <c r="AH195" s="176">
        <f t="shared" si="64"/>
        <v>5</v>
      </c>
      <c r="AI195" s="224">
        <f t="shared" si="65"/>
        <v>-0.15366352865345617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51.201000000000001</v>
      </c>
      <c r="C196" s="388"/>
      <c r="D196" s="391">
        <f t="shared" si="48"/>
        <v>52.088803841895349</v>
      </c>
      <c r="E196" s="383">
        <f t="shared" si="72"/>
        <v>55.801917971419783</v>
      </c>
      <c r="F196" s="383">
        <f t="shared" si="49"/>
        <v>55.804975884863005</v>
      </c>
      <c r="G196" s="110">
        <f t="shared" si="73"/>
        <v>0.89206040414068688</v>
      </c>
      <c r="H196" s="412" t="b">
        <f>Wh_hp&gt;='2020'!Maxi_hp</f>
        <v>0</v>
      </c>
      <c r="I196" s="379">
        <f>IF(H196,Wh_hp,'2020'!Maxi_hp)</f>
        <v>60.959454139649438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1.7044043564334643E-2</v>
      </c>
      <c r="M196" s="832"/>
      <c r="N196" s="832"/>
      <c r="O196" s="48">
        <f>IF(t&lt;Tnet,'2020'!Resal+('2020'!Salim-'2020'!Resal)*(1-EXP(('2020'!Tnet-t)/('2020'!Tau_j))),Resal+(Salim-Resal)*(1-EXP((Tnet-t)/(Tau_j))))*Salcycl</f>
        <v>6.6540976807037189E-2</v>
      </c>
      <c r="P196" s="169">
        <f>(INDEX(Models!$BJ196:$BT196,,T196)*(1-R196)+INDEX(Models!$BJ196:$BT196,,T196+1)*R196-ERP_i)*Q196*Ramure*Pc/MaxiM</f>
        <v>6.4785490224528788E-5</v>
      </c>
      <c r="Q196" s="304">
        <f t="shared" si="51"/>
        <v>0.6</v>
      </c>
      <c r="R196" s="177">
        <f t="shared" si="52"/>
        <v>0.85066723886748674</v>
      </c>
      <c r="S196" s="799">
        <f t="shared" si="53"/>
        <v>-1</v>
      </c>
      <c r="T196" s="176">
        <f t="shared" si="54"/>
        <v>5</v>
      </c>
      <c r="U196" s="250">
        <f t="shared" si="55"/>
        <v>-0.14933276113251331</v>
      </c>
      <c r="V196" s="382">
        <f t="shared" si="56"/>
        <v>57.395764103452905</v>
      </c>
      <c r="W196" s="400"/>
      <c r="X196" s="157">
        <f t="shared" si="57"/>
        <v>44378</v>
      </c>
      <c r="Y196" s="383">
        <f t="shared" si="58"/>
        <v>51.201000000000001</v>
      </c>
      <c r="Z196" s="383">
        <f t="shared" si="59"/>
        <v>52.088803841895349</v>
      </c>
      <c r="AA196" s="384">
        <f t="shared" si="60"/>
        <v>55.801917971419783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6.6540976807037189E-2</v>
      </c>
      <c r="AD196" s="230">
        <f>(INDEX(Models!$BJ196:$BT196,,AH196)*(1-AF196)+INDEX(Models!$BJ196:$BT196,,AH196+1)*AF196-ERP_i)*AE196*Ramure*Pc/MaxiM</f>
        <v>6.4785490224528788E-5</v>
      </c>
      <c r="AE196" s="304">
        <f t="shared" si="62"/>
        <v>0.6</v>
      </c>
      <c r="AF196" s="177">
        <f t="shared" si="63"/>
        <v>0.85066723886748674</v>
      </c>
      <c r="AG196" s="799">
        <f t="shared" si="71"/>
        <v>-1</v>
      </c>
      <c r="AH196" s="176">
        <f t="shared" si="64"/>
        <v>5</v>
      </c>
      <c r="AI196" s="224">
        <f t="shared" si="65"/>
        <v>-0.14933276113251331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51.377000000000002</v>
      </c>
      <c r="C197" s="388"/>
      <c r="D197" s="391">
        <f t="shared" si="48"/>
        <v>52.268857328723321</v>
      </c>
      <c r="E197" s="383">
        <f t="shared" si="72"/>
        <v>56.000729307341892</v>
      </c>
      <c r="F197" s="383">
        <f t="shared" si="49"/>
        <v>56.003889223248791</v>
      </c>
      <c r="G197" s="110">
        <f t="shared" si="73"/>
        <v>0.8962565359901159</v>
      </c>
      <c r="H197" s="412" t="b">
        <f>Wh_hp&gt;='2020'!Maxi_hp</f>
        <v>1</v>
      </c>
      <c r="I197" s="379">
        <f>IF(H197,Wh_hp,'2020'!Maxi_hp)</f>
        <v>56.003889223248791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1.706288169099146E-2</v>
      </c>
      <c r="M197" s="832"/>
      <c r="N197" s="832"/>
      <c r="O197" s="48">
        <f>IF(t&lt;Tnet,'2020'!Resal+('2020'!Salim-'2020'!Resal)*(1-EXP(('2020'!Tnet-t)/('2020'!Tau_j))),Resal+(Salim-Resal)*(1-EXP((Tnet-t)/(Tau_j))))*Salcycl</f>
        <v>6.6639703174888959E-2</v>
      </c>
      <c r="P197" s="169">
        <f>(INDEX(Models!$BJ197:$BT197,,T197)*(1-R197)+INDEX(Models!$BJ197:$BT197,,T197+1)*R197-ERP_i)*Q197*Ramure*Pc/MaxiM</f>
        <v>6.6239312486443121E-5</v>
      </c>
      <c r="Q197" s="304">
        <f t="shared" si="51"/>
        <v>0.6</v>
      </c>
      <c r="R197" s="177">
        <f t="shared" si="52"/>
        <v>0.85492625417514734</v>
      </c>
      <c r="S197" s="799">
        <f t="shared" si="53"/>
        <v>-1</v>
      </c>
      <c r="T197" s="176">
        <f t="shared" si="54"/>
        <v>5</v>
      </c>
      <c r="U197" s="250">
        <f t="shared" si="55"/>
        <v>-0.14507374582485266</v>
      </c>
      <c r="V197" s="382">
        <f t="shared" si="56"/>
        <v>57.323426478408024</v>
      </c>
      <c r="W197" s="400"/>
      <c r="X197" s="157">
        <f t="shared" si="57"/>
        <v>44379</v>
      </c>
      <c r="Y197" s="383">
        <f t="shared" si="58"/>
        <v>51.377000000000002</v>
      </c>
      <c r="Z197" s="383">
        <f t="shared" si="59"/>
        <v>52.268857328723321</v>
      </c>
      <c r="AA197" s="384">
        <f t="shared" si="60"/>
        <v>56.000729307341892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6.6639703174888959E-2</v>
      </c>
      <c r="AD197" s="230">
        <f>(INDEX(Models!$BJ197:$BT197,,AH197)*(1-AF197)+INDEX(Models!$BJ197:$BT197,,AH197+1)*AF197-ERP_i)*AE197*Ramure*Pc/MaxiM</f>
        <v>6.6239312486443121E-5</v>
      </c>
      <c r="AE197" s="304">
        <f t="shared" si="62"/>
        <v>0.6</v>
      </c>
      <c r="AF197" s="177">
        <f t="shared" si="63"/>
        <v>0.85492625417514734</v>
      </c>
      <c r="AG197" s="799">
        <f t="shared" si="71"/>
        <v>-1</v>
      </c>
      <c r="AH197" s="176">
        <f t="shared" si="64"/>
        <v>5</v>
      </c>
      <c r="AI197" s="224">
        <f t="shared" si="65"/>
        <v>-0.14507374582485266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32.346000000000004</v>
      </c>
      <c r="C198" s="388"/>
      <c r="D198" s="391">
        <f t="shared" si="48"/>
        <v>32.908127400091061</v>
      </c>
      <c r="E198" s="383">
        <f t="shared" si="72"/>
        <v>35.261380103377427</v>
      </c>
      <c r="F198" s="383">
        <f t="shared" si="49"/>
        <v>35.262285340336526</v>
      </c>
      <c r="G198" s="110">
        <f t="shared" si="73"/>
        <v>0.56497426520531624</v>
      </c>
      <c r="H198" s="412" t="b">
        <f>Wh_hp&gt;='2020'!Maxi_hp</f>
        <v>0</v>
      </c>
      <c r="I198" s="379">
        <f>IF(H198,Wh_hp,'2020'!Maxi_hp)</f>
        <v>49.626071649823778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1.7081719456619848E-2</v>
      </c>
      <c r="M198" s="832"/>
      <c r="N198" s="832"/>
      <c r="O198" s="48">
        <f>IF(t&lt;Tnet,'2020'!Resal+('2020'!Salim-'2020'!Resal)*(1-EXP(('2020'!Tnet-t)/('2020'!Tau_j))),Resal+(Salim-Resal)*(1-EXP((Tnet-t)/(Tau_j))))*Salcycl</f>
        <v>6.6737396448670619E-2</v>
      </c>
      <c r="P198" s="169">
        <f>(INDEX(Models!$BJ198:$BT198,,T198)*(1-R198)+INDEX(Models!$BJ198:$BT198,,T198+1)*R198-ERP_i)*Q198*Ramure*Pc/MaxiM</f>
        <v>6.7812091958629737E-5</v>
      </c>
      <c r="Q198" s="304">
        <f t="shared" si="51"/>
        <v>0.6</v>
      </c>
      <c r="R198" s="177">
        <f t="shared" si="52"/>
        <v>0.85911177994244381</v>
      </c>
      <c r="S198" s="799">
        <f t="shared" si="53"/>
        <v>-1</v>
      </c>
      <c r="T198" s="176">
        <f t="shared" si="54"/>
        <v>5</v>
      </c>
      <c r="U198" s="250">
        <f t="shared" si="55"/>
        <v>-0.14088822005755619</v>
      </c>
      <c r="V198" s="382">
        <f t="shared" si="56"/>
        <v>57.249752561325337</v>
      </c>
      <c r="W198" s="400"/>
      <c r="X198" s="157">
        <f t="shared" si="57"/>
        <v>44380</v>
      </c>
      <c r="Y198" s="383">
        <f t="shared" si="58"/>
        <v>32.346000000000004</v>
      </c>
      <c r="Z198" s="383">
        <f t="shared" si="59"/>
        <v>32.908127400091061</v>
      </c>
      <c r="AA198" s="384">
        <f t="shared" si="60"/>
        <v>35.261380103377427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6.6737396448670619E-2</v>
      </c>
      <c r="AD198" s="230">
        <f>(INDEX(Models!$BJ198:$BT198,,AH198)*(1-AF198)+INDEX(Models!$BJ198:$BT198,,AH198+1)*AF198-ERP_i)*AE198*Ramure*Pc/MaxiM</f>
        <v>6.7812091958629737E-5</v>
      </c>
      <c r="AE198" s="304">
        <f t="shared" si="62"/>
        <v>0.6</v>
      </c>
      <c r="AF198" s="177">
        <f t="shared" si="63"/>
        <v>0.85911177994244381</v>
      </c>
      <c r="AG198" s="799">
        <f t="shared" si="71"/>
        <v>-1</v>
      </c>
      <c r="AH198" s="176">
        <f t="shared" si="64"/>
        <v>5</v>
      </c>
      <c r="AI198" s="224">
        <f t="shared" si="65"/>
        <v>-0.14088822005755619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35.228999999999999</v>
      </c>
      <c r="C199" s="388"/>
      <c r="D199" s="391">
        <f t="shared" si="48"/>
        <v>35.841916735144693</v>
      </c>
      <c r="E199" s="383">
        <f t="shared" si="72"/>
        <v>38.408943028917058</v>
      </c>
      <c r="F199" s="383">
        <f t="shared" si="49"/>
        <v>38.410148052379846</v>
      </c>
      <c r="G199" s="110">
        <f t="shared" si="73"/>
        <v>0.6161402007827288</v>
      </c>
      <c r="H199" s="412" t="b">
        <f>Wh_hp&gt;='2020'!Maxi_hp</f>
        <v>0</v>
      </c>
      <c r="I199" s="379">
        <f>IF(H199,Wh_hp,'2020'!Maxi_hp)</f>
        <v>58.082093863284776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1.710055686122669E-2</v>
      </c>
      <c r="M199" s="832"/>
      <c r="N199" s="832"/>
      <c r="O199" s="48">
        <f>IF(t&lt;Tnet,'2020'!Resal+('2020'!Salim-'2020'!Resal)*(1-EXP(('2020'!Tnet-t)/('2020'!Tau_j))),Resal+(Salim-Resal)*(1-EXP((Tnet-t)/(Tau_j))))*Salcycl</f>
        <v>6.6834077986465845E-2</v>
      </c>
      <c r="P199" s="169">
        <f>(INDEX(Models!$BJ199:$BT199,,T199)*(1-R199)+INDEX(Models!$BJ199:$BT199,,T199+1)*R199-ERP_i)*Q199*Ramure*Pc/MaxiM</f>
        <v>6.9460131011406858E-5</v>
      </c>
      <c r="Q199" s="304">
        <f t="shared" si="51"/>
        <v>0.6</v>
      </c>
      <c r="R199" s="177">
        <f t="shared" si="52"/>
        <v>0.86322226016640091</v>
      </c>
      <c r="S199" s="799">
        <f t="shared" si="53"/>
        <v>-1</v>
      </c>
      <c r="T199" s="176">
        <f t="shared" si="54"/>
        <v>5</v>
      </c>
      <c r="U199" s="250">
        <f t="shared" si="55"/>
        <v>-0.13677773983359909</v>
      </c>
      <c r="V199" s="382">
        <f t="shared" si="56"/>
        <v>57.174743873229936</v>
      </c>
      <c r="W199" s="400"/>
      <c r="X199" s="157">
        <f t="shared" si="57"/>
        <v>44381</v>
      </c>
      <c r="Y199" s="383">
        <f t="shared" si="58"/>
        <v>35.228999999999999</v>
      </c>
      <c r="Z199" s="383">
        <f t="shared" si="59"/>
        <v>35.841916735144693</v>
      </c>
      <c r="AA199" s="384">
        <f t="shared" si="60"/>
        <v>38.408943028917058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6.6834077986465845E-2</v>
      </c>
      <c r="AD199" s="230">
        <f>(INDEX(Models!$BJ199:$BT199,,AH199)*(1-AF199)+INDEX(Models!$BJ199:$BT199,,AH199+1)*AF199-ERP_i)*AE199*Ramure*Pc/MaxiM</f>
        <v>6.9460131011406858E-5</v>
      </c>
      <c r="AE199" s="304">
        <f t="shared" si="62"/>
        <v>0.6</v>
      </c>
      <c r="AF199" s="177">
        <f t="shared" si="63"/>
        <v>0.86322226016640091</v>
      </c>
      <c r="AG199" s="799">
        <f t="shared" si="71"/>
        <v>-1</v>
      </c>
      <c r="AH199" s="176">
        <f t="shared" si="64"/>
        <v>5</v>
      </c>
      <c r="AI199" s="224">
        <f t="shared" si="65"/>
        <v>-0.13677773983359909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55.673000000000002</v>
      </c>
      <c r="C200" s="388"/>
      <c r="D200" s="391">
        <f t="shared" si="48"/>
        <v>56.642688496194317</v>
      </c>
      <c r="E200" s="383">
        <f t="shared" si="72"/>
        <v>60.705707611529149</v>
      </c>
      <c r="F200" s="383">
        <f t="shared" si="49"/>
        <v>60.709875085963454</v>
      </c>
      <c r="G200" s="110">
        <f t="shared" si="73"/>
        <v>0.97503361544681966</v>
      </c>
      <c r="H200" s="412" t="b">
        <f>Wh_hp&gt;='2020'!Maxi_hp</f>
        <v>0</v>
      </c>
      <c r="I200" s="379">
        <f>IF(H200,Wh_hp,'2020'!Maxi_hp)</f>
        <v>61.390169549077257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1.7119393904819091E-2</v>
      </c>
      <c r="M200" s="832"/>
      <c r="N200" s="832"/>
      <c r="O200" s="48">
        <f>IF(t&lt;Tnet,'2020'!Resal+('2020'!Salim-'2020'!Resal)*(1-EXP(('2020'!Tnet-t)/('2020'!Tau_j))),Resal+(Salim-Resal)*(1-EXP((Tnet-t)/(Tau_j))))*Salcycl</f>
        <v>6.6929771107110667E-2</v>
      </c>
      <c r="P200" s="169">
        <f>(INDEX(Models!$BJ200:$BT200,,T200)*(1-R200)+INDEX(Models!$BJ200:$BT200,,T200+1)*R200-ERP_i)*Q200*Ramure*Pc/MaxiM</f>
        <v>7.1184371016105467E-5</v>
      </c>
      <c r="Q200" s="304">
        <f t="shared" si="51"/>
        <v>0.6</v>
      </c>
      <c r="R200" s="177">
        <f t="shared" si="52"/>
        <v>0.86725631852637475</v>
      </c>
      <c r="S200" s="799">
        <f t="shared" si="53"/>
        <v>-1</v>
      </c>
      <c r="T200" s="176">
        <f t="shared" si="54"/>
        <v>5</v>
      </c>
      <c r="U200" s="250">
        <f t="shared" si="55"/>
        <v>-0.13274368147362525</v>
      </c>
      <c r="V200" s="382">
        <f t="shared" si="56"/>
        <v>57.098399250268727</v>
      </c>
      <c r="W200" s="400"/>
      <c r="X200" s="157">
        <f t="shared" si="57"/>
        <v>44382</v>
      </c>
      <c r="Y200" s="383">
        <f t="shared" si="58"/>
        <v>55.673000000000002</v>
      </c>
      <c r="Z200" s="383">
        <f t="shared" si="59"/>
        <v>56.642688496194317</v>
      </c>
      <c r="AA200" s="384">
        <f t="shared" si="60"/>
        <v>60.705707611529149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6.6929771107110667E-2</v>
      </c>
      <c r="AD200" s="230">
        <f>(INDEX(Models!$BJ200:$BT200,,AH200)*(1-AF200)+INDEX(Models!$BJ200:$BT200,,AH200+1)*AF200-ERP_i)*AE200*Ramure*Pc/MaxiM</f>
        <v>7.1184371016105467E-5</v>
      </c>
      <c r="AE200" s="304">
        <f t="shared" si="62"/>
        <v>0.6</v>
      </c>
      <c r="AF200" s="177">
        <f t="shared" si="63"/>
        <v>0.86725631852637475</v>
      </c>
      <c r="AG200" s="799">
        <f t="shared" si="71"/>
        <v>-1</v>
      </c>
      <c r="AH200" s="176">
        <f t="shared" si="64"/>
        <v>5</v>
      </c>
      <c r="AI200" s="224">
        <f t="shared" si="65"/>
        <v>-0.13274368147362525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19.766000000000002</v>
      </c>
      <c r="C201" s="388"/>
      <c r="D201" s="391">
        <f t="shared" si="48"/>
        <v>20.110661148019911</v>
      </c>
      <c r="E201" s="383">
        <f t="shared" si="72"/>
        <v>21.555401152120449</v>
      </c>
      <c r="F201" s="383">
        <f t="shared" si="49"/>
        <v>21.555505988488768</v>
      </c>
      <c r="G201" s="110">
        <f t="shared" si="73"/>
        <v>0.34662232227767809</v>
      </c>
      <c r="H201" s="412" t="b">
        <f>Wh_hp&gt;='2020'!Maxi_hp</f>
        <v>0</v>
      </c>
      <c r="I201" s="379">
        <f>IF(H201,Wh_hp,'2020'!Maxi_hp)</f>
        <v>60.936475957669771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1.7138230587403824E-2</v>
      </c>
      <c r="M201" s="832"/>
      <c r="N201" s="832"/>
      <c r="O201" s="48">
        <f>IF(t&lt;Tnet,'2020'!Resal+('2020'!Salim-'2020'!Resal)*(1-EXP(('2020'!Tnet-t)/('2020'!Tau_j))),Resal+(Salim-Resal)*(1-EXP((Tnet-t)/(Tau_j))))*Salcycl</f>
        <v>6.7024500908368159E-2</v>
      </c>
      <c r="P201" s="169">
        <f>(INDEX(Models!$BJ201:$BT201,,T201)*(1-R201)+INDEX(Models!$BJ201:$BT201,,T201+1)*R201-ERP_i)*Q201*Ramure*Pc/MaxiM</f>
        <v>7.2985731961370834E-5</v>
      </c>
      <c r="Q201" s="304">
        <f t="shared" si="51"/>
        <v>0.6</v>
      </c>
      <c r="R201" s="177">
        <f t="shared" si="52"/>
        <v>0.87121275598750092</v>
      </c>
      <c r="S201" s="799">
        <f t="shared" si="53"/>
        <v>-1</v>
      </c>
      <c r="T201" s="176">
        <f t="shared" si="54"/>
        <v>5</v>
      </c>
      <c r="U201" s="250">
        <f t="shared" si="55"/>
        <v>-0.12878724401249914</v>
      </c>
      <c r="V201" s="382">
        <f t="shared" si="56"/>
        <v>57.020717421219814</v>
      </c>
      <c r="W201" s="400"/>
      <c r="X201" s="157">
        <f t="shared" si="57"/>
        <v>44383</v>
      </c>
      <c r="Y201" s="383">
        <f t="shared" si="58"/>
        <v>19.766000000000002</v>
      </c>
      <c r="Z201" s="383">
        <f t="shared" si="59"/>
        <v>20.110661148019911</v>
      </c>
      <c r="AA201" s="384">
        <f t="shared" si="60"/>
        <v>21.555401152120449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6.7024500908368159E-2</v>
      </c>
      <c r="AD201" s="230">
        <f>(INDEX(Models!$BJ201:$BT201,,AH201)*(1-AF201)+INDEX(Models!$BJ201:$BT201,,AH201+1)*AF201-ERP_i)*AE201*Ramure*Pc/MaxiM</f>
        <v>7.2985731961370834E-5</v>
      </c>
      <c r="AE201" s="304">
        <f t="shared" si="62"/>
        <v>0.6</v>
      </c>
      <c r="AF201" s="177">
        <f t="shared" si="63"/>
        <v>0.87121275598750092</v>
      </c>
      <c r="AG201" s="799">
        <f t="shared" si="71"/>
        <v>-1</v>
      </c>
      <c r="AH201" s="176">
        <f t="shared" si="64"/>
        <v>5</v>
      </c>
      <c r="AI201" s="224">
        <f t="shared" si="65"/>
        <v>-0.12878724401249914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41.624000000000002</v>
      </c>
      <c r="C202" s="388"/>
      <c r="D202" s="391">
        <f t="shared" si="48"/>
        <v>42.350612288673368</v>
      </c>
      <c r="E202" s="383">
        <f t="shared" si="72"/>
        <v>45.397623321193969</v>
      </c>
      <c r="F202" s="383">
        <f t="shared" si="49"/>
        <v>45.399716012310449</v>
      </c>
      <c r="G202" s="110">
        <f t="shared" si="73"/>
        <v>0.73097228551112314</v>
      </c>
      <c r="H202" s="412" t="b">
        <f>Wh_hp&gt;='2020'!Maxi_hp</f>
        <v>0</v>
      </c>
      <c r="I202" s="379">
        <f>IF(H202,Wh_hp,'2020'!Maxi_hp)</f>
        <v>52.209461295007706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1.7157066908987773E-2</v>
      </c>
      <c r="M202" s="832"/>
      <c r="N202" s="832"/>
      <c r="O202" s="48">
        <f>IF(t&lt;Tnet,'2020'!Resal+('2020'!Salim-'2020'!Resal)*(1-EXP(('2020'!Tnet-t)/('2020'!Tau_j))),Resal+(Salim-Resal)*(1-EXP((Tnet-t)/(Tau_j))))*Salcycl</f>
        <v>6.7118294078141696E-2</v>
      </c>
      <c r="P202" s="169">
        <f>(INDEX(Models!$BJ202:$BT202,,T202)*(1-R202)+INDEX(Models!$BJ202:$BT202,,T202+1)*R202-ERP_i)*Q202*Ramure*Pc/MaxiM</f>
        <v>7.4865115353589767E-5</v>
      </c>
      <c r="Q202" s="304">
        <f t="shared" si="51"/>
        <v>0.6</v>
      </c>
      <c r="R202" s="177">
        <f t="shared" si="52"/>
        <v>0.87509054770254047</v>
      </c>
      <c r="S202" s="799">
        <f t="shared" si="53"/>
        <v>-1</v>
      </c>
      <c r="T202" s="176">
        <f t="shared" si="54"/>
        <v>5</v>
      </c>
      <c r="U202" s="250">
        <f t="shared" si="55"/>
        <v>-0.12490945229745953</v>
      </c>
      <c r="V202" s="382">
        <f t="shared" si="56"/>
        <v>56.941697017076066</v>
      </c>
      <c r="W202" s="400"/>
      <c r="X202" s="157">
        <f t="shared" si="57"/>
        <v>44384</v>
      </c>
      <c r="Y202" s="383">
        <f t="shared" si="58"/>
        <v>41.624000000000002</v>
      </c>
      <c r="Z202" s="383">
        <f t="shared" si="59"/>
        <v>42.350612288673368</v>
      </c>
      <c r="AA202" s="384">
        <f t="shared" si="60"/>
        <v>45.397623321193969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6.7118294078141696E-2</v>
      </c>
      <c r="AD202" s="230">
        <f>(INDEX(Models!$BJ202:$BT202,,AH202)*(1-AF202)+INDEX(Models!$BJ202:$BT202,,AH202+1)*AF202-ERP_i)*AE202*Ramure*Pc/MaxiM</f>
        <v>7.4865115353589767E-5</v>
      </c>
      <c r="AE202" s="304">
        <f t="shared" si="62"/>
        <v>0.6</v>
      </c>
      <c r="AF202" s="177">
        <f t="shared" si="63"/>
        <v>0.87509054770254047</v>
      </c>
      <c r="AG202" s="799">
        <f t="shared" si="71"/>
        <v>-1</v>
      </c>
      <c r="AH202" s="176">
        <f t="shared" si="64"/>
        <v>5</v>
      </c>
      <c r="AI202" s="224">
        <f t="shared" si="65"/>
        <v>-0.12490945229745953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47.053000000000004</v>
      </c>
      <c r="C203" s="388"/>
      <c r="D203" s="391">
        <f t="shared" si="48"/>
        <v>47.87530152891236</v>
      </c>
      <c r="E203" s="383">
        <f t="shared" si="72"/>
        <v>51.324909170972838</v>
      </c>
      <c r="F203" s="383">
        <f t="shared" si="49"/>
        <v>51.327880664946719</v>
      </c>
      <c r="G203" s="110">
        <f t="shared" si="73"/>
        <v>0.82748862429028291</v>
      </c>
      <c r="H203" s="412" t="b">
        <f>Wh_hp&gt;='2020'!Maxi_hp</f>
        <v>0</v>
      </c>
      <c r="I203" s="379">
        <f>IF(H203,Wh_hp,'2020'!Maxi_hp)</f>
        <v>63.179240618782657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1.717590286957793E-2</v>
      </c>
      <c r="M203" s="832"/>
      <c r="N203" s="832"/>
      <c r="O203" s="48">
        <f>IF(t&lt;Tnet,'2020'!Resal+('2020'!Salim-'2020'!Resal)*(1-EXP(('2020'!Tnet-t)/('2020'!Tau_j))),Resal+(Salim-Resal)*(1-EXP((Tnet-t)/(Tau_j))))*Salcycl</f>
        <v>6.7211178700174415E-2</v>
      </c>
      <c r="P203" s="169">
        <f>(INDEX(Models!$BJ203:$BT203,,T203)*(1-R203)+INDEX(Models!$BJ203:$BT203,,T203+1)*R203-ERP_i)*Q203*Ramure*Pc/MaxiM</f>
        <v>7.682340722221063E-5</v>
      </c>
      <c r="Q203" s="304">
        <f t="shared" si="51"/>
        <v>0.6</v>
      </c>
      <c r="R203" s="177">
        <f t="shared" si="52"/>
        <v>0.87888883926814287</v>
      </c>
      <c r="S203" s="799">
        <f t="shared" si="53"/>
        <v>-1</v>
      </c>
      <c r="T203" s="176">
        <f t="shared" si="54"/>
        <v>5</v>
      </c>
      <c r="U203" s="250">
        <f t="shared" si="55"/>
        <v>-0.12111116073185713</v>
      </c>
      <c r="V203" s="382">
        <f t="shared" si="56"/>
        <v>56.861336586826631</v>
      </c>
      <c r="W203" s="400"/>
      <c r="X203" s="157">
        <f t="shared" si="57"/>
        <v>44385</v>
      </c>
      <c r="Y203" s="383">
        <f t="shared" si="58"/>
        <v>47.053000000000004</v>
      </c>
      <c r="Z203" s="383">
        <f t="shared" si="59"/>
        <v>47.87530152891236</v>
      </c>
      <c r="AA203" s="384">
        <f t="shared" si="60"/>
        <v>51.324909170972838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6.7211178700174415E-2</v>
      </c>
      <c r="AD203" s="230">
        <f>(INDEX(Models!$BJ203:$BT203,,AH203)*(1-AF203)+INDEX(Models!$BJ203:$BT203,,AH203+1)*AF203-ERP_i)*AE203*Ramure*Pc/MaxiM</f>
        <v>7.682340722221063E-5</v>
      </c>
      <c r="AE203" s="304">
        <f t="shared" si="62"/>
        <v>0.6</v>
      </c>
      <c r="AF203" s="177">
        <f t="shared" si="63"/>
        <v>0.87888883926814287</v>
      </c>
      <c r="AG203" s="799">
        <f t="shared" si="71"/>
        <v>-1</v>
      </c>
      <c r="AH203" s="176">
        <f t="shared" si="64"/>
        <v>5</v>
      </c>
      <c r="AI203" s="224">
        <f t="shared" si="65"/>
        <v>-0.12111116073185713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55.791000000000004</v>
      </c>
      <c r="C204" s="388"/>
      <c r="D204" s="391">
        <f t="shared" si="48"/>
        <v>56.767095358341763</v>
      </c>
      <c r="E204" s="383">
        <f t="shared" si="72"/>
        <v>60.863395680052122</v>
      </c>
      <c r="F204" s="383">
        <f t="shared" si="49"/>
        <v>60.868076427993657</v>
      </c>
      <c r="G204" s="110">
        <f t="shared" si="73"/>
        <v>0.98258629062292124</v>
      </c>
      <c r="H204" s="412" t="b">
        <f>Wh_hp&gt;='2020'!Maxi_hp</f>
        <v>0</v>
      </c>
      <c r="I204" s="379">
        <f>IF(H204,Wh_hp,'2020'!Maxi_hp)</f>
        <v>61.146444361076334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1.7194738469181292E-2</v>
      </c>
      <c r="M204" s="832"/>
      <c r="N204" s="832"/>
      <c r="O204" s="48">
        <f>IF(t&lt;Tnet,'2020'!Resal+('2020'!Salim-'2020'!Resal)*(1-EXP(('2020'!Tnet-t)/('2020'!Tau_j))),Resal+(Salim-Resal)*(1-EXP((Tnet-t)/(Tau_j))))*Salcycl</f>
        <v>6.7303184055715004E-2</v>
      </c>
      <c r="P204" s="169">
        <f>(INDEX(Models!$BJ204:$BT204,,T204)*(1-R204)+INDEX(Models!$BJ204:$BT204,,T204+1)*R204-ERP_i)*Q204*Ramure*Pc/MaxiM</f>
        <v>7.886148119777095E-5</v>
      </c>
      <c r="Q204" s="304">
        <f t="shared" si="51"/>
        <v>0.6</v>
      </c>
      <c r="R204" s="177">
        <f t="shared" si="52"/>
        <v>0.88260694239359494</v>
      </c>
      <c r="S204" s="799">
        <f t="shared" si="53"/>
        <v>-1</v>
      </c>
      <c r="T204" s="176">
        <f t="shared" si="54"/>
        <v>5</v>
      </c>
      <c r="U204" s="250">
        <f t="shared" si="55"/>
        <v>-0.11739305760640506</v>
      </c>
      <c r="V204" s="382">
        <f t="shared" si="56"/>
        <v>56.779634607639544</v>
      </c>
      <c r="W204" s="400"/>
      <c r="X204" s="157">
        <f t="shared" si="57"/>
        <v>44386</v>
      </c>
      <c r="Y204" s="383">
        <f t="shared" si="58"/>
        <v>55.791000000000004</v>
      </c>
      <c r="Z204" s="383">
        <f t="shared" si="59"/>
        <v>56.767095358341763</v>
      </c>
      <c r="AA204" s="384">
        <f t="shared" si="60"/>
        <v>60.863395680052122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6.7303184055715004E-2</v>
      </c>
      <c r="AD204" s="230">
        <f>(INDEX(Models!$BJ204:$BT204,,AH204)*(1-AF204)+INDEX(Models!$BJ204:$BT204,,AH204+1)*AF204-ERP_i)*AE204*Ramure*Pc/MaxiM</f>
        <v>7.886148119777095E-5</v>
      </c>
      <c r="AE204" s="304">
        <f t="shared" si="62"/>
        <v>0.6</v>
      </c>
      <c r="AF204" s="177">
        <f t="shared" si="63"/>
        <v>0.88260694239359494</v>
      </c>
      <c r="AG204" s="799">
        <f t="shared" si="71"/>
        <v>-1</v>
      </c>
      <c r="AH204" s="176">
        <f t="shared" si="64"/>
        <v>5</v>
      </c>
      <c r="AI204" s="224">
        <f t="shared" si="65"/>
        <v>-0.11739305760640506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49.573</v>
      </c>
      <c r="C205" s="388"/>
      <c r="D205" s="391">
        <f t="shared" si="48"/>
        <v>50.441274598211933</v>
      </c>
      <c r="E205" s="383">
        <f t="shared" si="72"/>
        <v>54.086391263239179</v>
      </c>
      <c r="F205" s="383">
        <f t="shared" si="49"/>
        <v>54.089985199518779</v>
      </c>
      <c r="G205" s="110">
        <f t="shared" si="73"/>
        <v>0.87433650985433009</v>
      </c>
      <c r="H205" s="412" t="b">
        <f>Wh_hp&gt;='2020'!Maxi_hp</f>
        <v>0</v>
      </c>
      <c r="I205" s="379">
        <f>IF(H205,Wh_hp,'2020'!Maxi_hp)</f>
        <v>60.131672275516188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1.721357370780463E-2</v>
      </c>
      <c r="M205" s="832"/>
      <c r="N205" s="832"/>
      <c r="O205" s="48">
        <f>IF(t&lt;Tnet,'2020'!Resal+('2020'!Salim-'2020'!Resal)*(1-EXP(('2020'!Tnet-t)/('2020'!Tau_j))),Resal+(Salim-Resal)*(1-EXP((Tnet-t)/(Tau_j))))*Salcycl</f>
        <v>6.7394340422647483E-2</v>
      </c>
      <c r="P205" s="169">
        <f>(INDEX(Models!$BJ205:$BT205,,T205)*(1-R205)+INDEX(Models!$BJ205:$BT205,,T205+1)*R205-ERP_i)*Q205*Ramure*Pc/MaxiM</f>
        <v>8.0979578975839736E-5</v>
      </c>
      <c r="Q205" s="304">
        <f t="shared" si="51"/>
        <v>0.6</v>
      </c>
      <c r="R205" s="177">
        <f t="shared" si="52"/>
        <v>0.88624433004142367</v>
      </c>
      <c r="S205" s="799">
        <f t="shared" si="53"/>
        <v>-1</v>
      </c>
      <c r="T205" s="176">
        <f t="shared" si="54"/>
        <v>5</v>
      </c>
      <c r="U205" s="250">
        <f t="shared" si="55"/>
        <v>-0.11375566995857633</v>
      </c>
      <c r="V205" s="382">
        <f t="shared" si="56"/>
        <v>56.69702546332541</v>
      </c>
      <c r="W205" s="400"/>
      <c r="X205" s="157">
        <f t="shared" si="57"/>
        <v>44387</v>
      </c>
      <c r="Y205" s="383">
        <f t="shared" si="58"/>
        <v>49.573</v>
      </c>
      <c r="Z205" s="383">
        <f t="shared" si="59"/>
        <v>50.441274598211933</v>
      </c>
      <c r="AA205" s="384">
        <f t="shared" si="60"/>
        <v>54.086391263239179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6.7394340422647483E-2</v>
      </c>
      <c r="AD205" s="230">
        <f>(INDEX(Models!$BJ205:$BT205,,AH205)*(1-AF205)+INDEX(Models!$BJ205:$BT205,,AH205+1)*AF205-ERP_i)*AE205*Ramure*Pc/MaxiM</f>
        <v>8.0979578975839736E-5</v>
      </c>
      <c r="AE205" s="304">
        <f t="shared" si="62"/>
        <v>0.6</v>
      </c>
      <c r="AF205" s="177">
        <f t="shared" si="63"/>
        <v>0.88624433004142367</v>
      </c>
      <c r="AG205" s="799">
        <f t="shared" si="71"/>
        <v>-1</v>
      </c>
      <c r="AH205" s="176">
        <f t="shared" si="64"/>
        <v>5</v>
      </c>
      <c r="AI205" s="224">
        <f t="shared" si="65"/>
        <v>-0.11375566995857633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49.667999999999999</v>
      </c>
      <c r="C206" s="388"/>
      <c r="D206" s="391">
        <f t="shared" si="48"/>
        <v>50.538907096550091</v>
      </c>
      <c r="E206" s="383">
        <f t="shared" si="72"/>
        <v>54.196328952003306</v>
      </c>
      <c r="F206" s="383">
        <f t="shared" si="49"/>
        <v>54.200049621811637</v>
      </c>
      <c r="G206" s="110">
        <f t="shared" si="73"/>
        <v>0.87729970752885345</v>
      </c>
      <c r="H206" s="412" t="b">
        <f>Wh_hp&gt;='2020'!Maxi_hp</f>
        <v>0</v>
      </c>
      <c r="I206" s="379">
        <f>IF(H206,Wh_hp,'2020'!Maxi_hp)</f>
        <v>60.983970970198122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1.7232408585454828E-2</v>
      </c>
      <c r="M206" s="832"/>
      <c r="N206" s="832"/>
      <c r="O206" s="48">
        <f>IF(t&lt;Tnet,'2020'!Resal+('2020'!Salim-'2020'!Resal)*(1-EXP(('2020'!Tnet-t)/('2020'!Tau_j))),Resal+(Salim-Resal)*(1-EXP((Tnet-t)/(Tau_j))))*Salcycl</f>
        <v>6.7484678873586793E-2</v>
      </c>
      <c r="P206" s="169">
        <f>(INDEX(Models!$BJ206:$BT206,,T206)*(1-R206)+INDEX(Models!$BJ206:$BT206,,T206+1)*R206-ERP_i)*Q206*Ramure*Pc/MaxiM</f>
        <v>8.3235486015364657E-5</v>
      </c>
      <c r="Q206" s="304">
        <f t="shared" si="51"/>
        <v>0.6</v>
      </c>
      <c r="R206" s="177">
        <f t="shared" si="52"/>
        <v>0.88980063109978791</v>
      </c>
      <c r="S206" s="799">
        <f t="shared" si="53"/>
        <v>-1</v>
      </c>
      <c r="T206" s="176">
        <f t="shared" si="54"/>
        <v>5</v>
      </c>
      <c r="U206" s="250">
        <f t="shared" si="55"/>
        <v>-0.11019936890021204</v>
      </c>
      <c r="V206" s="382">
        <f t="shared" si="56"/>
        <v>56.613805911686924</v>
      </c>
      <c r="W206" s="400"/>
      <c r="X206" s="157">
        <f t="shared" si="57"/>
        <v>44388</v>
      </c>
      <c r="Y206" s="383">
        <f t="shared" si="58"/>
        <v>49.667999999999999</v>
      </c>
      <c r="Z206" s="383">
        <f t="shared" si="59"/>
        <v>50.538907096550091</v>
      </c>
      <c r="AA206" s="384">
        <f t="shared" si="60"/>
        <v>54.196328952003306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6.7484678873586793E-2</v>
      </c>
      <c r="AD206" s="230">
        <f>(INDEX(Models!$BJ206:$BT206,,AH206)*(1-AF206)+INDEX(Models!$BJ206:$BT206,,AH206+1)*AF206-ERP_i)*AE206*Ramure*Pc/MaxiM</f>
        <v>8.3235486015364657E-5</v>
      </c>
      <c r="AE206" s="304">
        <f t="shared" si="62"/>
        <v>0.6</v>
      </c>
      <c r="AF206" s="177">
        <f t="shared" si="63"/>
        <v>0.88980063109978791</v>
      </c>
      <c r="AG206" s="799">
        <f t="shared" si="71"/>
        <v>-1</v>
      </c>
      <c r="AH206" s="176">
        <f t="shared" si="64"/>
        <v>5</v>
      </c>
      <c r="AI206" s="224">
        <f t="shared" si="65"/>
        <v>-0.11019936890021204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12.731</v>
      </c>
      <c r="C207" s="388"/>
      <c r="D207" s="391">
        <f t="shared" ref="D207:D270" si="74">Wh/(1-Ppv)</f>
        <v>12.954480899255065</v>
      </c>
      <c r="E207" s="383">
        <f t="shared" si="72"/>
        <v>13.893310685935344</v>
      </c>
      <c r="F207" s="383">
        <f t="shared" ref="F207:F270" si="75">Wh_sa/(1-Pvg*MEDIAN((-Sdif+Wh/Env_an)/Csdif,0,1))</f>
        <v>13.893310685935344</v>
      </c>
      <c r="G207" s="110">
        <f t="shared" si="73"/>
        <v>0.22518947433040065</v>
      </c>
      <c r="H207" s="412" t="b">
        <f>Wh_hp&gt;='2020'!Maxi_hp</f>
        <v>0</v>
      </c>
      <c r="I207" s="379">
        <f>IF(H207,Wh_hp,'2020'!Maxi_hp)</f>
        <v>61.397076269848142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1.7251243102138991E-2</v>
      </c>
      <c r="M207" s="832"/>
      <c r="N207" s="832"/>
      <c r="O207" s="48">
        <f>IF(t&lt;Tnet,'2020'!Resal+('2020'!Salim-'2020'!Resal)*(1-EXP(('2020'!Tnet-t)/('2020'!Tau_j))),Resal+(Salim-Resal)*(1-EXP((Tnet-t)/(Tau_j))))*Salcycl</f>
        <v>6.7574231074432625E-2</v>
      </c>
      <c r="P207" s="169">
        <f>(INDEX(Models!$BJ207:$BT207,,T207)*(1-R207)+INDEX(Models!$BJ207:$BT207,,T207+1)*R207-ERP_i)*Q207*Ramure*Pc/MaxiM</f>
        <v>8.5567403731216606E-5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0.89327562464650612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-0.10672437535349383</v>
      </c>
      <c r="V207" s="382">
        <f t="shared" ref="V207:V270" si="82">MaxiM*(1-Ppv)*(1-Pvg)*(1-Psa)</f>
        <v>56.52977644374986</v>
      </c>
      <c r="W207" s="400"/>
      <c r="X207" s="157">
        <f t="shared" ref="X207:X270" si="83">t</f>
        <v>44389</v>
      </c>
      <c r="Y207" s="383">
        <f t="shared" ref="Y207:Y270" si="84">Wh_pvt_s*(1-Ppv)</f>
        <v>12.731</v>
      </c>
      <c r="Z207" s="383">
        <f t="shared" ref="Z207:Z270" si="85">Wh_sa_s*(1-Psa_s)</f>
        <v>12.954480899255065</v>
      </c>
      <c r="AA207" s="384">
        <f t="shared" ref="AA207:AA270" si="86">Wh_hp*(1-Pvg_s*MEDIAN((-Sdif+Wh/Env_an)/Csdif,0,1))</f>
        <v>13.893310685935344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6.7574231074432625E-2</v>
      </c>
      <c r="AD207" s="230">
        <f>(INDEX(Models!$BJ207:$BT207,,AH207)*(1-AF207)+INDEX(Models!$BJ207:$BT207,,AH207+1)*AF207-ERP_i)*AE207*Ramure*Pc/MaxiM</f>
        <v>8.5567403731216606E-5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0.89327562464650612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-0.10672437535349383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23.241</v>
      </c>
      <c r="C208" s="388"/>
      <c r="D208" s="391">
        <f t="shared" si="74"/>
        <v>23.649427438975351</v>
      </c>
      <c r="E208" s="383">
        <f t="shared" si="72"/>
        <v>25.365750985678385</v>
      </c>
      <c r="F208" s="383">
        <f t="shared" si="75"/>
        <v>25.366107240236964</v>
      </c>
      <c r="G208" s="110">
        <f t="shared" si="73"/>
        <v>0.41171744561633333</v>
      </c>
      <c r="H208" s="412" t="b">
        <f>Wh_hp&gt;='2020'!Maxi_hp</f>
        <v>0</v>
      </c>
      <c r="I208" s="379">
        <f>IF(H208,Wh_hp,'2020'!Maxi_hp)</f>
        <v>53.678698874330564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1.7270077257863892E-2</v>
      </c>
      <c r="M208" s="832"/>
      <c r="N208" s="832"/>
      <c r="O208" s="48">
        <f>IF(t&lt;Tnet,'2020'!Resal+('2020'!Salim-'2020'!Resal)*(1-EXP(('2020'!Tnet-t)/('2020'!Tau_j))),Resal+(Salim-Resal)*(1-EXP((Tnet-t)/(Tau_j))))*Salcycl</f>
        <v>6.7663029084850557E-2</v>
      </c>
      <c r="P208" s="169">
        <f>(INDEX(Models!$BJ208:$BT208,,T208)*(1-R208)+INDEX(Models!$BJ208:$BT208,,T208+1)*R208-ERP_i)*Q208*Ramure*Pc/MaxiM</f>
        <v>8.7976225459093234E-5</v>
      </c>
      <c r="Q208" s="304">
        <f t="shared" si="77"/>
        <v>0.6</v>
      </c>
      <c r="R208" s="177">
        <f t="shared" si="78"/>
        <v>0.89666923386385156</v>
      </c>
      <c r="S208" s="799">
        <f t="shared" si="79"/>
        <v>-1</v>
      </c>
      <c r="T208" s="176">
        <f t="shared" si="80"/>
        <v>5</v>
      </c>
      <c r="U208" s="250">
        <f t="shared" si="81"/>
        <v>-0.10333076613614839</v>
      </c>
      <c r="V208" s="382">
        <f t="shared" si="82"/>
        <v>56.444734067779819</v>
      </c>
      <c r="W208" s="400"/>
      <c r="X208" s="157">
        <f t="shared" si="83"/>
        <v>44390</v>
      </c>
      <c r="Y208" s="383">
        <f t="shared" si="84"/>
        <v>23.241</v>
      </c>
      <c r="Z208" s="383">
        <f t="shared" si="85"/>
        <v>23.649427438975351</v>
      </c>
      <c r="AA208" s="384">
        <f t="shared" si="86"/>
        <v>25.365750985678385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6.7663029084850557E-2</v>
      </c>
      <c r="AD208" s="230">
        <f>(INDEX(Models!$BJ208:$BT208,,AH208)*(1-AF208)+INDEX(Models!$BJ208:$BT208,,AH208+1)*AF208-ERP_i)*AE208*Ramure*Pc/MaxiM</f>
        <v>8.7976225459093234E-5</v>
      </c>
      <c r="AE208" s="304">
        <f t="shared" si="88"/>
        <v>0.6</v>
      </c>
      <c r="AF208" s="177">
        <f t="shared" si="89"/>
        <v>0.89666923386385156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-0.10333076613614839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26.437999999999999</v>
      </c>
      <c r="C209" s="388"/>
      <c r="D209" s="391">
        <f t="shared" si="74"/>
        <v>26.903125748096738</v>
      </c>
      <c r="E209" s="383">
        <f t="shared" si="72"/>
        <v>28.858308008801682</v>
      </c>
      <c r="F209" s="383">
        <f t="shared" si="75"/>
        <v>28.858938686192712</v>
      </c>
      <c r="G209" s="110">
        <f t="shared" si="73"/>
        <v>0.46907205457667911</v>
      </c>
      <c r="H209" s="412" t="b">
        <f>Wh_hp&gt;='2020'!Maxi_hp</f>
        <v>0</v>
      </c>
      <c r="I209" s="379">
        <f>IF(H209,Wh_hp,'2020'!Maxi_hp)</f>
        <v>61.162094530225126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1.7288911052636524E-2</v>
      </c>
      <c r="M209" s="832"/>
      <c r="N209" s="832"/>
      <c r="O209" s="48">
        <f>IF(t&lt;Tnet,'2020'!Resal+('2020'!Salim-'2020'!Resal)*(1-EXP(('2020'!Tnet-t)/('2020'!Tau_j))),Resal+(Salim-Resal)*(1-EXP((Tnet-t)/(Tau_j))))*Salcycl</f>
        <v>6.7751105162112135E-2</v>
      </c>
      <c r="P209" s="169">
        <f>(INDEX(Models!$BJ209:$BT209,,T209)*(1-R209)+INDEX(Models!$BJ209:$BT209,,T209+1)*R209-ERP_i)*Q209*Ramure*Pc/MaxiM</f>
        <v>9.0462888290166415E-5</v>
      </c>
      <c r="Q209" s="304">
        <f t="shared" si="77"/>
        <v>0.6</v>
      </c>
      <c r="R209" s="177">
        <f t="shared" si="78"/>
        <v>0.89998151966198447</v>
      </c>
      <c r="S209" s="799">
        <f t="shared" si="79"/>
        <v>-1</v>
      </c>
      <c r="T209" s="176">
        <f t="shared" si="80"/>
        <v>5</v>
      </c>
      <c r="U209" s="250">
        <f t="shared" si="81"/>
        <v>-0.10001848033801547</v>
      </c>
      <c r="V209" s="382">
        <f t="shared" si="82"/>
        <v>56.358475878645265</v>
      </c>
      <c r="W209" s="400"/>
      <c r="X209" s="157">
        <f t="shared" si="83"/>
        <v>44391</v>
      </c>
      <c r="Y209" s="383">
        <f t="shared" si="84"/>
        <v>26.437999999999999</v>
      </c>
      <c r="Z209" s="383">
        <f t="shared" si="85"/>
        <v>26.903125748096738</v>
      </c>
      <c r="AA209" s="384">
        <f t="shared" si="86"/>
        <v>28.858308008801682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6.7751105162112135E-2</v>
      </c>
      <c r="AD209" s="230">
        <f>(INDEX(Models!$BJ209:$BT209,,AH209)*(1-AF209)+INDEX(Models!$BJ209:$BT209,,AH209+1)*AF209-ERP_i)*AE209*Ramure*Pc/MaxiM</f>
        <v>9.0462888290166415E-5</v>
      </c>
      <c r="AE209" s="304">
        <f t="shared" si="88"/>
        <v>0.6</v>
      </c>
      <c r="AF209" s="177">
        <f t="shared" si="89"/>
        <v>0.89998151966198447</v>
      </c>
      <c r="AG209" s="799">
        <f t="shared" si="95"/>
        <v>-1</v>
      </c>
      <c r="AH209" s="176">
        <f t="shared" si="90"/>
        <v>5</v>
      </c>
      <c r="AI209" s="224">
        <f t="shared" si="91"/>
        <v>-0.10001848033801547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35.44</v>
      </c>
      <c r="C210" s="388"/>
      <c r="D210" s="391">
        <f t="shared" si="74"/>
        <v>36.064189781855696</v>
      </c>
      <c r="E210" s="383">
        <f t="shared" si="72"/>
        <v>38.688778130931986</v>
      </c>
      <c r="F210" s="383">
        <f t="shared" si="75"/>
        <v>38.690473980562409</v>
      </c>
      <c r="G210" s="110">
        <f t="shared" si="73"/>
        <v>0.62978057824717004</v>
      </c>
      <c r="H210" s="412" t="b">
        <f>Wh_hp&gt;='2020'!Maxi_hp</f>
        <v>0</v>
      </c>
      <c r="I210" s="379">
        <f>IF(H210,Wh_hp,'2020'!Maxi_hp)</f>
        <v>62.506291921724774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1.7307744486463772E-2</v>
      </c>
      <c r="M210" s="832"/>
      <c r="N210" s="832"/>
      <c r="O210" s="48">
        <f>IF(t&lt;Tnet,'2020'!Resal+('2020'!Salim-'2020'!Resal)*(1-EXP(('2020'!Tnet-t)/('2020'!Tau_j))),Resal+(Salim-Resal)*(1-EXP((Tnet-t)/(Tau_j))))*Salcycl</f>
        <v>6.7838491569675891E-2</v>
      </c>
      <c r="P210" s="169">
        <f>(INDEX(Models!$BJ210:$BT210,,T210)*(1-R210)+INDEX(Models!$BJ210:$BT210,,T210+1)*R210-ERP_i)*Q210*Ramure*Pc/MaxiM</f>
        <v>9.3028378512933769E-5</v>
      </c>
      <c r="Q210" s="304">
        <f t="shared" si="77"/>
        <v>0.6</v>
      </c>
      <c r="R210" s="177">
        <f t="shared" si="78"/>
        <v>0.9032126740671369</v>
      </c>
      <c r="S210" s="799">
        <f t="shared" si="79"/>
        <v>-1</v>
      </c>
      <c r="T210" s="176">
        <f t="shared" si="80"/>
        <v>5</v>
      </c>
      <c r="U210" s="250">
        <f t="shared" si="81"/>
        <v>-9.67873259328631E-2</v>
      </c>
      <c r="V210" s="382">
        <f t="shared" si="82"/>
        <v>56.270799067751014</v>
      </c>
      <c r="W210" s="400"/>
      <c r="X210" s="157">
        <f t="shared" si="83"/>
        <v>44392</v>
      </c>
      <c r="Y210" s="383">
        <f t="shared" si="84"/>
        <v>35.44</v>
      </c>
      <c r="Z210" s="383">
        <f t="shared" si="85"/>
        <v>36.064189781855696</v>
      </c>
      <c r="AA210" s="384">
        <f t="shared" si="86"/>
        <v>38.688778130931986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6.7838491569675891E-2</v>
      </c>
      <c r="AD210" s="230">
        <f>(INDEX(Models!$BJ210:$BT210,,AH210)*(1-AF210)+INDEX(Models!$BJ210:$BT210,,AH210+1)*AF210-ERP_i)*AE210*Ramure*Pc/MaxiM</f>
        <v>9.3028378512933769E-5</v>
      </c>
      <c r="AE210" s="304">
        <f t="shared" si="88"/>
        <v>0.6</v>
      </c>
      <c r="AF210" s="177">
        <f t="shared" si="89"/>
        <v>0.9032126740671369</v>
      </c>
      <c r="AG210" s="799">
        <f t="shared" si="95"/>
        <v>-1</v>
      </c>
      <c r="AH210" s="176">
        <f t="shared" si="90"/>
        <v>5</v>
      </c>
      <c r="AI210" s="224">
        <f t="shared" si="91"/>
        <v>-9.67873259328631E-2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39.399000000000001</v>
      </c>
      <c r="C211" s="388"/>
      <c r="D211" s="391">
        <f t="shared" si="74"/>
        <v>40.093686366468987</v>
      </c>
      <c r="E211" s="383">
        <f t="shared" si="72"/>
        <v>43.015525410229102</v>
      </c>
      <c r="F211" s="383">
        <f t="shared" si="75"/>
        <v>43.017884758086957</v>
      </c>
      <c r="G211" s="110">
        <f t="shared" si="73"/>
        <v>0.70125202558356059</v>
      </c>
      <c r="H211" s="412" t="b">
        <f>Wh_hp&gt;='2020'!Maxi_hp</f>
        <v>0</v>
      </c>
      <c r="I211" s="379">
        <f>IF(H211,Wh_hp,'2020'!Maxi_hp)</f>
        <v>60.8270261955942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1.7326577559352629E-2</v>
      </c>
      <c r="M211" s="832"/>
      <c r="N211" s="832"/>
      <c r="O211" s="48">
        <f>IF(t&lt;Tnet,'2020'!Resal+('2020'!Salim-'2020'!Resal)*(1-EXP(('2020'!Tnet-t)/('2020'!Tau_j))),Resal+(Salim-Resal)*(1-EXP((Tnet-t)/(Tau_j))))*Salcycl</f>
        <v>6.7925220391828578E-2</v>
      </c>
      <c r="P211" s="169">
        <f>(INDEX(Models!$BJ211:$BT211,,T211)*(1-R211)+INDEX(Models!$BJ211:$BT211,,T211+1)*R211-ERP_i)*Q211*Ramure*Pc/MaxiM</f>
        <v>9.5673736905111615E-5</v>
      </c>
      <c r="Q211" s="304">
        <f t="shared" si="77"/>
        <v>0.6</v>
      </c>
      <c r="R211" s="177">
        <f t="shared" si="78"/>
        <v>0.90636301342847836</v>
      </c>
      <c r="S211" s="799">
        <f t="shared" si="79"/>
        <v>-1</v>
      </c>
      <c r="T211" s="176">
        <f t="shared" si="80"/>
        <v>5</v>
      </c>
      <c r="U211" s="250">
        <f t="shared" si="81"/>
        <v>-9.3636986571521696E-2</v>
      </c>
      <c r="V211" s="382">
        <f t="shared" si="82"/>
        <v>56.181500933076968</v>
      </c>
      <c r="W211" s="400"/>
      <c r="X211" s="157">
        <f t="shared" si="83"/>
        <v>44393</v>
      </c>
      <c r="Y211" s="383">
        <f t="shared" si="84"/>
        <v>39.399000000000001</v>
      </c>
      <c r="Z211" s="383">
        <f t="shared" si="85"/>
        <v>40.093686366468987</v>
      </c>
      <c r="AA211" s="384">
        <f t="shared" si="86"/>
        <v>43.015525410229102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6.7925220391828578E-2</v>
      </c>
      <c r="AD211" s="230">
        <f>(INDEX(Models!$BJ211:$BT211,,AH211)*(1-AF211)+INDEX(Models!$BJ211:$BT211,,AH211+1)*AF211-ERP_i)*AE211*Ramure*Pc/MaxiM</f>
        <v>9.5673736905111615E-5</v>
      </c>
      <c r="AE211" s="304">
        <f t="shared" si="88"/>
        <v>0.6</v>
      </c>
      <c r="AF211" s="177">
        <f t="shared" si="89"/>
        <v>0.90636301342847836</v>
      </c>
      <c r="AG211" s="799">
        <f t="shared" si="95"/>
        <v>-1</v>
      </c>
      <c r="AH211" s="176">
        <f t="shared" si="90"/>
        <v>5</v>
      </c>
      <c r="AI211" s="224">
        <f t="shared" si="91"/>
        <v>-9.3636986571521696E-2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56.103999999999999</v>
      </c>
      <c r="C212" s="388"/>
      <c r="D212" s="391">
        <f t="shared" si="74"/>
        <v>57.094324482308942</v>
      </c>
      <c r="E212" s="383">
        <f t="shared" si="72"/>
        <v>61.260749098237333</v>
      </c>
      <c r="F212" s="383">
        <f t="shared" si="75"/>
        <v>61.26677577265081</v>
      </c>
      <c r="G212" s="110">
        <f t="shared" si="73"/>
        <v>1.000242809849021</v>
      </c>
      <c r="H212" s="412" t="b">
        <f>Wh_hp&gt;='2020'!Maxi_hp</f>
        <v>1</v>
      </c>
      <c r="I212" s="379">
        <f>IF(H212,Wh_hp,'2020'!Maxi_hp)</f>
        <v>61.26677577265081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1.7345410271309869E-2</v>
      </c>
      <c r="M212" s="832"/>
      <c r="N212" s="832"/>
      <c r="O212" s="48">
        <f>IF(t&lt;Tnet,'2020'!Resal+('2020'!Salim-'2020'!Resal)*(1-EXP(('2020'!Tnet-t)/('2020'!Tau_j))),Resal+(Salim-Resal)*(1-EXP((Tnet-t)/(Tau_j))))*Salcycl</f>
        <v>6.8011323355630829E-2</v>
      </c>
      <c r="P212" s="169">
        <f>(INDEX(Models!$BJ212:$BT212,,T212)*(1-R212)+INDEX(Models!$BJ212:$BT212,,T212+1)*R212-ERP_i)*Q212*Ramure*Pc/MaxiM</f>
        <v>9.8367742344393152E-5</v>
      </c>
      <c r="Q212" s="304">
        <f t="shared" si="77"/>
        <v>0.6</v>
      </c>
      <c r="R212" s="177">
        <f t="shared" si="78"/>
        <v>0.90943297149505464</v>
      </c>
      <c r="S212" s="799">
        <f t="shared" si="79"/>
        <v>-1</v>
      </c>
      <c r="T212" s="176">
        <f t="shared" si="80"/>
        <v>5</v>
      </c>
      <c r="U212" s="250">
        <f t="shared" si="81"/>
        <v>-9.0567028504945357E-2</v>
      </c>
      <c r="V212" s="382">
        <f t="shared" si="82"/>
        <v>56.090380703129952</v>
      </c>
      <c r="W212" s="400"/>
      <c r="X212" s="157">
        <f t="shared" si="83"/>
        <v>44394</v>
      </c>
      <c r="Y212" s="383">
        <f t="shared" si="84"/>
        <v>56.103999999999999</v>
      </c>
      <c r="Z212" s="383">
        <f t="shared" si="85"/>
        <v>57.094324482308942</v>
      </c>
      <c r="AA212" s="384">
        <f t="shared" si="86"/>
        <v>61.260749098237333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6.8011323355630829E-2</v>
      </c>
      <c r="AD212" s="230">
        <f>(INDEX(Models!$BJ212:$BT212,,AH212)*(1-AF212)+INDEX(Models!$BJ212:$BT212,,AH212+1)*AF212-ERP_i)*AE212*Ramure*Pc/MaxiM</f>
        <v>9.8367742344393152E-5</v>
      </c>
      <c r="AE212" s="304">
        <f t="shared" si="88"/>
        <v>0.6</v>
      </c>
      <c r="AF212" s="177">
        <f t="shared" si="89"/>
        <v>0.90943297149505464</v>
      </c>
      <c r="AG212" s="799">
        <f t="shared" si="95"/>
        <v>-1</v>
      </c>
      <c r="AH212" s="176">
        <f t="shared" si="90"/>
        <v>5</v>
      </c>
      <c r="AI212" s="224">
        <f t="shared" si="91"/>
        <v>-9.0567028504945357E-2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50.545000000000002</v>
      </c>
      <c r="C213" s="388"/>
      <c r="D213" s="391">
        <f t="shared" si="74"/>
        <v>51.438185126591101</v>
      </c>
      <c r="E213" s="383">
        <f t="shared" si="72"/>
        <v>55.196920532302933</v>
      </c>
      <c r="F213" s="383">
        <f t="shared" si="75"/>
        <v>55.201725113884144</v>
      </c>
      <c r="G213" s="110">
        <f t="shared" si="73"/>
        <v>0.90262113317678061</v>
      </c>
      <c r="H213" s="412" t="b">
        <f>Wh_hp&gt;='2020'!Maxi_hp</f>
        <v>1</v>
      </c>
      <c r="I213" s="379">
        <f>IF(H213,Wh_hp,'2020'!Maxi_hp)</f>
        <v>55.201725113884144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1.7364242622342485E-2</v>
      </c>
      <c r="M213" s="832"/>
      <c r="N213" s="832"/>
      <c r="O213" s="48">
        <f>IF(t&lt;Tnet,'2020'!Resal+('2020'!Salim-'2020'!Resal)*(1-EXP(('2020'!Tnet-t)/('2020'!Tau_j))),Resal+(Salim-Resal)*(1-EXP((Tnet-t)/(Tau_j))))*Salcycl</f>
        <v>6.8096831661326157E-2</v>
      </c>
      <c r="P213" s="169">
        <f>(INDEX(Models!$BJ213:$BT213,,T213)*(1-R213)+INDEX(Models!$BJ213:$BT213,,T213+1)*R213-ERP_i)*Q213*Ramure*Pc/MaxiM</f>
        <v>1.0109913873229379E-4</v>
      </c>
      <c r="Q213" s="304">
        <f t="shared" si="77"/>
        <v>0.6</v>
      </c>
      <c r="R213" s="177">
        <f t="shared" si="78"/>
        <v>0.912423092411345</v>
      </c>
      <c r="S213" s="799">
        <f t="shared" si="79"/>
        <v>-1</v>
      </c>
      <c r="T213" s="176">
        <f t="shared" si="80"/>
        <v>5</v>
      </c>
      <c r="U213" s="250">
        <f t="shared" si="81"/>
        <v>-8.757690758865494E-2</v>
      </c>
      <c r="V213" s="382">
        <f t="shared" si="82"/>
        <v>55.997236602908963</v>
      </c>
      <c r="W213" s="400"/>
      <c r="X213" s="157">
        <f t="shared" si="83"/>
        <v>44395</v>
      </c>
      <c r="Y213" s="383">
        <f t="shared" si="84"/>
        <v>50.545000000000002</v>
      </c>
      <c r="Z213" s="383">
        <f t="shared" si="85"/>
        <v>51.438185126591101</v>
      </c>
      <c r="AA213" s="384">
        <f t="shared" si="86"/>
        <v>55.196920532302933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6.8096831661326157E-2</v>
      </c>
      <c r="AD213" s="230">
        <f>(INDEX(Models!$BJ213:$BT213,,AH213)*(1-AF213)+INDEX(Models!$BJ213:$BT213,,AH213+1)*AF213-ERP_i)*AE213*Ramure*Pc/MaxiM</f>
        <v>1.0109913873229379E-4</v>
      </c>
      <c r="AE213" s="304">
        <f t="shared" si="88"/>
        <v>0.6</v>
      </c>
      <c r="AF213" s="177">
        <f t="shared" si="89"/>
        <v>0.912423092411345</v>
      </c>
      <c r="AG213" s="799">
        <f t="shared" si="95"/>
        <v>-1</v>
      </c>
      <c r="AH213" s="176">
        <f t="shared" si="90"/>
        <v>5</v>
      </c>
      <c r="AI213" s="224">
        <f t="shared" si="91"/>
        <v>-8.757690758865494E-2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54.491</v>
      </c>
      <c r="C214" s="388"/>
      <c r="D214" s="391">
        <f t="shared" si="74"/>
        <v>55.454978020563644</v>
      </c>
      <c r="E214" s="383">
        <f t="shared" si="72"/>
        <v>59.512656633754332</v>
      </c>
      <c r="F214" s="383">
        <f t="shared" si="75"/>
        <v>59.518615858651927</v>
      </c>
      <c r="G214" s="110">
        <f t="shared" si="73"/>
        <v>0.97475808051914004</v>
      </c>
      <c r="H214" s="412" t="b">
        <f>Wh_hp&gt;='2020'!Maxi_hp</f>
        <v>0</v>
      </c>
      <c r="I214" s="379">
        <f>IF(H214,Wh_hp,'2020'!Maxi_hp)</f>
        <v>60.996282625351171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1.7383074612457361E-2</v>
      </c>
      <c r="M214" s="832"/>
      <c r="N214" s="832"/>
      <c r="O214" s="48">
        <f>IF(t&lt;Tnet,'2020'!Resal+('2020'!Salim-'2020'!Resal)*(1-EXP(('2020'!Tnet-t)/('2020'!Tau_j))),Resal+(Salim-Resal)*(1-EXP((Tnet-t)/(Tau_j))))*Salcycl</f>
        <v>6.8181775822275317E-2</v>
      </c>
      <c r="P214" s="169">
        <f>(INDEX(Models!$BJ214:$BT214,,T214)*(1-R214)+INDEX(Models!$BJ214:$BT214,,T214+1)*R214-ERP_i)*Q214*Ramure*Pc/MaxiM</f>
        <v>1.0386866481754703E-4</v>
      </c>
      <c r="Q214" s="304">
        <f t="shared" si="77"/>
        <v>0.6</v>
      </c>
      <c r="R214" s="177">
        <f t="shared" si="78"/>
        <v>0.91533402367690875</v>
      </c>
      <c r="S214" s="799">
        <f t="shared" si="79"/>
        <v>-1</v>
      </c>
      <c r="T214" s="176">
        <f t="shared" si="80"/>
        <v>5</v>
      </c>
      <c r="U214" s="250">
        <f t="shared" si="81"/>
        <v>-8.4665976323091197E-2</v>
      </c>
      <c r="V214" s="382">
        <f t="shared" si="82"/>
        <v>55.901866322004452</v>
      </c>
      <c r="W214" s="400"/>
      <c r="X214" s="157">
        <f t="shared" si="83"/>
        <v>44396</v>
      </c>
      <c r="Y214" s="383">
        <f t="shared" si="84"/>
        <v>54.491</v>
      </c>
      <c r="Z214" s="383">
        <f t="shared" si="85"/>
        <v>55.454978020563644</v>
      </c>
      <c r="AA214" s="384">
        <f t="shared" si="86"/>
        <v>59.512656633754332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6.8181775822275317E-2</v>
      </c>
      <c r="AD214" s="230">
        <f>(INDEX(Models!$BJ214:$BT214,,AH214)*(1-AF214)+INDEX(Models!$BJ214:$BT214,,AH214+1)*AF214-ERP_i)*AE214*Ramure*Pc/MaxiM</f>
        <v>1.0386866481754703E-4</v>
      </c>
      <c r="AE214" s="304">
        <f t="shared" si="88"/>
        <v>0.6</v>
      </c>
      <c r="AF214" s="177">
        <f t="shared" si="89"/>
        <v>0.91533402367690875</v>
      </c>
      <c r="AG214" s="799">
        <f t="shared" si="95"/>
        <v>-1</v>
      </c>
      <c r="AH214" s="176">
        <f t="shared" si="90"/>
        <v>5</v>
      </c>
      <c r="AI214" s="224">
        <f t="shared" si="91"/>
        <v>-8.4665976323091197E-2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44.927</v>
      </c>
      <c r="C215" s="388"/>
      <c r="D215" s="391">
        <f t="shared" si="74"/>
        <v>45.722661467985105</v>
      </c>
      <c r="E215" s="383">
        <f t="shared" si="72"/>
        <v>49.072665129445632</v>
      </c>
      <c r="F215" s="383">
        <f t="shared" si="75"/>
        <v>49.076442682927926</v>
      </c>
      <c r="G215" s="110">
        <f t="shared" si="73"/>
        <v>0.80506076405964844</v>
      </c>
      <c r="H215" s="412" t="b">
        <f>Wh_hp&gt;='2020'!Maxi_hp</f>
        <v>0</v>
      </c>
      <c r="I215" s="379">
        <f>IF(H215,Wh_hp,'2020'!Maxi_hp)</f>
        <v>59.776097909915435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1.7401906241661491E-2</v>
      </c>
      <c r="M215" s="832"/>
      <c r="N215" s="832"/>
      <c r="O215" s="48">
        <f>IF(t&lt;Tnet,'2020'!Resal+('2020'!Salim-'2020'!Resal)*(1-EXP(('2020'!Tnet-t)/('2020'!Tau_j))),Resal+(Salim-Resal)*(1-EXP((Tnet-t)/(Tau_j))))*Salcycl</f>
        <v>6.826618551537332E-2</v>
      </c>
      <c r="P215" s="169">
        <f>(INDEX(Models!$BJ215:$BT215,,T215)*(1-R215)+INDEX(Models!$BJ215:$BT215,,T215+1)*R215-ERP_i)*Q215*Ramure*Pc/MaxiM</f>
        <v>1.0667714651018567E-4</v>
      </c>
      <c r="Q215" s="304">
        <f t="shared" si="77"/>
        <v>0.6</v>
      </c>
      <c r="R215" s="177">
        <f t="shared" si="78"/>
        <v>0.91816650911234388</v>
      </c>
      <c r="S215" s="799">
        <f t="shared" si="79"/>
        <v>-1</v>
      </c>
      <c r="T215" s="176">
        <f t="shared" si="80"/>
        <v>5</v>
      </c>
      <c r="U215" s="250">
        <f t="shared" si="81"/>
        <v>-8.1833490887656068E-2</v>
      </c>
      <c r="V215" s="382">
        <f t="shared" si="82"/>
        <v>55.804067690036142</v>
      </c>
      <c r="W215" s="400"/>
      <c r="X215" s="157">
        <f t="shared" si="83"/>
        <v>44397</v>
      </c>
      <c r="Y215" s="383">
        <f t="shared" si="84"/>
        <v>44.927</v>
      </c>
      <c r="Z215" s="383">
        <f t="shared" si="85"/>
        <v>45.722661467985105</v>
      </c>
      <c r="AA215" s="384">
        <f t="shared" si="86"/>
        <v>49.072665129445632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6.826618551537332E-2</v>
      </c>
      <c r="AD215" s="230">
        <f>(INDEX(Models!$BJ215:$BT215,,AH215)*(1-AF215)+INDEX(Models!$BJ215:$BT215,,AH215+1)*AF215-ERP_i)*AE215*Ramure*Pc/MaxiM</f>
        <v>1.0667714651018567E-4</v>
      </c>
      <c r="AE215" s="304">
        <f t="shared" si="88"/>
        <v>0.6</v>
      </c>
      <c r="AF215" s="177">
        <f t="shared" si="89"/>
        <v>0.91816650911234388</v>
      </c>
      <c r="AG215" s="799">
        <f t="shared" si="95"/>
        <v>-1</v>
      </c>
      <c r="AH215" s="176">
        <f t="shared" si="90"/>
        <v>5</v>
      </c>
      <c r="AI215" s="224">
        <f t="shared" si="91"/>
        <v>-8.1833490887656068E-2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42.350999999999999</v>
      </c>
      <c r="C216" s="388"/>
      <c r="D216" s="391">
        <f t="shared" si="74"/>
        <v>43.101866298984064</v>
      </c>
      <c r="E216" s="383">
        <f t="shared" si="72"/>
        <v>46.264015925472883</v>
      </c>
      <c r="F216" s="383">
        <f t="shared" si="75"/>
        <v>46.267348076713503</v>
      </c>
      <c r="G216" s="110">
        <f t="shared" si="73"/>
        <v>0.76026292842711996</v>
      </c>
      <c r="H216" s="412" t="b">
        <f>Wh_hp&gt;='2020'!Maxi_hp</f>
        <v>0</v>
      </c>
      <c r="I216" s="379">
        <f>IF(H216,Wh_hp,'2020'!Maxi_hp)</f>
        <v>51.775054354495516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1.7420737509961648E-2</v>
      </c>
      <c r="M216" s="832"/>
      <c r="N216" s="832"/>
      <c r="O216" s="48">
        <f>IF(t&lt;Tnet,'2020'!Resal+('2020'!Salim-'2020'!Resal)*(1-EXP(('2020'!Tnet-t)/('2020'!Tau_j))),Resal+(Salim-Resal)*(1-EXP((Tnet-t)/(Tau_j))))*Salcycl</f>
        <v>6.8350089442791903E-2</v>
      </c>
      <c r="P216" s="169">
        <f>(INDEX(Models!$BJ216:$BT216,,T216)*(1-R216)+INDEX(Models!$BJ216:$BT216,,T216+1)*R216-ERP_i)*Q216*Ramure*Pc/MaxiM</f>
        <v>1.0952549721289649E-4</v>
      </c>
      <c r="Q216" s="304">
        <f t="shared" si="77"/>
        <v>0.6</v>
      </c>
      <c r="R216" s="177">
        <f t="shared" si="78"/>
        <v>0.92092138187040384</v>
      </c>
      <c r="S216" s="799">
        <f t="shared" si="79"/>
        <v>-1</v>
      </c>
      <c r="T216" s="176">
        <f t="shared" si="80"/>
        <v>5</v>
      </c>
      <c r="U216" s="250">
        <f t="shared" si="81"/>
        <v>-7.9078618129596101E-2</v>
      </c>
      <c r="V216" s="382">
        <f t="shared" si="82"/>
        <v>55.703638682857623</v>
      </c>
      <c r="W216" s="400"/>
      <c r="X216" s="157">
        <f t="shared" si="83"/>
        <v>44398</v>
      </c>
      <c r="Y216" s="383">
        <f t="shared" si="84"/>
        <v>42.350999999999999</v>
      </c>
      <c r="Z216" s="383">
        <f t="shared" si="85"/>
        <v>43.101866298984064</v>
      </c>
      <c r="AA216" s="384">
        <f t="shared" si="86"/>
        <v>46.264015925472883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6.8350089442791903E-2</v>
      </c>
      <c r="AD216" s="230">
        <f>(INDEX(Models!$BJ216:$BT216,,AH216)*(1-AF216)+INDEX(Models!$BJ216:$BT216,,AH216+1)*AF216-ERP_i)*AE216*Ramure*Pc/MaxiM</f>
        <v>1.0952549721289649E-4</v>
      </c>
      <c r="AE216" s="304">
        <f t="shared" si="88"/>
        <v>0.6</v>
      </c>
      <c r="AF216" s="177">
        <f t="shared" si="89"/>
        <v>0.92092138187040384</v>
      </c>
      <c r="AG216" s="799">
        <f t="shared" si="95"/>
        <v>-1</v>
      </c>
      <c r="AH216" s="176">
        <f t="shared" si="90"/>
        <v>5</v>
      </c>
      <c r="AI216" s="224">
        <f t="shared" si="91"/>
        <v>-7.9078618129596101E-2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50.381</v>
      </c>
      <c r="C217" s="388"/>
      <c r="D217" s="391">
        <f t="shared" si="74"/>
        <v>51.275217666612164</v>
      </c>
      <c r="E217" s="383">
        <f t="shared" si="72"/>
        <v>55.041930451091908</v>
      </c>
      <c r="F217" s="383">
        <f t="shared" si="75"/>
        <v>55.047288721880754</v>
      </c>
      <c r="G217" s="110">
        <f t="shared" si="73"/>
        <v>0.90611328092670995</v>
      </c>
      <c r="H217" s="412" t="b">
        <f>Wh_hp&gt;='2020'!Maxi_hp</f>
        <v>0</v>
      </c>
      <c r="I217" s="379">
        <f>IF(H217,Wh_hp,'2020'!Maxi_hp)</f>
        <v>55.348148280408218</v>
      </c>
      <c r="J217" s="85">
        <f>IF(H217,An,'2020'!An_max)</f>
        <v>2020</v>
      </c>
      <c r="K217" s="197">
        <f t="shared" si="76"/>
        <v>44399</v>
      </c>
      <c r="L217" s="147">
        <f>IF(t&lt;Tvie,1-EXP((T0-t)*PertePVj)+'2020'!Pspv,1-EXP((T0-t)*PertePVj)+Pspv)</f>
        <v>1.7439568417364937E-2</v>
      </c>
      <c r="M217" s="832"/>
      <c r="N217" s="832"/>
      <c r="O217" s="48">
        <f>IF(t&lt;Tnet,'2020'!Resal+('2020'!Salim-'2020'!Resal)*(1-EXP(('2020'!Tnet-t)/('2020'!Tau_j))),Resal+(Salim-Resal)*(1-EXP((Tnet-t)/(Tau_j))))*Salcycl</f>
        <v>6.8433515205770235E-2</v>
      </c>
      <c r="P217" s="169">
        <f>(INDEX(Models!$BJ217:$BT217,,T217)*(1-R217)+INDEX(Models!$BJ217:$BT217,,T217+1)*R217-ERP_i)*Q217*Ramure*Pc/MaxiM</f>
        <v>1.1241471803268725E-4</v>
      </c>
      <c r="Q217" s="304">
        <f t="shared" si="77"/>
        <v>0.6</v>
      </c>
      <c r="R217" s="177">
        <f t="shared" si="78"/>
        <v>0.92359955752768297</v>
      </c>
      <c r="S217" s="799">
        <f t="shared" si="79"/>
        <v>-1</v>
      </c>
      <c r="T217" s="176">
        <f t="shared" si="80"/>
        <v>5</v>
      </c>
      <c r="U217" s="250">
        <f t="shared" si="81"/>
        <v>-7.6400442472316976E-2</v>
      </c>
      <c r="V217" s="382">
        <f t="shared" si="82"/>
        <v>55.600377433614391</v>
      </c>
      <c r="W217" s="400"/>
      <c r="X217" s="157">
        <f t="shared" si="83"/>
        <v>44399</v>
      </c>
      <c r="Y217" s="383">
        <f t="shared" si="84"/>
        <v>50.381</v>
      </c>
      <c r="Z217" s="383">
        <f t="shared" si="85"/>
        <v>51.275217666612164</v>
      </c>
      <c r="AA217" s="384">
        <f t="shared" si="86"/>
        <v>55.041930451091908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6.8433515205770235E-2</v>
      </c>
      <c r="AD217" s="230">
        <f>(INDEX(Models!$BJ217:$BT217,,AH217)*(1-AF217)+INDEX(Models!$BJ217:$BT217,,AH217+1)*AF217-ERP_i)*AE217*Ramure*Pc/MaxiM</f>
        <v>1.1241471803268725E-4</v>
      </c>
      <c r="AE217" s="304">
        <f t="shared" si="88"/>
        <v>0.6</v>
      </c>
      <c r="AF217" s="177">
        <f t="shared" si="89"/>
        <v>0.92359955752768297</v>
      </c>
      <c r="AG217" s="799">
        <f t="shared" si="95"/>
        <v>-1</v>
      </c>
      <c r="AH217" s="176">
        <f t="shared" si="90"/>
        <v>5</v>
      </c>
      <c r="AI217" s="224">
        <f t="shared" si="91"/>
        <v>-7.6400442472316976E-2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42.125</v>
      </c>
      <c r="C218" s="388"/>
      <c r="D218" s="391">
        <f t="shared" si="74"/>
        <v>42.873502715384085</v>
      </c>
      <c r="E218" s="383">
        <f t="shared" si="72"/>
        <v>46.027119340148516</v>
      </c>
      <c r="F218" s="383">
        <f t="shared" si="75"/>
        <v>46.030601498750805</v>
      </c>
      <c r="G218" s="110">
        <f t="shared" si="73"/>
        <v>0.75905981205884432</v>
      </c>
      <c r="H218" s="412" t="b">
        <f>Wh_hp&gt;='2020'!Maxi_hp</f>
        <v>0</v>
      </c>
      <c r="I218" s="379">
        <f>IF(H218,Wh_hp,'2020'!Maxi_hp)</f>
        <v>56.109961045476417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1.745839896387813E-2</v>
      </c>
      <c r="M218" s="832"/>
      <c r="N218" s="832"/>
      <c r="O218" s="48">
        <f>IF(t&lt;Tnet,'2020'!Resal+('2020'!Salim-'2020'!Resal)*(1-EXP(('2020'!Tnet-t)/('2020'!Tau_j))),Resal+(Salim-Resal)*(1-EXP((Tnet-t)/(Tau_j))))*Salcycl</f>
        <v>6.8516489191049509E-2</v>
      </c>
      <c r="P218" s="169">
        <f>(INDEX(Models!$BJ218:$BT218,,T218)*(1-R218)+INDEX(Models!$BJ218:$BT218,,T218+1)*R218-ERP_i)*Q218*Ramure*Pc/MaxiM</f>
        <v>1.1534589794616924E-4</v>
      </c>
      <c r="Q218" s="304">
        <f t="shared" si="77"/>
        <v>0.6</v>
      </c>
      <c r="R218" s="177">
        <f t="shared" si="78"/>
        <v>0.92620202728881518</v>
      </c>
      <c r="S218" s="799">
        <f t="shared" si="79"/>
        <v>-1</v>
      </c>
      <c r="T218" s="176">
        <f t="shared" si="80"/>
        <v>5</v>
      </c>
      <c r="U218" s="250">
        <f t="shared" si="81"/>
        <v>-7.3797972711184878E-2</v>
      </c>
      <c r="V218" s="382">
        <f t="shared" si="82"/>
        <v>55.494082235650424</v>
      </c>
      <c r="W218" s="400"/>
      <c r="X218" s="157">
        <f t="shared" si="83"/>
        <v>44400</v>
      </c>
      <c r="Y218" s="383">
        <f t="shared" si="84"/>
        <v>42.125</v>
      </c>
      <c r="Z218" s="383">
        <f t="shared" si="85"/>
        <v>42.873502715384085</v>
      </c>
      <c r="AA218" s="384">
        <f t="shared" si="86"/>
        <v>46.027119340148516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6.8516489191049509E-2</v>
      </c>
      <c r="AD218" s="230">
        <f>(INDEX(Models!$BJ218:$BT218,,AH218)*(1-AF218)+INDEX(Models!$BJ218:$BT218,,AH218+1)*AF218-ERP_i)*AE218*Ramure*Pc/MaxiM</f>
        <v>1.1534589794616924E-4</v>
      </c>
      <c r="AE218" s="304">
        <f t="shared" si="88"/>
        <v>0.6</v>
      </c>
      <c r="AF218" s="177">
        <f t="shared" si="89"/>
        <v>0.92620202728881518</v>
      </c>
      <c r="AG218" s="799">
        <f t="shared" si="95"/>
        <v>-1</v>
      </c>
      <c r="AH218" s="176">
        <f t="shared" si="90"/>
        <v>5</v>
      </c>
      <c r="AI218" s="224">
        <f t="shared" si="91"/>
        <v>-7.3797972711184878E-2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26.783999999999999</v>
      </c>
      <c r="C219" s="388"/>
      <c r="D219" s="391">
        <f t="shared" si="74"/>
        <v>27.260436902460004</v>
      </c>
      <c r="E219" s="383">
        <f t="shared" si="72"/>
        <v>29.268207753570938</v>
      </c>
      <c r="F219" s="383">
        <f t="shared" si="75"/>
        <v>29.269116053949553</v>
      </c>
      <c r="G219" s="110">
        <f t="shared" si="73"/>
        <v>0.48355395925355038</v>
      </c>
      <c r="H219" s="412" t="b">
        <f>Wh_hp&gt;='2020'!Maxi_hp</f>
        <v>0</v>
      </c>
      <c r="I219" s="379">
        <f>IF(H219,Wh_hp,'2020'!Maxi_hp)</f>
        <v>56.342293101754187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1.7477229149508333E-2</v>
      </c>
      <c r="M219" s="832"/>
      <c r="N219" s="832"/>
      <c r="O219" s="48">
        <f>IF(t&lt;Tnet,'2020'!Resal+('2020'!Salim-'2020'!Resal)*(1-EXP(('2020'!Tnet-t)/('2020'!Tau_j))),Resal+(Salim-Resal)*(1-EXP((Tnet-t)/(Tau_j))))*Salcycl</f>
        <v>6.8599036470416319E-2</v>
      </c>
      <c r="P219" s="169">
        <f>(INDEX(Models!$BJ219:$BT219,,T219)*(1-R219)+INDEX(Models!$BJ219:$BT219,,T219+1)*R219-ERP_i)*Q219*Ramure*Pc/MaxiM</f>
        <v>1.1831895003260714E-4</v>
      </c>
      <c r="Q219" s="304">
        <f t="shared" si="77"/>
        <v>0.6</v>
      </c>
      <c r="R219" s="177">
        <f t="shared" si="78"/>
        <v>0.92872985133169239</v>
      </c>
      <c r="S219" s="799">
        <f t="shared" si="79"/>
        <v>-1</v>
      </c>
      <c r="T219" s="176">
        <f t="shared" si="80"/>
        <v>5</v>
      </c>
      <c r="U219" s="250">
        <f t="shared" si="81"/>
        <v>-7.1270148668307609E-2</v>
      </c>
      <c r="V219" s="382">
        <f t="shared" si="82"/>
        <v>55.385053809695734</v>
      </c>
      <c r="W219" s="400"/>
      <c r="X219" s="157">
        <f t="shared" si="83"/>
        <v>44401</v>
      </c>
      <c r="Y219" s="383">
        <f t="shared" si="84"/>
        <v>26.783999999999999</v>
      </c>
      <c r="Z219" s="383">
        <f t="shared" si="85"/>
        <v>27.260436902460004</v>
      </c>
      <c r="AA219" s="384">
        <f t="shared" si="86"/>
        <v>29.268207753570938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6.8599036470416319E-2</v>
      </c>
      <c r="AD219" s="230">
        <f>(INDEX(Models!$BJ219:$BT219,,AH219)*(1-AF219)+INDEX(Models!$BJ219:$BT219,,AH219+1)*AF219-ERP_i)*AE219*Ramure*Pc/MaxiM</f>
        <v>1.1831895003260714E-4</v>
      </c>
      <c r="AE219" s="304">
        <f t="shared" si="88"/>
        <v>0.6</v>
      </c>
      <c r="AF219" s="177">
        <f t="shared" si="89"/>
        <v>0.92872985133169239</v>
      </c>
      <c r="AG219" s="799">
        <f t="shared" si="95"/>
        <v>-1</v>
      </c>
      <c r="AH219" s="176">
        <f t="shared" si="90"/>
        <v>5</v>
      </c>
      <c r="AI219" s="224">
        <f t="shared" si="91"/>
        <v>-7.1270148668307609E-2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34.274000000000001</v>
      </c>
      <c r="C220" s="388"/>
      <c r="D220" s="391">
        <f t="shared" si="74"/>
        <v>34.884338442671094</v>
      </c>
      <c r="E220" s="383">
        <f t="shared" si="72"/>
        <v>37.456924224299009</v>
      </c>
      <c r="F220" s="383">
        <f t="shared" si="75"/>
        <v>37.459002070425591</v>
      </c>
      <c r="G220" s="110">
        <f t="shared" si="73"/>
        <v>0.62003676035228561</v>
      </c>
      <c r="H220" s="412" t="b">
        <f>Wh_hp&gt;='2020'!Maxi_hp</f>
        <v>0</v>
      </c>
      <c r="I220" s="379">
        <f>IF(H220,Wh_hp,'2020'!Maxi_hp)</f>
        <v>59.315557328001788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1.7496058974262207E-2</v>
      </c>
      <c r="M220" s="832"/>
      <c r="N220" s="832"/>
      <c r="O220" s="48">
        <f>IF(t&lt;Tnet,'2020'!Resal+('2020'!Salim-'2020'!Resal)*(1-EXP(('2020'!Tnet-t)/('2020'!Tau_j))),Resal+(Salim-Resal)*(1-EXP((Tnet-t)/(Tau_j))))*Salcycl</f>
        <v>6.8681180713685744E-2</v>
      </c>
      <c r="P220" s="169">
        <f>(INDEX(Models!$BJ220:$BT220,,T220)*(1-R220)+INDEX(Models!$BJ220:$BT220,,T220+1)*R220-ERP_i)*Q220*Ramure*Pc/MaxiM</f>
        <v>1.2131093566506297E-4</v>
      </c>
      <c r="Q220" s="304">
        <f t="shared" si="77"/>
        <v>0.6</v>
      </c>
      <c r="R220" s="177">
        <f t="shared" si="78"/>
        <v>0.93118415231882734</v>
      </c>
      <c r="S220" s="799">
        <f t="shared" si="79"/>
        <v>-1</v>
      </c>
      <c r="T220" s="176">
        <f t="shared" si="80"/>
        <v>5</v>
      </c>
      <c r="U220" s="250">
        <f t="shared" si="81"/>
        <v>-6.8815847681172604E-2</v>
      </c>
      <c r="V220" s="382">
        <f t="shared" si="82"/>
        <v>55.273727994449075</v>
      </c>
      <c r="W220" s="400"/>
      <c r="X220" s="157">
        <f t="shared" si="83"/>
        <v>44402</v>
      </c>
      <c r="Y220" s="383">
        <f t="shared" si="84"/>
        <v>34.274000000000001</v>
      </c>
      <c r="Z220" s="383">
        <f t="shared" si="85"/>
        <v>34.884338442671094</v>
      </c>
      <c r="AA220" s="384">
        <f t="shared" si="86"/>
        <v>37.456924224299009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6.8681180713685744E-2</v>
      </c>
      <c r="AD220" s="230">
        <f>(INDEX(Models!$BJ220:$BT220,,AH220)*(1-AF220)+INDEX(Models!$BJ220:$BT220,,AH220+1)*AF220-ERP_i)*AE220*Ramure*Pc/MaxiM</f>
        <v>1.2131093566506297E-4</v>
      </c>
      <c r="AE220" s="304">
        <f t="shared" si="88"/>
        <v>0.6</v>
      </c>
      <c r="AF220" s="177">
        <f t="shared" si="89"/>
        <v>0.93118415231882734</v>
      </c>
      <c r="AG220" s="799">
        <f t="shared" si="95"/>
        <v>-1</v>
      </c>
      <c r="AH220" s="176">
        <f t="shared" si="90"/>
        <v>5</v>
      </c>
      <c r="AI220" s="224">
        <f t="shared" si="91"/>
        <v>-6.8815847681172604E-2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33.549999999999997</v>
      </c>
      <c r="C221" s="388"/>
      <c r="D221" s="391">
        <f t="shared" si="74"/>
        <v>34.148100164760436</v>
      </c>
      <c r="E221" s="383">
        <f t="shared" si="72"/>
        <v>36.669610545426089</v>
      </c>
      <c r="F221" s="383">
        <f t="shared" si="75"/>
        <v>36.671617058943454</v>
      </c>
      <c r="G221" s="110">
        <f t="shared" si="73"/>
        <v>0.60818711498412625</v>
      </c>
      <c r="H221" s="412" t="b">
        <f>Wh_hp&gt;='2020'!Maxi_hp</f>
        <v>0</v>
      </c>
      <c r="I221" s="379">
        <f>IF(H221,Wh_hp,'2020'!Maxi_hp)</f>
        <v>58.379363630430667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1.7514888438146747E-2</v>
      </c>
      <c r="M221" s="832"/>
      <c r="N221" s="832"/>
      <c r="O221" s="48">
        <f>IF(t&lt;Tnet,'2020'!Resal+('2020'!Salim-'2020'!Resal)*(1-EXP(('2020'!Tnet-t)/('2020'!Tau_j))),Resal+(Salim-Resal)*(1-EXP((Tnet-t)/(Tau_j))))*Salcycl</f>
        <v>6.8762944115319233E-2</v>
      </c>
      <c r="P221" s="169">
        <f>(INDEX(Models!$BJ221:$BT221,,T221)*(1-R221)+INDEX(Models!$BJ221:$BT221,,T221+1)*R221-ERP_i)*Q221*Ramure*Pc/MaxiM</f>
        <v>1.2426132612384282E-4</v>
      </c>
      <c r="Q221" s="304">
        <f t="shared" si="77"/>
        <v>0.6</v>
      </c>
      <c r="R221" s="177">
        <f t="shared" si="78"/>
        <v>0.93356610909668625</v>
      </c>
      <c r="S221" s="799">
        <f t="shared" si="79"/>
        <v>-1</v>
      </c>
      <c r="T221" s="176">
        <f t="shared" si="80"/>
        <v>5</v>
      </c>
      <c r="U221" s="250">
        <f t="shared" si="81"/>
        <v>-6.6433890903313697E-2</v>
      </c>
      <c r="V221" s="382">
        <f t="shared" si="82"/>
        <v>55.160107457618615</v>
      </c>
      <c r="W221" s="400"/>
      <c r="X221" s="157">
        <f t="shared" si="83"/>
        <v>44403</v>
      </c>
      <c r="Y221" s="383">
        <f t="shared" si="84"/>
        <v>33.549999999999997</v>
      </c>
      <c r="Z221" s="383">
        <f t="shared" si="85"/>
        <v>34.148100164760436</v>
      </c>
      <c r="AA221" s="384">
        <f t="shared" si="86"/>
        <v>36.669610545426089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6.8762944115319233E-2</v>
      </c>
      <c r="AD221" s="230">
        <f>(INDEX(Models!$BJ221:$BT221,,AH221)*(1-AF221)+INDEX(Models!$BJ221:$BT221,,AH221+1)*AF221-ERP_i)*AE221*Ramure*Pc/MaxiM</f>
        <v>1.2426132612384282E-4</v>
      </c>
      <c r="AE221" s="304">
        <f t="shared" si="88"/>
        <v>0.6</v>
      </c>
      <c r="AF221" s="177">
        <f t="shared" si="89"/>
        <v>0.93356610909668625</v>
      </c>
      <c r="AG221" s="799">
        <f t="shared" si="95"/>
        <v>-1</v>
      </c>
      <c r="AH221" s="176">
        <f t="shared" si="90"/>
        <v>5</v>
      </c>
      <c r="AI221" s="224">
        <f t="shared" si="91"/>
        <v>-6.6433890903313697E-2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45.152999999999999</v>
      </c>
      <c r="C222" s="388"/>
      <c r="D222" s="391">
        <f t="shared" si="74"/>
        <v>45.958829128461289</v>
      </c>
      <c r="E222" s="383">
        <f t="shared" si="72"/>
        <v>49.356763283251823</v>
      </c>
      <c r="F222" s="383">
        <f t="shared" si="75"/>
        <v>49.361429140375378</v>
      </c>
      <c r="G222" s="110">
        <f t="shared" si="73"/>
        <v>0.82027775305448292</v>
      </c>
      <c r="H222" s="412" t="b">
        <f>Wh_hp&gt;='2020'!Maxi_hp</f>
        <v>1</v>
      </c>
      <c r="I222" s="379">
        <f>IF(H222,Wh_hp,'2020'!Maxi_hp)</f>
        <v>49.361429140375378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1.7533717541168947E-2</v>
      </c>
      <c r="M222" s="832"/>
      <c r="N222" s="832"/>
      <c r="O222" s="48">
        <f>IF(t&lt;Tnet,'2020'!Resal+('2020'!Salim-'2020'!Resal)*(1-EXP(('2020'!Tnet-t)/('2020'!Tau_j))),Resal+(Salim-Resal)*(1-EXP((Tnet-t)/(Tau_j))))*Salcycl</f>
        <v>6.8844347334735989E-2</v>
      </c>
      <c r="P222" s="169">
        <f>(INDEX(Models!$BJ222:$BT222,,T222)*(1-R222)+INDEX(Models!$BJ222:$BT222,,T222+1)*R222-ERP_i)*Q222*Ramure*Pc/MaxiM</f>
        <v>1.2716984430828171E-4</v>
      </c>
      <c r="Q222" s="304">
        <f t="shared" si="77"/>
        <v>0.6</v>
      </c>
      <c r="R222" s="177">
        <f t="shared" si="78"/>
        <v>0.93587695060165221</v>
      </c>
      <c r="S222" s="799">
        <f t="shared" si="79"/>
        <v>-1</v>
      </c>
      <c r="T222" s="176">
        <f t="shared" si="80"/>
        <v>5</v>
      </c>
      <c r="U222" s="250">
        <f t="shared" si="81"/>
        <v>-6.4123049398347842E-2</v>
      </c>
      <c r="V222" s="382">
        <f t="shared" si="82"/>
        <v>55.044191617567066</v>
      </c>
      <c r="W222" s="400"/>
      <c r="X222" s="157">
        <f t="shared" si="83"/>
        <v>44404</v>
      </c>
      <c r="Y222" s="383">
        <f t="shared" si="84"/>
        <v>45.152999999999999</v>
      </c>
      <c r="Z222" s="383">
        <f t="shared" si="85"/>
        <v>45.958829128461289</v>
      </c>
      <c r="AA222" s="384">
        <f t="shared" si="86"/>
        <v>49.356763283251823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6.8844347334735989E-2</v>
      </c>
      <c r="AD222" s="230">
        <f>(INDEX(Models!$BJ222:$BT222,,AH222)*(1-AF222)+INDEX(Models!$BJ222:$BT222,,AH222+1)*AF222-ERP_i)*AE222*Ramure*Pc/MaxiM</f>
        <v>1.2716984430828171E-4</v>
      </c>
      <c r="AE222" s="304">
        <f t="shared" si="88"/>
        <v>0.6</v>
      </c>
      <c r="AF222" s="177">
        <f t="shared" si="89"/>
        <v>0.93587695060165221</v>
      </c>
      <c r="AG222" s="799">
        <f t="shared" si="95"/>
        <v>-1</v>
      </c>
      <c r="AH222" s="176">
        <f t="shared" si="90"/>
        <v>5</v>
      </c>
      <c r="AI222" s="224">
        <f t="shared" si="91"/>
        <v>-6.4123049398347842E-2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24.161999999999999</v>
      </c>
      <c r="C223" s="388"/>
      <c r="D223" s="391">
        <f t="shared" si="74"/>
        <v>24.593681736965717</v>
      </c>
      <c r="E223" s="383">
        <f t="shared" si="72"/>
        <v>26.414298045062374</v>
      </c>
      <c r="F223" s="383">
        <f t="shared" si="75"/>
        <v>26.414984540891854</v>
      </c>
      <c r="G223" s="110">
        <f t="shared" si="73"/>
        <v>0.43985534620235178</v>
      </c>
      <c r="H223" s="412" t="b">
        <f>Wh_hp&gt;='2020'!Maxi_hp</f>
        <v>0</v>
      </c>
      <c r="I223" s="379">
        <f>IF(H223,Wh_hp,'2020'!Maxi_hp)</f>
        <v>56.218409152668862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1.755254628333569E-2</v>
      </c>
      <c r="M223" s="832"/>
      <c r="N223" s="832"/>
      <c r="O223" s="48">
        <f>IF(t&lt;Tnet,'2020'!Resal+('2020'!Salim-'2020'!Resal)*(1-EXP(('2020'!Tnet-t)/('2020'!Tau_j))),Resal+(Salim-Resal)*(1-EXP((Tnet-t)/(Tau_j))))*Salcycl</f>
        <v>6.8925409450242295E-2</v>
      </c>
      <c r="P223" s="169">
        <f>(INDEX(Models!$BJ223:$BT223,,T223)*(1-R223)+INDEX(Models!$BJ223:$BT223,,T223+1)*R223-ERP_i)*Q223*Ramure*Pc/MaxiM</f>
        <v>1.3003623822261404E-4</v>
      </c>
      <c r="Q223" s="304">
        <f t="shared" si="77"/>
        <v>0.6</v>
      </c>
      <c r="R223" s="177">
        <f t="shared" si="78"/>
        <v>0.93811794998823372</v>
      </c>
      <c r="S223" s="799">
        <f t="shared" si="79"/>
        <v>-1</v>
      </c>
      <c r="T223" s="176">
        <f t="shared" si="80"/>
        <v>5</v>
      </c>
      <c r="U223" s="250">
        <f t="shared" si="81"/>
        <v>-6.1882050011766332E-2</v>
      </c>
      <c r="V223" s="382">
        <f t="shared" si="82"/>
        <v>54.92597998626497</v>
      </c>
      <c r="W223" s="400"/>
      <c r="X223" s="157">
        <f t="shared" si="83"/>
        <v>44405</v>
      </c>
      <c r="Y223" s="383">
        <f t="shared" si="84"/>
        <v>24.161999999999999</v>
      </c>
      <c r="Z223" s="383">
        <f t="shared" si="85"/>
        <v>24.593681736965717</v>
      </c>
      <c r="AA223" s="384">
        <f t="shared" si="86"/>
        <v>26.414298045062374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6.8925409450242295E-2</v>
      </c>
      <c r="AD223" s="230">
        <f>(INDEX(Models!$BJ223:$BT223,,AH223)*(1-AF223)+INDEX(Models!$BJ223:$BT223,,AH223+1)*AF223-ERP_i)*AE223*Ramure*Pc/MaxiM</f>
        <v>1.3003623822261404E-4</v>
      </c>
      <c r="AE223" s="304">
        <f t="shared" si="88"/>
        <v>0.6</v>
      </c>
      <c r="AF223" s="177">
        <f t="shared" si="89"/>
        <v>0.93811794998823372</v>
      </c>
      <c r="AG223" s="799">
        <f t="shared" si="95"/>
        <v>-1</v>
      </c>
      <c r="AH223" s="176">
        <f t="shared" si="90"/>
        <v>5</v>
      </c>
      <c r="AI223" s="224">
        <f t="shared" si="91"/>
        <v>-6.1882050011766332E-2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51.817999999999998</v>
      </c>
      <c r="C224" s="388"/>
      <c r="D224" s="391">
        <f t="shared" si="74"/>
        <v>52.744798618130893</v>
      </c>
      <c r="E224" s="383">
        <f t="shared" si="72"/>
        <v>56.654293152044851</v>
      </c>
      <c r="F224" s="383">
        <f t="shared" si="75"/>
        <v>56.6612349559962</v>
      </c>
      <c r="G224" s="110">
        <f t="shared" si="73"/>
        <v>0.94547974433307447</v>
      </c>
      <c r="H224" s="412" t="b">
        <f>Wh_hp&gt;='2020'!Maxi_hp</f>
        <v>0</v>
      </c>
      <c r="I224" s="379">
        <f>IF(H224,Wh_hp,'2020'!Maxi_hp)</f>
        <v>59.204840320642759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1.757137466465386E-2</v>
      </c>
      <c r="M224" s="832"/>
      <c r="N224" s="832"/>
      <c r="O224" s="48">
        <f>IF(t&lt;Tnet,'2020'!Resal+('2020'!Salim-'2020'!Resal)*(1-EXP(('2020'!Tnet-t)/('2020'!Tau_j))),Resal+(Salim-Resal)*(1-EXP((Tnet-t)/(Tau_j))))*Salcycl</f>
        <v>6.9006147926370415E-2</v>
      </c>
      <c r="P224" s="169">
        <f>(INDEX(Models!$BJ224:$BT224,,T224)*(1-R224)+INDEX(Models!$BJ224:$BT224,,T224+1)*R224-ERP_i)*Q224*Ramure*Pc/MaxiM</f>
        <v>1.3286027518688955E-4</v>
      </c>
      <c r="Q224" s="304">
        <f t="shared" si="77"/>
        <v>0.6</v>
      </c>
      <c r="R224" s="177">
        <f t="shared" si="78"/>
        <v>0.94029041899226706</v>
      </c>
      <c r="S224" s="799">
        <f t="shared" si="79"/>
        <v>-1</v>
      </c>
      <c r="T224" s="176">
        <f t="shared" si="80"/>
        <v>5</v>
      </c>
      <c r="U224" s="250">
        <f t="shared" si="81"/>
        <v>-5.9709581007732937E-2</v>
      </c>
      <c r="V224" s="382">
        <f t="shared" si="82"/>
        <v>54.805472174532184</v>
      </c>
      <c r="W224" s="400"/>
      <c r="X224" s="157">
        <f t="shared" si="83"/>
        <v>44406</v>
      </c>
      <c r="Y224" s="383">
        <f t="shared" si="84"/>
        <v>51.817999999999998</v>
      </c>
      <c r="Z224" s="383">
        <f t="shared" si="85"/>
        <v>52.744798618130893</v>
      </c>
      <c r="AA224" s="384">
        <f t="shared" si="86"/>
        <v>56.654293152044851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6.9006147926370415E-2</v>
      </c>
      <c r="AD224" s="230">
        <f>(INDEX(Models!$BJ224:$BT224,,AH224)*(1-AF224)+INDEX(Models!$BJ224:$BT224,,AH224+1)*AF224-ERP_i)*AE224*Ramure*Pc/MaxiM</f>
        <v>1.3286027518688955E-4</v>
      </c>
      <c r="AE224" s="304">
        <f t="shared" si="88"/>
        <v>0.6</v>
      </c>
      <c r="AF224" s="177">
        <f t="shared" si="89"/>
        <v>0.94029041899226706</v>
      </c>
      <c r="AG224" s="799">
        <f t="shared" si="95"/>
        <v>-1</v>
      </c>
      <c r="AH224" s="176">
        <f t="shared" si="90"/>
        <v>5</v>
      </c>
      <c r="AI224" s="224">
        <f t="shared" si="91"/>
        <v>-5.9709581007732937E-2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17.259</v>
      </c>
      <c r="C225" s="388"/>
      <c r="D225" s="391">
        <f t="shared" si="74"/>
        <v>17.568025122685501</v>
      </c>
      <c r="E225" s="383">
        <f t="shared" si="72"/>
        <v>18.871814197454807</v>
      </c>
      <c r="F225" s="383">
        <f t="shared" si="75"/>
        <v>18.871871321631335</v>
      </c>
      <c r="G225" s="110">
        <f t="shared" si="73"/>
        <v>0.31557917453776907</v>
      </c>
      <c r="H225" s="412" t="b">
        <f>Wh_hp&gt;='2020'!Maxi_hp</f>
        <v>0</v>
      </c>
      <c r="I225" s="379">
        <f>IF(H225,Wh_hp,'2020'!Maxi_hp)</f>
        <v>52.35656845482881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1.7590202685130452E-2</v>
      </c>
      <c r="M225" s="832"/>
      <c r="N225" s="832"/>
      <c r="O225" s="48">
        <f>IF(t&lt;Tnet,'2020'!Resal+('2020'!Salim-'2020'!Resal)*(1-EXP(('2020'!Tnet-t)/('2020'!Tau_j))),Resal+(Salim-Resal)*(1-EXP((Tnet-t)/(Tau_j))))*Salcycl</f>
        <v>6.9086578594290349E-2</v>
      </c>
      <c r="P225" s="169">
        <f>(INDEX(Models!$BJ225:$BT225,,T225)*(1-R225)+INDEX(Models!$BJ225:$BT225,,T225+1)*R225-ERP_i)*Q225*Ramure*Pc/MaxiM</f>
        <v>1.3564173635417212E-4</v>
      </c>
      <c r="Q225" s="304">
        <f t="shared" si="77"/>
        <v>0.6</v>
      </c>
      <c r="R225" s="177">
        <f t="shared" si="78"/>
        <v>0.9423957025391495</v>
      </c>
      <c r="S225" s="799">
        <f t="shared" si="79"/>
        <v>-1</v>
      </c>
      <c r="T225" s="176">
        <f t="shared" si="80"/>
        <v>5</v>
      </c>
      <c r="U225" s="250">
        <f t="shared" si="81"/>
        <v>-5.7604297460850495E-2</v>
      </c>
      <c r="V225" s="382">
        <f t="shared" si="82"/>
        <v>54.682667890613523</v>
      </c>
      <c r="W225" s="400"/>
      <c r="X225" s="157">
        <f t="shared" si="83"/>
        <v>44407</v>
      </c>
      <c r="Y225" s="383">
        <f t="shared" si="84"/>
        <v>17.259</v>
      </c>
      <c r="Z225" s="383">
        <f t="shared" si="85"/>
        <v>17.568025122685501</v>
      </c>
      <c r="AA225" s="384">
        <f t="shared" si="86"/>
        <v>18.871814197454807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6.9086578594290349E-2</v>
      </c>
      <c r="AD225" s="230">
        <f>(INDEX(Models!$BJ225:$BT225,,AH225)*(1-AF225)+INDEX(Models!$BJ225:$BT225,,AH225+1)*AF225-ERP_i)*AE225*Ramure*Pc/MaxiM</f>
        <v>1.3564173635417212E-4</v>
      </c>
      <c r="AE225" s="304">
        <f t="shared" si="88"/>
        <v>0.6</v>
      </c>
      <c r="AF225" s="177">
        <f t="shared" si="89"/>
        <v>0.9423957025391495</v>
      </c>
      <c r="AG225" s="799">
        <f t="shared" si="95"/>
        <v>-1</v>
      </c>
      <c r="AH225" s="176">
        <f t="shared" si="90"/>
        <v>5</v>
      </c>
      <c r="AI225" s="224">
        <f t="shared" si="91"/>
        <v>-5.7604297460850495E-2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12.26</v>
      </c>
      <c r="C226" s="388"/>
      <c r="D226" s="391">
        <f t="shared" si="74"/>
        <v>12.479756409306852</v>
      </c>
      <c r="E226" s="383">
        <f t="shared" si="72"/>
        <v>13.407080106672597</v>
      </c>
      <c r="F226" s="383">
        <f t="shared" si="75"/>
        <v>13.407080106672597</v>
      </c>
      <c r="G226" s="110">
        <f t="shared" si="73"/>
        <v>0.22468566952886815</v>
      </c>
      <c r="H226" s="412" t="b">
        <f>Wh_hp&gt;='2020'!Maxi_hp</f>
        <v>0</v>
      </c>
      <c r="I226" s="379">
        <f>IF(H226,Wh_hp,'2020'!Maxi_hp)</f>
        <v>56.915628803098912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1.7609030344772347E-2</v>
      </c>
      <c r="M226" s="832"/>
      <c r="N226" s="832"/>
      <c r="O226" s="48">
        <f>IF(t&lt;Tnet,'2020'!Resal+('2020'!Salim-'2020'!Resal)*(1-EXP(('2020'!Tnet-t)/('2020'!Tau_j))),Resal+(Salim-Resal)*(1-EXP((Tnet-t)/(Tau_j))))*Salcycl</f>
        <v>6.9166715644834842E-2</v>
      </c>
      <c r="P226" s="169">
        <f>(INDEX(Models!$BJ226:$BT226,,T226)*(1-R226)+INDEX(Models!$BJ226:$BT226,,T226+1)*R226-ERP_i)*Q226*Ramure*Pc/MaxiM</f>
        <v>1.3848121616616451E-4</v>
      </c>
      <c r="Q226" s="304">
        <f t="shared" si="77"/>
        <v>0.6</v>
      </c>
      <c r="R226" s="177">
        <f t="shared" si="78"/>
        <v>0.94443517360462259</v>
      </c>
      <c r="S226" s="799">
        <f t="shared" si="79"/>
        <v>-1</v>
      </c>
      <c r="T226" s="176">
        <f t="shared" si="80"/>
        <v>5</v>
      </c>
      <c r="U226" s="250">
        <f t="shared" si="81"/>
        <v>-5.5564826395377409E-2</v>
      </c>
      <c r="V226" s="382">
        <f t="shared" si="82"/>
        <v>54.557561441250819</v>
      </c>
      <c r="W226" s="400"/>
      <c r="X226" s="157">
        <f t="shared" si="83"/>
        <v>44408</v>
      </c>
      <c r="Y226" s="383">
        <f t="shared" si="84"/>
        <v>12.26</v>
      </c>
      <c r="Z226" s="383">
        <f t="shared" si="85"/>
        <v>12.479756409306852</v>
      </c>
      <c r="AA226" s="384">
        <f t="shared" si="86"/>
        <v>13.407080106672597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6.9166715644834842E-2</v>
      </c>
      <c r="AD226" s="230">
        <f>(INDEX(Models!$BJ226:$BT226,,AH226)*(1-AF226)+INDEX(Models!$BJ226:$BT226,,AH226+1)*AF226-ERP_i)*AE226*Ramure*Pc/MaxiM</f>
        <v>1.3848121616616451E-4</v>
      </c>
      <c r="AE226" s="304">
        <f t="shared" si="88"/>
        <v>0.6</v>
      </c>
      <c r="AF226" s="177">
        <f t="shared" si="89"/>
        <v>0.94443517360462259</v>
      </c>
      <c r="AG226" s="799">
        <f t="shared" si="95"/>
        <v>-1</v>
      </c>
      <c r="AH226" s="176">
        <f t="shared" si="90"/>
        <v>5</v>
      </c>
      <c r="AI226" s="224">
        <f t="shared" si="91"/>
        <v>-5.5564826395377409E-2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44.496000000000002</v>
      </c>
      <c r="C227" s="388"/>
      <c r="D227" s="391">
        <f t="shared" si="74"/>
        <v>45.294444011072578</v>
      </c>
      <c r="E227" s="383">
        <f t="shared" si="72"/>
        <v>48.664278455109937</v>
      </c>
      <c r="F227" s="383">
        <f t="shared" si="75"/>
        <v>48.669366480657118</v>
      </c>
      <c r="G227" s="110">
        <f t="shared" si="73"/>
        <v>0.81745794413824047</v>
      </c>
      <c r="H227" s="412" t="b">
        <f>Wh_hp&gt;='2020'!Maxi_hp</f>
        <v>0</v>
      </c>
      <c r="I227" s="379">
        <f>IF(H227,Wh_hp,'2020'!Maxi_hp)</f>
        <v>54.352502015602994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1.762785764358632E-2</v>
      </c>
      <c r="M227" s="832"/>
      <c r="N227" s="832"/>
      <c r="O227" s="48">
        <f>IF(t&lt;Tnet,'2020'!Resal+('2020'!Salim-'2020'!Resal)*(1-EXP(('2020'!Tnet-t)/('2020'!Tau_j))),Resal+(Salim-Resal)*(1-EXP((Tnet-t)/(Tau_j))))*Salcycl</f>
        <v>6.9246571633561654E-2</v>
      </c>
      <c r="P227" s="169">
        <f>(INDEX(Models!$BJ227:$BT227,,T227)*(1-R227)+INDEX(Models!$BJ227:$BT227,,T227+1)*R227-ERP_i)*Q227*Ramure*Pc/MaxiM</f>
        <v>1.4141363053411037E-4</v>
      </c>
      <c r="Q227" s="304">
        <f t="shared" si="77"/>
        <v>0.6</v>
      </c>
      <c r="R227" s="177">
        <f t="shared" si="78"/>
        <v>0.9464102283332918</v>
      </c>
      <c r="S227" s="799">
        <f t="shared" si="79"/>
        <v>-1</v>
      </c>
      <c r="T227" s="176">
        <f t="shared" si="80"/>
        <v>5</v>
      </c>
      <c r="U227" s="250">
        <f t="shared" si="81"/>
        <v>-5.3589771666708197E-2</v>
      </c>
      <c r="V227" s="382">
        <f t="shared" si="82"/>
        <v>54.430150856433038</v>
      </c>
      <c r="W227" s="400"/>
      <c r="X227" s="157">
        <f t="shared" si="83"/>
        <v>44409</v>
      </c>
      <c r="Y227" s="383">
        <f t="shared" si="84"/>
        <v>44.496000000000002</v>
      </c>
      <c r="Z227" s="383">
        <f t="shared" si="85"/>
        <v>45.294444011072578</v>
      </c>
      <c r="AA227" s="384">
        <f t="shared" si="86"/>
        <v>48.664278455109937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6.9246571633561654E-2</v>
      </c>
      <c r="AD227" s="230">
        <f>(INDEX(Models!$BJ227:$BT227,,AH227)*(1-AF227)+INDEX(Models!$BJ227:$BT227,,AH227+1)*AF227-ERP_i)*AE227*Ramure*Pc/MaxiM</f>
        <v>1.4141363053411037E-4</v>
      </c>
      <c r="AE227" s="304">
        <f t="shared" si="88"/>
        <v>0.6</v>
      </c>
      <c r="AF227" s="177">
        <f t="shared" si="89"/>
        <v>0.9464102283332918</v>
      </c>
      <c r="AG227" s="799">
        <f t="shared" si="95"/>
        <v>-1</v>
      </c>
      <c r="AH227" s="176">
        <f t="shared" si="90"/>
        <v>5</v>
      </c>
      <c r="AI227" s="224">
        <f t="shared" si="91"/>
        <v>-5.3589771666708197E-2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49.411000000000001</v>
      </c>
      <c r="C228" s="388"/>
      <c r="D228" s="391">
        <f t="shared" si="74"/>
        <v>50.298603592490586</v>
      </c>
      <c r="E228" s="383">
        <f t="shared" si="72"/>
        <v>54.045360786356817</v>
      </c>
      <c r="F228" s="383">
        <f t="shared" si="75"/>
        <v>54.052163802021376</v>
      </c>
      <c r="G228" s="110">
        <f t="shared" si="73"/>
        <v>0.9099389501121139</v>
      </c>
      <c r="H228" s="412" t="b">
        <f>Wh_hp&gt;='2020'!Maxi_hp</f>
        <v>0</v>
      </c>
      <c r="I228" s="379">
        <f>IF(H228,Wh_hp,'2020'!Maxi_hp)</f>
        <v>56.407154558267514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1.7646684581579475E-2</v>
      </c>
      <c r="M228" s="832"/>
      <c r="N228" s="832"/>
      <c r="O228" s="48">
        <f>IF(t&lt;Tnet,'2020'!Resal+('2020'!Salim-'2020'!Resal)*(1-EXP(('2020'!Tnet-t)/('2020'!Tau_j))),Resal+(Salim-Resal)*(1-EXP((Tnet-t)/(Tau_j))))*Salcycl</f>
        <v>6.932615749716782E-2</v>
      </c>
      <c r="P228" s="169">
        <f>(INDEX(Models!$BJ228:$BT228,,T228)*(1-R228)+INDEX(Models!$BJ228:$BT228,,T228+1)*R228-ERP_i)*Q228*Ramure*Pc/MaxiM</f>
        <v>1.4444017944530919E-4</v>
      </c>
      <c r="Q228" s="304">
        <f t="shared" si="77"/>
        <v>0.6</v>
      </c>
      <c r="R228" s="177">
        <f t="shared" si="78"/>
        <v>0.94832228141792863</v>
      </c>
      <c r="S228" s="799">
        <f t="shared" si="79"/>
        <v>-1</v>
      </c>
      <c r="T228" s="176">
        <f t="shared" si="80"/>
        <v>5</v>
      </c>
      <c r="U228" s="250">
        <f t="shared" si="81"/>
        <v>-5.1677718582071375E-2</v>
      </c>
      <c r="V228" s="382">
        <f t="shared" si="82"/>
        <v>54.300436114473349</v>
      </c>
      <c r="W228" s="400"/>
      <c r="X228" s="157">
        <f t="shared" si="83"/>
        <v>44410</v>
      </c>
      <c r="Y228" s="383">
        <f t="shared" si="84"/>
        <v>49.411000000000001</v>
      </c>
      <c r="Z228" s="383">
        <f t="shared" si="85"/>
        <v>50.298603592490586</v>
      </c>
      <c r="AA228" s="384">
        <f t="shared" si="86"/>
        <v>54.045360786356817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6.932615749716782E-2</v>
      </c>
      <c r="AD228" s="230">
        <f>(INDEX(Models!$BJ228:$BT228,,AH228)*(1-AF228)+INDEX(Models!$BJ228:$BT228,,AH228+1)*AF228-ERP_i)*AE228*Ramure*Pc/MaxiM</f>
        <v>1.4444017944530919E-4</v>
      </c>
      <c r="AE228" s="304">
        <f t="shared" si="88"/>
        <v>0.6</v>
      </c>
      <c r="AF228" s="177">
        <f t="shared" si="89"/>
        <v>0.94832228141792863</v>
      </c>
      <c r="AG228" s="799">
        <f t="shared" si="95"/>
        <v>-1</v>
      </c>
      <c r="AH228" s="176">
        <f t="shared" si="90"/>
        <v>5</v>
      </c>
      <c r="AI228" s="224">
        <f t="shared" si="91"/>
        <v>-5.1677718582071375E-2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34.423999999999999</v>
      </c>
      <c r="C229" s="388"/>
      <c r="D229" s="391">
        <f t="shared" si="74"/>
        <v>35.043053451789568</v>
      </c>
      <c r="E229" s="383">
        <f t="shared" si="72"/>
        <v>37.65663003147862</v>
      </c>
      <c r="F229" s="383">
        <f t="shared" si="75"/>
        <v>37.659293457568538</v>
      </c>
      <c r="G229" s="110">
        <f t="shared" si="73"/>
        <v>0.63545062735516866</v>
      </c>
      <c r="H229" s="412" t="b">
        <f>Wh_hp&gt;='2020'!Maxi_hp</f>
        <v>0</v>
      </c>
      <c r="I229" s="379">
        <f>IF(H229,Wh_hp,'2020'!Maxi_hp)</f>
        <v>56.932913500318811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1.7665511158758695E-2</v>
      </c>
      <c r="M229" s="832"/>
      <c r="N229" s="832"/>
      <c r="O229" s="48">
        <f>IF(t&lt;Tnet,'2020'!Resal+('2020'!Salim-'2020'!Resal)*(1-EXP(('2020'!Tnet-t)/('2020'!Tau_j))),Resal+(Salim-Resal)*(1-EXP((Tnet-t)/(Tau_j))))*Salcycl</f>
        <v>6.9405482580471481E-2</v>
      </c>
      <c r="P229" s="169">
        <f>(INDEX(Models!$BJ229:$BT229,,T229)*(1-R229)+INDEX(Models!$BJ229:$BT229,,T229+1)*R229-ERP_i)*Q229*Ramure*Pc/MaxiM</f>
        <v>1.4756205503786002E-4</v>
      </c>
      <c r="Q229" s="304">
        <f t="shared" si="77"/>
        <v>0.6</v>
      </c>
      <c r="R229" s="177">
        <f t="shared" si="78"/>
        <v>0.95017276174065157</v>
      </c>
      <c r="S229" s="799">
        <f t="shared" si="79"/>
        <v>-1</v>
      </c>
      <c r="T229" s="176">
        <f t="shared" si="80"/>
        <v>5</v>
      </c>
      <c r="U229" s="250">
        <f t="shared" si="81"/>
        <v>-4.9827238259348428E-2</v>
      </c>
      <c r="V229" s="382">
        <f t="shared" si="82"/>
        <v>54.16841728887379</v>
      </c>
      <c r="W229" s="400"/>
      <c r="X229" s="157">
        <f t="shared" si="83"/>
        <v>44411</v>
      </c>
      <c r="Y229" s="383">
        <f t="shared" si="84"/>
        <v>34.423999999999999</v>
      </c>
      <c r="Z229" s="383">
        <f t="shared" si="85"/>
        <v>35.043053451789568</v>
      </c>
      <c r="AA229" s="384">
        <f t="shared" si="86"/>
        <v>37.65663003147862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6.9405482580471481E-2</v>
      </c>
      <c r="AD229" s="230">
        <f>(INDEX(Models!$BJ229:$BT229,,AH229)*(1-AF229)+INDEX(Models!$BJ229:$BT229,,AH229+1)*AF229-ERP_i)*AE229*Ramure*Pc/MaxiM</f>
        <v>1.4756205503786002E-4</v>
      </c>
      <c r="AE229" s="304">
        <f t="shared" si="88"/>
        <v>0.6</v>
      </c>
      <c r="AF229" s="177">
        <f t="shared" si="89"/>
        <v>0.95017276174065157</v>
      </c>
      <c r="AG229" s="799">
        <f t="shared" si="95"/>
        <v>-1</v>
      </c>
      <c r="AH229" s="176">
        <f t="shared" si="90"/>
        <v>5</v>
      </c>
      <c r="AI229" s="224">
        <f t="shared" si="91"/>
        <v>-4.9827238259348428E-2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33.817</v>
      </c>
      <c r="C230" s="388"/>
      <c r="D230" s="391">
        <f t="shared" si="74"/>
        <v>34.425797415910878</v>
      </c>
      <c r="E230" s="383">
        <f t="shared" si="72"/>
        <v>36.996481454229112</v>
      </c>
      <c r="F230" s="383">
        <f t="shared" si="75"/>
        <v>36.9990783213537</v>
      </c>
      <c r="G230" s="110">
        <f t="shared" si="73"/>
        <v>0.62579515166335264</v>
      </c>
      <c r="H230" s="412" t="b">
        <f>Wh_hp&gt;='2020'!Maxi_hp</f>
        <v>0</v>
      </c>
      <c r="I230" s="379">
        <f>IF(H230,Wh_hp,'2020'!Maxi_hp)</f>
        <v>54.159308534997784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1.7684337375130865E-2</v>
      </c>
      <c r="M230" s="832"/>
      <c r="N230" s="832"/>
      <c r="O230" s="48">
        <f>IF(t&lt;Tnet,'2020'!Resal+('2020'!Salim-'2020'!Resal)*(1-EXP(('2020'!Tnet-t)/('2020'!Tau_j))),Resal+(Salim-Resal)*(1-EXP((Tnet-t)/(Tau_j))))*Salcycl</f>
        <v>6.9484554673087007E-2</v>
      </c>
      <c r="P230" s="169">
        <f>(INDEX(Models!$BJ230:$BT230,,T230)*(1-R230)+INDEX(Models!$BJ230:$BT230,,T230+1)*R230-ERP_i)*Q230*Ramure*Pc/MaxiM</f>
        <v>1.5078044122953776E-4</v>
      </c>
      <c r="Q230" s="304">
        <f t="shared" si="77"/>
        <v>0.6</v>
      </c>
      <c r="R230" s="177">
        <f t="shared" si="78"/>
        <v>0.95196310827532837</v>
      </c>
      <c r="S230" s="799">
        <f t="shared" si="79"/>
        <v>-1</v>
      </c>
      <c r="T230" s="176">
        <f t="shared" si="80"/>
        <v>5</v>
      </c>
      <c r="U230" s="250">
        <f t="shared" si="81"/>
        <v>-4.8036891724671626E-2</v>
      </c>
      <c r="V230" s="382">
        <f t="shared" si="82"/>
        <v>54.034094546960532</v>
      </c>
      <c r="W230" s="400"/>
      <c r="X230" s="157">
        <f t="shared" si="83"/>
        <v>44412</v>
      </c>
      <c r="Y230" s="383">
        <f t="shared" si="84"/>
        <v>33.817</v>
      </c>
      <c r="Z230" s="383">
        <f t="shared" si="85"/>
        <v>34.425797415910878</v>
      </c>
      <c r="AA230" s="384">
        <f t="shared" si="86"/>
        <v>36.996481454229112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6.9484554673087007E-2</v>
      </c>
      <c r="AD230" s="230">
        <f>(INDEX(Models!$BJ230:$BT230,,AH230)*(1-AF230)+INDEX(Models!$BJ230:$BT230,,AH230+1)*AF230-ERP_i)*AE230*Ramure*Pc/MaxiM</f>
        <v>1.5078044122953776E-4</v>
      </c>
      <c r="AE230" s="304">
        <f t="shared" si="88"/>
        <v>0.6</v>
      </c>
      <c r="AF230" s="177">
        <f t="shared" si="89"/>
        <v>0.95196310827532837</v>
      </c>
      <c r="AG230" s="799">
        <f t="shared" si="95"/>
        <v>-1</v>
      </c>
      <c r="AH230" s="176">
        <f t="shared" si="90"/>
        <v>5</v>
      </c>
      <c r="AI230" s="224">
        <f t="shared" si="91"/>
        <v>-4.8036891724671626E-2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47.877000000000002</v>
      </c>
      <c r="C231" s="388"/>
      <c r="D231" s="391">
        <f t="shared" si="74"/>
        <v>48.739849511746343</v>
      </c>
      <c r="E231" s="383">
        <f t="shared" si="72"/>
        <v>52.383846967049806</v>
      </c>
      <c r="F231" s="383">
        <f t="shared" si="75"/>
        <v>52.390631900630964</v>
      </c>
      <c r="G231" s="110">
        <f t="shared" si="73"/>
        <v>0.88827590983812155</v>
      </c>
      <c r="H231" s="412" t="b">
        <f>Wh_hp&gt;='2020'!Maxi_hp</f>
        <v>0</v>
      </c>
      <c r="I231" s="379">
        <f>IF(H231,Wh_hp,'2020'!Maxi_hp)</f>
        <v>57.498472641811972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1.7703163230702867E-2</v>
      </c>
      <c r="M231" s="832"/>
      <c r="N231" s="832"/>
      <c r="O231" s="48">
        <f>IF(t&lt;Tnet,'2020'!Resal+('2020'!Salim-'2020'!Resal)*(1-EXP(('2020'!Tnet-t)/('2020'!Tau_j))),Resal+(Salim-Resal)*(1-EXP((Tnet-t)/(Tau_j))))*Salcycl</f>
        <v>6.9563380054840016E-2</v>
      </c>
      <c r="P231" s="169">
        <f>(INDEX(Models!$BJ231:$BT231,,T231)*(1-R231)+INDEX(Models!$BJ231:$BT231,,T231+1)*R231-ERP_i)*Q231*Ramure*Pc/MaxiM</f>
        <v>1.5409651335393778E-4</v>
      </c>
      <c r="Q231" s="304">
        <f t="shared" si="77"/>
        <v>0.6</v>
      </c>
      <c r="R231" s="177">
        <f t="shared" si="78"/>
        <v>0.95369476624897076</v>
      </c>
      <c r="S231" s="799">
        <f t="shared" si="79"/>
        <v>-1</v>
      </c>
      <c r="T231" s="176">
        <f t="shared" si="80"/>
        <v>5</v>
      </c>
      <c r="U231" s="250">
        <f t="shared" si="81"/>
        <v>-4.6305233751029296E-2</v>
      </c>
      <c r="V231" s="382">
        <f t="shared" si="82"/>
        <v>53.897468147981947</v>
      </c>
      <c r="W231" s="400"/>
      <c r="X231" s="157">
        <f t="shared" si="83"/>
        <v>44413</v>
      </c>
      <c r="Y231" s="383">
        <f t="shared" si="84"/>
        <v>47.877000000000002</v>
      </c>
      <c r="Z231" s="383">
        <f t="shared" si="85"/>
        <v>48.739849511746343</v>
      </c>
      <c r="AA231" s="384">
        <f t="shared" si="86"/>
        <v>52.383846967049806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6.9563380054840016E-2</v>
      </c>
      <c r="AD231" s="230">
        <f>(INDEX(Models!$BJ231:$BT231,,AH231)*(1-AF231)+INDEX(Models!$BJ231:$BT231,,AH231+1)*AF231-ERP_i)*AE231*Ramure*Pc/MaxiM</f>
        <v>1.5409651335393778E-4</v>
      </c>
      <c r="AE231" s="304">
        <f t="shared" si="88"/>
        <v>0.6</v>
      </c>
      <c r="AF231" s="177">
        <f t="shared" si="89"/>
        <v>0.95369476624897076</v>
      </c>
      <c r="AG231" s="799">
        <f t="shared" si="95"/>
        <v>-1</v>
      </c>
      <c r="AH231" s="176">
        <f t="shared" si="90"/>
        <v>5</v>
      </c>
      <c r="AI231" s="224">
        <f t="shared" si="91"/>
        <v>-4.6305233751029296E-2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19.463000000000001</v>
      </c>
      <c r="C232" s="388"/>
      <c r="D232" s="391">
        <f t="shared" si="74"/>
        <v>19.814146073316358</v>
      </c>
      <c r="E232" s="383">
        <f t="shared" si="72"/>
        <v>21.297334248757082</v>
      </c>
      <c r="F232" s="383">
        <f t="shared" si="75"/>
        <v>21.297631587052031</v>
      </c>
      <c r="G232" s="110">
        <f t="shared" si="73"/>
        <v>0.36199284070490301</v>
      </c>
      <c r="H232" s="412" t="b">
        <f>Wh_hp&gt;='2020'!Maxi_hp</f>
        <v>0</v>
      </c>
      <c r="I232" s="379">
        <f>IF(H232,Wh_hp,'2020'!Maxi_hp)</f>
        <v>58.413322100606401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1.7721988725481586E-2</v>
      </c>
      <c r="M232" s="832"/>
      <c r="N232" s="832"/>
      <c r="O232" s="48">
        <f>IF(t&lt;Tnet,'2020'!Resal+('2020'!Salim-'2020'!Resal)*(1-EXP(('2020'!Tnet-t)/('2020'!Tau_j))),Resal+(Salim-Resal)*(1-EXP((Tnet-t)/(Tau_j))))*Salcycl</f>
        <v>6.9641963548902078E-2</v>
      </c>
      <c r="P232" s="169">
        <f>(INDEX(Models!$BJ232:$BT232,,T232)*(1-R232)+INDEX(Models!$BJ232:$BT232,,T232+1)*R232-ERP_i)*Q232*Ramure*Pc/MaxiM</f>
        <v>1.5751143782666681E-4</v>
      </c>
      <c r="Q232" s="304">
        <f t="shared" si="77"/>
        <v>0.6</v>
      </c>
      <c r="R232" s="177">
        <f t="shared" si="78"/>
        <v>0.95536918355850231</v>
      </c>
      <c r="S232" s="799">
        <f t="shared" si="79"/>
        <v>-1</v>
      </c>
      <c r="T232" s="176">
        <f t="shared" si="80"/>
        <v>5</v>
      </c>
      <c r="U232" s="250">
        <f t="shared" si="81"/>
        <v>-4.4630816441497745E-2</v>
      </c>
      <c r="V232" s="382">
        <f t="shared" si="82"/>
        <v>53.758538436313174</v>
      </c>
      <c r="W232" s="400"/>
      <c r="X232" s="157">
        <f t="shared" si="83"/>
        <v>44414</v>
      </c>
      <c r="Y232" s="383">
        <f t="shared" si="84"/>
        <v>19.463000000000001</v>
      </c>
      <c r="Z232" s="383">
        <f t="shared" si="85"/>
        <v>19.814146073316358</v>
      </c>
      <c r="AA232" s="384">
        <f t="shared" si="86"/>
        <v>21.297334248757082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6.9641963548902078E-2</v>
      </c>
      <c r="AD232" s="230">
        <f>(INDEX(Models!$BJ232:$BT232,,AH232)*(1-AF232)+INDEX(Models!$BJ232:$BT232,,AH232+1)*AF232-ERP_i)*AE232*Ramure*Pc/MaxiM</f>
        <v>1.5751143782666681E-4</v>
      </c>
      <c r="AE232" s="304">
        <f t="shared" si="88"/>
        <v>0.6</v>
      </c>
      <c r="AF232" s="177">
        <f t="shared" si="89"/>
        <v>0.95536918355850231</v>
      </c>
      <c r="AG232" s="799">
        <f t="shared" si="95"/>
        <v>-1</v>
      </c>
      <c r="AH232" s="176">
        <f t="shared" si="90"/>
        <v>5</v>
      </c>
      <c r="AI232" s="224">
        <f t="shared" si="91"/>
        <v>-4.4630816441497745E-2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23.513000000000002</v>
      </c>
      <c r="C233" s="388"/>
      <c r="D233" s="391">
        <f t="shared" si="74"/>
        <v>23.937673815387598</v>
      </c>
      <c r="E233" s="383">
        <f t="shared" ref="E233:E296" si="96">Wh_pvt/(1-Psa)</f>
        <v>25.731695570919094</v>
      </c>
      <c r="F233" s="383">
        <f t="shared" si="75"/>
        <v>25.732515586763039</v>
      </c>
      <c r="G233" s="110">
        <f t="shared" ref="G233:G296" si="97">+Wh_hp/MaxiM</f>
        <v>0.4384735872252653</v>
      </c>
      <c r="H233" s="412" t="b">
        <f>Wh_hp&gt;='2020'!Maxi_hp</f>
        <v>0</v>
      </c>
      <c r="I233" s="379">
        <f>IF(H233,Wh_hp,'2020'!Maxi_hp)</f>
        <v>56.549858824776372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1.7740813859474014E-2</v>
      </c>
      <c r="M233" s="832"/>
      <c r="N233" s="832"/>
      <c r="O233" s="48">
        <f>IF(t&lt;Tnet,'2020'!Resal+('2020'!Salim-'2020'!Resal)*(1-EXP(('2020'!Tnet-t)/('2020'!Tau_j))),Resal+(Salim-Resal)*(1-EXP((Tnet-t)/(Tau_j))))*Salcycl</f>
        <v>6.9720308581570009E-2</v>
      </c>
      <c r="P233" s="169">
        <f>(INDEX(Models!$BJ233:$BT233,,T233)*(1-R233)+INDEX(Models!$BJ233:$BT233,,T233+1)*R233-ERP_i)*Q233*Ramure*Pc/MaxiM</f>
        <v>1.6102506670301255E-4</v>
      </c>
      <c r="Q233" s="304">
        <f t="shared" si="77"/>
        <v>0.6</v>
      </c>
      <c r="R233" s="177">
        <f t="shared" si="78"/>
        <v>0.95698780743806577</v>
      </c>
      <c r="S233" s="799">
        <f t="shared" si="79"/>
        <v>-1</v>
      </c>
      <c r="T233" s="176">
        <f t="shared" si="80"/>
        <v>5</v>
      </c>
      <c r="U233" s="250">
        <f t="shared" si="81"/>
        <v>-4.3012192561934171E-2</v>
      </c>
      <c r="V233" s="382">
        <f t="shared" si="82"/>
        <v>53.617740480869443</v>
      </c>
      <c r="W233" s="400"/>
      <c r="X233" s="157">
        <f t="shared" si="83"/>
        <v>44415</v>
      </c>
      <c r="Y233" s="383">
        <f t="shared" si="84"/>
        <v>23.513000000000002</v>
      </c>
      <c r="Z233" s="383">
        <f t="shared" si="85"/>
        <v>23.937673815387598</v>
      </c>
      <c r="AA233" s="384">
        <f t="shared" si="86"/>
        <v>25.731695570919094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6.9720308581570009E-2</v>
      </c>
      <c r="AD233" s="230">
        <f>(INDEX(Models!$BJ233:$BT233,,AH233)*(1-AF233)+INDEX(Models!$BJ233:$BT233,,AH233+1)*AF233-ERP_i)*AE233*Ramure*Pc/MaxiM</f>
        <v>1.6102506670301255E-4</v>
      </c>
      <c r="AE233" s="304">
        <f t="shared" si="88"/>
        <v>0.6</v>
      </c>
      <c r="AF233" s="177">
        <f t="shared" si="89"/>
        <v>0.95698780743806577</v>
      </c>
      <c r="AG233" s="799">
        <f t="shared" si="95"/>
        <v>-1</v>
      </c>
      <c r="AH233" s="176">
        <f t="shared" si="90"/>
        <v>5</v>
      </c>
      <c r="AI233" s="224">
        <f t="shared" si="91"/>
        <v>-4.3012192561934171E-2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39.180999999999997</v>
      </c>
      <c r="C234" s="388"/>
      <c r="D234" s="391">
        <f t="shared" si="74"/>
        <v>39.889421714923913</v>
      </c>
      <c r="E234" s="383">
        <f t="shared" si="96"/>
        <v>42.882556270107422</v>
      </c>
      <c r="F234" s="383">
        <f t="shared" si="75"/>
        <v>42.88692289753665</v>
      </c>
      <c r="G234" s="110">
        <f t="shared" si="97"/>
        <v>0.73264634424744279</v>
      </c>
      <c r="H234" s="412" t="b">
        <f>Wh_hp&gt;='2020'!Maxi_hp</f>
        <v>0</v>
      </c>
      <c r="I234" s="379">
        <f>IF(H234,Wh_hp,'2020'!Maxi_hp)</f>
        <v>55.078662974016289</v>
      </c>
      <c r="J234" s="85">
        <f>IF(H234,An,'2020'!An_max)</f>
        <v>2018</v>
      </c>
      <c r="K234" s="197">
        <f t="shared" si="76"/>
        <v>44416</v>
      </c>
      <c r="L234" s="147">
        <f>IF(t&lt;Tvie,1-EXP((T0-t)*PertePVj)+'2020'!Pspv,1-EXP((T0-t)*PertePVj)+Pspv)</f>
        <v>1.7759638632687147E-2</v>
      </c>
      <c r="M234" s="832"/>
      <c r="N234" s="832"/>
      <c r="O234" s="48">
        <f>IF(t&lt;Tnet,'2020'!Resal+('2020'!Salim-'2020'!Resal)*(1-EXP(('2020'!Tnet-t)/('2020'!Tau_j))),Resal+(Salim-Resal)*(1-EXP((Tnet-t)/(Tau_j))))*Salcycl</f>
        <v>6.979841724757356E-2</v>
      </c>
      <c r="P234" s="169">
        <f>(INDEX(Models!$BJ234:$BT234,,T234)*(1-R234)+INDEX(Models!$BJ234:$BT234,,T234+1)*R234-ERP_i)*Q234*Ramure*Pc/MaxiM</f>
        <v>1.6471759347323953E-4</v>
      </c>
      <c r="Q234" s="304">
        <f t="shared" si="77"/>
        <v>0.6</v>
      </c>
      <c r="R234" s="177">
        <f t="shared" si="78"/>
        <v>0.95855208137098735</v>
      </c>
      <c r="S234" s="799">
        <f t="shared" si="79"/>
        <v>-1</v>
      </c>
      <c r="T234" s="176">
        <f t="shared" si="80"/>
        <v>5</v>
      </c>
      <c r="U234" s="250">
        <f t="shared" si="81"/>
        <v>-4.1447918629012648E-2</v>
      </c>
      <c r="V234" s="382">
        <f t="shared" si="82"/>
        <v>53.475371244645103</v>
      </c>
      <c r="W234" s="400"/>
      <c r="X234" s="157">
        <f t="shared" si="83"/>
        <v>44416</v>
      </c>
      <c r="Y234" s="383">
        <f t="shared" si="84"/>
        <v>39.180999999999997</v>
      </c>
      <c r="Z234" s="383">
        <f t="shared" si="85"/>
        <v>39.889421714923913</v>
      </c>
      <c r="AA234" s="384">
        <f t="shared" si="86"/>
        <v>42.882556270107422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6.979841724757356E-2</v>
      </c>
      <c r="AD234" s="230">
        <f>(INDEX(Models!$BJ234:$BT234,,AH234)*(1-AF234)+INDEX(Models!$BJ234:$BT234,,AH234+1)*AF234-ERP_i)*AE234*Ramure*Pc/MaxiM</f>
        <v>1.6471759347323953E-4</v>
      </c>
      <c r="AE234" s="304">
        <f t="shared" si="88"/>
        <v>0.6</v>
      </c>
      <c r="AF234" s="177">
        <f t="shared" si="89"/>
        <v>0.95855208137098735</v>
      </c>
      <c r="AG234" s="799">
        <f t="shared" si="95"/>
        <v>-1</v>
      </c>
      <c r="AH234" s="176">
        <f t="shared" si="90"/>
        <v>5</v>
      </c>
      <c r="AI234" s="224">
        <f t="shared" si="91"/>
        <v>-4.1447918629012648E-2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51.285000000000004</v>
      </c>
      <c r="C235" s="388"/>
      <c r="D235" s="391">
        <f t="shared" si="74"/>
        <v>52.21327172177071</v>
      </c>
      <c r="E235" s="383">
        <f t="shared" si="96"/>
        <v>56.135835676191064</v>
      </c>
      <c r="F235" s="383">
        <f t="shared" si="75"/>
        <v>56.144783633335642</v>
      </c>
      <c r="G235" s="110">
        <f t="shared" si="97"/>
        <v>0.96162279899154957</v>
      </c>
      <c r="H235" s="412" t="b">
        <f>Wh_hp&gt;='2020'!Maxi_hp</f>
        <v>1</v>
      </c>
      <c r="I235" s="379">
        <f>IF(H235,Wh_hp,'2020'!Maxi_hp)</f>
        <v>56.144783633335642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1.7778463045127646E-2</v>
      </c>
      <c r="M235" s="832"/>
      <c r="N235" s="832"/>
      <c r="O235" s="48">
        <f>IF(t&lt;Tnet,'2020'!Resal+('2020'!Salim-'2020'!Resal)*(1-EXP(('2020'!Tnet-t)/('2020'!Tau_j))),Resal+(Salim-Resal)*(1-EXP((Tnet-t)/(Tau_j))))*Salcycl</f>
        <v>6.9876290379765935E-2</v>
      </c>
      <c r="P235" s="169">
        <f>(INDEX(Models!$BJ235:$BT235,,T235)*(1-R235)+INDEX(Models!$BJ235:$BT235,,T235+1)*R235-ERP_i)*Q235*Ramure*Pc/MaxiM</f>
        <v>1.6861500740813912E-4</v>
      </c>
      <c r="Q235" s="304">
        <f t="shared" si="77"/>
        <v>0.6</v>
      </c>
      <c r="R235" s="177">
        <f t="shared" si="78"/>
        <v>0.96006344223961571</v>
      </c>
      <c r="S235" s="799">
        <f t="shared" si="79"/>
        <v>-1</v>
      </c>
      <c r="T235" s="176">
        <f t="shared" si="80"/>
        <v>5</v>
      </c>
      <c r="U235" s="250">
        <f t="shared" si="81"/>
        <v>-3.993655776038435E-2</v>
      </c>
      <c r="V235" s="382">
        <f t="shared" si="82"/>
        <v>53.331229247991125</v>
      </c>
      <c r="W235" s="400"/>
      <c r="X235" s="157">
        <f t="shared" si="83"/>
        <v>44417</v>
      </c>
      <c r="Y235" s="383">
        <f t="shared" si="84"/>
        <v>51.285000000000004</v>
      </c>
      <c r="Z235" s="383">
        <f t="shared" si="85"/>
        <v>52.21327172177071</v>
      </c>
      <c r="AA235" s="384">
        <f t="shared" si="86"/>
        <v>56.135835676191064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6.9876290379765935E-2</v>
      </c>
      <c r="AD235" s="230">
        <f>(INDEX(Models!$BJ235:$BT235,,AH235)*(1-AF235)+INDEX(Models!$BJ235:$BT235,,AH235+1)*AF235-ERP_i)*AE235*Ramure*Pc/MaxiM</f>
        <v>1.6861500740813912E-4</v>
      </c>
      <c r="AE235" s="304">
        <f t="shared" si="88"/>
        <v>0.6</v>
      </c>
      <c r="AF235" s="177">
        <f t="shared" si="89"/>
        <v>0.96006344223961571</v>
      </c>
      <c r="AG235" s="799">
        <f t="shared" si="95"/>
        <v>-1</v>
      </c>
      <c r="AH235" s="176">
        <f t="shared" si="90"/>
        <v>5</v>
      </c>
      <c r="AI235" s="224">
        <f t="shared" si="91"/>
        <v>-3.993655776038435E-2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48.753</v>
      </c>
      <c r="C236" s="388"/>
      <c r="D236" s="391">
        <f t="shared" si="74"/>
        <v>49.636393139147167</v>
      </c>
      <c r="E236" s="383">
        <f t="shared" si="96"/>
        <v>53.36982178983434</v>
      </c>
      <c r="F236" s="383">
        <f t="shared" si="75"/>
        <v>53.37794367209424</v>
      </c>
      <c r="G236" s="110">
        <f t="shared" si="97"/>
        <v>0.91664741011112016</v>
      </c>
      <c r="H236" s="412" t="b">
        <f>Wh_hp&gt;='2020'!Maxi_hp</f>
        <v>1</v>
      </c>
      <c r="I236" s="379">
        <f>IF(H236,Wh_hp,'2020'!Maxi_hp)</f>
        <v>53.37794367209424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1.7797287096802616E-2</v>
      </c>
      <c r="M236" s="832"/>
      <c r="N236" s="832"/>
      <c r="O236" s="48">
        <f>IF(t&lt;Tnet,'2020'!Resal+('2020'!Salim-'2020'!Resal)*(1-EXP(('2020'!Tnet-t)/('2020'!Tau_j))),Resal+(Salim-Resal)*(1-EXP((Tnet-t)/(Tau_j))))*Salcycl</f>
        <v>6.9953927622038642E-2</v>
      </c>
      <c r="P236" s="169">
        <f>(INDEX(Models!$BJ236:$BT236,,T236)*(1-R236)+INDEX(Models!$BJ236:$BT236,,T236+1)*R236-ERP_i)*Q236*Ramure*Pc/MaxiM</f>
        <v>1.7272002891344704E-4</v>
      </c>
      <c r="Q236" s="304">
        <f t="shared" si="77"/>
        <v>0.6</v>
      </c>
      <c r="R236" s="177">
        <f t="shared" si="78"/>
        <v>0.9615233177055128</v>
      </c>
      <c r="S236" s="799">
        <f t="shared" si="79"/>
        <v>-1</v>
      </c>
      <c r="T236" s="176">
        <f t="shared" si="80"/>
        <v>5</v>
      </c>
      <c r="U236" s="250">
        <f t="shared" si="81"/>
        <v>-3.8476682294487197E-2</v>
      </c>
      <c r="V236" s="382">
        <f t="shared" si="82"/>
        <v>53.185114418148764</v>
      </c>
      <c r="W236" s="400"/>
      <c r="X236" s="157">
        <f t="shared" si="83"/>
        <v>44418</v>
      </c>
      <c r="Y236" s="383">
        <f t="shared" si="84"/>
        <v>48.753</v>
      </c>
      <c r="Z236" s="383">
        <f t="shared" si="85"/>
        <v>49.636393139147167</v>
      </c>
      <c r="AA236" s="384">
        <f t="shared" si="86"/>
        <v>53.36982178983434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6.9953927622038642E-2</v>
      </c>
      <c r="AD236" s="230">
        <f>(INDEX(Models!$BJ236:$BT236,,AH236)*(1-AF236)+INDEX(Models!$BJ236:$BT236,,AH236+1)*AF236-ERP_i)*AE236*Ramure*Pc/MaxiM</f>
        <v>1.7272002891344704E-4</v>
      </c>
      <c r="AE236" s="304">
        <f t="shared" si="88"/>
        <v>0.6</v>
      </c>
      <c r="AF236" s="177">
        <f t="shared" si="89"/>
        <v>0.9615233177055128</v>
      </c>
      <c r="AG236" s="799">
        <f t="shared" si="95"/>
        <v>-1</v>
      </c>
      <c r="AH236" s="176">
        <f t="shared" si="90"/>
        <v>5</v>
      </c>
      <c r="AI236" s="224">
        <f t="shared" si="91"/>
        <v>-3.8476682294487197E-2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47.411999999999999</v>
      </c>
      <c r="C237" s="388"/>
      <c r="D237" s="391">
        <f t="shared" si="74"/>
        <v>48.272019650031922</v>
      </c>
      <c r="E237" s="383">
        <f t="shared" si="96"/>
        <v>51.907145990721645</v>
      </c>
      <c r="F237" s="383">
        <f t="shared" si="75"/>
        <v>51.914944304147305</v>
      </c>
      <c r="G237" s="110">
        <f t="shared" si="97"/>
        <v>0.8939209027468723</v>
      </c>
      <c r="H237" s="412" t="b">
        <f>Wh_hp&gt;='2020'!Maxi_hp</f>
        <v>1</v>
      </c>
      <c r="I237" s="379">
        <f>IF(H237,Wh_hp,'2020'!Maxi_hp)</f>
        <v>51.914944304147305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1.7816110787719053E-2</v>
      </c>
      <c r="M237" s="832"/>
      <c r="N237" s="832"/>
      <c r="O237" s="48">
        <f>IF(t&lt;Tnet,'2020'!Resal+('2020'!Salim-'2020'!Resal)*(1-EXP(('2020'!Tnet-t)/('2020'!Tau_j))),Resal+(Salim-Resal)*(1-EXP((Tnet-t)/(Tau_j))))*Salcycl</f>
        <v>7.0031327504299648E-2</v>
      </c>
      <c r="P237" s="169">
        <f>(INDEX(Models!$BJ237:$BT237,,T237)*(1-R237)+INDEX(Models!$BJ237:$BT237,,T237+1)*R237-ERP_i)*Q237*Ramure*Pc/MaxiM</f>
        <v>1.770354291003094E-4</v>
      </c>
      <c r="Q237" s="304">
        <f t="shared" si="77"/>
        <v>0.6</v>
      </c>
      <c r="R237" s="177">
        <f t="shared" si="78"/>
        <v>0.96293312381185525</v>
      </c>
      <c r="S237" s="799">
        <f t="shared" si="79"/>
        <v>-1</v>
      </c>
      <c r="T237" s="176">
        <f t="shared" si="80"/>
        <v>5</v>
      </c>
      <c r="U237" s="250">
        <f t="shared" si="81"/>
        <v>-3.7066876188144693E-2</v>
      </c>
      <c r="V237" s="382">
        <f t="shared" si="82"/>
        <v>53.036826827680031</v>
      </c>
      <c r="W237" s="400"/>
      <c r="X237" s="157">
        <f t="shared" si="83"/>
        <v>44419</v>
      </c>
      <c r="Y237" s="383">
        <f t="shared" si="84"/>
        <v>47.411999999999999</v>
      </c>
      <c r="Z237" s="383">
        <f t="shared" si="85"/>
        <v>48.272019650031922</v>
      </c>
      <c r="AA237" s="384">
        <f t="shared" si="86"/>
        <v>51.907145990721645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7.0031327504299648E-2</v>
      </c>
      <c r="AD237" s="230">
        <f>(INDEX(Models!$BJ237:$BT237,,AH237)*(1-AF237)+INDEX(Models!$BJ237:$BT237,,AH237+1)*AF237-ERP_i)*AE237*Ramure*Pc/MaxiM</f>
        <v>1.770354291003094E-4</v>
      </c>
      <c r="AE237" s="304">
        <f t="shared" si="88"/>
        <v>0.6</v>
      </c>
      <c r="AF237" s="177">
        <f t="shared" si="89"/>
        <v>0.96293312381185525</v>
      </c>
      <c r="AG237" s="799">
        <f t="shared" si="95"/>
        <v>-1</v>
      </c>
      <c r="AH237" s="176">
        <f t="shared" si="90"/>
        <v>5</v>
      </c>
      <c r="AI237" s="224">
        <f t="shared" si="91"/>
        <v>-3.7066876188144693E-2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45.249000000000002</v>
      </c>
      <c r="C238" s="388"/>
      <c r="D238" s="391">
        <f t="shared" si="74"/>
        <v>46.070667316354111</v>
      </c>
      <c r="E238" s="383">
        <f t="shared" si="96"/>
        <v>49.544131436799368</v>
      </c>
      <c r="F238" s="383">
        <f t="shared" si="75"/>
        <v>49.551272171004257</v>
      </c>
      <c r="G238" s="110">
        <f t="shared" si="97"/>
        <v>0.85556030502630631</v>
      </c>
      <c r="H238" s="412" t="b">
        <f>Wh_hp&gt;='2020'!Maxi_hp</f>
        <v>1</v>
      </c>
      <c r="I238" s="379">
        <f>IF(H238,Wh_hp,'2020'!Maxi_hp)</f>
        <v>49.551272171004257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1.7834934117883616E-2</v>
      </c>
      <c r="M238" s="832"/>
      <c r="N238" s="832"/>
      <c r="O238" s="48">
        <f>IF(t&lt;Tnet,'2020'!Resal+('2020'!Salim-'2020'!Resal)*(1-EXP(('2020'!Tnet-t)/('2020'!Tau_j))),Resal+(Salim-Resal)*(1-EXP((Tnet-t)/(Tau_j))))*Salcycl</f>
        <v>7.0108487518368498E-2</v>
      </c>
      <c r="P238" s="169">
        <f>(INDEX(Models!$BJ238:$BT238,,T238)*(1-R238)+INDEX(Models!$BJ238:$BT238,,T238+1)*R238-ERP_i)*Q238*Ramure*Pc/MaxiM</f>
        <v>1.8156403945292874E-4</v>
      </c>
      <c r="Q238" s="304">
        <f t="shared" si="77"/>
        <v>0.6</v>
      </c>
      <c r="R238" s="177">
        <f t="shared" si="78"/>
        <v>0.96429426279942132</v>
      </c>
      <c r="S238" s="799">
        <f t="shared" si="79"/>
        <v>-1</v>
      </c>
      <c r="T238" s="176">
        <f t="shared" si="80"/>
        <v>5</v>
      </c>
      <c r="U238" s="250">
        <f t="shared" si="81"/>
        <v>-3.5705737200578624E-2</v>
      </c>
      <c r="V238" s="382">
        <f t="shared" si="82"/>
        <v>52.886166692274912</v>
      </c>
      <c r="W238" s="400"/>
      <c r="X238" s="157">
        <f t="shared" si="83"/>
        <v>44420</v>
      </c>
      <c r="Y238" s="383">
        <f t="shared" si="84"/>
        <v>45.249000000000002</v>
      </c>
      <c r="Z238" s="383">
        <f t="shared" si="85"/>
        <v>46.070667316354111</v>
      </c>
      <c r="AA238" s="384">
        <f t="shared" si="86"/>
        <v>49.544131436799368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7.0108487518368498E-2</v>
      </c>
      <c r="AD238" s="230">
        <f>(INDEX(Models!$BJ238:$BT238,,AH238)*(1-AF238)+INDEX(Models!$BJ238:$BT238,,AH238+1)*AF238-ERP_i)*AE238*Ramure*Pc/MaxiM</f>
        <v>1.8156403945292874E-4</v>
      </c>
      <c r="AE238" s="304">
        <f t="shared" si="88"/>
        <v>0.6</v>
      </c>
      <c r="AF238" s="177">
        <f t="shared" si="89"/>
        <v>0.96429426279942132</v>
      </c>
      <c r="AG238" s="799">
        <f t="shared" si="95"/>
        <v>-1</v>
      </c>
      <c r="AH238" s="176">
        <f t="shared" si="90"/>
        <v>5</v>
      </c>
      <c r="AI238" s="224">
        <f t="shared" si="91"/>
        <v>-3.5705737200578624E-2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30.186</v>
      </c>
      <c r="C239" s="388"/>
      <c r="D239" s="391">
        <f t="shared" si="74"/>
        <v>30.734730410899964</v>
      </c>
      <c r="E239" s="383">
        <f t="shared" si="96"/>
        <v>33.054686976866492</v>
      </c>
      <c r="F239" s="383">
        <f t="shared" si="75"/>
        <v>33.057083917740755</v>
      </c>
      <c r="G239" s="110">
        <f t="shared" si="97"/>
        <v>0.57236649089013025</v>
      </c>
      <c r="H239" s="412" t="b">
        <f>Wh_hp&gt;='2020'!Maxi_hp</f>
        <v>0</v>
      </c>
      <c r="I239" s="379">
        <f>IF(H239,Wh_hp,'2020'!Maxi_hp)</f>
        <v>49.870847104426645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1.7853757087303412E-2</v>
      </c>
      <c r="M239" s="832"/>
      <c r="N239" s="832"/>
      <c r="O239" s="48">
        <f>IF(t&lt;Tnet,'2020'!Resal+('2020'!Salim-'2020'!Resal)*(1-EXP(('2020'!Tnet-t)/('2020'!Tau_j))),Resal+(Salim-Resal)*(1-EXP((Tnet-t)/(Tau_j))))*Salcycl</f>
        <v>7.0185404193667478E-2</v>
      </c>
      <c r="P239" s="169">
        <f>(INDEX(Models!$BJ239:$BT239,,T239)*(1-R239)+INDEX(Models!$BJ239:$BT239,,T239+1)*R239-ERP_i)*Q239*Ramure*Pc/MaxiM</f>
        <v>1.8630876169629623E-4</v>
      </c>
      <c r="Q239" s="304">
        <f t="shared" si="77"/>
        <v>0.6</v>
      </c>
      <c r="R239" s="177">
        <f t="shared" si="78"/>
        <v>0.96560812112716499</v>
      </c>
      <c r="S239" s="799">
        <f t="shared" si="79"/>
        <v>-1</v>
      </c>
      <c r="T239" s="176">
        <f t="shared" si="80"/>
        <v>5</v>
      </c>
      <c r="U239" s="250">
        <f t="shared" si="81"/>
        <v>-3.4391878872835013E-2</v>
      </c>
      <c r="V239" s="382">
        <f t="shared" si="82"/>
        <v>52.732934362942252</v>
      </c>
      <c r="W239" s="400"/>
      <c r="X239" s="157">
        <f t="shared" si="83"/>
        <v>44421</v>
      </c>
      <c r="Y239" s="383">
        <f t="shared" si="84"/>
        <v>30.185999999999996</v>
      </c>
      <c r="Z239" s="383">
        <f t="shared" si="85"/>
        <v>30.73473041089996</v>
      </c>
      <c r="AA239" s="384">
        <f t="shared" si="86"/>
        <v>33.054686976866492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7.0185404193667478E-2</v>
      </c>
      <c r="AD239" s="230">
        <f>(INDEX(Models!$BJ239:$BT239,,AH239)*(1-AF239)+INDEX(Models!$BJ239:$BT239,,AH239+1)*AF239-ERP_i)*AE239*Ramure*Pc/MaxiM</f>
        <v>1.8630876169629623E-4</v>
      </c>
      <c r="AE239" s="304">
        <f t="shared" si="88"/>
        <v>0.6</v>
      </c>
      <c r="AF239" s="177">
        <f t="shared" si="89"/>
        <v>0.96560812112716499</v>
      </c>
      <c r="AG239" s="799">
        <f t="shared" si="95"/>
        <v>-1</v>
      </c>
      <c r="AH239" s="176">
        <f t="shared" si="90"/>
        <v>5</v>
      </c>
      <c r="AI239" s="224">
        <f t="shared" si="91"/>
        <v>-3.4391878872835013E-2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46.428000000000004</v>
      </c>
      <c r="C240" s="388"/>
      <c r="D240" s="391">
        <f t="shared" si="74"/>
        <v>47.272888466578344</v>
      </c>
      <c r="E240" s="383">
        <f t="shared" si="96"/>
        <v>50.845391053198227</v>
      </c>
      <c r="F240" s="383">
        <f t="shared" si="75"/>
        <v>50.853496740239017</v>
      </c>
      <c r="G240" s="110">
        <f t="shared" si="97"/>
        <v>0.88302073497252986</v>
      </c>
      <c r="H240" s="412" t="b">
        <f>Wh_hp&gt;='2020'!Maxi_hp</f>
        <v>0</v>
      </c>
      <c r="I240" s="379">
        <f>IF(H240,Wh_hp,'2020'!Maxi_hp)</f>
        <v>56.99494858795164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1.7872579695985213E-2</v>
      </c>
      <c r="M240" s="832"/>
      <c r="N240" s="832"/>
      <c r="O240" s="48">
        <f>IF(t&lt;Tnet,'2020'!Resal+('2020'!Salim-'2020'!Resal)*(1-EXP(('2020'!Tnet-t)/('2020'!Tau_j))),Resal+(Salim-Resal)*(1-EXP((Tnet-t)/(Tau_j))))*Salcycl</f>
        <v>7.0262073171628608E-2</v>
      </c>
      <c r="P240" s="169">
        <f>(INDEX(Models!$BJ240:$BT240,,T240)*(1-R240)+INDEX(Models!$BJ240:$BT240,,T240+1)*R240-ERP_i)*Q240*Ramure*Pc/MaxiM</f>
        <v>1.9136478277806664E-4</v>
      </c>
      <c r="Q240" s="304">
        <f t="shared" si="77"/>
        <v>0.6</v>
      </c>
      <c r="R240" s="177">
        <f t="shared" si="78"/>
        <v>0.96687606768811385</v>
      </c>
      <c r="S240" s="799">
        <f t="shared" si="79"/>
        <v>-1</v>
      </c>
      <c r="T240" s="176">
        <f t="shared" si="80"/>
        <v>5</v>
      </c>
      <c r="U240" s="250">
        <f t="shared" si="81"/>
        <v>-3.3123932311886095E-2</v>
      </c>
      <c r="V240" s="382">
        <f t="shared" si="82"/>
        <v>52.576925472638266</v>
      </c>
      <c r="W240" s="400"/>
      <c r="X240" s="157">
        <f t="shared" si="83"/>
        <v>44422</v>
      </c>
      <c r="Y240" s="383">
        <f t="shared" si="84"/>
        <v>46.428000000000004</v>
      </c>
      <c r="Z240" s="383">
        <f t="shared" si="85"/>
        <v>47.272888466578344</v>
      </c>
      <c r="AA240" s="384">
        <f t="shared" si="86"/>
        <v>50.845391053198227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7.0262073171628608E-2</v>
      </c>
      <c r="AD240" s="230">
        <f>(INDEX(Models!$BJ240:$BT240,,AH240)*(1-AF240)+INDEX(Models!$BJ240:$BT240,,AH240+1)*AF240-ERP_i)*AE240*Ramure*Pc/MaxiM</f>
        <v>1.9136478277806664E-4</v>
      </c>
      <c r="AE240" s="304">
        <f t="shared" si="88"/>
        <v>0.6</v>
      </c>
      <c r="AF240" s="177">
        <f t="shared" si="89"/>
        <v>0.96687606768811385</v>
      </c>
      <c r="AG240" s="799">
        <f t="shared" si="95"/>
        <v>-1</v>
      </c>
      <c r="AH240" s="176">
        <f t="shared" si="90"/>
        <v>5</v>
      </c>
      <c r="AI240" s="224">
        <f t="shared" si="91"/>
        <v>-3.3123932311886095E-2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20.990000000000002</v>
      </c>
      <c r="C241" s="388"/>
      <c r="D241" s="391">
        <f t="shared" si="74"/>
        <v>21.372381874618089</v>
      </c>
      <c r="E241" s="383">
        <f t="shared" si="96"/>
        <v>22.989423169745798</v>
      </c>
      <c r="F241" s="383">
        <f t="shared" si="75"/>
        <v>22.990071772191705</v>
      </c>
      <c r="G241" s="110">
        <f t="shared" si="97"/>
        <v>0.40036793388716024</v>
      </c>
      <c r="H241" s="412" t="b">
        <f>Wh_hp&gt;='2020'!Maxi_hp</f>
        <v>0</v>
      </c>
      <c r="I241" s="379">
        <f>IF(H241,Wh_hp,'2020'!Maxi_hp)</f>
        <v>50.673625731633024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1.7891401943936125E-2</v>
      </c>
      <c r="M241" s="832"/>
      <c r="N241" s="832"/>
      <c r="O241" s="48">
        <f>IF(t&lt;Tnet,'2020'!Resal+('2020'!Salim-'2020'!Resal)*(1-EXP(('2020'!Tnet-t)/('2020'!Tau_j))),Resal+(Salim-Resal)*(1-EXP((Tnet-t)/(Tau_j))))*Salcycl</f>
        <v>7.033848927778856E-2</v>
      </c>
      <c r="P241" s="169">
        <f>(INDEX(Models!$BJ241:$BT241,,T241)*(1-R241)+INDEX(Models!$BJ241:$BT241,,T241+1)*R241-ERP_i)*Q241*Ramure*Pc/MaxiM</f>
        <v>1.9662991184854077E-4</v>
      </c>
      <c r="Q241" s="304">
        <f t="shared" si="77"/>
        <v>0.6</v>
      </c>
      <c r="R241" s="177">
        <f t="shared" si="78"/>
        <v>0.96809945221115412</v>
      </c>
      <c r="S241" s="799">
        <f t="shared" si="79"/>
        <v>-1</v>
      </c>
      <c r="T241" s="176">
        <f t="shared" si="80"/>
        <v>5</v>
      </c>
      <c r="U241" s="250">
        <f t="shared" si="81"/>
        <v>-3.1900547788845879E-2</v>
      </c>
      <c r="V241" s="382">
        <f t="shared" si="82"/>
        <v>52.417946188921015</v>
      </c>
      <c r="W241" s="400"/>
      <c r="X241" s="157">
        <f t="shared" si="83"/>
        <v>44423</v>
      </c>
      <c r="Y241" s="383">
        <f t="shared" si="84"/>
        <v>20.990000000000002</v>
      </c>
      <c r="Z241" s="383">
        <f t="shared" si="85"/>
        <v>21.372381874618089</v>
      </c>
      <c r="AA241" s="384">
        <f t="shared" si="86"/>
        <v>22.989423169745798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7.033848927778856E-2</v>
      </c>
      <c r="AD241" s="230">
        <f>(INDEX(Models!$BJ241:$BT241,,AH241)*(1-AF241)+INDEX(Models!$BJ241:$BT241,,AH241+1)*AF241-ERP_i)*AE241*Ramure*Pc/MaxiM</f>
        <v>1.9662991184854077E-4</v>
      </c>
      <c r="AE241" s="304">
        <f t="shared" si="88"/>
        <v>0.6</v>
      </c>
      <c r="AF241" s="177">
        <f t="shared" si="89"/>
        <v>0.96809945221115412</v>
      </c>
      <c r="AG241" s="799">
        <f t="shared" si="95"/>
        <v>-1</v>
      </c>
      <c r="AH241" s="176">
        <f t="shared" si="90"/>
        <v>5</v>
      </c>
      <c r="AI241" s="224">
        <f t="shared" si="91"/>
        <v>-3.1900547788845879E-2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30.318999999999999</v>
      </c>
      <c r="C242" s="388"/>
      <c r="D242" s="391">
        <f t="shared" si="74"/>
        <v>30.871923051959019</v>
      </c>
      <c r="E242" s="383">
        <f t="shared" si="96"/>
        <v>33.210423269613379</v>
      </c>
      <c r="F242" s="383">
        <f t="shared" si="75"/>
        <v>33.213110264622685</v>
      </c>
      <c r="G242" s="110">
        <f t="shared" si="97"/>
        <v>0.58013323827917906</v>
      </c>
      <c r="H242" s="412" t="b">
        <f>Wh_hp&gt;='2020'!Maxi_hp</f>
        <v>0</v>
      </c>
      <c r="I242" s="379">
        <f>IF(H242,Wh_hp,'2020'!Maxi_hp)</f>
        <v>55.891220971481495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1.7910223831162808E-2</v>
      </c>
      <c r="M242" s="832"/>
      <c r="N242" s="832"/>
      <c r="O242" s="48">
        <f>IF(t&lt;Tnet,'2020'!Resal+('2020'!Salim-'2020'!Resal)*(1-EXP(('2020'!Tnet-t)/('2020'!Tau_j))),Resal+(Salim-Resal)*(1-EXP((Tnet-t)/(Tau_j))))*Salcycl</f>
        <v>7.0414646590608809E-2</v>
      </c>
      <c r="P242" s="169">
        <f>(INDEX(Models!$BJ242:$BT242,,T242)*(1-R242)+INDEX(Models!$BJ242:$BT242,,T242+1)*R242-ERP_i)*Q242*Ramure*Pc/MaxiM</f>
        <v>2.0210715636856123E-4</v>
      </c>
      <c r="Q242" s="304">
        <f t="shared" si="77"/>
        <v>0.6</v>
      </c>
      <c r="R242" s="177">
        <f t="shared" si="78"/>
        <v>0.96927960383917289</v>
      </c>
      <c r="S242" s="799">
        <f t="shared" si="79"/>
        <v>-1</v>
      </c>
      <c r="T242" s="176">
        <f t="shared" si="80"/>
        <v>5</v>
      </c>
      <c r="U242" s="250">
        <f t="shared" si="81"/>
        <v>-3.0720396160827113E-2</v>
      </c>
      <c r="V242" s="382">
        <f t="shared" si="82"/>
        <v>52.255797241465913</v>
      </c>
      <c r="W242" s="400"/>
      <c r="X242" s="157">
        <f t="shared" si="83"/>
        <v>44424</v>
      </c>
      <c r="Y242" s="383">
        <f t="shared" si="84"/>
        <v>30.319000000000003</v>
      </c>
      <c r="Z242" s="383">
        <f t="shared" si="85"/>
        <v>30.871923051959023</v>
      </c>
      <c r="AA242" s="384">
        <f t="shared" si="86"/>
        <v>33.210423269613379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7.0414646590608809E-2</v>
      </c>
      <c r="AD242" s="230">
        <f>(INDEX(Models!$BJ242:$BT242,,AH242)*(1-AF242)+INDEX(Models!$BJ242:$BT242,,AH242+1)*AF242-ERP_i)*AE242*Ramure*Pc/MaxiM</f>
        <v>2.0210715636856123E-4</v>
      </c>
      <c r="AE242" s="304">
        <f t="shared" si="88"/>
        <v>0.6</v>
      </c>
      <c r="AF242" s="177">
        <f t="shared" si="89"/>
        <v>0.96927960383917289</v>
      </c>
      <c r="AG242" s="799">
        <f t="shared" si="95"/>
        <v>-1</v>
      </c>
      <c r="AH242" s="176">
        <f t="shared" si="90"/>
        <v>5</v>
      </c>
      <c r="AI242" s="224">
        <f t="shared" si="91"/>
        <v>-3.0720396160827113E-2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40.445999999999998</v>
      </c>
      <c r="C243" s="388"/>
      <c r="D243" s="391">
        <f t="shared" si="74"/>
        <v>41.1843969204145</v>
      </c>
      <c r="E243" s="383">
        <f t="shared" si="96"/>
        <v>44.307668320260873</v>
      </c>
      <c r="F243" s="383">
        <f t="shared" si="75"/>
        <v>44.313936092351256</v>
      </c>
      <c r="G243" s="110">
        <f t="shared" si="97"/>
        <v>0.77640811405382093</v>
      </c>
      <c r="H243" s="412" t="b">
        <f>Wh_hp&gt;='2020'!Maxi_hp</f>
        <v>0</v>
      </c>
      <c r="I243" s="379">
        <f>IF(H243,Wh_hp,'2020'!Maxi_hp)</f>
        <v>54.973908818601828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1.792904535767248E-2</v>
      </c>
      <c r="M243" s="832"/>
      <c r="N243" s="832"/>
      <c r="O243" s="48">
        <f>IF(t&lt;Tnet,'2020'!Resal+('2020'!Salim-'2020'!Resal)*(1-EXP(('2020'!Tnet-t)/('2020'!Tau_j))),Resal+(Salim-Resal)*(1-EXP((Tnet-t)/(Tau_j))))*Salcycl</f>
        <v>7.049053850613432E-2</v>
      </c>
      <c r="P243" s="169">
        <f>(INDEX(Models!$BJ243:$BT243,,T243)*(1-R243)+INDEX(Models!$BJ243:$BT243,,T243+1)*R243-ERP_i)*Q243*Ramure*Pc/MaxiM</f>
        <v>2.0779963708863932E-4</v>
      </c>
      <c r="Q243" s="304">
        <f t="shared" si="77"/>
        <v>0.6</v>
      </c>
      <c r="R243" s="177">
        <f t="shared" si="78"/>
        <v>0.97041782987402558</v>
      </c>
      <c r="S243" s="799">
        <f t="shared" si="79"/>
        <v>-1</v>
      </c>
      <c r="T243" s="176">
        <f t="shared" si="80"/>
        <v>5</v>
      </c>
      <c r="U243" s="250">
        <f t="shared" si="81"/>
        <v>-2.9582170125974472E-2</v>
      </c>
      <c r="V243" s="382">
        <f t="shared" si="82"/>
        <v>52.090279473593782</v>
      </c>
      <c r="W243" s="400"/>
      <c r="X243" s="157">
        <f t="shared" si="83"/>
        <v>44425</v>
      </c>
      <c r="Y243" s="383">
        <f t="shared" si="84"/>
        <v>40.445999999999998</v>
      </c>
      <c r="Z243" s="383">
        <f t="shared" si="85"/>
        <v>41.1843969204145</v>
      </c>
      <c r="AA243" s="384">
        <f t="shared" si="86"/>
        <v>44.307668320260873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7.049053850613432E-2</v>
      </c>
      <c r="AD243" s="230">
        <f>(INDEX(Models!$BJ243:$BT243,,AH243)*(1-AF243)+INDEX(Models!$BJ243:$BT243,,AH243+1)*AF243-ERP_i)*AE243*Ramure*Pc/MaxiM</f>
        <v>2.0779963708863932E-4</v>
      </c>
      <c r="AE243" s="304">
        <f t="shared" si="88"/>
        <v>0.6</v>
      </c>
      <c r="AF243" s="177">
        <f t="shared" si="89"/>
        <v>0.97041782987402558</v>
      </c>
      <c r="AG243" s="799">
        <f t="shared" si="95"/>
        <v>-1</v>
      </c>
      <c r="AH243" s="176">
        <f t="shared" si="90"/>
        <v>5</v>
      </c>
      <c r="AI243" s="224">
        <f t="shared" si="91"/>
        <v>-2.9582170125974472E-2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49.541000000000004</v>
      </c>
      <c r="C244" s="388"/>
      <c r="D244" s="391">
        <f t="shared" si="74"/>
        <v>50.4464053498073</v>
      </c>
      <c r="E244" s="383">
        <f t="shared" si="96"/>
        <v>54.276488609747332</v>
      </c>
      <c r="F244" s="383">
        <f t="shared" si="75"/>
        <v>54.287330596628593</v>
      </c>
      <c r="G244" s="110">
        <f t="shared" si="97"/>
        <v>0.95414421043745068</v>
      </c>
      <c r="H244" s="412" t="b">
        <f>Wh_hp&gt;='2020'!Maxi_hp</f>
        <v>1</v>
      </c>
      <c r="I244" s="379">
        <f>IF(H244,Wh_hp,'2020'!Maxi_hp)</f>
        <v>54.287330596628593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1.79478665234718E-2</v>
      </c>
      <c r="M244" s="832"/>
      <c r="N244" s="832"/>
      <c r="O244" s="48">
        <f>IF(t&lt;Tnet,'2020'!Resal+('2020'!Salim-'2020'!Resal)*(1-EXP(('2020'!Tnet-t)/('2020'!Tau_j))),Resal+(Salim-Resal)*(1-EXP((Tnet-t)/(Tau_j))))*Salcycl</f>
        <v>7.0566157797691528E-2</v>
      </c>
      <c r="P244" s="169">
        <f>(INDEX(Models!$BJ244:$BT244,,T244)*(1-R244)+INDEX(Models!$BJ244:$BT244,,T244+1)*R244-ERP_i)*Q244*Ramure*Pc/MaxiM</f>
        <v>2.1371059855059685E-4</v>
      </c>
      <c r="Q244" s="304">
        <f t="shared" si="77"/>
        <v>0.6</v>
      </c>
      <c r="R244" s="177">
        <f t="shared" si="78"/>
        <v>0.97151541467883917</v>
      </c>
      <c r="S244" s="799">
        <f t="shared" si="79"/>
        <v>-1</v>
      </c>
      <c r="T244" s="176">
        <f t="shared" si="80"/>
        <v>5</v>
      </c>
      <c r="U244" s="250">
        <f t="shared" si="81"/>
        <v>-2.8484585321160882E-2</v>
      </c>
      <c r="V244" s="382">
        <f t="shared" si="82"/>
        <v>51.921193837282125</v>
      </c>
      <c r="W244" s="400"/>
      <c r="X244" s="157">
        <f t="shared" si="83"/>
        <v>44426</v>
      </c>
      <c r="Y244" s="383">
        <f t="shared" si="84"/>
        <v>49.541000000000004</v>
      </c>
      <c r="Z244" s="383">
        <f t="shared" si="85"/>
        <v>50.4464053498073</v>
      </c>
      <c r="AA244" s="384">
        <f t="shared" si="86"/>
        <v>54.276488609747332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7.0566157797691528E-2</v>
      </c>
      <c r="AD244" s="230">
        <f>(INDEX(Models!$BJ244:$BT244,,AH244)*(1-AF244)+INDEX(Models!$BJ244:$BT244,,AH244+1)*AF244-ERP_i)*AE244*Ramure*Pc/MaxiM</f>
        <v>2.1371059855059685E-4</v>
      </c>
      <c r="AE244" s="304">
        <f t="shared" si="88"/>
        <v>0.6</v>
      </c>
      <c r="AF244" s="177">
        <f t="shared" si="89"/>
        <v>0.97151541467883917</v>
      </c>
      <c r="AG244" s="799">
        <f t="shared" si="95"/>
        <v>-1</v>
      </c>
      <c r="AH244" s="176">
        <f t="shared" si="90"/>
        <v>5</v>
      </c>
      <c r="AI244" s="224">
        <f t="shared" si="91"/>
        <v>-2.8484585321160882E-2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42.155999999999999</v>
      </c>
      <c r="C245" s="388"/>
      <c r="D245" s="391">
        <f t="shared" si="74"/>
        <v>42.927260670335848</v>
      </c>
      <c r="E245" s="383">
        <f t="shared" si="96"/>
        <v>46.190205950146115</v>
      </c>
      <c r="F245" s="383">
        <f t="shared" si="75"/>
        <v>46.197672752985881</v>
      </c>
      <c r="G245" s="110">
        <f t="shared" si="97"/>
        <v>0.81458737242419488</v>
      </c>
      <c r="H245" s="412" t="b">
        <f>Wh_hp&gt;='2020'!Maxi_hp</f>
        <v>1</v>
      </c>
      <c r="I245" s="379">
        <f>IF(H245,Wh_hp,'2020'!Maxi_hp)</f>
        <v>46.197672752985881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1.7966687328567765E-2</v>
      </c>
      <c r="M245" s="832"/>
      <c r="N245" s="832"/>
      <c r="O245" s="48">
        <f>IF(t&lt;Tnet,'2020'!Resal+('2020'!Salim-'2020'!Resal)*(1-EXP(('2020'!Tnet-t)/('2020'!Tau_j))),Resal+(Salim-Resal)*(1-EXP((Tnet-t)/(Tau_j))))*Salcycl</f>
        <v>7.0641496669922102E-2</v>
      </c>
      <c r="P245" s="169">
        <f>(INDEX(Models!$BJ245:$BT245,,T245)*(1-R245)+INDEX(Models!$BJ245:$BT245,,T245+1)*R245-ERP_i)*Q245*Ramure*Pc/MaxiM</f>
        <v>2.1984341993384576E-4</v>
      </c>
      <c r="Q245" s="304">
        <f t="shared" si="77"/>
        <v>0.6</v>
      </c>
      <c r="R245" s="177">
        <f t="shared" si="78"/>
        <v>0.97257361872827852</v>
      </c>
      <c r="S245" s="799">
        <f t="shared" si="79"/>
        <v>-1</v>
      </c>
      <c r="T245" s="176">
        <f t="shared" si="80"/>
        <v>5</v>
      </c>
      <c r="U245" s="250">
        <f t="shared" si="81"/>
        <v>-2.7426381271721534E-2</v>
      </c>
      <c r="V245" s="382">
        <f t="shared" si="82"/>
        <v>51.748341392774037</v>
      </c>
      <c r="W245" s="400"/>
      <c r="X245" s="157">
        <f t="shared" si="83"/>
        <v>44427</v>
      </c>
      <c r="Y245" s="383">
        <f t="shared" si="84"/>
        <v>42.155999999999999</v>
      </c>
      <c r="Z245" s="383">
        <f t="shared" si="85"/>
        <v>42.927260670335848</v>
      </c>
      <c r="AA245" s="384">
        <f t="shared" si="86"/>
        <v>46.190205950146115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7.0641496669922102E-2</v>
      </c>
      <c r="AD245" s="230">
        <f>(INDEX(Models!$BJ245:$BT245,,AH245)*(1-AF245)+INDEX(Models!$BJ245:$BT245,,AH245+1)*AF245-ERP_i)*AE245*Ramure*Pc/MaxiM</f>
        <v>2.1984341993384576E-4</v>
      </c>
      <c r="AE245" s="304">
        <f t="shared" si="88"/>
        <v>0.6</v>
      </c>
      <c r="AF245" s="177">
        <f t="shared" si="89"/>
        <v>0.97257361872827852</v>
      </c>
      <c r="AG245" s="799">
        <f t="shared" si="95"/>
        <v>-1</v>
      </c>
      <c r="AH245" s="176">
        <f t="shared" si="90"/>
        <v>5</v>
      </c>
      <c r="AI245" s="224">
        <f t="shared" si="91"/>
        <v>-2.7426381271721534E-2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48.978999999999999</v>
      </c>
      <c r="C246" s="388"/>
      <c r="D246" s="391">
        <f t="shared" si="74"/>
        <v>49.876046013256293</v>
      </c>
      <c r="E246" s="383">
        <f t="shared" si="96"/>
        <v>53.671509851874852</v>
      </c>
      <c r="F246" s="383">
        <f t="shared" si="75"/>
        <v>53.682780926173528</v>
      </c>
      <c r="G246" s="110">
        <f t="shared" si="97"/>
        <v>0.94971412621633855</v>
      </c>
      <c r="H246" s="412" t="b">
        <f>Wh_hp&gt;='2020'!Maxi_hp</f>
        <v>0</v>
      </c>
      <c r="I246" s="379">
        <f>IF(H246,Wh_hp,'2020'!Maxi_hp)</f>
        <v>54.148605267577729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1.7985507772967257E-2</v>
      </c>
      <c r="M246" s="832"/>
      <c r="N246" s="832"/>
      <c r="O246" s="48">
        <f>IF(t&lt;Tnet,'2020'!Resal+('2020'!Salim-'2020'!Resal)*(1-EXP(('2020'!Tnet-t)/('2020'!Tau_j))),Resal+(Salim-Resal)*(1-EXP((Tnet-t)/(Tau_j))))*Salcycl</f>
        <v>7.0716546806554481E-2</v>
      </c>
      <c r="P246" s="169">
        <f>(INDEX(Models!$BJ246:$BT246,,T246)*(1-R246)+INDEX(Models!$BJ246:$BT246,,T246+1)*R246-ERP_i)*Q246*Ramure*Pc/MaxiM</f>
        <v>2.2620162632847475E-4</v>
      </c>
      <c r="Q246" s="304">
        <f t="shared" si="77"/>
        <v>0.6</v>
      </c>
      <c r="R246" s="177">
        <f t="shared" si="78"/>
        <v>0.97359367779756378</v>
      </c>
      <c r="S246" s="799">
        <f t="shared" si="79"/>
        <v>-1</v>
      </c>
      <c r="T246" s="176">
        <f t="shared" si="80"/>
        <v>5</v>
      </c>
      <c r="U246" s="250">
        <f t="shared" si="81"/>
        <v>-2.6406322202436272E-2</v>
      </c>
      <c r="V246" s="382">
        <f t="shared" si="82"/>
        <v>51.571523297511021</v>
      </c>
      <c r="W246" s="400"/>
      <c r="X246" s="157">
        <f t="shared" si="83"/>
        <v>44428</v>
      </c>
      <c r="Y246" s="383">
        <f t="shared" si="84"/>
        <v>48.978999999999999</v>
      </c>
      <c r="Z246" s="383">
        <f t="shared" si="85"/>
        <v>49.876046013256293</v>
      </c>
      <c r="AA246" s="384">
        <f t="shared" si="86"/>
        <v>53.671509851874852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7.0716546806554481E-2</v>
      </c>
      <c r="AD246" s="230">
        <f>(INDEX(Models!$BJ246:$BT246,,AH246)*(1-AF246)+INDEX(Models!$BJ246:$BT246,,AH246+1)*AF246-ERP_i)*AE246*Ramure*Pc/MaxiM</f>
        <v>2.2620162632847475E-4</v>
      </c>
      <c r="AE246" s="304">
        <f t="shared" si="88"/>
        <v>0.6</v>
      </c>
      <c r="AF246" s="177">
        <f t="shared" si="89"/>
        <v>0.97359367779756378</v>
      </c>
      <c r="AG246" s="799">
        <f t="shared" si="95"/>
        <v>-1</v>
      </c>
      <c r="AH246" s="176">
        <f t="shared" si="90"/>
        <v>5</v>
      </c>
      <c r="AI246" s="224">
        <f t="shared" si="91"/>
        <v>-2.6406322202436272E-2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46.384</v>
      </c>
      <c r="C247" s="388"/>
      <c r="D247" s="391">
        <f t="shared" si="74"/>
        <v>47.234424056840687</v>
      </c>
      <c r="E247" s="383">
        <f t="shared" si="96"/>
        <v>50.832954993772425</v>
      </c>
      <c r="F247" s="383">
        <f t="shared" si="75"/>
        <v>50.843143246769657</v>
      </c>
      <c r="G247" s="110">
        <f t="shared" si="97"/>
        <v>0.90254050849320644</v>
      </c>
      <c r="H247" s="412" t="b">
        <f>Wh_hp&gt;='2020'!Maxi_hp</f>
        <v>0</v>
      </c>
      <c r="I247" s="379">
        <f>IF(H247,Wh_hp,'2020'!Maxi_hp)</f>
        <v>54.553633144965026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1.8004327856677271E-2</v>
      </c>
      <c r="M247" s="832"/>
      <c r="N247" s="832"/>
      <c r="O247" s="48">
        <f>IF(t&lt;Tnet,'2020'!Resal+('2020'!Salim-'2020'!Resal)*(1-EXP(('2020'!Tnet-t)/('2020'!Tau_j))),Resal+(Salim-Resal)*(1-EXP((Tnet-t)/(Tau_j))))*Salcycl</f>
        <v>7.0791299411427006E-2</v>
      </c>
      <c r="P247" s="169">
        <f>(INDEX(Models!$BJ247:$BT247,,T247)*(1-R247)+INDEX(Models!$BJ247:$BT247,,T247+1)*R247-ERP_i)*Q247*Ramure*Pc/MaxiM</f>
        <v>2.3278663237050369E-4</v>
      </c>
      <c r="Q247" s="304">
        <f t="shared" si="77"/>
        <v>0.6</v>
      </c>
      <c r="R247" s="177">
        <f t="shared" si="78"/>
        <v>0.97457680228122801</v>
      </c>
      <c r="S247" s="799">
        <f t="shared" si="79"/>
        <v>-1</v>
      </c>
      <c r="T247" s="176">
        <f t="shared" si="80"/>
        <v>5</v>
      </c>
      <c r="U247" s="250">
        <f t="shared" si="81"/>
        <v>-2.542319771877205E-2</v>
      </c>
      <c r="V247" s="382">
        <f t="shared" si="82"/>
        <v>51.391041610177183</v>
      </c>
      <c r="W247" s="400"/>
      <c r="X247" s="157">
        <f t="shared" si="83"/>
        <v>44429</v>
      </c>
      <c r="Y247" s="383">
        <f t="shared" si="84"/>
        <v>46.384</v>
      </c>
      <c r="Z247" s="383">
        <f t="shared" si="85"/>
        <v>47.234424056840687</v>
      </c>
      <c r="AA247" s="384">
        <f t="shared" si="86"/>
        <v>50.832954993772425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7.0791299411427006E-2</v>
      </c>
      <c r="AD247" s="230">
        <f>(INDEX(Models!$BJ247:$BT247,,AH247)*(1-AF247)+INDEX(Models!$BJ247:$BT247,,AH247+1)*AF247-ERP_i)*AE247*Ramure*Pc/MaxiM</f>
        <v>2.3278663237050369E-4</v>
      </c>
      <c r="AE247" s="304">
        <f t="shared" si="88"/>
        <v>0.6</v>
      </c>
      <c r="AF247" s="177">
        <f t="shared" si="89"/>
        <v>0.97457680228122801</v>
      </c>
      <c r="AG247" s="799">
        <f t="shared" si="95"/>
        <v>-1</v>
      </c>
      <c r="AH247" s="176">
        <f t="shared" si="90"/>
        <v>5</v>
      </c>
      <c r="AI247" s="224">
        <f t="shared" si="91"/>
        <v>-2.542319771877205E-2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19.649000000000001</v>
      </c>
      <c r="C248" s="388"/>
      <c r="D248" s="391">
        <f t="shared" si="74"/>
        <v>20.009636634072148</v>
      </c>
      <c r="E248" s="383">
        <f t="shared" si="96"/>
        <v>21.535786170419797</v>
      </c>
      <c r="F248" s="383">
        <f t="shared" si="75"/>
        <v>21.536403334862928</v>
      </c>
      <c r="G248" s="110">
        <f t="shared" si="97"/>
        <v>0.38363363954846474</v>
      </c>
      <c r="H248" s="412" t="b">
        <f>Wh_hp&gt;='2020'!Maxi_hp</f>
        <v>0</v>
      </c>
      <c r="I248" s="379">
        <f>IF(H248,Wh_hp,'2020'!Maxi_hp)</f>
        <v>56.59830554422004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1.802314757970469E-2</v>
      </c>
      <c r="M248" s="832"/>
      <c r="N248" s="832"/>
      <c r="O248" s="48">
        <f>IF(t&lt;Tnet,'2020'!Resal+('2020'!Salim-'2020'!Resal)*(1-EXP(('2020'!Tnet-t)/('2020'!Tau_j))),Resal+(Salim-Resal)*(1-EXP((Tnet-t)/(Tau_j))))*Salcycl</f>
        <v>7.0865745242394362E-2</v>
      </c>
      <c r="P248" s="169">
        <f>(INDEX(Models!$BJ248:$BT248,,T248)*(1-R248)+INDEX(Models!$BJ248:$BT248,,T248+1)*R248-ERP_i)*Q248*Ramure*Pc/MaxiM</f>
        <v>2.3962084575945212E-4</v>
      </c>
      <c r="Q248" s="304">
        <f t="shared" si="77"/>
        <v>0.6</v>
      </c>
      <c r="R248" s="177">
        <f t="shared" si="78"/>
        <v>0.97552417663284641</v>
      </c>
      <c r="S248" s="799">
        <f t="shared" si="79"/>
        <v>-1</v>
      </c>
      <c r="T248" s="176">
        <f t="shared" si="80"/>
        <v>5</v>
      </c>
      <c r="U248" s="250">
        <f t="shared" si="81"/>
        <v>-2.4475823367153648E-2</v>
      </c>
      <c r="V248" s="382">
        <f t="shared" si="82"/>
        <v>51.207330701840462</v>
      </c>
      <c r="W248" s="400"/>
      <c r="X248" s="157">
        <f t="shared" si="83"/>
        <v>44430</v>
      </c>
      <c r="Y248" s="383">
        <f t="shared" si="84"/>
        <v>19.649000000000001</v>
      </c>
      <c r="Z248" s="383">
        <f t="shared" si="85"/>
        <v>20.009636634072148</v>
      </c>
      <c r="AA248" s="384">
        <f t="shared" si="86"/>
        <v>21.535786170419797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7.0865745242394362E-2</v>
      </c>
      <c r="AD248" s="230">
        <f>(INDEX(Models!$BJ248:$BT248,,AH248)*(1-AF248)+INDEX(Models!$BJ248:$BT248,,AH248+1)*AF248-ERP_i)*AE248*Ramure*Pc/MaxiM</f>
        <v>2.3962084575945212E-4</v>
      </c>
      <c r="AE248" s="304">
        <f t="shared" si="88"/>
        <v>0.6</v>
      </c>
      <c r="AF248" s="177">
        <f t="shared" si="89"/>
        <v>0.97552417663284641</v>
      </c>
      <c r="AG248" s="799">
        <f t="shared" si="95"/>
        <v>-1</v>
      </c>
      <c r="AH248" s="176">
        <f t="shared" si="90"/>
        <v>5</v>
      </c>
      <c r="AI248" s="224">
        <f t="shared" si="91"/>
        <v>-2.4475823367153648E-2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47.454999999999998</v>
      </c>
      <c r="C249" s="388"/>
      <c r="D249" s="391">
        <f t="shared" si="74"/>
        <v>48.326912558797474</v>
      </c>
      <c r="E249" s="383">
        <f t="shared" si="96"/>
        <v>52.016991408344694</v>
      </c>
      <c r="F249" s="383">
        <f t="shared" si="75"/>
        <v>52.028541843404682</v>
      </c>
      <c r="G249" s="110">
        <f t="shared" si="97"/>
        <v>0.93009531159498515</v>
      </c>
      <c r="H249" s="412" t="b">
        <f>Wh_hp&gt;='2020'!Maxi_hp</f>
        <v>0</v>
      </c>
      <c r="I249" s="379">
        <f>IF(H249,Wh_hp,'2020'!Maxi_hp)</f>
        <v>53.920594526150673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1.8041966942056398E-2</v>
      </c>
      <c r="M249" s="832"/>
      <c r="N249" s="832"/>
      <c r="O249" s="48">
        <f>IF(t&lt;Tnet,'2020'!Resal+('2020'!Salim-'2020'!Resal)*(1-EXP(('2020'!Tnet-t)/('2020'!Tau_j))),Resal+(Salim-Resal)*(1-EXP((Tnet-t)/(Tau_j))))*Salcycl</f>
        <v>7.0939874637871644E-2</v>
      </c>
      <c r="P249" s="169">
        <f>(INDEX(Models!$BJ249:$BT249,,T249)*(1-R249)+INDEX(Models!$BJ249:$BT249,,T249+1)*R249-ERP_i)*Q249*Ramure*Pc/MaxiM</f>
        <v>2.4662249836031222E-4</v>
      </c>
      <c r="Q249" s="304">
        <f t="shared" si="77"/>
        <v>0.6</v>
      </c>
      <c r="R249" s="177">
        <f t="shared" si="78"/>
        <v>0.97643695891723259</v>
      </c>
      <c r="S249" s="799">
        <f t="shared" si="79"/>
        <v>-1</v>
      </c>
      <c r="T249" s="176">
        <f t="shared" si="80"/>
        <v>5</v>
      </c>
      <c r="U249" s="250">
        <f t="shared" si="81"/>
        <v>-2.3563041082767355E-2</v>
      </c>
      <c r="V249" s="382">
        <f t="shared" si="82"/>
        <v>51.020396273811784</v>
      </c>
      <c r="W249" s="400"/>
      <c r="X249" s="157">
        <f t="shared" si="83"/>
        <v>44431</v>
      </c>
      <c r="Y249" s="383">
        <f t="shared" si="84"/>
        <v>47.454999999999998</v>
      </c>
      <c r="Z249" s="383">
        <f t="shared" si="85"/>
        <v>48.326912558797474</v>
      </c>
      <c r="AA249" s="384">
        <f t="shared" si="86"/>
        <v>52.016991408344694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7.0939874637871644E-2</v>
      </c>
      <c r="AD249" s="230">
        <f>(INDEX(Models!$BJ249:$BT249,,AH249)*(1-AF249)+INDEX(Models!$BJ249:$BT249,,AH249+1)*AF249-ERP_i)*AE249*Ramure*Pc/MaxiM</f>
        <v>2.4662249836031222E-4</v>
      </c>
      <c r="AE249" s="304">
        <f t="shared" si="88"/>
        <v>0.6</v>
      </c>
      <c r="AF249" s="177">
        <f t="shared" si="89"/>
        <v>0.97643695891723259</v>
      </c>
      <c r="AG249" s="799">
        <f t="shared" si="95"/>
        <v>-1</v>
      </c>
      <c r="AH249" s="176">
        <f t="shared" si="90"/>
        <v>5</v>
      </c>
      <c r="AI249" s="224">
        <f t="shared" si="91"/>
        <v>-2.3563041082767355E-2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43.334000000000003</v>
      </c>
      <c r="C250" s="388"/>
      <c r="D250" s="391">
        <f t="shared" si="74"/>
        <v>44.131041290216935</v>
      </c>
      <c r="E250" s="383">
        <f t="shared" si="96"/>
        <v>47.504511340017267</v>
      </c>
      <c r="F250" s="383">
        <f t="shared" si="75"/>
        <v>47.514029558798249</v>
      </c>
      <c r="G250" s="110">
        <f t="shared" si="97"/>
        <v>0.85247842113525563</v>
      </c>
      <c r="H250" s="412" t="b">
        <f>Wh_hp&gt;='2020'!Maxi_hp</f>
        <v>0</v>
      </c>
      <c r="I250" s="379">
        <f>IF(H250,Wh_hp,'2020'!Maxi_hp)</f>
        <v>53.710943273979339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1.8060785943739388E-2</v>
      </c>
      <c r="M250" s="832"/>
      <c r="N250" s="832"/>
      <c r="O250" s="48">
        <f>IF(t&lt;Tnet,'2020'!Resal+('2020'!Salim-'2020'!Resal)*(1-EXP(('2020'!Tnet-t)/('2020'!Tau_j))),Resal+(Salim-Resal)*(1-EXP((Tnet-t)/(Tau_j))))*Salcycl</f>
        <v>7.1013677535896602E-2</v>
      </c>
      <c r="P250" s="169">
        <f>(INDEX(Models!$BJ250:$BT250,,T250)*(1-R250)+INDEX(Models!$BJ250:$BT250,,T250+1)*R250-ERP_i)*Q250*Ramure*Pc/MaxiM</f>
        <v>2.5379362051365574E-4</v>
      </c>
      <c r="Q250" s="304">
        <f t="shared" si="77"/>
        <v>0.6</v>
      </c>
      <c r="R250" s="177">
        <f t="shared" si="78"/>
        <v>0.97731628046689689</v>
      </c>
      <c r="S250" s="799">
        <f t="shared" si="79"/>
        <v>-1</v>
      </c>
      <c r="T250" s="176">
        <f t="shared" si="80"/>
        <v>5</v>
      </c>
      <c r="U250" s="250">
        <f t="shared" si="81"/>
        <v>-2.2683719533103108E-2</v>
      </c>
      <c r="V250" s="382">
        <f t="shared" si="82"/>
        <v>50.830239717058404</v>
      </c>
      <c r="W250" s="400"/>
      <c r="X250" s="157">
        <f t="shared" si="83"/>
        <v>44432</v>
      </c>
      <c r="Y250" s="383">
        <f t="shared" si="84"/>
        <v>43.334000000000003</v>
      </c>
      <c r="Z250" s="383">
        <f t="shared" si="85"/>
        <v>44.131041290216935</v>
      </c>
      <c r="AA250" s="384">
        <f t="shared" si="86"/>
        <v>47.504511340017267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7.1013677535896602E-2</v>
      </c>
      <c r="AD250" s="230">
        <f>(INDEX(Models!$BJ250:$BT250,,AH250)*(1-AF250)+INDEX(Models!$BJ250:$BT250,,AH250+1)*AF250-ERP_i)*AE250*Ramure*Pc/MaxiM</f>
        <v>2.5379362051365574E-4</v>
      </c>
      <c r="AE250" s="304">
        <f t="shared" si="88"/>
        <v>0.6</v>
      </c>
      <c r="AF250" s="177">
        <f t="shared" si="89"/>
        <v>0.97731628046689689</v>
      </c>
      <c r="AG250" s="799">
        <f t="shared" si="95"/>
        <v>-1</v>
      </c>
      <c r="AH250" s="176">
        <f t="shared" si="90"/>
        <v>5</v>
      </c>
      <c r="AI250" s="224">
        <f t="shared" si="91"/>
        <v>-2.2683719533103108E-2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46.142000000000003</v>
      </c>
      <c r="C251" s="388"/>
      <c r="D251" s="391">
        <f t="shared" si="74"/>
        <v>46.991589354335829</v>
      </c>
      <c r="E251" s="383">
        <f t="shared" si="96"/>
        <v>50.58772631339211</v>
      </c>
      <c r="F251" s="383">
        <f t="shared" si="75"/>
        <v>50.59926404911738</v>
      </c>
      <c r="G251" s="110">
        <f t="shared" si="97"/>
        <v>0.91120321180726671</v>
      </c>
      <c r="H251" s="412" t="b">
        <f>Wh_hp&gt;='2020'!Maxi_hp</f>
        <v>1</v>
      </c>
      <c r="I251" s="379">
        <f>IF(H251,Wh_hp,'2020'!Maxi_hp)</f>
        <v>50.59926404911738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1.8079604584760434E-2</v>
      </c>
      <c r="M251" s="832"/>
      <c r="N251" s="832"/>
      <c r="O251" s="48">
        <f>IF(t&lt;Tnet,'2020'!Resal+('2020'!Salim-'2020'!Resal)*(1-EXP(('2020'!Tnet-t)/('2020'!Tau_j))),Resal+(Salim-Resal)*(1-EXP((Tnet-t)/(Tau_j))))*Salcycl</f>
        <v>7.1087143485716833E-2</v>
      </c>
      <c r="P251" s="169">
        <f>(INDEX(Models!$BJ251:$BT251,,T251)*(1-R251)+INDEX(Models!$BJ251:$BT251,,T251+1)*R251-ERP_i)*Q251*Ramure*Pc/MaxiM</f>
        <v>2.6113636454161546E-4</v>
      </c>
      <c r="Q251" s="304">
        <f t="shared" si="77"/>
        <v>0.6</v>
      </c>
      <c r="R251" s="177">
        <f t="shared" si="78"/>
        <v>0.97816324563486146</v>
      </c>
      <c r="S251" s="799">
        <f t="shared" si="79"/>
        <v>-1</v>
      </c>
      <c r="T251" s="176">
        <f t="shared" si="80"/>
        <v>5</v>
      </c>
      <c r="U251" s="250">
        <f t="shared" si="81"/>
        <v>-2.1836754365138489E-2</v>
      </c>
      <c r="V251" s="382">
        <f t="shared" si="82"/>
        <v>50.6368624274008</v>
      </c>
      <c r="W251" s="400"/>
      <c r="X251" s="157">
        <f t="shared" si="83"/>
        <v>44433</v>
      </c>
      <c r="Y251" s="383">
        <f t="shared" si="84"/>
        <v>46.142000000000003</v>
      </c>
      <c r="Z251" s="383">
        <f t="shared" si="85"/>
        <v>46.991589354335829</v>
      </c>
      <c r="AA251" s="384">
        <f t="shared" si="86"/>
        <v>50.58772631339211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7.1087143485716833E-2</v>
      </c>
      <c r="AD251" s="230">
        <f>(INDEX(Models!$BJ251:$BT251,,AH251)*(1-AF251)+INDEX(Models!$BJ251:$BT251,,AH251+1)*AF251-ERP_i)*AE251*Ramure*Pc/MaxiM</f>
        <v>2.6113636454161546E-4</v>
      </c>
      <c r="AE251" s="304">
        <f t="shared" si="88"/>
        <v>0.6</v>
      </c>
      <c r="AF251" s="177">
        <f t="shared" si="89"/>
        <v>0.97816324563486146</v>
      </c>
      <c r="AG251" s="799">
        <f t="shared" si="95"/>
        <v>-1</v>
      </c>
      <c r="AH251" s="176">
        <f t="shared" si="90"/>
        <v>5</v>
      </c>
      <c r="AI251" s="224">
        <f t="shared" si="91"/>
        <v>-2.1836754365138489E-2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48.25</v>
      </c>
      <c r="C252" s="388"/>
      <c r="D252" s="391">
        <f t="shared" si="74"/>
        <v>49.139344638584284</v>
      </c>
      <c r="E252" s="383">
        <f t="shared" si="96"/>
        <v>52.904007666579467</v>
      </c>
      <c r="F252" s="383">
        <f t="shared" si="75"/>
        <v>52.917342173852887</v>
      </c>
      <c r="G252" s="110">
        <f t="shared" si="97"/>
        <v>0.95656109091421138</v>
      </c>
      <c r="H252" s="412" t="b">
        <f>Wh_hp&gt;='2020'!Maxi_hp</f>
        <v>0</v>
      </c>
      <c r="I252" s="379">
        <f>IF(H252,Wh_hp,'2020'!Maxi_hp)</f>
        <v>53.844483293966427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1.8098422865126529E-2</v>
      </c>
      <c r="M252" s="832"/>
      <c r="N252" s="832"/>
      <c r="O252" s="48">
        <f>IF(t&lt;Tnet,'2020'!Resal+('2020'!Salim-'2020'!Resal)*(1-EXP(('2020'!Tnet-t)/('2020'!Tau_j))),Resal+(Salim-Resal)*(1-EXP((Tnet-t)/(Tau_j))))*Salcycl</f>
        <v>7.1160261652037413E-2</v>
      </c>
      <c r="P252" s="169">
        <f>(INDEX(Models!$BJ252:$BT252,,T252)*(1-R252)+INDEX(Models!$BJ252:$BT252,,T252+1)*R252-ERP_i)*Q252*Ramure*Pc/MaxiM</f>
        <v>2.6865275588327511E-4</v>
      </c>
      <c r="Q252" s="304">
        <f t="shared" si="77"/>
        <v>0.6</v>
      </c>
      <c r="R252" s="177">
        <f t="shared" si="78"/>
        <v>0.97897893163626515</v>
      </c>
      <c r="S252" s="799">
        <f t="shared" si="79"/>
        <v>-1</v>
      </c>
      <c r="T252" s="176">
        <f t="shared" si="80"/>
        <v>5</v>
      </c>
      <c r="U252" s="250">
        <f t="shared" si="81"/>
        <v>-2.1021068363734852E-2</v>
      </c>
      <c r="V252" s="382">
        <f t="shared" si="82"/>
        <v>50.440265818527038</v>
      </c>
      <c r="W252" s="400"/>
      <c r="X252" s="157">
        <f t="shared" si="83"/>
        <v>44434</v>
      </c>
      <c r="Y252" s="383">
        <f t="shared" si="84"/>
        <v>48.25</v>
      </c>
      <c r="Z252" s="383">
        <f t="shared" si="85"/>
        <v>49.139344638584284</v>
      </c>
      <c r="AA252" s="384">
        <f t="shared" si="86"/>
        <v>52.904007666579467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7.1160261652037413E-2</v>
      </c>
      <c r="AD252" s="230">
        <f>(INDEX(Models!$BJ252:$BT252,,AH252)*(1-AF252)+INDEX(Models!$BJ252:$BT252,,AH252+1)*AF252-ERP_i)*AE252*Ramure*Pc/MaxiM</f>
        <v>2.6865275588327511E-4</v>
      </c>
      <c r="AE252" s="304">
        <f t="shared" si="88"/>
        <v>0.6</v>
      </c>
      <c r="AF252" s="177">
        <f t="shared" si="89"/>
        <v>0.97897893163626515</v>
      </c>
      <c r="AG252" s="799">
        <f t="shared" si="95"/>
        <v>-1</v>
      </c>
      <c r="AH252" s="176">
        <f t="shared" si="90"/>
        <v>5</v>
      </c>
      <c r="AI252" s="224">
        <f t="shared" si="91"/>
        <v>-2.1021068363734852E-2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42.497999999999998</v>
      </c>
      <c r="C253" s="388"/>
      <c r="D253" s="391">
        <f t="shared" si="74"/>
        <v>43.282153191048756</v>
      </c>
      <c r="E253" s="383">
        <f t="shared" si="96"/>
        <v>46.60173559238531</v>
      </c>
      <c r="F253" s="383">
        <f t="shared" si="75"/>
        <v>46.611780728353345</v>
      </c>
      <c r="G253" s="110">
        <f t="shared" si="97"/>
        <v>0.84584060892830282</v>
      </c>
      <c r="H253" s="412" t="b">
        <f>Wh_hp&gt;='2020'!Maxi_hp</f>
        <v>1</v>
      </c>
      <c r="I253" s="379">
        <f>IF(H253,Wh_hp,'2020'!Maxi_hp)</f>
        <v>46.611780728353345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1.8117240784844557E-2</v>
      </c>
      <c r="M253" s="832"/>
      <c r="N253" s="832"/>
      <c r="O253" s="48">
        <f>IF(t&lt;Tnet,'2020'!Resal+('2020'!Salim-'2020'!Resal)*(1-EXP(('2020'!Tnet-t)/('2020'!Tau_j))),Resal+(Salim-Resal)*(1-EXP((Tnet-t)/(Tau_j))))*Salcycl</f>
        <v>7.123302081218981E-2</v>
      </c>
      <c r="P253" s="169">
        <f>(INDEX(Models!$BJ253:$BT253,,T253)*(1-R253)+INDEX(Models!$BJ253:$BT253,,T253+1)*R253-ERP_i)*Q253*Ramure*Pc/MaxiM</f>
        <v>2.7634484602131619E-4</v>
      </c>
      <c r="Q253" s="304">
        <f t="shared" si="77"/>
        <v>0.6</v>
      </c>
      <c r="R253" s="177">
        <f t="shared" si="78"/>
        <v>0.97976438847151237</v>
      </c>
      <c r="S253" s="799">
        <f t="shared" si="79"/>
        <v>-1</v>
      </c>
      <c r="T253" s="176">
        <f t="shared" si="80"/>
        <v>5</v>
      </c>
      <c r="U253" s="250">
        <f t="shared" si="81"/>
        <v>-2.0235611528487629E-2</v>
      </c>
      <c r="V253" s="382">
        <f t="shared" si="82"/>
        <v>50.240451310621147</v>
      </c>
      <c r="W253" s="400"/>
      <c r="X253" s="157">
        <f t="shared" si="83"/>
        <v>44435</v>
      </c>
      <c r="Y253" s="383">
        <f t="shared" si="84"/>
        <v>42.497999999999998</v>
      </c>
      <c r="Z253" s="383">
        <f t="shared" si="85"/>
        <v>43.282153191048756</v>
      </c>
      <c r="AA253" s="384">
        <f t="shared" si="86"/>
        <v>46.60173559238531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7.123302081218981E-2</v>
      </c>
      <c r="AD253" s="230">
        <f>(INDEX(Models!$BJ253:$BT253,,AH253)*(1-AF253)+INDEX(Models!$BJ253:$BT253,,AH253+1)*AF253-ERP_i)*AE253*Ramure*Pc/MaxiM</f>
        <v>2.7634484602131619E-4</v>
      </c>
      <c r="AE253" s="304">
        <f t="shared" si="88"/>
        <v>0.6</v>
      </c>
      <c r="AF253" s="177">
        <f t="shared" si="89"/>
        <v>0.97976438847151237</v>
      </c>
      <c r="AG253" s="799">
        <f t="shared" si="95"/>
        <v>-1</v>
      </c>
      <c r="AH253" s="176">
        <f t="shared" si="90"/>
        <v>5</v>
      </c>
      <c r="AI253" s="224">
        <f t="shared" si="91"/>
        <v>-2.0235611528487629E-2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49.896000000000001</v>
      </c>
      <c r="C254" s="388"/>
      <c r="D254" s="391">
        <f t="shared" si="74"/>
        <v>50.817631530334047</v>
      </c>
      <c r="E254" s="383">
        <f t="shared" si="96"/>
        <v>54.719422339459022</v>
      </c>
      <c r="F254" s="383">
        <f t="shared" si="75"/>
        <v>54.734917062438733</v>
      </c>
      <c r="G254" s="110">
        <f t="shared" si="97"/>
        <v>0.997172583357959</v>
      </c>
      <c r="H254" s="412" t="b">
        <f>Wh_hp&gt;='2020'!Maxi_hp</f>
        <v>1</v>
      </c>
      <c r="I254" s="379">
        <f>IF(H254,Wh_hp,'2020'!Maxi_hp)</f>
        <v>54.734917062438733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1.8136058343921513E-2</v>
      </c>
      <c r="M254" s="832"/>
      <c r="N254" s="832"/>
      <c r="O254" s="48">
        <f>IF(t&lt;Tnet,'2020'!Resal+('2020'!Salim-'2020'!Resal)*(1-EXP(('2020'!Tnet-t)/('2020'!Tau_j))),Resal+(Salim-Resal)*(1-EXP((Tnet-t)/(Tau_j))))*Salcycl</f>
        <v>7.1305409346606605E-2</v>
      </c>
      <c r="P254" s="169">
        <f>(INDEX(Models!$BJ254:$BT254,,T254)*(1-R254)+INDEX(Models!$BJ254:$BT254,,T254+1)*R254-ERP_i)*Q254*Ramure*Pc/MaxiM</f>
        <v>2.8423423033025581E-4</v>
      </c>
      <c r="Q254" s="304">
        <f t="shared" si="77"/>
        <v>0.6</v>
      </c>
      <c r="R254" s="177">
        <f t="shared" si="78"/>
        <v>0.98052063892407215</v>
      </c>
      <c r="S254" s="799">
        <f t="shared" si="79"/>
        <v>-1</v>
      </c>
      <c r="T254" s="176">
        <f t="shared" si="80"/>
        <v>5</v>
      </c>
      <c r="U254" s="250">
        <f t="shared" si="81"/>
        <v>-1.9479361075927792E-2</v>
      </c>
      <c r="V254" s="382">
        <f t="shared" si="82"/>
        <v>50.03741935511492</v>
      </c>
      <c r="W254" s="400"/>
      <c r="X254" s="157">
        <f t="shared" si="83"/>
        <v>44436</v>
      </c>
      <c r="Y254" s="383">
        <f t="shared" si="84"/>
        <v>49.896000000000001</v>
      </c>
      <c r="Z254" s="383">
        <f t="shared" si="85"/>
        <v>50.817631530334047</v>
      </c>
      <c r="AA254" s="384">
        <f t="shared" si="86"/>
        <v>54.719422339459022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7.1305409346606605E-2</v>
      </c>
      <c r="AD254" s="230">
        <f>(INDEX(Models!$BJ254:$BT254,,AH254)*(1-AF254)+INDEX(Models!$BJ254:$BT254,,AH254+1)*AF254-ERP_i)*AE254*Ramure*Pc/MaxiM</f>
        <v>2.8423423033025581E-4</v>
      </c>
      <c r="AE254" s="304">
        <f t="shared" si="88"/>
        <v>0.6</v>
      </c>
      <c r="AF254" s="177">
        <f t="shared" si="89"/>
        <v>0.98052063892407215</v>
      </c>
      <c r="AG254" s="799">
        <f t="shared" si="95"/>
        <v>-1</v>
      </c>
      <c r="AH254" s="176">
        <f t="shared" si="90"/>
        <v>5</v>
      </c>
      <c r="AI254" s="224">
        <f t="shared" si="91"/>
        <v>-1.9479361075927792E-2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49.447000000000003</v>
      </c>
      <c r="C255" s="388"/>
      <c r="D255" s="391">
        <f t="shared" si="74"/>
        <v>50.361303191594672</v>
      </c>
      <c r="E255" s="383">
        <f t="shared" si="96"/>
        <v>54.232261865237945</v>
      </c>
      <c r="F255" s="383">
        <f t="shared" si="75"/>
        <v>54.247939934538053</v>
      </c>
      <c r="G255" s="110">
        <f t="shared" si="97"/>
        <v>0.99228724962962722</v>
      </c>
      <c r="H255" s="412" t="b">
        <f>Wh_hp&gt;='2020'!Maxi_hp</f>
        <v>1</v>
      </c>
      <c r="I255" s="379">
        <f>IF(H255,Wh_hp,'2020'!Maxi_hp)</f>
        <v>54.247939934538053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1.8154875542364168E-2</v>
      </c>
      <c r="M255" s="832"/>
      <c r="N255" s="832"/>
      <c r="O255" s="48">
        <f>IF(t&lt;Tnet,'2020'!Resal+('2020'!Salim-'2020'!Resal)*(1-EXP(('2020'!Tnet-t)/('2020'!Tau_j))),Resal+(Salim-Resal)*(1-EXP((Tnet-t)/(Tau_j))))*Salcycl</f>
        <v>7.1377415223105409E-2</v>
      </c>
      <c r="P255" s="169">
        <f>(INDEX(Models!$BJ255:$BT255,,T255)*(1-R255)+INDEX(Models!$BJ255:$BT255,,T255+1)*R255-ERP_i)*Q255*Ramure*Pc/MaxiM</f>
        <v>2.9222612031174839E-4</v>
      </c>
      <c r="Q255" s="304">
        <f t="shared" si="77"/>
        <v>0.6</v>
      </c>
      <c r="R255" s="177">
        <f t="shared" si="78"/>
        <v>0.98124867862636678</v>
      </c>
      <c r="S255" s="799">
        <f t="shared" si="79"/>
        <v>-1</v>
      </c>
      <c r="T255" s="176">
        <f t="shared" si="80"/>
        <v>5</v>
      </c>
      <c r="U255" s="250">
        <f t="shared" si="81"/>
        <v>-1.8751321373633167E-2</v>
      </c>
      <c r="V255" s="382">
        <f t="shared" si="82"/>
        <v>49.831176232930183</v>
      </c>
      <c r="W255" s="400"/>
      <c r="X255" s="157">
        <f t="shared" si="83"/>
        <v>44437</v>
      </c>
      <c r="Y255" s="383">
        <f t="shared" si="84"/>
        <v>49.447000000000003</v>
      </c>
      <c r="Z255" s="383">
        <f t="shared" si="85"/>
        <v>50.361303191594672</v>
      </c>
      <c r="AA255" s="384">
        <f t="shared" si="86"/>
        <v>54.232261865237945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7.1377415223105409E-2</v>
      </c>
      <c r="AD255" s="230">
        <f>(INDEX(Models!$BJ255:$BT255,,AH255)*(1-AF255)+INDEX(Models!$BJ255:$BT255,,AH255+1)*AF255-ERP_i)*AE255*Ramure*Pc/MaxiM</f>
        <v>2.9222612031174839E-4</v>
      </c>
      <c r="AE255" s="304">
        <f t="shared" si="88"/>
        <v>0.6</v>
      </c>
      <c r="AF255" s="177">
        <f t="shared" si="89"/>
        <v>0.98124867862636678</v>
      </c>
      <c r="AG255" s="799">
        <f t="shared" si="95"/>
        <v>-1</v>
      </c>
      <c r="AH255" s="176">
        <f t="shared" si="90"/>
        <v>5</v>
      </c>
      <c r="AI255" s="224">
        <f t="shared" si="91"/>
        <v>-1.8751321373633167E-2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48.219000000000001</v>
      </c>
      <c r="C256" s="388"/>
      <c r="D256" s="391">
        <f t="shared" si="74"/>
        <v>49.111537983632033</v>
      </c>
      <c r="E256" s="383">
        <f t="shared" si="96"/>
        <v>52.890513668602793</v>
      </c>
      <c r="F256" s="383">
        <f t="shared" si="75"/>
        <v>52.905760781813107</v>
      </c>
      <c r="G256" s="110">
        <f t="shared" si="97"/>
        <v>0.97171987884632438</v>
      </c>
      <c r="H256" s="412" t="b">
        <f>Wh_hp&gt;='2020'!Maxi_hp</f>
        <v>1</v>
      </c>
      <c r="I256" s="379">
        <f>IF(H256,Wh_hp,'2020'!Maxi_hp)</f>
        <v>52.905760781813107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1.8173692380179518E-2</v>
      </c>
      <c r="M256" s="832"/>
      <c r="N256" s="832"/>
      <c r="O256" s="48">
        <f>IF(t&lt;Tnet,'2020'!Resal+('2020'!Salim-'2020'!Resal)*(1-EXP(('2020'!Tnet-t)/('2020'!Tau_j))),Resal+(Salim-Resal)*(1-EXP((Tnet-t)/(Tau_j))))*Salcycl</f>
        <v>7.144902597559874E-2</v>
      </c>
      <c r="P256" s="169">
        <f>(INDEX(Models!$BJ256:$BT256,,T256)*(1-R256)+INDEX(Models!$BJ256:$BT256,,T256+1)*R256-ERP_i)*Q256*Ramure*Pc/MaxiM</f>
        <v>3.0032181391355107E-4</v>
      </c>
      <c r="Q256" s="304">
        <f t="shared" si="77"/>
        <v>0.6</v>
      </c>
      <c r="R256" s="177">
        <f t="shared" si="78"/>
        <v>0.98194947618754158</v>
      </c>
      <c r="S256" s="799">
        <f t="shared" si="79"/>
        <v>-1</v>
      </c>
      <c r="T256" s="176">
        <f t="shared" si="80"/>
        <v>5</v>
      </c>
      <c r="U256" s="250">
        <f t="shared" si="81"/>
        <v>-1.8050523812458474E-2</v>
      </c>
      <c r="V256" s="382">
        <f t="shared" si="82"/>
        <v>49.621723380654814</v>
      </c>
      <c r="W256" s="400"/>
      <c r="X256" s="157">
        <f t="shared" si="83"/>
        <v>44438</v>
      </c>
      <c r="Y256" s="383">
        <f t="shared" si="84"/>
        <v>48.219000000000001</v>
      </c>
      <c r="Z256" s="383">
        <f t="shared" si="85"/>
        <v>49.111537983632033</v>
      </c>
      <c r="AA256" s="384">
        <f t="shared" si="86"/>
        <v>52.890513668602793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7.144902597559874E-2</v>
      </c>
      <c r="AD256" s="230">
        <f>(INDEX(Models!$BJ256:$BT256,,AH256)*(1-AF256)+INDEX(Models!$BJ256:$BT256,,AH256+1)*AF256-ERP_i)*AE256*Ramure*Pc/MaxiM</f>
        <v>3.0032181391355107E-4</v>
      </c>
      <c r="AE256" s="304">
        <f t="shared" si="88"/>
        <v>0.6</v>
      </c>
      <c r="AF256" s="177">
        <f t="shared" si="89"/>
        <v>0.98194947618754158</v>
      </c>
      <c r="AG256" s="799">
        <f t="shared" si="95"/>
        <v>-1</v>
      </c>
      <c r="AH256" s="176">
        <f t="shared" si="90"/>
        <v>5</v>
      </c>
      <c r="AI256" s="224">
        <f t="shared" si="91"/>
        <v>-1.8050523812458474E-2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47.78</v>
      </c>
      <c r="C257" s="388"/>
      <c r="D257" s="391">
        <f t="shared" si="74"/>
        <v>48.665344714770647</v>
      </c>
      <c r="E257" s="383">
        <f t="shared" si="96"/>
        <v>52.414006441386285</v>
      </c>
      <c r="F257" s="383">
        <f t="shared" si="75"/>
        <v>52.429420207764473</v>
      </c>
      <c r="G257" s="110">
        <f t="shared" si="97"/>
        <v>0.96701502301611841</v>
      </c>
      <c r="H257" s="412" t="b">
        <f>Wh_hp&gt;='2020'!Maxi_hp</f>
        <v>1</v>
      </c>
      <c r="I257" s="379">
        <f>IF(H257,Wh_hp,'2020'!Maxi_hp)</f>
        <v>52.429420207764473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1.8192508857374445E-2</v>
      </c>
      <c r="M257" s="832"/>
      <c r="N257" s="832"/>
      <c r="O257" s="48">
        <f>IF(t&lt;Tnet,'2020'!Resal+('2020'!Salim-'2020'!Resal)*(1-EXP(('2020'!Tnet-t)/('2020'!Tau_j))),Resal+(Salim-Resal)*(1-EXP((Tnet-t)/(Tau_j))))*Salcycl</f>
        <v>7.1520228677952769E-2</v>
      </c>
      <c r="P257" s="169">
        <f>(INDEX(Models!$BJ257:$BT257,,T257)*(1-R257)+INDEX(Models!$BJ257:$BT257,,T257+1)*R257-ERP_i)*Q257*Ramure*Pc/MaxiM</f>
        <v>3.0852260474848359E-4</v>
      </c>
      <c r="Q257" s="304">
        <f t="shared" si="77"/>
        <v>0.6</v>
      </c>
      <c r="R257" s="177">
        <f t="shared" si="78"/>
        <v>0.98262397337724172</v>
      </c>
      <c r="S257" s="799">
        <f t="shared" si="79"/>
        <v>-1</v>
      </c>
      <c r="T257" s="176">
        <f t="shared" si="80"/>
        <v>5</v>
      </c>
      <c r="U257" s="250">
        <f t="shared" si="81"/>
        <v>-1.7376026622758278E-2</v>
      </c>
      <c r="V257" s="382">
        <f t="shared" si="82"/>
        <v>49.409062246436015</v>
      </c>
      <c r="W257" s="400"/>
      <c r="X257" s="157">
        <f t="shared" si="83"/>
        <v>44439</v>
      </c>
      <c r="Y257" s="383">
        <f t="shared" si="84"/>
        <v>47.78</v>
      </c>
      <c r="Z257" s="383">
        <f t="shared" si="85"/>
        <v>48.665344714770647</v>
      </c>
      <c r="AA257" s="384">
        <f t="shared" si="86"/>
        <v>52.414006441386285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7.1520228677952769E-2</v>
      </c>
      <c r="AD257" s="230">
        <f>(INDEX(Models!$BJ257:$BT257,,AH257)*(1-AF257)+INDEX(Models!$BJ257:$BT257,,AH257+1)*AF257-ERP_i)*AE257*Ramure*Pc/MaxiM</f>
        <v>3.0852260474848359E-4</v>
      </c>
      <c r="AE257" s="304">
        <f t="shared" si="88"/>
        <v>0.6</v>
      </c>
      <c r="AF257" s="177">
        <f t="shared" si="89"/>
        <v>0.98262397337724172</v>
      </c>
      <c r="AG257" s="799">
        <f t="shared" si="95"/>
        <v>-1</v>
      </c>
      <c r="AH257" s="176">
        <f t="shared" si="90"/>
        <v>5</v>
      </c>
      <c r="AI257" s="224">
        <f t="shared" si="91"/>
        <v>-1.7376026622758278E-2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33.936</v>
      </c>
      <c r="C258" s="388"/>
      <c r="D258" s="391">
        <f t="shared" si="74"/>
        <v>34.56548324831693</v>
      </c>
      <c r="E258" s="383">
        <f t="shared" si="96"/>
        <v>37.230879512603806</v>
      </c>
      <c r="F258" s="383">
        <f t="shared" si="75"/>
        <v>37.237450144282334</v>
      </c>
      <c r="G258" s="110">
        <f t="shared" si="97"/>
        <v>0.68975466626805548</v>
      </c>
      <c r="H258" s="412" t="b">
        <f>Wh_hp&gt;='2020'!Maxi_hp</f>
        <v>0</v>
      </c>
      <c r="I258" s="379">
        <f>IF(H258,Wh_hp,'2020'!Maxi_hp)</f>
        <v>47.872949450269061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1.8211324973955945E-2</v>
      </c>
      <c r="M258" s="832"/>
      <c r="N258" s="832"/>
      <c r="O258" s="48">
        <f>IF(t&lt;Tnet,'2020'!Resal+('2020'!Salim-'2020'!Resal)*(1-EXP(('2020'!Tnet-t)/('2020'!Tau_j))),Resal+(Salim-Resal)*(1-EXP((Tnet-t)/(Tau_j))))*Salcycl</f>
        <v>7.1591009913815201E-2</v>
      </c>
      <c r="P258" s="169">
        <f>(INDEX(Models!$BJ258:$BT258,,T258)*(1-R258)+INDEX(Models!$BJ258:$BT258,,T258+1)*R258-ERP_i)*Q258*Ramure*Pc/MaxiM</f>
        <v>3.1682977814748706E-4</v>
      </c>
      <c r="Q258" s="304">
        <f t="shared" si="77"/>
        <v>0.6</v>
      </c>
      <c r="R258" s="177">
        <f t="shared" si="78"/>
        <v>0.98327308535986324</v>
      </c>
      <c r="S258" s="799">
        <f t="shared" si="79"/>
        <v>-1</v>
      </c>
      <c r="T258" s="176">
        <f t="shared" si="80"/>
        <v>5</v>
      </c>
      <c r="U258" s="250">
        <f t="shared" si="81"/>
        <v>-1.6726914640136814E-2</v>
      </c>
      <c r="V258" s="382">
        <f t="shared" si="82"/>
        <v>49.193194285850829</v>
      </c>
      <c r="W258" s="400"/>
      <c r="X258" s="157">
        <f t="shared" si="83"/>
        <v>44440</v>
      </c>
      <c r="Y258" s="383">
        <f t="shared" si="84"/>
        <v>33.936</v>
      </c>
      <c r="Z258" s="383">
        <f t="shared" si="85"/>
        <v>34.56548324831693</v>
      </c>
      <c r="AA258" s="384">
        <f t="shared" si="86"/>
        <v>37.230879512603806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7.1591009913815201E-2</v>
      </c>
      <c r="AD258" s="230">
        <f>(INDEX(Models!$BJ258:$BT258,,AH258)*(1-AF258)+INDEX(Models!$BJ258:$BT258,,AH258+1)*AF258-ERP_i)*AE258*Ramure*Pc/MaxiM</f>
        <v>3.1682977814748706E-4</v>
      </c>
      <c r="AE258" s="304">
        <f t="shared" si="88"/>
        <v>0.6</v>
      </c>
      <c r="AF258" s="177">
        <f t="shared" si="89"/>
        <v>0.98327308535986324</v>
      </c>
      <c r="AG258" s="799">
        <f t="shared" si="95"/>
        <v>-1</v>
      </c>
      <c r="AH258" s="176">
        <f t="shared" si="90"/>
        <v>5</v>
      </c>
      <c r="AI258" s="224">
        <f t="shared" si="91"/>
        <v>-1.6726914640136814E-2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18.423000000000002</v>
      </c>
      <c r="C259" s="388"/>
      <c r="D259" s="391">
        <f t="shared" si="74"/>
        <v>18.765090235808643</v>
      </c>
      <c r="E259" s="383">
        <f t="shared" si="96"/>
        <v>20.213626085590626</v>
      </c>
      <c r="F259" s="383">
        <f t="shared" si="75"/>
        <v>20.214341574255233</v>
      </c>
      <c r="G259" s="110">
        <f t="shared" si="97"/>
        <v>0.3760692290212207</v>
      </c>
      <c r="H259" s="412" t="b">
        <f>Wh_hp&gt;='2020'!Maxi_hp</f>
        <v>0</v>
      </c>
      <c r="I259" s="379">
        <f>IF(H259,Wh_hp,'2020'!Maxi_hp)</f>
        <v>52.448101483562709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1.8230140729930788E-2</v>
      </c>
      <c r="M259" s="832"/>
      <c r="N259" s="832"/>
      <c r="O259" s="48">
        <f>IF(t&lt;Tnet,'2020'!Resal+('2020'!Salim-'2020'!Resal)*(1-EXP(('2020'!Tnet-t)/('2020'!Tau_j))),Resal+(Salim-Resal)*(1-EXP((Tnet-t)/(Tau_j))))*Salcycl</f>
        <v>7.166135574332097E-2</v>
      </c>
      <c r="P259" s="169">
        <f>(INDEX(Models!$BJ259:$BT259,,T259)*(1-R259)+INDEX(Models!$BJ259:$BT259,,T259+1)*R259-ERP_i)*Q259*Ramure*Pc/MaxiM</f>
        <v>3.2524460667538043E-4</v>
      </c>
      <c r="Q259" s="304">
        <f t="shared" si="77"/>
        <v>0.6</v>
      </c>
      <c r="R259" s="177">
        <f t="shared" si="78"/>
        <v>0.98389770097406981</v>
      </c>
      <c r="S259" s="799">
        <f t="shared" si="79"/>
        <v>-1</v>
      </c>
      <c r="T259" s="176">
        <f t="shared" si="80"/>
        <v>5</v>
      </c>
      <c r="U259" s="250">
        <f t="shared" si="81"/>
        <v>-1.6102299025930189E-2</v>
      </c>
      <c r="V259" s="382">
        <f t="shared" si="82"/>
        <v>48.974120965657242</v>
      </c>
      <c r="W259" s="400"/>
      <c r="X259" s="157">
        <f t="shared" si="83"/>
        <v>44441</v>
      </c>
      <c r="Y259" s="383">
        <f t="shared" si="84"/>
        <v>18.423000000000002</v>
      </c>
      <c r="Z259" s="383">
        <f t="shared" si="85"/>
        <v>18.765090235808643</v>
      </c>
      <c r="AA259" s="384">
        <f t="shared" si="86"/>
        <v>20.213626085590626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7.166135574332097E-2</v>
      </c>
      <c r="AD259" s="230">
        <f>(INDEX(Models!$BJ259:$BT259,,AH259)*(1-AF259)+INDEX(Models!$BJ259:$BT259,,AH259+1)*AF259-ERP_i)*AE259*Ramure*Pc/MaxiM</f>
        <v>3.2524460667538043E-4</v>
      </c>
      <c r="AE259" s="304">
        <f t="shared" si="88"/>
        <v>0.6</v>
      </c>
      <c r="AF259" s="177">
        <f t="shared" si="89"/>
        <v>0.98389770097406981</v>
      </c>
      <c r="AG259" s="799">
        <f t="shared" si="95"/>
        <v>-1</v>
      </c>
      <c r="AH259" s="176">
        <f t="shared" si="90"/>
        <v>5</v>
      </c>
      <c r="AI259" s="224">
        <f t="shared" si="91"/>
        <v>-1.6102299025930189E-2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32.734000000000002</v>
      </c>
      <c r="C260" s="388"/>
      <c r="D260" s="391">
        <f t="shared" si="74"/>
        <v>33.342465184257051</v>
      </c>
      <c r="E260" s="383">
        <f t="shared" si="96"/>
        <v>35.91897846842064</v>
      </c>
      <c r="F260" s="383">
        <f t="shared" si="75"/>
        <v>35.925341120328966</v>
      </c>
      <c r="G260" s="110">
        <f t="shared" si="97"/>
        <v>0.67133606513677313</v>
      </c>
      <c r="H260" s="412" t="b">
        <f>Wh_hp&gt;='2020'!Maxi_hp</f>
        <v>0</v>
      </c>
      <c r="I260" s="379">
        <f>IF(H260,Wh_hp,'2020'!Maxi_hp)</f>
        <v>55.043508007448153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1.8248956125305971E-2</v>
      </c>
      <c r="M260" s="832"/>
      <c r="N260" s="832"/>
      <c r="O260" s="48">
        <f>IF(t&lt;Tnet,'2020'!Resal+('2020'!Salim-'2020'!Resal)*(1-EXP(('2020'!Tnet-t)/('2020'!Tau_j))),Resal+(Salim-Resal)*(1-EXP((Tnet-t)/(Tau_j))))*Salcycl</f>
        <v>7.1731251667661311E-2</v>
      </c>
      <c r="P260" s="169">
        <f>(INDEX(Models!$BJ260:$BT260,,T260)*(1-R260)+INDEX(Models!$BJ260:$BT260,,T260+1)*R260-ERP_i)*Q260*Ramure*Pc/MaxiM</f>
        <v>3.337683451868224E-4</v>
      </c>
      <c r="Q260" s="304">
        <f t="shared" si="77"/>
        <v>0.6</v>
      </c>
      <c r="R260" s="177">
        <f t="shared" si="78"/>
        <v>0.98449868305269528</v>
      </c>
      <c r="S260" s="799">
        <f t="shared" si="79"/>
        <v>-1</v>
      </c>
      <c r="T260" s="176">
        <f t="shared" si="80"/>
        <v>5</v>
      </c>
      <c r="U260" s="250">
        <f t="shared" si="81"/>
        <v>-1.5501316947304722E-2</v>
      </c>
      <c r="V260" s="382">
        <f t="shared" si="82"/>
        <v>48.751843762460005</v>
      </c>
      <c r="W260" s="400"/>
      <c r="X260" s="157">
        <f t="shared" si="83"/>
        <v>44442</v>
      </c>
      <c r="Y260" s="383">
        <f t="shared" si="84"/>
        <v>32.734000000000002</v>
      </c>
      <c r="Z260" s="383">
        <f t="shared" si="85"/>
        <v>33.342465184257051</v>
      </c>
      <c r="AA260" s="384">
        <f t="shared" si="86"/>
        <v>35.91897846842064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7.1731251667661311E-2</v>
      </c>
      <c r="AD260" s="230">
        <f>(INDEX(Models!$BJ260:$BT260,,AH260)*(1-AF260)+INDEX(Models!$BJ260:$BT260,,AH260+1)*AF260-ERP_i)*AE260*Ramure*Pc/MaxiM</f>
        <v>3.337683451868224E-4</v>
      </c>
      <c r="AE260" s="304">
        <f t="shared" si="88"/>
        <v>0.6</v>
      </c>
      <c r="AF260" s="177">
        <f t="shared" si="89"/>
        <v>0.98449868305269528</v>
      </c>
      <c r="AG260" s="799">
        <f t="shared" si="95"/>
        <v>-1</v>
      </c>
      <c r="AH260" s="176">
        <f t="shared" si="90"/>
        <v>5</v>
      </c>
      <c r="AI260" s="224">
        <f t="shared" si="91"/>
        <v>-1.5501316947304722E-2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40.640999999999998</v>
      </c>
      <c r="C261" s="388"/>
      <c r="D261" s="391">
        <f t="shared" si="74"/>
        <v>41.397235219652977</v>
      </c>
      <c r="E261" s="383">
        <f t="shared" si="96"/>
        <v>44.599510518150566</v>
      </c>
      <c r="F261" s="383">
        <f t="shared" si="75"/>
        <v>44.611239603025219</v>
      </c>
      <c r="G261" s="110">
        <f t="shared" si="97"/>
        <v>0.8374369173641969</v>
      </c>
      <c r="H261" s="412" t="b">
        <f>Wh_hp&gt;='2020'!Maxi_hp</f>
        <v>0</v>
      </c>
      <c r="I261" s="379">
        <f>IF(H261,Wh_hp,'2020'!Maxi_hp)</f>
        <v>53.392231312994895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1.8267771160088486E-2</v>
      </c>
      <c r="M261" s="832"/>
      <c r="N261" s="832"/>
      <c r="O261" s="48">
        <f>IF(t&lt;Tnet,'2020'!Resal+('2020'!Salim-'2020'!Resal)*(1-EXP(('2020'!Tnet-t)/('2020'!Tau_j))),Resal+(Salim-Resal)*(1-EXP((Tnet-t)/(Tau_j))))*Salcycl</f>
        <v>7.180068259256725E-2</v>
      </c>
      <c r="P261" s="169">
        <f>(INDEX(Models!$BJ261:$BT261,,T261)*(1-R261)+INDEX(Models!$BJ261:$BT261,,T261+1)*R261-ERP_i)*Q261*Ramure*Pc/MaxiM</f>
        <v>3.4240222535741253E-4</v>
      </c>
      <c r="Q261" s="304">
        <f t="shared" si="77"/>
        <v>0.6</v>
      </c>
      <c r="R261" s="177">
        <f t="shared" si="78"/>
        <v>0.98507686877845946</v>
      </c>
      <c r="S261" s="799">
        <f t="shared" si="79"/>
        <v>-1</v>
      </c>
      <c r="T261" s="176">
        <f t="shared" si="80"/>
        <v>5</v>
      </c>
      <c r="U261" s="250">
        <f t="shared" si="81"/>
        <v>-1.4923131221540487E-2</v>
      </c>
      <c r="V261" s="382">
        <f t="shared" si="82"/>
        <v>48.526364168549165</v>
      </c>
      <c r="W261" s="400"/>
      <c r="X261" s="157">
        <f t="shared" si="83"/>
        <v>44443</v>
      </c>
      <c r="Y261" s="383">
        <f t="shared" si="84"/>
        <v>40.640999999999998</v>
      </c>
      <c r="Z261" s="383">
        <f t="shared" si="85"/>
        <v>41.397235219652977</v>
      </c>
      <c r="AA261" s="384">
        <f t="shared" si="86"/>
        <v>44.599510518150566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7.180068259256725E-2</v>
      </c>
      <c r="AD261" s="230">
        <f>(INDEX(Models!$BJ261:$BT261,,AH261)*(1-AF261)+INDEX(Models!$BJ261:$BT261,,AH261+1)*AF261-ERP_i)*AE261*Ramure*Pc/MaxiM</f>
        <v>3.4240222535741253E-4</v>
      </c>
      <c r="AE261" s="304">
        <f t="shared" si="88"/>
        <v>0.6</v>
      </c>
      <c r="AF261" s="177">
        <f t="shared" si="89"/>
        <v>0.98507686877845946</v>
      </c>
      <c r="AG261" s="799">
        <f t="shared" si="95"/>
        <v>-1</v>
      </c>
      <c r="AH261" s="176">
        <f t="shared" si="90"/>
        <v>5</v>
      </c>
      <c r="AI261" s="224">
        <f t="shared" si="91"/>
        <v>-1.4923131221540487E-2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42.536000000000001</v>
      </c>
      <c r="C262" s="388"/>
      <c r="D262" s="391">
        <f t="shared" si="74"/>
        <v>43.328327173921913</v>
      </c>
      <c r="E262" s="383">
        <f t="shared" si="96"/>
        <v>46.683449550576903</v>
      </c>
      <c r="F262" s="383">
        <f t="shared" si="75"/>
        <v>46.697060787749919</v>
      </c>
      <c r="G262" s="110">
        <f t="shared" si="97"/>
        <v>0.88065219651535631</v>
      </c>
      <c r="H262" s="412" t="b">
        <f>Wh_hp&gt;='2020'!Maxi_hp</f>
        <v>0</v>
      </c>
      <c r="I262" s="379">
        <f>IF(H262,Wh_hp,'2020'!Maxi_hp)</f>
        <v>53.427461866974461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1.8286585834285107E-2</v>
      </c>
      <c r="M262" s="832"/>
      <c r="N262" s="832"/>
      <c r="O262" s="48">
        <f>IF(t&lt;Tnet,'2020'!Resal+('2020'!Salim-'2020'!Resal)*(1-EXP(('2020'!Tnet-t)/('2020'!Tau_j))),Resal+(Salim-Resal)*(1-EXP((Tnet-t)/(Tau_j))))*Salcycl</f>
        <v>7.1869632791810967E-2</v>
      </c>
      <c r="P262" s="169">
        <f>(INDEX(Models!$BJ262:$BT262,,T262)*(1-R262)+INDEX(Models!$BJ262:$BT262,,T262+1)*R262-ERP_i)*Q262*Ramure*Pc/MaxiM</f>
        <v>3.5135858485808787E-4</v>
      </c>
      <c r="Q262" s="304">
        <f t="shared" si="77"/>
        <v>0.6</v>
      </c>
      <c r="R262" s="177">
        <f t="shared" si="78"/>
        <v>0.98563307007123147</v>
      </c>
      <c r="S262" s="799">
        <f t="shared" si="79"/>
        <v>-1</v>
      </c>
      <c r="T262" s="176">
        <f t="shared" si="80"/>
        <v>5</v>
      </c>
      <c r="U262" s="250">
        <f t="shared" si="81"/>
        <v>-1.436692992876859E-2</v>
      </c>
      <c r="V262" s="382">
        <f t="shared" si="82"/>
        <v>48.297673485695775</v>
      </c>
      <c r="W262" s="400"/>
      <c r="X262" s="157">
        <f t="shared" si="83"/>
        <v>44444</v>
      </c>
      <c r="Y262" s="383">
        <f t="shared" si="84"/>
        <v>42.536000000000001</v>
      </c>
      <c r="Z262" s="383">
        <f t="shared" si="85"/>
        <v>43.328327173921913</v>
      </c>
      <c r="AA262" s="384">
        <f t="shared" si="86"/>
        <v>46.683449550576903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7.1869632791810967E-2</v>
      </c>
      <c r="AD262" s="230">
        <f>(INDEX(Models!$BJ262:$BT262,,AH262)*(1-AF262)+INDEX(Models!$BJ262:$BT262,,AH262+1)*AF262-ERP_i)*AE262*Ramure*Pc/MaxiM</f>
        <v>3.5135858485808787E-4</v>
      </c>
      <c r="AE262" s="304">
        <f t="shared" si="88"/>
        <v>0.6</v>
      </c>
      <c r="AF262" s="177">
        <f t="shared" si="89"/>
        <v>0.98563307007123147</v>
      </c>
      <c r="AG262" s="799">
        <f t="shared" si="95"/>
        <v>-1</v>
      </c>
      <c r="AH262" s="176">
        <f t="shared" si="90"/>
        <v>5</v>
      </c>
      <c r="AI262" s="224">
        <f t="shared" si="91"/>
        <v>-1.436692992876859E-2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45.518999999999998</v>
      </c>
      <c r="C263" s="388"/>
      <c r="D263" s="391">
        <f t="shared" si="74"/>
        <v>46.367780781169543</v>
      </c>
      <c r="E263" s="383">
        <f t="shared" si="96"/>
        <v>49.961947662435605</v>
      </c>
      <c r="F263" s="383">
        <f t="shared" si="75"/>
        <v>49.978606623948821</v>
      </c>
      <c r="G263" s="110">
        <f t="shared" si="97"/>
        <v>0.94698894774780773</v>
      </c>
      <c r="H263" s="412" t="b">
        <f>Wh_hp&gt;='2020'!Maxi_hp</f>
        <v>0</v>
      </c>
      <c r="I263" s="379">
        <f>IF(H263,Wh_hp,'2020'!Maxi_hp)</f>
        <v>54.427802265876565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1.8305400147902717E-2</v>
      </c>
      <c r="M263" s="832"/>
      <c r="N263" s="832"/>
      <c r="O263" s="48">
        <f>IF(t&lt;Tnet,'2020'!Resal+('2020'!Salim-'2020'!Resal)*(1-EXP(('2020'!Tnet-t)/('2020'!Tau_j))),Resal+(Salim-Resal)*(1-EXP((Tnet-t)/(Tau_j))))*Salcycl</f>
        <v>7.1938085871867952E-2</v>
      </c>
      <c r="P263" s="169">
        <f>(INDEX(Models!$BJ263:$BT263,,T263)*(1-R263)+INDEX(Models!$BJ263:$BT263,,T263+1)*R263-ERP_i)*Q263*Ramure*Pc/MaxiM</f>
        <v>3.6061816699907499E-4</v>
      </c>
      <c r="Q263" s="304">
        <f t="shared" si="77"/>
        <v>0.6</v>
      </c>
      <c r="R263" s="177">
        <f t="shared" si="78"/>
        <v>0.9861680740028631</v>
      </c>
      <c r="S263" s="799">
        <f t="shared" si="79"/>
        <v>-1</v>
      </c>
      <c r="T263" s="176">
        <f t="shared" si="80"/>
        <v>5</v>
      </c>
      <c r="U263" s="250">
        <f t="shared" si="81"/>
        <v>-1.3831925997136951E-2</v>
      </c>
      <c r="V263" s="382">
        <f t="shared" si="82"/>
        <v>48.06577436073723</v>
      </c>
      <c r="W263" s="400"/>
      <c r="X263" s="157">
        <f t="shared" si="83"/>
        <v>44445</v>
      </c>
      <c r="Y263" s="383">
        <f t="shared" si="84"/>
        <v>45.518999999999998</v>
      </c>
      <c r="Z263" s="383">
        <f t="shared" si="85"/>
        <v>46.367780781169543</v>
      </c>
      <c r="AA263" s="384">
        <f t="shared" si="86"/>
        <v>49.961947662435605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7.1938085871867952E-2</v>
      </c>
      <c r="AD263" s="230">
        <f>(INDEX(Models!$BJ263:$BT263,,AH263)*(1-AF263)+INDEX(Models!$BJ263:$BT263,,AH263+1)*AF263-ERP_i)*AE263*Ramure*Pc/MaxiM</f>
        <v>3.6061816699907499E-4</v>
      </c>
      <c r="AE263" s="304">
        <f t="shared" si="88"/>
        <v>0.6</v>
      </c>
      <c r="AF263" s="177">
        <f t="shared" si="89"/>
        <v>0.9861680740028631</v>
      </c>
      <c r="AG263" s="799">
        <f t="shared" si="95"/>
        <v>-1</v>
      </c>
      <c r="AH263" s="176">
        <f t="shared" si="90"/>
        <v>5</v>
      </c>
      <c r="AI263" s="224">
        <f t="shared" si="91"/>
        <v>-1.3831925997136951E-2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35.32</v>
      </c>
      <c r="C264" s="388"/>
      <c r="D264" s="391">
        <f t="shared" si="74"/>
        <v>35.979292254471531</v>
      </c>
      <c r="E264" s="383">
        <f t="shared" si="96"/>
        <v>38.77104077572131</v>
      </c>
      <c r="F264" s="383">
        <f t="shared" si="75"/>
        <v>38.780032370524737</v>
      </c>
      <c r="G264" s="110">
        <f t="shared" si="97"/>
        <v>0.73833618718784777</v>
      </c>
      <c r="H264" s="412" t="b">
        <f>Wh_hp&gt;='2020'!Maxi_hp</f>
        <v>0</v>
      </c>
      <c r="I264" s="379">
        <f>IF(H264,Wh_hp,'2020'!Maxi_hp)</f>
        <v>49.351657913110358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1.8324214100948422E-2</v>
      </c>
      <c r="M264" s="832"/>
      <c r="N264" s="832"/>
      <c r="O264" s="48">
        <f>IF(t&lt;Tnet,'2020'!Resal+('2020'!Salim-'2020'!Resal)*(1-EXP(('2020'!Tnet-t)/('2020'!Tau_j))),Resal+(Salim-Resal)*(1-EXP((Tnet-t)/(Tau_j))))*Salcycl</f>
        <v>7.2006024738907534E-2</v>
      </c>
      <c r="P264" s="169">
        <f>(INDEX(Models!$BJ264:$BT264,,T264)*(1-R264)+INDEX(Models!$BJ264:$BT264,,T264+1)*R264-ERP_i)*Q264*Ramure*Pc/MaxiM</f>
        <v>3.7018435638202282E-4</v>
      </c>
      <c r="Q264" s="304">
        <f t="shared" si="77"/>
        <v>0.6</v>
      </c>
      <c r="R264" s="177">
        <f t="shared" si="78"/>
        <v>0.9866826432359006</v>
      </c>
      <c r="S264" s="799">
        <f t="shared" si="79"/>
        <v>-1</v>
      </c>
      <c r="T264" s="176">
        <f t="shared" si="80"/>
        <v>5</v>
      </c>
      <c r="U264" s="250">
        <f t="shared" si="81"/>
        <v>-1.3317356764099342E-2</v>
      </c>
      <c r="V264" s="382">
        <f t="shared" si="82"/>
        <v>47.830668352664588</v>
      </c>
      <c r="W264" s="400"/>
      <c r="X264" s="157">
        <f t="shared" si="83"/>
        <v>44446</v>
      </c>
      <c r="Y264" s="383">
        <f t="shared" si="84"/>
        <v>35.32</v>
      </c>
      <c r="Z264" s="383">
        <f t="shared" si="85"/>
        <v>35.979292254471531</v>
      </c>
      <c r="AA264" s="384">
        <f t="shared" si="86"/>
        <v>38.77104077572131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7.2006024738907534E-2</v>
      </c>
      <c r="AD264" s="230">
        <f>(INDEX(Models!$BJ264:$BT264,,AH264)*(1-AF264)+INDEX(Models!$BJ264:$BT264,,AH264+1)*AF264-ERP_i)*AE264*Ramure*Pc/MaxiM</f>
        <v>3.7018435638202282E-4</v>
      </c>
      <c r="AE264" s="304">
        <f t="shared" si="88"/>
        <v>0.6</v>
      </c>
      <c r="AF264" s="177">
        <f t="shared" si="89"/>
        <v>0.9866826432359006</v>
      </c>
      <c r="AG264" s="799">
        <f t="shared" si="95"/>
        <v>-1</v>
      </c>
      <c r="AH264" s="176">
        <f t="shared" si="90"/>
        <v>5</v>
      </c>
      <c r="AI264" s="224">
        <f t="shared" si="91"/>
        <v>-1.3317356764099342E-2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29.911000000000001</v>
      </c>
      <c r="C265" s="388"/>
      <c r="D265" s="391">
        <f t="shared" si="74"/>
        <v>30.469910410475652</v>
      </c>
      <c r="E265" s="383">
        <f t="shared" si="96"/>
        <v>32.836553502294613</v>
      </c>
      <c r="F265" s="383">
        <f t="shared" si="75"/>
        <v>32.842410876943163</v>
      </c>
      <c r="G265" s="110">
        <f t="shared" si="97"/>
        <v>0.62835647056647925</v>
      </c>
      <c r="H265" s="412" t="b">
        <f>Wh_hp&gt;='2020'!Maxi_hp</f>
        <v>0</v>
      </c>
      <c r="I265" s="379">
        <f>IF(H265,Wh_hp,'2020'!Maxi_hp)</f>
        <v>48.219770599083176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1.8343027693428882E-2</v>
      </c>
      <c r="M265" s="832"/>
      <c r="N265" s="832"/>
      <c r="O265" s="48">
        <f>IF(t&lt;Tnet,'2020'!Resal+('2020'!Salim-'2020'!Resal)*(1-EXP(('2020'!Tnet-t)/('2020'!Tau_j))),Resal+(Salim-Resal)*(1-EXP((Tnet-t)/(Tau_j))))*Salcycl</f>
        <v>7.2073431569290067E-2</v>
      </c>
      <c r="P265" s="169">
        <f>(INDEX(Models!$BJ265:$BT265,,T265)*(1-R265)+INDEX(Models!$BJ265:$BT265,,T265+1)*R265-ERP_i)*Q265*Ramure*Pc/MaxiM</f>
        <v>3.8006052400771221E-4</v>
      </c>
      <c r="Q265" s="304">
        <f t="shared" si="77"/>
        <v>0.6</v>
      </c>
      <c r="R265" s="177">
        <f t="shared" si="78"/>
        <v>0.98717751648274654</v>
      </c>
      <c r="S265" s="799">
        <f t="shared" si="79"/>
        <v>-1</v>
      </c>
      <c r="T265" s="176">
        <f t="shared" si="80"/>
        <v>5</v>
      </c>
      <c r="U265" s="250">
        <f t="shared" si="81"/>
        <v>-1.2822483517253513E-2</v>
      </c>
      <c r="V265" s="382">
        <f t="shared" si="82"/>
        <v>47.592357042448242</v>
      </c>
      <c r="W265" s="400"/>
      <c r="X265" s="157">
        <f t="shared" si="83"/>
        <v>44447</v>
      </c>
      <c r="Y265" s="383">
        <f t="shared" si="84"/>
        <v>29.911000000000001</v>
      </c>
      <c r="Z265" s="383">
        <f t="shared" si="85"/>
        <v>30.469910410475652</v>
      </c>
      <c r="AA265" s="384">
        <f t="shared" si="86"/>
        <v>32.836553502294613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7.2073431569290067E-2</v>
      </c>
      <c r="AD265" s="230">
        <f>(INDEX(Models!$BJ265:$BT265,,AH265)*(1-AF265)+INDEX(Models!$BJ265:$BT265,,AH265+1)*AF265-ERP_i)*AE265*Ramure*Pc/MaxiM</f>
        <v>3.8006052400771221E-4</v>
      </c>
      <c r="AE265" s="304">
        <f t="shared" si="88"/>
        <v>0.6</v>
      </c>
      <c r="AF265" s="177">
        <f t="shared" si="89"/>
        <v>0.98717751648274654</v>
      </c>
      <c r="AG265" s="799">
        <f t="shared" si="95"/>
        <v>-1</v>
      </c>
      <c r="AH265" s="176">
        <f t="shared" si="90"/>
        <v>5</v>
      </c>
      <c r="AI265" s="224">
        <f t="shared" si="91"/>
        <v>-1.2822483517253513E-2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16.917000000000002</v>
      </c>
      <c r="C266" s="388"/>
      <c r="D266" s="391">
        <f t="shared" si="74"/>
        <v>17.233437640552793</v>
      </c>
      <c r="E266" s="383">
        <f t="shared" si="96"/>
        <v>18.573322468553069</v>
      </c>
      <c r="F266" s="383">
        <f t="shared" si="75"/>
        <v>18.573915489293192</v>
      </c>
      <c r="G266" s="110">
        <f t="shared" si="97"/>
        <v>0.35714123216408278</v>
      </c>
      <c r="H266" s="412" t="b">
        <f>Wh_hp&gt;='2020'!Maxi_hp</f>
        <v>0</v>
      </c>
      <c r="I266" s="379">
        <f>IF(H266,Wh_hp,'2020'!Maxi_hp)</f>
        <v>50.375328728188094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1.8361840925351203E-2</v>
      </c>
      <c r="M266" s="832"/>
      <c r="N266" s="832"/>
      <c r="O266" s="48">
        <f>IF(t&lt;Tnet,'2020'!Resal+('2020'!Salim-'2020'!Resal)*(1-EXP(('2020'!Tnet-t)/('2020'!Tau_j))),Resal+(Salim-Resal)*(1-EXP((Tnet-t)/(Tau_j))))*Salcycl</f>
        <v>7.2140287784744281E-2</v>
      </c>
      <c r="P266" s="169">
        <f>(INDEX(Models!$BJ266:$BT266,,T266)*(1-R266)+INDEX(Models!$BJ266:$BT266,,T266+1)*R266-ERP_i)*Q266*Ramure*Pc/MaxiM</f>
        <v>3.9025001880855072E-4</v>
      </c>
      <c r="Q266" s="304">
        <f t="shared" si="77"/>
        <v>0.6</v>
      </c>
      <c r="R266" s="177">
        <f t="shared" si="78"/>
        <v>0.98765340898210163</v>
      </c>
      <c r="S266" s="799">
        <f t="shared" si="79"/>
        <v>-1</v>
      </c>
      <c r="T266" s="176">
        <f t="shared" si="80"/>
        <v>5</v>
      </c>
      <c r="U266" s="250">
        <f t="shared" si="81"/>
        <v>-1.2346591017898312E-2</v>
      </c>
      <c r="V266" s="382">
        <f t="shared" si="82"/>
        <v>47.350842029091091</v>
      </c>
      <c r="W266" s="400"/>
      <c r="X266" s="157">
        <f t="shared" si="83"/>
        <v>44448</v>
      </c>
      <c r="Y266" s="383">
        <f t="shared" si="84"/>
        <v>16.917000000000002</v>
      </c>
      <c r="Z266" s="383">
        <f t="shared" si="85"/>
        <v>17.233437640552793</v>
      </c>
      <c r="AA266" s="384">
        <f t="shared" si="86"/>
        <v>18.573322468553069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7.2140287784744281E-2</v>
      </c>
      <c r="AD266" s="230">
        <f>(INDEX(Models!$BJ266:$BT266,,AH266)*(1-AF266)+INDEX(Models!$BJ266:$BT266,,AH266+1)*AF266-ERP_i)*AE266*Ramure*Pc/MaxiM</f>
        <v>3.9025001880855072E-4</v>
      </c>
      <c r="AE266" s="304">
        <f t="shared" si="88"/>
        <v>0.6</v>
      </c>
      <c r="AF266" s="177">
        <f t="shared" si="89"/>
        <v>0.98765340898210163</v>
      </c>
      <c r="AG266" s="799">
        <f t="shared" si="95"/>
        <v>-1</v>
      </c>
      <c r="AH266" s="176">
        <f t="shared" si="90"/>
        <v>5</v>
      </c>
      <c r="AI266" s="224">
        <f t="shared" si="91"/>
        <v>-1.2346591017898312E-2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36.262</v>
      </c>
      <c r="C267" s="388"/>
      <c r="D267" s="391">
        <f t="shared" si="74"/>
        <v>36.940999726884677</v>
      </c>
      <c r="E267" s="383">
        <f t="shared" si="96"/>
        <v>39.815974863583165</v>
      </c>
      <c r="F267" s="383">
        <f t="shared" si="75"/>
        <v>39.826686690986264</v>
      </c>
      <c r="G267" s="110">
        <f t="shared" si="97"/>
        <v>0.76969225579233347</v>
      </c>
      <c r="H267" s="412" t="b">
        <f>Wh_hp&gt;='2020'!Maxi_hp</f>
        <v>1</v>
      </c>
      <c r="I267" s="379">
        <f>IF(H267,Wh_hp,'2020'!Maxi_hp)</f>
        <v>39.826686690986264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1.8380653796722268E-2</v>
      </c>
      <c r="M267" s="832"/>
      <c r="N267" s="832"/>
      <c r="O267" s="48">
        <f>IF(t&lt;Tnet,'2020'!Resal+('2020'!Salim-'2020'!Resal)*(1-EXP(('2020'!Tnet-t)/('2020'!Tau_j))),Resal+(Salim-Resal)*(1-EXP((Tnet-t)/(Tau_j))))*Salcycl</f>
        <v>7.2206574033379267E-2</v>
      </c>
      <c r="P267" s="169">
        <f>(INDEX(Models!$BJ267:$BT267,,T267)*(1-R267)+INDEX(Models!$BJ267:$BT267,,T267+1)*R267-ERP_i)*Q267*Ramure*Pc/MaxiM</f>
        <v>4.0075615857064923E-4</v>
      </c>
      <c r="Q267" s="304">
        <f t="shared" si="77"/>
        <v>0.6</v>
      </c>
      <c r="R267" s="177">
        <f t="shared" si="78"/>
        <v>0.98811101298976656</v>
      </c>
      <c r="S267" s="799">
        <f t="shared" si="79"/>
        <v>-1</v>
      </c>
      <c r="T267" s="176">
        <f t="shared" si="80"/>
        <v>5</v>
      </c>
      <c r="U267" s="250">
        <f t="shared" si="81"/>
        <v>-1.1888987010233443E-2</v>
      </c>
      <c r="V267" s="382">
        <f t="shared" si="82"/>
        <v>47.106124931237332</v>
      </c>
      <c r="W267" s="400"/>
      <c r="X267" s="157">
        <f t="shared" si="83"/>
        <v>44449</v>
      </c>
      <c r="Y267" s="383">
        <f t="shared" si="84"/>
        <v>36.262</v>
      </c>
      <c r="Z267" s="383">
        <f t="shared" si="85"/>
        <v>36.940999726884677</v>
      </c>
      <c r="AA267" s="384">
        <f t="shared" si="86"/>
        <v>39.815974863583165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7.2206574033379267E-2</v>
      </c>
      <c r="AD267" s="230">
        <f>(INDEX(Models!$BJ267:$BT267,,AH267)*(1-AF267)+INDEX(Models!$BJ267:$BT267,,AH267+1)*AF267-ERP_i)*AE267*Ramure*Pc/MaxiM</f>
        <v>4.0075615857064923E-4</v>
      </c>
      <c r="AE267" s="304">
        <f t="shared" si="88"/>
        <v>0.6</v>
      </c>
      <c r="AF267" s="177">
        <f t="shared" si="89"/>
        <v>0.98811101298976656</v>
      </c>
      <c r="AG267" s="799">
        <f t="shared" si="95"/>
        <v>-1</v>
      </c>
      <c r="AH267" s="176">
        <f t="shared" si="90"/>
        <v>5</v>
      </c>
      <c r="AI267" s="224">
        <f t="shared" si="91"/>
        <v>-1.1888987010233443E-2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38.957000000000001</v>
      </c>
      <c r="C268" s="388"/>
      <c r="D268" s="391">
        <f t="shared" si="74"/>
        <v>39.687223735970136</v>
      </c>
      <c r="E268" s="383">
        <f t="shared" si="96"/>
        <v>42.778956002069535</v>
      </c>
      <c r="F268" s="383">
        <f t="shared" si="75"/>
        <v>42.7923326818578</v>
      </c>
      <c r="G268" s="110">
        <f t="shared" si="97"/>
        <v>0.8312981808485389</v>
      </c>
      <c r="H268" s="412" t="b">
        <f>Wh_hp&gt;='2020'!Maxi_hp</f>
        <v>0</v>
      </c>
      <c r="I268" s="379">
        <f>IF(H268,Wh_hp,'2020'!Maxi_hp)</f>
        <v>47.570695071045627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1.8399466307548851E-2</v>
      </c>
      <c r="M268" s="832"/>
      <c r="N268" s="832"/>
      <c r="O268" s="48">
        <f>IF(t&lt;Tnet,'2020'!Resal+('2020'!Salim-'2020'!Resal)*(1-EXP(('2020'!Tnet-t)/('2020'!Tau_j))),Resal+(Salim-Resal)*(1-EXP((Tnet-t)/(Tau_j))))*Salcycl</f>
        <v>7.2272270177650713E-2</v>
      </c>
      <c r="P268" s="169">
        <f>(INDEX(Models!$BJ268:$BT268,,T268)*(1-R268)+INDEX(Models!$BJ268:$BT268,,T268+1)*R268-ERP_i)*Q268*Ramure*Pc/MaxiM</f>
        <v>4.1178891744502886E-4</v>
      </c>
      <c r="Q268" s="304">
        <f t="shared" si="77"/>
        <v>0.6</v>
      </c>
      <c r="R268" s="177">
        <f t="shared" si="78"/>
        <v>0.98855099828110327</v>
      </c>
      <c r="S268" s="799">
        <f t="shared" si="79"/>
        <v>-1</v>
      </c>
      <c r="T268" s="176">
        <f t="shared" si="80"/>
        <v>5</v>
      </c>
      <c r="U268" s="250">
        <f t="shared" si="81"/>
        <v>-1.1449001718896734E-2</v>
      </c>
      <c r="V268" s="382">
        <f t="shared" si="82"/>
        <v>46.858197697568713</v>
      </c>
      <c r="W268" s="400"/>
      <c r="X268" s="157">
        <f t="shared" si="83"/>
        <v>44450</v>
      </c>
      <c r="Y268" s="383">
        <f t="shared" si="84"/>
        <v>38.957000000000001</v>
      </c>
      <c r="Z268" s="383">
        <f t="shared" si="85"/>
        <v>39.687223735970136</v>
      </c>
      <c r="AA268" s="384">
        <f t="shared" si="86"/>
        <v>42.778956002069535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7.2272270177650713E-2</v>
      </c>
      <c r="AD268" s="230">
        <f>(INDEX(Models!$BJ268:$BT268,,AH268)*(1-AF268)+INDEX(Models!$BJ268:$BT268,,AH268+1)*AF268-ERP_i)*AE268*Ramure*Pc/MaxiM</f>
        <v>4.1178891744502886E-4</v>
      </c>
      <c r="AE268" s="304">
        <f t="shared" si="88"/>
        <v>0.6</v>
      </c>
      <c r="AF268" s="177">
        <f t="shared" si="89"/>
        <v>0.98855099828110327</v>
      </c>
      <c r="AG268" s="799">
        <f t="shared" si="95"/>
        <v>-1</v>
      </c>
      <c r="AH268" s="176">
        <f t="shared" si="90"/>
        <v>5</v>
      </c>
      <c r="AI268" s="224">
        <f t="shared" si="91"/>
        <v>-1.1449001718896734E-2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43.811</v>
      </c>
      <c r="C269" s="388"/>
      <c r="D269" s="391">
        <f t="shared" si="74"/>
        <v>44.633064204953392</v>
      </c>
      <c r="E269" s="383">
        <f t="shared" si="96"/>
        <v>48.113465018226762</v>
      </c>
      <c r="F269" s="383">
        <f t="shared" si="75"/>
        <v>48.132094649471448</v>
      </c>
      <c r="G269" s="110">
        <f t="shared" si="97"/>
        <v>0.93997362337839385</v>
      </c>
      <c r="H269" s="412" t="b">
        <f>Wh_hp&gt;='2020'!Maxi_hp</f>
        <v>0</v>
      </c>
      <c r="I269" s="379">
        <f>IF(H269,Wh_hp,'2020'!Maxi_hp)</f>
        <v>50.716513586551613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1.8418278457837944E-2</v>
      </c>
      <c r="M269" s="832"/>
      <c r="N269" s="832"/>
      <c r="O269" s="48">
        <f>IF(t&lt;Tnet,'2020'!Resal+('2020'!Salim-'2020'!Resal)*(1-EXP(('2020'!Tnet-t)/('2020'!Tau_j))),Resal+(Salim-Resal)*(1-EXP((Tnet-t)/(Tau_j))))*Salcycl</f>
        <v>7.233735529035161E-2</v>
      </c>
      <c r="P269" s="169">
        <f>(INDEX(Models!$BJ269:$BT269,,T269)*(1-R269)+INDEX(Models!$BJ269:$BT269,,T269+1)*R269-ERP_i)*Q269*Ramure*Pc/MaxiM</f>
        <v>4.2333318066662198E-4</v>
      </c>
      <c r="Q269" s="304">
        <f t="shared" si="77"/>
        <v>0.6</v>
      </c>
      <c r="R269" s="177">
        <f t="shared" si="78"/>
        <v>0.98897401266269025</v>
      </c>
      <c r="S269" s="799">
        <f t="shared" si="79"/>
        <v>-1</v>
      </c>
      <c r="T269" s="176">
        <f t="shared" si="80"/>
        <v>5</v>
      </c>
      <c r="U269" s="250">
        <f t="shared" si="81"/>
        <v>-1.1025987337309751E-2</v>
      </c>
      <c r="V269" s="382">
        <f t="shared" si="82"/>
        <v>46.607062993243524</v>
      </c>
      <c r="W269" s="400"/>
      <c r="X269" s="157">
        <f t="shared" si="83"/>
        <v>44451</v>
      </c>
      <c r="Y269" s="383">
        <f t="shared" si="84"/>
        <v>43.811</v>
      </c>
      <c r="Z269" s="383">
        <f t="shared" si="85"/>
        <v>44.633064204953392</v>
      </c>
      <c r="AA269" s="384">
        <f t="shared" si="86"/>
        <v>48.113465018226762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7.233735529035161E-2</v>
      </c>
      <c r="AD269" s="230">
        <f>(INDEX(Models!$BJ269:$BT269,,AH269)*(1-AF269)+INDEX(Models!$BJ269:$BT269,,AH269+1)*AF269-ERP_i)*AE269*Ramure*Pc/MaxiM</f>
        <v>4.2333318066662198E-4</v>
      </c>
      <c r="AE269" s="304">
        <f t="shared" si="88"/>
        <v>0.6</v>
      </c>
      <c r="AF269" s="177">
        <f t="shared" si="89"/>
        <v>0.98897401266269025</v>
      </c>
      <c r="AG269" s="799">
        <f t="shared" si="95"/>
        <v>-1</v>
      </c>
      <c r="AH269" s="176">
        <f t="shared" si="90"/>
        <v>5</v>
      </c>
      <c r="AI269" s="224">
        <f t="shared" si="91"/>
        <v>-1.1025987337309751E-2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31.138000000000002</v>
      </c>
      <c r="C270" s="388"/>
      <c r="D270" s="391">
        <f t="shared" si="74"/>
        <v>31.722877556421196</v>
      </c>
      <c r="E270" s="383">
        <f t="shared" si="96"/>
        <v>34.198942837936279</v>
      </c>
      <c r="F270" s="383">
        <f t="shared" si="75"/>
        <v>34.206852591045291</v>
      </c>
      <c r="G270" s="110">
        <f t="shared" si="97"/>
        <v>0.67162487234832802</v>
      </c>
      <c r="H270" s="412" t="b">
        <f>Wh_hp&gt;='2020'!Maxi_hp</f>
        <v>0</v>
      </c>
      <c r="I270" s="379">
        <f>IF(H270,Wh_hp,'2020'!Maxi_hp)</f>
        <v>48.946025733501244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1.8437090247596544E-2</v>
      </c>
      <c r="M270" s="832"/>
      <c r="N270" s="832"/>
      <c r="O270" s="48">
        <f>IF(t&lt;Tnet,'2020'!Resal+('2020'!Salim-'2020'!Resal)*(1-EXP(('2020'!Tnet-t)/('2020'!Tau_j))),Resal+(Salim-Resal)*(1-EXP((Tnet-t)/(Tau_j))))*Salcycl</f>
        <v>7.2401807659633999E-2</v>
      </c>
      <c r="P270" s="169">
        <f>(INDEX(Models!$BJ270:$BT270,,T270)*(1-R270)+INDEX(Models!$BJ270:$BT270,,T270+1)*R270-ERP_i)*Q270*Ramure*Pc/MaxiM</f>
        <v>4.3539435621094282E-4</v>
      </c>
      <c r="Q270" s="304">
        <f t="shared" si="77"/>
        <v>0.6</v>
      </c>
      <c r="R270" s="177">
        <f t="shared" si="78"/>
        <v>0.98938068249090039</v>
      </c>
      <c r="S270" s="799">
        <f t="shared" si="79"/>
        <v>-1</v>
      </c>
      <c r="T270" s="176">
        <f t="shared" si="80"/>
        <v>5</v>
      </c>
      <c r="U270" s="250">
        <f t="shared" si="81"/>
        <v>-1.0619317509099668E-2</v>
      </c>
      <c r="V270" s="382">
        <f t="shared" si="82"/>
        <v>46.35272253166719</v>
      </c>
      <c r="W270" s="400"/>
      <c r="X270" s="157">
        <f t="shared" si="83"/>
        <v>44452</v>
      </c>
      <c r="Y270" s="383">
        <f t="shared" si="84"/>
        <v>31.138000000000005</v>
      </c>
      <c r="Z270" s="383">
        <f t="shared" si="85"/>
        <v>31.722877556421199</v>
      </c>
      <c r="AA270" s="384">
        <f t="shared" si="86"/>
        <v>34.198942837936279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7.2401807659633999E-2</v>
      </c>
      <c r="AD270" s="230">
        <f>(INDEX(Models!$BJ270:$BT270,,AH270)*(1-AF270)+INDEX(Models!$BJ270:$BT270,,AH270+1)*AF270-ERP_i)*AE270*Ramure*Pc/MaxiM</f>
        <v>4.3539435621094282E-4</v>
      </c>
      <c r="AE270" s="304">
        <f t="shared" si="88"/>
        <v>0.6</v>
      </c>
      <c r="AF270" s="177">
        <f t="shared" si="89"/>
        <v>0.98938068249090039</v>
      </c>
      <c r="AG270" s="799">
        <f t="shared" si="95"/>
        <v>-1</v>
      </c>
      <c r="AH270" s="176">
        <f t="shared" si="90"/>
        <v>5</v>
      </c>
      <c r="AI270" s="224">
        <f t="shared" si="91"/>
        <v>-1.0619317509099668E-2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19.379000000000001</v>
      </c>
      <c r="C271" s="388"/>
      <c r="D271" s="391">
        <f t="shared" ref="D271:D334" si="98">Wh/(1-Ppv)</f>
        <v>19.743381915398736</v>
      </c>
      <c r="E271" s="383">
        <f t="shared" si="96"/>
        <v>21.285875777389908</v>
      </c>
      <c r="F271" s="383">
        <f t="shared" ref="F271:F334" si="99">Wh_sa/(1-Pvg*MEDIAN((-Sdif+Wh/Env_an)/Csdif,0,1))</f>
        <v>21.287516200521875</v>
      </c>
      <c r="G271" s="110">
        <f t="shared" si="97"/>
        <v>0.42025678732596256</v>
      </c>
      <c r="H271" s="412" t="b">
        <f>Wh_hp&gt;='2020'!Maxi_hp</f>
        <v>0</v>
      </c>
      <c r="I271" s="379">
        <f>IF(H271,Wh_hp,'2020'!Maxi_hp)</f>
        <v>48.424336454195235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1.8455901676831532E-2</v>
      </c>
      <c r="M271" s="832"/>
      <c r="N271" s="832"/>
      <c r="O271" s="48">
        <f>IF(t&lt;Tnet,'2020'!Resal+('2020'!Salim-'2020'!Resal)*(1-EXP(('2020'!Tnet-t)/('2020'!Tau_j))),Resal+(Salim-Resal)*(1-EXP((Tnet-t)/(Tau_j))))*Salcycl</f>
        <v>7.2465604803990599E-2</v>
      </c>
      <c r="P271" s="169">
        <f>(INDEX(Models!$BJ271:$BT271,,T271)*(1-R271)+INDEX(Models!$BJ271:$BT271,,T271+1)*R271-ERP_i)*Q271*Ramure*Pc/MaxiM</f>
        <v>4.4797781007560323E-4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0.98977161319533591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-1.0228386804664091E-2</v>
      </c>
      <c r="V271" s="382">
        <f t="shared" ref="V271:V334" si="106">MaxiM*(1-Ppv)*(1-Pvg)*(1-Psa)</f>
        <v>46.095178044737018</v>
      </c>
      <c r="W271" s="400"/>
      <c r="X271" s="157">
        <f t="shared" ref="X271:X334" si="107">t</f>
        <v>44453</v>
      </c>
      <c r="Y271" s="383">
        <f t="shared" ref="Y271:Y334" si="108">Wh_pvt_s*(1-Ppv)</f>
        <v>19.379000000000001</v>
      </c>
      <c r="Z271" s="383">
        <f t="shared" ref="Z271:Z334" si="109">Wh_sa_s*(1-Psa_s)</f>
        <v>19.743381915398736</v>
      </c>
      <c r="AA271" s="384">
        <f t="shared" ref="AA271:AA334" si="110">Wh_hp*(1-Pvg_s*MEDIAN((-Sdif+Wh/Env_an)/Csdif,0,1))</f>
        <v>21.285875777389908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7.2465604803990599E-2</v>
      </c>
      <c r="AD271" s="230">
        <f>(INDEX(Models!$BJ271:$BT271,,AH271)*(1-AF271)+INDEX(Models!$BJ271:$BT271,,AH271+1)*AF271-ERP_i)*AE271*Ramure*Pc/MaxiM</f>
        <v>4.4797781007560323E-4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0.98977161319533591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-1.0228386804664091E-2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28.785</v>
      </c>
      <c r="C272" s="388"/>
      <c r="D272" s="391">
        <f t="shared" si="98"/>
        <v>29.326804284908643</v>
      </c>
      <c r="E272" s="383">
        <f t="shared" si="96"/>
        <v>31.620175231212627</v>
      </c>
      <c r="F272" s="383">
        <f t="shared" si="99"/>
        <v>31.627008787456944</v>
      </c>
      <c r="G272" s="110">
        <f t="shared" si="97"/>
        <v>0.62786740711462918</v>
      </c>
      <c r="H272" s="412" t="b">
        <f>Wh_hp&gt;='2020'!Maxi_hp</f>
        <v>0</v>
      </c>
      <c r="I272" s="379">
        <f>IF(H272,Wh_hp,'2020'!Maxi_hp)</f>
        <v>49.537413864977964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1.8474712745549682E-2</v>
      </c>
      <c r="M272" s="832"/>
      <c r="N272" s="832"/>
      <c r="O272" s="48">
        <f>IF(t&lt;Tnet,'2020'!Resal+('2020'!Salim-'2020'!Resal)*(1-EXP(('2020'!Tnet-t)/('2020'!Tau_j))),Resal+(Salim-Resal)*(1-EXP((Tnet-t)/(Tau_j))))*Salcycl</f>
        <v>7.2528723498033409E-2</v>
      </c>
      <c r="P272" s="169">
        <f>(INDEX(Models!$BJ272:$BT272,,T272)*(1-R272)+INDEX(Models!$BJ272:$BT272,,T272+1)*R272-ERP_i)*Q272*Ramure*Pc/MaxiM</f>
        <v>4.6108885298999717E-4</v>
      </c>
      <c r="Q272" s="304">
        <f t="shared" si="101"/>
        <v>0.6</v>
      </c>
      <c r="R272" s="177">
        <f t="shared" si="102"/>
        <v>0.99014738980523398</v>
      </c>
      <c r="S272" s="799">
        <f t="shared" si="103"/>
        <v>-1</v>
      </c>
      <c r="T272" s="176">
        <f t="shared" si="104"/>
        <v>5</v>
      </c>
      <c r="U272" s="250">
        <f t="shared" si="105"/>
        <v>-9.8526101947660205E-3</v>
      </c>
      <c r="V272" s="382">
        <f t="shared" si="106"/>
        <v>45.834431280654904</v>
      </c>
      <c r="W272" s="400"/>
      <c r="X272" s="157">
        <f t="shared" si="107"/>
        <v>44454</v>
      </c>
      <c r="Y272" s="383">
        <f t="shared" si="108"/>
        <v>28.785</v>
      </c>
      <c r="Z272" s="383">
        <f t="shared" si="109"/>
        <v>29.326804284908643</v>
      </c>
      <c r="AA272" s="384">
        <f t="shared" si="110"/>
        <v>31.620175231212627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7.2528723498033409E-2</v>
      </c>
      <c r="AD272" s="230">
        <f>(INDEX(Models!$BJ272:$BT272,,AH272)*(1-AF272)+INDEX(Models!$BJ272:$BT272,,AH272+1)*AF272-ERP_i)*AE272*Ramure*Pc/MaxiM</f>
        <v>4.6108885298999717E-4</v>
      </c>
      <c r="AE272" s="304">
        <f t="shared" si="112"/>
        <v>0.6</v>
      </c>
      <c r="AF272" s="177">
        <f t="shared" si="113"/>
        <v>0.99014738980523398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-9.8526101947660205E-3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20.141999999999999</v>
      </c>
      <c r="C273" s="388"/>
      <c r="D273" s="391">
        <f t="shared" si="98"/>
        <v>20.521515121200572</v>
      </c>
      <c r="E273" s="383">
        <f t="shared" si="96"/>
        <v>22.127797136844197</v>
      </c>
      <c r="F273" s="383">
        <f t="shared" si="99"/>
        <v>22.129928262962149</v>
      </c>
      <c r="G273" s="110">
        <f t="shared" si="97"/>
        <v>0.44182934038522059</v>
      </c>
      <c r="H273" s="412" t="b">
        <f>Wh_hp&gt;='2020'!Maxi_hp</f>
        <v>0</v>
      </c>
      <c r="I273" s="379">
        <f>IF(H273,Wh_hp,'2020'!Maxi_hp)</f>
        <v>43.865326468567289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1.8493523453757987E-2</v>
      </c>
      <c r="M273" s="832"/>
      <c r="N273" s="832"/>
      <c r="O273" s="48">
        <f>IF(t&lt;Tnet,'2020'!Resal+('2020'!Salim-'2020'!Resal)*(1-EXP(('2020'!Tnet-t)/('2020'!Tau_j))),Resal+(Salim-Resal)*(1-EXP((Tnet-t)/(Tau_j))))*Salcycl</f>
        <v>7.2591139809803501E-2</v>
      </c>
      <c r="P273" s="169">
        <f>(INDEX(Models!$BJ273:$BT273,,T273)*(1-R273)+INDEX(Models!$BJ273:$BT273,,T273+1)*R273-ERP_i)*Q273*Ramure*Pc/MaxiM</f>
        <v>4.7473272690395078E-4</v>
      </c>
      <c r="Q273" s="304">
        <f t="shared" si="101"/>
        <v>0.6</v>
      </c>
      <c r="R273" s="177">
        <f t="shared" si="102"/>
        <v>0.99050857747712961</v>
      </c>
      <c r="S273" s="799">
        <f t="shared" si="103"/>
        <v>-1</v>
      </c>
      <c r="T273" s="176">
        <f t="shared" si="104"/>
        <v>5</v>
      </c>
      <c r="U273" s="250">
        <f t="shared" si="105"/>
        <v>-9.4914225228703852E-3</v>
      </c>
      <c r="V273" s="382">
        <f t="shared" si="106"/>
        <v>45.570483999807756</v>
      </c>
      <c r="W273" s="400"/>
      <c r="X273" s="157">
        <f t="shared" si="107"/>
        <v>44455</v>
      </c>
      <c r="Y273" s="383">
        <f t="shared" si="108"/>
        <v>20.141999999999999</v>
      </c>
      <c r="Z273" s="383">
        <f t="shared" si="109"/>
        <v>20.521515121200572</v>
      </c>
      <c r="AA273" s="384">
        <f t="shared" si="110"/>
        <v>22.127797136844197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7.2591139809803501E-2</v>
      </c>
      <c r="AD273" s="230">
        <f>(INDEX(Models!$BJ273:$BT273,,AH273)*(1-AF273)+INDEX(Models!$BJ273:$BT273,,AH273+1)*AF273-ERP_i)*AE273*Ramure*Pc/MaxiM</f>
        <v>4.7473272690395078E-4</v>
      </c>
      <c r="AE273" s="304">
        <f t="shared" si="112"/>
        <v>0.6</v>
      </c>
      <c r="AF273" s="177">
        <f t="shared" si="113"/>
        <v>0.99050857747712961</v>
      </c>
      <c r="AG273" s="799">
        <f t="shared" si="119"/>
        <v>-1</v>
      </c>
      <c r="AH273" s="176">
        <f t="shared" si="114"/>
        <v>5</v>
      </c>
      <c r="AI273" s="224">
        <f t="shared" si="115"/>
        <v>-9.4914225228703852E-3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42.666000000000004</v>
      </c>
      <c r="C274" s="388"/>
      <c r="D274" s="391">
        <f t="shared" si="98"/>
        <v>43.470744940945053</v>
      </c>
      <c r="E274" s="383">
        <f t="shared" si="96"/>
        <v>46.876451783543878</v>
      </c>
      <c r="F274" s="383">
        <f t="shared" si="99"/>
        <v>46.89747377756845</v>
      </c>
      <c r="G274" s="110">
        <f t="shared" si="97"/>
        <v>0.94174659785288461</v>
      </c>
      <c r="H274" s="412" t="b">
        <f>Wh_hp&gt;='2020'!Maxi_hp</f>
        <v>1</v>
      </c>
      <c r="I274" s="379">
        <f>IF(H274,Wh_hp,'2020'!Maxi_hp)</f>
        <v>46.89747377756845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1.8512333801463332E-2</v>
      </c>
      <c r="M274" s="832"/>
      <c r="N274" s="832"/>
      <c r="O274" s="48">
        <f>IF(t&lt;Tnet,'2020'!Resal+('2020'!Salim-'2020'!Resal)*(1-EXP(('2020'!Tnet-t)/('2020'!Tau_j))),Resal+(Salim-Resal)*(1-EXP((Tnet-t)/(Tau_j))))*Salcycl</f>
        <v>7.2652829150230289E-2</v>
      </c>
      <c r="P274" s="169">
        <f>(INDEX(Models!$BJ274:$BT274,,T274)*(1-R274)+INDEX(Models!$BJ274:$BT274,,T274+1)*R274-ERP_i)*Q274*Ramure*Pc/MaxiM</f>
        <v>4.8891459138472723E-4</v>
      </c>
      <c r="Q274" s="304">
        <f t="shared" si="101"/>
        <v>0.6</v>
      </c>
      <c r="R274" s="177">
        <f t="shared" si="102"/>
        <v>0.99085572202222794</v>
      </c>
      <c r="S274" s="799">
        <f t="shared" si="103"/>
        <v>-1</v>
      </c>
      <c r="T274" s="176">
        <f t="shared" si="104"/>
        <v>5</v>
      </c>
      <c r="U274" s="250">
        <f t="shared" si="105"/>
        <v>-9.144277977772064E-3</v>
      </c>
      <c r="V274" s="382">
        <f t="shared" si="106"/>
        <v>45.303337975482144</v>
      </c>
      <c r="W274" s="400"/>
      <c r="X274" s="157">
        <f t="shared" si="107"/>
        <v>44456</v>
      </c>
      <c r="Y274" s="383">
        <f t="shared" si="108"/>
        <v>42.666000000000004</v>
      </c>
      <c r="Z274" s="383">
        <f t="shared" si="109"/>
        <v>43.470744940945053</v>
      </c>
      <c r="AA274" s="384">
        <f t="shared" si="110"/>
        <v>46.876451783543878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7.2652829150230289E-2</v>
      </c>
      <c r="AD274" s="230">
        <f>(INDEX(Models!$BJ274:$BT274,,AH274)*(1-AF274)+INDEX(Models!$BJ274:$BT274,,AH274+1)*AF274-ERP_i)*AE274*Ramure*Pc/MaxiM</f>
        <v>4.8891459138472723E-4</v>
      </c>
      <c r="AE274" s="304">
        <f t="shared" si="112"/>
        <v>0.6</v>
      </c>
      <c r="AF274" s="177">
        <f t="shared" si="113"/>
        <v>0.99085572202222794</v>
      </c>
      <c r="AG274" s="799">
        <f t="shared" si="119"/>
        <v>-1</v>
      </c>
      <c r="AH274" s="176">
        <f t="shared" si="114"/>
        <v>5</v>
      </c>
      <c r="AI274" s="224">
        <f t="shared" si="115"/>
        <v>-9.144277977772064E-3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9.5370000000000008</v>
      </c>
      <c r="C275" s="388"/>
      <c r="D275" s="391">
        <f t="shared" si="98"/>
        <v>9.7170683915685245</v>
      </c>
      <c r="E275" s="383">
        <f t="shared" si="96"/>
        <v>10.479038767959809</v>
      </c>
      <c r="F275" s="383">
        <f t="shared" si="99"/>
        <v>10.479038767959809</v>
      </c>
      <c r="G275" s="110">
        <f t="shared" si="97"/>
        <v>0.21167241011228696</v>
      </c>
      <c r="H275" s="412" t="b">
        <f>Wh_hp&gt;='2020'!Maxi_hp</f>
        <v>0</v>
      </c>
      <c r="I275" s="379">
        <f>IF(H275,Wh_hp,'2020'!Maxi_hp)</f>
        <v>43.999922794337635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1.853114378867271E-2</v>
      </c>
      <c r="M275" s="832"/>
      <c r="N275" s="832"/>
      <c r="O275" s="48">
        <f>IF(t&lt;Tnet,'2020'!Resal+('2020'!Salim-'2020'!Resal)*(1-EXP(('2020'!Tnet-t)/('2020'!Tau_j))),Resal+(Salim-Resal)*(1-EXP((Tnet-t)/(Tau_j))))*Salcycl</f>
        <v>7.2713766335233659E-2</v>
      </c>
      <c r="P275" s="169">
        <f>(INDEX(Models!$BJ275:$BT275,,T275)*(1-R275)+INDEX(Models!$BJ275:$BT275,,T275+1)*R275-ERP_i)*Q275*Ramure*Pc/MaxiM</f>
        <v>5.036419297774706E-4</v>
      </c>
      <c r="Q275" s="304">
        <f t="shared" si="101"/>
        <v>0.6</v>
      </c>
      <c r="R275" s="177">
        <f t="shared" si="102"/>
        <v>0.99118935043208578</v>
      </c>
      <c r="S275" s="799">
        <f t="shared" si="103"/>
        <v>-1</v>
      </c>
      <c r="T275" s="176">
        <f t="shared" si="104"/>
        <v>5</v>
      </c>
      <c r="U275" s="250">
        <f t="shared" si="105"/>
        <v>-8.8106495679142194E-3</v>
      </c>
      <c r="V275" s="382">
        <f t="shared" si="106"/>
        <v>45.032778536697904</v>
      </c>
      <c r="W275" s="400"/>
      <c r="X275" s="157">
        <f t="shared" si="107"/>
        <v>44457</v>
      </c>
      <c r="Y275" s="383">
        <f t="shared" si="108"/>
        <v>9.5370000000000008</v>
      </c>
      <c r="Z275" s="383">
        <f t="shared" si="109"/>
        <v>9.7170683915685245</v>
      </c>
      <c r="AA275" s="384">
        <f t="shared" si="110"/>
        <v>10.479038767959809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7.2713766335233659E-2</v>
      </c>
      <c r="AD275" s="230">
        <f>(INDEX(Models!$BJ275:$BT275,,AH275)*(1-AF275)+INDEX(Models!$BJ275:$BT275,,AH275+1)*AF275-ERP_i)*AE275*Ramure*Pc/MaxiM</f>
        <v>5.036419297774706E-4</v>
      </c>
      <c r="AE275" s="304">
        <f t="shared" si="112"/>
        <v>0.6</v>
      </c>
      <c r="AF275" s="177">
        <f t="shared" si="113"/>
        <v>0.99118935043208578</v>
      </c>
      <c r="AG275" s="799">
        <f t="shared" si="119"/>
        <v>-1</v>
      </c>
      <c r="AH275" s="176">
        <f t="shared" si="114"/>
        <v>5</v>
      </c>
      <c r="AI275" s="224">
        <f t="shared" si="115"/>
        <v>-8.8106495679142194E-3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33.899000000000001</v>
      </c>
      <c r="C276" s="388"/>
      <c r="D276" s="391">
        <f t="shared" si="98"/>
        <v>34.539710011698183</v>
      </c>
      <c r="E276" s="383">
        <f t="shared" si="96"/>
        <v>37.250581026115306</v>
      </c>
      <c r="F276" s="383">
        <f t="shared" si="99"/>
        <v>37.263217486764972</v>
      </c>
      <c r="G276" s="110">
        <f t="shared" si="97"/>
        <v>0.75723679777658126</v>
      </c>
      <c r="H276" s="412" t="b">
        <f>Wh_hp&gt;='2020'!Maxi_hp</f>
        <v>0</v>
      </c>
      <c r="I276" s="379">
        <f>IF(H276,Wh_hp,'2020'!Maxi_hp)</f>
        <v>42.678942947106243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1.8549953415393006E-2</v>
      </c>
      <c r="M276" s="832"/>
      <c r="N276" s="832"/>
      <c r="O276" s="48">
        <f>IF(t&lt;Tnet,'2020'!Resal+('2020'!Salim-'2020'!Resal)*(1-EXP(('2020'!Tnet-t)/('2020'!Tau_j))),Resal+(Salim-Resal)*(1-EXP((Tnet-t)/(Tau_j))))*Salcycl</f>
        <v>7.2773925660826841E-2</v>
      </c>
      <c r="P276" s="169">
        <f>(INDEX(Models!$BJ276:$BT276,,T276)*(1-R276)+INDEX(Models!$BJ276:$BT276,,T276+1)*R276-ERP_i)*Q276*Ramure*Pc/MaxiM</f>
        <v>5.1900618013781723E-4</v>
      </c>
      <c r="Q276" s="304">
        <f t="shared" si="101"/>
        <v>0.6</v>
      </c>
      <c r="R276" s="177">
        <f t="shared" si="102"/>
        <v>0.99150997140134733</v>
      </c>
      <c r="S276" s="799">
        <f t="shared" si="103"/>
        <v>-1</v>
      </c>
      <c r="T276" s="176">
        <f t="shared" si="104"/>
        <v>5</v>
      </c>
      <c r="U276" s="250">
        <f t="shared" si="105"/>
        <v>-8.4900285986526103E-3</v>
      </c>
      <c r="V276" s="382">
        <f t="shared" si="106"/>
        <v>44.758653897133762</v>
      </c>
      <c r="W276" s="400"/>
      <c r="X276" s="157">
        <f t="shared" si="107"/>
        <v>44458</v>
      </c>
      <c r="Y276" s="383">
        <f t="shared" si="108"/>
        <v>33.899000000000001</v>
      </c>
      <c r="Z276" s="383">
        <f t="shared" si="109"/>
        <v>34.539710011698183</v>
      </c>
      <c r="AA276" s="384">
        <f t="shared" si="110"/>
        <v>37.250581026115306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7.2773925660826841E-2</v>
      </c>
      <c r="AD276" s="230">
        <f>(INDEX(Models!$BJ276:$BT276,,AH276)*(1-AF276)+INDEX(Models!$BJ276:$BT276,,AH276+1)*AF276-ERP_i)*AE276*Ramure*Pc/MaxiM</f>
        <v>5.1900618013781723E-4</v>
      </c>
      <c r="AE276" s="304">
        <f t="shared" si="112"/>
        <v>0.6</v>
      </c>
      <c r="AF276" s="177">
        <f t="shared" si="113"/>
        <v>0.99150997140134733</v>
      </c>
      <c r="AG276" s="799">
        <f t="shared" si="119"/>
        <v>-1</v>
      </c>
      <c r="AH276" s="176">
        <f t="shared" si="114"/>
        <v>5</v>
      </c>
      <c r="AI276" s="224">
        <f t="shared" si="115"/>
        <v>-8.4900285986526103E-3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28.03</v>
      </c>
      <c r="C277" s="388"/>
      <c r="D277" s="391">
        <f t="shared" si="98"/>
        <v>28.560329989687581</v>
      </c>
      <c r="E277" s="383">
        <f t="shared" si="96"/>
        <v>30.803877451757156</v>
      </c>
      <c r="F277" s="383">
        <f t="shared" si="99"/>
        <v>30.811649178970523</v>
      </c>
      <c r="G277" s="110">
        <f t="shared" si="97"/>
        <v>0.62997752371618576</v>
      </c>
      <c r="H277" s="412" t="b">
        <f>Wh_hp&gt;='2020'!Maxi_hp</f>
        <v>0</v>
      </c>
      <c r="I277" s="379">
        <f>IF(H277,Wh_hp,'2020'!Maxi_hp)</f>
        <v>47.27532550671782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1.8568762681631101E-2</v>
      </c>
      <c r="M277" s="832"/>
      <c r="N277" s="832"/>
      <c r="O277" s="48">
        <f>IF(t&lt;Tnet,'2020'!Resal+('2020'!Salim-'2020'!Resal)*(1-EXP(('2020'!Tnet-t)/('2020'!Tau_j))),Resal+(Salim-Resal)*(1-EXP((Tnet-t)/(Tau_j))))*Salcycl</f>
        <v>7.2833280991435642E-2</v>
      </c>
      <c r="P277" s="169">
        <f>(INDEX(Models!$BJ277:$BT277,,T277)*(1-R277)+INDEX(Models!$BJ277:$BT277,,T277+1)*R277-ERP_i)*Q277*Ramure*Pc/MaxiM</f>
        <v>5.3478836109527024E-4</v>
      </c>
      <c r="Q277" s="304">
        <f t="shared" si="101"/>
        <v>0.6</v>
      </c>
      <c r="R277" s="177">
        <f t="shared" si="102"/>
        <v>0.99181807584640613</v>
      </c>
      <c r="S277" s="799">
        <f t="shared" si="103"/>
        <v>-1</v>
      </c>
      <c r="T277" s="176">
        <f t="shared" si="104"/>
        <v>5</v>
      </c>
      <c r="U277" s="250">
        <f t="shared" si="105"/>
        <v>-8.1819241535938669E-3</v>
      </c>
      <c r="V277" s="382">
        <f t="shared" si="106"/>
        <v>44.481075802687485</v>
      </c>
      <c r="W277" s="400"/>
      <c r="X277" s="157">
        <f t="shared" si="107"/>
        <v>44459</v>
      </c>
      <c r="Y277" s="383">
        <f t="shared" si="108"/>
        <v>28.03</v>
      </c>
      <c r="Z277" s="383">
        <f t="shared" si="109"/>
        <v>28.560329989687581</v>
      </c>
      <c r="AA277" s="384">
        <f t="shared" si="110"/>
        <v>30.803877451757156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7.2833280991435642E-2</v>
      </c>
      <c r="AD277" s="230">
        <f>(INDEX(Models!$BJ277:$BT277,,AH277)*(1-AF277)+INDEX(Models!$BJ277:$BT277,,AH277+1)*AF277-ERP_i)*AE277*Ramure*Pc/MaxiM</f>
        <v>5.3478836109527024E-4</v>
      </c>
      <c r="AE277" s="304">
        <f t="shared" si="112"/>
        <v>0.6</v>
      </c>
      <c r="AF277" s="177">
        <f t="shared" si="113"/>
        <v>0.99181807584640613</v>
      </c>
      <c r="AG277" s="799">
        <f t="shared" si="119"/>
        <v>-1</v>
      </c>
      <c r="AH277" s="176">
        <f t="shared" si="114"/>
        <v>5</v>
      </c>
      <c r="AI277" s="224">
        <f t="shared" si="115"/>
        <v>-8.1819241535938669E-3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11.123000000000001</v>
      </c>
      <c r="C278" s="388"/>
      <c r="D278" s="391">
        <f t="shared" si="98"/>
        <v>11.333665315397516</v>
      </c>
      <c r="E278" s="383">
        <f t="shared" si="96"/>
        <v>12.224749373431157</v>
      </c>
      <c r="F278" s="383">
        <f t="shared" si="99"/>
        <v>12.224749373431157</v>
      </c>
      <c r="G278" s="110">
        <f t="shared" si="97"/>
        <v>0.25151209574786121</v>
      </c>
      <c r="H278" s="412" t="b">
        <f>Wh_hp&gt;='2020'!Maxi_hp</f>
        <v>0</v>
      </c>
      <c r="I278" s="379">
        <f>IF(H278,Wh_hp,'2020'!Maxi_hp)</f>
        <v>34.248415791465085</v>
      </c>
      <c r="J278" s="85">
        <f>IF(H278,An,'2020'!An_max)</f>
        <v>2018</v>
      </c>
      <c r="K278" s="197">
        <f t="shared" si="100"/>
        <v>44460</v>
      </c>
      <c r="L278" s="147">
        <f>IF(t&lt;Tvie,1-EXP((T0-t)*PertePVj)+'2020'!Pspv,1-EXP((T0-t)*PertePVj)+Pspv)</f>
        <v>1.8587571587393881E-2</v>
      </c>
      <c r="M278" s="832"/>
      <c r="N278" s="832"/>
      <c r="O278" s="48">
        <f>IF(t&lt;Tnet,'2020'!Resal+('2020'!Salim-'2020'!Resal)*(1-EXP(('2020'!Tnet-t)/('2020'!Tau_j))),Resal+(Salim-Resal)*(1-EXP((Tnet-t)/(Tau_j))))*Salcycl</f>
        <v>7.2891805861500292E-2</v>
      </c>
      <c r="P278" s="169">
        <f>(INDEX(Models!$BJ278:$BT278,,T278)*(1-R278)+INDEX(Models!$BJ278:$BT278,,T278+1)*R278-ERP_i)*Q278*Ramure*Pc/MaxiM</f>
        <v>5.5099064422316907E-4</v>
      </c>
      <c r="Q278" s="304">
        <f t="shared" si="101"/>
        <v>0.6</v>
      </c>
      <c r="R278" s="177">
        <f t="shared" si="102"/>
        <v>0.99211413741899379</v>
      </c>
      <c r="S278" s="799">
        <f t="shared" si="103"/>
        <v>-1</v>
      </c>
      <c r="T278" s="176">
        <f t="shared" si="104"/>
        <v>5</v>
      </c>
      <c r="U278" s="250">
        <f t="shared" si="105"/>
        <v>-7.8858625810062088E-3</v>
      </c>
      <c r="V278" s="382">
        <f t="shared" si="106"/>
        <v>44.200145913494673</v>
      </c>
      <c r="W278" s="400"/>
      <c r="X278" s="157">
        <f t="shared" si="107"/>
        <v>44460</v>
      </c>
      <c r="Y278" s="383">
        <f t="shared" si="108"/>
        <v>11.123000000000001</v>
      </c>
      <c r="Z278" s="383">
        <f t="shared" si="109"/>
        <v>11.333665315397516</v>
      </c>
      <c r="AA278" s="384">
        <f t="shared" si="110"/>
        <v>12.224749373431157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7.2891805861500292E-2</v>
      </c>
      <c r="AD278" s="230">
        <f>(INDEX(Models!$BJ278:$BT278,,AH278)*(1-AF278)+INDEX(Models!$BJ278:$BT278,,AH278+1)*AF278-ERP_i)*AE278*Ramure*Pc/MaxiM</f>
        <v>5.5099064422316907E-4</v>
      </c>
      <c r="AE278" s="304">
        <f t="shared" si="112"/>
        <v>0.6</v>
      </c>
      <c r="AF278" s="177">
        <f t="shared" si="113"/>
        <v>0.99211413741899379</v>
      </c>
      <c r="AG278" s="799">
        <f t="shared" si="119"/>
        <v>-1</v>
      </c>
      <c r="AH278" s="176">
        <f t="shared" si="114"/>
        <v>5</v>
      </c>
      <c r="AI278" s="224">
        <f t="shared" si="115"/>
        <v>-7.8858625810062088E-3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41.375999999999998</v>
      </c>
      <c r="C279" s="388"/>
      <c r="D279" s="391">
        <f t="shared" si="98"/>
        <v>42.160453422953978</v>
      </c>
      <c r="E279" s="383">
        <f t="shared" si="96"/>
        <v>45.478053484563127</v>
      </c>
      <c r="F279" s="383">
        <f t="shared" si="99"/>
        <v>45.501746980319162</v>
      </c>
      <c r="G279" s="110">
        <f t="shared" si="97"/>
        <v>0.94211883355906978</v>
      </c>
      <c r="H279" s="412" t="b">
        <f>Wh_hp&gt;='2020'!Maxi_hp</f>
        <v>1</v>
      </c>
      <c r="I279" s="379">
        <f>IF(H279,Wh_hp,'2020'!Maxi_hp)</f>
        <v>45.501746980319162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1.8606380132688227E-2</v>
      </c>
      <c r="M279" s="832"/>
      <c r="N279" s="832"/>
      <c r="O279" s="48">
        <f>IF(t&lt;Tnet,'2020'!Resal+('2020'!Salim-'2020'!Resal)*(1-EXP(('2020'!Tnet-t)/('2020'!Tau_j))),Resal+(Salim-Resal)*(1-EXP((Tnet-t)/(Tau_j))))*Salcycl</f>
        <v>7.2949473590272693E-2</v>
      </c>
      <c r="P279" s="169">
        <f>(INDEX(Models!$BJ279:$BT279,,T279)*(1-R279)+INDEX(Models!$BJ279:$BT279,,T279+1)*R279-ERP_i)*Q279*Ramure*Pc/MaxiM</f>
        <v>5.6761492006712538E-4</v>
      </c>
      <c r="Q279" s="304">
        <f t="shared" si="101"/>
        <v>0.6</v>
      </c>
      <c r="R279" s="177">
        <f t="shared" si="102"/>
        <v>0.99239861301380394</v>
      </c>
      <c r="S279" s="799">
        <f t="shared" si="103"/>
        <v>-1</v>
      </c>
      <c r="T279" s="176">
        <f t="shared" si="104"/>
        <v>5</v>
      </c>
      <c r="U279" s="250">
        <f t="shared" si="105"/>
        <v>-7.601386986196057E-3</v>
      </c>
      <c r="V279" s="382">
        <f t="shared" si="106"/>
        <v>43.915965834542909</v>
      </c>
      <c r="W279" s="400"/>
      <c r="X279" s="157">
        <f t="shared" si="107"/>
        <v>44461</v>
      </c>
      <c r="Y279" s="383">
        <f t="shared" si="108"/>
        <v>41.375999999999998</v>
      </c>
      <c r="Z279" s="383">
        <f t="shared" si="109"/>
        <v>42.160453422953978</v>
      </c>
      <c r="AA279" s="384">
        <f t="shared" si="110"/>
        <v>45.478053484563127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7.2949473590272693E-2</v>
      </c>
      <c r="AD279" s="230">
        <f>(INDEX(Models!$BJ279:$BT279,,AH279)*(1-AF279)+INDEX(Models!$BJ279:$BT279,,AH279+1)*AF279-ERP_i)*AE279*Ramure*Pc/MaxiM</f>
        <v>5.6761492006712538E-4</v>
      </c>
      <c r="AE279" s="304">
        <f t="shared" si="112"/>
        <v>0.6</v>
      </c>
      <c r="AF279" s="177">
        <f t="shared" si="113"/>
        <v>0.99239861301380394</v>
      </c>
      <c r="AG279" s="799">
        <f t="shared" si="119"/>
        <v>-1</v>
      </c>
      <c r="AH279" s="176">
        <f t="shared" si="114"/>
        <v>5</v>
      </c>
      <c r="AI279" s="224">
        <f t="shared" si="115"/>
        <v>-7.601386986196057E-3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35.954000000000001</v>
      </c>
      <c r="C280" s="388"/>
      <c r="D280" s="391">
        <f t="shared" si="98"/>
        <v>36.636359087268708</v>
      </c>
      <c r="E280" s="383">
        <f t="shared" si="96"/>
        <v>39.521689741821007</v>
      </c>
      <c r="F280" s="383">
        <f t="shared" si="99"/>
        <v>39.538997574854861</v>
      </c>
      <c r="G280" s="110">
        <f t="shared" si="97"/>
        <v>0.8239706220106533</v>
      </c>
      <c r="H280" s="412" t="b">
        <f>Wh_hp&gt;='2020'!Maxi_hp</f>
        <v>0</v>
      </c>
      <c r="I280" s="379">
        <f>IF(H280,Wh_hp,'2020'!Maxi_hp)</f>
        <v>41.863369362780062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1.8625188317521135E-2</v>
      </c>
      <c r="M280" s="832"/>
      <c r="N280" s="832"/>
      <c r="O280" s="48">
        <f>IF(t&lt;Tnet,'2020'!Resal+('2020'!Salim-'2020'!Resal)*(1-EXP(('2020'!Tnet-t)/('2020'!Tau_j))),Resal+(Salim-Resal)*(1-EXP((Tnet-t)/(Tau_j))))*Salcycl</f>
        <v>7.3006257409563777E-2</v>
      </c>
      <c r="P280" s="169">
        <f>(INDEX(Models!$BJ280:$BT280,,T280)*(1-R280)+INDEX(Models!$BJ280:$BT280,,T280+1)*R280-ERP_i)*Q280*Ramure*Pc/MaxiM</f>
        <v>5.8466588704242232E-4</v>
      </c>
      <c r="Q280" s="304">
        <f t="shared" si="101"/>
        <v>0.6</v>
      </c>
      <c r="R280" s="177">
        <f t="shared" si="102"/>
        <v>0.99267194326936914</v>
      </c>
      <c r="S280" s="799">
        <f t="shared" si="103"/>
        <v>-1</v>
      </c>
      <c r="T280" s="176">
        <f t="shared" si="104"/>
        <v>5</v>
      </c>
      <c r="U280" s="250">
        <f t="shared" si="105"/>
        <v>-7.3280567306308053E-3</v>
      </c>
      <c r="V280" s="382">
        <f t="shared" si="106"/>
        <v>43.628636971121701</v>
      </c>
      <c r="W280" s="400"/>
      <c r="X280" s="157">
        <f t="shared" si="107"/>
        <v>44462</v>
      </c>
      <c r="Y280" s="383">
        <f t="shared" si="108"/>
        <v>35.954000000000001</v>
      </c>
      <c r="Z280" s="383">
        <f t="shared" si="109"/>
        <v>36.636359087268708</v>
      </c>
      <c r="AA280" s="384">
        <f t="shared" si="110"/>
        <v>39.521689741821007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7.3006257409563777E-2</v>
      </c>
      <c r="AD280" s="230">
        <f>(INDEX(Models!$BJ280:$BT280,,AH280)*(1-AF280)+INDEX(Models!$BJ280:$BT280,,AH280+1)*AF280-ERP_i)*AE280*Ramure*Pc/MaxiM</f>
        <v>5.8466588704242232E-4</v>
      </c>
      <c r="AE280" s="304">
        <f t="shared" si="112"/>
        <v>0.6</v>
      </c>
      <c r="AF280" s="177">
        <f t="shared" si="113"/>
        <v>0.99267194326936914</v>
      </c>
      <c r="AG280" s="799">
        <f t="shared" si="119"/>
        <v>-1</v>
      </c>
      <c r="AH280" s="176">
        <f t="shared" si="114"/>
        <v>5</v>
      </c>
      <c r="AI280" s="224">
        <f t="shared" si="115"/>
        <v>-7.3280567306308053E-3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36.764000000000003</v>
      </c>
      <c r="C281" s="388"/>
      <c r="D281" s="391">
        <f t="shared" si="98"/>
        <v>37.462449768958564</v>
      </c>
      <c r="E281" s="383">
        <f t="shared" si="96"/>
        <v>40.415275937934112</v>
      </c>
      <c r="F281" s="383">
        <f t="shared" si="99"/>
        <v>40.4343470381435</v>
      </c>
      <c r="G281" s="110">
        <f t="shared" si="97"/>
        <v>0.84819279236802503</v>
      </c>
      <c r="H281" s="412" t="b">
        <f>Wh_hp&gt;='2020'!Maxi_hp</f>
        <v>1</v>
      </c>
      <c r="I281" s="379">
        <f>IF(H281,Wh_hp,'2020'!Maxi_hp)</f>
        <v>40.4343470381435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1.8643996141899377E-2</v>
      </c>
      <c r="M281" s="832"/>
      <c r="N281" s="832"/>
      <c r="O281" s="48">
        <f>IF(t&lt;Tnet,'2020'!Resal+('2020'!Salim-'2020'!Resal)*(1-EXP(('2020'!Tnet-t)/('2020'!Tau_j))),Resal+(Salim-Resal)*(1-EXP((Tnet-t)/(Tau_j))))*Salcycl</f>
        <v>7.3062130604037365E-2</v>
      </c>
      <c r="P281" s="169">
        <f>(INDEX(Models!$BJ281:$BT281,,T281)*(1-R281)+INDEX(Models!$BJ281:$BT281,,T281+1)*R281-ERP_i)*Q281*Ramure*Pc/MaxiM</f>
        <v>6.0214669066120912E-4</v>
      </c>
      <c r="Q281" s="304">
        <f t="shared" si="101"/>
        <v>0.6</v>
      </c>
      <c r="R281" s="177">
        <f t="shared" si="102"/>
        <v>0.99293455306150524</v>
      </c>
      <c r="S281" s="799">
        <f t="shared" si="103"/>
        <v>-1</v>
      </c>
      <c r="T281" s="176">
        <f t="shared" si="104"/>
        <v>5</v>
      </c>
      <c r="U281" s="250">
        <f t="shared" si="105"/>
        <v>-7.0654469384947571E-3</v>
      </c>
      <c r="V281" s="382">
        <f t="shared" si="106"/>
        <v>43.338260717673556</v>
      </c>
      <c r="W281" s="400"/>
      <c r="X281" s="157">
        <f t="shared" si="107"/>
        <v>44463</v>
      </c>
      <c r="Y281" s="383">
        <f t="shared" si="108"/>
        <v>36.764000000000003</v>
      </c>
      <c r="Z281" s="383">
        <f t="shared" si="109"/>
        <v>37.462449768958564</v>
      </c>
      <c r="AA281" s="384">
        <f t="shared" si="110"/>
        <v>40.415275937934112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7.3062130604037365E-2</v>
      </c>
      <c r="AD281" s="230">
        <f>(INDEX(Models!$BJ281:$BT281,,AH281)*(1-AF281)+INDEX(Models!$BJ281:$BT281,,AH281+1)*AF281-ERP_i)*AE281*Ramure*Pc/MaxiM</f>
        <v>6.0214669066120912E-4</v>
      </c>
      <c r="AE281" s="304">
        <f t="shared" si="112"/>
        <v>0.6</v>
      </c>
      <c r="AF281" s="177">
        <f t="shared" si="113"/>
        <v>0.99293455306150524</v>
      </c>
      <c r="AG281" s="799">
        <f t="shared" si="119"/>
        <v>-1</v>
      </c>
      <c r="AH281" s="176">
        <f t="shared" si="114"/>
        <v>5</v>
      </c>
      <c r="AI281" s="224">
        <f t="shared" si="115"/>
        <v>-7.0654469384947571E-3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31.89</v>
      </c>
      <c r="C282" s="388"/>
      <c r="D282" s="391">
        <f t="shared" si="98"/>
        <v>32.496475337097962</v>
      </c>
      <c r="E282" s="383">
        <f t="shared" si="96"/>
        <v>35.059956514810338</v>
      </c>
      <c r="F282" s="383">
        <f t="shared" si="99"/>
        <v>35.073670766831576</v>
      </c>
      <c r="G282" s="110">
        <f t="shared" si="97"/>
        <v>0.74068389940229507</v>
      </c>
      <c r="H282" s="412" t="b">
        <f>Wh_hp&gt;='2020'!Maxi_hp</f>
        <v>1</v>
      </c>
      <c r="I282" s="379">
        <f>IF(H282,Wh_hp,'2020'!Maxi_hp)</f>
        <v>35.073670766831576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1.8662803605830058E-2</v>
      </c>
      <c r="M282" s="832"/>
      <c r="N282" s="832"/>
      <c r="O282" s="48">
        <f>IF(t&lt;Tnet,'2020'!Resal+('2020'!Salim-'2020'!Resal)*(1-EXP(('2020'!Tnet-t)/('2020'!Tau_j))),Resal+(Salim-Resal)*(1-EXP((Tnet-t)/(Tau_j))))*Salcycl</f>
        <v>7.3117066663487898E-2</v>
      </c>
      <c r="P282" s="169">
        <f>(INDEX(Models!$BJ282:$BT282,,T282)*(1-R282)+INDEX(Models!$BJ282:$BT282,,T282+1)*R282-ERP_i)*Q282*Ramure*Pc/MaxiM</f>
        <v>6.2086033314093258E-4</v>
      </c>
      <c r="Q282" s="304">
        <f t="shared" si="101"/>
        <v>0.6</v>
      </c>
      <c r="R282" s="177">
        <f t="shared" si="102"/>
        <v>0.99318685198872347</v>
      </c>
      <c r="S282" s="799">
        <f t="shared" si="103"/>
        <v>-1</v>
      </c>
      <c r="T282" s="176">
        <f t="shared" si="104"/>
        <v>5</v>
      </c>
      <c r="U282" s="250">
        <f t="shared" si="105"/>
        <v>-6.8131480112764709E-3</v>
      </c>
      <c r="V282" s="382">
        <f t="shared" si="106"/>
        <v>43.044903930977583</v>
      </c>
      <c r="W282" s="400"/>
      <c r="X282" s="157">
        <f t="shared" si="107"/>
        <v>44464</v>
      </c>
      <c r="Y282" s="383">
        <f t="shared" si="108"/>
        <v>31.890000000000004</v>
      </c>
      <c r="Z282" s="383">
        <f t="shared" si="109"/>
        <v>32.496475337097962</v>
      </c>
      <c r="AA282" s="384">
        <f t="shared" si="110"/>
        <v>35.059956514810338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7.3117066663487898E-2</v>
      </c>
      <c r="AD282" s="230">
        <f>(INDEX(Models!$BJ282:$BT282,,AH282)*(1-AF282)+INDEX(Models!$BJ282:$BT282,,AH282+1)*AF282-ERP_i)*AE282*Ramure*Pc/MaxiM</f>
        <v>6.2086033314093258E-4</v>
      </c>
      <c r="AE282" s="304">
        <f t="shared" si="112"/>
        <v>0.6</v>
      </c>
      <c r="AF282" s="177">
        <f t="shared" si="113"/>
        <v>0.99318685198872347</v>
      </c>
      <c r="AG282" s="799">
        <f t="shared" si="119"/>
        <v>-1</v>
      </c>
      <c r="AH282" s="176">
        <f t="shared" si="114"/>
        <v>5</v>
      </c>
      <c r="AI282" s="224">
        <f t="shared" si="115"/>
        <v>-6.8131480112764709E-3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36.084000000000003</v>
      </c>
      <c r="C283" s="388"/>
      <c r="D283" s="391">
        <f t="shared" si="98"/>
        <v>36.770940393853586</v>
      </c>
      <c r="E283" s="383">
        <f t="shared" si="96"/>
        <v>39.673922545417007</v>
      </c>
      <c r="F283" s="383">
        <f t="shared" si="99"/>
        <v>39.693686966189702</v>
      </c>
      <c r="G283" s="110">
        <f t="shared" si="97"/>
        <v>0.84397579525289312</v>
      </c>
      <c r="H283" s="412" t="b">
        <f>Wh_hp&gt;='2020'!Maxi_hp</f>
        <v>1</v>
      </c>
      <c r="I283" s="379">
        <f>IF(H283,Wh_hp,'2020'!Maxi_hp)</f>
        <v>39.693686966189702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1.8681610709319951E-2</v>
      </c>
      <c r="M283" s="832"/>
      <c r="N283" s="832"/>
      <c r="O283" s="48">
        <f>IF(t&lt;Tnet,'2020'!Resal+('2020'!Salim-'2020'!Resal)*(1-EXP(('2020'!Tnet-t)/('2020'!Tau_j))),Resal+(Salim-Resal)*(1-EXP((Tnet-t)/(Tau_j))))*Salcycl</f>
        <v>7.3171039446382272E-2</v>
      </c>
      <c r="P283" s="169">
        <f>(INDEX(Models!$BJ283:$BT283,,T283)*(1-R283)+INDEX(Models!$BJ283:$BT283,,T283+1)*R283-ERP_i)*Q283*Ramure*Pc/MaxiM</f>
        <v>6.4059704327205317E-4</v>
      </c>
      <c r="Q283" s="304">
        <f t="shared" si="101"/>
        <v>0.6</v>
      </c>
      <c r="R283" s="177">
        <f t="shared" si="102"/>
        <v>0.99342923484910139</v>
      </c>
      <c r="S283" s="799">
        <f t="shared" si="103"/>
        <v>-1</v>
      </c>
      <c r="T283" s="176">
        <f t="shared" si="104"/>
        <v>5</v>
      </c>
      <c r="U283" s="250">
        <f t="shared" si="105"/>
        <v>-6.5707651508985498E-3</v>
      </c>
      <c r="V283" s="382">
        <f t="shared" si="106"/>
        <v>42.748677636507352</v>
      </c>
      <c r="W283" s="400"/>
      <c r="X283" s="157">
        <f t="shared" si="107"/>
        <v>44465</v>
      </c>
      <c r="Y283" s="383">
        <f t="shared" si="108"/>
        <v>36.084000000000003</v>
      </c>
      <c r="Z283" s="383">
        <f t="shared" si="109"/>
        <v>36.770940393853586</v>
      </c>
      <c r="AA283" s="384">
        <f t="shared" si="110"/>
        <v>39.673922545417007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7.3171039446382272E-2</v>
      </c>
      <c r="AD283" s="230">
        <f>(INDEX(Models!$BJ283:$BT283,,AH283)*(1-AF283)+INDEX(Models!$BJ283:$BT283,,AH283+1)*AF283-ERP_i)*AE283*Ramure*Pc/MaxiM</f>
        <v>6.4059704327205317E-4</v>
      </c>
      <c r="AE283" s="304">
        <f t="shared" si="112"/>
        <v>0.6</v>
      </c>
      <c r="AF283" s="177">
        <f t="shared" si="113"/>
        <v>0.99342923484910139</v>
      </c>
      <c r="AG283" s="799">
        <f t="shared" si="119"/>
        <v>-1</v>
      </c>
      <c r="AH283" s="176">
        <f t="shared" si="114"/>
        <v>5</v>
      </c>
      <c r="AI283" s="224">
        <f t="shared" si="115"/>
        <v>-6.5707651508985498E-3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21.309000000000001</v>
      </c>
      <c r="C284" s="388"/>
      <c r="D284" s="391">
        <f t="shared" si="98"/>
        <v>21.715081081231219</v>
      </c>
      <c r="E284" s="383">
        <f t="shared" si="96"/>
        <v>23.43077683110992</v>
      </c>
      <c r="F284" s="383">
        <f t="shared" si="99"/>
        <v>23.435249075999511</v>
      </c>
      <c r="G284" s="110">
        <f t="shared" si="97"/>
        <v>0.50174630073468784</v>
      </c>
      <c r="H284" s="412" t="b">
        <f>Wh_hp&gt;='2020'!Maxi_hp</f>
        <v>0</v>
      </c>
      <c r="I284" s="379">
        <f>IF(H284,Wh_hp,'2020'!Maxi_hp)</f>
        <v>37.960845399345402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1.870041745237605E-2</v>
      </c>
      <c r="M284" s="832"/>
      <c r="N284" s="832"/>
      <c r="O284" s="48">
        <f>IF(t&lt;Tnet,'2020'!Resal+('2020'!Salim-'2020'!Resal)*(1-EXP(('2020'!Tnet-t)/('2020'!Tau_j))),Resal+(Salim-Resal)*(1-EXP((Tnet-t)/(Tau_j))))*Salcycl</f>
        <v>7.3224023353792911E-2</v>
      </c>
      <c r="P284" s="169">
        <f>(INDEX(Models!$BJ284:$BT284,,T284)*(1-R284)+INDEX(Models!$BJ284:$BT284,,T284+1)*R284-ERP_i)*Q284*Ramure*Pc/MaxiM</f>
        <v>6.6136347466093934E-4</v>
      </c>
      <c r="Q284" s="304">
        <f t="shared" si="101"/>
        <v>0.6</v>
      </c>
      <c r="R284" s="177">
        <f t="shared" si="102"/>
        <v>0.99366208210817075</v>
      </c>
      <c r="S284" s="799">
        <f t="shared" si="103"/>
        <v>-1</v>
      </c>
      <c r="T284" s="176">
        <f t="shared" si="104"/>
        <v>5</v>
      </c>
      <c r="U284" s="250">
        <f t="shared" si="105"/>
        <v>-6.3379178918293033E-3</v>
      </c>
      <c r="V284" s="382">
        <f t="shared" si="106"/>
        <v>42.449683325629515</v>
      </c>
      <c r="W284" s="400"/>
      <c r="X284" s="157">
        <f t="shared" si="107"/>
        <v>44466</v>
      </c>
      <c r="Y284" s="383">
        <f t="shared" si="108"/>
        <v>21.309000000000001</v>
      </c>
      <c r="Z284" s="383">
        <f t="shared" si="109"/>
        <v>21.715081081231219</v>
      </c>
      <c r="AA284" s="384">
        <f t="shared" si="110"/>
        <v>23.43077683110992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7.3224023353792911E-2</v>
      </c>
      <c r="AD284" s="230">
        <f>(INDEX(Models!$BJ284:$BT284,,AH284)*(1-AF284)+INDEX(Models!$BJ284:$BT284,,AH284+1)*AF284-ERP_i)*AE284*Ramure*Pc/MaxiM</f>
        <v>6.6136347466093934E-4</v>
      </c>
      <c r="AE284" s="304">
        <f t="shared" si="112"/>
        <v>0.6</v>
      </c>
      <c r="AF284" s="177">
        <f t="shared" si="113"/>
        <v>0.99366208210817075</v>
      </c>
      <c r="AG284" s="799">
        <f t="shared" si="119"/>
        <v>-1</v>
      </c>
      <c r="AH284" s="176">
        <f t="shared" si="114"/>
        <v>5</v>
      </c>
      <c r="AI284" s="224">
        <f t="shared" si="115"/>
        <v>-6.3379178918293033E-3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24.843</v>
      </c>
      <c r="C285" s="388"/>
      <c r="D285" s="391">
        <f t="shared" si="98"/>
        <v>25.316912960519304</v>
      </c>
      <c r="E285" s="383">
        <f t="shared" si="96"/>
        <v>27.318719255457459</v>
      </c>
      <c r="F285" s="383">
        <f t="shared" si="99"/>
        <v>27.326437945493204</v>
      </c>
      <c r="G285" s="110">
        <f t="shared" si="97"/>
        <v>0.58918642185185333</v>
      </c>
      <c r="H285" s="412" t="b">
        <f>Wh_hp&gt;='2020'!Maxi_hp</f>
        <v>0</v>
      </c>
      <c r="I285" s="379">
        <f>IF(H285,Wh_hp,'2020'!Maxi_hp)</f>
        <v>38.326040675068562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1.8719223835005128E-2</v>
      </c>
      <c r="M285" s="832"/>
      <c r="N285" s="832"/>
      <c r="O285" s="48">
        <f>IF(t&lt;Tnet,'2020'!Resal+('2020'!Salim-'2020'!Resal)*(1-EXP(('2020'!Tnet-t)/('2020'!Tau_j))),Resal+(Salim-Resal)*(1-EXP((Tnet-t)/(Tau_j))))*Salcycl</f>
        <v>7.3275993512699311E-2</v>
      </c>
      <c r="P285" s="169">
        <f>(INDEX(Models!$BJ285:$BT285,,T285)*(1-R285)+INDEX(Models!$BJ285:$BT285,,T285+1)*R285-ERP_i)*Q285*Ramure*Pc/MaxiM</f>
        <v>6.831657225893768E-4</v>
      </c>
      <c r="Q285" s="304">
        <f t="shared" si="101"/>
        <v>0.6</v>
      </c>
      <c r="R285" s="177">
        <f t="shared" si="102"/>
        <v>0.99388576035745735</v>
      </c>
      <c r="S285" s="799">
        <f t="shared" si="103"/>
        <v>-1</v>
      </c>
      <c r="T285" s="176">
        <f t="shared" si="104"/>
        <v>5</v>
      </c>
      <c r="U285" s="250">
        <f t="shared" si="105"/>
        <v>-6.1142396425426515E-3</v>
      </c>
      <c r="V285" s="382">
        <f t="shared" si="106"/>
        <v>42.148022412991217</v>
      </c>
      <c r="W285" s="400"/>
      <c r="X285" s="157">
        <f t="shared" si="107"/>
        <v>44467</v>
      </c>
      <c r="Y285" s="383">
        <f t="shared" si="108"/>
        <v>24.843</v>
      </c>
      <c r="Z285" s="383">
        <f t="shared" si="109"/>
        <v>25.316912960519304</v>
      </c>
      <c r="AA285" s="384">
        <f t="shared" si="110"/>
        <v>27.318719255457459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7.3275993512699311E-2</v>
      </c>
      <c r="AD285" s="230">
        <f>(INDEX(Models!$BJ285:$BT285,,AH285)*(1-AF285)+INDEX(Models!$BJ285:$BT285,,AH285+1)*AF285-ERP_i)*AE285*Ramure*Pc/MaxiM</f>
        <v>6.831657225893768E-4</v>
      </c>
      <c r="AE285" s="304">
        <f t="shared" si="112"/>
        <v>0.6</v>
      </c>
      <c r="AF285" s="177">
        <f t="shared" si="113"/>
        <v>0.99388576035745735</v>
      </c>
      <c r="AG285" s="799">
        <f t="shared" si="119"/>
        <v>-1</v>
      </c>
      <c r="AH285" s="176">
        <f t="shared" si="114"/>
        <v>5</v>
      </c>
      <c r="AI285" s="224">
        <f t="shared" si="115"/>
        <v>-6.1142396425426515E-3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31.571000000000002</v>
      </c>
      <c r="C286" s="388"/>
      <c r="D286" s="391">
        <f t="shared" si="98"/>
        <v>32.173875030952267</v>
      </c>
      <c r="E286" s="383">
        <f t="shared" si="96"/>
        <v>34.719768959018815</v>
      </c>
      <c r="F286" s="383">
        <f t="shared" si="99"/>
        <v>34.73569173963439</v>
      </c>
      <c r="G286" s="110">
        <f t="shared" si="97"/>
        <v>0.75430964509665466</v>
      </c>
      <c r="H286" s="412" t="b">
        <f>Wh_hp&gt;='2020'!Maxi_hp</f>
        <v>0</v>
      </c>
      <c r="I286" s="379">
        <f>IF(H286,Wh_hp,'2020'!Maxi_hp)</f>
        <v>44.025423023353014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1.8738029857214289E-2</v>
      </c>
      <c r="M286" s="832"/>
      <c r="N286" s="832"/>
      <c r="O286" s="48">
        <f>IF(t&lt;Tnet,'2020'!Resal+('2020'!Salim-'2020'!Resal)*(1-EXP(('2020'!Tnet-t)/('2020'!Tau_j))),Resal+(Salim-Resal)*(1-EXP((Tnet-t)/(Tau_j))))*Salcycl</f>
        <v>7.3326925967496237E-2</v>
      </c>
      <c r="P286" s="169">
        <f>(INDEX(Models!$BJ286:$BT286,,T286)*(1-R286)+INDEX(Models!$BJ286:$BT286,,T286+1)*R286-ERP_i)*Q286*Ramure*Pc/MaxiM</f>
        <v>7.0600927448548725E-4</v>
      </c>
      <c r="Q286" s="304">
        <f t="shared" si="101"/>
        <v>0.6</v>
      </c>
      <c r="R286" s="177">
        <f t="shared" si="102"/>
        <v>0.99410062276336753</v>
      </c>
      <c r="S286" s="799">
        <f t="shared" si="103"/>
        <v>-1</v>
      </c>
      <c r="T286" s="176">
        <f t="shared" si="104"/>
        <v>5</v>
      </c>
      <c r="U286" s="250">
        <f t="shared" si="105"/>
        <v>-5.8993772366324193E-3</v>
      </c>
      <c r="V286" s="382">
        <f t="shared" si="106"/>
        <v>41.843796235020029</v>
      </c>
      <c r="W286" s="400"/>
      <c r="X286" s="157">
        <f t="shared" si="107"/>
        <v>44468</v>
      </c>
      <c r="Y286" s="383">
        <f t="shared" si="108"/>
        <v>31.571000000000002</v>
      </c>
      <c r="Z286" s="383">
        <f t="shared" si="109"/>
        <v>32.173875030952267</v>
      </c>
      <c r="AA286" s="384">
        <f t="shared" si="110"/>
        <v>34.719768959018815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7.3326925967496237E-2</v>
      </c>
      <c r="AD286" s="230">
        <f>(INDEX(Models!$BJ286:$BT286,,AH286)*(1-AF286)+INDEX(Models!$BJ286:$BT286,,AH286+1)*AF286-ERP_i)*AE286*Ramure*Pc/MaxiM</f>
        <v>7.0600927448548725E-4</v>
      </c>
      <c r="AE286" s="304">
        <f t="shared" si="112"/>
        <v>0.6</v>
      </c>
      <c r="AF286" s="177">
        <f t="shared" si="113"/>
        <v>0.99410062276336753</v>
      </c>
      <c r="AG286" s="799">
        <f t="shared" si="119"/>
        <v>-1</v>
      </c>
      <c r="AH286" s="176">
        <f t="shared" si="114"/>
        <v>5</v>
      </c>
      <c r="AI286" s="224">
        <f t="shared" si="115"/>
        <v>-5.8993772366324193E-3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17.152999999999999</v>
      </c>
      <c r="C287" s="388"/>
      <c r="D287" s="391">
        <f t="shared" si="98"/>
        <v>17.480886105405641</v>
      </c>
      <c r="E287" s="383">
        <f t="shared" si="96"/>
        <v>18.865150435885425</v>
      </c>
      <c r="F287" s="383">
        <f t="shared" si="99"/>
        <v>18.867372648977206</v>
      </c>
      <c r="G287" s="110">
        <f t="shared" si="97"/>
        <v>0.41270326063611734</v>
      </c>
      <c r="H287" s="412" t="b">
        <f>Wh_hp&gt;='2020'!Maxi_hp</f>
        <v>0</v>
      </c>
      <c r="I287" s="379">
        <f>IF(H287,Wh_hp,'2020'!Maxi_hp)</f>
        <v>36.159220038545989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1.8756835519010195E-2</v>
      </c>
      <c r="M287" s="832"/>
      <c r="N287" s="832"/>
      <c r="O287" s="48">
        <f>IF(t&lt;Tnet,'2020'!Resal+('2020'!Salim-'2020'!Resal)*(1-EXP(('2020'!Tnet-t)/('2020'!Tau_j))),Resal+(Salim-Resal)*(1-EXP((Tnet-t)/(Tau_j))))*Salcycl</f>
        <v>7.3376797878411087E-2</v>
      </c>
      <c r="P287" s="169">
        <f>(INDEX(Models!$BJ287:$BT287,,T287)*(1-R287)+INDEX(Models!$BJ287:$BT287,,T287+1)*R287-ERP_i)*Q287*Ramure*Pc/MaxiM</f>
        <v>7.298989637229828E-4</v>
      </c>
      <c r="Q287" s="304">
        <f t="shared" si="101"/>
        <v>0.6</v>
      </c>
      <c r="R287" s="177">
        <f t="shared" si="102"/>
        <v>0.99430700950617656</v>
      </c>
      <c r="S287" s="799">
        <f t="shared" si="103"/>
        <v>-1</v>
      </c>
      <c r="T287" s="176">
        <f t="shared" si="104"/>
        <v>5</v>
      </c>
      <c r="U287" s="250">
        <f t="shared" si="105"/>
        <v>-5.6929904938234355E-3</v>
      </c>
      <c r="V287" s="382">
        <f t="shared" si="106"/>
        <v>41.537106038036541</v>
      </c>
      <c r="W287" s="400"/>
      <c r="X287" s="157">
        <f t="shared" si="107"/>
        <v>44469</v>
      </c>
      <c r="Y287" s="383">
        <f t="shared" si="108"/>
        <v>17.152999999999999</v>
      </c>
      <c r="Z287" s="383">
        <f t="shared" si="109"/>
        <v>17.480886105405641</v>
      </c>
      <c r="AA287" s="384">
        <f t="shared" si="110"/>
        <v>18.865150435885425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7.3376797878411087E-2</v>
      </c>
      <c r="AD287" s="230">
        <f>(INDEX(Models!$BJ287:$BT287,,AH287)*(1-AF287)+INDEX(Models!$BJ287:$BT287,,AH287+1)*AF287-ERP_i)*AE287*Ramure*Pc/MaxiM</f>
        <v>7.298989637229828E-4</v>
      </c>
      <c r="AE287" s="304">
        <f t="shared" si="112"/>
        <v>0.6</v>
      </c>
      <c r="AF287" s="177">
        <f t="shared" si="113"/>
        <v>0.99430700950617656</v>
      </c>
      <c r="AG287" s="799">
        <f t="shared" si="119"/>
        <v>-1</v>
      </c>
      <c r="AH287" s="176">
        <f t="shared" si="114"/>
        <v>5</v>
      </c>
      <c r="AI287" s="224">
        <f t="shared" si="115"/>
        <v>-5.6929904938234355E-3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30.696999999999999</v>
      </c>
      <c r="C288" s="388"/>
      <c r="D288" s="391">
        <f t="shared" si="98"/>
        <v>31.284384364107822</v>
      </c>
      <c r="E288" s="383">
        <f t="shared" si="96"/>
        <v>33.763488339063656</v>
      </c>
      <c r="F288" s="383">
        <f t="shared" si="99"/>
        <v>33.779682106511082</v>
      </c>
      <c r="G288" s="110">
        <f t="shared" si="97"/>
        <v>0.74436065707601695</v>
      </c>
      <c r="H288" s="412" t="b">
        <f>Wh_hp&gt;='2020'!Maxi_hp</f>
        <v>0</v>
      </c>
      <c r="I288" s="379">
        <f>IF(H288,Wh_hp,'2020'!Maxi_hp)</f>
        <v>44.503895100671492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1.8775640820399953E-2</v>
      </c>
      <c r="M288" s="832"/>
      <c r="N288" s="832"/>
      <c r="O288" s="48">
        <f>IF(t&lt;Tnet,'2020'!Resal+('2020'!Salim-'2020'!Resal)*(1-EXP(('2020'!Tnet-t)/('2020'!Tau_j))),Resal+(Salim-Resal)*(1-EXP((Tnet-t)/(Tau_j))))*Salcycl</f>
        <v>7.3425587725411676E-2</v>
      </c>
      <c r="P288" s="169">
        <f>(INDEX(Models!$BJ288:$BT288,,T288)*(1-R288)+INDEX(Models!$BJ288:$BT288,,T288+1)*R288-ERP_i)*Q288*Ramure*Pc/MaxiM</f>
        <v>7.5483892715124106E-4</v>
      </c>
      <c r="Q288" s="304">
        <f t="shared" si="101"/>
        <v>0.6</v>
      </c>
      <c r="R288" s="177">
        <f t="shared" si="102"/>
        <v>0.99450524820892483</v>
      </c>
      <c r="S288" s="799">
        <f t="shared" si="103"/>
        <v>-1</v>
      </c>
      <c r="T288" s="176">
        <f t="shared" si="104"/>
        <v>5</v>
      </c>
      <c r="U288" s="250">
        <f t="shared" si="105"/>
        <v>-5.4947517910751698E-3</v>
      </c>
      <c r="V288" s="382">
        <f t="shared" si="106"/>
        <v>41.228052975862624</v>
      </c>
      <c r="W288" s="400"/>
      <c r="X288" s="157">
        <f t="shared" si="107"/>
        <v>44470</v>
      </c>
      <c r="Y288" s="383">
        <f t="shared" si="108"/>
        <v>30.697000000000003</v>
      </c>
      <c r="Z288" s="383">
        <f t="shared" si="109"/>
        <v>31.284384364107826</v>
      </c>
      <c r="AA288" s="384">
        <f t="shared" si="110"/>
        <v>33.763488339063656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7.3425587725411676E-2</v>
      </c>
      <c r="AD288" s="230">
        <f>(INDEX(Models!$BJ288:$BT288,,AH288)*(1-AF288)+INDEX(Models!$BJ288:$BT288,,AH288+1)*AF288-ERP_i)*AE288*Ramure*Pc/MaxiM</f>
        <v>7.5483892715124106E-4</v>
      </c>
      <c r="AE288" s="304">
        <f t="shared" si="112"/>
        <v>0.6</v>
      </c>
      <c r="AF288" s="177">
        <f t="shared" si="113"/>
        <v>0.99450524820892483</v>
      </c>
      <c r="AG288" s="799">
        <f t="shared" si="119"/>
        <v>-1</v>
      </c>
      <c r="AH288" s="176">
        <f t="shared" si="114"/>
        <v>5</v>
      </c>
      <c r="AI288" s="224">
        <f t="shared" si="115"/>
        <v>-5.4947517910751698E-3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37.774999999999999</v>
      </c>
      <c r="C289" s="388"/>
      <c r="D289" s="391">
        <f t="shared" si="98"/>
        <v>38.498559080530711</v>
      </c>
      <c r="E289" s="383">
        <f t="shared" si="96"/>
        <v>41.551482610471197</v>
      </c>
      <c r="F289" s="383">
        <f t="shared" si="99"/>
        <v>41.580391272190035</v>
      </c>
      <c r="G289" s="110">
        <f t="shared" si="97"/>
        <v>0.92317211320753245</v>
      </c>
      <c r="H289" s="412" t="b">
        <f>Wh_hp&gt;='2020'!Maxi_hp</f>
        <v>1</v>
      </c>
      <c r="I289" s="379">
        <f>IF(H289,Wh_hp,'2020'!Maxi_hp)</f>
        <v>41.580391272190035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1.8794445761390333E-2</v>
      </c>
      <c r="M289" s="832"/>
      <c r="N289" s="832"/>
      <c r="O289" s="48">
        <f>IF(t&lt;Tnet,'2020'!Resal+('2020'!Salim-'2020'!Resal)*(1-EXP(('2020'!Tnet-t)/('2020'!Tau_j))),Resal+(Salim-Resal)*(1-EXP((Tnet-t)/(Tau_j))))*Salcycl</f>
        <v>7.3473275516073355E-2</v>
      </c>
      <c r="P289" s="169">
        <f>(INDEX(Models!$BJ289:$BT289,,T289)*(1-R289)+INDEX(Models!$BJ289:$BT289,,T289+1)*R289-ERP_i)*Q289*Ramure*Pc/MaxiM</f>
        <v>7.8086206286209206E-4</v>
      </c>
      <c r="Q289" s="304">
        <f t="shared" si="101"/>
        <v>0.6</v>
      </c>
      <c r="R289" s="177">
        <f t="shared" si="102"/>
        <v>0.9946956543560812</v>
      </c>
      <c r="S289" s="799">
        <f t="shared" si="103"/>
        <v>-1</v>
      </c>
      <c r="T289" s="176">
        <f t="shared" si="104"/>
        <v>5</v>
      </c>
      <c r="U289" s="250">
        <f t="shared" si="105"/>
        <v>-5.3043456439187953E-3</v>
      </c>
      <c r="V289" s="382">
        <f t="shared" si="106"/>
        <v>40.915191347532577</v>
      </c>
      <c r="W289" s="400"/>
      <c r="X289" s="157">
        <f t="shared" si="107"/>
        <v>44471</v>
      </c>
      <c r="Y289" s="383">
        <f t="shared" si="108"/>
        <v>37.774999999999999</v>
      </c>
      <c r="Z289" s="383">
        <f t="shared" si="109"/>
        <v>38.498559080530711</v>
      </c>
      <c r="AA289" s="384">
        <f t="shared" si="110"/>
        <v>41.551482610471197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7.3473275516073355E-2</v>
      </c>
      <c r="AD289" s="230">
        <f>(INDEX(Models!$BJ289:$BT289,,AH289)*(1-AF289)+INDEX(Models!$BJ289:$BT289,,AH289+1)*AF289-ERP_i)*AE289*Ramure*Pc/MaxiM</f>
        <v>7.8086206286209206E-4</v>
      </c>
      <c r="AE289" s="304">
        <f t="shared" si="112"/>
        <v>0.6</v>
      </c>
      <c r="AF289" s="177">
        <f t="shared" si="113"/>
        <v>0.9946956543560812</v>
      </c>
      <c r="AG289" s="799">
        <f t="shared" si="119"/>
        <v>-1</v>
      </c>
      <c r="AH289" s="176">
        <f t="shared" si="114"/>
        <v>5</v>
      </c>
      <c r="AI289" s="224">
        <f t="shared" si="115"/>
        <v>-5.3043456439187953E-3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6.3159999999999998</v>
      </c>
      <c r="C290" s="388"/>
      <c r="D290" s="391">
        <f t="shared" si="98"/>
        <v>6.4371028269607331</v>
      </c>
      <c r="E290" s="383">
        <f t="shared" si="96"/>
        <v>6.9479122443108965</v>
      </c>
      <c r="F290" s="383">
        <f t="shared" si="99"/>
        <v>6.9479122443108965</v>
      </c>
      <c r="G290" s="110">
        <f t="shared" si="97"/>
        <v>0.15545072775750249</v>
      </c>
      <c r="H290" s="412" t="b">
        <f>Wh_hp&gt;='2020'!Maxi_hp</f>
        <v>0</v>
      </c>
      <c r="I290" s="379">
        <f>IF(H290,Wh_hp,'2020'!Maxi_hp)</f>
        <v>35.39360414639436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1.881325034198833E-2</v>
      </c>
      <c r="M290" s="832"/>
      <c r="N290" s="832"/>
      <c r="O290" s="48">
        <f>IF(t&lt;Tnet,'2020'!Resal+('2020'!Salim-'2020'!Resal)*(1-EXP(('2020'!Tnet-t)/('2020'!Tau_j))),Resal+(Salim-Resal)*(1-EXP((Tnet-t)/(Tau_j))))*Salcycl</f>
        <v>7.3519842995775561E-2</v>
      </c>
      <c r="P290" s="169">
        <f>(INDEX(Models!$BJ290:$BT290,,T290)*(1-R290)+INDEX(Models!$BJ290:$BT290,,T290+1)*R290-ERP_i)*Q290*Ramure*Pc/MaxiM</f>
        <v>8.0936311247189812E-4</v>
      </c>
      <c r="Q290" s="304">
        <f t="shared" si="101"/>
        <v>0.6</v>
      </c>
      <c r="R290" s="177">
        <f t="shared" si="102"/>
        <v>0.99487853170186935</v>
      </c>
      <c r="S290" s="799">
        <f t="shared" si="103"/>
        <v>-1</v>
      </c>
      <c r="T290" s="176">
        <f t="shared" si="104"/>
        <v>5</v>
      </c>
      <c r="U290" s="250">
        <f t="shared" si="105"/>
        <v>-5.1214682981307047E-3</v>
      </c>
      <c r="V290" s="382">
        <f t="shared" si="106"/>
        <v>40.597352959494565</v>
      </c>
      <c r="W290" s="400"/>
      <c r="X290" s="157">
        <f t="shared" si="107"/>
        <v>44472</v>
      </c>
      <c r="Y290" s="383">
        <f t="shared" si="108"/>
        <v>6.3159999999999998</v>
      </c>
      <c r="Z290" s="383">
        <f t="shared" si="109"/>
        <v>6.4371028269607331</v>
      </c>
      <c r="AA290" s="384">
        <f t="shared" si="110"/>
        <v>6.9479122443108965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7.3519842995775561E-2</v>
      </c>
      <c r="AD290" s="230">
        <f>(INDEX(Models!$BJ290:$BT290,,AH290)*(1-AF290)+INDEX(Models!$BJ290:$BT290,,AH290+1)*AF290-ERP_i)*AE290*Ramure*Pc/MaxiM</f>
        <v>8.0936311247189812E-4</v>
      </c>
      <c r="AE290" s="304">
        <f t="shared" si="112"/>
        <v>0.6</v>
      </c>
      <c r="AF290" s="177">
        <f t="shared" si="113"/>
        <v>0.99487853170186935</v>
      </c>
      <c r="AG290" s="799">
        <f t="shared" si="119"/>
        <v>-1</v>
      </c>
      <c r="AH290" s="176">
        <f t="shared" si="114"/>
        <v>5</v>
      </c>
      <c r="AI290" s="224">
        <f t="shared" si="115"/>
        <v>-5.1214682981307047E-3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31.363</v>
      </c>
      <c r="C291" s="388"/>
      <c r="D291" s="391">
        <f t="shared" si="98"/>
        <v>31.964965983479789</v>
      </c>
      <c r="E291" s="383">
        <f t="shared" si="96"/>
        <v>34.503203605731478</v>
      </c>
      <c r="F291" s="383">
        <f t="shared" si="99"/>
        <v>34.523042086540435</v>
      </c>
      <c r="G291" s="110">
        <f t="shared" si="97"/>
        <v>0.77851157437189478</v>
      </c>
      <c r="H291" s="412" t="b">
        <f>Wh_hp&gt;='2020'!Maxi_hp</f>
        <v>1</v>
      </c>
      <c r="I291" s="379">
        <f>IF(H291,Wh_hp,'2020'!Maxi_hp)</f>
        <v>34.523042086540435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1.8832054562200939E-2</v>
      </c>
      <c r="M291" s="832"/>
      <c r="N291" s="832"/>
      <c r="O291" s="48">
        <f>IF(t&lt;Tnet,'2020'!Resal+('2020'!Salim-'2020'!Resal)*(1-EXP(('2020'!Tnet-t)/('2020'!Tau_j))),Resal+(Salim-Resal)*(1-EXP((Tnet-t)/(Tau_j))))*Salcycl</f>
        <v>7.3565273858513677E-2</v>
      </c>
      <c r="P291" s="169">
        <f>(INDEX(Models!$BJ291:$BT291,,T291)*(1-R291)+INDEX(Models!$BJ291:$BT291,,T291+1)*R291-ERP_i)*Q291*Ramure*Pc/MaxiM</f>
        <v>8.4026669166895767E-4</v>
      </c>
      <c r="Q291" s="304">
        <f t="shared" si="101"/>
        <v>0.6</v>
      </c>
      <c r="R291" s="177">
        <f t="shared" si="102"/>
        <v>0.99505417266819973</v>
      </c>
      <c r="S291" s="799">
        <f t="shared" si="103"/>
        <v>-1</v>
      </c>
      <c r="T291" s="176">
        <f t="shared" si="104"/>
        <v>5</v>
      </c>
      <c r="U291" s="250">
        <f t="shared" si="105"/>
        <v>-4.9458273318002677E-3</v>
      </c>
      <c r="V291" s="382">
        <f t="shared" si="106"/>
        <v>40.275142383960826</v>
      </c>
      <c r="W291" s="400"/>
      <c r="X291" s="157">
        <f t="shared" si="107"/>
        <v>44473</v>
      </c>
      <c r="Y291" s="383">
        <f t="shared" si="108"/>
        <v>31.362999999999996</v>
      </c>
      <c r="Z291" s="383">
        <f t="shared" si="109"/>
        <v>31.964965983479786</v>
      </c>
      <c r="AA291" s="384">
        <f t="shared" si="110"/>
        <v>34.503203605731478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7.3565273858513677E-2</v>
      </c>
      <c r="AD291" s="230">
        <f>(INDEX(Models!$BJ291:$BT291,,AH291)*(1-AF291)+INDEX(Models!$BJ291:$BT291,,AH291+1)*AF291-ERP_i)*AE291*Ramure*Pc/MaxiM</f>
        <v>8.4026669166895767E-4</v>
      </c>
      <c r="AE291" s="304">
        <f t="shared" si="112"/>
        <v>0.6</v>
      </c>
      <c r="AF291" s="177">
        <f t="shared" si="113"/>
        <v>0.99505417266819973</v>
      </c>
      <c r="AG291" s="799">
        <f t="shared" si="119"/>
        <v>-1</v>
      </c>
      <c r="AH291" s="176">
        <f t="shared" si="114"/>
        <v>5</v>
      </c>
      <c r="AI291" s="224">
        <f t="shared" si="115"/>
        <v>-4.9458273318002677E-3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13.167</v>
      </c>
      <c r="C292" s="388"/>
      <c r="D292" s="391">
        <f t="shared" si="98"/>
        <v>13.419978107328047</v>
      </c>
      <c r="E292" s="383">
        <f t="shared" si="96"/>
        <v>14.486308839478799</v>
      </c>
      <c r="F292" s="383">
        <f t="shared" si="99"/>
        <v>14.486843875278726</v>
      </c>
      <c r="G292" s="110">
        <f t="shared" si="97"/>
        <v>0.32931814583415592</v>
      </c>
      <c r="H292" s="412" t="b">
        <f>Wh_hp&gt;='2020'!Maxi_hp</f>
        <v>0</v>
      </c>
      <c r="I292" s="379">
        <f>IF(H292,Wh_hp,'2020'!Maxi_hp)</f>
        <v>39.702894936148411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1.8850858422034822E-2</v>
      </c>
      <c r="M292" s="832"/>
      <c r="N292" s="832"/>
      <c r="O292" s="48">
        <f>IF(t&lt;Tnet,'2020'!Resal+('2020'!Salim-'2020'!Resal)*(1-EXP(('2020'!Tnet-t)/('2020'!Tau_j))),Resal+(Salim-Resal)*(1-EXP((Tnet-t)/(Tau_j))))*Salcycl</f>
        <v>7.3609553956542298E-2</v>
      </c>
      <c r="P292" s="169">
        <f>(INDEX(Models!$BJ292:$BT292,,T292)*(1-R292)+INDEX(Models!$BJ292:$BT292,,T292+1)*R292-ERP_i)*Q292*Ramure*Pc/MaxiM</f>
        <v>8.7358412796135283E-4</v>
      </c>
      <c r="Q292" s="304">
        <f t="shared" si="101"/>
        <v>0.6</v>
      </c>
      <c r="R292" s="177">
        <f t="shared" si="102"/>
        <v>0.99522285873218141</v>
      </c>
      <c r="S292" s="799">
        <f t="shared" si="103"/>
        <v>-1</v>
      </c>
      <c r="T292" s="176">
        <f t="shared" si="104"/>
        <v>5</v>
      </c>
      <c r="U292" s="250">
        <f t="shared" si="105"/>
        <v>-4.7771412678185854E-3</v>
      </c>
      <c r="V292" s="382">
        <f t="shared" si="106"/>
        <v>39.949160311887766</v>
      </c>
      <c r="W292" s="400"/>
      <c r="X292" s="157">
        <f t="shared" si="107"/>
        <v>44474</v>
      </c>
      <c r="Y292" s="383">
        <f t="shared" si="108"/>
        <v>13.167</v>
      </c>
      <c r="Z292" s="383">
        <f t="shared" si="109"/>
        <v>13.419978107328047</v>
      </c>
      <c r="AA292" s="384">
        <f t="shared" si="110"/>
        <v>14.486308839478799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7.3609553956542298E-2</v>
      </c>
      <c r="AD292" s="230">
        <f>(INDEX(Models!$BJ292:$BT292,,AH292)*(1-AF292)+INDEX(Models!$BJ292:$BT292,,AH292+1)*AF292-ERP_i)*AE292*Ramure*Pc/MaxiM</f>
        <v>8.7358412796135283E-4</v>
      </c>
      <c r="AE292" s="304">
        <f t="shared" si="112"/>
        <v>0.6</v>
      </c>
      <c r="AF292" s="177">
        <f t="shared" si="113"/>
        <v>0.99522285873218141</v>
      </c>
      <c r="AG292" s="799">
        <f t="shared" si="119"/>
        <v>-1</v>
      </c>
      <c r="AH292" s="176">
        <f t="shared" si="114"/>
        <v>5</v>
      </c>
      <c r="AI292" s="224">
        <f t="shared" si="115"/>
        <v>-4.7771412678185854E-3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26.557000000000002</v>
      </c>
      <c r="C293" s="388"/>
      <c r="D293" s="391">
        <f t="shared" si="98"/>
        <v>27.067759470174597</v>
      </c>
      <c r="E293" s="383">
        <f t="shared" si="96"/>
        <v>29.219881827920126</v>
      </c>
      <c r="F293" s="383">
        <f t="shared" si="99"/>
        <v>29.233944028984773</v>
      </c>
      <c r="G293" s="110">
        <f t="shared" si="97"/>
        <v>0.67000543411480018</v>
      </c>
      <c r="H293" s="412" t="b">
        <f>Wh_hp&gt;='2020'!Maxi_hp</f>
        <v>0</v>
      </c>
      <c r="I293" s="379">
        <f>IF(H293,Wh_hp,'2020'!Maxi_hp)</f>
        <v>29.938480404074163</v>
      </c>
      <c r="J293" s="85">
        <f>IF(H293,An,'2020'!An_max)</f>
        <v>2020</v>
      </c>
      <c r="K293" s="197">
        <f t="shared" si="100"/>
        <v>44475</v>
      </c>
      <c r="L293" s="147">
        <f>IF(t&lt;Tvie,1-EXP((T0-t)*PertePVj)+'2020'!Pspv,1-EXP((T0-t)*PertePVj)+Pspv)</f>
        <v>1.8869661921497083E-2</v>
      </c>
      <c r="M293" s="832"/>
      <c r="N293" s="832"/>
      <c r="O293" s="48">
        <f>IF(t&lt;Tnet,'2020'!Resal+('2020'!Salim-'2020'!Resal)*(1-EXP(('2020'!Tnet-t)/('2020'!Tau_j))),Resal+(Salim-Resal)*(1-EXP((Tnet-t)/(Tau_j))))*Salcycl</f>
        <v>7.3652671507012615E-2</v>
      </c>
      <c r="P293" s="169">
        <f>(INDEX(Models!$BJ293:$BT293,,T293)*(1-R293)+INDEX(Models!$BJ293:$BT293,,T293+1)*R293-ERP_i)*Q293*Ramure*Pc/MaxiM</f>
        <v>9.0932436766972581E-4</v>
      </c>
      <c r="Q293" s="304">
        <f t="shared" si="101"/>
        <v>0.6</v>
      </c>
      <c r="R293" s="177">
        <f t="shared" si="102"/>
        <v>0.99538486080322053</v>
      </c>
      <c r="S293" s="799">
        <f t="shared" si="103"/>
        <v>-1</v>
      </c>
      <c r="T293" s="176">
        <f t="shared" si="104"/>
        <v>5</v>
      </c>
      <c r="U293" s="250">
        <f t="shared" si="105"/>
        <v>-4.6151391967794164E-3</v>
      </c>
      <c r="V293" s="382">
        <f t="shared" si="106"/>
        <v>39.620007206551364</v>
      </c>
      <c r="W293" s="400"/>
      <c r="X293" s="157">
        <f t="shared" si="107"/>
        <v>44475</v>
      </c>
      <c r="Y293" s="383">
        <f t="shared" si="108"/>
        <v>26.557000000000002</v>
      </c>
      <c r="Z293" s="383">
        <f t="shared" si="109"/>
        <v>27.067759470174597</v>
      </c>
      <c r="AA293" s="384">
        <f t="shared" si="110"/>
        <v>29.219881827920126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7.3652671507012615E-2</v>
      </c>
      <c r="AD293" s="230">
        <f>(INDEX(Models!$BJ293:$BT293,,AH293)*(1-AF293)+INDEX(Models!$BJ293:$BT293,,AH293+1)*AF293-ERP_i)*AE293*Ramure*Pc/MaxiM</f>
        <v>9.0932436766972581E-4</v>
      </c>
      <c r="AE293" s="304">
        <f t="shared" si="112"/>
        <v>0.6</v>
      </c>
      <c r="AF293" s="177">
        <f t="shared" si="113"/>
        <v>0.99538486080322053</v>
      </c>
      <c r="AG293" s="799">
        <f t="shared" si="119"/>
        <v>-1</v>
      </c>
      <c r="AH293" s="176">
        <f t="shared" si="114"/>
        <v>5</v>
      </c>
      <c r="AI293" s="224">
        <f t="shared" si="115"/>
        <v>-4.6151391967794164E-3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39.792000000000002</v>
      </c>
      <c r="C294" s="388"/>
      <c r="D294" s="391">
        <f t="shared" si="98"/>
        <v>40.558079874636888</v>
      </c>
      <c r="E294" s="383">
        <f t="shared" si="96"/>
        <v>43.784782677332039</v>
      </c>
      <c r="F294" s="383">
        <f t="shared" si="99"/>
        <v>43.826307821277801</v>
      </c>
      <c r="G294" s="110">
        <f t="shared" si="97"/>
        <v>1.012821040985477</v>
      </c>
      <c r="H294" s="412" t="b">
        <f>Wh_hp&gt;='2020'!Maxi_hp</f>
        <v>1</v>
      </c>
      <c r="I294" s="379">
        <f>IF(H294,Wh_hp,'2020'!Maxi_hp)</f>
        <v>43.826307821277801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1.8888465060594606E-2</v>
      </c>
      <c r="M294" s="832"/>
      <c r="N294" s="832"/>
      <c r="O294" s="48">
        <f>IF(t&lt;Tnet,'2020'!Resal+('2020'!Salim-'2020'!Resal)*(1-EXP(('2020'!Tnet-t)/('2020'!Tau_j))),Resal+(Salim-Resal)*(1-EXP((Tnet-t)/(Tau_j))))*Salcycl</f>
        <v>7.3694617293730655E-2</v>
      </c>
      <c r="P294" s="169">
        <f>(INDEX(Models!$BJ294:$BT294,,T294)*(1-R294)+INDEX(Models!$BJ294:$BT294,,T294+1)*R294-ERP_i)*Q294*Ramure*Pc/MaxiM</f>
        <v>9.4749354919655671E-4</v>
      </c>
      <c r="Q294" s="304">
        <f t="shared" si="101"/>
        <v>0.6</v>
      </c>
      <c r="R294" s="177">
        <f t="shared" si="102"/>
        <v>0.99554043958974336</v>
      </c>
      <c r="S294" s="799">
        <f t="shared" si="103"/>
        <v>-1</v>
      </c>
      <c r="T294" s="176">
        <f t="shared" si="104"/>
        <v>5</v>
      </c>
      <c r="U294" s="250">
        <f t="shared" si="105"/>
        <v>-4.45956041025658E-3</v>
      </c>
      <c r="V294" s="382">
        <f t="shared" si="106"/>
        <v>39.288283309440637</v>
      </c>
      <c r="W294" s="400"/>
      <c r="X294" s="157">
        <f t="shared" si="107"/>
        <v>44476</v>
      </c>
      <c r="Y294" s="383">
        <f t="shared" si="108"/>
        <v>39.792000000000002</v>
      </c>
      <c r="Z294" s="383">
        <f t="shared" si="109"/>
        <v>40.558079874636888</v>
      </c>
      <c r="AA294" s="384">
        <f t="shared" si="110"/>
        <v>43.784782677332039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7.3694617293730655E-2</v>
      </c>
      <c r="AD294" s="230">
        <f>(INDEX(Models!$BJ294:$BT294,,AH294)*(1-AF294)+INDEX(Models!$BJ294:$BT294,,AH294+1)*AF294-ERP_i)*AE294*Ramure*Pc/MaxiM</f>
        <v>9.4749354919655671E-4</v>
      </c>
      <c r="AE294" s="304">
        <f t="shared" si="112"/>
        <v>0.6</v>
      </c>
      <c r="AF294" s="177">
        <f t="shared" si="113"/>
        <v>0.99554043958974336</v>
      </c>
      <c r="AG294" s="799">
        <f t="shared" si="119"/>
        <v>-1</v>
      </c>
      <c r="AH294" s="176">
        <f t="shared" si="114"/>
        <v>5</v>
      </c>
      <c r="AI294" s="224">
        <f t="shared" si="115"/>
        <v>-4.45956041025658E-3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36.895000000000003</v>
      </c>
      <c r="C295" s="388"/>
      <c r="D295" s="391">
        <f t="shared" si="98"/>
        <v>37.606027229195696</v>
      </c>
      <c r="E295" s="383">
        <f t="shared" si="96"/>
        <v>40.59965868781331</v>
      </c>
      <c r="F295" s="383">
        <f t="shared" si="99"/>
        <v>40.63677888339361</v>
      </c>
      <c r="G295" s="110">
        <f t="shared" si="97"/>
        <v>0.94705772134879873</v>
      </c>
      <c r="H295" s="412" t="b">
        <f>Wh_hp&gt;='2020'!Maxi_hp</f>
        <v>1</v>
      </c>
      <c r="I295" s="379">
        <f>IF(H295,Wh_hp,'2020'!Maxi_hp)</f>
        <v>40.63677888339361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1.8907267839334163E-2</v>
      </c>
      <c r="M295" s="832"/>
      <c r="N295" s="832"/>
      <c r="O295" s="48">
        <f>IF(t&lt;Tnet,'2020'!Resal+('2020'!Salim-'2020'!Resal)*(1-EXP(('2020'!Tnet-t)/('2020'!Tau_j))),Resal+(Salim-Resal)*(1-EXP((Tnet-t)/(Tau_j))))*Salcycl</f>
        <v>7.3735384862144232E-2</v>
      </c>
      <c r="P295" s="169">
        <f>(INDEX(Models!$BJ295:$BT295,,T295)*(1-R295)+INDEX(Models!$BJ295:$BT295,,T295+1)*R295-ERP_i)*Q295*Ramure*Pc/MaxiM</f>
        <v>9.8809456875643335E-4</v>
      </c>
      <c r="Q295" s="304">
        <f t="shared" si="101"/>
        <v>0.6</v>
      </c>
      <c r="R295" s="177">
        <f t="shared" si="102"/>
        <v>0.99568984595560461</v>
      </c>
      <c r="S295" s="799">
        <f t="shared" si="103"/>
        <v>-1</v>
      </c>
      <c r="T295" s="176">
        <f t="shared" si="104"/>
        <v>5</v>
      </c>
      <c r="U295" s="250">
        <f t="shared" si="105"/>
        <v>-4.3101540443953867E-3</v>
      </c>
      <c r="V295" s="382">
        <f t="shared" si="106"/>
        <v>38.954588638654442</v>
      </c>
      <c r="W295" s="400"/>
      <c r="X295" s="157">
        <f t="shared" si="107"/>
        <v>44477</v>
      </c>
      <c r="Y295" s="383">
        <f t="shared" si="108"/>
        <v>36.895000000000003</v>
      </c>
      <c r="Z295" s="383">
        <f t="shared" si="109"/>
        <v>37.606027229195696</v>
      </c>
      <c r="AA295" s="384">
        <f t="shared" si="110"/>
        <v>40.59965868781331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7.3735384862144232E-2</v>
      </c>
      <c r="AD295" s="230">
        <f>(INDEX(Models!$BJ295:$BT295,,AH295)*(1-AF295)+INDEX(Models!$BJ295:$BT295,,AH295+1)*AF295-ERP_i)*AE295*Ramure*Pc/MaxiM</f>
        <v>9.8809456875643335E-4</v>
      </c>
      <c r="AE295" s="304">
        <f t="shared" si="112"/>
        <v>0.6</v>
      </c>
      <c r="AF295" s="177">
        <f t="shared" si="113"/>
        <v>0.99568984595560461</v>
      </c>
      <c r="AG295" s="799">
        <f t="shared" si="119"/>
        <v>-1</v>
      </c>
      <c r="AH295" s="176">
        <f t="shared" si="114"/>
        <v>5</v>
      </c>
      <c r="AI295" s="224">
        <f t="shared" si="115"/>
        <v>-4.3101540443953867E-3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15.231</v>
      </c>
      <c r="C296" s="388"/>
      <c r="D296" s="391">
        <f t="shared" si="98"/>
        <v>15.524823908022</v>
      </c>
      <c r="E296" s="383">
        <f t="shared" si="96"/>
        <v>16.761395359667556</v>
      </c>
      <c r="F296" s="383">
        <f t="shared" si="99"/>
        <v>16.763727922598157</v>
      </c>
      <c r="G296" s="110">
        <f t="shared" si="97"/>
        <v>0.39403418617559166</v>
      </c>
      <c r="H296" s="412" t="b">
        <f>Wh_hp&gt;='2020'!Maxi_hp</f>
        <v>0</v>
      </c>
      <c r="I296" s="379">
        <f>IF(H296,Wh_hp,'2020'!Maxi_hp)</f>
        <v>37.550037556426517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1.892607025772286E-2</v>
      </c>
      <c r="M296" s="832"/>
      <c r="N296" s="832"/>
      <c r="O296" s="48">
        <f>IF(t&lt;Tnet,'2020'!Resal+('2020'!Salim-'2020'!Resal)*(1-EXP(('2020'!Tnet-t)/('2020'!Tau_j))),Resal+(Salim-Resal)*(1-EXP((Tnet-t)/(Tau_j))))*Salcycl</f>
        <v>7.3774970705665743E-2</v>
      </c>
      <c r="P296" s="169">
        <f>(INDEX(Models!$BJ296:$BT296,,T296)*(1-R296)+INDEX(Models!$BJ296:$BT296,,T296+1)*R296-ERP_i)*Q296*Ramure*Pc/MaxiM</f>
        <v>1.0319333855083493E-3</v>
      </c>
      <c r="Q296" s="304">
        <f t="shared" si="101"/>
        <v>0.6</v>
      </c>
      <c r="R296" s="177">
        <f t="shared" si="102"/>
        <v>0.99583332126626711</v>
      </c>
      <c r="S296" s="799">
        <f t="shared" si="103"/>
        <v>-1</v>
      </c>
      <c r="T296" s="176">
        <f t="shared" si="104"/>
        <v>5</v>
      </c>
      <c r="U296" s="250">
        <f t="shared" si="105"/>
        <v>-4.1666787337328315E-3</v>
      </c>
      <c r="V296" s="382">
        <f t="shared" si="106"/>
        <v>38.619491805608774</v>
      </c>
      <c r="W296" s="400"/>
      <c r="X296" s="157">
        <f t="shared" si="107"/>
        <v>44478</v>
      </c>
      <c r="Y296" s="383">
        <f t="shared" si="108"/>
        <v>15.231</v>
      </c>
      <c r="Z296" s="383">
        <f t="shared" si="109"/>
        <v>15.524823908022</v>
      </c>
      <c r="AA296" s="384">
        <f t="shared" si="110"/>
        <v>16.761395359667556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7.3774970705665743E-2</v>
      </c>
      <c r="AD296" s="230">
        <f>(INDEX(Models!$BJ296:$BT296,,AH296)*(1-AF296)+INDEX(Models!$BJ296:$BT296,,AH296+1)*AF296-ERP_i)*AE296*Ramure*Pc/MaxiM</f>
        <v>1.0319333855083493E-3</v>
      </c>
      <c r="AE296" s="304">
        <f t="shared" si="112"/>
        <v>0.6</v>
      </c>
      <c r="AF296" s="177">
        <f t="shared" si="113"/>
        <v>0.99583332126626711</v>
      </c>
      <c r="AG296" s="799">
        <f t="shared" si="119"/>
        <v>-1</v>
      </c>
      <c r="AH296" s="176">
        <f t="shared" si="114"/>
        <v>5</v>
      </c>
      <c r="AI296" s="224">
        <f t="shared" si="115"/>
        <v>-4.1666787337328315E-3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29.440999999999999</v>
      </c>
      <c r="C297" s="388"/>
      <c r="D297" s="391">
        <f t="shared" si="98"/>
        <v>30.009526650653243</v>
      </c>
      <c r="E297" s="383">
        <f t="shared" ref="E297:E360" si="120">Wh_pvt/(1-Psa)</f>
        <v>32.401166052852226</v>
      </c>
      <c r="F297" s="383">
        <f t="shared" si="99"/>
        <v>32.424589752653986</v>
      </c>
      <c r="G297" s="110">
        <f t="shared" ref="G297:G360" si="121">+Wh_hp/MaxiM</f>
        <v>0.76874951644121292</v>
      </c>
      <c r="H297" s="412" t="b">
        <f>Wh_hp&gt;='2020'!Maxi_hp</f>
        <v>1</v>
      </c>
      <c r="I297" s="379">
        <f>IF(H297,Wh_hp,'2020'!Maxi_hp)</f>
        <v>32.424589752653986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1.8944872315767358E-2</v>
      </c>
      <c r="M297" s="832"/>
      <c r="N297" s="832"/>
      <c r="O297" s="48">
        <f>IF(t&lt;Tnet,'2020'!Resal+('2020'!Salim-'2020'!Resal)*(1-EXP(('2020'!Tnet-t)/('2020'!Tau_j))),Resal+(Salim-Resal)*(1-EXP((Tnet-t)/(Tau_j))))*Salcycl</f>
        <v>7.3813374441456261E-2</v>
      </c>
      <c r="P297" s="169">
        <f>(INDEX(Models!$BJ297:$BT297,,T297)*(1-R297)+INDEX(Models!$BJ297:$BT297,,T297+1)*R297-ERP_i)*Q297*Ramure*Pc/MaxiM</f>
        <v>1.0781634998348858E-3</v>
      </c>
      <c r="Q297" s="304">
        <f t="shared" si="101"/>
        <v>0.6</v>
      </c>
      <c r="R297" s="177">
        <f t="shared" si="102"/>
        <v>0.99597109772485826</v>
      </c>
      <c r="S297" s="799">
        <f t="shared" si="103"/>
        <v>-1</v>
      </c>
      <c r="T297" s="176">
        <f t="shared" si="104"/>
        <v>5</v>
      </c>
      <c r="U297" s="250">
        <f t="shared" si="105"/>
        <v>-4.0289022751417436E-3</v>
      </c>
      <c r="V297" s="382">
        <f t="shared" si="106"/>
        <v>38.283625453380701</v>
      </c>
      <c r="W297" s="400"/>
      <c r="X297" s="157">
        <f t="shared" si="107"/>
        <v>44479</v>
      </c>
      <c r="Y297" s="383">
        <f t="shared" si="108"/>
        <v>29.440999999999999</v>
      </c>
      <c r="Z297" s="383">
        <f t="shared" si="109"/>
        <v>30.009526650653243</v>
      </c>
      <c r="AA297" s="384">
        <f t="shared" si="110"/>
        <v>32.401166052852226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7.3813374441456261E-2</v>
      </c>
      <c r="AD297" s="230">
        <f>(INDEX(Models!$BJ297:$BT297,,AH297)*(1-AF297)+INDEX(Models!$BJ297:$BT297,,AH297+1)*AF297-ERP_i)*AE297*Ramure*Pc/MaxiM</f>
        <v>1.0781634998348858E-3</v>
      </c>
      <c r="AE297" s="304">
        <f t="shared" si="112"/>
        <v>0.6</v>
      </c>
      <c r="AF297" s="177">
        <f t="shared" si="113"/>
        <v>0.99597109772485826</v>
      </c>
      <c r="AG297" s="799">
        <f t="shared" si="119"/>
        <v>-1</v>
      </c>
      <c r="AH297" s="176">
        <f t="shared" si="114"/>
        <v>5</v>
      </c>
      <c r="AI297" s="224">
        <f t="shared" si="115"/>
        <v>-4.0289022751417436E-3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38.456000000000003</v>
      </c>
      <c r="C298" s="388"/>
      <c r="D298" s="391">
        <f t="shared" si="98"/>
        <v>39.19936395966667</v>
      </c>
      <c r="E298" s="383">
        <f t="shared" si="120"/>
        <v>42.32509778253273</v>
      </c>
      <c r="F298" s="383">
        <f t="shared" si="99"/>
        <v>42.372842429013986</v>
      </c>
      <c r="G298" s="110">
        <f t="shared" si="121"/>
        <v>1.0133977170546129</v>
      </c>
      <c r="H298" s="412" t="b">
        <f>Wh_hp&gt;='2020'!Maxi_hp</f>
        <v>1</v>
      </c>
      <c r="I298" s="379">
        <f>IF(H298,Wh_hp,'2020'!Maxi_hp)</f>
        <v>42.372842429013986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1.8963674013474763E-2</v>
      </c>
      <c r="M298" s="832"/>
      <c r="N298" s="832"/>
      <c r="O298" s="48">
        <f>IF(t&lt;Tnet,'2020'!Resal+('2020'!Salim-'2020'!Resal)*(1-EXP(('2020'!Tnet-t)/('2020'!Tau_j))),Resal+(Salim-Resal)*(1-EXP((Tnet-t)/(Tau_j))))*Salcycl</f>
        <v>7.3850598973832268E-2</v>
      </c>
      <c r="P298" s="169">
        <f>(INDEX(Models!$BJ298:$BT298,,T298)*(1-R298)+INDEX(Models!$BJ298:$BT298,,T298+1)*R298-ERP_i)*Q298*Ramure*Pc/MaxiM</f>
        <v>1.1267746920977696E-3</v>
      </c>
      <c r="Q298" s="304">
        <f t="shared" si="101"/>
        <v>0.6</v>
      </c>
      <c r="R298" s="177">
        <f t="shared" si="102"/>
        <v>0.99610339869822462</v>
      </c>
      <c r="S298" s="799">
        <f t="shared" si="103"/>
        <v>-1</v>
      </c>
      <c r="T298" s="176">
        <f t="shared" si="104"/>
        <v>5</v>
      </c>
      <c r="U298" s="250">
        <f t="shared" si="105"/>
        <v>-3.8966013017754375E-3</v>
      </c>
      <c r="V298" s="382">
        <f t="shared" si="106"/>
        <v>37.947588940470808</v>
      </c>
      <c r="W298" s="400"/>
      <c r="X298" s="157">
        <f t="shared" si="107"/>
        <v>44480</v>
      </c>
      <c r="Y298" s="383">
        <f t="shared" si="108"/>
        <v>38.456000000000003</v>
      </c>
      <c r="Z298" s="383">
        <f t="shared" si="109"/>
        <v>39.19936395966667</v>
      </c>
      <c r="AA298" s="384">
        <f t="shared" si="110"/>
        <v>42.32509778253273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7.3850598973832268E-2</v>
      </c>
      <c r="AD298" s="230">
        <f>(INDEX(Models!$BJ298:$BT298,,AH298)*(1-AF298)+INDEX(Models!$BJ298:$BT298,,AH298+1)*AF298-ERP_i)*AE298*Ramure*Pc/MaxiM</f>
        <v>1.1267746920977696E-3</v>
      </c>
      <c r="AE298" s="304">
        <f t="shared" si="112"/>
        <v>0.6</v>
      </c>
      <c r="AF298" s="177">
        <f t="shared" si="113"/>
        <v>0.99610339869822462</v>
      </c>
      <c r="AG298" s="799">
        <f t="shared" si="119"/>
        <v>-1</v>
      </c>
      <c r="AH298" s="176">
        <f t="shared" si="114"/>
        <v>5</v>
      </c>
      <c r="AI298" s="224">
        <f t="shared" si="115"/>
        <v>-3.8966013017754375E-3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36.356000000000002</v>
      </c>
      <c r="C299" s="388"/>
      <c r="D299" s="391">
        <f t="shared" si="98"/>
        <v>37.059480678494907</v>
      </c>
      <c r="E299" s="383">
        <f t="shared" si="120"/>
        <v>40.01613917372616</v>
      </c>
      <c r="F299" s="383">
        <f t="shared" si="99"/>
        <v>40.061070375868503</v>
      </c>
      <c r="G299" s="110">
        <f t="shared" si="121"/>
        <v>0.96655251117459662</v>
      </c>
      <c r="H299" s="412" t="b">
        <f>Wh_hp&gt;='2020'!Maxi_hp</f>
        <v>1</v>
      </c>
      <c r="I299" s="379">
        <f>IF(H299,Wh_hp,'2020'!Maxi_hp)</f>
        <v>40.061070375868503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1.8982475350851957E-2</v>
      </c>
      <c r="M299" s="832"/>
      <c r="N299" s="832"/>
      <c r="O299" s="48">
        <f>IF(t&lt;Tnet,'2020'!Resal+('2020'!Salim-'2020'!Resal)*(1-EXP(('2020'!Tnet-t)/('2020'!Tau_j))),Resal+(Salim-Resal)*(1-EXP((Tnet-t)/(Tau_j))))*Salcycl</f>
        <v>7.3886650643511895E-2</v>
      </c>
      <c r="P299" s="169">
        <f>(INDEX(Models!$BJ299:$BT299,,T299)*(1-R299)+INDEX(Models!$BJ299:$BT299,,T299+1)*R299-ERP_i)*Q299*Ramure*Pc/MaxiM</f>
        <v>1.1777516948008309E-3</v>
      </c>
      <c r="Q299" s="304">
        <f t="shared" si="101"/>
        <v>0.6</v>
      </c>
      <c r="R299" s="177">
        <f t="shared" si="102"/>
        <v>0.99623043903312603</v>
      </c>
      <c r="S299" s="799">
        <f t="shared" si="103"/>
        <v>-1</v>
      </c>
      <c r="T299" s="176">
        <f t="shared" si="104"/>
        <v>5</v>
      </c>
      <c r="U299" s="250">
        <f t="shared" si="105"/>
        <v>-3.7695609668739749E-3</v>
      </c>
      <c r="V299" s="382">
        <f t="shared" si="106"/>
        <v>37.611981408657108</v>
      </c>
      <c r="W299" s="400"/>
      <c r="X299" s="157">
        <f t="shared" si="107"/>
        <v>44481</v>
      </c>
      <c r="Y299" s="383">
        <f t="shared" si="108"/>
        <v>36.356000000000002</v>
      </c>
      <c r="Z299" s="383">
        <f t="shared" si="109"/>
        <v>37.059480678494907</v>
      </c>
      <c r="AA299" s="384">
        <f t="shared" si="110"/>
        <v>40.01613917372616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7.3886650643511895E-2</v>
      </c>
      <c r="AD299" s="230">
        <f>(INDEX(Models!$BJ299:$BT299,,AH299)*(1-AF299)+INDEX(Models!$BJ299:$BT299,,AH299+1)*AF299-ERP_i)*AE299*Ramure*Pc/MaxiM</f>
        <v>1.1777516948008309E-3</v>
      </c>
      <c r="AE299" s="304">
        <f t="shared" si="112"/>
        <v>0.6</v>
      </c>
      <c r="AF299" s="177">
        <f t="shared" si="113"/>
        <v>0.99623043903312603</v>
      </c>
      <c r="AG299" s="799">
        <f t="shared" si="119"/>
        <v>-1</v>
      </c>
      <c r="AH299" s="176">
        <f t="shared" si="114"/>
        <v>5</v>
      </c>
      <c r="AI299" s="224">
        <f t="shared" si="115"/>
        <v>-3.7695609668739749E-3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35.045000000000002</v>
      </c>
      <c r="C300" s="388"/>
      <c r="D300" s="391">
        <f t="shared" si="98"/>
        <v>35.723797752578974</v>
      </c>
      <c r="E300" s="383">
        <f t="shared" si="120"/>
        <v>38.575346766977965</v>
      </c>
      <c r="F300" s="383">
        <f t="shared" si="99"/>
        <v>38.61882203297732</v>
      </c>
      <c r="G300" s="110">
        <f t="shared" si="121"/>
        <v>0.9400146792557097</v>
      </c>
      <c r="H300" s="412" t="b">
        <f>Wh_hp&gt;='2020'!Maxi_hp</f>
        <v>0</v>
      </c>
      <c r="I300" s="379">
        <f>IF(H300,Wh_hp,'2020'!Maxi_hp)</f>
        <v>39.39832701671196</v>
      </c>
      <c r="J300" s="85">
        <f>IF(H300,An,'2020'!An_max)</f>
        <v>2018</v>
      </c>
      <c r="K300" s="197">
        <f t="shared" si="100"/>
        <v>44482</v>
      </c>
      <c r="L300" s="147">
        <f>IF(t&lt;Tvie,1-EXP((T0-t)*PertePVj)+'2020'!Pspv,1-EXP((T0-t)*PertePVj)+Pspv)</f>
        <v>1.9001276327905825E-2</v>
      </c>
      <c r="M300" s="832"/>
      <c r="N300" s="832"/>
      <c r="O300" s="48">
        <f>IF(t&lt;Tnet,'2020'!Resal+('2020'!Salim-'2020'!Resal)*(1-EXP(('2020'!Tnet-t)/('2020'!Tau_j))),Resal+(Salim-Resal)*(1-EXP((Tnet-t)/(Tau_j))))*Salcycl</f>
        <v>7.3921539360989802E-2</v>
      </c>
      <c r="P300" s="169">
        <f>(INDEX(Models!$BJ300:$BT300,,T300)*(1-R300)+INDEX(Models!$BJ300:$BT300,,T300+1)*R300-ERP_i)*Q300*Ramure*Pc/MaxiM</f>
        <v>1.2310737539402504E-3</v>
      </c>
      <c r="Q300" s="304">
        <f t="shared" si="101"/>
        <v>0.6</v>
      </c>
      <c r="R300" s="177">
        <f t="shared" si="102"/>
        <v>0.99635242536272017</v>
      </c>
      <c r="S300" s="799">
        <f t="shared" si="103"/>
        <v>-1</v>
      </c>
      <c r="T300" s="176">
        <f t="shared" si="104"/>
        <v>5</v>
      </c>
      <c r="U300" s="250">
        <f t="shared" si="105"/>
        <v>-3.6475746372798268E-3</v>
      </c>
      <c r="V300" s="382">
        <f t="shared" si="106"/>
        <v>37.277401787314865</v>
      </c>
      <c r="W300" s="400"/>
      <c r="X300" s="157">
        <f t="shared" si="107"/>
        <v>44482</v>
      </c>
      <c r="Y300" s="383">
        <f t="shared" si="108"/>
        <v>35.045000000000002</v>
      </c>
      <c r="Z300" s="383">
        <f t="shared" si="109"/>
        <v>35.723797752578974</v>
      </c>
      <c r="AA300" s="384">
        <f t="shared" si="110"/>
        <v>38.575346766977965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7.3921539360989802E-2</v>
      </c>
      <c r="AD300" s="230">
        <f>(INDEX(Models!$BJ300:$BT300,,AH300)*(1-AF300)+INDEX(Models!$BJ300:$BT300,,AH300+1)*AF300-ERP_i)*AE300*Ramure*Pc/MaxiM</f>
        <v>1.2310737539402504E-3</v>
      </c>
      <c r="AE300" s="304">
        <f t="shared" si="112"/>
        <v>0.6</v>
      </c>
      <c r="AF300" s="177">
        <f t="shared" si="113"/>
        <v>0.99635242536272017</v>
      </c>
      <c r="AG300" s="799">
        <f t="shared" si="119"/>
        <v>-1</v>
      </c>
      <c r="AH300" s="176">
        <f t="shared" si="114"/>
        <v>5</v>
      </c>
      <c r="AI300" s="224">
        <f t="shared" si="115"/>
        <v>-3.6475746372798268E-3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38.407000000000004</v>
      </c>
      <c r="C301" s="388"/>
      <c r="D301" s="391">
        <f t="shared" si="98"/>
        <v>39.151667732788752</v>
      </c>
      <c r="E301" s="383">
        <f t="shared" si="120"/>
        <v>42.27837687879137</v>
      </c>
      <c r="F301" s="383">
        <f t="shared" si="99"/>
        <v>42.332847154201126</v>
      </c>
      <c r="G301" s="110">
        <f t="shared" si="121"/>
        <v>1.0395878475177704</v>
      </c>
      <c r="H301" s="412" t="b">
        <f>Wh_hp&gt;='2020'!Maxi_hp</f>
        <v>1</v>
      </c>
      <c r="I301" s="379">
        <f>IF(H301,Wh_hp,'2020'!Maxi_hp)</f>
        <v>42.332847154201126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1.9020076944643249E-2</v>
      </c>
      <c r="M301" s="832"/>
      <c r="N301" s="832"/>
      <c r="O301" s="48">
        <f>IF(t&lt;Tnet,'2020'!Resal+('2020'!Salim-'2020'!Resal)*(1-EXP(('2020'!Tnet-t)/('2020'!Tau_j))),Resal+(Salim-Resal)*(1-EXP((Tnet-t)/(Tau_j))))*Salcycl</f>
        <v>7.3955278722421997E-2</v>
      </c>
      <c r="P301" s="169">
        <f>(INDEX(Models!$BJ301:$BT301,,T301)*(1-R301)+INDEX(Models!$BJ301:$BT301,,T301+1)*R301-ERP_i)*Q301*Ramure*Pc/MaxiM</f>
        <v>1.286714196456992E-3</v>
      </c>
      <c r="Q301" s="304">
        <f t="shared" si="101"/>
        <v>0.6</v>
      </c>
      <c r="R301" s="177">
        <f t="shared" si="102"/>
        <v>0.99646955640350099</v>
      </c>
      <c r="S301" s="799">
        <f t="shared" si="103"/>
        <v>-1</v>
      </c>
      <c r="T301" s="176">
        <f t="shared" si="104"/>
        <v>5</v>
      </c>
      <c r="U301" s="250">
        <f t="shared" si="105"/>
        <v>-3.5304435964990111E-3</v>
      </c>
      <c r="V301" s="382">
        <f t="shared" si="106"/>
        <v>36.944448794495443</v>
      </c>
      <c r="W301" s="400"/>
      <c r="X301" s="157">
        <f t="shared" si="107"/>
        <v>44483</v>
      </c>
      <c r="Y301" s="383">
        <f t="shared" si="108"/>
        <v>38.407000000000004</v>
      </c>
      <c r="Z301" s="383">
        <f t="shared" si="109"/>
        <v>39.151667732788752</v>
      </c>
      <c r="AA301" s="384">
        <f t="shared" si="110"/>
        <v>42.27837687879137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7.3955278722421997E-2</v>
      </c>
      <c r="AD301" s="230">
        <f>(INDEX(Models!$BJ301:$BT301,,AH301)*(1-AF301)+INDEX(Models!$BJ301:$BT301,,AH301+1)*AF301-ERP_i)*AE301*Ramure*Pc/MaxiM</f>
        <v>1.286714196456992E-3</v>
      </c>
      <c r="AE301" s="304">
        <f t="shared" si="112"/>
        <v>0.6</v>
      </c>
      <c r="AF301" s="177">
        <f t="shared" si="113"/>
        <v>0.99646955640350099</v>
      </c>
      <c r="AG301" s="799">
        <f t="shared" si="119"/>
        <v>-1</v>
      </c>
      <c r="AH301" s="176">
        <f t="shared" si="114"/>
        <v>5</v>
      </c>
      <c r="AI301" s="224">
        <f t="shared" si="115"/>
        <v>-3.5304435964990111E-3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32.097000000000001</v>
      </c>
      <c r="C302" s="388"/>
      <c r="D302" s="391">
        <f t="shared" si="98"/>
        <v>32.719951131619965</v>
      </c>
      <c r="E302" s="383">
        <f t="shared" si="120"/>
        <v>35.334258203217594</v>
      </c>
      <c r="F302" s="383">
        <f t="shared" si="99"/>
        <v>35.373440417790007</v>
      </c>
      <c r="G302" s="110">
        <f t="shared" si="121"/>
        <v>0.87643060637529246</v>
      </c>
      <c r="H302" s="412" t="b">
        <f>Wh_hp&gt;='2020'!Maxi_hp</f>
        <v>1</v>
      </c>
      <c r="I302" s="379">
        <f>IF(H302,Wh_hp,'2020'!Maxi_hp)</f>
        <v>35.373440417790007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1.9038877201071114E-2</v>
      </c>
      <c r="M302" s="832"/>
      <c r="N302" s="832"/>
      <c r="O302" s="48">
        <f>IF(t&lt;Tnet,'2020'!Resal+('2020'!Salim-'2020'!Resal)*(1-EXP(('2020'!Tnet-t)/('2020'!Tau_j))),Resal+(Salim-Resal)*(1-EXP((Tnet-t)/(Tau_j))))*Salcycl</f>
        <v>7.3987886106508527E-2</v>
      </c>
      <c r="P302" s="169">
        <f>(INDEX(Models!$BJ302:$BT302,,T302)*(1-R302)+INDEX(Models!$BJ302:$BT302,,T302+1)*R302-ERP_i)*Q302*Ramure*Pc/MaxiM</f>
        <v>1.3446400070285694E-3</v>
      </c>
      <c r="Q302" s="304">
        <f t="shared" si="101"/>
        <v>0.6</v>
      </c>
      <c r="R302" s="177">
        <f t="shared" si="102"/>
        <v>0.99658202324286704</v>
      </c>
      <c r="S302" s="799">
        <f t="shared" si="103"/>
        <v>-1</v>
      </c>
      <c r="T302" s="176">
        <f t="shared" si="104"/>
        <v>5</v>
      </c>
      <c r="U302" s="250">
        <f t="shared" si="105"/>
        <v>-3.4179767571330122E-3</v>
      </c>
      <c r="V302" s="382">
        <f t="shared" si="106"/>
        <v>36.613720939387392</v>
      </c>
      <c r="W302" s="400"/>
      <c r="X302" s="157">
        <f t="shared" si="107"/>
        <v>44484</v>
      </c>
      <c r="Y302" s="383">
        <f t="shared" si="108"/>
        <v>32.097000000000001</v>
      </c>
      <c r="Z302" s="383">
        <f t="shared" si="109"/>
        <v>32.719951131619965</v>
      </c>
      <c r="AA302" s="384">
        <f t="shared" si="110"/>
        <v>35.334258203217594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7.3987886106508527E-2</v>
      </c>
      <c r="AD302" s="230">
        <f>(INDEX(Models!$BJ302:$BT302,,AH302)*(1-AF302)+INDEX(Models!$BJ302:$BT302,,AH302+1)*AF302-ERP_i)*AE302*Ramure*Pc/MaxiM</f>
        <v>1.3446400070285694E-3</v>
      </c>
      <c r="AE302" s="304">
        <f t="shared" si="112"/>
        <v>0.6</v>
      </c>
      <c r="AF302" s="177">
        <f t="shared" si="113"/>
        <v>0.99658202324286704</v>
      </c>
      <c r="AG302" s="799">
        <f t="shared" si="119"/>
        <v>-1</v>
      </c>
      <c r="AH302" s="176">
        <f t="shared" si="114"/>
        <v>5</v>
      </c>
      <c r="AI302" s="224">
        <f t="shared" si="115"/>
        <v>-3.4179767571330122E-3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35.198999999999998</v>
      </c>
      <c r="C303" s="388"/>
      <c r="D303" s="391">
        <f t="shared" si="98"/>
        <v>35.882843647564464</v>
      </c>
      <c r="E303" s="383">
        <f t="shared" si="120"/>
        <v>38.751182237667663</v>
      </c>
      <c r="F303" s="383">
        <f t="shared" si="99"/>
        <v>38.803370286376357</v>
      </c>
      <c r="G303" s="110">
        <f t="shared" si="121"/>
        <v>0.97005904941195453</v>
      </c>
      <c r="H303" s="412" t="b">
        <f>Wh_hp&gt;='2020'!Maxi_hp</f>
        <v>1</v>
      </c>
      <c r="I303" s="379">
        <f>IF(H303,Wh_hp,'2020'!Maxi_hp)</f>
        <v>38.803370286376357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1.9057677097196302E-2</v>
      </c>
      <c r="M303" s="832"/>
      <c r="N303" s="832"/>
      <c r="O303" s="48">
        <f>IF(t&lt;Tnet,'2020'!Resal+('2020'!Salim-'2020'!Resal)*(1-EXP(('2020'!Tnet-t)/('2020'!Tau_j))),Resal+(Salim-Resal)*(1-EXP((Tnet-t)/(Tau_j))))*Salcycl</f>
        <v>7.4019382750987725E-2</v>
      </c>
      <c r="P303" s="169">
        <f>(INDEX(Models!$BJ303:$BT303,,T303)*(1-R303)+INDEX(Models!$BJ303:$BT303,,T303+1)*R303-ERP_i)*Q303*Ramure*Pc/MaxiM</f>
        <v>1.4049110039441697E-3</v>
      </c>
      <c r="Q303" s="304">
        <f t="shared" si="101"/>
        <v>0.6</v>
      </c>
      <c r="R303" s="177">
        <f t="shared" si="102"/>
        <v>0.99669000961749998</v>
      </c>
      <c r="S303" s="799">
        <f t="shared" si="103"/>
        <v>-1</v>
      </c>
      <c r="T303" s="176">
        <f t="shared" si="104"/>
        <v>5</v>
      </c>
      <c r="U303" s="250">
        <f t="shared" si="105"/>
        <v>-3.3099903825000165E-3</v>
      </c>
      <c r="V303" s="382">
        <f t="shared" si="106"/>
        <v>36.283240816402426</v>
      </c>
      <c r="W303" s="400"/>
      <c r="X303" s="157">
        <f t="shared" si="107"/>
        <v>44485</v>
      </c>
      <c r="Y303" s="383">
        <f t="shared" si="108"/>
        <v>35.198999999999998</v>
      </c>
      <c r="Z303" s="383">
        <f t="shared" si="109"/>
        <v>35.882843647564464</v>
      </c>
      <c r="AA303" s="384">
        <f t="shared" si="110"/>
        <v>38.751182237667663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7.4019382750987725E-2</v>
      </c>
      <c r="AD303" s="230">
        <f>(INDEX(Models!$BJ303:$BT303,,AH303)*(1-AF303)+INDEX(Models!$BJ303:$BT303,,AH303+1)*AF303-ERP_i)*AE303*Ramure*Pc/MaxiM</f>
        <v>1.4049110039441697E-3</v>
      </c>
      <c r="AE303" s="304">
        <f t="shared" si="112"/>
        <v>0.6</v>
      </c>
      <c r="AF303" s="177">
        <f t="shared" si="113"/>
        <v>0.99669000961749998</v>
      </c>
      <c r="AG303" s="799">
        <f t="shared" si="119"/>
        <v>-1</v>
      </c>
      <c r="AH303" s="176">
        <f t="shared" si="114"/>
        <v>5</v>
      </c>
      <c r="AI303" s="224">
        <f t="shared" si="115"/>
        <v>-3.3099903825000165E-3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32.332999999999998</v>
      </c>
      <c r="C304" s="388"/>
      <c r="D304" s="391">
        <f t="shared" si="98"/>
        <v>32.961794910390658</v>
      </c>
      <c r="E304" s="383">
        <f t="shared" si="120"/>
        <v>35.59780503309041</v>
      </c>
      <c r="F304" s="383">
        <f t="shared" si="99"/>
        <v>35.6425652403491</v>
      </c>
      <c r="G304" s="110">
        <f t="shared" si="121"/>
        <v>0.89917317882760284</v>
      </c>
      <c r="H304" s="412" t="b">
        <f>Wh_hp&gt;='2020'!Maxi_hp</f>
        <v>1</v>
      </c>
      <c r="I304" s="379">
        <f>IF(H304,Wh_hp,'2020'!Maxi_hp)</f>
        <v>35.6425652403491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1.9076476633025918E-2</v>
      </c>
      <c r="M304" s="832"/>
      <c r="N304" s="832"/>
      <c r="O304" s="48">
        <f>IF(t&lt;Tnet,'2020'!Resal+('2020'!Salim-'2020'!Resal)*(1-EXP(('2020'!Tnet-t)/('2020'!Tau_j))),Resal+(Salim-Resal)*(1-EXP((Tnet-t)/(Tau_j))))*Salcycl</f>
        <v>7.404979380749499E-2</v>
      </c>
      <c r="P304" s="169">
        <f>(INDEX(Models!$BJ304:$BT304,,T304)*(1-R304)+INDEX(Models!$BJ304:$BT304,,T304+1)*R304-ERP_i)*Q304*Ramure*Pc/MaxiM</f>
        <v>1.4666659380215422E-3</v>
      </c>
      <c r="Q304" s="304">
        <f t="shared" si="101"/>
        <v>0.6</v>
      </c>
      <c r="R304" s="177">
        <f t="shared" si="102"/>
        <v>0.99679369218274483</v>
      </c>
      <c r="S304" s="799">
        <f t="shared" si="103"/>
        <v>-1</v>
      </c>
      <c r="T304" s="176">
        <f t="shared" si="104"/>
        <v>5</v>
      </c>
      <c r="U304" s="250">
        <f t="shared" si="105"/>
        <v>-3.2063078172551718E-3</v>
      </c>
      <c r="V304" s="382">
        <f t="shared" si="106"/>
        <v>35.950998660478426</v>
      </c>
      <c r="W304" s="400"/>
      <c r="X304" s="157">
        <f t="shared" si="107"/>
        <v>44486</v>
      </c>
      <c r="Y304" s="383">
        <f t="shared" si="108"/>
        <v>32.332999999999998</v>
      </c>
      <c r="Z304" s="383">
        <f t="shared" si="109"/>
        <v>32.961794910390658</v>
      </c>
      <c r="AA304" s="384">
        <f t="shared" si="110"/>
        <v>35.59780503309041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7.404979380749499E-2</v>
      </c>
      <c r="AD304" s="230">
        <f>(INDEX(Models!$BJ304:$BT304,,AH304)*(1-AF304)+INDEX(Models!$BJ304:$BT304,,AH304+1)*AF304-ERP_i)*AE304*Ramure*Pc/MaxiM</f>
        <v>1.4666659380215422E-3</v>
      </c>
      <c r="AE304" s="304">
        <f t="shared" si="112"/>
        <v>0.6</v>
      </c>
      <c r="AF304" s="177">
        <f t="shared" si="113"/>
        <v>0.99679369218274483</v>
      </c>
      <c r="AG304" s="799">
        <f t="shared" si="119"/>
        <v>-1</v>
      </c>
      <c r="AH304" s="176">
        <f t="shared" si="114"/>
        <v>5</v>
      </c>
      <c r="AI304" s="224">
        <f t="shared" si="115"/>
        <v>-3.2063078172551718E-3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33.036000000000001</v>
      </c>
      <c r="C305" s="388"/>
      <c r="D305" s="391">
        <f t="shared" si="98"/>
        <v>33.679111931316072</v>
      </c>
      <c r="E305" s="383">
        <f t="shared" si="120"/>
        <v>36.373640222229973</v>
      </c>
      <c r="F305" s="383">
        <f t="shared" si="99"/>
        <v>36.423547520229583</v>
      </c>
      <c r="G305" s="110">
        <f t="shared" si="121"/>
        <v>0.92737345298794382</v>
      </c>
      <c r="H305" s="412" t="b">
        <f>Wh_hp&gt;='2020'!Maxi_hp</f>
        <v>0</v>
      </c>
      <c r="I305" s="379">
        <f>IF(H305,Wh_hp,'2020'!Maxi_hp)</f>
        <v>38.775386152374139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1.9095275808566625E-2</v>
      </c>
      <c r="M305" s="832"/>
      <c r="N305" s="832"/>
      <c r="O305" s="48">
        <f>IF(t&lt;Tnet,'2020'!Resal+('2020'!Salim-'2020'!Resal)*(1-EXP(('2020'!Tnet-t)/('2020'!Tau_j))),Resal+(Salim-Resal)*(1-EXP((Tnet-t)/(Tau_j))))*Salcycl</f>
        <v>7.4079148373693005E-2</v>
      </c>
      <c r="P305" s="169">
        <f>(INDEX(Models!$BJ305:$BT305,,T305)*(1-R305)+INDEX(Models!$BJ305:$BT305,,T305+1)*R305-ERP_i)*Q305*Ramure*Pc/MaxiM</f>
        <v>1.5284526058995747E-3</v>
      </c>
      <c r="Q305" s="304">
        <f t="shared" si="101"/>
        <v>0.6</v>
      </c>
      <c r="R305" s="177">
        <f t="shared" si="102"/>
        <v>0.99689324077318531</v>
      </c>
      <c r="S305" s="799">
        <f t="shared" si="103"/>
        <v>-1</v>
      </c>
      <c r="T305" s="176">
        <f t="shared" si="104"/>
        <v>5</v>
      </c>
      <c r="U305" s="250">
        <f t="shared" si="105"/>
        <v>-3.1067592268146926E-3</v>
      </c>
      <c r="V305" s="382">
        <f t="shared" si="106"/>
        <v>35.617543787865529</v>
      </c>
      <c r="W305" s="400"/>
      <c r="X305" s="157">
        <f t="shared" si="107"/>
        <v>44487</v>
      </c>
      <c r="Y305" s="383">
        <f t="shared" si="108"/>
        <v>33.036000000000001</v>
      </c>
      <c r="Z305" s="383">
        <f t="shared" si="109"/>
        <v>33.679111931316072</v>
      </c>
      <c r="AA305" s="384">
        <f t="shared" si="110"/>
        <v>36.373640222229973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7.4079148373693005E-2</v>
      </c>
      <c r="AD305" s="230">
        <f>(INDEX(Models!$BJ305:$BT305,,AH305)*(1-AF305)+INDEX(Models!$BJ305:$BT305,,AH305+1)*AF305-ERP_i)*AE305*Ramure*Pc/MaxiM</f>
        <v>1.5284526058995747E-3</v>
      </c>
      <c r="AE305" s="304">
        <f t="shared" si="112"/>
        <v>0.6</v>
      </c>
      <c r="AF305" s="177">
        <f t="shared" si="113"/>
        <v>0.99689324077318531</v>
      </c>
      <c r="AG305" s="799">
        <f t="shared" si="119"/>
        <v>-1</v>
      </c>
      <c r="AH305" s="176">
        <f t="shared" si="114"/>
        <v>5</v>
      </c>
      <c r="AI305" s="224">
        <f t="shared" si="115"/>
        <v>-3.1067592268146926E-3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33.463000000000001</v>
      </c>
      <c r="C306" s="388"/>
      <c r="D306" s="391">
        <f t="shared" si="98"/>
        <v>34.115078149548097</v>
      </c>
      <c r="E306" s="383">
        <f t="shared" si="120"/>
        <v>36.845613712474652</v>
      </c>
      <c r="F306" s="383">
        <f t="shared" si="99"/>
        <v>36.899968457169464</v>
      </c>
      <c r="G306" s="110">
        <f t="shared" si="121"/>
        <v>0.94829573060059646</v>
      </c>
      <c r="H306" s="412" t="b">
        <f>Wh_hp&gt;='2020'!Maxi_hp</f>
        <v>0</v>
      </c>
      <c r="I306" s="379">
        <f>IF(H306,Wh_hp,'2020'!Maxi_hp)</f>
        <v>38.555741543850147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1.9114074623825417E-2</v>
      </c>
      <c r="M306" s="832"/>
      <c r="N306" s="832"/>
      <c r="O306" s="48">
        <f>IF(t&lt;Tnet,'2020'!Resal+('2020'!Salim-'2020'!Resal)*(1-EXP(('2020'!Tnet-t)/('2020'!Tau_j))),Resal+(Salim-Resal)*(1-EXP((Tnet-t)/(Tau_j))))*Salcycl</f>
        <v>7.4107479501748355E-2</v>
      </c>
      <c r="P306" s="169">
        <f>(INDEX(Models!$BJ306:$BT306,,T306)*(1-R306)+INDEX(Models!$BJ306:$BT306,,T306+1)*R306-ERP_i)*Q306*Ramure*Pc/MaxiM</f>
        <v>1.5902367071290698E-3</v>
      </c>
      <c r="Q306" s="304">
        <f t="shared" si="101"/>
        <v>0.6</v>
      </c>
      <c r="R306" s="177">
        <f t="shared" si="102"/>
        <v>0.99698881865461542</v>
      </c>
      <c r="S306" s="799">
        <f t="shared" si="103"/>
        <v>-1</v>
      </c>
      <c r="T306" s="176">
        <f t="shared" si="104"/>
        <v>5</v>
      </c>
      <c r="U306" s="250">
        <f t="shared" si="105"/>
        <v>-3.0111813453845837E-3</v>
      </c>
      <c r="V306" s="382">
        <f t="shared" si="106"/>
        <v>35.283373141948594</v>
      </c>
      <c r="W306" s="400"/>
      <c r="X306" s="157">
        <f t="shared" si="107"/>
        <v>44488</v>
      </c>
      <c r="Y306" s="383">
        <f t="shared" si="108"/>
        <v>33.463000000000001</v>
      </c>
      <c r="Z306" s="383">
        <f t="shared" si="109"/>
        <v>34.115078149548097</v>
      </c>
      <c r="AA306" s="384">
        <f t="shared" si="110"/>
        <v>36.845613712474652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7.4107479501748355E-2</v>
      </c>
      <c r="AD306" s="230">
        <f>(INDEX(Models!$BJ306:$BT306,,AH306)*(1-AF306)+INDEX(Models!$BJ306:$BT306,,AH306+1)*AF306-ERP_i)*AE306*Ramure*Pc/MaxiM</f>
        <v>1.5902367071290698E-3</v>
      </c>
      <c r="AE306" s="304">
        <f t="shared" si="112"/>
        <v>0.6</v>
      </c>
      <c r="AF306" s="177">
        <f t="shared" si="113"/>
        <v>0.99698881865461542</v>
      </c>
      <c r="AG306" s="799">
        <f t="shared" si="119"/>
        <v>-1</v>
      </c>
      <c r="AH306" s="176">
        <f t="shared" si="114"/>
        <v>5</v>
      </c>
      <c r="AI306" s="224">
        <f t="shared" si="115"/>
        <v>-3.0111813453845837E-3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26.057000000000002</v>
      </c>
      <c r="C307" s="388"/>
      <c r="D307" s="391">
        <f t="shared" si="98"/>
        <v>26.56526993802861</v>
      </c>
      <c r="E307" s="383">
        <f t="shared" si="120"/>
        <v>28.692374043088861</v>
      </c>
      <c r="F307" s="383">
        <f t="shared" si="99"/>
        <v>28.722576961871106</v>
      </c>
      <c r="G307" s="110">
        <f t="shared" si="121"/>
        <v>0.745124329599543</v>
      </c>
      <c r="H307" s="412" t="b">
        <f>Wh_hp&gt;='2020'!Maxi_hp</f>
        <v>0</v>
      </c>
      <c r="I307" s="379">
        <f>IF(H307,Wh_hp,'2020'!Maxi_hp)</f>
        <v>31.702695928532638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1.9132873078809176E-2</v>
      </c>
      <c r="M307" s="832"/>
      <c r="N307" s="832"/>
      <c r="O307" s="48">
        <f>IF(t&lt;Tnet,'2020'!Resal+('2020'!Salim-'2020'!Resal)*(1-EXP(('2020'!Tnet-t)/('2020'!Tau_j))),Resal+(Salim-Resal)*(1-EXP((Tnet-t)/(Tau_j))))*Salcycl</f>
        <v>7.4134824182407064E-2</v>
      </c>
      <c r="P307" s="169">
        <f>(INDEX(Models!$BJ307:$BT307,,T307)*(1-R307)+INDEX(Models!$BJ307:$BT307,,T307+1)*R307-ERP_i)*Q307*Ramure*Pc/MaxiM</f>
        <v>1.6519815751362818E-3</v>
      </c>
      <c r="Q307" s="304">
        <f t="shared" si="101"/>
        <v>0.6</v>
      </c>
      <c r="R307" s="177">
        <f t="shared" si="102"/>
        <v>0.9970805827676088</v>
      </c>
      <c r="S307" s="799">
        <f t="shared" si="103"/>
        <v>-1</v>
      </c>
      <c r="T307" s="176">
        <f t="shared" si="104"/>
        <v>5</v>
      </c>
      <c r="U307" s="250">
        <f t="shared" si="105"/>
        <v>-2.9194172323911971E-3</v>
      </c>
      <c r="V307" s="382">
        <f t="shared" si="106"/>
        <v>34.948983373688826</v>
      </c>
      <c r="W307" s="400"/>
      <c r="X307" s="157">
        <f t="shared" si="107"/>
        <v>44489</v>
      </c>
      <c r="Y307" s="383">
        <f t="shared" si="108"/>
        <v>26.057000000000002</v>
      </c>
      <c r="Z307" s="383">
        <f t="shared" si="109"/>
        <v>26.56526993802861</v>
      </c>
      <c r="AA307" s="384">
        <f t="shared" si="110"/>
        <v>28.692374043088861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7.4134824182407064E-2</v>
      </c>
      <c r="AD307" s="230">
        <f>(INDEX(Models!$BJ307:$BT307,,AH307)*(1-AF307)+INDEX(Models!$BJ307:$BT307,,AH307+1)*AF307-ERP_i)*AE307*Ramure*Pc/MaxiM</f>
        <v>1.6519815751362818E-3</v>
      </c>
      <c r="AE307" s="304">
        <f t="shared" si="112"/>
        <v>0.6</v>
      </c>
      <c r="AF307" s="177">
        <f t="shared" si="113"/>
        <v>0.9970805827676088</v>
      </c>
      <c r="AG307" s="799">
        <f t="shared" si="119"/>
        <v>-1</v>
      </c>
      <c r="AH307" s="176">
        <f t="shared" si="114"/>
        <v>5</v>
      </c>
      <c r="AI307" s="224">
        <f t="shared" si="115"/>
        <v>-2.9194172323911971E-3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14.541</v>
      </c>
      <c r="C308" s="388"/>
      <c r="D308" s="391">
        <f t="shared" si="98"/>
        <v>14.824922031928642</v>
      </c>
      <c r="E308" s="383">
        <f t="shared" si="120"/>
        <v>16.012422902436072</v>
      </c>
      <c r="F308" s="383">
        <f t="shared" si="99"/>
        <v>16.01713134737226</v>
      </c>
      <c r="G308" s="110">
        <f t="shared" si="121"/>
        <v>0.41948301210793315</v>
      </c>
      <c r="H308" s="412" t="b">
        <f>Wh_hp&gt;='2020'!Maxi_hp</f>
        <v>0</v>
      </c>
      <c r="I308" s="379">
        <f>IF(H308,Wh_hp,'2020'!Maxi_hp)</f>
        <v>24.418087613545492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1.9151671173524898E-2</v>
      </c>
      <c r="M308" s="832"/>
      <c r="N308" s="832"/>
      <c r="O308" s="48">
        <f>IF(t&lt;Tnet,'2020'!Resal+('2020'!Salim-'2020'!Resal)*(1-EXP(('2020'!Tnet-t)/('2020'!Tau_j))),Resal+(Salim-Resal)*(1-EXP((Tnet-t)/(Tau_j))))*Salcycl</f>
        <v>7.4161223304111346E-2</v>
      </c>
      <c r="P308" s="169">
        <f>(INDEX(Models!$BJ308:$BT308,,T308)*(1-R308)+INDEX(Models!$BJ308:$BT308,,T308+1)*R308-ERP_i)*Q308*Ramure*Pc/MaxiM</f>
        <v>1.7136482479851167E-3</v>
      </c>
      <c r="Q308" s="304">
        <f t="shared" si="101"/>
        <v>0.6</v>
      </c>
      <c r="R308" s="177">
        <f t="shared" si="102"/>
        <v>0.99716868396289415</v>
      </c>
      <c r="S308" s="799">
        <f t="shared" si="103"/>
        <v>-1</v>
      </c>
      <c r="T308" s="176">
        <f t="shared" si="104"/>
        <v>5</v>
      </c>
      <c r="U308" s="250">
        <f t="shared" si="105"/>
        <v>-2.8313160371059021E-3</v>
      </c>
      <c r="V308" s="382">
        <f t="shared" si="106"/>
        <v>34.614870848896921</v>
      </c>
      <c r="W308" s="400"/>
      <c r="X308" s="157">
        <f t="shared" si="107"/>
        <v>44490</v>
      </c>
      <c r="Y308" s="383">
        <f t="shared" si="108"/>
        <v>14.541000000000002</v>
      </c>
      <c r="Z308" s="383">
        <f t="shared" si="109"/>
        <v>14.824922031928644</v>
      </c>
      <c r="AA308" s="384">
        <f t="shared" si="110"/>
        <v>16.012422902436072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7.4161223304111346E-2</v>
      </c>
      <c r="AD308" s="230">
        <f>(INDEX(Models!$BJ308:$BT308,,AH308)*(1-AF308)+INDEX(Models!$BJ308:$BT308,,AH308+1)*AF308-ERP_i)*AE308*Ramure*Pc/MaxiM</f>
        <v>1.7136482479851167E-3</v>
      </c>
      <c r="AE308" s="304">
        <f t="shared" si="112"/>
        <v>0.6</v>
      </c>
      <c r="AF308" s="177">
        <f t="shared" si="113"/>
        <v>0.99716868396289415</v>
      </c>
      <c r="AG308" s="799">
        <f t="shared" si="119"/>
        <v>-1</v>
      </c>
      <c r="AH308" s="176">
        <f t="shared" si="114"/>
        <v>5</v>
      </c>
      <c r="AI308" s="224">
        <f t="shared" si="115"/>
        <v>-2.8313160371059021E-3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12.016</v>
      </c>
      <c r="C309" s="388"/>
      <c r="D309" s="391">
        <f t="shared" si="98"/>
        <v>12.250854627737212</v>
      </c>
      <c r="E309" s="383">
        <f t="shared" si="120"/>
        <v>13.232532858822836</v>
      </c>
      <c r="F309" s="383">
        <f t="shared" si="99"/>
        <v>13.234228052055085</v>
      </c>
      <c r="G309" s="110">
        <f t="shared" si="121"/>
        <v>0.34993202705015392</v>
      </c>
      <c r="H309" s="412" t="b">
        <f>Wh_hp&gt;='2020'!Maxi_hp</f>
        <v>0</v>
      </c>
      <c r="I309" s="379">
        <f>IF(H309,Wh_hp,'2020'!Maxi_hp)</f>
        <v>26.084679596950284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1.9170468907979354E-2</v>
      </c>
      <c r="M309" s="832"/>
      <c r="N309" s="832"/>
      <c r="O309" s="48">
        <f>IF(t&lt;Tnet,'2020'!Resal+('2020'!Salim-'2020'!Resal)*(1-EXP(('2020'!Tnet-t)/('2020'!Tau_j))),Resal+(Salim-Resal)*(1-EXP((Tnet-t)/(Tau_j))))*Salcycl</f>
        <v>7.4186721586796345E-2</v>
      </c>
      <c r="P309" s="169">
        <f>(INDEX(Models!$BJ309:$BT309,,T309)*(1-R309)+INDEX(Models!$BJ309:$BT309,,T309+1)*R309-ERP_i)*Q309*Ramure*Pc/MaxiM</f>
        <v>1.7751955418277817E-3</v>
      </c>
      <c r="Q309" s="304">
        <f t="shared" si="101"/>
        <v>0.6</v>
      </c>
      <c r="R309" s="177">
        <f t="shared" si="102"/>
        <v>0.99725326722873997</v>
      </c>
      <c r="S309" s="799">
        <f t="shared" si="103"/>
        <v>-1</v>
      </c>
      <c r="T309" s="176">
        <f t="shared" si="104"/>
        <v>5</v>
      </c>
      <c r="U309" s="250">
        <f t="shared" si="105"/>
        <v>-2.7467327712599743E-3</v>
      </c>
      <c r="V309" s="382">
        <f t="shared" si="106"/>
        <v>34.281531657744779</v>
      </c>
      <c r="W309" s="400"/>
      <c r="X309" s="157">
        <f t="shared" si="107"/>
        <v>44491</v>
      </c>
      <c r="Y309" s="383">
        <f t="shared" si="108"/>
        <v>12.016</v>
      </c>
      <c r="Z309" s="383">
        <f t="shared" si="109"/>
        <v>12.250854627737212</v>
      </c>
      <c r="AA309" s="384">
        <f t="shared" si="110"/>
        <v>13.232532858822836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7.4186721586796345E-2</v>
      </c>
      <c r="AD309" s="230">
        <f>(INDEX(Models!$BJ309:$BT309,,AH309)*(1-AF309)+INDEX(Models!$BJ309:$BT309,,AH309+1)*AF309-ERP_i)*AE309*Ramure*Pc/MaxiM</f>
        <v>1.7751955418277817E-3</v>
      </c>
      <c r="AE309" s="304">
        <f t="shared" si="112"/>
        <v>0.6</v>
      </c>
      <c r="AF309" s="177">
        <f t="shared" si="113"/>
        <v>0.99725326722873997</v>
      </c>
      <c r="AG309" s="799">
        <f t="shared" si="119"/>
        <v>-1</v>
      </c>
      <c r="AH309" s="176">
        <f t="shared" si="114"/>
        <v>5</v>
      </c>
      <c r="AI309" s="224">
        <f t="shared" si="115"/>
        <v>-2.7467327712599743E-3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33.902000000000001</v>
      </c>
      <c r="C310" s="388"/>
      <c r="D310" s="391">
        <f t="shared" si="98"/>
        <v>34.56528240825066</v>
      </c>
      <c r="E310" s="383">
        <f t="shared" si="120"/>
        <v>37.336041072944489</v>
      </c>
      <c r="F310" s="383">
        <f t="shared" si="99"/>
        <v>37.404529448025627</v>
      </c>
      <c r="G310" s="110">
        <f t="shared" si="121"/>
        <v>0.99859642752130628</v>
      </c>
      <c r="H310" s="412" t="b">
        <f>Wh_hp&gt;='2020'!Maxi_hp</f>
        <v>1</v>
      </c>
      <c r="I310" s="379">
        <f>IF(H310,Wh_hp,'2020'!Maxi_hp)</f>
        <v>37.404529448025627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1.918926628217954E-2</v>
      </c>
      <c r="M310" s="832"/>
      <c r="N310" s="832"/>
      <c r="O310" s="48">
        <f>IF(t&lt;Tnet,'2020'!Resal+('2020'!Salim-'2020'!Resal)*(1-EXP(('2020'!Tnet-t)/('2020'!Tau_j))),Resal+(Salim-Resal)*(1-EXP((Tnet-t)/(Tau_j))))*Salcycl</f>
        <v>7.4211367490209304E-2</v>
      </c>
      <c r="P310" s="169">
        <f>(INDEX(Models!$BJ310:$BT310,,T310)*(1-R310)+INDEX(Models!$BJ310:$BT310,,T310+1)*R310-ERP_i)*Q310*Ramure*Pc/MaxiM</f>
        <v>1.83468734128552E-3</v>
      </c>
      <c r="Q310" s="304">
        <f t="shared" si="101"/>
        <v>0.6</v>
      </c>
      <c r="R310" s="177">
        <f t="shared" si="102"/>
        <v>0.99733447191056179</v>
      </c>
      <c r="S310" s="799">
        <f t="shared" si="103"/>
        <v>-1</v>
      </c>
      <c r="T310" s="176">
        <f t="shared" si="104"/>
        <v>5</v>
      </c>
      <c r="U310" s="250">
        <f t="shared" si="105"/>
        <v>-2.6655280894382072E-3</v>
      </c>
      <c r="V310" s="382">
        <f t="shared" si="106"/>
        <v>33.949526001769158</v>
      </c>
      <c r="W310" s="400"/>
      <c r="X310" s="157">
        <f t="shared" si="107"/>
        <v>44492</v>
      </c>
      <c r="Y310" s="383">
        <f t="shared" si="108"/>
        <v>33.902000000000001</v>
      </c>
      <c r="Z310" s="383">
        <f t="shared" si="109"/>
        <v>34.56528240825066</v>
      </c>
      <c r="AA310" s="384">
        <f t="shared" si="110"/>
        <v>37.336041072944489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7.4211367490209304E-2</v>
      </c>
      <c r="AD310" s="230">
        <f>(INDEX(Models!$BJ310:$BT310,,AH310)*(1-AF310)+INDEX(Models!$BJ310:$BT310,,AH310+1)*AF310-ERP_i)*AE310*Ramure*Pc/MaxiM</f>
        <v>1.83468734128552E-3</v>
      </c>
      <c r="AE310" s="304">
        <f t="shared" si="112"/>
        <v>0.6</v>
      </c>
      <c r="AF310" s="177">
        <f t="shared" si="113"/>
        <v>0.99733447191056179</v>
      </c>
      <c r="AG310" s="799">
        <f t="shared" si="119"/>
        <v>-1</v>
      </c>
      <c r="AH310" s="176">
        <f t="shared" si="114"/>
        <v>5</v>
      </c>
      <c r="AI310" s="224">
        <f t="shared" si="115"/>
        <v>-2.6655280894382072E-3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34.819000000000003</v>
      </c>
      <c r="C311" s="388"/>
      <c r="D311" s="391">
        <f t="shared" si="98"/>
        <v>35.500903603485646</v>
      </c>
      <c r="E311" s="383">
        <f t="shared" si="120"/>
        <v>38.347649538756755</v>
      </c>
      <c r="F311" s="383">
        <f t="shared" si="99"/>
        <v>38.420312161688102</v>
      </c>
      <c r="G311" s="110">
        <f t="shared" si="121"/>
        <v>1.0356825400171863</v>
      </c>
      <c r="H311" s="412" t="b">
        <f>Wh_hp&gt;='2020'!Maxi_hp</f>
        <v>1</v>
      </c>
      <c r="I311" s="379">
        <f>IF(H311,Wh_hp,'2020'!Maxi_hp)</f>
        <v>38.420312161688102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1.9208063296132338E-2</v>
      </c>
      <c r="M311" s="832"/>
      <c r="N311" s="832"/>
      <c r="O311" s="48">
        <f>IF(t&lt;Tnet,'2020'!Resal+('2020'!Salim-'2020'!Resal)*(1-EXP(('2020'!Tnet-t)/('2020'!Tau_j))),Resal+(Salim-Resal)*(1-EXP((Tnet-t)/(Tau_j))))*Salcycl</f>
        <v>7.4235213096802616E-2</v>
      </c>
      <c r="P311" s="169">
        <f>(INDEX(Models!$BJ311:$BT311,,T311)*(1-R311)+INDEX(Models!$BJ311:$BT311,,T311+1)*R311-ERP_i)*Q311*Ramure*Pc/MaxiM</f>
        <v>1.8912554022349627E-3</v>
      </c>
      <c r="Q311" s="304">
        <f t="shared" si="101"/>
        <v>0.6</v>
      </c>
      <c r="R311" s="177">
        <f t="shared" si="102"/>
        <v>0.99741243192295448</v>
      </c>
      <c r="S311" s="799">
        <f t="shared" si="103"/>
        <v>-1</v>
      </c>
      <c r="T311" s="176">
        <f t="shared" si="104"/>
        <v>5</v>
      </c>
      <c r="U311" s="250">
        <f t="shared" si="105"/>
        <v>-2.5875680770455212E-3</v>
      </c>
      <c r="V311" s="382">
        <f t="shared" si="106"/>
        <v>33.619375295659815</v>
      </c>
      <c r="W311" s="400"/>
      <c r="X311" s="157">
        <f t="shared" si="107"/>
        <v>44493</v>
      </c>
      <c r="Y311" s="383">
        <f t="shared" si="108"/>
        <v>34.819000000000003</v>
      </c>
      <c r="Z311" s="383">
        <f t="shared" si="109"/>
        <v>35.500903603485646</v>
      </c>
      <c r="AA311" s="384">
        <f t="shared" si="110"/>
        <v>38.347649538756755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7.4235213096802616E-2</v>
      </c>
      <c r="AD311" s="230">
        <f>(INDEX(Models!$BJ311:$BT311,,AH311)*(1-AF311)+INDEX(Models!$BJ311:$BT311,,AH311+1)*AF311-ERP_i)*AE311*Ramure*Pc/MaxiM</f>
        <v>1.8912554022349627E-3</v>
      </c>
      <c r="AE311" s="304">
        <f t="shared" si="112"/>
        <v>0.6</v>
      </c>
      <c r="AF311" s="177">
        <f t="shared" si="113"/>
        <v>0.99741243192295448</v>
      </c>
      <c r="AG311" s="799">
        <f t="shared" si="119"/>
        <v>-1</v>
      </c>
      <c r="AH311" s="176">
        <f t="shared" si="114"/>
        <v>5</v>
      </c>
      <c r="AI311" s="224">
        <f t="shared" si="115"/>
        <v>-2.5875680770455212E-3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31.927</v>
      </c>
      <c r="C312" s="388"/>
      <c r="D312" s="391">
        <f t="shared" si="98"/>
        <v>32.552889854189218</v>
      </c>
      <c r="E312" s="383">
        <f t="shared" si="120"/>
        <v>35.16411796661319</v>
      </c>
      <c r="F312" s="383">
        <f t="shared" si="99"/>
        <v>35.228620832517834</v>
      </c>
      <c r="G312" s="110">
        <f t="shared" si="121"/>
        <v>0.95890207569470154</v>
      </c>
      <c r="H312" s="412" t="b">
        <f>Wh_hp&gt;='2020'!Maxi_hp</f>
        <v>1</v>
      </c>
      <c r="I312" s="379">
        <f>IF(H312,Wh_hp,'2020'!Maxi_hp)</f>
        <v>35.228620832517834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1.9226859949844743E-2</v>
      </c>
      <c r="M312" s="832"/>
      <c r="N312" s="832"/>
      <c r="O312" s="48">
        <f>IF(t&lt;Tnet,'2020'!Resal+('2020'!Salim-'2020'!Resal)*(1-EXP(('2020'!Tnet-t)/('2020'!Tau_j))),Resal+(Salim-Resal)*(1-EXP((Tnet-t)/(Tau_j))))*Salcycl</f>
        <v>7.4258313969462419E-2</v>
      </c>
      <c r="P312" s="169">
        <f>(INDEX(Models!$BJ312:$BT312,,T312)*(1-R312)+INDEX(Models!$BJ312:$BT312,,T312+1)*R312-ERP_i)*Q312*Ramure*Pc/MaxiM</f>
        <v>1.9448603544309844E-3</v>
      </c>
      <c r="Q312" s="304">
        <f t="shared" si="101"/>
        <v>0.6</v>
      </c>
      <c r="R312" s="177">
        <f t="shared" si="102"/>
        <v>0.99748727595436271</v>
      </c>
      <c r="S312" s="799">
        <f t="shared" si="103"/>
        <v>-1</v>
      </c>
      <c r="T312" s="176">
        <f t="shared" si="104"/>
        <v>5</v>
      </c>
      <c r="U312" s="250">
        <f t="shared" si="105"/>
        <v>-2.5127240456372935E-3</v>
      </c>
      <c r="V312" s="382">
        <f t="shared" si="106"/>
        <v>33.291571945229393</v>
      </c>
      <c r="W312" s="400"/>
      <c r="X312" s="157">
        <f t="shared" si="107"/>
        <v>44494</v>
      </c>
      <c r="Y312" s="383">
        <f t="shared" si="108"/>
        <v>31.927</v>
      </c>
      <c r="Z312" s="383">
        <f t="shared" si="109"/>
        <v>32.552889854189218</v>
      </c>
      <c r="AA312" s="384">
        <f t="shared" si="110"/>
        <v>35.16411796661319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7.4258313969462419E-2</v>
      </c>
      <c r="AD312" s="230">
        <f>(INDEX(Models!$BJ312:$BT312,,AH312)*(1-AF312)+INDEX(Models!$BJ312:$BT312,,AH312+1)*AF312-ERP_i)*AE312*Ramure*Pc/MaxiM</f>
        <v>1.9448603544309844E-3</v>
      </c>
      <c r="AE312" s="304">
        <f t="shared" si="112"/>
        <v>0.6</v>
      </c>
      <c r="AF312" s="177">
        <f t="shared" si="113"/>
        <v>0.99748727595436271</v>
      </c>
      <c r="AG312" s="799">
        <f t="shared" si="119"/>
        <v>-1</v>
      </c>
      <c r="AH312" s="176">
        <f t="shared" si="114"/>
        <v>5</v>
      </c>
      <c r="AI312" s="224">
        <f t="shared" si="115"/>
        <v>-2.5127240456372935E-3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24.564</v>
      </c>
      <c r="C313" s="388"/>
      <c r="D313" s="391">
        <f t="shared" si="98"/>
        <v>25.046027230335962</v>
      </c>
      <c r="E313" s="383">
        <f t="shared" si="120"/>
        <v>27.055747908177533</v>
      </c>
      <c r="F313" s="383">
        <f t="shared" si="99"/>
        <v>27.09012176517227</v>
      </c>
      <c r="G313" s="110">
        <f t="shared" si="121"/>
        <v>0.74457551785376141</v>
      </c>
      <c r="H313" s="412" t="b">
        <f>Wh_hp&gt;='2020'!Maxi_hp</f>
        <v>0</v>
      </c>
      <c r="I313" s="379">
        <f>IF(H313,Wh_hp,'2020'!Maxi_hp)</f>
        <v>35.899581400046522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1.9245656243323417E-2</v>
      </c>
      <c r="M313" s="832"/>
      <c r="N313" s="832"/>
      <c r="O313" s="48">
        <f>IF(t&lt;Tnet,'2020'!Resal+('2020'!Salim-'2020'!Resal)*(1-EXP(('2020'!Tnet-t)/('2020'!Tau_j))),Resal+(Salim-Resal)*(1-EXP((Tnet-t)/(Tau_j))))*Salcycl</f>
        <v>7.4280728984547448E-2</v>
      </c>
      <c r="P313" s="169">
        <f>(INDEX(Models!$BJ313:$BT313,,T313)*(1-R313)+INDEX(Models!$BJ313:$BT313,,T313+1)*R313-ERP_i)*Q313*Ramure*Pc/MaxiM</f>
        <v>1.9954488044822941E-3</v>
      </c>
      <c r="Q313" s="304">
        <f t="shared" si="101"/>
        <v>0.6</v>
      </c>
      <c r="R313" s="177">
        <f t="shared" si="102"/>
        <v>0.9975591276645922</v>
      </c>
      <c r="S313" s="799">
        <f t="shared" si="103"/>
        <v>-1</v>
      </c>
      <c r="T313" s="176">
        <f t="shared" si="104"/>
        <v>5</v>
      </c>
      <c r="U313" s="250">
        <f t="shared" si="105"/>
        <v>-2.4408723354077955E-3</v>
      </c>
      <c r="V313" s="382">
        <f t="shared" si="106"/>
        <v>32.96660858084001</v>
      </c>
      <c r="W313" s="400"/>
      <c r="X313" s="157">
        <f t="shared" si="107"/>
        <v>44495</v>
      </c>
      <c r="Y313" s="383">
        <f t="shared" si="108"/>
        <v>24.564</v>
      </c>
      <c r="Z313" s="383">
        <f t="shared" si="109"/>
        <v>25.046027230335962</v>
      </c>
      <c r="AA313" s="384">
        <f t="shared" si="110"/>
        <v>27.055747908177533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7.4280728984547448E-2</v>
      </c>
      <c r="AD313" s="230">
        <f>(INDEX(Models!$BJ313:$BT313,,AH313)*(1-AF313)+INDEX(Models!$BJ313:$BT313,,AH313+1)*AF313-ERP_i)*AE313*Ramure*Pc/MaxiM</f>
        <v>1.9954488044822941E-3</v>
      </c>
      <c r="AE313" s="304">
        <f t="shared" si="112"/>
        <v>0.6</v>
      </c>
      <c r="AF313" s="177">
        <f t="shared" si="113"/>
        <v>0.9975591276645922</v>
      </c>
      <c r="AG313" s="799">
        <f t="shared" si="119"/>
        <v>-1</v>
      </c>
      <c r="AH313" s="176">
        <f t="shared" si="114"/>
        <v>5</v>
      </c>
      <c r="AI313" s="224">
        <f t="shared" si="115"/>
        <v>-2.4408723354077955E-3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27.989000000000001</v>
      </c>
      <c r="C314" s="388"/>
      <c r="D314" s="391">
        <f t="shared" si="98"/>
        <v>28.538784040322412</v>
      </c>
      <c r="E314" s="383">
        <f t="shared" si="120"/>
        <v>30.829493070097815</v>
      </c>
      <c r="F314" s="383">
        <f t="shared" si="99"/>
        <v>30.879725572368368</v>
      </c>
      <c r="G314" s="110">
        <f t="shared" si="121"/>
        <v>0.85701791127349169</v>
      </c>
      <c r="H314" s="412" t="b">
        <f>Wh_hp&gt;='2020'!Maxi_hp</f>
        <v>1</v>
      </c>
      <c r="I314" s="379">
        <f>IF(H314,Wh_hp,'2020'!Maxi_hp)</f>
        <v>30.879725572368368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1.9264452176575575E-2</v>
      </c>
      <c r="M314" s="832"/>
      <c r="N314" s="832"/>
      <c r="O314" s="48">
        <f>IF(t&lt;Tnet,'2020'!Resal+('2020'!Salim-'2020'!Resal)*(1-EXP(('2020'!Tnet-t)/('2020'!Tau_j))),Resal+(Salim-Resal)*(1-EXP((Tnet-t)/(Tau_j))))*Salcycl</f>
        <v>7.4302520140923409E-2</v>
      </c>
      <c r="P314" s="169">
        <f>(INDEX(Models!$BJ314:$BT314,,T314)*(1-R314)+INDEX(Models!$BJ314:$BT314,,T314+1)*R314-ERP_i)*Q314*Ramure*Pc/MaxiM</f>
        <v>2.0429683579600236E-3</v>
      </c>
      <c r="Q314" s="304">
        <f t="shared" si="101"/>
        <v>0.6</v>
      </c>
      <c r="R314" s="177">
        <f t="shared" si="102"/>
        <v>0.99762810587536954</v>
      </c>
      <c r="S314" s="799">
        <f t="shared" si="103"/>
        <v>-1</v>
      </c>
      <c r="T314" s="176">
        <f t="shared" si="104"/>
        <v>5</v>
      </c>
      <c r="U314" s="250">
        <f t="shared" si="105"/>
        <v>-2.3718941246305136E-3</v>
      </c>
      <c r="V314" s="382">
        <f t="shared" si="106"/>
        <v>32.644977571941283</v>
      </c>
      <c r="W314" s="400"/>
      <c r="X314" s="157">
        <f t="shared" si="107"/>
        <v>44496</v>
      </c>
      <c r="Y314" s="383">
        <f t="shared" si="108"/>
        <v>27.989000000000001</v>
      </c>
      <c r="Z314" s="383">
        <f t="shared" si="109"/>
        <v>28.538784040322412</v>
      </c>
      <c r="AA314" s="384">
        <f t="shared" si="110"/>
        <v>30.829493070097815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7.4302520140923409E-2</v>
      </c>
      <c r="AD314" s="230">
        <f>(INDEX(Models!$BJ314:$BT314,,AH314)*(1-AF314)+INDEX(Models!$BJ314:$BT314,,AH314+1)*AF314-ERP_i)*AE314*Ramure*Pc/MaxiM</f>
        <v>2.0429683579600236E-3</v>
      </c>
      <c r="AE314" s="304">
        <f t="shared" si="112"/>
        <v>0.6</v>
      </c>
      <c r="AF314" s="177">
        <f t="shared" si="113"/>
        <v>0.99762810587536954</v>
      </c>
      <c r="AG314" s="799">
        <f t="shared" si="119"/>
        <v>-1</v>
      </c>
      <c r="AH314" s="176">
        <f t="shared" si="114"/>
        <v>5</v>
      </c>
      <c r="AI314" s="224">
        <f t="shared" si="115"/>
        <v>-2.3718941246305136E-3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32.125999999999998</v>
      </c>
      <c r="C315" s="388"/>
      <c r="D315" s="391">
        <f t="shared" si="98"/>
        <v>32.757674350195799</v>
      </c>
      <c r="E315" s="383">
        <f t="shared" si="120"/>
        <v>35.38783071642122</v>
      </c>
      <c r="F315" s="383">
        <f t="shared" si="99"/>
        <v>35.461193234664123</v>
      </c>
      <c r="G315" s="110">
        <f t="shared" si="121"/>
        <v>0.99375854949912756</v>
      </c>
      <c r="H315" s="412" t="b">
        <f>Wh_hp&gt;='2020'!Maxi_hp</f>
        <v>1</v>
      </c>
      <c r="I315" s="379">
        <f>IF(H315,Wh_hp,'2020'!Maxi_hp)</f>
        <v>35.461193234664123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1.9283247749607879E-2</v>
      </c>
      <c r="M315" s="832"/>
      <c r="N315" s="832"/>
      <c r="O315" s="48">
        <f>IF(t&lt;Tnet,'2020'!Resal+('2020'!Salim-'2020'!Resal)*(1-EXP(('2020'!Tnet-t)/('2020'!Tau_j))),Resal+(Salim-Resal)*(1-EXP((Tnet-t)/(Tau_j))))*Salcycl</f>
        <v>7.4323752345885841E-2</v>
      </c>
      <c r="P315" s="169">
        <f>(INDEX(Models!$BJ315:$BT315,,T315)*(1-R315)+INDEX(Models!$BJ315:$BT315,,T315+1)*R315-ERP_i)*Q315*Ramure*Pc/MaxiM</f>
        <v>2.0873679422105124E-3</v>
      </c>
      <c r="Q315" s="304">
        <f t="shared" si="101"/>
        <v>0.6</v>
      </c>
      <c r="R315" s="177">
        <f t="shared" si="102"/>
        <v>0.99769432475415165</v>
      </c>
      <c r="S315" s="799">
        <f t="shared" si="103"/>
        <v>-1</v>
      </c>
      <c r="T315" s="176">
        <f t="shared" si="104"/>
        <v>5</v>
      </c>
      <c r="U315" s="250">
        <f t="shared" si="105"/>
        <v>-2.3056752458484042E-3</v>
      </c>
      <c r="V315" s="382">
        <f t="shared" si="106"/>
        <v>32.327171052266564</v>
      </c>
      <c r="W315" s="400"/>
      <c r="X315" s="157">
        <f t="shared" si="107"/>
        <v>44497</v>
      </c>
      <c r="Y315" s="383">
        <f t="shared" si="108"/>
        <v>32.125999999999998</v>
      </c>
      <c r="Z315" s="383">
        <f t="shared" si="109"/>
        <v>32.757674350195799</v>
      </c>
      <c r="AA315" s="384">
        <f t="shared" si="110"/>
        <v>35.38783071642122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7.4323752345885841E-2</v>
      </c>
      <c r="AD315" s="230">
        <f>(INDEX(Models!$BJ315:$BT315,,AH315)*(1-AF315)+INDEX(Models!$BJ315:$BT315,,AH315+1)*AF315-ERP_i)*AE315*Ramure*Pc/MaxiM</f>
        <v>2.0873679422105124E-3</v>
      </c>
      <c r="AE315" s="304">
        <f t="shared" si="112"/>
        <v>0.6</v>
      </c>
      <c r="AF315" s="177">
        <f t="shared" si="113"/>
        <v>0.99769432475415165</v>
      </c>
      <c r="AG315" s="799">
        <f t="shared" si="119"/>
        <v>-1</v>
      </c>
      <c r="AH315" s="176">
        <f t="shared" si="114"/>
        <v>5</v>
      </c>
      <c r="AI315" s="224">
        <f t="shared" si="115"/>
        <v>-2.3056752458484042E-3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16.802</v>
      </c>
      <c r="C316" s="388"/>
      <c r="D316" s="391">
        <f t="shared" si="98"/>
        <v>17.132696034928397</v>
      </c>
      <c r="E316" s="383">
        <f t="shared" si="120"/>
        <v>18.508717237332561</v>
      </c>
      <c r="F316" s="383">
        <f t="shared" si="99"/>
        <v>18.521380304823857</v>
      </c>
      <c r="G316" s="110">
        <f t="shared" si="121"/>
        <v>0.52407925980264258</v>
      </c>
      <c r="H316" s="412" t="b">
        <f>Wh_hp&gt;='2020'!Maxi_hp</f>
        <v>0</v>
      </c>
      <c r="I316" s="379">
        <f>IF(H316,Wh_hp,'2020'!Maxi_hp)</f>
        <v>29.777598995663187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1.9302042962427324E-2</v>
      </c>
      <c r="M316" s="832"/>
      <c r="N316" s="832"/>
      <c r="O316" s="48">
        <f>IF(t&lt;Tnet,'2020'!Resal+('2020'!Salim-'2020'!Resal)*(1-EXP(('2020'!Tnet-t)/('2020'!Tau_j))),Resal+(Salim-Resal)*(1-EXP((Tnet-t)/(Tau_j))))*Salcycl</f>
        <v>7.4344493179067786E-2</v>
      </c>
      <c r="P316" s="169">
        <f>(INDEX(Models!$BJ316:$BT316,,T316)*(1-R316)+INDEX(Models!$BJ316:$BT316,,T316+1)*R316-ERP_i)*Q316*Ramure*Pc/MaxiM</f>
        <v>2.1285981200921938E-3</v>
      </c>
      <c r="Q316" s="304">
        <f t="shared" si="101"/>
        <v>0.6</v>
      </c>
      <c r="R316" s="177">
        <f t="shared" si="102"/>
        <v>0.99775789399138781</v>
      </c>
      <c r="S316" s="799">
        <f t="shared" si="103"/>
        <v>-1</v>
      </c>
      <c r="T316" s="176">
        <f t="shared" si="104"/>
        <v>5</v>
      </c>
      <c r="U316" s="250">
        <f t="shared" si="105"/>
        <v>-2.2421060086122435E-3</v>
      </c>
      <c r="V316" s="382">
        <f t="shared" si="106"/>
        <v>32.013680942534023</v>
      </c>
      <c r="W316" s="400"/>
      <c r="X316" s="157">
        <f t="shared" si="107"/>
        <v>44498</v>
      </c>
      <c r="Y316" s="383">
        <f t="shared" si="108"/>
        <v>16.802</v>
      </c>
      <c r="Z316" s="383">
        <f t="shared" si="109"/>
        <v>17.132696034928397</v>
      </c>
      <c r="AA316" s="384">
        <f t="shared" si="110"/>
        <v>18.508717237332561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7.4344493179067786E-2</v>
      </c>
      <c r="AD316" s="230">
        <f>(INDEX(Models!$BJ316:$BT316,,AH316)*(1-AF316)+INDEX(Models!$BJ316:$BT316,,AH316+1)*AF316-ERP_i)*AE316*Ramure*Pc/MaxiM</f>
        <v>2.1285981200921938E-3</v>
      </c>
      <c r="AE316" s="304">
        <f t="shared" si="112"/>
        <v>0.6</v>
      </c>
      <c r="AF316" s="177">
        <f t="shared" si="113"/>
        <v>0.99775789399138781</v>
      </c>
      <c r="AG316" s="799">
        <f t="shared" si="119"/>
        <v>-1</v>
      </c>
      <c r="AH316" s="176">
        <f t="shared" si="114"/>
        <v>5</v>
      </c>
      <c r="AI316" s="224">
        <f t="shared" si="115"/>
        <v>-2.2421060086122435E-3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10.028</v>
      </c>
      <c r="C317" s="388"/>
      <c r="D317" s="391">
        <f t="shared" si="98"/>
        <v>10.225566512148127</v>
      </c>
      <c r="E317" s="383">
        <f t="shared" si="120"/>
        <v>11.04708059042578</v>
      </c>
      <c r="F317" s="383">
        <f t="shared" si="99"/>
        <v>11.047638320905378</v>
      </c>
      <c r="G317" s="110">
        <f t="shared" si="121"/>
        <v>0.31564027748023321</v>
      </c>
      <c r="H317" s="412" t="b">
        <f>Wh_hp&gt;='2020'!Maxi_hp</f>
        <v>0</v>
      </c>
      <c r="I317" s="379">
        <f>IF(H317,Wh_hp,'2020'!Maxi_hp)</f>
        <v>28.491037803008169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1.9320837815040792E-2</v>
      </c>
      <c r="M317" s="832"/>
      <c r="N317" s="832"/>
      <c r="O317" s="48">
        <f>IF(t&lt;Tnet,'2020'!Resal+('2020'!Salim-'2020'!Resal)*(1-EXP(('2020'!Tnet-t)/('2020'!Tau_j))),Resal+(Salim-Resal)*(1-EXP((Tnet-t)/(Tau_j))))*Salcycl</f>
        <v>7.4364812635624153E-2</v>
      </c>
      <c r="P317" s="169">
        <f>(INDEX(Models!$BJ317:$BT317,,T317)*(1-R317)+INDEX(Models!$BJ317:$BT317,,T317+1)*R317-ERP_i)*Q317*Ramure*Pc/MaxiM</f>
        <v>2.1667404949291813E-3</v>
      </c>
      <c r="Q317" s="304">
        <f t="shared" si="101"/>
        <v>0.6</v>
      </c>
      <c r="R317" s="177">
        <f t="shared" si="102"/>
        <v>0.99781891897143038</v>
      </c>
      <c r="S317" s="799">
        <f t="shared" si="103"/>
        <v>-1</v>
      </c>
      <c r="T317" s="176">
        <f t="shared" si="104"/>
        <v>5</v>
      </c>
      <c r="U317" s="250">
        <f t="shared" si="105"/>
        <v>-2.1810810285695648E-3</v>
      </c>
      <c r="V317" s="382">
        <f t="shared" si="106"/>
        <v>31.70310579404364</v>
      </c>
      <c r="W317" s="400"/>
      <c r="X317" s="157">
        <f t="shared" si="107"/>
        <v>44499</v>
      </c>
      <c r="Y317" s="383">
        <f t="shared" si="108"/>
        <v>10.028</v>
      </c>
      <c r="Z317" s="383">
        <f t="shared" si="109"/>
        <v>10.225566512148127</v>
      </c>
      <c r="AA317" s="384">
        <f t="shared" si="110"/>
        <v>11.04708059042578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7.4364812635624153E-2</v>
      </c>
      <c r="AD317" s="230">
        <f>(INDEX(Models!$BJ317:$BT317,,AH317)*(1-AF317)+INDEX(Models!$BJ317:$BT317,,AH317+1)*AF317-ERP_i)*AE317*Ramure*Pc/MaxiM</f>
        <v>2.1667404949291813E-3</v>
      </c>
      <c r="AE317" s="304">
        <f t="shared" si="112"/>
        <v>0.6</v>
      </c>
      <c r="AF317" s="177">
        <f t="shared" si="113"/>
        <v>0.99781891897143038</v>
      </c>
      <c r="AG317" s="799">
        <f t="shared" si="119"/>
        <v>-1</v>
      </c>
      <c r="AH317" s="176">
        <f t="shared" si="114"/>
        <v>5</v>
      </c>
      <c r="AI317" s="224">
        <f t="shared" si="115"/>
        <v>-2.1810810285695648E-3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18.115000000000002</v>
      </c>
      <c r="C318" s="388"/>
      <c r="D318" s="391">
        <f t="shared" si="98"/>
        <v>18.47224645431923</v>
      </c>
      <c r="E318" s="383">
        <f t="shared" si="120"/>
        <v>19.956722957947157</v>
      </c>
      <c r="F318" s="383">
        <f t="shared" si="99"/>
        <v>19.9741396698345</v>
      </c>
      <c r="G318" s="110">
        <f t="shared" si="121"/>
        <v>0.57625463982084923</v>
      </c>
      <c r="H318" s="412" t="b">
        <f>Wh_hp&gt;='2020'!Maxi_hp</f>
        <v>0</v>
      </c>
      <c r="I318" s="379">
        <f>IF(H318,Wh_hp,'2020'!Maxi_hp)</f>
        <v>34.120858369867321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1.9339632307455168E-2</v>
      </c>
      <c r="M318" s="832"/>
      <c r="N318" s="832"/>
      <c r="O318" s="48">
        <f>IF(t&lt;Tnet,'2020'!Resal+('2020'!Salim-'2020'!Resal)*(1-EXP(('2020'!Tnet-t)/('2020'!Tau_j))),Resal+(Salim-Resal)*(1-EXP((Tnet-t)/(Tau_j))))*Salcycl</f>
        <v>7.4384782850171263E-2</v>
      </c>
      <c r="P318" s="169">
        <f>(INDEX(Models!$BJ318:$BT318,,T318)*(1-R318)+INDEX(Models!$BJ318:$BT318,,T318+1)*R318-ERP_i)*Q318*Ramure*Pc/MaxiM</f>
        <v>2.2033295068494821E-3</v>
      </c>
      <c r="Q318" s="304">
        <f t="shared" si="101"/>
        <v>0.6</v>
      </c>
      <c r="R318" s="177">
        <f t="shared" si="102"/>
        <v>0.99787750093729133</v>
      </c>
      <c r="S318" s="799">
        <f t="shared" si="103"/>
        <v>-1</v>
      </c>
      <c r="T318" s="176">
        <f t="shared" si="104"/>
        <v>5</v>
      </c>
      <c r="U318" s="250">
        <f t="shared" si="105"/>
        <v>-2.1224990627086715E-3</v>
      </c>
      <c r="V318" s="382">
        <f t="shared" si="106"/>
        <v>31.393866527974001</v>
      </c>
      <c r="W318" s="400"/>
      <c r="X318" s="157">
        <f t="shared" si="107"/>
        <v>44500</v>
      </c>
      <c r="Y318" s="383">
        <f t="shared" si="108"/>
        <v>18.115000000000002</v>
      </c>
      <c r="Z318" s="383">
        <f t="shared" si="109"/>
        <v>18.47224645431923</v>
      </c>
      <c r="AA318" s="384">
        <f t="shared" si="110"/>
        <v>19.956722957947157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7.4384782850171263E-2</v>
      </c>
      <c r="AD318" s="230">
        <f>(INDEX(Models!$BJ318:$BT318,,AH318)*(1-AF318)+INDEX(Models!$BJ318:$BT318,,AH318+1)*AF318-ERP_i)*AE318*Ramure*Pc/MaxiM</f>
        <v>2.2033295068494821E-3</v>
      </c>
      <c r="AE318" s="304">
        <f t="shared" si="112"/>
        <v>0.6</v>
      </c>
      <c r="AF318" s="177">
        <f t="shared" si="113"/>
        <v>0.99787750093729133</v>
      </c>
      <c r="AG318" s="799">
        <f t="shared" si="119"/>
        <v>-1</v>
      </c>
      <c r="AH318" s="176">
        <f t="shared" si="114"/>
        <v>5</v>
      </c>
      <c r="AI318" s="224">
        <f t="shared" si="115"/>
        <v>-2.1224990627086715E-3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16.617000000000001</v>
      </c>
      <c r="C319" s="388"/>
      <c r="D319" s="391">
        <f t="shared" si="98"/>
        <v>16.945029099337724</v>
      </c>
      <c r="E319" s="383">
        <f t="shared" si="120"/>
        <v>18.307164082988862</v>
      </c>
      <c r="F319" s="383">
        <f t="shared" si="99"/>
        <v>18.320910555588522</v>
      </c>
      <c r="G319" s="110">
        <f t="shared" si="121"/>
        <v>0.53374887242612101</v>
      </c>
      <c r="H319" s="412" t="b">
        <f>Wh_hp&gt;='2020'!Maxi_hp</f>
        <v>0</v>
      </c>
      <c r="I319" s="379">
        <f>IF(H319,Wh_hp,'2020'!Maxi_hp)</f>
        <v>32.848992554762482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1.9358426439677334E-2</v>
      </c>
      <c r="M319" s="832"/>
      <c r="N319" s="832"/>
      <c r="O319" s="48">
        <f>IF(t&lt;Tnet,'2020'!Resal+('2020'!Salim-'2020'!Resal)*(1-EXP(('2020'!Tnet-t)/('2020'!Tau_j))),Resal+(Salim-Resal)*(1-EXP((Tnet-t)/(Tau_j))))*Salcycl</f>
        <v>7.4404477803137373E-2</v>
      </c>
      <c r="P319" s="169">
        <f>(INDEX(Models!$BJ319:$BT319,,T319)*(1-R319)+INDEX(Models!$BJ319:$BT319,,T319+1)*R319-ERP_i)*Q319*Ramure*Pc/MaxiM</f>
        <v>2.2393156828868234E-3</v>
      </c>
      <c r="Q319" s="304">
        <f t="shared" si="101"/>
        <v>0.6</v>
      </c>
      <c r="R319" s="177">
        <f t="shared" si="102"/>
        <v>0.99793373714943301</v>
      </c>
      <c r="S319" s="799">
        <f t="shared" si="103"/>
        <v>-1</v>
      </c>
      <c r="T319" s="176">
        <f t="shared" si="104"/>
        <v>5</v>
      </c>
      <c r="U319" s="250">
        <f t="shared" si="105"/>
        <v>-2.0662628505669911E-3</v>
      </c>
      <c r="V319" s="382">
        <f t="shared" si="106"/>
        <v>31.086227195779387</v>
      </c>
      <c r="W319" s="400"/>
      <c r="X319" s="157">
        <f t="shared" si="107"/>
        <v>44501</v>
      </c>
      <c r="Y319" s="383">
        <f t="shared" si="108"/>
        <v>16.617000000000001</v>
      </c>
      <c r="Z319" s="383">
        <f t="shared" si="109"/>
        <v>16.945029099337724</v>
      </c>
      <c r="AA319" s="384">
        <f t="shared" si="110"/>
        <v>18.307164082988862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7.4404477803137373E-2</v>
      </c>
      <c r="AD319" s="230">
        <f>(INDEX(Models!$BJ319:$BT319,,AH319)*(1-AF319)+INDEX(Models!$BJ319:$BT319,,AH319+1)*AF319-ERP_i)*AE319*Ramure*Pc/MaxiM</f>
        <v>2.2393156828868234E-3</v>
      </c>
      <c r="AE319" s="304">
        <f t="shared" si="112"/>
        <v>0.6</v>
      </c>
      <c r="AF319" s="177">
        <f t="shared" si="113"/>
        <v>0.99793373714943301</v>
      </c>
      <c r="AG319" s="799">
        <f t="shared" si="119"/>
        <v>-1</v>
      </c>
      <c r="AH319" s="176">
        <f t="shared" si="114"/>
        <v>5</v>
      </c>
      <c r="AI319" s="224">
        <f t="shared" si="115"/>
        <v>-2.0662628505669911E-3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25.44</v>
      </c>
      <c r="C320" s="388"/>
      <c r="D320" s="391">
        <f t="shared" si="98"/>
        <v>25.942697359623285</v>
      </c>
      <c r="E320" s="383">
        <f t="shared" si="120"/>
        <v>28.028704939590224</v>
      </c>
      <c r="F320" s="383">
        <f t="shared" si="99"/>
        <v>28.076741102451006</v>
      </c>
      <c r="G320" s="110">
        <f t="shared" si="121"/>
        <v>0.8260309832550119</v>
      </c>
      <c r="H320" s="412" t="b">
        <f>Wh_hp&gt;='2020'!Maxi_hp</f>
        <v>0</v>
      </c>
      <c r="I320" s="379">
        <f>IF(H320,Wh_hp,'2020'!Maxi_hp)</f>
        <v>29.07838367630567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1.9377220211714397E-2</v>
      </c>
      <c r="M320" s="832"/>
      <c r="N320" s="832"/>
      <c r="O320" s="48">
        <f>IF(t&lt;Tnet,'2020'!Resal+('2020'!Salim-'2020'!Resal)*(1-EXP(('2020'!Tnet-t)/('2020'!Tau_j))),Resal+(Salim-Resal)*(1-EXP((Tnet-t)/(Tau_j))))*Salcycl</f>
        <v>7.4423973011342348E-2</v>
      </c>
      <c r="P320" s="169">
        <f>(INDEX(Models!$BJ320:$BT320,,T320)*(1-R320)+INDEX(Models!$BJ320:$BT320,,T320+1)*R320-ERP_i)*Q320*Ramure*Pc/MaxiM</f>
        <v>2.2746947112081456E-3</v>
      </c>
      <c r="Q320" s="304">
        <f t="shared" si="101"/>
        <v>0.6</v>
      </c>
      <c r="R320" s="177">
        <f t="shared" si="102"/>
        <v>0.99798772103878708</v>
      </c>
      <c r="S320" s="799">
        <f t="shared" si="103"/>
        <v>-1</v>
      </c>
      <c r="T320" s="176">
        <f t="shared" si="104"/>
        <v>5</v>
      </c>
      <c r="U320" s="250">
        <f t="shared" si="105"/>
        <v>-2.0122789612128655E-3</v>
      </c>
      <c r="V320" s="382">
        <f t="shared" si="106"/>
        <v>30.780482444433922</v>
      </c>
      <c r="W320" s="400"/>
      <c r="X320" s="157">
        <f t="shared" si="107"/>
        <v>44502</v>
      </c>
      <c r="Y320" s="383">
        <f t="shared" si="108"/>
        <v>25.44</v>
      </c>
      <c r="Z320" s="383">
        <f t="shared" si="109"/>
        <v>25.942697359623285</v>
      </c>
      <c r="AA320" s="384">
        <f t="shared" si="110"/>
        <v>28.028704939590224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7.4423973011342348E-2</v>
      </c>
      <c r="AD320" s="230">
        <f>(INDEX(Models!$BJ320:$BT320,,AH320)*(1-AF320)+INDEX(Models!$BJ320:$BT320,,AH320+1)*AF320-ERP_i)*AE320*Ramure*Pc/MaxiM</f>
        <v>2.2746947112081456E-3</v>
      </c>
      <c r="AE320" s="304">
        <f t="shared" si="112"/>
        <v>0.6</v>
      </c>
      <c r="AF320" s="177">
        <f t="shared" si="113"/>
        <v>0.99798772103878708</v>
      </c>
      <c r="AG320" s="799">
        <f t="shared" si="119"/>
        <v>-1</v>
      </c>
      <c r="AH320" s="176">
        <f t="shared" si="114"/>
        <v>5</v>
      </c>
      <c r="AI320" s="224">
        <f t="shared" si="115"/>
        <v>-2.0122789612128655E-3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16.120999999999999</v>
      </c>
      <c r="C321" s="388"/>
      <c r="D321" s="391">
        <f t="shared" si="98"/>
        <v>16.439867901792915</v>
      </c>
      <c r="E321" s="383">
        <f t="shared" si="120"/>
        <v>17.762141103539655</v>
      </c>
      <c r="F321" s="383">
        <f t="shared" si="99"/>
        <v>17.77556848984138</v>
      </c>
      <c r="G321" s="110">
        <f t="shared" si="121"/>
        <v>0.52813486831321899</v>
      </c>
      <c r="H321" s="412" t="b">
        <f>Wh_hp&gt;='2020'!Maxi_hp</f>
        <v>0</v>
      </c>
      <c r="I321" s="379">
        <f>IF(H321,Wh_hp,'2020'!Maxi_hp)</f>
        <v>29.614967506581426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1.9396013623573016E-2</v>
      </c>
      <c r="M321" s="832"/>
      <c r="N321" s="832"/>
      <c r="O321" s="48">
        <f>IF(t&lt;Tnet,'2020'!Resal+('2020'!Salim-'2020'!Resal)*(1-EXP(('2020'!Tnet-t)/('2020'!Tau_j))),Resal+(Salim-Resal)*(1-EXP((Tnet-t)/(Tau_j))))*Salcycl</f>
        <v>7.4443345204775774E-2</v>
      </c>
      <c r="P321" s="169">
        <f>(INDEX(Models!$BJ321:$BT321,,T321)*(1-R321)+INDEX(Models!$BJ321:$BT321,,T321+1)*R321-ERP_i)*Q321*Ramure*Pc/MaxiM</f>
        <v>2.3094634337507683E-3</v>
      </c>
      <c r="Q321" s="304">
        <f t="shared" si="101"/>
        <v>0.6</v>
      </c>
      <c r="R321" s="177">
        <f t="shared" si="102"/>
        <v>0.99803954235418035</v>
      </c>
      <c r="S321" s="799">
        <f t="shared" si="103"/>
        <v>-1</v>
      </c>
      <c r="T321" s="176">
        <f t="shared" si="104"/>
        <v>5</v>
      </c>
      <c r="U321" s="250">
        <f t="shared" si="105"/>
        <v>-1.9604576458196465E-3</v>
      </c>
      <c r="V321" s="382">
        <f t="shared" si="106"/>
        <v>30.476926856509554</v>
      </c>
      <c r="W321" s="400"/>
      <c r="X321" s="157">
        <f t="shared" si="107"/>
        <v>44503</v>
      </c>
      <c r="Y321" s="383">
        <f t="shared" si="108"/>
        <v>16.120999999999999</v>
      </c>
      <c r="Z321" s="383">
        <f t="shared" si="109"/>
        <v>16.439867901792915</v>
      </c>
      <c r="AA321" s="384">
        <f t="shared" si="110"/>
        <v>17.762141103539655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7.4443345204775774E-2</v>
      </c>
      <c r="AD321" s="230">
        <f>(INDEX(Models!$BJ321:$BT321,,AH321)*(1-AF321)+INDEX(Models!$BJ321:$BT321,,AH321+1)*AF321-ERP_i)*AE321*Ramure*Pc/MaxiM</f>
        <v>2.3094634337507683E-3</v>
      </c>
      <c r="AE321" s="304">
        <f t="shared" si="112"/>
        <v>0.6</v>
      </c>
      <c r="AF321" s="177">
        <f t="shared" si="113"/>
        <v>0.99803954235418035</v>
      </c>
      <c r="AG321" s="799">
        <f t="shared" si="119"/>
        <v>-1</v>
      </c>
      <c r="AH321" s="176">
        <f t="shared" si="114"/>
        <v>5</v>
      </c>
      <c r="AI321" s="224">
        <f t="shared" si="115"/>
        <v>-1.9604576458196465E-3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15.282999999999999</v>
      </c>
      <c r="C322" s="388"/>
      <c r="D322" s="391">
        <f t="shared" si="98"/>
        <v>15.585591240860943</v>
      </c>
      <c r="E322" s="383">
        <f t="shared" si="120"/>
        <v>16.839505840785257</v>
      </c>
      <c r="F322" s="383">
        <f t="shared" si="99"/>
        <v>16.851154185275842</v>
      </c>
      <c r="G322" s="110">
        <f t="shared" si="121"/>
        <v>0.50562707718804611</v>
      </c>
      <c r="H322" s="412" t="b">
        <f>Wh_hp&gt;='2020'!Maxi_hp</f>
        <v>1</v>
      </c>
      <c r="I322" s="379">
        <f>IF(H322,Wh_hp,'2020'!Maxi_hp)</f>
        <v>16.851154185275842</v>
      </c>
      <c r="J322" s="85">
        <f>IF(H322,An,'2020'!An_max)</f>
        <v>2021</v>
      </c>
      <c r="K322" s="197">
        <f t="shared" si="100"/>
        <v>44504</v>
      </c>
      <c r="L322" s="147">
        <f>IF(t&lt;Tvie,1-EXP((T0-t)*PertePVj)+'2020'!Pspv,1-EXP((T0-t)*PertePVj)+Pspv)</f>
        <v>1.9414806675260188E-2</v>
      </c>
      <c r="M322" s="832"/>
      <c r="N322" s="832"/>
      <c r="O322" s="48">
        <f>IF(t&lt;Tnet,'2020'!Resal+('2020'!Salim-'2020'!Resal)*(1-EXP(('2020'!Tnet-t)/('2020'!Tau_j))),Resal+(Salim-Resal)*(1-EXP((Tnet-t)/(Tau_j))))*Salcycl</f>
        <v>7.4462671991676568E-2</v>
      </c>
      <c r="P322" s="169">
        <f>(INDEX(Models!$BJ322:$BT322,,T322)*(1-R322)+INDEX(Models!$BJ322:$BT322,,T322+1)*R322-ERP_i)*Q322*Ramure*Pc/MaxiM</f>
        <v>2.3436197872991585E-3</v>
      </c>
      <c r="Q322" s="304">
        <f t="shared" si="101"/>
        <v>0.6</v>
      </c>
      <c r="R322" s="177">
        <f t="shared" si="102"/>
        <v>0.99808928730435276</v>
      </c>
      <c r="S322" s="799">
        <f t="shared" si="103"/>
        <v>-1</v>
      </c>
      <c r="T322" s="176">
        <f t="shared" si="104"/>
        <v>5</v>
      </c>
      <c r="U322" s="250">
        <f t="shared" si="105"/>
        <v>-1.9107126956472986E-3</v>
      </c>
      <c r="V322" s="382">
        <f t="shared" si="106"/>
        <v>30.1758549694663</v>
      </c>
      <c r="W322" s="400"/>
      <c r="X322" s="157">
        <f t="shared" si="107"/>
        <v>44504</v>
      </c>
      <c r="Y322" s="383">
        <f t="shared" si="108"/>
        <v>15.282999999999999</v>
      </c>
      <c r="Z322" s="383">
        <f t="shared" si="109"/>
        <v>15.585591240860943</v>
      </c>
      <c r="AA322" s="384">
        <f t="shared" si="110"/>
        <v>16.839505840785257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7.4462671991676568E-2</v>
      </c>
      <c r="AD322" s="230">
        <f>(INDEX(Models!$BJ322:$BT322,,AH322)*(1-AF322)+INDEX(Models!$BJ322:$BT322,,AH322+1)*AF322-ERP_i)*AE322*Ramure*Pc/MaxiM</f>
        <v>2.3436197872991585E-3</v>
      </c>
      <c r="AE322" s="304">
        <f t="shared" si="112"/>
        <v>0.6</v>
      </c>
      <c r="AF322" s="177">
        <f t="shared" si="113"/>
        <v>0.99808928730435276</v>
      </c>
      <c r="AG322" s="799">
        <f t="shared" si="119"/>
        <v>-1</v>
      </c>
      <c r="AH322" s="176">
        <f t="shared" si="114"/>
        <v>5</v>
      </c>
      <c r="AI322" s="224">
        <f t="shared" si="115"/>
        <v>-1.9107126956472986E-3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9.8070000000000004</v>
      </c>
      <c r="C323" s="388"/>
      <c r="D323" s="391">
        <f t="shared" si="98"/>
        <v>10.001362471390989</v>
      </c>
      <c r="E323" s="383">
        <f t="shared" si="120"/>
        <v>10.806232630743056</v>
      </c>
      <c r="F323" s="383">
        <f t="shared" si="99"/>
        <v>10.807269051278359</v>
      </c>
      <c r="G323" s="110">
        <f t="shared" si="121"/>
        <v>0.32749076865776011</v>
      </c>
      <c r="H323" s="412" t="b">
        <f>Wh_hp&gt;='2020'!Maxi_hp</f>
        <v>0</v>
      </c>
      <c r="I323" s="379">
        <f>IF(H323,Wh_hp,'2020'!Maxi_hp)</f>
        <v>16.626544495845593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1.9433599366782794E-2</v>
      </c>
      <c r="M323" s="832"/>
      <c r="N323" s="832"/>
      <c r="O323" s="48">
        <f>IF(t&lt;Tnet,'2020'!Resal+('2020'!Salim-'2020'!Resal)*(1-EXP(('2020'!Tnet-t)/('2020'!Tau_j))),Resal+(Salim-Resal)*(1-EXP((Tnet-t)/(Tau_j))))*Salcycl</f>
        <v>7.4482031514134003E-2</v>
      </c>
      <c r="P323" s="169">
        <f>(INDEX(Models!$BJ323:$BT323,,T323)*(1-R323)+INDEX(Models!$BJ323:$BT323,,T323+1)*R323-ERP_i)*Q323*Ramure*Pc/MaxiM</f>
        <v>2.3771627209046957E-3</v>
      </c>
      <c r="Q323" s="304">
        <f t="shared" si="101"/>
        <v>0.6</v>
      </c>
      <c r="R323" s="177">
        <f t="shared" si="102"/>
        <v>0.99813703869474213</v>
      </c>
      <c r="S323" s="799">
        <f t="shared" si="103"/>
        <v>-1</v>
      </c>
      <c r="T323" s="176">
        <f t="shared" si="104"/>
        <v>5</v>
      </c>
      <c r="U323" s="250">
        <f t="shared" si="105"/>
        <v>-1.8629613052578708E-3</v>
      </c>
      <c r="V323" s="382">
        <f t="shared" si="106"/>
        <v>29.877561294304979</v>
      </c>
      <c r="W323" s="400"/>
      <c r="X323" s="157">
        <f t="shared" si="107"/>
        <v>44505</v>
      </c>
      <c r="Y323" s="383">
        <f t="shared" si="108"/>
        <v>9.8070000000000004</v>
      </c>
      <c r="Z323" s="383">
        <f t="shared" si="109"/>
        <v>10.001362471390989</v>
      </c>
      <c r="AA323" s="384">
        <f t="shared" si="110"/>
        <v>10.806232630743056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7.4482031514134003E-2</v>
      </c>
      <c r="AD323" s="230">
        <f>(INDEX(Models!$BJ323:$BT323,,AH323)*(1-AF323)+INDEX(Models!$BJ323:$BT323,,AH323+1)*AF323-ERP_i)*AE323*Ramure*Pc/MaxiM</f>
        <v>2.3771627209046957E-3</v>
      </c>
      <c r="AE323" s="304">
        <f t="shared" si="112"/>
        <v>0.6</v>
      </c>
      <c r="AF323" s="177">
        <f t="shared" si="113"/>
        <v>0.99813703869474213</v>
      </c>
      <c r="AG323" s="799">
        <f t="shared" si="119"/>
        <v>-1</v>
      </c>
      <c r="AH323" s="176">
        <f t="shared" si="114"/>
        <v>5</v>
      </c>
      <c r="AI323" s="224">
        <f t="shared" si="115"/>
        <v>-1.8629613052578708E-3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11.889000000000001</v>
      </c>
      <c r="C324" s="388"/>
      <c r="D324" s="391">
        <f t="shared" si="98"/>
        <v>12.124857476925369</v>
      </c>
      <c r="E324" s="383">
        <f t="shared" si="120"/>
        <v>13.100893739311076</v>
      </c>
      <c r="F324" s="383">
        <f t="shared" si="99"/>
        <v>13.105491705342811</v>
      </c>
      <c r="G324" s="110">
        <f t="shared" si="121"/>
        <v>0.40106728744329789</v>
      </c>
      <c r="H324" s="412" t="b">
        <f>Wh_hp&gt;='2020'!Maxi_hp</f>
        <v>0</v>
      </c>
      <c r="I324" s="379">
        <f>IF(H324,Wh_hp,'2020'!Maxi_hp)</f>
        <v>24.464414265930557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1.9452391698147831E-2</v>
      </c>
      <c r="M324" s="832"/>
      <c r="N324" s="832"/>
      <c r="O324" s="48">
        <f>IF(t&lt;Tnet,'2020'!Resal+('2020'!Salim-'2020'!Resal)*(1-EXP(('2020'!Tnet-t)/('2020'!Tau_j))),Resal+(Salim-Resal)*(1-EXP((Tnet-t)/(Tau_j))))*Salcycl</f>
        <v>7.4501502096530475E-2</v>
      </c>
      <c r="P324" s="169">
        <f>(INDEX(Models!$BJ324:$BT324,,T324)*(1-R324)+INDEX(Models!$BJ324:$BT324,,T324+1)*R324-ERP_i)*Q324*Ramure*Pc/MaxiM</f>
        <v>2.4102196203581632E-3</v>
      </c>
      <c r="Q324" s="304">
        <f t="shared" si="101"/>
        <v>0.6</v>
      </c>
      <c r="R324" s="177">
        <f t="shared" si="102"/>
        <v>0.9981828760592113</v>
      </c>
      <c r="S324" s="799">
        <f t="shared" si="103"/>
        <v>-1</v>
      </c>
      <c r="T324" s="176">
        <f t="shared" si="104"/>
        <v>5</v>
      </c>
      <c r="U324" s="250">
        <f t="shared" si="105"/>
        <v>-1.8171239407887008E-3</v>
      </c>
      <c r="V324" s="382">
        <f t="shared" si="106"/>
        <v>29.5823365459356</v>
      </c>
      <c r="W324" s="400"/>
      <c r="X324" s="157">
        <f t="shared" si="107"/>
        <v>44506</v>
      </c>
      <c r="Y324" s="383">
        <f t="shared" si="108"/>
        <v>11.889000000000001</v>
      </c>
      <c r="Z324" s="383">
        <f t="shared" si="109"/>
        <v>12.124857476925369</v>
      </c>
      <c r="AA324" s="384">
        <f t="shared" si="110"/>
        <v>13.100893739311076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7.4501502096530475E-2</v>
      </c>
      <c r="AD324" s="230">
        <f>(INDEX(Models!$BJ324:$BT324,,AH324)*(1-AF324)+INDEX(Models!$BJ324:$BT324,,AH324+1)*AF324-ERP_i)*AE324*Ramure*Pc/MaxiM</f>
        <v>2.4102196203581632E-3</v>
      </c>
      <c r="AE324" s="304">
        <f t="shared" si="112"/>
        <v>0.6</v>
      </c>
      <c r="AF324" s="177">
        <f t="shared" si="113"/>
        <v>0.9981828760592113</v>
      </c>
      <c r="AG324" s="799">
        <f t="shared" si="119"/>
        <v>-1</v>
      </c>
      <c r="AH324" s="176">
        <f t="shared" si="114"/>
        <v>5</v>
      </c>
      <c r="AI324" s="224">
        <f t="shared" si="115"/>
        <v>-1.8171239407887008E-3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8.0229999999999997</v>
      </c>
      <c r="C325" s="388"/>
      <c r="D325" s="391">
        <f t="shared" si="98"/>
        <v>8.1823194447501226</v>
      </c>
      <c r="E325" s="383">
        <f t="shared" si="120"/>
        <v>8.8411740039924531</v>
      </c>
      <c r="F325" s="383">
        <f t="shared" si="99"/>
        <v>8.8411740039924531</v>
      </c>
      <c r="G325" s="110">
        <f t="shared" si="121"/>
        <v>0.27324245831825955</v>
      </c>
      <c r="H325" s="412" t="b">
        <f>Wh_hp&gt;='2020'!Maxi_hp</f>
        <v>0</v>
      </c>
      <c r="I325" s="379">
        <f>IF(H325,Wh_hp,'2020'!Maxi_hp)</f>
        <v>17.660993083535338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1.9471183669362069E-2</v>
      </c>
      <c r="M325" s="832"/>
      <c r="N325" s="832"/>
      <c r="O325" s="48">
        <f>IF(t&lt;Tnet,'2020'!Resal+('2020'!Salim-'2020'!Resal)*(1-EXP(('2020'!Tnet-t)/('2020'!Tau_j))),Resal+(Salim-Resal)*(1-EXP((Tnet-t)/(Tau_j))))*Salcycl</f>
        <v>7.4521161889225224E-2</v>
      </c>
      <c r="P325" s="169">
        <f>(INDEX(Models!$BJ325:$BT325,,T325)*(1-R325)+INDEX(Models!$BJ325:$BT325,,T325+1)*R325-ERP_i)*Q325*Ramure*Pc/MaxiM</f>
        <v>2.4447029152646614E-3</v>
      </c>
      <c r="Q325" s="304">
        <f t="shared" si="101"/>
        <v>0.6</v>
      </c>
      <c r="R325" s="177">
        <f t="shared" si="102"/>
        <v>0.99822687578688241</v>
      </c>
      <c r="S325" s="799">
        <f t="shared" si="103"/>
        <v>-1</v>
      </c>
      <c r="T325" s="176">
        <f t="shared" si="104"/>
        <v>5</v>
      </c>
      <c r="U325" s="250">
        <f t="shared" si="105"/>
        <v>-1.7731242131175939E-3</v>
      </c>
      <c r="V325" s="382">
        <f t="shared" si="106"/>
        <v>29.290419204137287</v>
      </c>
      <c r="W325" s="400"/>
      <c r="X325" s="157">
        <f t="shared" si="107"/>
        <v>44507</v>
      </c>
      <c r="Y325" s="383">
        <f t="shared" si="108"/>
        <v>8.0229999999999997</v>
      </c>
      <c r="Z325" s="383">
        <f t="shared" si="109"/>
        <v>8.1823194447501226</v>
      </c>
      <c r="AA325" s="384">
        <f t="shared" si="110"/>
        <v>8.8411740039924531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7.4521161889225224E-2</v>
      </c>
      <c r="AD325" s="230">
        <f>(INDEX(Models!$BJ325:$BT325,,AH325)*(1-AF325)+INDEX(Models!$BJ325:$BT325,,AH325+1)*AF325-ERP_i)*AE325*Ramure*Pc/MaxiM</f>
        <v>2.4447029152646614E-3</v>
      </c>
      <c r="AE325" s="304">
        <f t="shared" si="112"/>
        <v>0.6</v>
      </c>
      <c r="AF325" s="177">
        <f t="shared" si="113"/>
        <v>0.99822687578688241</v>
      </c>
      <c r="AG325" s="799">
        <f t="shared" si="119"/>
        <v>-1</v>
      </c>
      <c r="AH325" s="176">
        <f t="shared" si="114"/>
        <v>5</v>
      </c>
      <c r="AI325" s="224">
        <f t="shared" si="115"/>
        <v>-1.7731242131175939E-3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22.016000000000002</v>
      </c>
      <c r="C326" s="388"/>
      <c r="D326" s="391">
        <f t="shared" si="98"/>
        <v>22.453620508670195</v>
      </c>
      <c r="E326" s="383">
        <f t="shared" si="120"/>
        <v>24.262147384283256</v>
      </c>
      <c r="F326" s="383">
        <f t="shared" si="99"/>
        <v>24.301685975957074</v>
      </c>
      <c r="G326" s="110">
        <f t="shared" si="121"/>
        <v>0.75846824100617671</v>
      </c>
      <c r="H326" s="412" t="b">
        <f>Wh_hp&gt;='2020'!Maxi_hp</f>
        <v>1</v>
      </c>
      <c r="I326" s="379">
        <f>IF(H326,Wh_hp,'2020'!Maxi_hp)</f>
        <v>24.301685975957074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1.9489975280432503E-2</v>
      </c>
      <c r="M326" s="832"/>
      <c r="N326" s="832"/>
      <c r="O326" s="48">
        <f>IF(t&lt;Tnet,'2020'!Resal+('2020'!Salim-'2020'!Resal)*(1-EXP(('2020'!Tnet-t)/('2020'!Tau_j))),Resal+(Salim-Resal)*(1-EXP((Tnet-t)/(Tau_j))))*Salcycl</f>
        <v>7.4541088509939776E-2</v>
      </c>
      <c r="P326" s="169">
        <f>(INDEX(Models!$BJ326:$BT326,,T326)*(1-R326)+INDEX(Models!$BJ326:$BT326,,T326+1)*R326-ERP_i)*Q326*Ramure*Pc/MaxiM</f>
        <v>2.4806139157298717E-3</v>
      </c>
      <c r="Q326" s="304">
        <f t="shared" si="101"/>
        <v>0.6</v>
      </c>
      <c r="R326" s="177">
        <f t="shared" si="102"/>
        <v>0.99826911124424844</v>
      </c>
      <c r="S326" s="799">
        <f t="shared" si="103"/>
        <v>-1</v>
      </c>
      <c r="T326" s="176">
        <f t="shared" si="104"/>
        <v>5</v>
      </c>
      <c r="U326" s="250">
        <f t="shared" si="105"/>
        <v>-1.7308887557515584E-3</v>
      </c>
      <c r="V326" s="382">
        <f t="shared" si="106"/>
        <v>29.002105549738346</v>
      </c>
      <c r="W326" s="400"/>
      <c r="X326" s="157">
        <f t="shared" si="107"/>
        <v>44508</v>
      </c>
      <c r="Y326" s="383">
        <f t="shared" si="108"/>
        <v>22.016000000000002</v>
      </c>
      <c r="Z326" s="383">
        <f t="shared" si="109"/>
        <v>22.453620508670195</v>
      </c>
      <c r="AA326" s="384">
        <f t="shared" si="110"/>
        <v>24.262147384283256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7.4541088509939776E-2</v>
      </c>
      <c r="AD326" s="230">
        <f>(INDEX(Models!$BJ326:$BT326,,AH326)*(1-AF326)+INDEX(Models!$BJ326:$BT326,,AH326+1)*AF326-ERP_i)*AE326*Ramure*Pc/MaxiM</f>
        <v>2.4806139157298717E-3</v>
      </c>
      <c r="AE326" s="304">
        <f t="shared" si="112"/>
        <v>0.6</v>
      </c>
      <c r="AF326" s="177">
        <f t="shared" si="113"/>
        <v>0.99826911124424844</v>
      </c>
      <c r="AG326" s="799">
        <f t="shared" si="119"/>
        <v>-1</v>
      </c>
      <c r="AH326" s="176">
        <f t="shared" si="114"/>
        <v>5</v>
      </c>
      <c r="AI326" s="224">
        <f t="shared" si="115"/>
        <v>-1.7308887557515584E-3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16.184999999999999</v>
      </c>
      <c r="C327" s="388"/>
      <c r="D327" s="391">
        <f t="shared" si="98"/>
        <v>16.50703183009923</v>
      </c>
      <c r="E327" s="383">
        <f t="shared" si="120"/>
        <v>17.836981397977645</v>
      </c>
      <c r="F327" s="383">
        <f t="shared" si="99"/>
        <v>17.853909635434484</v>
      </c>
      <c r="G327" s="110">
        <f t="shared" si="121"/>
        <v>0.56270429867918292</v>
      </c>
      <c r="H327" s="412" t="b">
        <f>Wh_hp&gt;='2020'!Maxi_hp</f>
        <v>0</v>
      </c>
      <c r="I327" s="379">
        <f>IF(H327,Wh_hp,'2020'!Maxi_hp)</f>
        <v>24.305673600704964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1.9508766531365906E-2</v>
      </c>
      <c r="M327" s="832"/>
      <c r="N327" s="832"/>
      <c r="O327" s="48">
        <f>IF(t&lt;Tnet,'2020'!Resal+('2020'!Salim-'2020'!Resal)*(1-EXP(('2020'!Tnet-t)/('2020'!Tau_j))),Resal+(Salim-Resal)*(1-EXP((Tnet-t)/(Tau_j))))*Salcycl</f>
        <v>7.4561358685343804E-2</v>
      </c>
      <c r="P327" s="169">
        <f>(INDEX(Models!$BJ327:$BT327,,T327)*(1-R327)+INDEX(Models!$BJ327:$BT327,,T327+1)*R327-ERP_i)*Q327*Ramure*Pc/MaxiM</f>
        <v>2.5179537408164827E-3</v>
      </c>
      <c r="Q327" s="304">
        <f t="shared" si="101"/>
        <v>0.6</v>
      </c>
      <c r="R327" s="177">
        <f t="shared" si="102"/>
        <v>0.998309652892718</v>
      </c>
      <c r="S327" s="799">
        <f t="shared" si="103"/>
        <v>-1</v>
      </c>
      <c r="T327" s="176">
        <f t="shared" si="104"/>
        <v>5</v>
      </c>
      <c r="U327" s="250">
        <f t="shared" si="105"/>
        <v>-1.6903471072820531E-3</v>
      </c>
      <c r="V327" s="382">
        <f t="shared" si="106"/>
        <v>28.717691867052011</v>
      </c>
      <c r="W327" s="400"/>
      <c r="X327" s="157">
        <f t="shared" si="107"/>
        <v>44509</v>
      </c>
      <c r="Y327" s="383">
        <f t="shared" si="108"/>
        <v>16.184999999999999</v>
      </c>
      <c r="Z327" s="383">
        <f t="shared" si="109"/>
        <v>16.50703183009923</v>
      </c>
      <c r="AA327" s="384">
        <f t="shared" si="110"/>
        <v>17.836981397977645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7.4561358685343804E-2</v>
      </c>
      <c r="AD327" s="230">
        <f>(INDEX(Models!$BJ327:$BT327,,AH327)*(1-AF327)+INDEX(Models!$BJ327:$BT327,,AH327+1)*AF327-ERP_i)*AE327*Ramure*Pc/MaxiM</f>
        <v>2.5179537408164827E-3</v>
      </c>
      <c r="AE327" s="304">
        <f t="shared" si="112"/>
        <v>0.6</v>
      </c>
      <c r="AF327" s="177">
        <f t="shared" si="113"/>
        <v>0.998309652892718</v>
      </c>
      <c r="AG327" s="799">
        <f t="shared" si="119"/>
        <v>-1</v>
      </c>
      <c r="AH327" s="176">
        <f t="shared" si="114"/>
        <v>5</v>
      </c>
      <c r="AI327" s="224">
        <f t="shared" si="115"/>
        <v>-1.6903471072820531E-3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6.0280000000000005</v>
      </c>
      <c r="C328" s="388"/>
      <c r="D328" s="391">
        <f t="shared" si="98"/>
        <v>6.148056526863062</v>
      </c>
      <c r="E328" s="383">
        <f t="shared" si="120"/>
        <v>6.6435457761336805</v>
      </c>
      <c r="F328" s="383">
        <f t="shared" si="99"/>
        <v>6.6435457761336805</v>
      </c>
      <c r="G328" s="110">
        <f t="shared" si="121"/>
        <v>0.21143185845209769</v>
      </c>
      <c r="H328" s="412" t="b">
        <f>Wh_hp&gt;='2020'!Maxi_hp</f>
        <v>0</v>
      </c>
      <c r="I328" s="379">
        <f>IF(H328,Wh_hp,'2020'!Maxi_hp)</f>
        <v>19.151082328690954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1.9527557422169384E-2</v>
      </c>
      <c r="M328" s="832"/>
      <c r="N328" s="832"/>
      <c r="O328" s="48">
        <f>IF(t&lt;Tnet,'2020'!Resal+('2020'!Salim-'2020'!Resal)*(1-EXP(('2020'!Tnet-t)/('2020'!Tau_j))),Resal+(Salim-Resal)*(1-EXP((Tnet-t)/(Tau_j))))*Salcycl</f>
        <v>7.4582047895359979E-2</v>
      </c>
      <c r="P328" s="169">
        <f>(INDEX(Models!$BJ328:$BT328,,T328)*(1-R328)+INDEX(Models!$BJ328:$BT328,,T328+1)*R328-ERP_i)*Q328*Ramure*Pc/MaxiM</f>
        <v>2.5567231683321836E-3</v>
      </c>
      <c r="Q328" s="304">
        <f t="shared" si="101"/>
        <v>0.6</v>
      </c>
      <c r="R328" s="177">
        <f t="shared" si="102"/>
        <v>0.99834856840175312</v>
      </c>
      <c r="S328" s="799">
        <f t="shared" si="103"/>
        <v>-1</v>
      </c>
      <c r="T328" s="176">
        <f t="shared" si="104"/>
        <v>5</v>
      </c>
      <c r="U328" s="250">
        <f t="shared" si="105"/>
        <v>-1.6514315982468775E-3</v>
      </c>
      <c r="V328" s="382">
        <f t="shared" si="106"/>
        <v>28.437474450443403</v>
      </c>
      <c r="W328" s="400"/>
      <c r="X328" s="157">
        <f t="shared" si="107"/>
        <v>44510</v>
      </c>
      <c r="Y328" s="383">
        <f t="shared" si="108"/>
        <v>6.0280000000000005</v>
      </c>
      <c r="Z328" s="383">
        <f t="shared" si="109"/>
        <v>6.148056526863062</v>
      </c>
      <c r="AA328" s="384">
        <f t="shared" si="110"/>
        <v>6.6435457761336805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7.4582047895359979E-2</v>
      </c>
      <c r="AD328" s="230">
        <f>(INDEX(Models!$BJ328:$BT328,,AH328)*(1-AF328)+INDEX(Models!$BJ328:$BT328,,AH328+1)*AF328-ERP_i)*AE328*Ramure*Pc/MaxiM</f>
        <v>2.5567231683321836E-3</v>
      </c>
      <c r="AE328" s="304">
        <f t="shared" si="112"/>
        <v>0.6</v>
      </c>
      <c r="AF328" s="177">
        <f t="shared" si="113"/>
        <v>0.99834856840175312</v>
      </c>
      <c r="AG328" s="799">
        <f t="shared" si="119"/>
        <v>-1</v>
      </c>
      <c r="AH328" s="176">
        <f t="shared" si="114"/>
        <v>5</v>
      </c>
      <c r="AI328" s="224">
        <f t="shared" si="115"/>
        <v>-1.6514315982468775E-3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10.286</v>
      </c>
      <c r="C329" s="388"/>
      <c r="D329" s="391">
        <f t="shared" si="98"/>
        <v>10.491061947215169</v>
      </c>
      <c r="E329" s="383">
        <f t="shared" si="120"/>
        <v>11.336825767689396</v>
      </c>
      <c r="F329" s="383">
        <f t="shared" si="99"/>
        <v>11.339570622555728</v>
      </c>
      <c r="G329" s="110">
        <f t="shared" si="121"/>
        <v>0.36438687802229902</v>
      </c>
      <c r="H329" s="412" t="b">
        <f>Wh_hp&gt;='2020'!Maxi_hp</f>
        <v>0</v>
      </c>
      <c r="I329" s="379">
        <f>IF(H329,Wh_hp,'2020'!Maxi_hp)</f>
        <v>24.228823723355269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1.9546347952849707E-2</v>
      </c>
      <c r="M329" s="832"/>
      <c r="N329" s="832"/>
      <c r="O329" s="48">
        <f>IF(t&lt;Tnet,'2020'!Resal+('2020'!Salim-'2020'!Resal)*(1-EXP(('2020'!Tnet-t)/('2020'!Tau_j))),Resal+(Salim-Resal)*(1-EXP((Tnet-t)/(Tau_j))))*Salcycl</f>
        <v>7.4603230022701958E-2</v>
      </c>
      <c r="P329" s="169">
        <f>(INDEX(Models!$BJ329:$BT329,,T329)*(1-R329)+INDEX(Models!$BJ329:$BT329,,T329+1)*R329-ERP_i)*Q329*Ramure*Pc/MaxiM</f>
        <v>2.5969224566793764E-3</v>
      </c>
      <c r="Q329" s="304">
        <f t="shared" si="101"/>
        <v>0.6</v>
      </c>
      <c r="R329" s="177">
        <f t="shared" si="102"/>
        <v>0.99838592275775029</v>
      </c>
      <c r="S329" s="799">
        <f t="shared" si="103"/>
        <v>-1</v>
      </c>
      <c r="T329" s="176">
        <f t="shared" si="104"/>
        <v>5</v>
      </c>
      <c r="U329" s="250">
        <f t="shared" si="105"/>
        <v>-1.6140772422497673E-3</v>
      </c>
      <c r="V329" s="382">
        <f t="shared" si="106"/>
        <v>28.161749606336919</v>
      </c>
      <c r="W329" s="400"/>
      <c r="X329" s="157">
        <f t="shared" si="107"/>
        <v>44511</v>
      </c>
      <c r="Y329" s="383">
        <f t="shared" si="108"/>
        <v>10.286</v>
      </c>
      <c r="Z329" s="383">
        <f t="shared" si="109"/>
        <v>10.491061947215169</v>
      </c>
      <c r="AA329" s="384">
        <f t="shared" si="110"/>
        <v>11.336825767689396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7.4603230022701958E-2</v>
      </c>
      <c r="AD329" s="230">
        <f>(INDEX(Models!$BJ329:$BT329,,AH329)*(1-AF329)+INDEX(Models!$BJ329:$BT329,,AH329+1)*AF329-ERP_i)*AE329*Ramure*Pc/MaxiM</f>
        <v>2.5969224566793764E-3</v>
      </c>
      <c r="AE329" s="304">
        <f t="shared" si="112"/>
        <v>0.6</v>
      </c>
      <c r="AF329" s="177">
        <f t="shared" si="113"/>
        <v>0.99838592275775029</v>
      </c>
      <c r="AG329" s="799">
        <f t="shared" si="119"/>
        <v>-1</v>
      </c>
      <c r="AH329" s="176">
        <f t="shared" si="114"/>
        <v>5</v>
      </c>
      <c r="AI329" s="224">
        <f t="shared" si="115"/>
        <v>-1.6140772422497673E-3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6.758</v>
      </c>
      <c r="C330" s="388"/>
      <c r="D330" s="391">
        <f t="shared" si="98"/>
        <v>6.8928597531354141</v>
      </c>
      <c r="E330" s="383">
        <f t="shared" si="120"/>
        <v>7.4487203370421149</v>
      </c>
      <c r="F330" s="383">
        <f t="shared" si="99"/>
        <v>7.4487203370421149</v>
      </c>
      <c r="G330" s="110">
        <f t="shared" si="121"/>
        <v>0.24166267624029247</v>
      </c>
      <c r="H330" s="412" t="b">
        <f>Wh_hp&gt;='2020'!Maxi_hp</f>
        <v>0</v>
      </c>
      <c r="I330" s="379">
        <f>IF(H330,Wh_hp,'2020'!Maxi_hp)</f>
        <v>25.88656869722448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1.9565138123413761E-2</v>
      </c>
      <c r="M330" s="832"/>
      <c r="N330" s="832"/>
      <c r="O330" s="48">
        <f>IF(t&lt;Tnet,'2020'!Resal+('2020'!Salim-'2020'!Resal)*(1-EXP(('2020'!Tnet-t)/('2020'!Tau_j))),Resal+(Salim-Resal)*(1-EXP((Tnet-t)/(Tau_j))))*Salcycl</f>
        <v>7.4624977010135998E-2</v>
      </c>
      <c r="P330" s="169">
        <f>(INDEX(Models!$BJ330:$BT330,,T330)*(1-R330)+INDEX(Models!$BJ330:$BT330,,T330+1)*R330-ERP_i)*Q330*Ramure*Pc/MaxiM</f>
        <v>2.6385511360408629E-3</v>
      </c>
      <c r="Q330" s="304">
        <f t="shared" si="101"/>
        <v>0.6</v>
      </c>
      <c r="R330" s="177">
        <f t="shared" si="102"/>
        <v>0.99842177836881341</v>
      </c>
      <c r="S330" s="799">
        <f t="shared" si="103"/>
        <v>-1</v>
      </c>
      <c r="T330" s="176">
        <f t="shared" si="104"/>
        <v>5</v>
      </c>
      <c r="U330" s="250">
        <f t="shared" si="105"/>
        <v>-1.5782216311865382E-3</v>
      </c>
      <c r="V330" s="382">
        <f t="shared" si="106"/>
        <v>27.890813659287147</v>
      </c>
      <c r="W330" s="400"/>
      <c r="X330" s="157">
        <f t="shared" si="107"/>
        <v>44512</v>
      </c>
      <c r="Y330" s="383">
        <f t="shared" si="108"/>
        <v>6.758</v>
      </c>
      <c r="Z330" s="383">
        <f t="shared" si="109"/>
        <v>6.8928597531354141</v>
      </c>
      <c r="AA330" s="384">
        <f t="shared" si="110"/>
        <v>7.4487203370421149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7.4624977010135998E-2</v>
      </c>
      <c r="AD330" s="230">
        <f>(INDEX(Models!$BJ330:$BT330,,AH330)*(1-AF330)+INDEX(Models!$BJ330:$BT330,,AH330+1)*AF330-ERP_i)*AE330*Ramure*Pc/MaxiM</f>
        <v>2.6385511360408629E-3</v>
      </c>
      <c r="AE330" s="304">
        <f t="shared" si="112"/>
        <v>0.6</v>
      </c>
      <c r="AF330" s="177">
        <f t="shared" si="113"/>
        <v>0.99842177836881341</v>
      </c>
      <c r="AG330" s="799">
        <f t="shared" si="119"/>
        <v>-1</v>
      </c>
      <c r="AH330" s="176">
        <f t="shared" si="114"/>
        <v>5</v>
      </c>
      <c r="AI330" s="224">
        <f t="shared" si="115"/>
        <v>-1.5782216311865382E-3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5.13</v>
      </c>
      <c r="C331" s="388"/>
      <c r="D331" s="391">
        <f t="shared" si="98"/>
        <v>5.2324723616464421</v>
      </c>
      <c r="E331" s="383">
        <f t="shared" si="120"/>
        <v>5.6545711625379971</v>
      </c>
      <c r="F331" s="383">
        <f t="shared" si="99"/>
        <v>5.6545711625379971</v>
      </c>
      <c r="G331" s="110">
        <f t="shared" si="121"/>
        <v>0.18521583548872295</v>
      </c>
      <c r="H331" s="412" t="b">
        <f>Wh_hp&gt;='2020'!Maxi_hp</f>
        <v>0</v>
      </c>
      <c r="I331" s="379">
        <f>IF(H331,Wh_hp,'2020'!Maxi_hp)</f>
        <v>29.071978311267806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1.9583927933868428E-2</v>
      </c>
      <c r="M331" s="832"/>
      <c r="N331" s="832"/>
      <c r="O331" s="48">
        <f>IF(t&lt;Tnet,'2020'!Resal+('2020'!Salim-'2020'!Resal)*(1-EXP(('2020'!Tnet-t)/('2020'!Tau_j))),Resal+(Salim-Resal)*(1-EXP((Tnet-t)/(Tau_j))))*Salcycl</f>
        <v>7.4647358527910074E-2</v>
      </c>
      <c r="P331" s="169">
        <f>(INDEX(Models!$BJ331:$BT331,,T331)*(1-R331)+INDEX(Models!$BJ331:$BT331,,T331+1)*R331-ERP_i)*Q331*Ramure*Pc/MaxiM</f>
        <v>2.6817845283586164E-3</v>
      </c>
      <c r="Q331" s="304">
        <f t="shared" si="101"/>
        <v>0.6</v>
      </c>
      <c r="R331" s="177">
        <f t="shared" si="102"/>
        <v>0.99845619516556416</v>
      </c>
      <c r="S331" s="799">
        <f t="shared" si="103"/>
        <v>-1</v>
      </c>
      <c r="T331" s="176">
        <f t="shared" si="104"/>
        <v>5</v>
      </c>
      <c r="U331" s="250">
        <f t="shared" si="105"/>
        <v>-1.5438048344358357E-3</v>
      </c>
      <c r="V331" s="382">
        <f t="shared" si="106"/>
        <v>27.623137254271263</v>
      </c>
      <c r="W331" s="400"/>
      <c r="X331" s="157">
        <f t="shared" si="107"/>
        <v>44513</v>
      </c>
      <c r="Y331" s="383">
        <f t="shared" si="108"/>
        <v>5.13</v>
      </c>
      <c r="Z331" s="383">
        <f t="shared" si="109"/>
        <v>5.2324723616464421</v>
      </c>
      <c r="AA331" s="384">
        <f t="shared" si="110"/>
        <v>5.6545711625379971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7.4647358527910074E-2</v>
      </c>
      <c r="AD331" s="230">
        <f>(INDEX(Models!$BJ331:$BT331,,AH331)*(1-AF331)+INDEX(Models!$BJ331:$BT331,,AH331+1)*AF331-ERP_i)*AE331*Ramure*Pc/MaxiM</f>
        <v>2.6817845283586164E-3</v>
      </c>
      <c r="AE331" s="304">
        <f t="shared" si="112"/>
        <v>0.6</v>
      </c>
      <c r="AF331" s="177">
        <f t="shared" si="113"/>
        <v>0.99845619516556416</v>
      </c>
      <c r="AG331" s="799">
        <f t="shared" si="119"/>
        <v>-1</v>
      </c>
      <c r="AH331" s="176">
        <f t="shared" si="114"/>
        <v>5</v>
      </c>
      <c r="AI331" s="224">
        <f t="shared" si="115"/>
        <v>-1.5438048344358357E-3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5.9640000000000004</v>
      </c>
      <c r="C332" s="388"/>
      <c r="D332" s="391">
        <f t="shared" si="98"/>
        <v>6.0832481951475481</v>
      </c>
      <c r="E332" s="383">
        <f t="shared" si="120"/>
        <v>6.5741423045205511</v>
      </c>
      <c r="F332" s="383">
        <f t="shared" si="99"/>
        <v>6.5741423045205511</v>
      </c>
      <c r="G332" s="110">
        <f t="shared" si="121"/>
        <v>0.21740932407053212</v>
      </c>
      <c r="H332" s="412" t="b">
        <f>Wh_hp&gt;='2020'!Maxi_hp</f>
        <v>0</v>
      </c>
      <c r="I332" s="379">
        <f>IF(H332,Wh_hp,'2020'!Maxi_hp)</f>
        <v>19.875209801097167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1.9602717384220703E-2</v>
      </c>
      <c r="M332" s="832"/>
      <c r="N332" s="832"/>
      <c r="O332" s="48">
        <f>IF(t&lt;Tnet,'2020'!Resal+('2020'!Salim-'2020'!Resal)*(1-EXP(('2020'!Tnet-t)/('2020'!Tau_j))),Resal+(Salim-Resal)*(1-EXP((Tnet-t)/(Tau_j))))*Salcycl</f>
        <v>7.467044165372734E-2</v>
      </c>
      <c r="P332" s="169">
        <f>(INDEX(Models!$BJ332:$BT332,,T332)*(1-R332)+INDEX(Models!$BJ332:$BT332,,T332+1)*R332-ERP_i)*Q332*Ramure*Pc/MaxiM</f>
        <v>2.7227579022182885E-3</v>
      </c>
      <c r="Q332" s="304">
        <f t="shared" si="101"/>
        <v>0.6</v>
      </c>
      <c r="R332" s="177">
        <f t="shared" si="102"/>
        <v>0.9984892306981259</v>
      </c>
      <c r="S332" s="799">
        <f t="shared" si="103"/>
        <v>-1</v>
      </c>
      <c r="T332" s="176">
        <f t="shared" si="104"/>
        <v>5</v>
      </c>
      <c r="U332" s="250">
        <f t="shared" si="105"/>
        <v>-1.5107693018741597E-3</v>
      </c>
      <c r="V332" s="382">
        <f t="shared" si="106"/>
        <v>27.357435092993491</v>
      </c>
      <c r="W332" s="400"/>
      <c r="X332" s="157">
        <f t="shared" si="107"/>
        <v>44514</v>
      </c>
      <c r="Y332" s="383">
        <f t="shared" si="108"/>
        <v>5.9640000000000004</v>
      </c>
      <c r="Z332" s="383">
        <f t="shared" si="109"/>
        <v>6.0832481951475481</v>
      </c>
      <c r="AA332" s="384">
        <f t="shared" si="110"/>
        <v>6.5741423045205511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7.467044165372734E-2</v>
      </c>
      <c r="AD332" s="230">
        <f>(INDEX(Models!$BJ332:$BT332,,AH332)*(1-AF332)+INDEX(Models!$BJ332:$BT332,,AH332+1)*AF332-ERP_i)*AE332*Ramure*Pc/MaxiM</f>
        <v>2.7227579022182885E-3</v>
      </c>
      <c r="AE332" s="304">
        <f t="shared" si="112"/>
        <v>0.6</v>
      </c>
      <c r="AF332" s="177">
        <f t="shared" si="113"/>
        <v>0.9984892306981259</v>
      </c>
      <c r="AG332" s="799">
        <f t="shared" si="119"/>
        <v>-1</v>
      </c>
      <c r="AH332" s="176">
        <f t="shared" si="114"/>
        <v>5</v>
      </c>
      <c r="AI332" s="224">
        <f t="shared" si="115"/>
        <v>-1.5107693018741597E-3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4.6509999999999998</v>
      </c>
      <c r="C333" s="388"/>
      <c r="D333" s="391">
        <f t="shared" si="98"/>
        <v>4.7440861164493899</v>
      </c>
      <c r="E333" s="383">
        <f t="shared" si="120"/>
        <v>5.1270472753910283</v>
      </c>
      <c r="F333" s="383">
        <f t="shared" si="99"/>
        <v>5.1270472753910283</v>
      </c>
      <c r="G333" s="110">
        <f t="shared" si="121"/>
        <v>0.17118631950096783</v>
      </c>
      <c r="H333" s="412" t="b">
        <f>Wh_hp&gt;='2020'!Maxi_hp</f>
        <v>0</v>
      </c>
      <c r="I333" s="379">
        <f>IF(H333,Wh_hp,'2020'!Maxi_hp)</f>
        <v>26.911873928380832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1.9621506474477468E-2</v>
      </c>
      <c r="M333" s="832"/>
      <c r="N333" s="832"/>
      <c r="O333" s="48">
        <f>IF(t&lt;Tnet,'2020'!Resal+('2020'!Salim-'2020'!Resal)*(1-EXP(('2020'!Tnet-t)/('2020'!Tau_j))),Resal+(Salim-Resal)*(1-EXP((Tnet-t)/(Tau_j))))*Salcycl</f>
        <v>7.4694290567553015E-2</v>
      </c>
      <c r="P333" s="169">
        <f>(INDEX(Models!$BJ333:$BT333,,T333)*(1-R333)+INDEX(Models!$BJ333:$BT333,,T333+1)*R333-ERP_i)*Q333*Ramure*Pc/MaxiM</f>
        <v>2.7600452960499368E-3</v>
      </c>
      <c r="Q333" s="304">
        <f t="shared" si="101"/>
        <v>0.6</v>
      </c>
      <c r="R333" s="177">
        <f t="shared" si="102"/>
        <v>0.99852094022942095</v>
      </c>
      <c r="S333" s="799">
        <f t="shared" si="103"/>
        <v>-1</v>
      </c>
      <c r="T333" s="176">
        <f t="shared" si="104"/>
        <v>5</v>
      </c>
      <c r="U333" s="250">
        <f t="shared" si="105"/>
        <v>-1.4790597705790498E-3</v>
      </c>
      <c r="V333" s="382">
        <f t="shared" si="106"/>
        <v>27.094238855353446</v>
      </c>
      <c r="W333" s="400"/>
      <c r="X333" s="157">
        <f t="shared" si="107"/>
        <v>44515</v>
      </c>
      <c r="Y333" s="383">
        <f t="shared" si="108"/>
        <v>4.6509999999999998</v>
      </c>
      <c r="Z333" s="383">
        <f t="shared" si="109"/>
        <v>4.7440861164493899</v>
      </c>
      <c r="AA333" s="384">
        <f t="shared" si="110"/>
        <v>5.1270472753910283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7.4694290567553015E-2</v>
      </c>
      <c r="AD333" s="230">
        <f>(INDEX(Models!$BJ333:$BT333,,AH333)*(1-AF333)+INDEX(Models!$BJ333:$BT333,,AH333+1)*AF333-ERP_i)*AE333*Ramure*Pc/MaxiM</f>
        <v>2.7600452960499368E-3</v>
      </c>
      <c r="AE333" s="304">
        <f t="shared" si="112"/>
        <v>0.6</v>
      </c>
      <c r="AF333" s="177">
        <f t="shared" si="113"/>
        <v>0.99852094022942095</v>
      </c>
      <c r="AG333" s="799">
        <f t="shared" si="119"/>
        <v>-1</v>
      </c>
      <c r="AH333" s="176">
        <f t="shared" si="114"/>
        <v>5</v>
      </c>
      <c r="AI333" s="224">
        <f t="shared" si="115"/>
        <v>-1.4790597705790498E-3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8.718</v>
      </c>
      <c r="C334" s="388"/>
      <c r="D334" s="391">
        <f t="shared" si="98"/>
        <v>8.8926543567188361</v>
      </c>
      <c r="E334" s="383">
        <f t="shared" si="120"/>
        <v>9.6107604419466153</v>
      </c>
      <c r="F334" s="383">
        <f t="shared" si="99"/>
        <v>9.6117150534314497</v>
      </c>
      <c r="G334" s="110">
        <f t="shared" si="121"/>
        <v>0.3240104128646108</v>
      </c>
      <c r="H334" s="412" t="b">
        <f>Wh_hp&gt;='2020'!Maxi_hp</f>
        <v>0</v>
      </c>
      <c r="I334" s="379">
        <f>IF(H334,Wh_hp,'2020'!Maxi_hp)</f>
        <v>20.772499884462185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1.9640295204645608E-2</v>
      </c>
      <c r="M334" s="832"/>
      <c r="N334" s="832"/>
      <c r="O334" s="48">
        <f>IF(t&lt;Tnet,'2020'!Resal+('2020'!Salim-'2020'!Resal)*(1-EXP(('2020'!Tnet-t)/('2020'!Tau_j))),Resal+(Salim-Resal)*(1-EXP((Tnet-t)/(Tau_j))))*Salcycl</f>
        <v>7.4718966263436451E-2</v>
      </c>
      <c r="P334" s="169">
        <f>(INDEX(Models!$BJ334:$BT334,,T334)*(1-R334)+INDEX(Models!$BJ334:$BT334,,T334+1)*R334-ERP_i)*Q334*Ramure*Pc/MaxiM</f>
        <v>2.7936458304533237E-3</v>
      </c>
      <c r="Q334" s="304">
        <f t="shared" si="101"/>
        <v>0.6</v>
      </c>
      <c r="R334" s="177">
        <f t="shared" si="102"/>
        <v>0.99855137682491057</v>
      </c>
      <c r="S334" s="799">
        <f t="shared" si="103"/>
        <v>-1</v>
      </c>
      <c r="T334" s="176">
        <f t="shared" si="104"/>
        <v>5</v>
      </c>
      <c r="U334" s="250">
        <f t="shared" si="105"/>
        <v>-1.4486231750894807E-3</v>
      </c>
      <c r="V334" s="382">
        <f t="shared" si="106"/>
        <v>26.834040411255966</v>
      </c>
      <c r="W334" s="400"/>
      <c r="X334" s="157">
        <f t="shared" si="107"/>
        <v>44516</v>
      </c>
      <c r="Y334" s="383">
        <f t="shared" si="108"/>
        <v>8.718</v>
      </c>
      <c r="Z334" s="383">
        <f t="shared" si="109"/>
        <v>8.8926543567188361</v>
      </c>
      <c r="AA334" s="384">
        <f t="shared" si="110"/>
        <v>9.6107604419466153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7.4718966263436451E-2</v>
      </c>
      <c r="AD334" s="230">
        <f>(INDEX(Models!$BJ334:$BT334,,AH334)*(1-AF334)+INDEX(Models!$BJ334:$BT334,,AH334+1)*AF334-ERP_i)*AE334*Ramure*Pc/MaxiM</f>
        <v>2.7936458304533237E-3</v>
      </c>
      <c r="AE334" s="304">
        <f t="shared" si="112"/>
        <v>0.6</v>
      </c>
      <c r="AF334" s="177">
        <f t="shared" si="113"/>
        <v>0.99855137682491057</v>
      </c>
      <c r="AG334" s="799">
        <f t="shared" si="119"/>
        <v>-1</v>
      </c>
      <c r="AH334" s="176">
        <f t="shared" si="114"/>
        <v>5</v>
      </c>
      <c r="AI334" s="224">
        <f t="shared" si="115"/>
        <v>-1.4486231750894807E-3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2.6320000000000001</v>
      </c>
      <c r="C335" s="388"/>
      <c r="D335" s="391">
        <f t="shared" ref="D335:D379" si="122">Wh/(1-Ppv)</f>
        <v>2.6847803207045264</v>
      </c>
      <c r="E335" s="383">
        <f t="shared" si="120"/>
        <v>2.9016638074147307</v>
      </c>
      <c r="F335" s="383">
        <f t="shared" ref="F335:F379" si="123">Wh_sa/(1-Pvg*MEDIAN((-Sdif+Wh/Env_an)/Csdif,0,1))</f>
        <v>2.9016638074147307</v>
      </c>
      <c r="G335" s="110">
        <f t="shared" si="121"/>
        <v>9.8752140551690237E-2</v>
      </c>
      <c r="H335" s="412" t="b">
        <f>Wh_hp&gt;='2020'!Maxi_hp</f>
        <v>0</v>
      </c>
      <c r="I335" s="379">
        <f>IF(H335,Wh_hp,'2020'!Maxi_hp)</f>
        <v>23.200751935750731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1.9659083574732117E-2</v>
      </c>
      <c r="M335" s="832"/>
      <c r="N335" s="832"/>
      <c r="O335" s="48">
        <f>IF(t&lt;Tnet,'2020'!Resal+('2020'!Salim-'2020'!Resal)*(1-EXP(('2020'!Tnet-t)/('2020'!Tau_j))),Resal+(Salim-Resal)*(1-EXP((Tnet-t)/(Tau_j))))*Salcycl</f>
        <v>7.4744526280402873E-2</v>
      </c>
      <c r="P335" s="169">
        <f>(INDEX(Models!$BJ335:$BT335,,T335)*(1-R335)+INDEX(Models!$BJ335:$BT335,,T335+1)*R335-ERP_i)*Q335*Ramure*Pc/MaxiM</f>
        <v>2.8235534595385612E-3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0.99858059143890476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-1.4194085610952367E-3</v>
      </c>
      <c r="V335" s="382">
        <f t="shared" ref="V335:V379" si="130">MaxiM*(1-Ppv)*(1-Pvg)*(1-Psa)</f>
        <v>26.57733181915896</v>
      </c>
      <c r="W335" s="400"/>
      <c r="X335" s="157">
        <f t="shared" ref="X335:X379" si="131">t</f>
        <v>44517</v>
      </c>
      <c r="Y335" s="383">
        <f t="shared" ref="Y335:Y379" si="132">Wh_pvt_s*(1-Ppv)</f>
        <v>2.6320000000000001</v>
      </c>
      <c r="Z335" s="383">
        <f t="shared" ref="Z335:Z379" si="133">Wh_sa_s*(1-Psa_s)</f>
        <v>2.6847803207045264</v>
      </c>
      <c r="AA335" s="384">
        <f t="shared" ref="AA335:AA379" si="134">Wh_hp*(1-Pvg_s*MEDIAN((-Sdif+Wh/Env_an)/Csdif,0,1))</f>
        <v>2.9016638074147307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7.4744526280402873E-2</v>
      </c>
      <c r="AD335" s="230">
        <f>(INDEX(Models!$BJ335:$BT335,,AH335)*(1-AF335)+INDEX(Models!$BJ335:$BT335,,AH335+1)*AF335-ERP_i)*AE335*Ramure*Pc/MaxiM</f>
        <v>2.8235534595385612E-3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0.99858059143890476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-1.4194085610952367E-3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16.431999999999999</v>
      </c>
      <c r="C336" s="388"/>
      <c r="D336" s="391">
        <f t="shared" si="122"/>
        <v>16.761837281550722</v>
      </c>
      <c r="E336" s="383">
        <f t="shared" si="120"/>
        <v>18.116420610006362</v>
      </c>
      <c r="F336" s="383">
        <f t="shared" si="123"/>
        <v>18.140363576861724</v>
      </c>
      <c r="G336" s="110">
        <f t="shared" si="121"/>
        <v>0.6232506623081171</v>
      </c>
      <c r="H336" s="412" t="b">
        <f>Wh_hp&gt;='2020'!Maxi_hp</f>
        <v>0</v>
      </c>
      <c r="I336" s="379">
        <f>IF(H336,Wh_hp,'2020'!Maxi_hp)</f>
        <v>27.250192771666942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1.9677871584743656E-2</v>
      </c>
      <c r="M336" s="832"/>
      <c r="N336" s="832"/>
      <c r="O336" s="48">
        <f>IF(t&lt;Tnet,'2020'!Resal+('2020'!Salim-'2020'!Resal)*(1-EXP(('2020'!Tnet-t)/('2020'!Tau_j))),Resal+(Salim-Resal)*(1-EXP((Tnet-t)/(Tau_j))))*Salcycl</f>
        <v>7.4771024454325763E-2</v>
      </c>
      <c r="P336" s="169">
        <f>(INDEX(Models!$BJ336:$BT336,,T336)*(1-R336)+INDEX(Models!$BJ336:$BT336,,T336+1)*R336-ERP_i)*Q336*Ramure*Pc/MaxiM</f>
        <v>2.8497566701959523E-3</v>
      </c>
      <c r="Q336" s="304">
        <f t="shared" si="125"/>
        <v>0.6</v>
      </c>
      <c r="R336" s="177">
        <f t="shared" si="126"/>
        <v>0.99860863299756808</v>
      </c>
      <c r="S336" s="799">
        <f t="shared" si="127"/>
        <v>-1</v>
      </c>
      <c r="T336" s="176">
        <f t="shared" si="128"/>
        <v>5</v>
      </c>
      <c r="U336" s="250">
        <f t="shared" si="129"/>
        <v>-1.3913670024318647E-3</v>
      </c>
      <c r="V336" s="382">
        <f t="shared" si="130"/>
        <v>26.324605349314901</v>
      </c>
      <c r="W336" s="400"/>
      <c r="X336" s="157">
        <f t="shared" si="131"/>
        <v>44518</v>
      </c>
      <c r="Y336" s="383">
        <f t="shared" si="132"/>
        <v>16.431999999999999</v>
      </c>
      <c r="Z336" s="383">
        <f t="shared" si="133"/>
        <v>16.761837281550722</v>
      </c>
      <c r="AA336" s="384">
        <f t="shared" si="134"/>
        <v>18.116420610006362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7.4771024454325763E-2</v>
      </c>
      <c r="AD336" s="230">
        <f>(INDEX(Models!$BJ336:$BT336,,AH336)*(1-AF336)+INDEX(Models!$BJ336:$BT336,,AH336+1)*AF336-ERP_i)*AE336*Ramure*Pc/MaxiM</f>
        <v>2.8497566701959523E-3</v>
      </c>
      <c r="AE336" s="304">
        <f t="shared" si="136"/>
        <v>0.6</v>
      </c>
      <c r="AF336" s="177">
        <f t="shared" si="137"/>
        <v>0.99860863299756808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-1.3913670024318647E-3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25.123000000000001</v>
      </c>
      <c r="C337" s="388"/>
      <c r="D337" s="391">
        <f t="shared" si="122"/>
        <v>25.627781682746011</v>
      </c>
      <c r="E337" s="383">
        <f t="shared" si="120"/>
        <v>27.699676209912756</v>
      </c>
      <c r="F337" s="383">
        <f t="shared" si="123"/>
        <v>27.775286790481452</v>
      </c>
      <c r="G337" s="110">
        <f t="shared" si="121"/>
        <v>0.9632949998784065</v>
      </c>
      <c r="H337" s="412" t="b">
        <f>Wh_hp&gt;='2020'!Maxi_hp</f>
        <v>0</v>
      </c>
      <c r="I337" s="379">
        <f>IF(H337,Wh_hp,'2020'!Maxi_hp)</f>
        <v>28.562272949049884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1.969665923468733E-2</v>
      </c>
      <c r="M337" s="832"/>
      <c r="N337" s="832"/>
      <c r="O337" s="48">
        <f>IF(t&lt;Tnet,'2020'!Resal+('2020'!Salim-'2020'!Resal)*(1-EXP(('2020'!Tnet-t)/('2020'!Tau_j))),Resal+(Salim-Resal)*(1-EXP((Tnet-t)/(Tau_j))))*Salcycl</f>
        <v>7.4798510692528783E-2</v>
      </c>
      <c r="P337" s="169">
        <f>(INDEX(Models!$BJ337:$BT337,,T337)*(1-R337)+INDEX(Models!$BJ337:$BT337,,T337+1)*R337-ERP_i)*Q337*Ramure*Pc/MaxiM</f>
        <v>2.8722382326573136E-3</v>
      </c>
      <c r="Q337" s="304">
        <f t="shared" si="125"/>
        <v>0.6</v>
      </c>
      <c r="R337" s="177">
        <f t="shared" si="126"/>
        <v>0.99863554847873859</v>
      </c>
      <c r="S337" s="799">
        <f t="shared" si="127"/>
        <v>-1</v>
      </c>
      <c r="T337" s="176">
        <f t="shared" si="128"/>
        <v>5</v>
      </c>
      <c r="U337" s="250">
        <f t="shared" si="129"/>
        <v>-1.3644515212613562E-3</v>
      </c>
      <c r="V337" s="382">
        <f t="shared" si="130"/>
        <v>26.076353488483072</v>
      </c>
      <c r="W337" s="400"/>
      <c r="X337" s="157">
        <f t="shared" si="131"/>
        <v>44519</v>
      </c>
      <c r="Y337" s="383">
        <f t="shared" si="132"/>
        <v>25.123000000000001</v>
      </c>
      <c r="Z337" s="383">
        <f t="shared" si="133"/>
        <v>25.627781682746011</v>
      </c>
      <c r="AA337" s="384">
        <f t="shared" si="134"/>
        <v>27.699676209912756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7.4798510692528783E-2</v>
      </c>
      <c r="AD337" s="230">
        <f>(INDEX(Models!$BJ337:$BT337,,AH337)*(1-AF337)+INDEX(Models!$BJ337:$BT337,,AH337+1)*AF337-ERP_i)*AE337*Ramure*Pc/MaxiM</f>
        <v>2.8722382326573136E-3</v>
      </c>
      <c r="AE337" s="304">
        <f t="shared" si="136"/>
        <v>0.6</v>
      </c>
      <c r="AF337" s="177">
        <f t="shared" si="137"/>
        <v>0.99863554847873859</v>
      </c>
      <c r="AG337" s="799">
        <f t="shared" si="143"/>
        <v>-1</v>
      </c>
      <c r="AH337" s="176">
        <f t="shared" si="138"/>
        <v>5</v>
      </c>
      <c r="AI337" s="224">
        <f t="shared" si="139"/>
        <v>-1.3644515212613562E-3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20.024000000000001</v>
      </c>
      <c r="C338" s="388"/>
      <c r="D338" s="391">
        <f t="shared" si="122"/>
        <v>20.426721944162395</v>
      </c>
      <c r="E338" s="383">
        <f t="shared" si="120"/>
        <v>22.078814041900173</v>
      </c>
      <c r="F338" s="383">
        <f t="shared" si="123"/>
        <v>22.122268146115079</v>
      </c>
      <c r="G338" s="110">
        <f t="shared" si="121"/>
        <v>0.77441078208067549</v>
      </c>
      <c r="H338" s="412" t="b">
        <f>Wh_hp&gt;='2020'!Maxi_hp</f>
        <v>0</v>
      </c>
      <c r="I338" s="379">
        <f>IF(H338,Wh_hp,'2020'!Maxi_hp)</f>
        <v>28.66422438766487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1.9715446524569913E-2</v>
      </c>
      <c r="M338" s="832"/>
      <c r="N338" s="832"/>
      <c r="O338" s="48">
        <f>IF(t&lt;Tnet,'2020'!Resal+('2020'!Salim-'2020'!Resal)*(1-EXP(('2020'!Tnet-t)/('2020'!Tau_j))),Resal+(Salim-Resal)*(1-EXP((Tnet-t)/(Tau_j))))*Salcycl</f>
        <v>7.4827030772690609E-2</v>
      </c>
      <c r="P338" s="169">
        <f>(INDEX(Models!$BJ338:$BT338,,T338)*(1-R338)+INDEX(Models!$BJ338:$BT338,,T338+1)*R338-ERP_i)*Q338*Ramure*Pc/MaxiM</f>
        <v>2.893904438064851E-3</v>
      </c>
      <c r="Q338" s="304">
        <f t="shared" si="125"/>
        <v>0.6</v>
      </c>
      <c r="R338" s="177">
        <f t="shared" si="126"/>
        <v>0.99866138298867768</v>
      </c>
      <c r="S338" s="799">
        <f t="shared" si="127"/>
        <v>-1</v>
      </c>
      <c r="T338" s="176">
        <f t="shared" si="128"/>
        <v>5</v>
      </c>
      <c r="U338" s="250">
        <f t="shared" si="129"/>
        <v>-1.3386170113223184E-3</v>
      </c>
      <c r="V338" s="382">
        <f t="shared" si="130"/>
        <v>25.832993061250626</v>
      </c>
      <c r="W338" s="400"/>
      <c r="X338" s="157">
        <f t="shared" si="131"/>
        <v>44520</v>
      </c>
      <c r="Y338" s="383">
        <f t="shared" si="132"/>
        <v>20.024000000000001</v>
      </c>
      <c r="Z338" s="383">
        <f t="shared" si="133"/>
        <v>20.426721944162395</v>
      </c>
      <c r="AA338" s="384">
        <f t="shared" si="134"/>
        <v>22.078814041900173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7.4827030772690609E-2</v>
      </c>
      <c r="AD338" s="230">
        <f>(INDEX(Models!$BJ338:$BT338,,AH338)*(1-AF338)+INDEX(Models!$BJ338:$BT338,,AH338+1)*AF338-ERP_i)*AE338*Ramure*Pc/MaxiM</f>
        <v>2.893904438064851E-3</v>
      </c>
      <c r="AE338" s="304">
        <f t="shared" si="136"/>
        <v>0.6</v>
      </c>
      <c r="AF338" s="177">
        <f t="shared" si="137"/>
        <v>0.99866138298867768</v>
      </c>
      <c r="AG338" s="799">
        <f t="shared" si="143"/>
        <v>-1</v>
      </c>
      <c r="AH338" s="176">
        <f t="shared" si="138"/>
        <v>5</v>
      </c>
      <c r="AI338" s="224">
        <f t="shared" si="139"/>
        <v>-1.3386170113223184E-3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9.0590000000000011</v>
      </c>
      <c r="C339" s="388"/>
      <c r="D339" s="391">
        <f t="shared" si="122"/>
        <v>9.2413713802567852</v>
      </c>
      <c r="E339" s="383">
        <f t="shared" si="120"/>
        <v>9.9891234609105268</v>
      </c>
      <c r="F339" s="383">
        <f t="shared" si="123"/>
        <v>9.991367265332924</v>
      </c>
      <c r="G339" s="110">
        <f t="shared" si="121"/>
        <v>0.35298369577232641</v>
      </c>
      <c r="H339" s="412" t="b">
        <f>Wh_hp&gt;='2020'!Maxi_hp</f>
        <v>0</v>
      </c>
      <c r="I339" s="379">
        <f>IF(H339,Wh_hp,'2020'!Maxi_hp)</f>
        <v>27.981917732937102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1.9734233454398509E-2</v>
      </c>
      <c r="M339" s="832"/>
      <c r="N339" s="832"/>
      <c r="O339" s="48">
        <f>IF(t&lt;Tnet,'2020'!Resal+('2020'!Salim-'2020'!Resal)*(1-EXP(('2020'!Tnet-t)/('2020'!Tau_j))),Resal+(Salim-Resal)*(1-EXP((Tnet-t)/(Tau_j))))*Salcycl</f>
        <v>7.4856626167435741E-2</v>
      </c>
      <c r="P339" s="169">
        <f>(INDEX(Models!$BJ339:$BT339,,T339)*(1-R339)+INDEX(Models!$BJ339:$BT339,,T339+1)*R339-ERP_i)*Q339*Ramure*Pc/MaxiM</f>
        <v>2.9146024213134382E-3</v>
      </c>
      <c r="Q339" s="304">
        <f t="shared" si="125"/>
        <v>0.6</v>
      </c>
      <c r="R339" s="177">
        <f t="shared" si="126"/>
        <v>0.99868617983586283</v>
      </c>
      <c r="S339" s="799">
        <f t="shared" si="127"/>
        <v>-1</v>
      </c>
      <c r="T339" s="176">
        <f t="shared" si="128"/>
        <v>5</v>
      </c>
      <c r="U339" s="250">
        <f t="shared" si="129"/>
        <v>-1.3138201641372249E-3</v>
      </c>
      <c r="V339" s="382">
        <f t="shared" si="130"/>
        <v>25.59502229050775</v>
      </c>
      <c r="W339" s="400"/>
      <c r="X339" s="157">
        <f t="shared" si="131"/>
        <v>44521</v>
      </c>
      <c r="Y339" s="383">
        <f t="shared" si="132"/>
        <v>9.0590000000000011</v>
      </c>
      <c r="Z339" s="383">
        <f t="shared" si="133"/>
        <v>9.2413713802567852</v>
      </c>
      <c r="AA339" s="384">
        <f t="shared" si="134"/>
        <v>9.9891234609105268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7.4856626167435741E-2</v>
      </c>
      <c r="AD339" s="230">
        <f>(INDEX(Models!$BJ339:$BT339,,AH339)*(1-AF339)+INDEX(Models!$BJ339:$BT339,,AH339+1)*AF339-ERP_i)*AE339*Ramure*Pc/MaxiM</f>
        <v>2.9146024213134382E-3</v>
      </c>
      <c r="AE339" s="304">
        <f t="shared" si="136"/>
        <v>0.6</v>
      </c>
      <c r="AF339" s="177">
        <f t="shared" si="137"/>
        <v>0.99868617983586283</v>
      </c>
      <c r="AG339" s="799">
        <f t="shared" si="143"/>
        <v>-1</v>
      </c>
      <c r="AH339" s="176">
        <f t="shared" si="138"/>
        <v>5</v>
      </c>
      <c r="AI339" s="224">
        <f t="shared" si="139"/>
        <v>-1.3138201641372249E-3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17.899000000000001</v>
      </c>
      <c r="C340" s="388"/>
      <c r="D340" s="391">
        <f t="shared" si="122"/>
        <v>18.259683901746392</v>
      </c>
      <c r="E340" s="383">
        <f t="shared" si="120"/>
        <v>19.737794725739445</v>
      </c>
      <c r="F340" s="383">
        <f t="shared" si="123"/>
        <v>19.77141996398996</v>
      </c>
      <c r="G340" s="110">
        <f t="shared" si="121"/>
        <v>0.70484276827808456</v>
      </c>
      <c r="H340" s="412" t="b">
        <f>Wh_hp&gt;='2020'!Maxi_hp</f>
        <v>0</v>
      </c>
      <c r="I340" s="379">
        <f>IF(H340,Wh_hp,'2020'!Maxi_hp)</f>
        <v>29.203443370360098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1.9753020024179779E-2</v>
      </c>
      <c r="M340" s="832"/>
      <c r="N340" s="832"/>
      <c r="O340" s="48">
        <f>IF(t&lt;Tnet,'2020'!Resal+('2020'!Salim-'2020'!Resal)*(1-EXP(('2020'!Tnet-t)/('2020'!Tau_j))),Resal+(Salim-Resal)*(1-EXP((Tnet-t)/(Tau_j))))*Salcycl</f>
        <v>7.4887333895792024E-2</v>
      </c>
      <c r="P340" s="169">
        <f>(INDEX(Models!$BJ340:$BT340,,T340)*(1-R340)+INDEX(Models!$BJ340:$BT340,,T340+1)*R340-ERP_i)*Q340*Ramure*Pc/MaxiM</f>
        <v>2.9343010871642414E-3</v>
      </c>
      <c r="Q340" s="304">
        <f t="shared" si="125"/>
        <v>0.6</v>
      </c>
      <c r="R340" s="177">
        <f t="shared" si="126"/>
        <v>0.99870998060193139</v>
      </c>
      <c r="S340" s="799">
        <f t="shared" si="127"/>
        <v>-1</v>
      </c>
      <c r="T340" s="176">
        <f t="shared" si="128"/>
        <v>5</v>
      </c>
      <c r="U340" s="250">
        <f t="shared" si="129"/>
        <v>-1.2900193980686092E-3</v>
      </c>
      <c r="V340" s="382">
        <f t="shared" si="130"/>
        <v>25.362936173405956</v>
      </c>
      <c r="W340" s="400"/>
      <c r="X340" s="157">
        <f t="shared" si="131"/>
        <v>44522</v>
      </c>
      <c r="Y340" s="383">
        <f t="shared" si="132"/>
        <v>17.899000000000001</v>
      </c>
      <c r="Z340" s="383">
        <f t="shared" si="133"/>
        <v>18.259683901746392</v>
      </c>
      <c r="AA340" s="384">
        <f t="shared" si="134"/>
        <v>19.737794725739445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7.4887333895792024E-2</v>
      </c>
      <c r="AD340" s="230">
        <f>(INDEX(Models!$BJ340:$BT340,,AH340)*(1-AF340)+INDEX(Models!$BJ340:$BT340,,AH340+1)*AF340-ERP_i)*AE340*Ramure*Pc/MaxiM</f>
        <v>2.9343010871642414E-3</v>
      </c>
      <c r="AE340" s="304">
        <f t="shared" si="136"/>
        <v>0.6</v>
      </c>
      <c r="AF340" s="177">
        <f t="shared" si="137"/>
        <v>0.99870998060193139</v>
      </c>
      <c r="AG340" s="799">
        <f t="shared" si="143"/>
        <v>-1</v>
      </c>
      <c r="AH340" s="176">
        <f t="shared" si="138"/>
        <v>5</v>
      </c>
      <c r="AI340" s="224">
        <f t="shared" si="139"/>
        <v>-1.2900193980686092E-3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12.022</v>
      </c>
      <c r="C341" s="388"/>
      <c r="D341" s="391">
        <f t="shared" si="122"/>
        <v>12.264491142425678</v>
      </c>
      <c r="E341" s="383">
        <f t="shared" si="120"/>
        <v>13.257751065802253</v>
      </c>
      <c r="F341" s="383">
        <f t="shared" si="123"/>
        <v>13.267727952684869</v>
      </c>
      <c r="G341" s="110">
        <f t="shared" si="121"/>
        <v>0.47720133765432332</v>
      </c>
      <c r="H341" s="412" t="b">
        <f>Wh_hp&gt;='2020'!Maxi_hp</f>
        <v>0</v>
      </c>
      <c r="I341" s="379">
        <f>IF(H341,Wh_hp,'2020'!Maxi_hp)</f>
        <v>29.107219927904186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1.9771806233920719E-2</v>
      </c>
      <c r="M341" s="832"/>
      <c r="N341" s="832"/>
      <c r="O341" s="48">
        <f>IF(t&lt;Tnet,'2020'!Resal+('2020'!Salim-'2020'!Resal)*(1-EXP(('2020'!Tnet-t)/('2020'!Tau_j))),Resal+(Salim-Resal)*(1-EXP((Tnet-t)/(Tau_j))))*Salcycl</f>
        <v>7.491918640248442E-2</v>
      </c>
      <c r="P341" s="169">
        <f>(INDEX(Models!$BJ341:$BT341,,T341)*(1-R341)+INDEX(Models!$BJ341:$BT341,,T341+1)*R341-ERP_i)*Q341*Ramure*Pc/MaxiM</f>
        <v>2.9529452744465156E-3</v>
      </c>
      <c r="Q341" s="304">
        <f t="shared" si="125"/>
        <v>0.6</v>
      </c>
      <c r="R341" s="177">
        <f t="shared" si="126"/>
        <v>0.99873282520988105</v>
      </c>
      <c r="S341" s="799">
        <f t="shared" si="127"/>
        <v>-1</v>
      </c>
      <c r="T341" s="176">
        <f t="shared" si="128"/>
        <v>5</v>
      </c>
      <c r="U341" s="250">
        <f t="shared" si="129"/>
        <v>-1.2671747901188968E-3</v>
      </c>
      <c r="V341" s="382">
        <f t="shared" si="130"/>
        <v>25.137230293491566</v>
      </c>
      <c r="W341" s="400"/>
      <c r="X341" s="157">
        <f t="shared" si="131"/>
        <v>44523</v>
      </c>
      <c r="Y341" s="383">
        <f t="shared" si="132"/>
        <v>12.022</v>
      </c>
      <c r="Z341" s="383">
        <f t="shared" si="133"/>
        <v>12.264491142425678</v>
      </c>
      <c r="AA341" s="384">
        <f t="shared" si="134"/>
        <v>13.257751065802253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7.491918640248442E-2</v>
      </c>
      <c r="AD341" s="230">
        <f>(INDEX(Models!$BJ341:$BT341,,AH341)*(1-AF341)+INDEX(Models!$BJ341:$BT341,,AH341+1)*AF341-ERP_i)*AE341*Ramure*Pc/MaxiM</f>
        <v>2.9529452744465156E-3</v>
      </c>
      <c r="AE341" s="304">
        <f t="shared" si="136"/>
        <v>0.6</v>
      </c>
      <c r="AF341" s="177">
        <f t="shared" si="137"/>
        <v>0.99873282520988105</v>
      </c>
      <c r="AG341" s="799">
        <f t="shared" si="143"/>
        <v>-1</v>
      </c>
      <c r="AH341" s="176">
        <f t="shared" si="138"/>
        <v>5</v>
      </c>
      <c r="AI341" s="224">
        <f t="shared" si="139"/>
        <v>-1.2671747901188968E-3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1.7690000000000001</v>
      </c>
      <c r="C342" s="388"/>
      <c r="D342" s="391">
        <f t="shared" si="122"/>
        <v>1.8047164062221746</v>
      </c>
      <c r="E342" s="383">
        <f t="shared" si="120"/>
        <v>1.9509439713183834</v>
      </c>
      <c r="F342" s="383">
        <f t="shared" si="123"/>
        <v>1.9509439713183834</v>
      </c>
      <c r="G342" s="110">
        <f t="shared" si="121"/>
        <v>7.0780836952377746E-2</v>
      </c>
      <c r="H342" s="412" t="b">
        <f>Wh_hp&gt;='2020'!Maxi_hp</f>
        <v>0</v>
      </c>
      <c r="I342" s="379">
        <f>IF(H342,Wh_hp,'2020'!Maxi_hp)</f>
        <v>27.112988230859333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1.9790592083628211E-2</v>
      </c>
      <c r="M342" s="832"/>
      <c r="N342" s="832"/>
      <c r="O342" s="48">
        <f>IF(t&lt;Tnet,'2020'!Resal+('2020'!Salim-'2020'!Resal)*(1-EXP(('2020'!Tnet-t)/('2020'!Tau_j))),Resal+(Salim-Resal)*(1-EXP((Tnet-t)/(Tau_j))))*Salcycl</f>
        <v>7.495221146581324E-2</v>
      </c>
      <c r="P342" s="169">
        <f>(INDEX(Models!$BJ342:$BT342,,T342)*(1-R342)+INDEX(Models!$BJ342:$BT342,,T342+1)*R342-ERP_i)*Q342*Ramure*Pc/MaxiM</f>
        <v>2.9704858035595836E-3</v>
      </c>
      <c r="Q342" s="304">
        <f t="shared" si="125"/>
        <v>0.6</v>
      </c>
      <c r="R342" s="177">
        <f t="shared" si="126"/>
        <v>0.99875475198962915</v>
      </c>
      <c r="S342" s="799">
        <f t="shared" si="127"/>
        <v>-1</v>
      </c>
      <c r="T342" s="176">
        <f t="shared" si="128"/>
        <v>5</v>
      </c>
      <c r="U342" s="250">
        <f t="shared" si="129"/>
        <v>-1.2452480103709029E-3</v>
      </c>
      <c r="V342" s="382">
        <f t="shared" si="130"/>
        <v>24.91840004378831</v>
      </c>
      <c r="W342" s="400"/>
      <c r="X342" s="157">
        <f t="shared" si="131"/>
        <v>44524</v>
      </c>
      <c r="Y342" s="383">
        <f t="shared" si="132"/>
        <v>1.7690000000000001</v>
      </c>
      <c r="Z342" s="383">
        <f t="shared" si="133"/>
        <v>1.8047164062221746</v>
      </c>
      <c r="AA342" s="384">
        <f t="shared" si="134"/>
        <v>1.9509439713183834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7.495221146581324E-2</v>
      </c>
      <c r="AD342" s="230">
        <f>(INDEX(Models!$BJ342:$BT342,,AH342)*(1-AF342)+INDEX(Models!$BJ342:$BT342,,AH342+1)*AF342-ERP_i)*AE342*Ramure*Pc/MaxiM</f>
        <v>2.9704858035595836E-3</v>
      </c>
      <c r="AE342" s="304">
        <f t="shared" si="136"/>
        <v>0.6</v>
      </c>
      <c r="AF342" s="177">
        <f t="shared" si="137"/>
        <v>0.99875475198962915</v>
      </c>
      <c r="AG342" s="799">
        <f t="shared" si="143"/>
        <v>-1</v>
      </c>
      <c r="AH342" s="176">
        <f t="shared" si="138"/>
        <v>5</v>
      </c>
      <c r="AI342" s="224">
        <f t="shared" si="139"/>
        <v>-1.2452480103709029E-3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16.123999999999999</v>
      </c>
      <c r="C343" s="388"/>
      <c r="D343" s="391">
        <f t="shared" si="122"/>
        <v>16.449861517835451</v>
      </c>
      <c r="E343" s="383">
        <f t="shared" si="120"/>
        <v>17.783373227483061</v>
      </c>
      <c r="F343" s="383">
        <f t="shared" si="123"/>
        <v>17.810170030844752</v>
      </c>
      <c r="G343" s="110">
        <f t="shared" si="121"/>
        <v>0.65164131858337626</v>
      </c>
      <c r="H343" s="412" t="b">
        <f>Wh_hp&gt;='2020'!Maxi_hp</f>
        <v>0</v>
      </c>
      <c r="I343" s="379">
        <f>IF(H343,Wh_hp,'2020'!Maxi_hp)</f>
        <v>25.709723482797013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1.980937757330925E-2</v>
      </c>
      <c r="M343" s="832"/>
      <c r="N343" s="832"/>
      <c r="O343" s="48">
        <f>IF(t&lt;Tnet,'2020'!Resal+('2020'!Salim-'2020'!Resal)*(1-EXP(('2020'!Tnet-t)/('2020'!Tau_j))),Resal+(Salim-Resal)*(1-EXP((Tnet-t)/(Tau_j))))*Salcycl</f>
        <v>7.4986432134638695E-2</v>
      </c>
      <c r="P343" s="169">
        <f>(INDEX(Models!$BJ343:$BT343,,T343)*(1-R343)+INDEX(Models!$BJ343:$BT343,,T343+1)*R343-ERP_i)*Q343*Ramure*Pc/MaxiM</f>
        <v>2.9868826702677187E-3</v>
      </c>
      <c r="Q343" s="304">
        <f t="shared" si="125"/>
        <v>0.6</v>
      </c>
      <c r="R343" s="177">
        <f t="shared" si="126"/>
        <v>0.99877579774102643</v>
      </c>
      <c r="S343" s="799">
        <f t="shared" si="127"/>
        <v>-1</v>
      </c>
      <c r="T343" s="176">
        <f t="shared" si="128"/>
        <v>5</v>
      </c>
      <c r="U343" s="250">
        <f t="shared" si="129"/>
        <v>-1.2242022589735724E-3</v>
      </c>
      <c r="V343" s="382">
        <f t="shared" si="130"/>
        <v>24.706940548160535</v>
      </c>
      <c r="W343" s="400"/>
      <c r="X343" s="157">
        <f t="shared" si="131"/>
        <v>44525</v>
      </c>
      <c r="Y343" s="383">
        <f t="shared" si="132"/>
        <v>16.123999999999999</v>
      </c>
      <c r="Z343" s="383">
        <f t="shared" si="133"/>
        <v>16.449861517835451</v>
      </c>
      <c r="AA343" s="384">
        <f t="shared" si="134"/>
        <v>17.783373227483061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7.4986432134638695E-2</v>
      </c>
      <c r="AD343" s="230">
        <f>(INDEX(Models!$BJ343:$BT343,,AH343)*(1-AF343)+INDEX(Models!$BJ343:$BT343,,AH343+1)*AF343-ERP_i)*AE343*Ramure*Pc/MaxiM</f>
        <v>2.9868826702677187E-3</v>
      </c>
      <c r="AE343" s="304">
        <f t="shared" si="136"/>
        <v>0.6</v>
      </c>
      <c r="AF343" s="177">
        <f t="shared" si="137"/>
        <v>0.99877579774102643</v>
      </c>
      <c r="AG343" s="799">
        <f t="shared" si="143"/>
        <v>-1</v>
      </c>
      <c r="AH343" s="176">
        <f t="shared" si="138"/>
        <v>5</v>
      </c>
      <c r="AI343" s="224">
        <f t="shared" si="139"/>
        <v>-1.2242022589735724E-3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7.2450000000000001</v>
      </c>
      <c r="C344" s="388"/>
      <c r="D344" s="391">
        <f t="shared" si="122"/>
        <v>7.3915610756366688</v>
      </c>
      <c r="E344" s="383">
        <f t="shared" si="120"/>
        <v>7.9910657446833921</v>
      </c>
      <c r="F344" s="383">
        <f t="shared" si="123"/>
        <v>7.9910657446833921</v>
      </c>
      <c r="G344" s="110">
        <f t="shared" si="121"/>
        <v>0.29478625293332122</v>
      </c>
      <c r="H344" s="412" t="b">
        <f>Wh_hp&gt;='2020'!Maxi_hp</f>
        <v>0</v>
      </c>
      <c r="I344" s="379">
        <f>IF(H344,Wh_hp,'2020'!Maxi_hp)</f>
        <v>26.915508219914461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1.9828162702970609E-2</v>
      </c>
      <c r="M344" s="832"/>
      <c r="N344" s="832"/>
      <c r="O344" s="48">
        <f>IF(t&lt;Tnet,'2020'!Resal+('2020'!Salim-'2020'!Resal)*(1-EXP(('2020'!Tnet-t)/('2020'!Tau_j))),Resal+(Salim-Resal)*(1-EXP((Tnet-t)/(Tau_j))))*Salcycl</f>
        <v>7.5021866694762879E-2</v>
      </c>
      <c r="P344" s="169">
        <f>(INDEX(Models!$BJ344:$BT344,,T344)*(1-R344)+INDEX(Models!$BJ344:$BT344,,T344+1)*R344-ERP_i)*Q344*Ramure*Pc/MaxiM</f>
        <v>3.0020899980924927E-3</v>
      </c>
      <c r="Q344" s="304">
        <f t="shared" si="125"/>
        <v>0.6</v>
      </c>
      <c r="R344" s="177">
        <f t="shared" si="126"/>
        <v>0.99879599779442474</v>
      </c>
      <c r="S344" s="799">
        <f t="shared" si="127"/>
        <v>-1</v>
      </c>
      <c r="T344" s="176">
        <f t="shared" si="128"/>
        <v>5</v>
      </c>
      <c r="U344" s="250">
        <f t="shared" si="129"/>
        <v>-1.2040022055752053E-3</v>
      </c>
      <c r="V344" s="382">
        <f t="shared" si="130"/>
        <v>24.503347039041451</v>
      </c>
      <c r="W344" s="400"/>
      <c r="X344" s="157">
        <f t="shared" si="131"/>
        <v>44526</v>
      </c>
      <c r="Y344" s="383">
        <f t="shared" si="132"/>
        <v>7.2450000000000001</v>
      </c>
      <c r="Z344" s="383">
        <f t="shared" si="133"/>
        <v>7.3915610756366688</v>
      </c>
      <c r="AA344" s="384">
        <f t="shared" si="134"/>
        <v>7.9910657446833921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7.5021866694762879E-2</v>
      </c>
      <c r="AD344" s="230">
        <f>(INDEX(Models!$BJ344:$BT344,,AH344)*(1-AF344)+INDEX(Models!$BJ344:$BT344,,AH344+1)*AF344-ERP_i)*AE344*Ramure*Pc/MaxiM</f>
        <v>3.0020899980924927E-3</v>
      </c>
      <c r="AE344" s="304">
        <f t="shared" si="136"/>
        <v>0.6</v>
      </c>
      <c r="AF344" s="177">
        <f t="shared" si="137"/>
        <v>0.99879599779442474</v>
      </c>
      <c r="AG344" s="799">
        <f t="shared" si="143"/>
        <v>-1</v>
      </c>
      <c r="AH344" s="176">
        <f t="shared" si="138"/>
        <v>5</v>
      </c>
      <c r="AI344" s="224">
        <f t="shared" si="139"/>
        <v>-1.2040022055752053E-3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14.719000000000001</v>
      </c>
      <c r="C345" s="388"/>
      <c r="D345" s="391">
        <f t="shared" si="122"/>
        <v>15.017042452753902</v>
      </c>
      <c r="E345" s="383">
        <f t="shared" si="120"/>
        <v>16.235667788876956</v>
      </c>
      <c r="F345" s="383">
        <f t="shared" si="123"/>
        <v>16.257074776859344</v>
      </c>
      <c r="G345" s="110">
        <f t="shared" si="121"/>
        <v>0.60455057654731337</v>
      </c>
      <c r="H345" s="412" t="b">
        <f>Wh_hp&gt;='2020'!Maxi_hp</f>
        <v>0</v>
      </c>
      <c r="I345" s="379">
        <f>IF(H345,Wh_hp,'2020'!Maxi_hp)</f>
        <v>23.300191289146664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1.9846947472619281E-2</v>
      </c>
      <c r="M345" s="832"/>
      <c r="N345" s="832"/>
      <c r="O345" s="48">
        <f>IF(t&lt;Tnet,'2020'!Resal+('2020'!Salim-'2020'!Resal)*(1-EXP(('2020'!Tnet-t)/('2020'!Tau_j))),Resal+(Salim-Resal)*(1-EXP((Tnet-t)/(Tau_j))))*Salcycl</f>
        <v>7.5058528664766921E-2</v>
      </c>
      <c r="P345" s="169">
        <f>(INDEX(Models!$BJ345:$BT345,,T345)*(1-R345)+INDEX(Models!$BJ345:$BT345,,T345+1)*R345-ERP_i)*Q345*Ramure*Pc/MaxiM</f>
        <v>3.0163699648796385E-3</v>
      </c>
      <c r="Q345" s="304">
        <f t="shared" si="125"/>
        <v>0.6</v>
      </c>
      <c r="R345" s="177">
        <f t="shared" si="126"/>
        <v>0.99881538606888531</v>
      </c>
      <c r="S345" s="799">
        <f t="shared" si="127"/>
        <v>-1</v>
      </c>
      <c r="T345" s="176">
        <f t="shared" si="128"/>
        <v>5</v>
      </c>
      <c r="U345" s="250">
        <f t="shared" si="129"/>
        <v>-1.1846139311146309E-3</v>
      </c>
      <c r="V345" s="382">
        <f t="shared" si="130"/>
        <v>24.305577264045358</v>
      </c>
      <c r="W345" s="400"/>
      <c r="X345" s="157">
        <f t="shared" si="131"/>
        <v>44527</v>
      </c>
      <c r="Y345" s="383">
        <f t="shared" si="132"/>
        <v>14.719000000000001</v>
      </c>
      <c r="Z345" s="383">
        <f t="shared" si="133"/>
        <v>15.017042452753902</v>
      </c>
      <c r="AA345" s="384">
        <f t="shared" si="134"/>
        <v>16.235667788876956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7.5058528664766921E-2</v>
      </c>
      <c r="AD345" s="230">
        <f>(INDEX(Models!$BJ345:$BT345,,AH345)*(1-AF345)+INDEX(Models!$BJ345:$BT345,,AH345+1)*AF345-ERP_i)*AE345*Ramure*Pc/MaxiM</f>
        <v>3.0163699648796385E-3</v>
      </c>
      <c r="AE345" s="304">
        <f t="shared" si="136"/>
        <v>0.6</v>
      </c>
      <c r="AF345" s="177">
        <f t="shared" si="137"/>
        <v>0.99881538606888531</v>
      </c>
      <c r="AG345" s="799">
        <f t="shared" si="143"/>
        <v>-1</v>
      </c>
      <c r="AH345" s="176">
        <f t="shared" si="138"/>
        <v>5</v>
      </c>
      <c r="AI345" s="224">
        <f t="shared" si="139"/>
        <v>-1.1846139311146309E-3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6.1160000000000005</v>
      </c>
      <c r="C346" s="388"/>
      <c r="D346" s="391">
        <f t="shared" si="122"/>
        <v>6.2399614001306611</v>
      </c>
      <c r="E346" s="383">
        <f t="shared" si="120"/>
        <v>6.7466075178886555</v>
      </c>
      <c r="F346" s="383">
        <f t="shared" si="123"/>
        <v>6.7466075178886555</v>
      </c>
      <c r="G346" s="110">
        <f t="shared" si="121"/>
        <v>0.25288468791305602</v>
      </c>
      <c r="H346" s="412" t="b">
        <f>Wh_hp&gt;='2020'!Maxi_hp</f>
        <v>0</v>
      </c>
      <c r="I346" s="379">
        <f>IF(H346,Wh_hp,'2020'!Maxi_hp)</f>
        <v>16.384266753107251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1.986573188226215E-2</v>
      </c>
      <c r="M346" s="832"/>
      <c r="N346" s="832"/>
      <c r="O346" s="48">
        <f>IF(t&lt;Tnet,'2020'!Resal+('2020'!Salim-'2020'!Resal)*(1-EXP(('2020'!Tnet-t)/('2020'!Tau_j))),Resal+(Salim-Resal)*(1-EXP((Tnet-t)/(Tau_j))))*Salcycl</f>
        <v>7.5096426821127632E-2</v>
      </c>
      <c r="P346" s="169">
        <f>(INDEX(Models!$BJ346:$BT346,,T346)*(1-R346)+INDEX(Models!$BJ346:$BT346,,T346+1)*R346-ERP_i)*Q346*Ramure*Pc/MaxiM</f>
        <v>3.0350716837978754E-3</v>
      </c>
      <c r="Q346" s="304">
        <f t="shared" si="125"/>
        <v>0.6</v>
      </c>
      <c r="R346" s="177">
        <f t="shared" si="126"/>
        <v>0.9988339951281201</v>
      </c>
      <c r="S346" s="799">
        <f t="shared" si="127"/>
        <v>-1</v>
      </c>
      <c r="T346" s="176">
        <f t="shared" si="128"/>
        <v>5</v>
      </c>
      <c r="U346" s="250">
        <f t="shared" si="129"/>
        <v>-1.1660048718798999E-3</v>
      </c>
      <c r="V346" s="382">
        <f t="shared" si="130"/>
        <v>24.111533014914073</v>
      </c>
      <c r="W346" s="400"/>
      <c r="X346" s="157">
        <f t="shared" si="131"/>
        <v>44528</v>
      </c>
      <c r="Y346" s="383">
        <f t="shared" si="132"/>
        <v>6.1160000000000005</v>
      </c>
      <c r="Z346" s="383">
        <f t="shared" si="133"/>
        <v>6.2399614001306611</v>
      </c>
      <c r="AA346" s="384">
        <f t="shared" si="134"/>
        <v>6.7466075178886555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7.5096426821127632E-2</v>
      </c>
      <c r="AD346" s="230">
        <f>(INDEX(Models!$BJ346:$BT346,,AH346)*(1-AF346)+INDEX(Models!$BJ346:$BT346,,AH346+1)*AF346-ERP_i)*AE346*Ramure*Pc/MaxiM</f>
        <v>3.0350716837978754E-3</v>
      </c>
      <c r="AE346" s="304">
        <f t="shared" si="136"/>
        <v>0.6</v>
      </c>
      <c r="AF346" s="177">
        <f t="shared" si="137"/>
        <v>0.9988339951281201</v>
      </c>
      <c r="AG346" s="799">
        <f t="shared" si="143"/>
        <v>-1</v>
      </c>
      <c r="AH346" s="176">
        <f t="shared" si="138"/>
        <v>5</v>
      </c>
      <c r="AI346" s="224">
        <f t="shared" si="139"/>
        <v>-1.1660048718798999E-3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6.9960000000000004</v>
      </c>
      <c r="C347" s="388"/>
      <c r="D347" s="391">
        <f t="shared" si="122"/>
        <v>7.1379343696951025</v>
      </c>
      <c r="E347" s="383">
        <f t="shared" si="120"/>
        <v>7.7178169053949954</v>
      </c>
      <c r="F347" s="383">
        <f t="shared" si="123"/>
        <v>7.7178169053949954</v>
      </c>
      <c r="G347" s="110">
        <f t="shared" si="121"/>
        <v>0.29155838715101384</v>
      </c>
      <c r="H347" s="412" t="b">
        <f>Wh_hp&gt;='2020'!Maxi_hp</f>
        <v>0</v>
      </c>
      <c r="I347" s="379">
        <f>IF(H347,Wh_hp,'2020'!Maxi_hp)</f>
        <v>16.175594142321199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1.9884515931906099E-2</v>
      </c>
      <c r="M347" s="832"/>
      <c r="N347" s="832"/>
      <c r="O347" s="48">
        <f>IF(t&lt;Tnet,'2020'!Resal+('2020'!Salim-'2020'!Resal)*(1-EXP(('2020'!Tnet-t)/('2020'!Tau_j))),Resal+(Salim-Resal)*(1-EXP((Tnet-t)/(Tau_j))))*Salcycl</f>
        <v>7.5135565252207076E-2</v>
      </c>
      <c r="P347" s="169">
        <f>(INDEX(Models!$BJ347:$BT347,,T347)*(1-R347)+INDEX(Models!$BJ347:$BT347,,T347+1)*R347-ERP_i)*Q347*Ramure*Pc/MaxiM</f>
        <v>3.0622203082195892E-3</v>
      </c>
      <c r="Q347" s="304">
        <f t="shared" si="125"/>
        <v>0.6</v>
      </c>
      <c r="R347" s="177">
        <f t="shared" si="126"/>
        <v>0.99885185623424921</v>
      </c>
      <c r="S347" s="799">
        <f t="shared" si="127"/>
        <v>-1</v>
      </c>
      <c r="T347" s="176">
        <f t="shared" si="128"/>
        <v>5</v>
      </c>
      <c r="U347" s="250">
        <f t="shared" si="129"/>
        <v>-1.148143765750731E-3</v>
      </c>
      <c r="V347" s="382">
        <f t="shared" si="130"/>
        <v>23.921715217580712</v>
      </c>
      <c r="W347" s="400"/>
      <c r="X347" s="157">
        <f t="shared" si="131"/>
        <v>44529</v>
      </c>
      <c r="Y347" s="383">
        <f t="shared" si="132"/>
        <v>6.9960000000000004</v>
      </c>
      <c r="Z347" s="383">
        <f t="shared" si="133"/>
        <v>7.1379343696951025</v>
      </c>
      <c r="AA347" s="384">
        <f t="shared" si="134"/>
        <v>7.7178169053949954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7.5135565252207076E-2</v>
      </c>
      <c r="AD347" s="230">
        <f>(INDEX(Models!$BJ347:$BT347,,AH347)*(1-AF347)+INDEX(Models!$BJ347:$BT347,,AH347+1)*AF347-ERP_i)*AE347*Ramure*Pc/MaxiM</f>
        <v>3.0622203082195892E-3</v>
      </c>
      <c r="AE347" s="304">
        <f t="shared" si="136"/>
        <v>0.6</v>
      </c>
      <c r="AF347" s="177">
        <f t="shared" si="137"/>
        <v>0.99885185623424921</v>
      </c>
      <c r="AG347" s="799">
        <f t="shared" si="143"/>
        <v>-1</v>
      </c>
      <c r="AH347" s="176">
        <f t="shared" si="138"/>
        <v>5</v>
      </c>
      <c r="AI347" s="224">
        <f t="shared" si="139"/>
        <v>-1.148143765750731E-3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19.564</v>
      </c>
      <c r="C348" s="388"/>
      <c r="D348" s="391">
        <f t="shared" si="122"/>
        <v>19.961295648119016</v>
      </c>
      <c r="E348" s="383">
        <f t="shared" si="120"/>
        <v>21.583884530834951</v>
      </c>
      <c r="F348" s="383">
        <f t="shared" si="123"/>
        <v>21.634071896712399</v>
      </c>
      <c r="G348" s="110">
        <f t="shared" si="121"/>
        <v>0.82356539993644706</v>
      </c>
      <c r="H348" s="412" t="b">
        <f>Wh_hp&gt;='2020'!Maxi_hp</f>
        <v>0</v>
      </c>
      <c r="I348" s="379">
        <f>IF(H348,Wh_hp,'2020'!Maxi_hp)</f>
        <v>25.310170680267795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1.9903299621558013E-2</v>
      </c>
      <c r="M348" s="832"/>
      <c r="N348" s="832"/>
      <c r="O348" s="48">
        <f>IF(t&lt;Tnet,'2020'!Resal+('2020'!Salim-'2020'!Resal)*(1-EXP(('2020'!Tnet-t)/('2020'!Tau_j))),Resal+(Salim-Resal)*(1-EXP((Tnet-t)/(Tau_j))))*Salcycl</f>
        <v>7.5175943440481646E-2</v>
      </c>
      <c r="P348" s="169">
        <f>(INDEX(Models!$BJ348:$BT348,,T348)*(1-R348)+INDEX(Models!$BJ348:$BT348,,T348+1)*R348-ERP_i)*Q348*Ramure*Pc/MaxiM</f>
        <v>3.0977792052091849E-3</v>
      </c>
      <c r="Q348" s="304">
        <f t="shared" si="125"/>
        <v>0.6</v>
      </c>
      <c r="R348" s="177">
        <f t="shared" si="126"/>
        <v>0.99886899939945839</v>
      </c>
      <c r="S348" s="799">
        <f t="shared" si="127"/>
        <v>-1</v>
      </c>
      <c r="T348" s="176">
        <f t="shared" si="128"/>
        <v>5</v>
      </c>
      <c r="U348" s="250">
        <f t="shared" si="129"/>
        <v>-1.1310006005416651E-3</v>
      </c>
      <c r="V348" s="382">
        <f t="shared" si="130"/>
        <v>23.73672426134009</v>
      </c>
      <c r="W348" s="400"/>
      <c r="X348" s="157">
        <f t="shared" si="131"/>
        <v>44530</v>
      </c>
      <c r="Y348" s="383">
        <f t="shared" si="132"/>
        <v>19.564</v>
      </c>
      <c r="Z348" s="383">
        <f t="shared" si="133"/>
        <v>19.961295648119016</v>
      </c>
      <c r="AA348" s="384">
        <f t="shared" si="134"/>
        <v>21.583884530834951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7.5175943440481646E-2</v>
      </c>
      <c r="AD348" s="230">
        <f>(INDEX(Models!$BJ348:$BT348,,AH348)*(1-AF348)+INDEX(Models!$BJ348:$BT348,,AH348+1)*AF348-ERP_i)*AE348*Ramure*Pc/MaxiM</f>
        <v>3.0977792052091849E-3</v>
      </c>
      <c r="AE348" s="304">
        <f t="shared" si="136"/>
        <v>0.6</v>
      </c>
      <c r="AF348" s="177">
        <f t="shared" si="137"/>
        <v>0.99886899939945839</v>
      </c>
      <c r="AG348" s="799">
        <f t="shared" si="143"/>
        <v>-1</v>
      </c>
      <c r="AH348" s="176">
        <f t="shared" si="138"/>
        <v>5</v>
      </c>
      <c r="AI348" s="224">
        <f t="shared" si="139"/>
        <v>-1.1310006005416651E-3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3.956</v>
      </c>
      <c r="C349" s="388"/>
      <c r="D349" s="391">
        <f t="shared" si="122"/>
        <v>4.0364137699504177</v>
      </c>
      <c r="E349" s="383">
        <f t="shared" si="120"/>
        <v>4.3647171264583058</v>
      </c>
      <c r="F349" s="383">
        <f t="shared" si="123"/>
        <v>4.3647171264583058</v>
      </c>
      <c r="G349" s="110">
        <f t="shared" si="121"/>
        <v>0.16740436330657857</v>
      </c>
      <c r="H349" s="412" t="b">
        <f>Wh_hp&gt;='2020'!Maxi_hp</f>
        <v>0</v>
      </c>
      <c r="I349" s="379">
        <f>IF(H349,Wh_hp,'2020'!Maxi_hp)</f>
        <v>26.146261330818092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1.9922082951224773E-2</v>
      </c>
      <c r="M349" s="832"/>
      <c r="N349" s="832"/>
      <c r="O349" s="48">
        <f>IF(t&lt;Tnet,'2020'!Resal+('2020'!Salim-'2020'!Resal)*(1-EXP(('2020'!Tnet-t)/('2020'!Tau_j))),Resal+(Salim-Resal)*(1-EXP((Tnet-t)/(Tau_j))))*Salcycl</f>
        <v>7.5217556372155062E-2</v>
      </c>
      <c r="P349" s="169">
        <f>(INDEX(Models!$BJ349:$BT349,,T349)*(1-R349)+INDEX(Models!$BJ349:$BT349,,T349+1)*R349-ERP_i)*Q349*Ramure*Pc/MaxiM</f>
        <v>3.141708075791505E-3</v>
      </c>
      <c r="Q349" s="304">
        <f t="shared" si="125"/>
        <v>0.6</v>
      </c>
      <c r="R349" s="177">
        <f t="shared" si="126"/>
        <v>0.99888545343563384</v>
      </c>
      <c r="S349" s="799">
        <f t="shared" si="127"/>
        <v>-1</v>
      </c>
      <c r="T349" s="176">
        <f t="shared" si="128"/>
        <v>5</v>
      </c>
      <c r="U349" s="250">
        <f t="shared" si="129"/>
        <v>-1.114546564366159E-3</v>
      </c>
      <c r="V349" s="382">
        <f t="shared" si="130"/>
        <v>23.55716018960657</v>
      </c>
      <c r="W349" s="400"/>
      <c r="X349" s="157">
        <f t="shared" si="131"/>
        <v>44531</v>
      </c>
      <c r="Y349" s="383">
        <f t="shared" si="132"/>
        <v>3.9559999999999995</v>
      </c>
      <c r="Z349" s="383">
        <f t="shared" si="133"/>
        <v>4.0364137699504177</v>
      </c>
      <c r="AA349" s="384">
        <f t="shared" si="134"/>
        <v>4.3647171264583058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7.5217556372155062E-2</v>
      </c>
      <c r="AD349" s="230">
        <f>(INDEX(Models!$BJ349:$BT349,,AH349)*(1-AF349)+INDEX(Models!$BJ349:$BT349,,AH349+1)*AF349-ERP_i)*AE349*Ramure*Pc/MaxiM</f>
        <v>3.141708075791505E-3</v>
      </c>
      <c r="AE349" s="304">
        <f t="shared" si="136"/>
        <v>0.6</v>
      </c>
      <c r="AF349" s="177">
        <f t="shared" si="137"/>
        <v>0.99888545343563384</v>
      </c>
      <c r="AG349" s="799">
        <f t="shared" si="143"/>
        <v>-1</v>
      </c>
      <c r="AH349" s="176">
        <f t="shared" si="138"/>
        <v>5</v>
      </c>
      <c r="AI349" s="224">
        <f t="shared" si="139"/>
        <v>-1.114546564366159E-3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9.0139999999999993</v>
      </c>
      <c r="C350" s="388"/>
      <c r="D350" s="391">
        <f t="shared" si="122"/>
        <v>9.1974042040534734</v>
      </c>
      <c r="E350" s="383">
        <f t="shared" si="120"/>
        <v>9.9459395391657655</v>
      </c>
      <c r="F350" s="383">
        <f t="shared" si="123"/>
        <v>9.9498204075695913</v>
      </c>
      <c r="G350" s="110">
        <f t="shared" si="121"/>
        <v>0.38440218407380938</v>
      </c>
      <c r="H350" s="412" t="b">
        <f>Wh_hp&gt;='2020'!Maxi_hp</f>
        <v>1</v>
      </c>
      <c r="I350" s="379">
        <f>IF(H350,Wh_hp,'2020'!Maxi_hp)</f>
        <v>9.9498204075695913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1.9940865920913264E-2</v>
      </c>
      <c r="M350" s="832"/>
      <c r="N350" s="832"/>
      <c r="O350" s="48">
        <f>IF(t&lt;Tnet,'2020'!Resal+('2020'!Salim-'2020'!Resal)*(1-EXP(('2020'!Tnet-t)/('2020'!Tau_j))),Resal+(Salim-Resal)*(1-EXP((Tnet-t)/(Tau_j))))*Salcycl</f>
        <v>7.5260394673088524E-2</v>
      </c>
      <c r="P350" s="169">
        <f>(INDEX(Models!$BJ350:$BT350,,T350)*(1-R350)+INDEX(Models!$BJ350:$BT350,,T350+1)*R350-ERP_i)*Q350*Ramure*Pc/MaxiM</f>
        <v>3.1939607503952828E-3</v>
      </c>
      <c r="Q350" s="304">
        <f t="shared" si="125"/>
        <v>0.6</v>
      </c>
      <c r="R350" s="177">
        <f t="shared" si="126"/>
        <v>0.99890124600205576</v>
      </c>
      <c r="S350" s="799">
        <f t="shared" si="127"/>
        <v>-1</v>
      </c>
      <c r="T350" s="176">
        <f t="shared" si="128"/>
        <v>5</v>
      </c>
      <c r="U350" s="250">
        <f t="shared" si="129"/>
        <v>-1.0987539979442351E-3</v>
      </c>
      <c r="V350" s="382">
        <f t="shared" si="130"/>
        <v>23.383622688418647</v>
      </c>
      <c r="W350" s="400"/>
      <c r="X350" s="157">
        <f t="shared" si="131"/>
        <v>44532</v>
      </c>
      <c r="Y350" s="383">
        <f t="shared" si="132"/>
        <v>9.0139999999999993</v>
      </c>
      <c r="Z350" s="383">
        <f t="shared" si="133"/>
        <v>9.1974042040534734</v>
      </c>
      <c r="AA350" s="384">
        <f t="shared" si="134"/>
        <v>9.9459395391657655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7.5260394673088524E-2</v>
      </c>
      <c r="AD350" s="230">
        <f>(INDEX(Models!$BJ350:$BT350,,AH350)*(1-AF350)+INDEX(Models!$BJ350:$BT350,,AH350+1)*AF350-ERP_i)*AE350*Ramure*Pc/MaxiM</f>
        <v>3.1939607503952828E-3</v>
      </c>
      <c r="AE350" s="304">
        <f t="shared" si="136"/>
        <v>0.6</v>
      </c>
      <c r="AF350" s="177">
        <f t="shared" si="137"/>
        <v>0.99890124600205576</v>
      </c>
      <c r="AG350" s="799">
        <f t="shared" si="143"/>
        <v>-1</v>
      </c>
      <c r="AH350" s="176">
        <f t="shared" si="138"/>
        <v>5</v>
      </c>
      <c r="AI350" s="224">
        <f t="shared" si="139"/>
        <v>-1.0987539979442351E-3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15.062000000000001</v>
      </c>
      <c r="C351" s="388"/>
      <c r="D351" s="391">
        <f t="shared" si="122"/>
        <v>15.368754947097456</v>
      </c>
      <c r="E351" s="383">
        <f t="shared" si="120"/>
        <v>16.620340457104358</v>
      </c>
      <c r="F351" s="383">
        <f t="shared" si="123"/>
        <v>16.647333469246274</v>
      </c>
      <c r="G351" s="110">
        <f t="shared" si="121"/>
        <v>0.64769568089006879</v>
      </c>
      <c r="H351" s="412" t="b">
        <f>Wh_hp&gt;='2020'!Maxi_hp</f>
        <v>1</v>
      </c>
      <c r="I351" s="379">
        <f>IF(H351,Wh_hp,'2020'!Maxi_hp)</f>
        <v>16.647333469246274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1.9959648530630481E-2</v>
      </c>
      <c r="M351" s="832"/>
      <c r="N351" s="832"/>
      <c r="O351" s="48">
        <f>IF(t&lt;Tnet,'2020'!Resal+('2020'!Salim-'2020'!Resal)*(1-EXP(('2020'!Tnet-t)/('2020'!Tau_j))),Resal+(Salim-Resal)*(1-EXP((Tnet-t)/(Tau_j))))*Salcycl</f>
        <v>7.5304444769776893E-2</v>
      </c>
      <c r="P351" s="169">
        <f>(INDEX(Models!$BJ351:$BT351,,T351)*(1-R351)+INDEX(Models!$BJ351:$BT351,,T351+1)*R351-ERP_i)*Q351*Ramure*Pc/MaxiM</f>
        <v>3.2544828173596326E-3</v>
      </c>
      <c r="Q351" s="304">
        <f t="shared" si="125"/>
        <v>0.6</v>
      </c>
      <c r="R351" s="177">
        <f t="shared" si="126"/>
        <v>0.99891640365121837</v>
      </c>
      <c r="S351" s="799">
        <f t="shared" si="127"/>
        <v>-1</v>
      </c>
      <c r="T351" s="176">
        <f t="shared" si="128"/>
        <v>5</v>
      </c>
      <c r="U351" s="250">
        <f t="shared" si="129"/>
        <v>-1.0835963487816347E-3</v>
      </c>
      <c r="V351" s="382">
        <f t="shared" si="130"/>
        <v>23.216711074500875</v>
      </c>
      <c r="W351" s="400"/>
      <c r="X351" s="157">
        <f t="shared" si="131"/>
        <v>44533</v>
      </c>
      <c r="Y351" s="383">
        <f t="shared" si="132"/>
        <v>15.061999999999999</v>
      </c>
      <c r="Z351" s="383">
        <f t="shared" si="133"/>
        <v>15.368754947097454</v>
      </c>
      <c r="AA351" s="384">
        <f t="shared" si="134"/>
        <v>16.620340457104358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7.5304444769776893E-2</v>
      </c>
      <c r="AD351" s="230">
        <f>(INDEX(Models!$BJ351:$BT351,,AH351)*(1-AF351)+INDEX(Models!$BJ351:$BT351,,AH351+1)*AF351-ERP_i)*AE351*Ramure*Pc/MaxiM</f>
        <v>3.2544828173596326E-3</v>
      </c>
      <c r="AE351" s="304">
        <f t="shared" si="136"/>
        <v>0.6</v>
      </c>
      <c r="AF351" s="177">
        <f t="shared" si="137"/>
        <v>0.99891640365121837</v>
      </c>
      <c r="AG351" s="799">
        <f t="shared" si="143"/>
        <v>-1</v>
      </c>
      <c r="AH351" s="176">
        <f t="shared" si="138"/>
        <v>5</v>
      </c>
      <c r="AI351" s="224">
        <f t="shared" si="139"/>
        <v>-1.0835963487816347E-3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6.4930000000000003</v>
      </c>
      <c r="C352" s="388"/>
      <c r="D352" s="391">
        <f t="shared" si="122"/>
        <v>6.6253643837352723</v>
      </c>
      <c r="E352" s="383">
        <f t="shared" si="120"/>
        <v>7.165264863318531</v>
      </c>
      <c r="F352" s="383">
        <f t="shared" si="123"/>
        <v>7.165264863318531</v>
      </c>
      <c r="G352" s="110">
        <f t="shared" si="121"/>
        <v>0.28067032093704392</v>
      </c>
      <c r="H352" s="412" t="b">
        <f>Wh_hp&gt;='2020'!Maxi_hp</f>
        <v>0</v>
      </c>
      <c r="I352" s="379">
        <f>IF(H352,Wh_hp,'2020'!Maxi_hp)</f>
        <v>13.058578014907082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1.9978430780383305E-2</v>
      </c>
      <c r="M352" s="832"/>
      <c r="N352" s="832"/>
      <c r="O352" s="48">
        <f>IF(t&lt;Tnet,'2020'!Resal+('2020'!Salim-'2020'!Resal)*(1-EXP(('2020'!Tnet-t)/('2020'!Tau_j))),Resal+(Salim-Resal)*(1-EXP((Tnet-t)/(Tau_j))))*Salcycl</f>
        <v>7.5349689073909418E-2</v>
      </c>
      <c r="P352" s="169">
        <f>(INDEX(Models!$BJ352:$BT352,,T352)*(1-R352)+INDEX(Models!$BJ352:$BT352,,T352+1)*R352-ERP_i)*Q352*Ramure*Pc/MaxiM</f>
        <v>3.319887263513469E-3</v>
      </c>
      <c r="Q352" s="304">
        <f t="shared" si="125"/>
        <v>0.6</v>
      </c>
      <c r="R352" s="177">
        <f t="shared" si="126"/>
        <v>0.9989309518728533</v>
      </c>
      <c r="S352" s="799">
        <f t="shared" si="127"/>
        <v>-1</v>
      </c>
      <c r="T352" s="176">
        <f t="shared" si="128"/>
        <v>5</v>
      </c>
      <c r="U352" s="250">
        <f t="shared" si="129"/>
        <v>-1.0690481271466434E-3</v>
      </c>
      <c r="V352" s="382">
        <f t="shared" si="130"/>
        <v>23.057101122742477</v>
      </c>
      <c r="W352" s="400"/>
      <c r="X352" s="157">
        <f t="shared" si="131"/>
        <v>44534</v>
      </c>
      <c r="Y352" s="383">
        <f t="shared" si="132"/>
        <v>6.4930000000000003</v>
      </c>
      <c r="Z352" s="383">
        <f t="shared" si="133"/>
        <v>6.6253643837352723</v>
      </c>
      <c r="AA352" s="384">
        <f t="shared" si="134"/>
        <v>7.165264863318531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7.5349689073909418E-2</v>
      </c>
      <c r="AD352" s="230">
        <f>(INDEX(Models!$BJ352:$BT352,,AH352)*(1-AF352)+INDEX(Models!$BJ352:$BT352,,AH352+1)*AF352-ERP_i)*AE352*Ramure*Pc/MaxiM</f>
        <v>3.319887263513469E-3</v>
      </c>
      <c r="AE352" s="304">
        <f t="shared" si="136"/>
        <v>0.6</v>
      </c>
      <c r="AF352" s="177">
        <f t="shared" si="137"/>
        <v>0.9989309518728533</v>
      </c>
      <c r="AG352" s="799">
        <f t="shared" si="143"/>
        <v>-1</v>
      </c>
      <c r="AH352" s="176">
        <f t="shared" si="138"/>
        <v>5</v>
      </c>
      <c r="AI352" s="224">
        <f t="shared" si="139"/>
        <v>-1.0690481271466434E-3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9.2720000000000002</v>
      </c>
      <c r="C353" s="388"/>
      <c r="D353" s="391">
        <f t="shared" si="122"/>
        <v>9.461197580124324</v>
      </c>
      <c r="E353" s="383">
        <f t="shared" si="120"/>
        <v>10.232703586317623</v>
      </c>
      <c r="F353" s="383">
        <f t="shared" si="123"/>
        <v>10.237894952094093</v>
      </c>
      <c r="G353" s="110">
        <f t="shared" si="121"/>
        <v>0.40362792801129593</v>
      </c>
      <c r="H353" s="412" t="b">
        <f>Wh_hp&gt;='2020'!Maxi_hp</f>
        <v>1</v>
      </c>
      <c r="I353" s="379">
        <f>IF(H353,Wh_hp,'2020'!Maxi_hp)</f>
        <v>10.237894952094093</v>
      </c>
      <c r="J353" s="85">
        <f>IF(H353,An,'2020'!An_max)</f>
        <v>2021</v>
      </c>
      <c r="K353" s="197">
        <f t="shared" si="124"/>
        <v>44535</v>
      </c>
      <c r="L353" s="147">
        <f>IF(t&lt;Tvie,1-EXP((T0-t)*PertePVj)+'2020'!Pspv,1-EXP((T0-t)*PertePVj)+Pspv)</f>
        <v>1.999721267017851E-2</v>
      </c>
      <c r="M353" s="832"/>
      <c r="N353" s="832"/>
      <c r="O353" s="48">
        <f>IF(t&lt;Tnet,'2020'!Resal+('2020'!Salim-'2020'!Resal)*(1-EXP(('2020'!Tnet-t)/('2020'!Tau_j))),Resal+(Salim-Resal)*(1-EXP((Tnet-t)/(Tau_j))))*Salcycl</f>
        <v>7.5396106188876225E-2</v>
      </c>
      <c r="P353" s="169">
        <f>(INDEX(Models!$BJ353:$BT353,,T353)*(1-R353)+INDEX(Models!$BJ353:$BT353,,T353+1)*R353-ERP_i)*Q353*Ramure*Pc/MaxiM</f>
        <v>3.3871243557764448E-3</v>
      </c>
      <c r="Q353" s="304">
        <f t="shared" si="125"/>
        <v>0.6</v>
      </c>
      <c r="R353" s="177">
        <f t="shared" si="126"/>
        <v>0.9989449151362223</v>
      </c>
      <c r="S353" s="799">
        <f t="shared" si="127"/>
        <v>-1</v>
      </c>
      <c r="T353" s="176">
        <f t="shared" si="128"/>
        <v>5</v>
      </c>
      <c r="U353" s="250">
        <f t="shared" si="129"/>
        <v>-1.0550848637776999E-3</v>
      </c>
      <c r="V353" s="382">
        <f t="shared" si="130"/>
        <v>22.905458169953185</v>
      </c>
      <c r="W353" s="400"/>
      <c r="X353" s="157">
        <f t="shared" si="131"/>
        <v>44535</v>
      </c>
      <c r="Y353" s="383">
        <f t="shared" si="132"/>
        <v>9.2720000000000002</v>
      </c>
      <c r="Z353" s="383">
        <f t="shared" si="133"/>
        <v>9.461197580124324</v>
      </c>
      <c r="AA353" s="384">
        <f t="shared" si="134"/>
        <v>10.232703586317623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7.5396106188876225E-2</v>
      </c>
      <c r="AD353" s="230">
        <f>(INDEX(Models!$BJ353:$BT353,,AH353)*(1-AF353)+INDEX(Models!$BJ353:$BT353,,AH353+1)*AF353-ERP_i)*AE353*Ramure*Pc/MaxiM</f>
        <v>3.3871243557764448E-3</v>
      </c>
      <c r="AE353" s="304">
        <f t="shared" si="136"/>
        <v>0.6</v>
      </c>
      <c r="AF353" s="177">
        <f t="shared" si="137"/>
        <v>0.9989449151362223</v>
      </c>
      <c r="AG353" s="799">
        <f t="shared" si="143"/>
        <v>-1</v>
      </c>
      <c r="AH353" s="176">
        <f t="shared" si="138"/>
        <v>5</v>
      </c>
      <c r="AI353" s="224">
        <f t="shared" si="139"/>
        <v>-1.0550848637776999E-3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11.448</v>
      </c>
      <c r="C354" s="388"/>
      <c r="D354" s="391">
        <f t="shared" si="122"/>
        <v>11.681823307570017</v>
      </c>
      <c r="E354" s="383">
        <f t="shared" si="120"/>
        <v>12.635058506309433</v>
      </c>
      <c r="F354" s="383">
        <f t="shared" si="123"/>
        <v>12.647730818114573</v>
      </c>
      <c r="G354" s="110">
        <f t="shared" si="121"/>
        <v>0.50169963633716552</v>
      </c>
      <c r="H354" s="412" t="b">
        <f>Wh_hp&gt;='2020'!Maxi_hp</f>
        <v>0</v>
      </c>
      <c r="I354" s="379">
        <f>IF(H354,Wh_hp,'2020'!Maxi_hp)</f>
        <v>18.881092862283797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2.0015994200023091E-2</v>
      </c>
      <c r="M354" s="832"/>
      <c r="N354" s="832"/>
      <c r="O354" s="48">
        <f>IF(t&lt;Tnet,'2020'!Resal+('2020'!Salim-'2020'!Resal)*(1-EXP(('2020'!Tnet-t)/('2020'!Tau_j))),Resal+(Salim-Resal)*(1-EXP((Tnet-t)/(Tau_j))))*Salcycl</f>
        <v>7.5443671136418436E-2</v>
      </c>
      <c r="P354" s="169">
        <f>(INDEX(Models!$BJ354:$BT354,,T354)*(1-R354)+INDEX(Models!$BJ354:$BT354,,T354+1)*R354-ERP_i)*Q354*Ramure*Pc/MaxiM</f>
        <v>3.456081750390408E-3</v>
      </c>
      <c r="Q354" s="304">
        <f t="shared" si="125"/>
        <v>0.6</v>
      </c>
      <c r="R354" s="177">
        <f t="shared" si="126"/>
        <v>0.99895831693074522</v>
      </c>
      <c r="S354" s="799">
        <f t="shared" si="127"/>
        <v>-1</v>
      </c>
      <c r="T354" s="176">
        <f t="shared" si="128"/>
        <v>5</v>
      </c>
      <c r="U354" s="250">
        <f t="shared" si="129"/>
        <v>-1.0416830692547285E-3</v>
      </c>
      <c r="V354" s="382">
        <f t="shared" si="130"/>
        <v>22.762378165120744</v>
      </c>
      <c r="W354" s="400"/>
      <c r="X354" s="157">
        <f t="shared" si="131"/>
        <v>44536</v>
      </c>
      <c r="Y354" s="383">
        <f t="shared" si="132"/>
        <v>11.448</v>
      </c>
      <c r="Z354" s="383">
        <f t="shared" si="133"/>
        <v>11.681823307570017</v>
      </c>
      <c r="AA354" s="384">
        <f t="shared" si="134"/>
        <v>12.635058506309433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7.5443671136418436E-2</v>
      </c>
      <c r="AD354" s="230">
        <f>(INDEX(Models!$BJ354:$BT354,,AH354)*(1-AF354)+INDEX(Models!$BJ354:$BT354,,AH354+1)*AF354-ERP_i)*AE354*Ramure*Pc/MaxiM</f>
        <v>3.456081750390408E-3</v>
      </c>
      <c r="AE354" s="304">
        <f t="shared" si="136"/>
        <v>0.6</v>
      </c>
      <c r="AF354" s="177">
        <f t="shared" si="137"/>
        <v>0.99895831693074522</v>
      </c>
      <c r="AG354" s="799">
        <f t="shared" si="143"/>
        <v>-1</v>
      </c>
      <c r="AH354" s="176">
        <f t="shared" si="138"/>
        <v>5</v>
      </c>
      <c r="AI354" s="224">
        <f t="shared" si="139"/>
        <v>-1.0416830692547285E-3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5.3449999999999998</v>
      </c>
      <c r="C355" s="388"/>
      <c r="D355" s="391">
        <f t="shared" si="122"/>
        <v>5.4542751779969203</v>
      </c>
      <c r="E355" s="383">
        <f t="shared" si="120"/>
        <v>5.8996539520724163</v>
      </c>
      <c r="F355" s="383">
        <f t="shared" si="123"/>
        <v>5.8996539520724163</v>
      </c>
      <c r="G355" s="110">
        <f t="shared" si="121"/>
        <v>0.23537398808186599</v>
      </c>
      <c r="H355" s="412" t="b">
        <f>Wh_hp&gt;='2020'!Maxi_hp</f>
        <v>0</v>
      </c>
      <c r="I355" s="379">
        <f>IF(H355,Wh_hp,'2020'!Maxi_hp)</f>
        <v>15.619266818048127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2.0034775369924041E-2</v>
      </c>
      <c r="M355" s="832"/>
      <c r="N355" s="832"/>
      <c r="O355" s="48">
        <f>IF(t&lt;Tnet,'2020'!Resal+('2020'!Salim-'2020'!Resal)*(1-EXP(('2020'!Tnet-t)/('2020'!Tau_j))),Resal+(Salim-Resal)*(1-EXP((Tnet-t)/(Tau_j))))*Salcycl</f>
        <v>7.5492355601474576E-2</v>
      </c>
      <c r="P355" s="169">
        <f>(INDEX(Models!$BJ355:$BT355,,T355)*(1-R355)+INDEX(Models!$BJ355:$BT355,,T355+1)*R355-ERP_i)*Q355*Ramure*Pc/MaxiM</f>
        <v>3.5266322021991255E-3</v>
      </c>
      <c r="Q355" s="304">
        <f t="shared" si="125"/>
        <v>0.6</v>
      </c>
      <c r="R355" s="177">
        <f t="shared" si="126"/>
        <v>0.99897117980503025</v>
      </c>
      <c r="S355" s="799">
        <f t="shared" si="127"/>
        <v>-1</v>
      </c>
      <c r="T355" s="176">
        <f t="shared" si="128"/>
        <v>5</v>
      </c>
      <c r="U355" s="250">
        <f t="shared" si="129"/>
        <v>-1.0288201949696929E-3</v>
      </c>
      <c r="V355" s="382">
        <f t="shared" si="130"/>
        <v>22.628456926288489</v>
      </c>
      <c r="W355" s="400"/>
      <c r="X355" s="157">
        <f t="shared" si="131"/>
        <v>44537</v>
      </c>
      <c r="Y355" s="383">
        <f t="shared" si="132"/>
        <v>5.3449999999999998</v>
      </c>
      <c r="Z355" s="383">
        <f t="shared" si="133"/>
        <v>5.4542751779969203</v>
      </c>
      <c r="AA355" s="384">
        <f t="shared" si="134"/>
        <v>5.8996539520724163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7.5492355601474576E-2</v>
      </c>
      <c r="AD355" s="230">
        <f>(INDEX(Models!$BJ355:$BT355,,AH355)*(1-AF355)+INDEX(Models!$BJ355:$BT355,,AH355+1)*AF355-ERP_i)*AE355*Ramure*Pc/MaxiM</f>
        <v>3.5266322021991255E-3</v>
      </c>
      <c r="AE355" s="304">
        <f t="shared" si="136"/>
        <v>0.6</v>
      </c>
      <c r="AF355" s="177">
        <f t="shared" si="137"/>
        <v>0.99897117980503025</v>
      </c>
      <c r="AG355" s="799">
        <f t="shared" si="143"/>
        <v>-1</v>
      </c>
      <c r="AH355" s="176">
        <f t="shared" si="138"/>
        <v>5</v>
      </c>
      <c r="AI355" s="224">
        <f t="shared" si="139"/>
        <v>-1.0288201949696929E-3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9.3930000000000007</v>
      </c>
      <c r="C356" s="388"/>
      <c r="D356" s="391">
        <f t="shared" si="122"/>
        <v>9.5852177016770383</v>
      </c>
      <c r="E356" s="383">
        <f t="shared" si="120"/>
        <v>10.368474317756341</v>
      </c>
      <c r="F356" s="383">
        <f t="shared" si="123"/>
        <v>10.374735219036834</v>
      </c>
      <c r="G356" s="110">
        <f t="shared" si="121"/>
        <v>0.41613618787503243</v>
      </c>
      <c r="H356" s="412" t="b">
        <f>Wh_hp&gt;='2020'!Maxi_hp</f>
        <v>0</v>
      </c>
      <c r="I356" s="379">
        <f>IF(H356,Wh_hp,'2020'!Maxi_hp)</f>
        <v>17.076709643331426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2.0053556179888021E-2</v>
      </c>
      <c r="M356" s="832"/>
      <c r="N356" s="832"/>
      <c r="O356" s="48">
        <f>IF(t&lt;Tnet,'2020'!Resal+('2020'!Salim-'2020'!Resal)*(1-EXP(('2020'!Tnet-t)/('2020'!Tau_j))),Resal+(Salim-Resal)*(1-EXP((Tnet-t)/(Tau_j))))*Salcycl</f>
        <v>7.5542128193147137E-2</v>
      </c>
      <c r="P356" s="169">
        <f>(INDEX(Models!$BJ356:$BT356,,T356)*(1-R356)+INDEX(Models!$BJ356:$BT356,,T356+1)*R356-ERP_i)*Q356*Ramure*Pc/MaxiM</f>
        <v>3.598633054072535E-3</v>
      </c>
      <c r="Q356" s="304">
        <f t="shared" si="125"/>
        <v>0.6</v>
      </c>
      <c r="R356" s="177">
        <f t="shared" si="126"/>
        <v>0.99898352540436441</v>
      </c>
      <c r="S356" s="799">
        <f t="shared" si="127"/>
        <v>-1</v>
      </c>
      <c r="T356" s="176">
        <f t="shared" si="128"/>
        <v>5</v>
      </c>
      <c r="U356" s="250">
        <f t="shared" si="129"/>
        <v>-1.0164745956356414E-3</v>
      </c>
      <c r="V356" s="382">
        <f t="shared" si="130"/>
        <v>22.504290115374378</v>
      </c>
      <c r="W356" s="400"/>
      <c r="X356" s="157">
        <f t="shared" si="131"/>
        <v>44538</v>
      </c>
      <c r="Y356" s="383">
        <f t="shared" si="132"/>
        <v>9.3930000000000007</v>
      </c>
      <c r="Z356" s="383">
        <f t="shared" si="133"/>
        <v>9.5852177016770383</v>
      </c>
      <c r="AA356" s="384">
        <f t="shared" si="134"/>
        <v>10.368474317756341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7.5542128193147137E-2</v>
      </c>
      <c r="AD356" s="230">
        <f>(INDEX(Models!$BJ356:$BT356,,AH356)*(1-AF356)+INDEX(Models!$BJ356:$BT356,,AH356+1)*AF356-ERP_i)*AE356*Ramure*Pc/MaxiM</f>
        <v>3.598633054072535E-3</v>
      </c>
      <c r="AE356" s="304">
        <f t="shared" si="136"/>
        <v>0.6</v>
      </c>
      <c r="AF356" s="177">
        <f t="shared" si="137"/>
        <v>0.99898352540436441</v>
      </c>
      <c r="AG356" s="799">
        <f t="shared" si="143"/>
        <v>-1</v>
      </c>
      <c r="AH356" s="176">
        <f t="shared" si="138"/>
        <v>5</v>
      </c>
      <c r="AI356" s="224">
        <f t="shared" si="139"/>
        <v>-1.0164745956356414E-3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7.7720000000000002</v>
      </c>
      <c r="C357" s="388"/>
      <c r="D357" s="391">
        <f t="shared" si="122"/>
        <v>7.9311976695006718</v>
      </c>
      <c r="E357" s="383">
        <f t="shared" si="120"/>
        <v>8.5797676575419626</v>
      </c>
      <c r="F357" s="383">
        <f t="shared" si="123"/>
        <v>8.5818885052160496</v>
      </c>
      <c r="G357" s="110">
        <f t="shared" si="121"/>
        <v>0.34592283217900027</v>
      </c>
      <c r="H357" s="412" t="b">
        <f>Wh_hp&gt;='2020'!Maxi_hp</f>
        <v>0</v>
      </c>
      <c r="I357" s="379">
        <f>IF(H357,Wh_hp,'2020'!Maxi_hp)</f>
        <v>11.827516861952027</v>
      </c>
      <c r="J357" s="85">
        <f>IF(H357,An,'2020'!An_max)</f>
        <v>2018</v>
      </c>
      <c r="K357" s="197">
        <f t="shared" si="124"/>
        <v>44539</v>
      </c>
      <c r="L357" s="147">
        <f>IF(t&lt;Tvie,1-EXP((T0-t)*PertePVj)+'2020'!Pspv,1-EXP((T0-t)*PertePVj)+Pspv)</f>
        <v>2.0072336629922138E-2</v>
      </c>
      <c r="M357" s="832"/>
      <c r="N357" s="832"/>
      <c r="O357" s="48">
        <f>IF(t&lt;Tnet,'2020'!Resal+('2020'!Salim-'2020'!Resal)*(1-EXP(('2020'!Tnet-t)/('2020'!Tau_j))),Resal+(Salim-Resal)*(1-EXP((Tnet-t)/(Tau_j))))*Salcycl</f>
        <v>7.5592954719603825E-2</v>
      </c>
      <c r="P357" s="169">
        <f>(INDEX(Models!$BJ357:$BT357,,T357)*(1-R357)+INDEX(Models!$BJ357:$BT357,,T357+1)*R357-ERP_i)*Q357*Ramure*Pc/MaxiM</f>
        <v>3.6719258920584843E-3</v>
      </c>
      <c r="Q357" s="304">
        <f t="shared" si="125"/>
        <v>0.6</v>
      </c>
      <c r="R357" s="177">
        <f t="shared" si="126"/>
        <v>0.99899537450672438</v>
      </c>
      <c r="S357" s="799">
        <f t="shared" si="127"/>
        <v>-1</v>
      </c>
      <c r="T357" s="176">
        <f t="shared" si="128"/>
        <v>5</v>
      </c>
      <c r="U357" s="250">
        <f t="shared" si="129"/>
        <v>-1.0046254932755683E-3</v>
      </c>
      <c r="V357" s="382">
        <f t="shared" si="130"/>
        <v>22.390473224771604</v>
      </c>
      <c r="W357" s="400"/>
      <c r="X357" s="157">
        <f t="shared" si="131"/>
        <v>44539</v>
      </c>
      <c r="Y357" s="383">
        <f t="shared" si="132"/>
        <v>7.7720000000000002</v>
      </c>
      <c r="Z357" s="383">
        <f t="shared" si="133"/>
        <v>7.9311976695006718</v>
      </c>
      <c r="AA357" s="384">
        <f t="shared" si="134"/>
        <v>8.5797676575419626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7.5592954719603825E-2</v>
      </c>
      <c r="AD357" s="230">
        <f>(INDEX(Models!$BJ357:$BT357,,AH357)*(1-AF357)+INDEX(Models!$BJ357:$BT357,,AH357+1)*AF357-ERP_i)*AE357*Ramure*Pc/MaxiM</f>
        <v>3.6719258920584843E-3</v>
      </c>
      <c r="AE357" s="304">
        <f t="shared" si="136"/>
        <v>0.6</v>
      </c>
      <c r="AF357" s="177">
        <f t="shared" si="137"/>
        <v>0.99899537450672438</v>
      </c>
      <c r="AG357" s="799">
        <f t="shared" si="143"/>
        <v>-1</v>
      </c>
      <c r="AH357" s="176">
        <f t="shared" si="138"/>
        <v>5</v>
      </c>
      <c r="AI357" s="224">
        <f t="shared" si="139"/>
        <v>-1.0046254932755683E-3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2.032</v>
      </c>
      <c r="C358" s="388"/>
      <c r="D358" s="391">
        <f t="shared" si="122"/>
        <v>2.0736621890786995</v>
      </c>
      <c r="E358" s="383">
        <f t="shared" si="120"/>
        <v>2.2433607618118692</v>
      </c>
      <c r="F358" s="383">
        <f t="shared" si="123"/>
        <v>2.2433607618118692</v>
      </c>
      <c r="G358" s="110">
        <f t="shared" si="121"/>
        <v>9.0830206074091549E-2</v>
      </c>
      <c r="H358" s="412" t="b">
        <f>Wh_hp&gt;='2020'!Maxi_hp</f>
        <v>0</v>
      </c>
      <c r="I358" s="379">
        <f>IF(H358,Wh_hp,'2020'!Maxi_hp)</f>
        <v>21.581579026303849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2.0091116720033164E-2</v>
      </c>
      <c r="M358" s="832"/>
      <c r="N358" s="832"/>
      <c r="O358" s="48">
        <f>IF(t&lt;Tnet,'2020'!Resal+('2020'!Salim-'2020'!Resal)*(1-EXP(('2020'!Tnet-t)/('2020'!Tau_j))),Resal+(Salim-Resal)*(1-EXP((Tnet-t)/(Tau_j))))*Salcycl</f>
        <v>7.5644798474638272E-2</v>
      </c>
      <c r="P358" s="169">
        <f>(INDEX(Models!$BJ358:$BT358,,T358)*(1-R358)+INDEX(Models!$BJ358:$BT358,,T358+1)*R358-ERP_i)*Q358*Ramure*Pc/MaxiM</f>
        <v>3.746336391432333E-3</v>
      </c>
      <c r="Q358" s="304">
        <f t="shared" si="125"/>
        <v>0.6</v>
      </c>
      <c r="R358" s="177">
        <f t="shared" si="126"/>
        <v>0.99900674705736892</v>
      </c>
      <c r="S358" s="799">
        <f t="shared" si="127"/>
        <v>-1</v>
      </c>
      <c r="T358" s="176">
        <f t="shared" si="128"/>
        <v>5</v>
      </c>
      <c r="U358" s="250">
        <f t="shared" si="129"/>
        <v>-9.9325294263102881E-4</v>
      </c>
      <c r="V358" s="382">
        <f t="shared" si="130"/>
        <v>22.28760158048399</v>
      </c>
      <c r="W358" s="400"/>
      <c r="X358" s="157">
        <f t="shared" si="131"/>
        <v>44540</v>
      </c>
      <c r="Y358" s="383">
        <f t="shared" si="132"/>
        <v>2.032</v>
      </c>
      <c r="Z358" s="383">
        <f t="shared" si="133"/>
        <v>2.0736621890786995</v>
      </c>
      <c r="AA358" s="384">
        <f t="shared" si="134"/>
        <v>2.2433607618118692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7.5644798474638272E-2</v>
      </c>
      <c r="AD358" s="230">
        <f>(INDEX(Models!$BJ358:$BT358,,AH358)*(1-AF358)+INDEX(Models!$BJ358:$BT358,,AH358+1)*AF358-ERP_i)*AE358*Ramure*Pc/MaxiM</f>
        <v>3.746336391432333E-3</v>
      </c>
      <c r="AE358" s="304">
        <f t="shared" si="136"/>
        <v>0.6</v>
      </c>
      <c r="AF358" s="177">
        <f t="shared" si="137"/>
        <v>0.99900674705736892</v>
      </c>
      <c r="AG358" s="799">
        <f t="shared" si="143"/>
        <v>-1</v>
      </c>
      <c r="AH358" s="176">
        <f t="shared" si="138"/>
        <v>5</v>
      </c>
      <c r="AI358" s="224">
        <f t="shared" si="139"/>
        <v>-9.9325294263102881E-4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12.394</v>
      </c>
      <c r="C359" s="388"/>
      <c r="D359" s="391">
        <f t="shared" si="122"/>
        <v>12.648357152604376</v>
      </c>
      <c r="E359" s="383">
        <f t="shared" si="120"/>
        <v>13.684220049185125</v>
      </c>
      <c r="F359" s="383">
        <f t="shared" si="123"/>
        <v>13.703557835359431</v>
      </c>
      <c r="G359" s="110">
        <f t="shared" si="121"/>
        <v>0.55709708025384252</v>
      </c>
      <c r="H359" s="412" t="b">
        <f>Wh_hp&gt;='2020'!Maxi_hp</f>
        <v>1</v>
      </c>
      <c r="I359" s="379">
        <f>IF(H359,Wh_hp,'2020'!Maxi_hp)</f>
        <v>13.703557835359431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2.0109896450228093E-2</v>
      </c>
      <c r="M359" s="832"/>
      <c r="N359" s="832"/>
      <c r="O359" s="48">
        <f>IF(t&lt;Tnet,'2020'!Resal+('2020'!Salim-'2020'!Resal)*(1-EXP(('2020'!Tnet-t)/('2020'!Tau_j))),Resal+(Salim-Resal)*(1-EXP((Tnet-t)/(Tau_j))))*Salcycl</f>
        <v>7.5697620533545368E-2</v>
      </c>
      <c r="P359" s="169">
        <f>(INDEX(Models!$BJ359:$BT359,,T359)*(1-R359)+INDEX(Models!$BJ359:$BT359,,T359+1)*R359-ERP_i)*Q359*Ramure*Pc/MaxiM</f>
        <v>3.822105769827755E-3</v>
      </c>
      <c r="Q359" s="304">
        <f t="shared" si="125"/>
        <v>0.6</v>
      </c>
      <c r="R359" s="177">
        <f t="shared" si="126"/>
        <v>0.99901766220206034</v>
      </c>
      <c r="S359" s="799">
        <f t="shared" si="127"/>
        <v>-1</v>
      </c>
      <c r="T359" s="176">
        <f t="shared" si="128"/>
        <v>5</v>
      </c>
      <c r="U359" s="250">
        <f t="shared" si="129"/>
        <v>-9.823377979397141E-4</v>
      </c>
      <c r="V359" s="382">
        <f t="shared" si="130"/>
        <v>22.193755514510762</v>
      </c>
      <c r="W359" s="400"/>
      <c r="X359" s="157">
        <f t="shared" si="131"/>
        <v>44541</v>
      </c>
      <c r="Y359" s="383">
        <f t="shared" si="132"/>
        <v>12.394</v>
      </c>
      <c r="Z359" s="383">
        <f t="shared" si="133"/>
        <v>12.648357152604376</v>
      </c>
      <c r="AA359" s="384">
        <f t="shared" si="134"/>
        <v>13.684220049185125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7.5697620533545368E-2</v>
      </c>
      <c r="AD359" s="230">
        <f>(INDEX(Models!$BJ359:$BT359,,AH359)*(1-AF359)+INDEX(Models!$BJ359:$BT359,,AH359+1)*AF359-ERP_i)*AE359*Ramure*Pc/MaxiM</f>
        <v>3.822105769827755E-3</v>
      </c>
      <c r="AE359" s="304">
        <f t="shared" si="136"/>
        <v>0.6</v>
      </c>
      <c r="AF359" s="177">
        <f t="shared" si="137"/>
        <v>0.99901766220206034</v>
      </c>
      <c r="AG359" s="799">
        <f t="shared" si="143"/>
        <v>-1</v>
      </c>
      <c r="AH359" s="176">
        <f t="shared" si="138"/>
        <v>5</v>
      </c>
      <c r="AI359" s="224">
        <f t="shared" si="139"/>
        <v>-9.823377979397141E-4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21.565999999999999</v>
      </c>
      <c r="C360" s="388"/>
      <c r="D360" s="391">
        <f t="shared" si="122"/>
        <v>22.009012273176477</v>
      </c>
      <c r="E360" s="383">
        <f t="shared" si="120"/>
        <v>23.81287004194613</v>
      </c>
      <c r="F360" s="383">
        <f t="shared" si="123"/>
        <v>23.902821263615333</v>
      </c>
      <c r="G360" s="110">
        <f t="shared" si="121"/>
        <v>0.97539758339048688</v>
      </c>
      <c r="H360" s="412" t="b">
        <f>Wh_hp&gt;='2020'!Maxi_hp</f>
        <v>1</v>
      </c>
      <c r="I360" s="379">
        <f>IF(H360,Wh_hp,'2020'!Maxi_hp)</f>
        <v>23.902821263615333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2.0128675820513808E-2</v>
      </c>
      <c r="M360" s="832"/>
      <c r="N360" s="832"/>
      <c r="O360" s="48">
        <f>IF(t&lt;Tnet,'2020'!Resal+('2020'!Salim-'2020'!Resal)*(1-EXP(('2020'!Tnet-t)/('2020'!Tau_j))),Resal+(Salim-Resal)*(1-EXP((Tnet-t)/(Tau_j))))*Salcycl</f>
        <v>7.5751380055918277E-2</v>
      </c>
      <c r="P360" s="169">
        <f>(INDEX(Models!$BJ360:$BT360,,T360)*(1-R360)+INDEX(Models!$BJ360:$BT360,,T360+1)*R360-ERP_i)*Q360*Ramure*Pc/MaxiM</f>
        <v>3.8995152203264746E-3</v>
      </c>
      <c r="Q360" s="304">
        <f t="shared" si="125"/>
        <v>0.6</v>
      </c>
      <c r="R360" s="177">
        <f t="shared" si="126"/>
        <v>0.99902813831897497</v>
      </c>
      <c r="S360" s="799">
        <f t="shared" si="127"/>
        <v>-1</v>
      </c>
      <c r="T360" s="176">
        <f t="shared" si="128"/>
        <v>5</v>
      </c>
      <c r="U360" s="250">
        <f t="shared" si="129"/>
        <v>-9.7186168102497694E-4</v>
      </c>
      <c r="V360" s="382">
        <f t="shared" si="130"/>
        <v>22.106933215035731</v>
      </c>
      <c r="W360" s="400"/>
      <c r="X360" s="157">
        <f t="shared" si="131"/>
        <v>44542</v>
      </c>
      <c r="Y360" s="383">
        <f t="shared" si="132"/>
        <v>21.565999999999999</v>
      </c>
      <c r="Z360" s="383">
        <f t="shared" si="133"/>
        <v>22.009012273176477</v>
      </c>
      <c r="AA360" s="384">
        <f t="shared" si="134"/>
        <v>23.81287004194613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7.5751380055918277E-2</v>
      </c>
      <c r="AD360" s="230">
        <f>(INDEX(Models!$BJ360:$BT360,,AH360)*(1-AF360)+INDEX(Models!$BJ360:$BT360,,AH360+1)*AF360-ERP_i)*AE360*Ramure*Pc/MaxiM</f>
        <v>3.8995152203264746E-3</v>
      </c>
      <c r="AE360" s="304">
        <f t="shared" si="136"/>
        <v>0.6</v>
      </c>
      <c r="AF360" s="177">
        <f t="shared" si="137"/>
        <v>0.99902813831897497</v>
      </c>
      <c r="AG360" s="799">
        <f t="shared" si="143"/>
        <v>-1</v>
      </c>
      <c r="AH360" s="176">
        <f t="shared" si="138"/>
        <v>5</v>
      </c>
      <c r="AI360" s="224">
        <f t="shared" si="139"/>
        <v>-9.7186168102497694E-4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22.576000000000001</v>
      </c>
      <c r="C361" s="388"/>
      <c r="D361" s="391">
        <f t="shared" si="122"/>
        <v>23.040201417350847</v>
      </c>
      <c r="E361" s="383">
        <f t="shared" ref="E361:E379" si="144">Wh_pvt/(1-Psa)</f>
        <v>24.930049621350847</v>
      </c>
      <c r="F361" s="383">
        <f t="shared" si="123"/>
        <v>25.0294040728553</v>
      </c>
      <c r="G361" s="110">
        <f t="shared" ref="G361:G379" si="145">+Wh_hp/MaxiM</f>
        <v>1.0248865565445491</v>
      </c>
      <c r="H361" s="412" t="b">
        <f>Wh_hp&gt;='2020'!Maxi_hp</f>
        <v>1</v>
      </c>
      <c r="I361" s="379">
        <f>IF(H361,Wh_hp,'2020'!Maxi_hp)</f>
        <v>25.0294040728553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2.0147454830897082E-2</v>
      </c>
      <c r="M361" s="832"/>
      <c r="N361" s="832"/>
      <c r="O361" s="48">
        <f>IF(t&lt;Tnet,'2020'!Resal+('2020'!Salim-'2020'!Resal)*(1-EXP(('2020'!Tnet-t)/('2020'!Tau_j))),Resal+(Salim-Resal)*(1-EXP((Tnet-t)/(Tau_j))))*Salcycl</f>
        <v>7.5806034592946631E-2</v>
      </c>
      <c r="P361" s="169">
        <f>(INDEX(Models!$BJ361:$BT361,,T361)*(1-R361)+INDEX(Models!$BJ361:$BT361,,T361+1)*R361-ERP_i)*Q361*Ramure*Pc/MaxiM</f>
        <v>3.969509270586479E-3</v>
      </c>
      <c r="Q361" s="304">
        <f t="shared" si="125"/>
        <v>0.6</v>
      </c>
      <c r="R361" s="177">
        <f t="shared" si="126"/>
        <v>0.99903819304935093</v>
      </c>
      <c r="S361" s="799">
        <f t="shared" si="127"/>
        <v>-1</v>
      </c>
      <c r="T361" s="176">
        <f t="shared" si="128"/>
        <v>5</v>
      </c>
      <c r="U361" s="250">
        <f t="shared" si="129"/>
        <v>-9.6180695064906896E-4</v>
      </c>
      <c r="V361" s="382">
        <f t="shared" si="130"/>
        <v>22.027803814810486</v>
      </c>
      <c r="W361" s="400"/>
      <c r="X361" s="157">
        <f t="shared" si="131"/>
        <v>44543</v>
      </c>
      <c r="Y361" s="383">
        <f t="shared" si="132"/>
        <v>22.576000000000001</v>
      </c>
      <c r="Z361" s="383">
        <f t="shared" si="133"/>
        <v>23.040201417350847</v>
      </c>
      <c r="AA361" s="384">
        <f t="shared" si="134"/>
        <v>24.930049621350847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7.5806034592946631E-2</v>
      </c>
      <c r="AD361" s="230">
        <f>(INDEX(Models!$BJ361:$BT361,,AH361)*(1-AF361)+INDEX(Models!$BJ361:$BT361,,AH361+1)*AF361-ERP_i)*AE361*Ramure*Pc/MaxiM</f>
        <v>3.969509270586479E-3</v>
      </c>
      <c r="AE361" s="304">
        <f t="shared" si="136"/>
        <v>0.6</v>
      </c>
      <c r="AF361" s="177">
        <f t="shared" si="137"/>
        <v>0.99903819304935093</v>
      </c>
      <c r="AG361" s="799">
        <f t="shared" si="143"/>
        <v>-1</v>
      </c>
      <c r="AH361" s="176">
        <f t="shared" si="138"/>
        <v>5</v>
      </c>
      <c r="AI361" s="224">
        <f t="shared" si="139"/>
        <v>-9.6180695064906896E-4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22.266000000000002</v>
      </c>
      <c r="C362" s="388"/>
      <c r="D362" s="391">
        <f t="shared" si="122"/>
        <v>22.724262789097288</v>
      </c>
      <c r="E362" s="383">
        <f t="shared" si="144"/>
        <v>24.589673282133749</v>
      </c>
      <c r="F362" s="383">
        <f t="shared" si="123"/>
        <v>24.68921870882129</v>
      </c>
      <c r="G362" s="110">
        <f t="shared" si="145"/>
        <v>1.0140804818120215</v>
      </c>
      <c r="H362" s="412" t="b">
        <f>Wh_hp&gt;='2020'!Maxi_hp</f>
        <v>1</v>
      </c>
      <c r="I362" s="379">
        <f>IF(H362,Wh_hp,'2020'!Maxi_hp)</f>
        <v>24.68921870882129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2.0166233481385021E-2</v>
      </c>
      <c r="M362" s="832"/>
      <c r="N362" s="832"/>
      <c r="O362" s="48">
        <f>IF(t&lt;Tnet,'2020'!Resal+('2020'!Salim-'2020'!Resal)*(1-EXP(('2020'!Tnet-t)/('2020'!Tau_j))),Resal+(Salim-Resal)*(1-EXP((Tnet-t)/(Tau_j))))*Salcycl</f>
        <v>7.5861540396790175E-2</v>
      </c>
      <c r="P362" s="169">
        <f>(INDEX(Models!$BJ362:$BT362,,T362)*(1-R362)+INDEX(Models!$BJ362:$BT362,,T362+1)*R362-ERP_i)*Q362*Ramure*Pc/MaxiM</f>
        <v>4.0319391172947572E-3</v>
      </c>
      <c r="Q362" s="304">
        <f t="shared" si="125"/>
        <v>0.6</v>
      </c>
      <c r="R362" s="177">
        <f t="shared" si="126"/>
        <v>0.99904784332692032</v>
      </c>
      <c r="S362" s="799">
        <f t="shared" si="127"/>
        <v>-1</v>
      </c>
      <c r="T362" s="176">
        <f t="shared" si="128"/>
        <v>5</v>
      </c>
      <c r="U362" s="250">
        <f t="shared" si="129"/>
        <v>-9.5215667307974039E-4</v>
      </c>
      <c r="V362" s="382">
        <f t="shared" si="130"/>
        <v>21.956837153806315</v>
      </c>
      <c r="W362" s="400"/>
      <c r="X362" s="157">
        <f t="shared" si="131"/>
        <v>44544</v>
      </c>
      <c r="Y362" s="383">
        <f t="shared" si="132"/>
        <v>22.266000000000002</v>
      </c>
      <c r="Z362" s="383">
        <f t="shared" si="133"/>
        <v>22.724262789097288</v>
      </c>
      <c r="AA362" s="384">
        <f t="shared" si="134"/>
        <v>24.589673282133749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7.5861540396790175E-2</v>
      </c>
      <c r="AD362" s="230">
        <f>(INDEX(Models!$BJ362:$BT362,,AH362)*(1-AF362)+INDEX(Models!$BJ362:$BT362,,AH362+1)*AF362-ERP_i)*AE362*Ramure*Pc/MaxiM</f>
        <v>4.0319391172947572E-3</v>
      </c>
      <c r="AE362" s="304">
        <f t="shared" si="136"/>
        <v>0.6</v>
      </c>
      <c r="AF362" s="177">
        <f t="shared" si="137"/>
        <v>0.99904784332692032</v>
      </c>
      <c r="AG362" s="799">
        <f t="shared" si="143"/>
        <v>-1</v>
      </c>
      <c r="AH362" s="176">
        <f t="shared" si="138"/>
        <v>5</v>
      </c>
      <c r="AI362" s="224">
        <f t="shared" si="139"/>
        <v>-9.5215667307974039E-4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21.088000000000001</v>
      </c>
      <c r="C363" s="388"/>
      <c r="D363" s="391">
        <f t="shared" si="122"/>
        <v>21.522430513272113</v>
      </c>
      <c r="E363" s="383">
        <f t="shared" si="144"/>
        <v>23.290603088531181</v>
      </c>
      <c r="F363" s="383">
        <f t="shared" si="123"/>
        <v>23.381125458789235</v>
      </c>
      <c r="G363" s="110">
        <f t="shared" si="145"/>
        <v>0.9629561900780349</v>
      </c>
      <c r="H363" s="412" t="b">
        <f>Wh_hp&gt;='2020'!Maxi_hp</f>
        <v>0</v>
      </c>
      <c r="I363" s="379">
        <f>IF(H363,Wh_hp,'2020'!Maxi_hp)</f>
        <v>24.850474320764231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2.0185011771984285E-2</v>
      </c>
      <c r="M363" s="832"/>
      <c r="N363" s="832"/>
      <c r="O363" s="48">
        <f>IF(t&lt;Tnet,'2020'!Resal+('2020'!Salim-'2020'!Resal)*(1-EXP(('2020'!Tnet-t)/('2020'!Tau_j))),Resal+(Salim-Resal)*(1-EXP((Tnet-t)/(Tau_j))))*Salcycl</f>
        <v>7.5917852729616819E-2</v>
      </c>
      <c r="P363" s="169">
        <f>(INDEX(Models!$BJ363:$BT363,,T363)*(1-R363)+INDEX(Models!$BJ363:$BT363,,T363+1)*R363-ERP_i)*Q363*Ramure*Pc/MaxiM</f>
        <v>4.0866507239315482E-3</v>
      </c>
      <c r="Q363" s="304">
        <f t="shared" si="125"/>
        <v>0.6</v>
      </c>
      <c r="R363" s="177">
        <f t="shared" si="126"/>
        <v>0.99905710540617676</v>
      </c>
      <c r="S363" s="799">
        <f t="shared" si="127"/>
        <v>-1</v>
      </c>
      <c r="T363" s="176">
        <f t="shared" si="128"/>
        <v>5</v>
      </c>
      <c r="U363" s="250">
        <f t="shared" si="129"/>
        <v>-9.4289459382324026E-4</v>
      </c>
      <c r="V363" s="382">
        <f t="shared" si="130"/>
        <v>21.894503203913342</v>
      </c>
      <c r="W363" s="400"/>
      <c r="X363" s="157">
        <f t="shared" si="131"/>
        <v>44545</v>
      </c>
      <c r="Y363" s="383">
        <f t="shared" si="132"/>
        <v>21.088000000000001</v>
      </c>
      <c r="Z363" s="383">
        <f t="shared" si="133"/>
        <v>21.522430513272113</v>
      </c>
      <c r="AA363" s="384">
        <f t="shared" si="134"/>
        <v>23.290603088531181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7.5917852729616819E-2</v>
      </c>
      <c r="AD363" s="230">
        <f>(INDEX(Models!$BJ363:$BT363,,AH363)*(1-AF363)+INDEX(Models!$BJ363:$BT363,,AH363+1)*AF363-ERP_i)*AE363*Ramure*Pc/MaxiM</f>
        <v>4.0866507239315482E-3</v>
      </c>
      <c r="AE363" s="304">
        <f t="shared" si="136"/>
        <v>0.6</v>
      </c>
      <c r="AF363" s="177">
        <f t="shared" si="137"/>
        <v>0.99905710540617676</v>
      </c>
      <c r="AG363" s="799">
        <f t="shared" si="143"/>
        <v>-1</v>
      </c>
      <c r="AH363" s="176">
        <f t="shared" si="138"/>
        <v>5</v>
      </c>
      <c r="AI363" s="224">
        <f t="shared" si="139"/>
        <v>-9.4289459382324026E-4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22.080000000000002</v>
      </c>
      <c r="C364" s="388"/>
      <c r="D364" s="391">
        <f t="shared" si="122"/>
        <v>22.535298430374926</v>
      </c>
      <c r="E364" s="383">
        <f t="shared" si="144"/>
        <v>24.388189312835944</v>
      </c>
      <c r="F364" s="383">
        <f t="shared" si="123"/>
        <v>24.489416018785828</v>
      </c>
      <c r="G364" s="110">
        <f t="shared" si="145"/>
        <v>1.0109301306952165</v>
      </c>
      <c r="H364" s="412" t="b">
        <f>Wh_hp&gt;='2020'!Maxi_hp</f>
        <v>1</v>
      </c>
      <c r="I364" s="379">
        <f>IF(H364,Wh_hp,'2020'!Maxi_hp)</f>
        <v>24.489416018785828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2.020378970270198E-2</v>
      </c>
      <c r="M364" s="832"/>
      <c r="N364" s="832"/>
      <c r="O364" s="48">
        <f>IF(t&lt;Tnet,'2020'!Resal+('2020'!Salim-'2020'!Resal)*(1-EXP(('2020'!Tnet-t)/('2020'!Tau_j))),Resal+(Salim-Resal)*(1-EXP((Tnet-t)/(Tau_j))))*Salcycl</f>
        <v>7.5974926169931248E-2</v>
      </c>
      <c r="P364" s="169">
        <f>(INDEX(Models!$BJ364:$BT364,,T364)*(1-R364)+INDEX(Models!$BJ364:$BT364,,T364+1)*R364-ERP_i)*Q364*Ramure*Pc/MaxiM</f>
        <v>4.1334879472925117E-3</v>
      </c>
      <c r="Q364" s="304">
        <f t="shared" si="125"/>
        <v>0.6</v>
      </c>
      <c r="R364" s="177">
        <f t="shared" si="126"/>
        <v>0.99906599488952197</v>
      </c>
      <c r="S364" s="799">
        <f t="shared" si="127"/>
        <v>-1</v>
      </c>
      <c r="T364" s="176">
        <f t="shared" si="128"/>
        <v>5</v>
      </c>
      <c r="U364" s="250">
        <f t="shared" si="129"/>
        <v>-9.3400511047803114E-4</v>
      </c>
      <c r="V364" s="382">
        <f t="shared" si="130"/>
        <v>21.841272042030823</v>
      </c>
      <c r="W364" s="400"/>
      <c r="X364" s="157">
        <f t="shared" si="131"/>
        <v>44546</v>
      </c>
      <c r="Y364" s="383">
        <f t="shared" si="132"/>
        <v>22.080000000000002</v>
      </c>
      <c r="Z364" s="383">
        <f t="shared" si="133"/>
        <v>22.535298430374926</v>
      </c>
      <c r="AA364" s="384">
        <f t="shared" si="134"/>
        <v>24.388189312835944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7.5974926169931248E-2</v>
      </c>
      <c r="AD364" s="230">
        <f>(INDEX(Models!$BJ364:$BT364,,AH364)*(1-AF364)+INDEX(Models!$BJ364:$BT364,,AH364+1)*AF364-ERP_i)*AE364*Ramure*Pc/MaxiM</f>
        <v>4.1334879472925117E-3</v>
      </c>
      <c r="AE364" s="304">
        <f t="shared" si="136"/>
        <v>0.6</v>
      </c>
      <c r="AF364" s="177">
        <f t="shared" si="137"/>
        <v>0.99906599488952197</v>
      </c>
      <c r="AG364" s="799">
        <f t="shared" si="143"/>
        <v>-1</v>
      </c>
      <c r="AH364" s="176">
        <f t="shared" si="138"/>
        <v>5</v>
      </c>
      <c r="AI364" s="224">
        <f t="shared" si="139"/>
        <v>-9.3400511047803114E-4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22.533999999999999</v>
      </c>
      <c r="C365" s="388"/>
      <c r="D365" s="391">
        <f t="shared" si="122"/>
        <v>22.99910086446264</v>
      </c>
      <c r="E365" s="383">
        <f t="shared" si="144"/>
        <v>24.8916831100994</v>
      </c>
      <c r="F365" s="383">
        <f t="shared" si="123"/>
        <v>24.995973707121568</v>
      </c>
      <c r="G365" s="110">
        <f t="shared" si="145"/>
        <v>1.033782881203811</v>
      </c>
      <c r="H365" s="412" t="b">
        <f>Wh_hp&gt;='2020'!Maxi_hp</f>
        <v>1</v>
      </c>
      <c r="I365" s="379">
        <f>IF(H365,Wh_hp,'2020'!Maxi_hp)</f>
        <v>24.995973707121568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2.0222567273544878E-2</v>
      </c>
      <c r="M365" s="832"/>
      <c r="N365" s="832"/>
      <c r="O365" s="48">
        <f>IF(t&lt;Tnet,'2020'!Resal+('2020'!Salim-'2020'!Resal)*(1-EXP(('2020'!Tnet-t)/('2020'!Tau_j))),Resal+(Salim-Resal)*(1-EXP((Tnet-t)/(Tau_j))))*Salcycl</f>
        <v>7.6032714913877184E-2</v>
      </c>
      <c r="P365" s="169">
        <f>(INDEX(Models!$BJ365:$BT365,,T365)*(1-R365)+INDEX(Models!$BJ365:$BT365,,T365+1)*R365-ERP_i)*Q365*Ramure*Pc/MaxiM</f>
        <v>4.1722958362871813E-3</v>
      </c>
      <c r="Q365" s="304">
        <f t="shared" si="125"/>
        <v>0.6</v>
      </c>
      <c r="R365" s="177">
        <f t="shared" si="126"/>
        <v>0.99907452675333441</v>
      </c>
      <c r="S365" s="799">
        <f t="shared" si="127"/>
        <v>-1</v>
      </c>
      <c r="T365" s="176">
        <f t="shared" si="128"/>
        <v>5</v>
      </c>
      <c r="U365" s="250">
        <f t="shared" si="129"/>
        <v>-9.2547324666558684E-4</v>
      </c>
      <c r="V365" s="382">
        <f t="shared" si="130"/>
        <v>21.797613802387396</v>
      </c>
      <c r="W365" s="400"/>
      <c r="X365" s="157">
        <f t="shared" si="131"/>
        <v>44547</v>
      </c>
      <c r="Y365" s="383">
        <f t="shared" si="132"/>
        <v>22.533999999999999</v>
      </c>
      <c r="Z365" s="383">
        <f t="shared" si="133"/>
        <v>22.99910086446264</v>
      </c>
      <c r="AA365" s="384">
        <f t="shared" si="134"/>
        <v>24.8916831100994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7.6032714913877184E-2</v>
      </c>
      <c r="AD365" s="230">
        <f>(INDEX(Models!$BJ365:$BT365,,AH365)*(1-AF365)+INDEX(Models!$BJ365:$BT365,,AH365+1)*AF365-ERP_i)*AE365*Ramure*Pc/MaxiM</f>
        <v>4.1722958362871813E-3</v>
      </c>
      <c r="AE365" s="304">
        <f t="shared" si="136"/>
        <v>0.6</v>
      </c>
      <c r="AF365" s="177">
        <f t="shared" si="137"/>
        <v>0.99907452675333441</v>
      </c>
      <c r="AG365" s="799">
        <f t="shared" si="143"/>
        <v>-1</v>
      </c>
      <c r="AH365" s="176">
        <f t="shared" si="138"/>
        <v>5</v>
      </c>
      <c r="AI365" s="224">
        <f t="shared" si="139"/>
        <v>-9.2547324666558684E-4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22.681000000000001</v>
      </c>
      <c r="C366" s="388"/>
      <c r="D366" s="391">
        <f t="shared" si="122"/>
        <v>23.149578595013132</v>
      </c>
      <c r="E366" s="383">
        <f t="shared" si="144"/>
        <v>25.056128830284283</v>
      </c>
      <c r="F366" s="383">
        <f t="shared" si="123"/>
        <v>25.161787004742354</v>
      </c>
      <c r="G366" s="110">
        <f t="shared" si="145"/>
        <v>1.0421299155160051</v>
      </c>
      <c r="H366" s="412" t="b">
        <f>Wh_hp&gt;='2020'!Maxi_hp</f>
        <v>1</v>
      </c>
      <c r="I366" s="379">
        <f>IF(H366,Wh_hp,'2020'!Maxi_hp)</f>
        <v>25.161787004742354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2.0241344484519974E-2</v>
      </c>
      <c r="M366" s="832"/>
      <c r="N366" s="832"/>
      <c r="O366" s="48">
        <f>IF(t&lt;Tnet,'2020'!Resal+('2020'!Salim-'2020'!Resal)*(1-EXP(('2020'!Tnet-t)/('2020'!Tau_j))),Resal+(Salim-Resal)*(1-EXP((Tnet-t)/(Tau_j))))*Salcycl</f>
        <v>7.6091173069272641E-2</v>
      </c>
      <c r="P366" s="169">
        <f>(INDEX(Models!$BJ366:$BT366,,T366)*(1-R366)+INDEX(Models!$BJ366:$BT366,,T366+1)*R366-ERP_i)*Q366*Ramure*Pc/MaxiM</f>
        <v>4.1991522477379823E-3</v>
      </c>
      <c r="Q366" s="304">
        <f t="shared" si="125"/>
        <v>0.6</v>
      </c>
      <c r="R366" s="177">
        <f t="shared" si="126"/>
        <v>0.99908271537300375</v>
      </c>
      <c r="S366" s="799">
        <f t="shared" si="127"/>
        <v>-1</v>
      </c>
      <c r="T366" s="176">
        <f t="shared" si="128"/>
        <v>5</v>
      </c>
      <c r="U366" s="250">
        <f t="shared" si="129"/>
        <v>-9.1728462699630642E-4</v>
      </c>
      <c r="V366" s="382">
        <f t="shared" si="130"/>
        <v>21.764081101893733</v>
      </c>
      <c r="W366" s="400"/>
      <c r="X366" s="157">
        <f t="shared" si="131"/>
        <v>44548</v>
      </c>
      <c r="Y366" s="383">
        <f t="shared" si="132"/>
        <v>22.681000000000001</v>
      </c>
      <c r="Z366" s="383">
        <f t="shared" si="133"/>
        <v>23.149578595013132</v>
      </c>
      <c r="AA366" s="384">
        <f t="shared" si="134"/>
        <v>25.056128830284283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7.6091173069272641E-2</v>
      </c>
      <c r="AD366" s="230">
        <f>(INDEX(Models!$BJ366:$BT366,,AH366)*(1-AF366)+INDEX(Models!$BJ366:$BT366,,AH366+1)*AF366-ERP_i)*AE366*Ramure*Pc/MaxiM</f>
        <v>4.1991522477379823E-3</v>
      </c>
      <c r="AE366" s="304">
        <f t="shared" si="136"/>
        <v>0.6</v>
      </c>
      <c r="AF366" s="177">
        <f t="shared" si="137"/>
        <v>0.99908271537300375</v>
      </c>
      <c r="AG366" s="799">
        <f t="shared" si="143"/>
        <v>-1</v>
      </c>
      <c r="AH366" s="176">
        <f t="shared" si="138"/>
        <v>5</v>
      </c>
      <c r="AI366" s="224">
        <f t="shared" si="139"/>
        <v>-9.1728462699630642E-4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22.429000000000002</v>
      </c>
      <c r="C367" s="388"/>
      <c r="D367" s="391">
        <f t="shared" si="122"/>
        <v>22.892811131232527</v>
      </c>
      <c r="E367" s="383">
        <f t="shared" si="144"/>
        <v>24.779799154192059</v>
      </c>
      <c r="F367" s="383">
        <f t="shared" si="123"/>
        <v>24.884744497458982</v>
      </c>
      <c r="G367" s="110">
        <f t="shared" si="145"/>
        <v>1.0316419128835221</v>
      </c>
      <c r="H367" s="412" t="b">
        <f>Wh_hp&gt;='2020'!Maxi_hp</f>
        <v>1</v>
      </c>
      <c r="I367" s="379">
        <f>IF(H367,Wh_hp,'2020'!Maxi_hp)</f>
        <v>24.884744497458982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2.026012133563404E-2</v>
      </c>
      <c r="M367" s="832"/>
      <c r="N367" s="832"/>
      <c r="O367" s="48">
        <f>IF(t&lt;Tnet,'2020'!Resal+('2020'!Salim-'2020'!Resal)*(1-EXP(('2020'!Tnet-t)/('2020'!Tau_j))),Resal+(Salim-Resal)*(1-EXP((Tnet-t)/(Tau_j))))*Salcycl</f>
        <v>7.6150254940234433E-2</v>
      </c>
      <c r="P367" s="169">
        <f>(INDEX(Models!$BJ367:$BT367,,T367)*(1-R367)+INDEX(Models!$BJ367:$BT367,,T367+1)*R367-ERP_i)*Q367*Ramure*Pc/MaxiM</f>
        <v>4.2172562100301859E-3</v>
      </c>
      <c r="Q367" s="304">
        <f t="shared" si="125"/>
        <v>0.6</v>
      </c>
      <c r="R367" s="177">
        <f t="shared" si="126"/>
        <v>0.99909057454696992</v>
      </c>
      <c r="S367" s="799">
        <f t="shared" si="127"/>
        <v>-1</v>
      </c>
      <c r="T367" s="176">
        <f t="shared" si="128"/>
        <v>5</v>
      </c>
      <c r="U367" s="250">
        <f t="shared" si="129"/>
        <v>-9.0942545303007716E-4</v>
      </c>
      <c r="V367" s="382">
        <f t="shared" si="130"/>
        <v>21.741070927710897</v>
      </c>
      <c r="W367" s="400"/>
      <c r="X367" s="157">
        <f t="shared" si="131"/>
        <v>44549</v>
      </c>
      <c r="Y367" s="383">
        <f t="shared" si="132"/>
        <v>22.429000000000002</v>
      </c>
      <c r="Z367" s="383">
        <f t="shared" si="133"/>
        <v>22.892811131232527</v>
      </c>
      <c r="AA367" s="384">
        <f t="shared" si="134"/>
        <v>24.779799154192059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7.6150254940234433E-2</v>
      </c>
      <c r="AD367" s="230">
        <f>(INDEX(Models!$BJ367:$BT367,,AH367)*(1-AF367)+INDEX(Models!$BJ367:$BT367,,AH367+1)*AF367-ERP_i)*AE367*Ramure*Pc/MaxiM</f>
        <v>4.2172562100301859E-3</v>
      </c>
      <c r="AE367" s="304">
        <f t="shared" si="136"/>
        <v>0.6</v>
      </c>
      <c r="AF367" s="177">
        <f t="shared" si="137"/>
        <v>0.99909057454696992</v>
      </c>
      <c r="AG367" s="799">
        <f t="shared" si="143"/>
        <v>-1</v>
      </c>
      <c r="AH367" s="176">
        <f t="shared" si="138"/>
        <v>5</v>
      </c>
      <c r="AI367" s="224">
        <f t="shared" si="139"/>
        <v>-9.0942545303007716E-4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21.786999999999999</v>
      </c>
      <c r="C368" s="388"/>
      <c r="D368" s="391">
        <f t="shared" si="122"/>
        <v>22.237961346014242</v>
      </c>
      <c r="E368" s="383">
        <f t="shared" si="144"/>
        <v>24.07252655590549</v>
      </c>
      <c r="F368" s="383">
        <f t="shared" si="123"/>
        <v>24.174700505084488</v>
      </c>
      <c r="G368" s="110">
        <f t="shared" si="145"/>
        <v>1.0026667776975977</v>
      </c>
      <c r="H368" s="412" t="b">
        <f>Wh_hp&gt;='2020'!Maxi_hp</f>
        <v>1</v>
      </c>
      <c r="I368" s="379">
        <f>IF(H368,Wh_hp,'2020'!Maxi_hp)</f>
        <v>24.174700505084488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2.0278897826894071E-2</v>
      </c>
      <c r="M368" s="832"/>
      <c r="N368" s="832"/>
      <c r="O368" s="48">
        <f>IF(t&lt;Tnet,'2020'!Resal+('2020'!Salim-'2020'!Resal)*(1-EXP(('2020'!Tnet-t)/('2020'!Tau_j))),Resal+(Salim-Resal)*(1-EXP((Tnet-t)/(Tau_j))))*Salcycl</f>
        <v>7.6209915300361086E-2</v>
      </c>
      <c r="P368" s="169">
        <f>(INDEX(Models!$BJ368:$BT368,,T368)*(1-R368)+INDEX(Models!$BJ368:$BT368,,T368+1)*R368-ERP_i)*Q368*Ramure*Pc/MaxiM</f>
        <v>4.2264825228138037E-3</v>
      </c>
      <c r="Q368" s="304">
        <f t="shared" si="125"/>
        <v>0.6</v>
      </c>
      <c r="R368" s="177">
        <f t="shared" si="126"/>
        <v>0.99909811751980826</v>
      </c>
      <c r="S368" s="799">
        <f t="shared" si="127"/>
        <v>-1</v>
      </c>
      <c r="T368" s="176">
        <f t="shared" si="128"/>
        <v>5</v>
      </c>
      <c r="U368" s="250">
        <f t="shared" si="129"/>
        <v>-9.0188248019174022E-4</v>
      </c>
      <c r="V368" s="382">
        <f t="shared" si="130"/>
        <v>21.729053444883274</v>
      </c>
      <c r="W368" s="400"/>
      <c r="X368" s="157">
        <f t="shared" si="131"/>
        <v>44550</v>
      </c>
      <c r="Y368" s="383">
        <f t="shared" si="132"/>
        <v>21.786999999999999</v>
      </c>
      <c r="Z368" s="383">
        <f t="shared" si="133"/>
        <v>22.237961346014242</v>
      </c>
      <c r="AA368" s="384">
        <f t="shared" si="134"/>
        <v>24.07252655590549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7.6209915300361086E-2</v>
      </c>
      <c r="AD368" s="230">
        <f>(INDEX(Models!$BJ368:$BT368,,AH368)*(1-AF368)+INDEX(Models!$BJ368:$BT368,,AH368+1)*AF368-ERP_i)*AE368*Ramure*Pc/MaxiM</f>
        <v>4.2264825228138037E-3</v>
      </c>
      <c r="AE368" s="304">
        <f t="shared" si="136"/>
        <v>0.6</v>
      </c>
      <c r="AF368" s="177">
        <f t="shared" si="137"/>
        <v>0.99909811751980826</v>
      </c>
      <c r="AG368" s="799">
        <f t="shared" si="143"/>
        <v>-1</v>
      </c>
      <c r="AH368" s="176">
        <f t="shared" si="138"/>
        <v>5</v>
      </c>
      <c r="AI368" s="224">
        <f t="shared" si="139"/>
        <v>-9.0188248019174022E-4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16.37</v>
      </c>
      <c r="C369" s="388"/>
      <c r="D369" s="391">
        <f t="shared" si="122"/>
        <v>16.709157021337258</v>
      </c>
      <c r="E369" s="383">
        <f t="shared" si="144"/>
        <v>18.08879110218329</v>
      </c>
      <c r="F369" s="383">
        <f t="shared" si="123"/>
        <v>18.138447620152135</v>
      </c>
      <c r="G369" s="110">
        <f t="shared" si="145"/>
        <v>0.7522635110011423</v>
      </c>
      <c r="H369" s="412" t="b">
        <f>Wh_hp&gt;='2020'!Maxi_hp</f>
        <v>0</v>
      </c>
      <c r="I369" s="379">
        <f>IF(H369,Wh_hp,'2020'!Maxi_hp)</f>
        <v>19.700986215963447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2.0297673958306839E-2</v>
      </c>
      <c r="M369" s="832"/>
      <c r="N369" s="832"/>
      <c r="O369" s="48">
        <f>IF(t&lt;Tnet,'2020'!Resal+('2020'!Salim-'2020'!Resal)*(1-EXP(('2020'!Tnet-t)/('2020'!Tau_j))),Resal+(Salim-Resal)*(1-EXP((Tnet-t)/(Tau_j))))*Salcycl</f>
        <v>7.6270109652574331E-2</v>
      </c>
      <c r="P369" s="169">
        <f>(INDEX(Models!$BJ369:$BT369,,T369)*(1-R369)+INDEX(Models!$BJ369:$BT369,,T369+1)*R369-ERP_i)*Q369*Ramure*Pc/MaxiM</f>
        <v>4.2267225010894508E-3</v>
      </c>
      <c r="Q369" s="304">
        <f t="shared" si="125"/>
        <v>0.6</v>
      </c>
      <c r="R369" s="177">
        <f t="shared" si="126"/>
        <v>0.99910535700439518</v>
      </c>
      <c r="S369" s="799">
        <f t="shared" si="127"/>
        <v>-1</v>
      </c>
      <c r="T369" s="176">
        <f t="shared" si="128"/>
        <v>5</v>
      </c>
      <c r="U369" s="250">
        <f t="shared" si="129"/>
        <v>-8.9464299560482186E-4</v>
      </c>
      <c r="V369" s="382">
        <f t="shared" si="130"/>
        <v>21.728498782765378</v>
      </c>
      <c r="W369" s="400"/>
      <c r="X369" s="157">
        <f t="shared" si="131"/>
        <v>44551</v>
      </c>
      <c r="Y369" s="383">
        <f t="shared" si="132"/>
        <v>16.37</v>
      </c>
      <c r="Z369" s="383">
        <f t="shared" si="133"/>
        <v>16.709157021337258</v>
      </c>
      <c r="AA369" s="384">
        <f t="shared" si="134"/>
        <v>18.08879110218329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7.6270109652574331E-2</v>
      </c>
      <c r="AD369" s="230">
        <f>(INDEX(Models!$BJ369:$BT369,,AH369)*(1-AF369)+INDEX(Models!$BJ369:$BT369,,AH369+1)*AF369-ERP_i)*AE369*Ramure*Pc/MaxiM</f>
        <v>4.2267225010894508E-3</v>
      </c>
      <c r="AE369" s="304">
        <f t="shared" si="136"/>
        <v>0.6</v>
      </c>
      <c r="AF369" s="177">
        <f t="shared" si="137"/>
        <v>0.99910535700439518</v>
      </c>
      <c r="AG369" s="799">
        <f t="shared" si="143"/>
        <v>-1</v>
      </c>
      <c r="AH369" s="176">
        <f t="shared" si="138"/>
        <v>5</v>
      </c>
      <c r="AI369" s="224">
        <f t="shared" si="139"/>
        <v>-8.9464299560482186E-4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22.11</v>
      </c>
      <c r="C370" s="388"/>
      <c r="D370" s="391">
        <f t="shared" si="122"/>
        <v>22.568512040345865</v>
      </c>
      <c r="E370" s="383">
        <f t="shared" si="144"/>
        <v>24.433543854577827</v>
      </c>
      <c r="F370" s="383">
        <f t="shared" si="123"/>
        <v>24.5370383220707</v>
      </c>
      <c r="G370" s="110">
        <f t="shared" si="145"/>
        <v>1.0170250725966241</v>
      </c>
      <c r="H370" s="412" t="b">
        <f>Wh_hp&gt;='2020'!Maxi_hp</f>
        <v>1</v>
      </c>
      <c r="I370" s="379">
        <f>IF(H370,Wh_hp,'2020'!Maxi_hp)</f>
        <v>24.5370383220707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2.0316449729879449E-2</v>
      </c>
      <c r="M370" s="832"/>
      <c r="N370" s="832"/>
      <c r="O370" s="48">
        <f>IF(t&lt;Tnet,'2020'!Resal+('2020'!Salim-'2020'!Resal)*(1-EXP(('2020'!Tnet-t)/('2020'!Tau_j))),Resal+(Salim-Resal)*(1-EXP((Tnet-t)/(Tau_j))))*Salcycl</f>
        <v>7.6330794473865621E-2</v>
      </c>
      <c r="P370" s="169">
        <f>(INDEX(Models!$BJ370:$BT370,,T370)*(1-R370)+INDEX(Models!$BJ370:$BT370,,T370+1)*R370-ERP_i)*Q370*Ramure*Pc/MaxiM</f>
        <v>4.2178875108892892E-3</v>
      </c>
      <c r="Q370" s="304">
        <f t="shared" si="125"/>
        <v>0.6</v>
      </c>
      <c r="R370" s="177">
        <f t="shared" si="126"/>
        <v>0.9991123052031925</v>
      </c>
      <c r="S370" s="799">
        <f t="shared" si="127"/>
        <v>-1</v>
      </c>
      <c r="T370" s="176">
        <f t="shared" si="128"/>
        <v>5</v>
      </c>
      <c r="U370" s="250">
        <f t="shared" si="129"/>
        <v>-8.8769479680755881E-4</v>
      </c>
      <c r="V370" s="382">
        <f t="shared" si="130"/>
        <v>21.739877015568272</v>
      </c>
      <c r="W370" s="400"/>
      <c r="X370" s="157">
        <f t="shared" si="131"/>
        <v>44552</v>
      </c>
      <c r="Y370" s="383">
        <f t="shared" si="132"/>
        <v>22.11</v>
      </c>
      <c r="Z370" s="383">
        <f t="shared" si="133"/>
        <v>22.568512040345865</v>
      </c>
      <c r="AA370" s="384">
        <f t="shared" si="134"/>
        <v>24.433543854577827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7.6330794473865621E-2</v>
      </c>
      <c r="AD370" s="230">
        <f>(INDEX(Models!$BJ370:$BT370,,AH370)*(1-AF370)+INDEX(Models!$BJ370:$BT370,,AH370+1)*AF370-ERP_i)*AE370*Ramure*Pc/MaxiM</f>
        <v>4.2178875108892892E-3</v>
      </c>
      <c r="AE370" s="304">
        <f t="shared" si="136"/>
        <v>0.6</v>
      </c>
      <c r="AF370" s="177">
        <f t="shared" si="137"/>
        <v>0.9991123052031925</v>
      </c>
      <c r="AG370" s="799">
        <f t="shared" si="143"/>
        <v>-1</v>
      </c>
      <c r="AH370" s="176">
        <f t="shared" si="138"/>
        <v>5</v>
      </c>
      <c r="AI370" s="224">
        <f t="shared" si="139"/>
        <v>-8.8769479680755881E-4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5.9820000000000002</v>
      </c>
      <c r="C371" s="388"/>
      <c r="D371" s="391">
        <f t="shared" si="122"/>
        <v>6.1061703487958399</v>
      </c>
      <c r="E371" s="383">
        <f t="shared" si="144"/>
        <v>6.611213706581518</v>
      </c>
      <c r="F371" s="383">
        <f t="shared" si="123"/>
        <v>6.611213706581518</v>
      </c>
      <c r="G371" s="110">
        <f t="shared" si="145"/>
        <v>0.27370748466889461</v>
      </c>
      <c r="H371" s="412" t="b">
        <f>Wh_hp&gt;='2020'!Maxi_hp</f>
        <v>0</v>
      </c>
      <c r="I371" s="379">
        <f>IF(H371,Wh_hp,'2020'!Maxi_hp)</f>
        <v>20.621523847427799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2.0335225141618674E-2</v>
      </c>
      <c r="M371" s="832"/>
      <c r="N371" s="832"/>
      <c r="O371" s="48">
        <f>IF(t&lt;Tnet,'2020'!Resal+('2020'!Salim-'2020'!Resal)*(1-EXP(('2020'!Tnet-t)/('2020'!Tau_j))),Resal+(Salim-Resal)*(1-EXP((Tnet-t)/(Tau_j))))*Salcycl</f>
        <v>7.6391927443353297E-2</v>
      </c>
      <c r="P371" s="169">
        <f>(INDEX(Models!$BJ371:$BT371,,T371)*(1-R371)+INDEX(Models!$BJ371:$BT371,,T371+1)*R371-ERP_i)*Q371*Ramure*Pc/MaxiM</f>
        <v>4.1998936264676613E-3</v>
      </c>
      <c r="Q371" s="304">
        <f t="shared" si="125"/>
        <v>0.6</v>
      </c>
      <c r="R371" s="177">
        <f t="shared" si="126"/>
        <v>0.9991123052031925</v>
      </c>
      <c r="S371" s="799">
        <f t="shared" si="127"/>
        <v>-1</v>
      </c>
      <c r="T371" s="176">
        <f t="shared" si="128"/>
        <v>5</v>
      </c>
      <c r="U371" s="250">
        <f t="shared" si="129"/>
        <v>-8.8769479680755881E-4</v>
      </c>
      <c r="V371" s="382">
        <f t="shared" si="130"/>
        <v>21.763658540549358</v>
      </c>
      <c r="W371" s="400"/>
      <c r="X371" s="157">
        <f t="shared" si="131"/>
        <v>44553</v>
      </c>
      <c r="Y371" s="383">
        <f t="shared" si="132"/>
        <v>5.9820000000000002</v>
      </c>
      <c r="Z371" s="383">
        <f t="shared" si="133"/>
        <v>6.1061703487958399</v>
      </c>
      <c r="AA371" s="384">
        <f t="shared" si="134"/>
        <v>6.611213706581518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7.6391927443353297E-2</v>
      </c>
      <c r="AD371" s="230">
        <f>(INDEX(Models!$BJ371:$BT371,,AH371)*(1-AF371)+INDEX(Models!$BJ371:$BT371,,AH371+1)*AF371-ERP_i)*AE371*Ramure*Pc/MaxiM</f>
        <v>4.1998936264676613E-3</v>
      </c>
      <c r="AE371" s="304">
        <f t="shared" si="136"/>
        <v>0.6</v>
      </c>
      <c r="AF371" s="177">
        <f t="shared" si="137"/>
        <v>0.9991123052031925</v>
      </c>
      <c r="AG371" s="799">
        <f t="shared" si="143"/>
        <v>-1</v>
      </c>
      <c r="AH371" s="176">
        <f t="shared" si="138"/>
        <v>5</v>
      </c>
      <c r="AI371" s="224">
        <f t="shared" si="139"/>
        <v>-8.8769479680755881E-4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12.232000000000001</v>
      </c>
      <c r="C372" s="388"/>
      <c r="D372" s="391">
        <f t="shared" si="122"/>
        <v>12.486142956145855</v>
      </c>
      <c r="E372" s="383">
        <f t="shared" si="144"/>
        <v>13.519776772269955</v>
      </c>
      <c r="F372" s="383">
        <f t="shared" si="123"/>
        <v>13.540851487737845</v>
      </c>
      <c r="G372" s="110">
        <f t="shared" si="145"/>
        <v>0.55962256734410998</v>
      </c>
      <c r="H372" s="412" t="b">
        <f>Wh_hp&gt;='2020'!Maxi_hp</f>
        <v>0</v>
      </c>
      <c r="I372" s="379">
        <f>IF(H372,Wh_hp,'2020'!Maxi_hp)</f>
        <v>13.665587151375444</v>
      </c>
      <c r="J372" s="85">
        <f>IF(H372,An,'2020'!An_max)</f>
        <v>2018</v>
      </c>
      <c r="K372" s="197">
        <f t="shared" si="124"/>
        <v>44554</v>
      </c>
      <c r="L372" s="147">
        <f>IF(t&lt;Tvie,1-EXP((T0-t)*PertePVj)+'2020'!Pspv,1-EXP((T0-t)*PertePVj)+Pspv)</f>
        <v>2.0354000193531396E-2</v>
      </c>
      <c r="M372" s="832"/>
      <c r="N372" s="832"/>
      <c r="O372" s="48">
        <f>IF(t&lt;Tnet,'2020'!Resal+('2020'!Salim-'2020'!Resal)*(1-EXP(('2020'!Tnet-t)/('2020'!Tau_j))),Resal+(Salim-Resal)*(1-EXP((Tnet-t)/(Tau_j))))*Salcycl</f>
        <v>7.6453467652229115E-2</v>
      </c>
      <c r="P372" s="169">
        <f>(INDEX(Models!$BJ372:$BT372,,T372)*(1-R372)+INDEX(Models!$BJ372:$BT372,,T372+1)*R372-ERP_i)*Q372*Ramure*Pc/MaxiM</f>
        <v>4.1727155951964663E-3</v>
      </c>
      <c r="Q372" s="304">
        <f t="shared" si="125"/>
        <v>0.6</v>
      </c>
      <c r="R372" s="177">
        <f t="shared" si="126"/>
        <v>0.9991123052031925</v>
      </c>
      <c r="S372" s="799">
        <f t="shared" si="127"/>
        <v>-1</v>
      </c>
      <c r="T372" s="176">
        <f t="shared" si="128"/>
        <v>5</v>
      </c>
      <c r="U372" s="250">
        <f t="shared" si="129"/>
        <v>-8.8769479680755881E-4</v>
      </c>
      <c r="V372" s="382">
        <f t="shared" si="130"/>
        <v>21.800312948313127</v>
      </c>
      <c r="W372" s="400"/>
      <c r="X372" s="157">
        <f t="shared" si="131"/>
        <v>44554</v>
      </c>
      <c r="Y372" s="383">
        <f t="shared" si="132"/>
        <v>12.232000000000001</v>
      </c>
      <c r="Z372" s="383">
        <f t="shared" si="133"/>
        <v>12.486142956145855</v>
      </c>
      <c r="AA372" s="384">
        <f t="shared" si="134"/>
        <v>13.519776772269955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7.6453467652229115E-2</v>
      </c>
      <c r="AD372" s="230">
        <f>(INDEX(Models!$BJ372:$BT372,,AH372)*(1-AF372)+INDEX(Models!$BJ372:$BT372,,AH372+1)*AF372-ERP_i)*AE372*Ramure*Pc/MaxiM</f>
        <v>4.1727155951964663E-3</v>
      </c>
      <c r="AE372" s="304">
        <f t="shared" si="136"/>
        <v>0.6</v>
      </c>
      <c r="AF372" s="177">
        <f t="shared" si="137"/>
        <v>0.9991123052031925</v>
      </c>
      <c r="AG372" s="799">
        <f t="shared" si="143"/>
        <v>-1</v>
      </c>
      <c r="AH372" s="176">
        <f t="shared" si="138"/>
        <v>5</v>
      </c>
      <c r="AI372" s="224">
        <f t="shared" si="139"/>
        <v>-8.8769479680755881E-4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9.011000000000001</v>
      </c>
      <c r="C373" s="388"/>
      <c r="D373" s="391">
        <f t="shared" si="122"/>
        <v>9.1983968687149638</v>
      </c>
      <c r="E373" s="383">
        <f t="shared" si="144"/>
        <v>9.9605306115704568</v>
      </c>
      <c r="F373" s="383">
        <f t="shared" si="123"/>
        <v>9.9671504996837843</v>
      </c>
      <c r="G373" s="110">
        <f t="shared" si="145"/>
        <v>0.41096578811072726</v>
      </c>
      <c r="H373" s="412" t="b">
        <f>Wh_hp&gt;='2020'!Maxi_hp</f>
        <v>0</v>
      </c>
      <c r="I373" s="379">
        <f>IF(H373,Wh_hp,'2020'!Maxi_hp)</f>
        <v>11.594478528110951</v>
      </c>
      <c r="J373" s="85">
        <f>IF(H373,An,'2020'!An_max)</f>
        <v>2020</v>
      </c>
      <c r="K373" s="197">
        <f t="shared" si="124"/>
        <v>44555</v>
      </c>
      <c r="L373" s="147">
        <f>IF(t&lt;Tvie,1-EXP((T0-t)*PertePVj)+'2020'!Pspv,1-EXP((T0-t)*PertePVj)+Pspv)</f>
        <v>2.0372774885624501E-2</v>
      </c>
      <c r="M373" s="832"/>
      <c r="N373" s="832"/>
      <c r="O373" s="48">
        <f>IF(t&lt;Tnet,'2020'!Resal+('2020'!Salim-'2020'!Resal)*(1-EXP(('2020'!Tnet-t)/('2020'!Tau_j))),Resal+(Salim-Resal)*(1-EXP((Tnet-t)/(Tau_j))))*Salcycl</f>
        <v>7.6515375794355273E-2</v>
      </c>
      <c r="P373" s="169">
        <f>(INDEX(Models!$BJ373:$BT373,,T373)*(1-R373)+INDEX(Models!$BJ373:$BT373,,T373+1)*R373-ERP_i)*Q373*Ramure*Pc/MaxiM</f>
        <v>4.1363429864222801E-3</v>
      </c>
      <c r="Q373" s="304">
        <f t="shared" si="125"/>
        <v>0.6</v>
      </c>
      <c r="R373" s="177">
        <f t="shared" si="126"/>
        <v>0.9991123052031925</v>
      </c>
      <c r="S373" s="799">
        <f t="shared" si="127"/>
        <v>-1</v>
      </c>
      <c r="T373" s="176">
        <f t="shared" si="128"/>
        <v>5</v>
      </c>
      <c r="U373" s="250">
        <f t="shared" si="129"/>
        <v>-8.8769479680755881E-4</v>
      </c>
      <c r="V373" s="382">
        <f t="shared" si="130"/>
        <v>21.850216538710473</v>
      </c>
      <c r="W373" s="400"/>
      <c r="X373" s="157">
        <f t="shared" si="131"/>
        <v>44555</v>
      </c>
      <c r="Y373" s="383">
        <f t="shared" si="132"/>
        <v>9.011000000000001</v>
      </c>
      <c r="Z373" s="383">
        <f t="shared" si="133"/>
        <v>9.1983968687149638</v>
      </c>
      <c r="AA373" s="384">
        <f t="shared" si="134"/>
        <v>9.9605306115704568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7.6515375794355273E-2</v>
      </c>
      <c r="AD373" s="230">
        <f>(INDEX(Models!$BJ373:$BT373,,AH373)*(1-AF373)+INDEX(Models!$BJ373:$BT373,,AH373+1)*AF373-ERP_i)*AE373*Ramure*Pc/MaxiM</f>
        <v>4.1363429864222801E-3</v>
      </c>
      <c r="AE373" s="304">
        <f t="shared" si="136"/>
        <v>0.6</v>
      </c>
      <c r="AF373" s="177">
        <f t="shared" si="137"/>
        <v>0.9991123052031925</v>
      </c>
      <c r="AG373" s="799">
        <f t="shared" si="143"/>
        <v>-1</v>
      </c>
      <c r="AH373" s="176">
        <f t="shared" si="138"/>
        <v>5</v>
      </c>
      <c r="AI373" s="224">
        <f t="shared" si="139"/>
        <v>-8.8769479680755881E-4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10.962</v>
      </c>
      <c r="C374" s="388"/>
      <c r="D374" s="391">
        <f t="shared" si="122"/>
        <v>11.190185212518543</v>
      </c>
      <c r="E374" s="383">
        <f t="shared" si="144"/>
        <v>12.118165409730357</v>
      </c>
      <c r="F374" s="383">
        <f t="shared" si="123"/>
        <v>12.132363710554303</v>
      </c>
      <c r="G374" s="110">
        <f t="shared" si="145"/>
        <v>0.49878548408363221</v>
      </c>
      <c r="H374" s="412" t="b">
        <f>Wh_hp&gt;='2020'!Maxi_hp</f>
        <v>1</v>
      </c>
      <c r="I374" s="379">
        <f>IF(H374,Wh_hp,'2020'!Maxi_hp)</f>
        <v>12.132363710554303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2.039154921790487E-2</v>
      </c>
      <c r="M374" s="832"/>
      <c r="N374" s="832"/>
      <c r="O374" s="48">
        <f>IF(t&lt;Tnet,'2020'!Resal+('2020'!Salim-'2020'!Resal)*(1-EXP(('2020'!Tnet-t)/('2020'!Tau_j))),Resal+(Salim-Resal)*(1-EXP((Tnet-t)/(Tau_j))))*Salcycl</f>
        <v>7.6577614336464442E-2</v>
      </c>
      <c r="P374" s="169">
        <f>(INDEX(Models!$BJ374:$BT374,,T374)*(1-R374)+INDEX(Models!$BJ374:$BT374,,T374+1)*R374-ERP_i)*Q374*Ramure*Pc/MaxiM</f>
        <v>4.0909134644781216E-3</v>
      </c>
      <c r="Q374" s="304">
        <f t="shared" si="125"/>
        <v>0.6</v>
      </c>
      <c r="R374" s="177">
        <f t="shared" si="126"/>
        <v>0.9991123052031925</v>
      </c>
      <c r="S374" s="799">
        <f t="shared" si="127"/>
        <v>-1</v>
      </c>
      <c r="T374" s="176">
        <f t="shared" si="128"/>
        <v>5</v>
      </c>
      <c r="U374" s="250">
        <f t="shared" si="129"/>
        <v>-8.8769479680755881E-4</v>
      </c>
      <c r="V374" s="382">
        <f t="shared" si="130"/>
        <v>21.913120745586937</v>
      </c>
      <c r="W374" s="400"/>
      <c r="X374" s="157">
        <f t="shared" si="131"/>
        <v>44556</v>
      </c>
      <c r="Y374" s="383">
        <f t="shared" si="132"/>
        <v>10.962</v>
      </c>
      <c r="Z374" s="383">
        <f t="shared" si="133"/>
        <v>11.190185212518543</v>
      </c>
      <c r="AA374" s="384">
        <f t="shared" si="134"/>
        <v>12.118165409730357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7.6577614336464442E-2</v>
      </c>
      <c r="AD374" s="230">
        <f>(INDEX(Models!$BJ374:$BT374,,AH374)*(1-AF374)+INDEX(Models!$BJ374:$BT374,,AH374+1)*AF374-ERP_i)*AE374*Ramure*Pc/MaxiM</f>
        <v>4.0909134644781216E-3</v>
      </c>
      <c r="AE374" s="304">
        <f t="shared" si="136"/>
        <v>0.6</v>
      </c>
      <c r="AF374" s="177">
        <f t="shared" si="137"/>
        <v>0.9991123052031925</v>
      </c>
      <c r="AG374" s="799">
        <f t="shared" si="143"/>
        <v>-1</v>
      </c>
      <c r="AH374" s="176">
        <f t="shared" si="138"/>
        <v>5</v>
      </c>
      <c r="AI374" s="224">
        <f t="shared" si="139"/>
        <v>-8.8769479680755881E-4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10.022</v>
      </c>
      <c r="C375" s="388"/>
      <c r="D375" s="391">
        <f t="shared" si="122"/>
        <v>10.230814224829503</v>
      </c>
      <c r="E375" s="383">
        <f t="shared" si="144"/>
        <v>11.079985987024633</v>
      </c>
      <c r="F375" s="383">
        <f t="shared" si="123"/>
        <v>11.089940366817663</v>
      </c>
      <c r="G375" s="110">
        <f t="shared" si="145"/>
        <v>0.45435049204959149</v>
      </c>
      <c r="H375" s="412" t="b">
        <f>Wh_hp&gt;='2020'!Maxi_hp</f>
        <v>0</v>
      </c>
      <c r="I375" s="379">
        <f>IF(H375,Wh_hp,'2020'!Maxi_hp)</f>
        <v>21.290446008401918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2.0410323190379498E-2</v>
      </c>
      <c r="M375" s="832"/>
      <c r="N375" s="832"/>
      <c r="O375" s="48">
        <f>IF(t&lt;Tnet,'2020'!Resal+('2020'!Salim-'2020'!Resal)*(1-EXP(('2020'!Tnet-t)/('2020'!Tau_j))),Resal+(Salim-Resal)*(1-EXP((Tnet-t)/(Tau_j))))*Salcycl</f>
        <v>7.6640147667114786E-2</v>
      </c>
      <c r="P375" s="169">
        <f>(INDEX(Models!$BJ375:$BT375,,T375)*(1-R375)+INDEX(Models!$BJ375:$BT375,,T375+1)*R375-ERP_i)*Q375*Ramure*Pc/MaxiM</f>
        <v>4.0333744879922796E-3</v>
      </c>
      <c r="Q375" s="304">
        <f t="shared" si="125"/>
        <v>0.6</v>
      </c>
      <c r="R375" s="177">
        <f t="shared" si="126"/>
        <v>0.9991123052031925</v>
      </c>
      <c r="S375" s="799">
        <f t="shared" si="127"/>
        <v>-1</v>
      </c>
      <c r="T375" s="176">
        <f t="shared" si="128"/>
        <v>5</v>
      </c>
      <c r="U375" s="250">
        <f t="shared" si="129"/>
        <v>-8.8769479680755881E-4</v>
      </c>
      <c r="V375" s="382">
        <f t="shared" si="130"/>
        <v>21.988630481077823</v>
      </c>
      <c r="W375" s="400"/>
      <c r="X375" s="157">
        <f t="shared" si="131"/>
        <v>44557</v>
      </c>
      <c r="Y375" s="383">
        <f t="shared" si="132"/>
        <v>10.022</v>
      </c>
      <c r="Z375" s="383">
        <f t="shared" si="133"/>
        <v>10.230814224829503</v>
      </c>
      <c r="AA375" s="384">
        <f t="shared" si="134"/>
        <v>11.079985987024633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7.6640147667114786E-2</v>
      </c>
      <c r="AD375" s="230">
        <f>(INDEX(Models!$BJ375:$BT375,,AH375)*(1-AF375)+INDEX(Models!$BJ375:$BT375,,AH375+1)*AF375-ERP_i)*AE375*Ramure*Pc/MaxiM</f>
        <v>4.0333744879922796E-3</v>
      </c>
      <c r="AE375" s="304">
        <f t="shared" si="136"/>
        <v>0.6</v>
      </c>
      <c r="AF375" s="177">
        <f t="shared" si="137"/>
        <v>0.9991123052031925</v>
      </c>
      <c r="AG375" s="799">
        <f t="shared" si="143"/>
        <v>-1</v>
      </c>
      <c r="AH375" s="176">
        <f t="shared" si="138"/>
        <v>5</v>
      </c>
      <c r="AI375" s="224">
        <f t="shared" si="139"/>
        <v>-8.8769479680755881E-4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4.6109999999999998</v>
      </c>
      <c r="C376" s="388"/>
      <c r="D376" s="391">
        <f t="shared" si="122"/>
        <v>4.7071630904424167</v>
      </c>
      <c r="E376" s="383">
        <f t="shared" si="144"/>
        <v>5.0982108637707411</v>
      </c>
      <c r="F376" s="383">
        <f t="shared" si="123"/>
        <v>5.0982108637707411</v>
      </c>
      <c r="G376" s="110">
        <f t="shared" si="145"/>
        <v>0.20803877618563271</v>
      </c>
      <c r="H376" s="412" t="b">
        <f>Wh_hp&gt;='2020'!Maxi_hp</f>
        <v>0</v>
      </c>
      <c r="I376" s="379">
        <f>IF(H376,Wh_hp,'2020'!Maxi_hp)</f>
        <v>6.5281474457395792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2.0429096803055269E-2</v>
      </c>
      <c r="M376" s="832"/>
      <c r="N376" s="832"/>
      <c r="O376" s="48">
        <f>IF(t&lt;Tnet,'2020'!Resal+('2020'!Salim-'2020'!Resal)*(1-EXP(('2020'!Tnet-t)/('2020'!Tau_j))),Resal+(Salim-Resal)*(1-EXP((Tnet-t)/(Tau_j))))*Salcycl</f>
        <v>7.6702942223754483E-2</v>
      </c>
      <c r="P376" s="169">
        <f>(INDEX(Models!$BJ376:$BT376,,T376)*(1-R376)+INDEX(Models!$BJ376:$BT376,,T376+1)*R376-ERP_i)*Q376*Ramure*Pc/MaxiM</f>
        <v>3.967665399195134E-3</v>
      </c>
      <c r="Q376" s="304">
        <f t="shared" si="125"/>
        <v>0.6</v>
      </c>
      <c r="R376" s="177">
        <f t="shared" si="126"/>
        <v>0.9991123052031925</v>
      </c>
      <c r="S376" s="799">
        <f t="shared" si="127"/>
        <v>-1</v>
      </c>
      <c r="T376" s="176">
        <f t="shared" si="128"/>
        <v>5</v>
      </c>
      <c r="U376" s="250">
        <f t="shared" si="129"/>
        <v>-8.8769479680755881E-4</v>
      </c>
      <c r="V376" s="382">
        <f t="shared" si="130"/>
        <v>22.076197423629559</v>
      </c>
      <c r="W376" s="400"/>
      <c r="X376" s="157">
        <f t="shared" si="131"/>
        <v>44558</v>
      </c>
      <c r="Y376" s="383">
        <f t="shared" si="132"/>
        <v>4.6109999999999998</v>
      </c>
      <c r="Z376" s="383">
        <f t="shared" si="133"/>
        <v>4.7071630904424167</v>
      </c>
      <c r="AA376" s="384">
        <f t="shared" si="134"/>
        <v>5.0982108637707411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7.6702942223754483E-2</v>
      </c>
      <c r="AD376" s="230">
        <f>(INDEX(Models!$BJ376:$BT376,,AH376)*(1-AF376)+INDEX(Models!$BJ376:$BT376,,AH376+1)*AF376-ERP_i)*AE376*Ramure*Pc/MaxiM</f>
        <v>3.967665399195134E-3</v>
      </c>
      <c r="AE376" s="304">
        <f t="shared" si="136"/>
        <v>0.6</v>
      </c>
      <c r="AF376" s="177">
        <f t="shared" si="137"/>
        <v>0.9991123052031925</v>
      </c>
      <c r="AG376" s="799">
        <f t="shared" si="143"/>
        <v>-1</v>
      </c>
      <c r="AH376" s="176">
        <f t="shared" si="138"/>
        <v>5</v>
      </c>
      <c r="AI376" s="224">
        <f t="shared" si="139"/>
        <v>-8.8769479680755881E-4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3.9380000000000002</v>
      </c>
      <c r="C377" s="388"/>
      <c r="D377" s="391">
        <f t="shared" si="122"/>
        <v>4.0202046217028657</v>
      </c>
      <c r="E377" s="383">
        <f t="shared" si="144"/>
        <v>4.3544805285032231</v>
      </c>
      <c r="F377" s="383">
        <f t="shared" si="123"/>
        <v>4.3544805285032231</v>
      </c>
      <c r="G377" s="110">
        <f t="shared" si="145"/>
        <v>0.17689301206727356</v>
      </c>
      <c r="H377" s="412" t="b">
        <f>Wh_hp&gt;='2020'!Maxi_hp</f>
        <v>0</v>
      </c>
      <c r="I377" s="379">
        <f>IF(H377,Wh_hp,'2020'!Maxi_hp)</f>
        <v>25.022994124609578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2.0447870055939066E-2</v>
      </c>
      <c r="M377" s="832"/>
      <c r="N377" s="832"/>
      <c r="O377" s="48">
        <f>IF(t&lt;Tnet,'2020'!Resal+('2020'!Salim-'2020'!Resal)*(1-EXP(('2020'!Tnet-t)/('2020'!Tau_j))),Resal+(Salim-Resal)*(1-EXP((Tnet-t)/(Tau_j))))*Salcycl</f>
        <v>7.6765966597457394E-2</v>
      </c>
      <c r="P377" s="169">
        <f>(INDEX(Models!$BJ377:$BT377,,T377)*(1-R377)+INDEX(Models!$BJ377:$BT377,,T377+1)*R377-ERP_i)*Q377*Ramure*Pc/MaxiM</f>
        <v>3.8940279344735523E-3</v>
      </c>
      <c r="Q377" s="304">
        <f t="shared" si="125"/>
        <v>0.6</v>
      </c>
      <c r="R377" s="177">
        <f t="shared" si="126"/>
        <v>0.9991123052031925</v>
      </c>
      <c r="S377" s="799">
        <f t="shared" si="127"/>
        <v>-1</v>
      </c>
      <c r="T377" s="176">
        <f t="shared" si="128"/>
        <v>5</v>
      </c>
      <c r="U377" s="250">
        <f t="shared" si="129"/>
        <v>-8.8769479680755881E-4</v>
      </c>
      <c r="V377" s="382">
        <f t="shared" si="130"/>
        <v>22.175354877796011</v>
      </c>
      <c r="W377" s="400"/>
      <c r="X377" s="157">
        <f t="shared" si="131"/>
        <v>44559</v>
      </c>
      <c r="Y377" s="383">
        <f t="shared" si="132"/>
        <v>3.9379999999999997</v>
      </c>
      <c r="Z377" s="383">
        <f t="shared" si="133"/>
        <v>4.0202046217028657</v>
      </c>
      <c r="AA377" s="384">
        <f t="shared" si="134"/>
        <v>4.3544805285032231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7.6765966597457394E-2</v>
      </c>
      <c r="AD377" s="230">
        <f>(INDEX(Models!$BJ377:$BT377,,AH377)*(1-AF377)+INDEX(Models!$BJ377:$BT377,,AH377+1)*AF377-ERP_i)*AE377*Ramure*Pc/MaxiM</f>
        <v>3.8940279344735523E-3</v>
      </c>
      <c r="AE377" s="304">
        <f t="shared" si="136"/>
        <v>0.6</v>
      </c>
      <c r="AF377" s="177">
        <f t="shared" si="137"/>
        <v>0.9991123052031925</v>
      </c>
      <c r="AG377" s="799">
        <f t="shared" si="143"/>
        <v>-1</v>
      </c>
      <c r="AH377" s="176">
        <f t="shared" si="138"/>
        <v>5</v>
      </c>
      <c r="AI377" s="224">
        <f t="shared" si="139"/>
        <v>-8.8769479680755881E-4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16.397000000000002</v>
      </c>
      <c r="C378" s="388"/>
      <c r="D378" s="391">
        <f t="shared" si="122"/>
        <v>16.739603487691038</v>
      </c>
      <c r="E378" s="383">
        <f t="shared" si="144"/>
        <v>18.132726182034713</v>
      </c>
      <c r="F378" s="383">
        <f t="shared" si="123"/>
        <v>18.175866627306938</v>
      </c>
      <c r="G378" s="110">
        <f t="shared" si="145"/>
        <v>0.73470395171227598</v>
      </c>
      <c r="H378" s="412" t="b">
        <f>Wh_hp&gt;='2020'!Maxi_hp</f>
        <v>0</v>
      </c>
      <c r="I378" s="379">
        <f>IF(H378,Wh_hp,'2020'!Maxi_hp)</f>
        <v>25.027651179472095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2.0466642949037661E-2</v>
      </c>
      <c r="M378" s="832"/>
      <c r="N378" s="832"/>
      <c r="O378" s="48">
        <f>IF(t&lt;Tnet,'2020'!Resal+('2020'!Salim-'2020'!Resal)*(1-EXP(('2020'!Tnet-t)/('2020'!Tau_j))),Resal+(Salim-Resal)*(1-EXP((Tnet-t)/(Tau_j))))*Salcycl</f>
        <v>7.6829191615099393E-2</v>
      </c>
      <c r="P378" s="169">
        <f>(INDEX(Models!$BJ378:$BT378,,T378)*(1-R378)+INDEX(Models!$BJ378:$BT378,,T378+1)*R378-ERP_i)*Q378*Ramure*Pc/MaxiM</f>
        <v>3.8127189637247195E-3</v>
      </c>
      <c r="Q378" s="304">
        <f t="shared" si="125"/>
        <v>0.6</v>
      </c>
      <c r="R378" s="177">
        <f t="shared" si="126"/>
        <v>0.9991123052031925</v>
      </c>
      <c r="S378" s="799">
        <f t="shared" si="127"/>
        <v>-1</v>
      </c>
      <c r="T378" s="176">
        <f t="shared" si="128"/>
        <v>5</v>
      </c>
      <c r="U378" s="250">
        <f t="shared" si="129"/>
        <v>-8.8769479680755881E-4</v>
      </c>
      <c r="V378" s="382">
        <f t="shared" si="130"/>
        <v>22.285636230255751</v>
      </c>
      <c r="W378" s="400"/>
      <c r="X378" s="157">
        <f t="shared" si="131"/>
        <v>44560</v>
      </c>
      <c r="Y378" s="383">
        <f t="shared" si="132"/>
        <v>16.397000000000002</v>
      </c>
      <c r="Z378" s="383">
        <f t="shared" si="133"/>
        <v>16.739603487691038</v>
      </c>
      <c r="AA378" s="384">
        <f t="shared" si="134"/>
        <v>18.132726182034713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7.6829191615099393E-2</v>
      </c>
      <c r="AD378" s="230">
        <f>(INDEX(Models!$BJ378:$BT378,,AH378)*(1-AF378)+INDEX(Models!$BJ378:$BT378,,AH378+1)*AF378-ERP_i)*AE378*Ramure*Pc/MaxiM</f>
        <v>3.8127189637247195E-3</v>
      </c>
      <c r="AE378" s="304">
        <f t="shared" si="136"/>
        <v>0.6</v>
      </c>
      <c r="AF378" s="177">
        <f t="shared" si="137"/>
        <v>0.9991123052031925</v>
      </c>
      <c r="AG378" s="799">
        <f t="shared" si="143"/>
        <v>-1</v>
      </c>
      <c r="AH378" s="176">
        <f t="shared" si="138"/>
        <v>5</v>
      </c>
      <c r="AI378" s="224">
        <f t="shared" si="139"/>
        <v>-8.8769479680755881E-4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22.772000000000002</v>
      </c>
      <c r="C379" s="388"/>
      <c r="D379" s="391">
        <f t="shared" si="122"/>
        <v>23.248250061752763</v>
      </c>
      <c r="E379" s="383">
        <f t="shared" si="144"/>
        <v>25.184772454378031</v>
      </c>
      <c r="F379" s="383">
        <f t="shared" si="123"/>
        <v>25.278911318099443</v>
      </c>
      <c r="G379" s="110">
        <f t="shared" si="145"/>
        <v>1.0163088310105435</v>
      </c>
      <c r="H379" s="412" t="b">
        <f>Wh_hp&gt;='2020'!Maxi_hp</f>
        <v>1</v>
      </c>
      <c r="I379" s="379">
        <f>IF(H379,Wh_hp,'2020'!Maxi_hp)</f>
        <v>25.278911318099443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2.0485415482358049E-2</v>
      </c>
      <c r="M379" s="832"/>
      <c r="N379" s="832"/>
      <c r="O379" s="48">
        <f>IF(t&lt;Tnet,'2020'!Resal+('2020'!Salim-'2020'!Resal)*(1-EXP(('2020'!Tnet-t)/('2020'!Tau_j))),Resal+(Salim-Resal)*(1-EXP((Tnet-t)/(Tau_j))))*Salcycl</f>
        <v>7.6892590398950827E-2</v>
      </c>
      <c r="P379" s="169">
        <f>(INDEX(Models!$BJ379:$BT379,,T379)*(1-R379)+INDEX(Models!$BJ379:$BT379,,T379+1)*R379-ERP_i)*Q379*Ramure*Pc/MaxiM</f>
        <v>3.7240078315400943E-3</v>
      </c>
      <c r="Q379" s="305">
        <f t="shared" si="125"/>
        <v>0.6</v>
      </c>
      <c r="R379" s="177">
        <f t="shared" si="126"/>
        <v>0.9991123052031925</v>
      </c>
      <c r="S379" s="799">
        <f t="shared" si="127"/>
        <v>-1</v>
      </c>
      <c r="T379" s="176">
        <f t="shared" si="128"/>
        <v>5</v>
      </c>
      <c r="U379" s="306">
        <f t="shared" si="129"/>
        <v>-8.8769479680755881E-4</v>
      </c>
      <c r="V379" s="382">
        <f t="shared" si="130"/>
        <v>22.406574955525265</v>
      </c>
      <c r="W379" s="400"/>
      <c r="X379" s="157">
        <f t="shared" si="131"/>
        <v>44561</v>
      </c>
      <c r="Y379" s="383">
        <f t="shared" si="132"/>
        <v>22.772000000000002</v>
      </c>
      <c r="Z379" s="383">
        <f t="shared" si="133"/>
        <v>23.248250061752763</v>
      </c>
      <c r="AA379" s="384">
        <f t="shared" si="134"/>
        <v>25.184772454378031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7.6892590398950827E-2</v>
      </c>
      <c r="AD379" s="230">
        <f>(INDEX(Models!$BJ379:$BT379,,AH379)*(1-AF379)+INDEX(Models!$BJ379:$BT379,,AH379+1)*AF379-ERP_i)*AE379*Ramure*Pc/MaxiM</f>
        <v>3.7240078315400943E-3</v>
      </c>
      <c r="AE379" s="305">
        <f t="shared" si="136"/>
        <v>0.6</v>
      </c>
      <c r="AF379" s="177">
        <f t="shared" si="137"/>
        <v>0.9991123052031925</v>
      </c>
      <c r="AG379" s="799">
        <f t="shared" si="143"/>
        <v>-1</v>
      </c>
      <c r="AH379" s="176">
        <f t="shared" si="138"/>
        <v>5</v>
      </c>
      <c r="AI379" s="221">
        <f t="shared" si="139"/>
        <v>-8.8769479680755881E-4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15"/>
      <c r="B380" s="609"/>
      <c r="C380" s="839"/>
      <c r="D380" s="393"/>
      <c r="E380" s="1116"/>
      <c r="F380" s="1116"/>
      <c r="G380" s="1117"/>
      <c r="H380" s="412" t="b">
        <f>Wh_hp&gt;='2020'!Maxi_hp</f>
        <v>0</v>
      </c>
      <c r="I380" s="380">
        <f>IF(H380,Wh_hp,'2020'!Maxi_hp)</f>
        <v>14.71093936617153</v>
      </c>
      <c r="J380" s="128">
        <f>IF(H380,An,'2020'!An_max)</f>
        <v>2020</v>
      </c>
      <c r="K380" s="233">
        <f t="shared" si="124"/>
        <v>0</v>
      </c>
      <c r="L380" s="1118"/>
      <c r="M380" s="1119"/>
      <c r="N380" s="1119"/>
      <c r="O380" s="1120"/>
      <c r="P380" s="321"/>
      <c r="Q380" s="1121"/>
      <c r="R380" s="1122"/>
      <c r="S380" s="1123"/>
      <c r="T380" s="1124"/>
      <c r="U380" s="322"/>
      <c r="V380" s="395"/>
      <c r="W380" s="400"/>
      <c r="X380" s="1125"/>
      <c r="Y380" s="1126"/>
      <c r="Z380" s="1126"/>
      <c r="AA380" s="1127"/>
      <c r="AB380" s="1128"/>
      <c r="AC380" s="1129"/>
      <c r="AD380" s="1130"/>
      <c r="AE380" s="1121"/>
      <c r="AF380" s="1122"/>
      <c r="AG380" s="1123"/>
      <c r="AH380" s="1124"/>
      <c r="AI380" s="1131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1.7690000000000001</v>
      </c>
      <c r="C381" s="374"/>
      <c r="D381" s="372">
        <f>MIN(D15:D380)</f>
        <v>1.8047164062221746</v>
      </c>
      <c r="E381" s="372">
        <f>MIN(E15:E380)</f>
        <v>1.9509439713183834</v>
      </c>
      <c r="F381" s="373">
        <f>MIN(F15:F380)</f>
        <v>1.9509439713183834</v>
      </c>
      <c r="G381" s="125">
        <f>+MIN(G15:G380)</f>
        <v>7.0780836952377746E-2</v>
      </c>
      <c r="H381" s="94"/>
      <c r="I381" s="373">
        <f>MIN(I15:I380)</f>
        <v>6.5281474457395792</v>
      </c>
      <c r="J381" s="57">
        <f>MIN(J15:J380)</f>
        <v>2018</v>
      </c>
      <c r="K381" s="200" t="s">
        <v>7</v>
      </c>
      <c r="L381" s="146">
        <f t="shared" ref="L381:T381" si="146">MIN(L15:L380)</f>
        <v>1.3628389182788747E-2</v>
      </c>
      <c r="M381" s="833"/>
      <c r="N381" s="833"/>
      <c r="O381" s="47">
        <f t="shared" si="146"/>
        <v>4.8025118577546266E-2</v>
      </c>
      <c r="P381" s="168">
        <f t="shared" si="146"/>
        <v>5.4538037366502991E-5</v>
      </c>
      <c r="Q381" s="309">
        <f t="shared" si="146"/>
        <v>0.6</v>
      </c>
      <c r="R381" s="310">
        <f t="shared" si="146"/>
        <v>0.49911357823936353</v>
      </c>
      <c r="S381" s="799">
        <f t="shared" si="146"/>
        <v>-1</v>
      </c>
      <c r="T381" s="176">
        <f t="shared" si="146"/>
        <v>5</v>
      </c>
      <c r="U381" s="251">
        <f>+MIN(U15:U380)</f>
        <v>-0.50088642176063647</v>
      </c>
      <c r="V381" s="372">
        <f>MIN(V15:V380)</f>
        <v>21.728498782765378</v>
      </c>
      <c r="W381" s="793"/>
      <c r="X381" s="112" t="s">
        <v>7</v>
      </c>
      <c r="Y381" s="374">
        <f>MIN(Y15:Y380)</f>
        <v>1.7690000000000001</v>
      </c>
      <c r="Z381" s="374">
        <f>MIN(Z15:Z380)</f>
        <v>1.8047164062221746</v>
      </c>
      <c r="AA381" s="374">
        <f>MIN(AA15:AA380)</f>
        <v>1.9509439713183834</v>
      </c>
      <c r="AB381" s="200" t="s">
        <v>7</v>
      </c>
      <c r="AC381" s="48">
        <f t="shared" ref="AC381:AH381" si="147">MIN(AC15:AC380)</f>
        <v>4.8025118577546266E-2</v>
      </c>
      <c r="AD381" s="169">
        <f t="shared" si="147"/>
        <v>5.4538037366502991E-5</v>
      </c>
      <c r="AE381" s="309">
        <f t="shared" si="147"/>
        <v>0.6</v>
      </c>
      <c r="AF381" s="310">
        <f t="shared" si="147"/>
        <v>0.49911357823936353</v>
      </c>
      <c r="AG381" s="799">
        <f t="shared" si="147"/>
        <v>-1</v>
      </c>
      <c r="AH381" s="176">
        <f t="shared" si="147"/>
        <v>5</v>
      </c>
      <c r="AI381" s="224">
        <f>MIN(AI15:AI380)</f>
        <v>-0.50088642176063647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29.532863013698627</v>
      </c>
      <c r="C382" s="374"/>
      <c r="D382" s="374">
        <f>AVERAGE(D15:D380)</f>
        <v>30.041541890213303</v>
      </c>
      <c r="E382" s="374">
        <f>AVERAGE(E15:E380)</f>
        <v>32.116267733651647</v>
      </c>
      <c r="F382" s="375">
        <f>AVERAGE(F15:F380)</f>
        <v>32.128358754460862</v>
      </c>
      <c r="G382" s="126">
        <f>AVERAGE(G15:G380)</f>
        <v>0.65747924805962854</v>
      </c>
      <c r="H382" s="94"/>
      <c r="I382" s="375">
        <f>AVERAGE(I15:I380)</f>
        <v>41.610632799346398</v>
      </c>
      <c r="J382" s="59">
        <f>AVERAGE(J15:J380)</f>
        <v>2019.7896174863388</v>
      </c>
      <c r="K382" s="200" t="s">
        <v>8</v>
      </c>
      <c r="L382" s="147">
        <f t="shared" ref="L382:V382" si="148">AVERAGE(L15:L380)</f>
        <v>1.7060877621118874E-2</v>
      </c>
      <c r="M382" s="832"/>
      <c r="N382" s="832"/>
      <c r="O382" s="48">
        <f t="shared" si="148"/>
        <v>6.4675855531747622E-2</v>
      </c>
      <c r="P382" s="169">
        <f t="shared" si="148"/>
        <v>9.7534435072292158E-4</v>
      </c>
      <c r="Q382" s="311">
        <f t="shared" si="148"/>
        <v>0.59999999999999631</v>
      </c>
      <c r="R382" s="177">
        <f t="shared" si="148"/>
        <v>0.77899717523850687</v>
      </c>
      <c r="S382" s="799">
        <f t="shared" si="148"/>
        <v>-1</v>
      </c>
      <c r="T382" s="176">
        <f t="shared" si="148"/>
        <v>5</v>
      </c>
      <c r="U382" s="250">
        <f t="shared" si="148"/>
        <v>-0.2210028247614928</v>
      </c>
      <c r="V382" s="374">
        <f t="shared" si="148"/>
        <v>43.484097743644561</v>
      </c>
      <c r="X382" s="112" t="s">
        <v>8</v>
      </c>
      <c r="Y382" s="374">
        <f>AVERAGE(Y15:Y380)</f>
        <v>29.532863013698627</v>
      </c>
      <c r="Z382" s="374">
        <f>AVERAGE(Z15:Z380)</f>
        <v>30.041541890213303</v>
      </c>
      <c r="AA382" s="374">
        <f>AVERAGE(AA15:AA380)</f>
        <v>32.116267733651647</v>
      </c>
      <c r="AB382" s="200" t="s">
        <v>8</v>
      </c>
      <c r="AC382" s="48">
        <f t="shared" ref="AC382:AH382" si="149">AVERAGE(AC15:AC380)</f>
        <v>6.4675855531747622E-2</v>
      </c>
      <c r="AD382" s="169">
        <f t="shared" si="149"/>
        <v>9.7534435072292158E-4</v>
      </c>
      <c r="AE382" s="311">
        <f t="shared" si="149"/>
        <v>0.59999999999999631</v>
      </c>
      <c r="AF382" s="177">
        <f t="shared" si="149"/>
        <v>0.77899717523850687</v>
      </c>
      <c r="AG382" s="799">
        <f t="shared" si="149"/>
        <v>-1</v>
      </c>
      <c r="AH382" s="176">
        <f t="shared" si="149"/>
        <v>5</v>
      </c>
      <c r="AI382" s="224">
        <f>AVERAGE(AI15:AI380)</f>
        <v>-0.2210028247614928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58.438000000000002</v>
      </c>
      <c r="C383" s="376"/>
      <c r="D383" s="376">
        <f>MAX(D15:D380)</f>
        <v>59.403455621524884</v>
      </c>
      <c r="E383" s="376">
        <f>MAX(E15:E380)</f>
        <v>63.301440704721593</v>
      </c>
      <c r="F383" s="377">
        <f>MAX(F15:F380)</f>
        <v>63.305602398396879</v>
      </c>
      <c r="G383" s="127">
        <f>+MAX(G15:G380)</f>
        <v>1.0421299155160051</v>
      </c>
      <c r="H383" s="94"/>
      <c r="I383" s="377">
        <f>MAX(I15:I380)</f>
        <v>65.112138934007149</v>
      </c>
      <c r="J383" s="60">
        <f>MAX(J15:J380)</f>
        <v>2021</v>
      </c>
      <c r="K383" s="200" t="s">
        <v>9</v>
      </c>
      <c r="L383" s="148">
        <f t="shared" ref="L383:T383" si="150">MAX(L15:L380)</f>
        <v>2.0485415482358049E-2</v>
      </c>
      <c r="M383" s="834"/>
      <c r="N383" s="834"/>
      <c r="O383" s="49">
        <f t="shared" si="150"/>
        <v>7.6892590398950827E-2</v>
      </c>
      <c r="P383" s="170">
        <f t="shared" si="150"/>
        <v>4.2267225010894508E-3</v>
      </c>
      <c r="Q383" s="312">
        <f t="shared" si="150"/>
        <v>0.6</v>
      </c>
      <c r="R383" s="313">
        <f t="shared" si="150"/>
        <v>0.9991123052031925</v>
      </c>
      <c r="S383" s="800">
        <f t="shared" si="150"/>
        <v>-1</v>
      </c>
      <c r="T383" s="232">
        <f t="shared" si="150"/>
        <v>5</v>
      </c>
      <c r="U383" s="252">
        <f>+MAX(U15:U380)</f>
        <v>-8.8769479680755881E-4</v>
      </c>
      <c r="V383" s="376">
        <f>MAX(V15:V380)</f>
        <v>59.085641730838965</v>
      </c>
      <c r="X383" s="112" t="s">
        <v>9</v>
      </c>
      <c r="Y383" s="376">
        <f>MAX(Y15:Y380)</f>
        <v>58.438000000000002</v>
      </c>
      <c r="Z383" s="376">
        <f>MAX(Z15:Z380)</f>
        <v>59.403455621524884</v>
      </c>
      <c r="AA383" s="376">
        <f>MAX(AA15:AA380)</f>
        <v>63.301440704721593</v>
      </c>
      <c r="AB383" s="200" t="s">
        <v>9</v>
      </c>
      <c r="AC383" s="49">
        <f t="shared" ref="AC383:AH383" si="151">MAX(AC15:AC380)</f>
        <v>7.6892590398950827E-2</v>
      </c>
      <c r="AD383" s="170">
        <f t="shared" si="151"/>
        <v>4.2267225010894508E-3</v>
      </c>
      <c r="AE383" s="312">
        <f t="shared" si="151"/>
        <v>0.6</v>
      </c>
      <c r="AF383" s="313">
        <f t="shared" si="151"/>
        <v>0.9991123052031925</v>
      </c>
      <c r="AG383" s="800">
        <f t="shared" si="151"/>
        <v>-1</v>
      </c>
      <c r="AH383" s="232">
        <f t="shared" si="151"/>
        <v>5</v>
      </c>
      <c r="AI383" s="226">
        <f>MAX(AI15:AI380)</f>
        <v>-8.8769479680755881E-4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273" activePane="bottomRight" state="frozen"/>
      <selection pane="topRight"/>
      <selection pane="bottomLeft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'2021'!An+1</f>
        <v>2022</v>
      </c>
      <c r="K1" s="1279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-0.40329038973226261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610.51011334887289</v>
      </c>
      <c r="AK4" s="822">
        <f>AM12-AK12</f>
        <v>-0.37520003656309076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610.82984145338833</v>
      </c>
      <c r="AA5" s="236">
        <f>Wh_Pvg_s-Wh_Pvg</f>
        <v>-0.37798961774554662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2958.7675000000004</v>
      </c>
      <c r="AK5" s="514">
        <f>SUMIF(AK15:AK380,"VRAI",Wh)</f>
        <v>4.5395500000000002</v>
      </c>
      <c r="AL5" s="514">
        <f>SUMIF(AJ15:AJ380,"VRAI",Wh_s)</f>
        <v>2954.2279500000004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8589.6364999999951</v>
      </c>
      <c r="AK6" s="514">
        <f>SUMIF(AK15:AK380,"FAUX",Wh)</f>
        <v>11543.864449999986</v>
      </c>
      <c r="AL6" s="514">
        <f>SUMIF(AJ15:AJ380,"FAUX",Wh_s)</f>
        <v>7979.0647995985864</v>
      </c>
      <c r="AM6" s="514">
        <f>SUMIF(AK15:AK380,"FAUX",Wh_s)</f>
        <v>10933.292749598575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3020.0998463633332</v>
      </c>
      <c r="AK7" s="514">
        <f>SUMIF(AK15:AK380,"VRAI",Wh_sa)</f>
        <v>0</v>
      </c>
      <c r="AL7" s="514">
        <f>SUMIF(AJ15:AJ380,"VRAI",Wh_pvt_s)</f>
        <v>3020.0998463633332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8805.991082706656</v>
      </c>
      <c r="AK8" s="514">
        <f>SUMIF(AK15:AK380,"FAUX",Wh_sa)</f>
        <v>12249.358045050001</v>
      </c>
      <c r="AL8" s="514">
        <f>SUMIF(AJ15:AJ380,"FAUX",Wh_pvt_s)</f>
        <v>8180.098022730157</v>
      </c>
      <c r="AM8" s="514">
        <f>SUMIF(AK15:AK380,"FAUX",Wh_sa_s)</f>
        <v>12249.358045050001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11826.090929069984</v>
      </c>
      <c r="E9" s="184">
        <f>SUM(E$15:E$380)</f>
        <v>12249.358045050001</v>
      </c>
      <c r="F9" s="184">
        <f>SUM(F$15:F$380)</f>
        <v>12256.885350333485</v>
      </c>
      <c r="H9" s="1280">
        <f>+SUM(Wh)</f>
        <v>11548.403999999986</v>
      </c>
      <c r="I9" s="1281"/>
      <c r="J9" s="1282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10933.292749598575</v>
      </c>
      <c r="Y9" s="1275"/>
      <c r="Z9" s="514">
        <f>SUM(Wh_pvt_s)</f>
        <v>11200.197869093494</v>
      </c>
      <c r="AA9" s="514">
        <f>SUM(Wh_sa_s)</f>
        <v>12249.358045050001</v>
      </c>
      <c r="AB9" s="514">
        <f>F9</f>
        <v>12256.885350333485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3288.4033663311998</v>
      </c>
      <c r="AK9" s="514">
        <f>SUMIF(AK15:AK380,"VRAI",Wh_hp)</f>
        <v>0</v>
      </c>
      <c r="AL9" s="514">
        <f>SUMIF(AJ15:AJ380,"VRAI",Wh_sa_s)</f>
        <v>3288.4033663311998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8.0000000000000002E-3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8.4558263050890259E-2</v>
      </c>
      <c r="AD10" s="426"/>
      <c r="AE10" s="426"/>
      <c r="AF10" s="259"/>
      <c r="AG10" s="260"/>
      <c r="AH10" s="261"/>
      <c r="AI10" s="471"/>
      <c r="AJ10" s="514">
        <f>SUMIF(AJ15:AJ380,"FAUX",Wh_sa)</f>
        <v>8960.9546787188028</v>
      </c>
      <c r="AK10" s="514">
        <f>SUMIF(AK15:AK380,"FAUX",Wh_hp)</f>
        <v>12256.885350333485</v>
      </c>
      <c r="AL10" s="514">
        <f>SUMIF(AJ15:AJ380,"FAUX",Wh_sa_s)</f>
        <v>8960.9546787188028</v>
      </c>
      <c r="AM10" s="514">
        <f>SUMIF(AK15:AK380,"FAUX",Wh_hp)</f>
        <v>12256.885350333485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277.68692906999786</v>
      </c>
      <c r="E11" s="51">
        <f>(E$9-D$9)*Prod_an/D$9</f>
        <v>413.32843494688854</v>
      </c>
      <c r="F11" s="186">
        <f>(F$9-E$9)*Prod_an/E$9</f>
        <v>7.0965647444791342</v>
      </c>
      <c r="G11" s="185" t="s">
        <v>6</v>
      </c>
      <c r="K11" s="194"/>
      <c r="L11" s="211">
        <f>Tvie_2022</f>
        <v>43481</v>
      </c>
      <c r="M11" s="831"/>
      <c r="N11" s="831"/>
      <c r="O11" s="202">
        <f>IF(An_Tnet,Salim_2022,'2021'!Salim)</f>
        <v>0.08</v>
      </c>
      <c r="P11" s="255">
        <f>Ttai_2022</f>
        <v>43466</v>
      </c>
      <c r="Q11" s="271">
        <f>Dens_2022</f>
        <v>0.6</v>
      </c>
      <c r="R11" s="276"/>
      <c r="S11" s="229"/>
      <c r="T11" s="229"/>
      <c r="U11" s="265">
        <f>Htf_2022</f>
        <v>0.49911230520319244</v>
      </c>
      <c r="V11" s="19"/>
      <c r="W11" s="824"/>
      <c r="X11" s="234" t="s">
        <v>43</v>
      </c>
      <c r="Y11" s="50">
        <f>Z$9-Prod_an_s</f>
        <v>266.90511949491884</v>
      </c>
      <c r="Z11" s="51">
        <f>(AA$9-Z$9)*Prod_an_s/Z$9</f>
        <v>1024.1582764002769</v>
      </c>
      <c r="AA11" s="186">
        <f>(AB$9-AA$9)*Prod_an_s/AA$9</f>
        <v>6.7185751267335876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262.85479798704012</v>
      </c>
      <c r="AK11" s="822">
        <f>IF($AK7=0,0,($AK9-$AK7)*$AK5/$AK7)</f>
        <v>0</v>
      </c>
      <c r="AL11" s="821">
        <f>IF($AL7=0,0,($AL9-$AL7)*$AL5/$AL7)</f>
        <v>262.45150759730785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Pspv_2022</f>
        <v>0</v>
      </c>
      <c r="M12" s="212"/>
      <c r="N12" s="212"/>
      <c r="O12" s="205">
        <f>IF(An_Tnet,Tau_2022*365,'2021'!Tau_j)</f>
        <v>730</v>
      </c>
      <c r="P12" s="280">
        <f>INDEX(Croivg,MIN(MAX(Ttai-$A$15,0)+1,366))</f>
        <v>2.3909964587625958E-6</v>
      </c>
      <c r="Q12" s="279">
        <f>'2021'!Df</f>
        <v>0.6</v>
      </c>
      <c r="R12" s="277"/>
      <c r="S12" s="278"/>
      <c r="T12" s="278"/>
      <c r="U12" s="266">
        <f>'2021'!Hdf</f>
        <v>-8.8769479680755881E-4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0.6</v>
      </c>
      <c r="AF12" s="203"/>
      <c r="AG12" s="203"/>
      <c r="AH12" s="203"/>
      <c r="AI12" s="296">
        <f>'2021'!Hdf_s</f>
        <v>-8.8769479680755881E-4</v>
      </c>
      <c r="AJ12" s="821">
        <f>IF($AJ8=0,0,($AJ10-$AJ8)*$AJ6/$AJ8)</f>
        <v>151.156292116987</v>
      </c>
      <c r="AK12" s="822">
        <f>IF($AK8=0,0,($AK10-$AK8)*$AK6/$AK8)</f>
        <v>7.0937751632966783</v>
      </c>
      <c r="AL12" s="821">
        <f>IF($AL8=0,0,($AL10-$AL8)*$AL6/$AL8)</f>
        <v>761.66640546585995</v>
      </c>
      <c r="AM12" s="822">
        <f>IF($AM8=0,0,($AM10-$AM8)*$AM6/$AM8)</f>
        <v>6.7185751267335876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271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414.01109010402712</v>
      </c>
      <c r="AK13" s="73">
        <f>+AK11+AK12</f>
        <v>7.0937751632966783</v>
      </c>
      <c r="AL13" s="73">
        <f>+AL11+AL12</f>
        <v>1024.1179130631679</v>
      </c>
      <c r="AM13" s="73">
        <f>+AM11+AM12</f>
        <v>6.7185751267335876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2022</v>
      </c>
      <c r="W14" s="826" t="s">
        <v>116</v>
      </c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1152">
        <v>22.93</v>
      </c>
      <c r="C15" s="388"/>
      <c r="D15" s="391">
        <f t="shared" ref="D15:D78" si="0">Wh/(1-Ppv)</f>
        <v>23.410003096516338</v>
      </c>
      <c r="E15" s="398">
        <f t="shared" ref="E15:E79" si="1">Wh_pvt/(1-Psa)</f>
        <v>25.361745059477002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Wh_hp&gt;='2021'!Maxi_hp</f>
        <v>1</v>
      </c>
      <c r="I15" s="378">
        <f>IF(H15,Wh_hp,'2021'!Maxi_hp)</f>
        <v>25.454097031999808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2.0504187655907113E-2</v>
      </c>
      <c r="M15" s="832"/>
      <c r="N15" s="832"/>
      <c r="O15" s="48">
        <f>IF(t&lt;Tnet,'2021'!Resal+('2021'!Salim-'2021'!Resal)*(1-EXP(('2021'!Tnet-t)/('2021'!Tau_j))),Resal+(Salim-Resal)*(1-EXP((Tnet-t)/(Tau_j))))*Salcycl</f>
        <v>7.6956138403865532E-2</v>
      </c>
      <c r="P15" s="301">
        <f>(INDEX(Models!$BJ15:$BT15,,T15)*(1-R15)+INDEX(Models!$BJ15:$BT15,,T15+1)*R15-ERP_i)*Q15*Ramure*Pc/MaxiM</f>
        <v>3.6281771223982385E-3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0.9991135007014218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-8.8649929857817749E-4</v>
      </c>
      <c r="V15" s="381">
        <f t="shared" ref="V15:V78" si="9">MaxiM*(1-Ppv)*(1-Pvg)*(1-Psa)</f>
        <v>22.537704513700483</v>
      </c>
      <c r="W15" s="400">
        <f t="shared" ref="W15:W78" si="10">Wh*(A15&gt;Tmaj)</f>
        <v>0</v>
      </c>
      <c r="X15" s="156">
        <f t="shared" ref="X15:X78" si="11">t</f>
        <v>44562</v>
      </c>
      <c r="Y15" s="383">
        <f t="shared" ref="Y15:Y78" si="12">Wh_pvt_s*(1-Ppv)</f>
        <v>22.93</v>
      </c>
      <c r="Z15" s="383">
        <f t="shared" ref="Z15:Z78" si="13">Wh_sa_s*(1-Psa_s)</f>
        <v>23.410003096516338</v>
      </c>
      <c r="AA15" s="384">
        <f t="shared" ref="AA15:AA78" si="14">Wh_hp*(1-Pvg_s*MEDIAN((-Sdif+Wh/Env_an)/Csdif,0,1))</f>
        <v>25.361745059477002</v>
      </c>
      <c r="AB15" s="197">
        <f t="shared" ref="AB15:AB78" si="15">t</f>
        <v>44562</v>
      </c>
      <c r="AC15" s="119">
        <f>IF(OR(t&lt;Tnet,NoTnet),'2021'!Resal_s+('2021'!Salim-'2021'!Resal_s)*(1-EXP(('2021'!Tnet_s-t)/'2021'!Tau_j)),Resal_s+(Salim-Resal_s)*(1-EXP((Tnet_s-t)/Tau_j)))*Salcycl</f>
        <v>7.6956138403865532E-2</v>
      </c>
      <c r="AD15" s="230">
        <f>(INDEX(Models!$BJ15:$BT15,,AH15)*(1-AF15)+INDEX(Models!$BJ15:$BT15,,AH15+1)*AF15-ERP_i)*AE15*Ramure*Pc/MaxiM</f>
        <v>3.6281771223982385E-3</v>
      </c>
      <c r="AE15" s="302">
        <f t="shared" ref="AE15:AE78" si="16">IF(OR(t&lt;Ttai,Notai),Dd_s+PousD*Croivg,Dens_s+PousD*(Croivg-Croi_tai))</f>
        <v>0.6</v>
      </c>
      <c r="AF15" s="303">
        <f>(Hp_vg_s-AG15)/(INDEX(Echel_vg,AH15+1)-AG15)</f>
        <v>0.9991135007014218</v>
      </c>
      <c r="AG15" s="798">
        <f>INDEX(Echel_vg,AH15)</f>
        <v>-1</v>
      </c>
      <c r="AH15" s="248">
        <f t="shared" ref="AH15:AH78" si="17">MIN(MATCH(Hp_vg_s,Echel_vg),10)</f>
        <v>5</v>
      </c>
      <c r="AI15" s="223">
        <f t="shared" ref="AI15:AI78" si="18">IF(OR(t&lt;Ttai,Notai),Hdd_s+PousH*Croivg,Hdtai_s+PousH*(Croivg-Croi_tai))</f>
        <v>-8.8649929857817749E-4</v>
      </c>
      <c r="AJ15" s="264" t="b">
        <f t="shared" ref="AJ15:AJ78" si="19">t&lt;Tnet</f>
        <v>1</v>
      </c>
      <c r="AK15" s="264" t="b">
        <f t="shared" ref="AK15:AK78" si="20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1">A15+1</f>
        <v>44563</v>
      </c>
      <c r="B16" s="1153">
        <v>15.814</v>
      </c>
      <c r="C16" s="388"/>
      <c r="D16" s="391">
        <f t="shared" si="0"/>
        <v>16.145350371294043</v>
      </c>
      <c r="E16" s="383">
        <f t="shared" si="1"/>
        <v>17.492629426138095</v>
      </c>
      <c r="F16" s="383">
        <f t="shared" si="2"/>
        <v>17.527788053234588</v>
      </c>
      <c r="G16" s="110">
        <f t="shared" ref="G16:G79" si="22">+Wh_hp/MaxiM</f>
        <v>0.69624884661171682</v>
      </c>
      <c r="H16" s="412" t="b">
        <f>Wh_hp&gt;='2021'!Maxi_hp</f>
        <v>0</v>
      </c>
      <c r="I16" s="379">
        <f>IF(H16,Wh_hp,'2021'!Maxi_hp)</f>
        <v>24.084283353934023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2.0522959469691848E-2</v>
      </c>
      <c r="M16" s="832"/>
      <c r="N16" s="832"/>
      <c r="O16" s="48">
        <f>IF(t&lt;Tnet,'2021'!Resal+('2021'!Salim-'2021'!Resal)*(1-EXP(('2021'!Tnet-t)/('2021'!Tau_j))),Resal+(Salim-Resal)*(1-EXP((Tnet-t)/(Tau_j))))*Salcycl</f>
        <v>7.7019813432444809E-2</v>
      </c>
      <c r="P16" s="169">
        <f>(INDEX(Models!$BJ16:$BT16,,T16)*(1-R16)+INDEX(Models!$BJ16:$BT16,,T16+1)*R16-ERP_i)*Q16*Ramure*Pc/MaxiM</f>
        <v>3.5339968442442871E-3</v>
      </c>
      <c r="Q16" s="304">
        <f t="shared" si="4"/>
        <v>0.6</v>
      </c>
      <c r="R16" s="177">
        <f t="shared" si="5"/>
        <v>0.9991427153154161</v>
      </c>
      <c r="S16" s="799">
        <f t="shared" si="6"/>
        <v>-1</v>
      </c>
      <c r="T16" s="176">
        <f t="shared" si="7"/>
        <v>5</v>
      </c>
      <c r="U16" s="250">
        <f t="shared" si="8"/>
        <v>-8.5728468458393862E-4</v>
      </c>
      <c r="V16" s="382">
        <f t="shared" si="9"/>
        <v>22.678365436537334</v>
      </c>
      <c r="W16" s="400">
        <f t="shared" si="10"/>
        <v>0</v>
      </c>
      <c r="X16" s="157">
        <f t="shared" si="11"/>
        <v>44563</v>
      </c>
      <c r="Y16" s="383">
        <f t="shared" si="12"/>
        <v>15.814000000000002</v>
      </c>
      <c r="Z16" s="383">
        <f t="shared" si="13"/>
        <v>16.145350371294043</v>
      </c>
      <c r="AA16" s="384">
        <f t="shared" si="14"/>
        <v>17.492629426138095</v>
      </c>
      <c r="AB16" s="197">
        <f t="shared" si="15"/>
        <v>44563</v>
      </c>
      <c r="AC16" s="119">
        <f>IF(OR(t&lt;Tnet,NoTnet),'2021'!Resal_s+('2021'!Salim-'2021'!Resal_s)*(1-EXP(('2021'!Tnet_s-t)/'2021'!Tau_j)),Resal_s+(Salim-Resal_s)*(1-EXP((Tnet_s-t)/Tau_j)))*Salcycl</f>
        <v>7.7019813432444809E-2</v>
      </c>
      <c r="AD16" s="230">
        <f>(INDEX(Models!$BJ16:$BT16,,AH16)*(1-AF16)+INDEX(Models!$BJ16:$BT16,,AH16+1)*AF16-ERP_i)*AE16*Ramure*Pc/MaxiM</f>
        <v>3.5339968442442871E-3</v>
      </c>
      <c r="AE16" s="304">
        <f t="shared" si="16"/>
        <v>0.6</v>
      </c>
      <c r="AF16" s="177">
        <f t="shared" ref="AF16:AF78" si="23">(Hp_vg_s-AG16)/(INDEX(Echel_vg,AH16+1)-AG16)</f>
        <v>0.9991427153154161</v>
      </c>
      <c r="AG16" s="799">
        <f t="shared" ref="AG16:AG79" si="24">INDEX(Echel_vg,AH16)</f>
        <v>-1</v>
      </c>
      <c r="AH16" s="176">
        <f t="shared" si="17"/>
        <v>5</v>
      </c>
      <c r="AI16" s="224">
        <f t="shared" si="18"/>
        <v>-8.5728468458393862E-4</v>
      </c>
      <c r="AJ16" s="264" t="b">
        <f t="shared" si="19"/>
        <v>1</v>
      </c>
      <c r="AK16" s="264" t="b">
        <f t="shared" si="20"/>
        <v>0</v>
      </c>
      <c r="AL16" s="264"/>
      <c r="AM16" s="264"/>
      <c r="AN16" s="75"/>
    </row>
    <row r="17" spans="1:40" s="6" customFormat="1" ht="11.25" x14ac:dyDescent="0.2">
      <c r="A17" s="56">
        <f t="shared" si="21"/>
        <v>44564</v>
      </c>
      <c r="B17" s="1153">
        <v>17.074999999999999</v>
      </c>
      <c r="C17" s="388"/>
      <c r="D17" s="391">
        <f t="shared" si="0"/>
        <v>17.43310617623688</v>
      </c>
      <c r="E17" s="383">
        <f t="shared" si="1"/>
        <v>18.889149757949536</v>
      </c>
      <c r="F17" s="383">
        <f t="shared" si="2"/>
        <v>18.930844479535686</v>
      </c>
      <c r="G17" s="110">
        <f t="shared" si="22"/>
        <v>0.74705305299308977</v>
      </c>
      <c r="H17" s="412" t="b">
        <f>Wh_hp&gt;='2021'!Maxi_hp</f>
        <v>0</v>
      </c>
      <c r="I17" s="379">
        <f>IF(H17,Wh_hp,'2021'!Maxi_hp)</f>
        <v>25.872417420672249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2.0541730923718915E-2</v>
      </c>
      <c r="M17" s="832"/>
      <c r="N17" s="832"/>
      <c r="O17" s="48">
        <f>IF(t&lt;Tnet,'2021'!Resal+('2021'!Salim-'2021'!Resal)*(1-EXP(('2021'!Tnet-t)/('2021'!Tau_j))),Resal+(Salim-Resal)*(1-EXP((Tnet-t)/(Tau_j))))*Salcycl</f>
        <v>7.7083595628748558E-2</v>
      </c>
      <c r="P17" s="169">
        <f>(INDEX(Models!$BJ17:$BT17,,T17)*(1-R17)+INDEX(Models!$BJ17:$BT17,,T17+1)*R17-ERP_i)*Q17*Ramure*Pc/MaxiM</f>
        <v>3.4415072622136973E-3</v>
      </c>
      <c r="Q17" s="304">
        <f t="shared" si="4"/>
        <v>0.6</v>
      </c>
      <c r="R17" s="177">
        <f t="shared" si="5"/>
        <v>0.99917315191090561</v>
      </c>
      <c r="S17" s="799">
        <f t="shared" si="6"/>
        <v>-1</v>
      </c>
      <c r="T17" s="176">
        <f t="shared" si="7"/>
        <v>5</v>
      </c>
      <c r="U17" s="250">
        <f t="shared" si="8"/>
        <v>-8.2684808909435606E-4</v>
      </c>
      <c r="V17" s="382">
        <f t="shared" si="9"/>
        <v>22.828093353293426</v>
      </c>
      <c r="W17" s="400">
        <f t="shared" si="10"/>
        <v>0</v>
      </c>
      <c r="X17" s="157">
        <f t="shared" si="11"/>
        <v>44564</v>
      </c>
      <c r="Y17" s="383">
        <f t="shared" si="12"/>
        <v>17.074999999999999</v>
      </c>
      <c r="Z17" s="383">
        <f t="shared" si="13"/>
        <v>17.43310617623688</v>
      </c>
      <c r="AA17" s="384">
        <f t="shared" si="14"/>
        <v>18.889149757949536</v>
      </c>
      <c r="AB17" s="197">
        <f t="shared" si="15"/>
        <v>44564</v>
      </c>
      <c r="AC17" s="119">
        <f>IF(OR(t&lt;Tnet,NoTnet),'2021'!Resal_s+('2021'!Salim-'2021'!Resal_s)*(1-EXP(('2021'!Tnet_s-t)/'2021'!Tau_j)),Resal_s+(Salim-Resal_s)*(1-EXP((Tnet_s-t)/Tau_j)))*Salcycl</f>
        <v>7.7083595628748558E-2</v>
      </c>
      <c r="AD17" s="230">
        <f>(INDEX(Models!$BJ17:$BT17,,AH17)*(1-AF17)+INDEX(Models!$BJ17:$BT17,,AH17+1)*AF17-ERP_i)*AE17*Ramure*Pc/MaxiM</f>
        <v>3.4415072622136973E-3</v>
      </c>
      <c r="AE17" s="304">
        <f t="shared" si="16"/>
        <v>0.6</v>
      </c>
      <c r="AF17" s="177">
        <f>(Hp_vg_s-AG17)/(INDEX(Echel_vg,AH17+1)-AG17)</f>
        <v>0.99917315191090561</v>
      </c>
      <c r="AG17" s="799">
        <f>INDEX(Echel_vg,AH17)</f>
        <v>-1</v>
      </c>
      <c r="AH17" s="176">
        <f t="shared" si="17"/>
        <v>5</v>
      </c>
      <c r="AI17" s="224">
        <f t="shared" si="18"/>
        <v>-8.2684808909435606E-4</v>
      </c>
      <c r="AJ17" s="264" t="b">
        <f t="shared" si="19"/>
        <v>1</v>
      </c>
      <c r="AK17" s="264" t="b">
        <f t="shared" si="20"/>
        <v>0</v>
      </c>
      <c r="AL17" s="264"/>
      <c r="AM17" s="264"/>
      <c r="AN17" s="75"/>
    </row>
    <row r="18" spans="1:40" s="6" customFormat="1" ht="11.25" x14ac:dyDescent="0.2">
      <c r="A18" s="56">
        <f t="shared" si="21"/>
        <v>44565</v>
      </c>
      <c r="B18" s="1153">
        <v>18.144000000000002</v>
      </c>
      <c r="C18" s="388"/>
      <c r="D18" s="391">
        <f t="shared" si="0"/>
        <v>18.524880850101642</v>
      </c>
      <c r="E18" s="383">
        <f t="shared" si="1"/>
        <v>20.073500582959333</v>
      </c>
      <c r="F18" s="383">
        <f t="shared" si="2"/>
        <v>20.120630976461818</v>
      </c>
      <c r="G18" s="110">
        <f t="shared" si="22"/>
        <v>0.78853768771935029</v>
      </c>
      <c r="H18" s="412" t="b">
        <f>Wh_hp&gt;='2021'!Maxi_hp</f>
        <v>0</v>
      </c>
      <c r="I18" s="379">
        <f>IF(H18,Wh_hp,'2021'!Maxi_hp)</f>
        <v>21.824345162432092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2.0560502017995419E-2</v>
      </c>
      <c r="M18" s="832"/>
      <c r="N18" s="832"/>
      <c r="O18" s="48">
        <f>IF(t&lt;Tnet,'2021'!Resal+('2021'!Salim-'2021'!Resal)*(1-EXP(('2021'!Tnet-t)/('2021'!Tau_j))),Resal+(Salim-Resal)*(1-EXP((Tnet-t)/(Tau_j))))*Salcycl</f>
        <v>7.7147467451309223E-2</v>
      </c>
      <c r="P18" s="169">
        <f>(INDEX(Models!$BJ18:$BT18,,T18)*(1-R18)+INDEX(Models!$BJ18:$BT18,,T18+1)*R18-ERP_i)*Q18*Ramure*Pc/MaxiM</f>
        <v>3.3508172915523524E-3</v>
      </c>
      <c r="Q18" s="304">
        <f t="shared" si="4"/>
        <v>0.6</v>
      </c>
      <c r="R18" s="177">
        <f t="shared" si="5"/>
        <v>0.99920486144220078</v>
      </c>
      <c r="S18" s="799">
        <f t="shared" si="6"/>
        <v>-1</v>
      </c>
      <c r="T18" s="176">
        <f t="shared" si="7"/>
        <v>5</v>
      </c>
      <c r="U18" s="250">
        <f t="shared" si="8"/>
        <v>-7.9513855779923641E-4</v>
      </c>
      <c r="V18" s="382">
        <f t="shared" si="9"/>
        <v>22.986422138497854</v>
      </c>
      <c r="W18" s="400">
        <f t="shared" si="10"/>
        <v>0</v>
      </c>
      <c r="X18" s="157">
        <f t="shared" si="11"/>
        <v>44565</v>
      </c>
      <c r="Y18" s="383">
        <f t="shared" si="12"/>
        <v>18.144000000000002</v>
      </c>
      <c r="Z18" s="383">
        <f>Wh_sa_s*(1-Psa_s)</f>
        <v>18.524880850101642</v>
      </c>
      <c r="AA18" s="384">
        <f t="shared" si="14"/>
        <v>20.073500582959333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7.7147467451309223E-2</v>
      </c>
      <c r="AD18" s="230">
        <f>(INDEX(Models!$BJ18:$BT18,,AH18)*(1-AF18)+INDEX(Models!$BJ18:$BT18,,AH18+1)*AF18-ERP_i)*AE18*Ramure*Pc/MaxiM</f>
        <v>3.3508172915523524E-3</v>
      </c>
      <c r="AE18" s="304">
        <f t="shared" si="16"/>
        <v>0.6</v>
      </c>
      <c r="AF18" s="177">
        <f t="shared" si="23"/>
        <v>0.99920486144220078</v>
      </c>
      <c r="AG18" s="799">
        <f t="shared" si="24"/>
        <v>-1</v>
      </c>
      <c r="AH18" s="176">
        <f t="shared" si="17"/>
        <v>5</v>
      </c>
      <c r="AI18" s="224">
        <f t="shared" si="18"/>
        <v>-7.9513855779923641E-4</v>
      </c>
      <c r="AJ18" s="264" t="b">
        <f t="shared" si="19"/>
        <v>1</v>
      </c>
      <c r="AK18" s="264" t="b">
        <f t="shared" si="20"/>
        <v>0</v>
      </c>
      <c r="AL18" s="264"/>
      <c r="AM18" s="264"/>
      <c r="AN18" s="75"/>
    </row>
    <row r="19" spans="1:40" s="6" customFormat="1" ht="11.25" x14ac:dyDescent="0.2">
      <c r="A19" s="56">
        <f t="shared" si="21"/>
        <v>44566</v>
      </c>
      <c r="B19" s="1153">
        <v>14.348000000000001</v>
      </c>
      <c r="C19" s="388"/>
      <c r="D19" s="391">
        <f t="shared" si="0"/>
        <v>14.649475553088504</v>
      </c>
      <c r="E19" s="383">
        <f t="shared" si="1"/>
        <v>15.875224043091029</v>
      </c>
      <c r="F19" s="383">
        <f t="shared" si="2"/>
        <v>15.89891096179743</v>
      </c>
      <c r="G19" s="110">
        <f t="shared" si="22"/>
        <v>0.6186068989353618</v>
      </c>
      <c r="H19" s="412" t="b">
        <f>Wh_hp&gt;='2021'!Maxi_hp</f>
        <v>1</v>
      </c>
      <c r="I19" s="379">
        <f>IF(H19,Wh_hp,'2021'!Maxi_hp)</f>
        <v>15.89891096179743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2.0579272752528244E-2</v>
      </c>
      <c r="M19" s="832"/>
      <c r="N19" s="832"/>
      <c r="O19" s="48">
        <f>IF(t&lt;Tnet,'2021'!Resal+('2021'!Salim-'2021'!Resal)*(1-EXP(('2021'!Tnet-t)/('2021'!Tau_j))),Resal+(Salim-Resal)*(1-EXP((Tnet-t)/(Tau_j))))*Salcycl</f>
        <v>7.7211413626378192E-2</v>
      </c>
      <c r="P19" s="169">
        <f>(INDEX(Models!$BJ19:$BT19,,T19)*(1-R19)+INDEX(Models!$BJ19:$BT19,,T19+1)*R19-ERP_i)*Q19*Ramure*Pc/MaxiM</f>
        <v>3.2620258611420986E-3</v>
      </c>
      <c r="Q19" s="304">
        <f t="shared" si="4"/>
        <v>0.6</v>
      </c>
      <c r="R19" s="177">
        <f t="shared" si="5"/>
        <v>0.9992378969747624</v>
      </c>
      <c r="S19" s="799">
        <f t="shared" si="6"/>
        <v>-1</v>
      </c>
      <c r="T19" s="176">
        <f t="shared" si="7"/>
        <v>5</v>
      </c>
      <c r="U19" s="250">
        <f t="shared" si="8"/>
        <v>-7.6210302523756961E-4</v>
      </c>
      <c r="V19" s="382">
        <f t="shared" si="9"/>
        <v>23.152885684938369</v>
      </c>
      <c r="W19" s="400">
        <f t="shared" si="10"/>
        <v>0</v>
      </c>
      <c r="X19" s="157">
        <f t="shared" si="11"/>
        <v>44566</v>
      </c>
      <c r="Y19" s="383">
        <f t="shared" si="12"/>
        <v>14.348000000000001</v>
      </c>
      <c r="Z19" s="383">
        <f t="shared" si="13"/>
        <v>14.649475553088504</v>
      </c>
      <c r="AA19" s="384">
        <f t="shared" si="14"/>
        <v>15.875224043091029</v>
      </c>
      <c r="AB19" s="197">
        <f t="shared" si="15"/>
        <v>44566</v>
      </c>
      <c r="AC19" s="119">
        <f>IF(OR(t&lt;Tnet,NoTnet),'2021'!Resal_s+('2021'!Salim-'2021'!Resal_s)*(1-EXP(('2021'!Tnet_s-t)/'2021'!Tau_j)),Resal_s+(Salim-Resal_s)*(1-EXP((Tnet_s-t)/Tau_j)))*Salcycl</f>
        <v>7.7211413626378192E-2</v>
      </c>
      <c r="AD19" s="230">
        <f>(INDEX(Models!$BJ19:$BT19,,AH19)*(1-AF19)+INDEX(Models!$BJ19:$BT19,,AH19+1)*AF19-ERP_i)*AE19*Ramure*Pc/MaxiM</f>
        <v>3.2620258611420986E-3</v>
      </c>
      <c r="AE19" s="304">
        <f t="shared" si="16"/>
        <v>0.6</v>
      </c>
      <c r="AF19" s="177">
        <f t="shared" si="23"/>
        <v>0.9992378969747624</v>
      </c>
      <c r="AG19" s="799">
        <f t="shared" si="24"/>
        <v>-1</v>
      </c>
      <c r="AH19" s="176">
        <f t="shared" si="17"/>
        <v>5</v>
      </c>
      <c r="AI19" s="224">
        <f t="shared" si="18"/>
        <v>-7.6210302523756961E-4</v>
      </c>
      <c r="AJ19" s="264" t="b">
        <f t="shared" si="19"/>
        <v>1</v>
      </c>
      <c r="AK19" s="264" t="b">
        <f t="shared" si="20"/>
        <v>0</v>
      </c>
      <c r="AL19" s="264"/>
      <c r="AM19" s="264"/>
      <c r="AN19" s="75"/>
    </row>
    <row r="20" spans="1:40" s="6" customFormat="1" ht="11.25" x14ac:dyDescent="0.2">
      <c r="A20" s="56">
        <f t="shared" si="21"/>
        <v>44567</v>
      </c>
      <c r="B20" s="1153">
        <v>20.589000000000002</v>
      </c>
      <c r="C20" s="388"/>
      <c r="D20" s="391">
        <f t="shared" si="0"/>
        <v>21.022012316314591</v>
      </c>
      <c r="E20" s="383">
        <f t="shared" si="1"/>
        <v>22.782542913267427</v>
      </c>
      <c r="F20" s="383">
        <f t="shared" si="2"/>
        <v>22.842912240368953</v>
      </c>
      <c r="G20" s="110">
        <f t="shared" si="22"/>
        <v>0.88215343572801219</v>
      </c>
      <c r="H20" s="412" t="b">
        <f>Wh_hp&gt;='2021'!Maxi_hp</f>
        <v>0</v>
      </c>
      <c r="I20" s="379">
        <f>IF(H20,Wh_hp,'2021'!Maxi_hp)</f>
        <v>25.97684931198668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2.0598043127324162E-2</v>
      </c>
      <c r="M20" s="832"/>
      <c r="N20" s="832"/>
      <c r="O20" s="48">
        <f>IF(t&lt;Tnet,'2021'!Resal+('2021'!Salim-'2021'!Resal)*(1-EXP(('2021'!Tnet-t)/('2021'!Tau_j))),Resal+(Salim-Resal)*(1-EXP((Tnet-t)/(Tau_j))))*Salcycl</f>
        <v>7.7275421082498727E-2</v>
      </c>
      <c r="P20" s="169">
        <f>(INDEX(Models!$BJ20:$BT20,,T20)*(1-R20)+INDEX(Models!$BJ20:$BT20,,T20+1)*R20-ERP_i)*Q20*Ramure*Pc/MaxiM</f>
        <v>3.1752218989081014E-3</v>
      </c>
      <c r="Q20" s="304">
        <f t="shared" si="4"/>
        <v>0.6</v>
      </c>
      <c r="R20" s="177">
        <f t="shared" si="5"/>
        <v>0.99927231377151315</v>
      </c>
      <c r="S20" s="799">
        <f t="shared" si="6"/>
        <v>-1</v>
      </c>
      <c r="T20" s="176">
        <f t="shared" si="7"/>
        <v>5</v>
      </c>
      <c r="U20" s="250">
        <f t="shared" si="8"/>
        <v>-7.2768622848685808E-4</v>
      </c>
      <c r="V20" s="382">
        <f t="shared" si="9"/>
        <v>23.327017904015925</v>
      </c>
      <c r="W20" s="400">
        <f t="shared" si="10"/>
        <v>0</v>
      </c>
      <c r="X20" s="157">
        <f t="shared" si="11"/>
        <v>44567</v>
      </c>
      <c r="Y20" s="383">
        <f t="shared" si="12"/>
        <v>20.589000000000002</v>
      </c>
      <c r="Z20" s="383">
        <f t="shared" si="13"/>
        <v>21.022012316314591</v>
      </c>
      <c r="AA20" s="384">
        <f t="shared" si="14"/>
        <v>22.782542913267427</v>
      </c>
      <c r="AB20" s="197">
        <f t="shared" si="15"/>
        <v>44567</v>
      </c>
      <c r="AC20" s="119">
        <f>IF(OR(t&lt;Tnet,NoTnet),'2021'!Resal_s+('2021'!Salim-'2021'!Resal_s)*(1-EXP(('2021'!Tnet_s-t)/'2021'!Tau_j)),Resal_s+(Salim-Resal_s)*(1-EXP((Tnet_s-t)/Tau_j)))*Salcycl</f>
        <v>7.7275421082498727E-2</v>
      </c>
      <c r="AD20" s="230">
        <f>(INDEX(Models!$BJ20:$BT20,,AH20)*(1-AF20)+INDEX(Models!$BJ20:$BT20,,AH20+1)*AF20-ERP_i)*AE20*Ramure*Pc/MaxiM</f>
        <v>3.1752218989081014E-3</v>
      </c>
      <c r="AE20" s="304">
        <f t="shared" si="16"/>
        <v>0.6</v>
      </c>
      <c r="AF20" s="177">
        <f t="shared" si="23"/>
        <v>0.99927231377151315</v>
      </c>
      <c r="AG20" s="799">
        <f t="shared" si="24"/>
        <v>-1</v>
      </c>
      <c r="AH20" s="176">
        <f t="shared" si="17"/>
        <v>5</v>
      </c>
      <c r="AI20" s="224">
        <f t="shared" si="18"/>
        <v>-7.2768622848685808E-4</v>
      </c>
      <c r="AJ20" s="264" t="b">
        <f t="shared" si="19"/>
        <v>1</v>
      </c>
      <c r="AK20" s="264" t="b">
        <f t="shared" si="20"/>
        <v>0</v>
      </c>
      <c r="AL20" s="264"/>
      <c r="AM20" s="264"/>
      <c r="AN20" s="75"/>
    </row>
    <row r="21" spans="1:40" s="6" customFormat="1" ht="11.25" x14ac:dyDescent="0.2">
      <c r="A21" s="56">
        <f t="shared" si="21"/>
        <v>44568</v>
      </c>
      <c r="B21" s="1153">
        <v>10.096</v>
      </c>
      <c r="C21" s="388"/>
      <c r="D21" s="391">
        <f t="shared" si="0"/>
        <v>10.308529016506215</v>
      </c>
      <c r="E21" s="383">
        <f t="shared" si="1"/>
        <v>11.17261309051662</v>
      </c>
      <c r="F21" s="383">
        <f t="shared" si="2"/>
        <v>11.179002810984537</v>
      </c>
      <c r="G21" s="110">
        <f t="shared" si="22"/>
        <v>0.42838197685005025</v>
      </c>
      <c r="H21" s="412" t="b">
        <f>Wh_hp&gt;='2021'!Maxi_hp</f>
        <v>0</v>
      </c>
      <c r="I21" s="379">
        <f>IF(H21,Wh_hp,'2021'!Maxi_hp)</f>
        <v>15.082360291680677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2.0616813142390167E-2</v>
      </c>
      <c r="M21" s="832"/>
      <c r="N21" s="832"/>
      <c r="O21" s="48">
        <f>IF(t&lt;Tnet,'2021'!Resal+('2021'!Salim-'2021'!Resal)*(1-EXP(('2021'!Tnet-t)/('2021'!Tau_j))),Resal+(Salim-Resal)*(1-EXP((Tnet-t)/(Tau_j))))*Salcycl</f>
        <v>7.7339478867646763E-2</v>
      </c>
      <c r="P21" s="169">
        <f>(INDEX(Models!$BJ21:$BT21,,T21)*(1-R21)+INDEX(Models!$BJ21:$BT21,,T21+1)*R21-ERP_i)*Q21*Ramure*Pc/MaxiM</f>
        <v>3.0904844131280991E-3</v>
      </c>
      <c r="Q21" s="304">
        <f t="shared" si="4"/>
        <v>0.6</v>
      </c>
      <c r="R21" s="177">
        <f t="shared" si="5"/>
        <v>0.99930816938257627</v>
      </c>
      <c r="S21" s="799">
        <f t="shared" si="6"/>
        <v>-1</v>
      </c>
      <c r="T21" s="176">
        <f t="shared" si="7"/>
        <v>5</v>
      </c>
      <c r="U21" s="250">
        <f t="shared" si="8"/>
        <v>-6.918306174236743E-4</v>
      </c>
      <c r="V21" s="382">
        <f t="shared" si="9"/>
        <v>23.508352742765339</v>
      </c>
      <c r="W21" s="400">
        <f t="shared" si="10"/>
        <v>0</v>
      </c>
      <c r="X21" s="157">
        <f t="shared" si="11"/>
        <v>44568</v>
      </c>
      <c r="Y21" s="383">
        <f t="shared" si="12"/>
        <v>10.096</v>
      </c>
      <c r="Z21" s="383">
        <f t="shared" si="13"/>
        <v>10.308529016506215</v>
      </c>
      <c r="AA21" s="384">
        <f t="shared" si="14"/>
        <v>11.17261309051662</v>
      </c>
      <c r="AB21" s="197">
        <f t="shared" si="15"/>
        <v>44568</v>
      </c>
      <c r="AC21" s="119">
        <f>IF(OR(t&lt;Tnet,NoTnet),'2021'!Resal_s+('2021'!Salim-'2021'!Resal_s)*(1-EXP(('2021'!Tnet_s-t)/'2021'!Tau_j)),Resal_s+(Salim-Resal_s)*(1-EXP((Tnet_s-t)/Tau_j)))*Salcycl</f>
        <v>7.7339478867646763E-2</v>
      </c>
      <c r="AD21" s="230">
        <f>(INDEX(Models!$BJ21:$BT21,,AH21)*(1-AF21)+INDEX(Models!$BJ21:$BT21,,AH21+1)*AF21-ERP_i)*AE21*Ramure*Pc/MaxiM</f>
        <v>3.0904844131280991E-3</v>
      </c>
      <c r="AE21" s="304">
        <f t="shared" si="16"/>
        <v>0.6</v>
      </c>
      <c r="AF21" s="177">
        <f t="shared" si="23"/>
        <v>0.99930816938257627</v>
      </c>
      <c r="AG21" s="799">
        <f t="shared" si="24"/>
        <v>-1</v>
      </c>
      <c r="AH21" s="176">
        <f t="shared" si="17"/>
        <v>5</v>
      </c>
      <c r="AI21" s="224">
        <f t="shared" si="18"/>
        <v>-6.918306174236743E-4</v>
      </c>
      <c r="AJ21" s="264" t="b">
        <f t="shared" si="19"/>
        <v>1</v>
      </c>
      <c r="AK21" s="264" t="b">
        <f t="shared" si="20"/>
        <v>0</v>
      </c>
      <c r="AL21" s="264"/>
      <c r="AM21" s="264"/>
      <c r="AN21" s="75"/>
    </row>
    <row r="22" spans="1:40" s="6" customFormat="1" ht="11.25" x14ac:dyDescent="0.2">
      <c r="A22" s="56">
        <f t="shared" si="21"/>
        <v>44569</v>
      </c>
      <c r="B22" s="1153">
        <v>7.1850000000000005</v>
      </c>
      <c r="C22" s="388"/>
      <c r="D22" s="391">
        <f t="shared" si="0"/>
        <v>7.3363906976784632</v>
      </c>
      <c r="E22" s="383">
        <f t="shared" si="1"/>
        <v>7.9518958920031393</v>
      </c>
      <c r="F22" s="383">
        <f t="shared" si="2"/>
        <v>7.9520055867372204</v>
      </c>
      <c r="G22" s="110">
        <f t="shared" si="22"/>
        <v>0.30230245380880449</v>
      </c>
      <c r="H22" s="412" t="b">
        <f>Wh_hp&gt;='2021'!Maxi_hp</f>
        <v>0</v>
      </c>
      <c r="I22" s="379">
        <f>IF(H22,Wh_hp,'2021'!Maxi_hp)</f>
        <v>20.347217475948305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2.0635582797733032E-2</v>
      </c>
      <c r="M22" s="832"/>
      <c r="N22" s="832"/>
      <c r="O22" s="48">
        <f>IF(t&lt;Tnet,'2021'!Resal+('2021'!Salim-'2021'!Resal)*(1-EXP(('2021'!Tnet-t)/('2021'!Tau_j))),Resal+(Salim-Resal)*(1-EXP((Tnet-t)/(Tau_j))))*Salcycl</f>
        <v>7.7403578050319083E-2</v>
      </c>
      <c r="P22" s="169">
        <f>(INDEX(Models!$BJ22:$BT22,,T22)*(1-R22)+INDEX(Models!$BJ22:$BT22,,T22+1)*R22-ERP_i)*Q22*Ramure*Pc/MaxiM</f>
        <v>3.0078826627892821E-3</v>
      </c>
      <c r="Q22" s="304">
        <f t="shared" si="4"/>
        <v>0.6</v>
      </c>
      <c r="R22" s="177">
        <f t="shared" si="5"/>
        <v>0.99934552373857344</v>
      </c>
      <c r="S22" s="799">
        <f t="shared" si="6"/>
        <v>-1</v>
      </c>
      <c r="T22" s="176">
        <f t="shared" si="7"/>
        <v>5</v>
      </c>
      <c r="U22" s="250">
        <f t="shared" si="8"/>
        <v>-6.5447626142652168E-4</v>
      </c>
      <c r="V22" s="382">
        <f t="shared" si="9"/>
        <v>23.696424194547891</v>
      </c>
      <c r="W22" s="400">
        <f t="shared" si="10"/>
        <v>0</v>
      </c>
      <c r="X22" s="157">
        <f t="shared" si="11"/>
        <v>44569</v>
      </c>
      <c r="Y22" s="383">
        <f t="shared" si="12"/>
        <v>7.1850000000000005</v>
      </c>
      <c r="Z22" s="383">
        <f t="shared" si="13"/>
        <v>7.3363906976784632</v>
      </c>
      <c r="AA22" s="384">
        <f t="shared" si="14"/>
        <v>7.9518958920031393</v>
      </c>
      <c r="AB22" s="197">
        <f t="shared" si="15"/>
        <v>44569</v>
      </c>
      <c r="AC22" s="119">
        <f>IF(OR(t&lt;Tnet,NoTnet),'2021'!Resal_s+('2021'!Salim-'2021'!Resal_s)*(1-EXP(('2021'!Tnet_s-t)/'2021'!Tau_j)),Resal_s+(Salim-Resal_s)*(1-EXP((Tnet_s-t)/Tau_j)))*Salcycl</f>
        <v>7.7403578050319083E-2</v>
      </c>
      <c r="AD22" s="230">
        <f>(INDEX(Models!$BJ22:$BT22,,AH22)*(1-AF22)+INDEX(Models!$BJ22:$BT22,,AH22+1)*AF22-ERP_i)*AE22*Ramure*Pc/MaxiM</f>
        <v>3.0078826627892821E-3</v>
      </c>
      <c r="AE22" s="304">
        <f t="shared" si="16"/>
        <v>0.6</v>
      </c>
      <c r="AF22" s="177">
        <f t="shared" si="23"/>
        <v>0.99934552373857344</v>
      </c>
      <c r="AG22" s="799">
        <f t="shared" si="24"/>
        <v>-1</v>
      </c>
      <c r="AH22" s="176">
        <f t="shared" si="17"/>
        <v>5</v>
      </c>
      <c r="AI22" s="224">
        <f t="shared" si="18"/>
        <v>-6.5447626142652168E-4</v>
      </c>
      <c r="AJ22" s="264" t="b">
        <f t="shared" si="19"/>
        <v>1</v>
      </c>
      <c r="AK22" s="264" t="b">
        <f t="shared" si="20"/>
        <v>0</v>
      </c>
      <c r="AL22" s="264"/>
      <c r="AM22" s="264"/>
      <c r="AN22" s="75"/>
    </row>
    <row r="23" spans="1:40" s="6" customFormat="1" ht="11.25" x14ac:dyDescent="0.2">
      <c r="A23" s="56">
        <f t="shared" si="21"/>
        <v>44570</v>
      </c>
      <c r="B23" s="1153">
        <v>2.145</v>
      </c>
      <c r="C23" s="388"/>
      <c r="D23" s="391">
        <f t="shared" si="0"/>
        <v>2.1902379456986978</v>
      </c>
      <c r="E23" s="383">
        <f t="shared" si="1"/>
        <v>2.3741585777032861</v>
      </c>
      <c r="F23" s="383">
        <f t="shared" si="2"/>
        <v>2.3741585777032861</v>
      </c>
      <c r="G23" s="110">
        <f t="shared" si="22"/>
        <v>8.9509967067670795E-2</v>
      </c>
      <c r="H23" s="412" t="b">
        <f>Wh_hp&gt;='2021'!Maxi_hp</f>
        <v>0</v>
      </c>
      <c r="I23" s="379">
        <f>IF(H23,Wh_hp,'2021'!Maxi_hp)</f>
        <v>25.649292652260151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2.0654352093359751E-2</v>
      </c>
      <c r="M23" s="832"/>
      <c r="N23" s="832"/>
      <c r="O23" s="48">
        <f>IF(t&lt;Tnet,'2021'!Resal+('2021'!Salim-'2021'!Resal)*(1-EXP(('2021'!Tnet-t)/('2021'!Tau_j))),Resal+(Salim-Resal)*(1-EXP((Tnet-t)/(Tau_j))))*Salcycl</f>
        <v>7.7467711606066969E-2</v>
      </c>
      <c r="P23" s="169">
        <f>(INDEX(Models!$BJ23:$BT23,,T23)*(1-R23)+INDEX(Models!$BJ23:$BT23,,T23+1)*R23-ERP_i)*Q23*Ramure*Pc/MaxiM</f>
        <v>2.9271220819823804E-3</v>
      </c>
      <c r="Q23" s="304">
        <f t="shared" si="4"/>
        <v>0.6</v>
      </c>
      <c r="R23" s="177">
        <f t="shared" si="5"/>
        <v>0.99938443924760856</v>
      </c>
      <c r="S23" s="799">
        <f t="shared" si="6"/>
        <v>-1</v>
      </c>
      <c r="T23" s="176">
        <f t="shared" si="7"/>
        <v>5</v>
      </c>
      <c r="U23" s="250">
        <f t="shared" si="8"/>
        <v>-6.1556075239140506E-4</v>
      </c>
      <c r="V23" s="382">
        <f t="shared" si="9"/>
        <v>23.893666741238373</v>
      </c>
      <c r="W23" s="400">
        <f t="shared" si="10"/>
        <v>0</v>
      </c>
      <c r="X23" s="157">
        <f t="shared" si="11"/>
        <v>44570</v>
      </c>
      <c r="Y23" s="383">
        <f t="shared" si="12"/>
        <v>2.145</v>
      </c>
      <c r="Z23" s="383">
        <f t="shared" si="13"/>
        <v>2.1902379456986978</v>
      </c>
      <c r="AA23" s="384">
        <f t="shared" si="14"/>
        <v>2.3741585777032861</v>
      </c>
      <c r="AB23" s="197">
        <f t="shared" si="15"/>
        <v>44570</v>
      </c>
      <c r="AC23" s="119">
        <f>IF(OR(t&lt;Tnet,NoTnet),'2021'!Resal_s+('2021'!Salim-'2021'!Resal_s)*(1-EXP(('2021'!Tnet_s-t)/'2021'!Tau_j)),Resal_s+(Salim-Resal_s)*(1-EXP((Tnet_s-t)/Tau_j)))*Salcycl</f>
        <v>7.7467711606066969E-2</v>
      </c>
      <c r="AD23" s="230">
        <f>(INDEX(Models!$BJ23:$BT23,,AH23)*(1-AF23)+INDEX(Models!$BJ23:$BT23,,AH23+1)*AF23-ERP_i)*AE23*Ramure*Pc/MaxiM</f>
        <v>2.9271220819823804E-3</v>
      </c>
      <c r="AE23" s="304">
        <f t="shared" si="16"/>
        <v>0.6</v>
      </c>
      <c r="AF23" s="177">
        <f t="shared" si="23"/>
        <v>0.99938443924760856</v>
      </c>
      <c r="AG23" s="799">
        <f t="shared" si="24"/>
        <v>-1</v>
      </c>
      <c r="AH23" s="176">
        <f t="shared" si="17"/>
        <v>5</v>
      </c>
      <c r="AI23" s="224">
        <f t="shared" si="18"/>
        <v>-6.1556075239140506E-4</v>
      </c>
      <c r="AJ23" s="264" t="b">
        <f t="shared" si="19"/>
        <v>1</v>
      </c>
      <c r="AK23" s="264" t="b">
        <f t="shared" si="20"/>
        <v>0</v>
      </c>
      <c r="AL23" s="264"/>
      <c r="AM23" s="264"/>
      <c r="AN23" s="75"/>
    </row>
    <row r="24" spans="1:40" s="6" customFormat="1" ht="11.25" x14ac:dyDescent="0.2">
      <c r="A24" s="56">
        <f t="shared" si="21"/>
        <v>44571</v>
      </c>
      <c r="B24" s="1153">
        <v>1.7590000000000001</v>
      </c>
      <c r="C24" s="388"/>
      <c r="D24" s="391">
        <f t="shared" si="0"/>
        <v>1.7961316469213198</v>
      </c>
      <c r="E24" s="383">
        <f t="shared" si="1"/>
        <v>1.9470934516474292</v>
      </c>
      <c r="F24" s="383">
        <f t="shared" si="2"/>
        <v>1.9470934516474292</v>
      </c>
      <c r="G24" s="110">
        <f t="shared" si="22"/>
        <v>7.2772702206217454E-2</v>
      </c>
      <c r="H24" s="412" t="b">
        <f>Wh_hp&gt;='2021'!Maxi_hp</f>
        <v>0</v>
      </c>
      <c r="I24" s="379">
        <f>IF(H24,Wh_hp,'2021'!Maxi_hp)</f>
        <v>9.0351524420219071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2.0673121029277319E-2</v>
      </c>
      <c r="M24" s="832"/>
      <c r="N24" s="832"/>
      <c r="O24" s="48">
        <f>IF(t&lt;Tnet,'2021'!Resal+('2021'!Salim-'2021'!Resal)*(1-EXP(('2021'!Tnet-t)/('2021'!Tau_j))),Resal+(Salim-Resal)*(1-EXP((Tnet-t)/(Tau_j))))*Salcycl</f>
        <v>7.7531874291077912E-2</v>
      </c>
      <c r="P24" s="169">
        <f>(INDEX(Models!$BJ24:$BT24,,T24)*(1-R24)+INDEX(Models!$BJ24:$BT24,,T24+1)*R24-ERP_i)*Q24*Ramure*Pc/MaxiM</f>
        <v>2.8506074235134225E-3</v>
      </c>
      <c r="Q24" s="304">
        <f t="shared" si="4"/>
        <v>0.6</v>
      </c>
      <c r="R24" s="177">
        <f t="shared" si="5"/>
        <v>0.99942498089607812</v>
      </c>
      <c r="S24" s="799">
        <f t="shared" si="6"/>
        <v>-1</v>
      </c>
      <c r="T24" s="176">
        <f t="shared" si="7"/>
        <v>5</v>
      </c>
      <c r="U24" s="250">
        <f t="shared" si="8"/>
        <v>-5.7501910392184722E-4</v>
      </c>
      <c r="V24" s="382">
        <f t="shared" si="9"/>
        <v>24.102248897831711</v>
      </c>
      <c r="W24" s="400">
        <f t="shared" si="10"/>
        <v>0</v>
      </c>
      <c r="X24" s="157">
        <f t="shared" si="11"/>
        <v>44571</v>
      </c>
      <c r="Y24" s="383">
        <f t="shared" si="12"/>
        <v>1.7590000000000001</v>
      </c>
      <c r="Z24" s="383">
        <f t="shared" si="13"/>
        <v>1.7961316469213198</v>
      </c>
      <c r="AA24" s="384">
        <f t="shared" si="14"/>
        <v>1.9470934516474292</v>
      </c>
      <c r="AB24" s="197">
        <f t="shared" si="15"/>
        <v>44571</v>
      </c>
      <c r="AC24" s="119">
        <f>IF(OR(t&lt;Tnet,NoTnet),'2021'!Resal_s+('2021'!Salim-'2021'!Resal_s)*(1-EXP(('2021'!Tnet_s-t)/'2021'!Tau_j)),Resal_s+(Salim-Resal_s)*(1-EXP((Tnet_s-t)/Tau_j)))*Salcycl</f>
        <v>7.7531874291077912E-2</v>
      </c>
      <c r="AD24" s="230">
        <f>(INDEX(Models!$BJ24:$BT24,,AH24)*(1-AF24)+INDEX(Models!$BJ24:$BT24,,AH24+1)*AF24-ERP_i)*AE24*Ramure*Pc/MaxiM</f>
        <v>2.8506074235134225E-3</v>
      </c>
      <c r="AE24" s="304">
        <f t="shared" si="16"/>
        <v>0.6</v>
      </c>
      <c r="AF24" s="177">
        <f t="shared" si="23"/>
        <v>0.99942498089607812</v>
      </c>
      <c r="AG24" s="799">
        <f t="shared" si="24"/>
        <v>-1</v>
      </c>
      <c r="AH24" s="176">
        <f t="shared" si="17"/>
        <v>5</v>
      </c>
      <c r="AI24" s="224">
        <f t="shared" si="18"/>
        <v>-5.7501910392184722E-4</v>
      </c>
      <c r="AJ24" s="264" t="b">
        <f t="shared" si="19"/>
        <v>1</v>
      </c>
      <c r="AK24" s="264" t="b">
        <f t="shared" si="20"/>
        <v>0</v>
      </c>
      <c r="AL24" s="264"/>
      <c r="AM24" s="264"/>
      <c r="AN24" s="75"/>
    </row>
    <row r="25" spans="1:40" s="6" customFormat="1" ht="11.25" x14ac:dyDescent="0.2">
      <c r="A25" s="56">
        <f t="shared" si="21"/>
        <v>44572</v>
      </c>
      <c r="B25" s="1153">
        <v>24.657</v>
      </c>
      <c r="C25" s="388"/>
      <c r="D25" s="391">
        <f t="shared" si="0"/>
        <v>25.17797998228269</v>
      </c>
      <c r="E25" s="383">
        <f t="shared" si="1"/>
        <v>27.29604564638516</v>
      </c>
      <c r="F25" s="383">
        <f t="shared" si="2"/>
        <v>27.372177107233075</v>
      </c>
      <c r="G25" s="110">
        <f t="shared" si="22"/>
        <v>1.0138014686256271</v>
      </c>
      <c r="H25" s="412" t="b">
        <f>Wh_hp&gt;='2021'!Maxi_hp</f>
        <v>1</v>
      </c>
      <c r="I25" s="379">
        <f>IF(H25,Wh_hp,'2021'!Maxi_hp)</f>
        <v>27.372177107233075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2.0691889605492397E-2</v>
      </c>
      <c r="M25" s="832"/>
      <c r="N25" s="832"/>
      <c r="O25" s="48">
        <f>IF(t&lt;Tnet,'2021'!Resal+('2021'!Salim-'2021'!Resal)*(1-EXP(('2021'!Tnet-t)/('2021'!Tau_j))),Resal+(Salim-Resal)*(1-EXP((Tnet-t)/(Tau_j))))*Salcycl</f>
        <v>7.7596062504495703E-2</v>
      </c>
      <c r="P25" s="169">
        <f>(INDEX(Models!$BJ25:$BT25,,T25)*(1-R25)+INDEX(Models!$BJ25:$BT25,,T25+1)*R25-ERP_i)*Q25*Ramure*Pc/MaxiM</f>
        <v>2.7813447410361992E-3</v>
      </c>
      <c r="Q25" s="304">
        <f t="shared" si="4"/>
        <v>0.6</v>
      </c>
      <c r="R25" s="177">
        <f t="shared" si="5"/>
        <v>0.99946721635344415</v>
      </c>
      <c r="S25" s="799">
        <f t="shared" si="6"/>
        <v>-1</v>
      </c>
      <c r="T25" s="176">
        <f t="shared" si="7"/>
        <v>5</v>
      </c>
      <c r="U25" s="250">
        <f t="shared" si="8"/>
        <v>-5.3278364655583339E-4</v>
      </c>
      <c r="V25" s="382">
        <f t="shared" si="9"/>
        <v>24.321329928064294</v>
      </c>
      <c r="W25" s="400">
        <f t="shared" si="10"/>
        <v>0</v>
      </c>
      <c r="X25" s="157">
        <f t="shared" si="11"/>
        <v>44572</v>
      </c>
      <c r="Y25" s="383">
        <f t="shared" si="12"/>
        <v>24.657</v>
      </c>
      <c r="Z25" s="383">
        <f t="shared" si="13"/>
        <v>25.17797998228269</v>
      </c>
      <c r="AA25" s="384">
        <f t="shared" si="14"/>
        <v>27.29604564638516</v>
      </c>
      <c r="AB25" s="197">
        <f t="shared" si="15"/>
        <v>44572</v>
      </c>
      <c r="AC25" s="119">
        <f>IF(OR(t&lt;Tnet,NoTnet),'2021'!Resal_s+('2021'!Salim-'2021'!Resal_s)*(1-EXP(('2021'!Tnet_s-t)/'2021'!Tau_j)),Resal_s+(Salim-Resal_s)*(1-EXP((Tnet_s-t)/Tau_j)))*Salcycl</f>
        <v>7.7596062504495703E-2</v>
      </c>
      <c r="AD25" s="230">
        <f>(INDEX(Models!$BJ25:$BT25,,AH25)*(1-AF25)+INDEX(Models!$BJ25:$BT25,,AH25+1)*AF25-ERP_i)*AE25*Ramure*Pc/MaxiM</f>
        <v>2.7813447410361992E-3</v>
      </c>
      <c r="AE25" s="304">
        <f t="shared" si="16"/>
        <v>0.6</v>
      </c>
      <c r="AF25" s="177">
        <f t="shared" si="23"/>
        <v>0.99946721635344415</v>
      </c>
      <c r="AG25" s="799">
        <f t="shared" si="24"/>
        <v>-1</v>
      </c>
      <c r="AH25" s="176">
        <f t="shared" si="17"/>
        <v>5</v>
      </c>
      <c r="AI25" s="224">
        <f t="shared" si="18"/>
        <v>-5.3278364655583339E-4</v>
      </c>
      <c r="AJ25" s="264" t="b">
        <f t="shared" si="19"/>
        <v>1</v>
      </c>
      <c r="AK25" s="264" t="b">
        <f t="shared" si="20"/>
        <v>0</v>
      </c>
      <c r="AL25" s="264"/>
      <c r="AM25" s="264"/>
      <c r="AN25" s="75"/>
    </row>
    <row r="26" spans="1:40" s="6" customFormat="1" ht="11.25" x14ac:dyDescent="0.2">
      <c r="A26" s="56">
        <f t="shared" si="21"/>
        <v>44573</v>
      </c>
      <c r="B26" s="1153">
        <v>21.433</v>
      </c>
      <c r="C26" s="388"/>
      <c r="D26" s="391">
        <f t="shared" si="0"/>
        <v>21.886279240343764</v>
      </c>
      <c r="E26" s="383">
        <f t="shared" si="1"/>
        <v>23.729086611732029</v>
      </c>
      <c r="F26" s="383">
        <f t="shared" si="2"/>
        <v>23.782026822723253</v>
      </c>
      <c r="G26" s="110">
        <f t="shared" si="22"/>
        <v>0.87259803742746667</v>
      </c>
      <c r="H26" s="412" t="b">
        <f>Wh_hp&gt;='2021'!Maxi_hp</f>
        <v>0</v>
      </c>
      <c r="I26" s="379">
        <f>IF(H26,Wh_hp,'2021'!Maxi_hp)</f>
        <v>27.37093962937724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2.071065782201198E-2</v>
      </c>
      <c r="M26" s="832"/>
      <c r="N26" s="832"/>
      <c r="O26" s="48">
        <f>IF(t&lt;Tnet,'2021'!Resal+('2021'!Salim-'2021'!Resal)*(1-EXP(('2021'!Tnet-t)/('2021'!Tau_j))),Resal+(Salim-Resal)*(1-EXP((Tnet-t)/(Tau_j))))*Salcycl</f>
        <v>7.7660274141236912E-2</v>
      </c>
      <c r="P26" s="169">
        <f>(INDEX(Models!$BJ26:$BT26,,T26)*(1-R26)+INDEX(Models!$BJ26:$BT26,,T26+1)*R26-ERP_i)*Q26*Ramure*Pc/MaxiM</f>
        <v>2.7193040884240811E-3</v>
      </c>
      <c r="Q26" s="304">
        <f t="shared" si="4"/>
        <v>0.6</v>
      </c>
      <c r="R26" s="177">
        <f t="shared" si="5"/>
        <v>0.99951121608111526</v>
      </c>
      <c r="S26" s="799">
        <f t="shared" si="6"/>
        <v>-1</v>
      </c>
      <c r="T26" s="176">
        <f t="shared" si="7"/>
        <v>5</v>
      </c>
      <c r="U26" s="250">
        <f t="shared" si="8"/>
        <v>-4.8878391888471898E-4</v>
      </c>
      <c r="V26" s="382">
        <f t="shared" si="9"/>
        <v>24.550140829986919</v>
      </c>
      <c r="W26" s="400">
        <f t="shared" si="10"/>
        <v>0</v>
      </c>
      <c r="X26" s="157">
        <f t="shared" si="11"/>
        <v>44573</v>
      </c>
      <c r="Y26" s="383">
        <f t="shared" si="12"/>
        <v>21.433</v>
      </c>
      <c r="Z26" s="383">
        <f t="shared" si="13"/>
        <v>21.886279240343764</v>
      </c>
      <c r="AA26" s="384">
        <f t="shared" si="14"/>
        <v>23.729086611732029</v>
      </c>
      <c r="AB26" s="197">
        <f t="shared" si="15"/>
        <v>44573</v>
      </c>
      <c r="AC26" s="119">
        <f>IF(OR(t&lt;Tnet,NoTnet),'2021'!Resal_s+('2021'!Salim-'2021'!Resal_s)*(1-EXP(('2021'!Tnet_s-t)/'2021'!Tau_j)),Resal_s+(Salim-Resal_s)*(1-EXP((Tnet_s-t)/Tau_j)))*Salcycl</f>
        <v>7.7660274141236912E-2</v>
      </c>
      <c r="AD26" s="230">
        <f>(INDEX(Models!$BJ26:$BT26,,AH26)*(1-AF26)+INDEX(Models!$BJ26:$BT26,,AH26+1)*AF26-ERP_i)*AE26*Ramure*Pc/MaxiM</f>
        <v>2.7193040884240811E-3</v>
      </c>
      <c r="AE26" s="304">
        <f t="shared" si="16"/>
        <v>0.6</v>
      </c>
      <c r="AF26" s="177">
        <f t="shared" si="23"/>
        <v>0.99951121608111526</v>
      </c>
      <c r="AG26" s="799">
        <f t="shared" si="24"/>
        <v>-1</v>
      </c>
      <c r="AH26" s="176">
        <f t="shared" si="17"/>
        <v>5</v>
      </c>
      <c r="AI26" s="224">
        <f t="shared" si="18"/>
        <v>-4.8878391888471898E-4</v>
      </c>
      <c r="AJ26" s="264" t="b">
        <f t="shared" si="19"/>
        <v>1</v>
      </c>
      <c r="AK26" s="264" t="b">
        <f t="shared" si="20"/>
        <v>0</v>
      </c>
      <c r="AL26" s="264"/>
      <c r="AM26" s="264"/>
      <c r="AN26" s="75"/>
    </row>
    <row r="27" spans="1:40" s="6" customFormat="1" ht="11.25" x14ac:dyDescent="0.2">
      <c r="A27" s="56">
        <f t="shared" si="21"/>
        <v>44574</v>
      </c>
      <c r="B27" s="1153">
        <v>5.4939999999999998</v>
      </c>
      <c r="C27" s="388"/>
      <c r="D27" s="391">
        <f t="shared" si="0"/>
        <v>5.610298260834103</v>
      </c>
      <c r="E27" s="383">
        <f t="shared" si="1"/>
        <v>6.0831045735877769</v>
      </c>
      <c r="F27" s="383">
        <f t="shared" si="2"/>
        <v>6.0831045735877769</v>
      </c>
      <c r="G27" s="110">
        <f t="shared" si="22"/>
        <v>0.22104973710765777</v>
      </c>
      <c r="H27" s="412" t="b">
        <f>Wh_hp&gt;='2021'!Maxi_hp</f>
        <v>0</v>
      </c>
      <c r="I27" s="379">
        <f>IF(H27,Wh_hp,'2021'!Maxi_hp)</f>
        <v>16.17097757884445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2.0729425678843061E-2</v>
      </c>
      <c r="M27" s="832"/>
      <c r="N27" s="832"/>
      <c r="O27" s="48">
        <f>IF(t&lt;Tnet,'2021'!Resal+('2021'!Salim-'2021'!Resal)*(1-EXP(('2021'!Tnet-t)/('2021'!Tau_j))),Resal+(Salim-Resal)*(1-EXP((Tnet-t)/(Tau_j))))*Salcycl</f>
        <v>7.7724508437114606E-2</v>
      </c>
      <c r="P27" s="169">
        <f>(INDEX(Models!$BJ27:$BT27,,T27)*(1-R27)+INDEX(Models!$BJ27:$BT27,,T27+1)*R27-ERP_i)*Q27*Ramure*Pc/MaxiM</f>
        <v>2.6644328524201553E-3</v>
      </c>
      <c r="Q27" s="304">
        <f t="shared" si="4"/>
        <v>0.6</v>
      </c>
      <c r="R27" s="177">
        <f t="shared" si="5"/>
        <v>0.99955705344558443</v>
      </c>
      <c r="S27" s="799">
        <f t="shared" si="6"/>
        <v>-1</v>
      </c>
      <c r="T27" s="176">
        <f t="shared" si="7"/>
        <v>5</v>
      </c>
      <c r="U27" s="250">
        <f t="shared" si="8"/>
        <v>-4.4294655441559969E-4</v>
      </c>
      <c r="V27" s="382">
        <f t="shared" si="9"/>
        <v>24.787912791048434</v>
      </c>
      <c r="W27" s="400">
        <f t="shared" si="10"/>
        <v>0</v>
      </c>
      <c r="X27" s="157">
        <f t="shared" si="11"/>
        <v>44574</v>
      </c>
      <c r="Y27" s="383">
        <f t="shared" si="12"/>
        <v>5.4939999999999998</v>
      </c>
      <c r="Z27" s="383">
        <f t="shared" si="13"/>
        <v>5.610298260834103</v>
      </c>
      <c r="AA27" s="384">
        <f t="shared" si="14"/>
        <v>6.0831045735877769</v>
      </c>
      <c r="AB27" s="197">
        <f t="shared" si="15"/>
        <v>44574</v>
      </c>
      <c r="AC27" s="119">
        <f>IF(OR(t&lt;Tnet,NoTnet),'2021'!Resal_s+('2021'!Salim-'2021'!Resal_s)*(1-EXP(('2021'!Tnet_s-t)/'2021'!Tau_j)),Resal_s+(Salim-Resal_s)*(1-EXP((Tnet_s-t)/Tau_j)))*Salcycl</f>
        <v>7.7724508437114606E-2</v>
      </c>
      <c r="AD27" s="230">
        <f>(INDEX(Models!$BJ27:$BT27,,AH27)*(1-AF27)+INDEX(Models!$BJ27:$BT27,,AH27+1)*AF27-ERP_i)*AE27*Ramure*Pc/MaxiM</f>
        <v>2.6644328524201553E-3</v>
      </c>
      <c r="AE27" s="304">
        <f t="shared" si="16"/>
        <v>0.6</v>
      </c>
      <c r="AF27" s="177">
        <f t="shared" si="23"/>
        <v>0.99955705344558443</v>
      </c>
      <c r="AG27" s="799">
        <f t="shared" si="24"/>
        <v>-1</v>
      </c>
      <c r="AH27" s="176">
        <f t="shared" si="17"/>
        <v>5</v>
      </c>
      <c r="AI27" s="224">
        <f t="shared" si="18"/>
        <v>-4.4294655441559969E-4</v>
      </c>
      <c r="AJ27" s="264" t="b">
        <f t="shared" si="19"/>
        <v>1</v>
      </c>
      <c r="AK27" s="264" t="b">
        <f t="shared" si="20"/>
        <v>0</v>
      </c>
      <c r="AL27" s="264"/>
      <c r="AM27" s="264"/>
      <c r="AN27" s="75"/>
    </row>
    <row r="28" spans="1:40" s="6" customFormat="1" ht="11.25" x14ac:dyDescent="0.2">
      <c r="A28" s="56">
        <f t="shared" si="21"/>
        <v>44575</v>
      </c>
      <c r="B28" s="1153">
        <v>26.071000000000002</v>
      </c>
      <c r="C28" s="388"/>
      <c r="D28" s="391">
        <f t="shared" si="0"/>
        <v>26.62338718021433</v>
      </c>
      <c r="E28" s="383">
        <f t="shared" si="1"/>
        <v>28.869077054286567</v>
      </c>
      <c r="F28" s="383">
        <f t="shared" si="2"/>
        <v>28.944815761904703</v>
      </c>
      <c r="G28" s="110">
        <f t="shared" si="22"/>
        <v>1.0414287719294832</v>
      </c>
      <c r="H28" s="412" t="b">
        <f>Wh_hp&gt;='2021'!Maxi_hp</f>
        <v>1</v>
      </c>
      <c r="I28" s="379">
        <f>IF(H28,Wh_hp,'2021'!Maxi_hp)</f>
        <v>28.944815761904703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2.0748193175992413E-2</v>
      </c>
      <c r="M28" s="832"/>
      <c r="N28" s="832"/>
      <c r="O28" s="48">
        <f>IF(t&lt;Tnet,'2021'!Resal+('2021'!Salim-'2021'!Resal)*(1-EXP(('2021'!Tnet-t)/('2021'!Tau_j))),Resal+(Salim-Resal)*(1-EXP((Tnet-t)/(Tau_j))))*Salcycl</f>
        <v>7.778876580811199E-2</v>
      </c>
      <c r="P28" s="169">
        <f>(INDEX(Models!$BJ28:$BT28,,T28)*(1-R28)+INDEX(Models!$BJ28:$BT28,,T28+1)*R28-ERP_i)*Q28*Ramure*Pc/MaxiM</f>
        <v>2.6166588255786311E-3</v>
      </c>
      <c r="Q28" s="304">
        <f t="shared" si="4"/>
        <v>0.6</v>
      </c>
      <c r="R28" s="177">
        <f t="shared" si="5"/>
        <v>0.99960480483597391</v>
      </c>
      <c r="S28" s="799">
        <f t="shared" si="6"/>
        <v>-1</v>
      </c>
      <c r="T28" s="176">
        <f t="shared" si="7"/>
        <v>5</v>
      </c>
      <c r="U28" s="250">
        <f t="shared" si="8"/>
        <v>-3.9519516402611895E-4</v>
      </c>
      <c r="V28" s="382">
        <f t="shared" si="9"/>
        <v>25.033877210534097</v>
      </c>
      <c r="W28" s="400">
        <f t="shared" si="10"/>
        <v>0</v>
      </c>
      <c r="X28" s="157">
        <f t="shared" si="11"/>
        <v>44575</v>
      </c>
      <c r="Y28" s="383">
        <f t="shared" si="12"/>
        <v>26.071000000000002</v>
      </c>
      <c r="Z28" s="383">
        <f t="shared" si="13"/>
        <v>26.62338718021433</v>
      </c>
      <c r="AA28" s="384">
        <f t="shared" si="14"/>
        <v>28.869077054286567</v>
      </c>
      <c r="AB28" s="197">
        <f t="shared" si="15"/>
        <v>44575</v>
      </c>
      <c r="AC28" s="119">
        <f>IF(OR(t&lt;Tnet,NoTnet),'2021'!Resal_s+('2021'!Salim-'2021'!Resal_s)*(1-EXP(('2021'!Tnet_s-t)/'2021'!Tau_j)),Resal_s+(Salim-Resal_s)*(1-EXP((Tnet_s-t)/Tau_j)))*Salcycl</f>
        <v>7.778876580811199E-2</v>
      </c>
      <c r="AD28" s="230">
        <f>(INDEX(Models!$BJ28:$BT28,,AH28)*(1-AF28)+INDEX(Models!$BJ28:$BT28,,AH28+1)*AF28-ERP_i)*AE28*Ramure*Pc/MaxiM</f>
        <v>2.6166588255786311E-3</v>
      </c>
      <c r="AE28" s="304">
        <f t="shared" si="16"/>
        <v>0.6</v>
      </c>
      <c r="AF28" s="177">
        <f t="shared" si="23"/>
        <v>0.99960480483597391</v>
      </c>
      <c r="AG28" s="799">
        <f t="shared" si="24"/>
        <v>-1</v>
      </c>
      <c r="AH28" s="176">
        <f t="shared" si="17"/>
        <v>5</v>
      </c>
      <c r="AI28" s="224">
        <f t="shared" si="18"/>
        <v>-3.9519516402611895E-4</v>
      </c>
      <c r="AJ28" s="264" t="b">
        <f t="shared" si="19"/>
        <v>1</v>
      </c>
      <c r="AK28" s="264" t="b">
        <f t="shared" si="20"/>
        <v>0</v>
      </c>
      <c r="AL28" s="264"/>
      <c r="AM28" s="264"/>
      <c r="AN28" s="75"/>
    </row>
    <row r="29" spans="1:40" s="6" customFormat="1" ht="11.25" x14ac:dyDescent="0.2">
      <c r="A29" s="56">
        <f t="shared" si="21"/>
        <v>44576</v>
      </c>
      <c r="B29" s="1153">
        <v>26.376000000000001</v>
      </c>
      <c r="C29" s="388"/>
      <c r="D29" s="391">
        <f t="shared" si="0"/>
        <v>26.93536566989544</v>
      </c>
      <c r="E29" s="383">
        <f t="shared" si="1"/>
        <v>29.20940702812608</v>
      </c>
      <c r="F29" s="383">
        <f t="shared" si="2"/>
        <v>29.284841653101807</v>
      </c>
      <c r="G29" s="110">
        <f t="shared" si="22"/>
        <v>1.0430546469739899</v>
      </c>
      <c r="H29" s="412" t="b">
        <f>Wh_hp&gt;='2021'!Maxi_hp</f>
        <v>1</v>
      </c>
      <c r="I29" s="379">
        <f>IF(H29,Wh_hp,'2021'!Maxi_hp)</f>
        <v>29.284841653101807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2.076696031346692E-2</v>
      </c>
      <c r="M29" s="832"/>
      <c r="N29" s="832"/>
      <c r="O29" s="48">
        <f>IF(t&lt;Tnet,'2021'!Resal+('2021'!Salim-'2021'!Resal)*(1-EXP(('2021'!Tnet-t)/('2021'!Tau_j))),Resal+(Salim-Resal)*(1-EXP((Tnet-t)/(Tau_j))))*Salcycl</f>
        <v>7.7853047685662993E-2</v>
      </c>
      <c r="P29" s="169">
        <f>(INDEX(Models!$BJ29:$BT29,,T29)*(1-R29)+INDEX(Models!$BJ29:$BT29,,T29+1)*R29-ERP_i)*Q29*Ramure*Pc/MaxiM</f>
        <v>2.5758932170198835E-3</v>
      </c>
      <c r="Q29" s="304">
        <f t="shared" si="4"/>
        <v>0.6</v>
      </c>
      <c r="R29" s="177">
        <f t="shared" si="5"/>
        <v>0.99965454978614621</v>
      </c>
      <c r="S29" s="799">
        <f t="shared" si="6"/>
        <v>-1</v>
      </c>
      <c r="T29" s="176">
        <f t="shared" si="7"/>
        <v>5</v>
      </c>
      <c r="U29" s="250">
        <f t="shared" si="8"/>
        <v>-3.4545021385381483E-4</v>
      </c>
      <c r="V29" s="382">
        <f t="shared" si="9"/>
        <v>25.287265702252061</v>
      </c>
      <c r="W29" s="400">
        <f t="shared" si="10"/>
        <v>0</v>
      </c>
      <c r="X29" s="157">
        <f t="shared" si="11"/>
        <v>44576</v>
      </c>
      <c r="Y29" s="383">
        <f t="shared" si="12"/>
        <v>26.376000000000001</v>
      </c>
      <c r="Z29" s="383">
        <f t="shared" si="13"/>
        <v>26.93536566989544</v>
      </c>
      <c r="AA29" s="384">
        <f t="shared" si="14"/>
        <v>29.20940702812608</v>
      </c>
      <c r="AB29" s="197">
        <f t="shared" si="15"/>
        <v>44576</v>
      </c>
      <c r="AC29" s="119">
        <f>IF(OR(t&lt;Tnet,NoTnet),'2021'!Resal_s+('2021'!Salim-'2021'!Resal_s)*(1-EXP(('2021'!Tnet_s-t)/'2021'!Tau_j)),Resal_s+(Salim-Resal_s)*(1-EXP((Tnet_s-t)/Tau_j)))*Salcycl</f>
        <v>7.7853047685662993E-2</v>
      </c>
      <c r="AD29" s="230">
        <f>(INDEX(Models!$BJ29:$BT29,,AH29)*(1-AF29)+INDEX(Models!$BJ29:$BT29,,AH29+1)*AF29-ERP_i)*AE29*Ramure*Pc/MaxiM</f>
        <v>2.5758932170198835E-3</v>
      </c>
      <c r="AE29" s="304">
        <f t="shared" si="16"/>
        <v>0.6</v>
      </c>
      <c r="AF29" s="177">
        <f t="shared" si="23"/>
        <v>0.99965454978614621</v>
      </c>
      <c r="AG29" s="799">
        <f t="shared" si="24"/>
        <v>-1</v>
      </c>
      <c r="AH29" s="176">
        <f t="shared" si="17"/>
        <v>5</v>
      </c>
      <c r="AI29" s="224">
        <f t="shared" si="18"/>
        <v>-3.4545021385381483E-4</v>
      </c>
      <c r="AJ29" s="264" t="b">
        <f t="shared" si="19"/>
        <v>1</v>
      </c>
      <c r="AK29" s="264" t="b">
        <f t="shared" si="20"/>
        <v>0</v>
      </c>
      <c r="AL29" s="264"/>
      <c r="AM29" s="264"/>
      <c r="AN29" s="75"/>
    </row>
    <row r="30" spans="1:40" s="6" customFormat="1" ht="11.25" x14ac:dyDescent="0.2">
      <c r="A30" s="56">
        <f t="shared" si="21"/>
        <v>44577</v>
      </c>
      <c r="B30" s="1153">
        <v>25.804000000000002</v>
      </c>
      <c r="C30" s="388"/>
      <c r="D30" s="391">
        <f t="shared" si="0"/>
        <v>26.351740077633877</v>
      </c>
      <c r="E30" s="383">
        <f t="shared" si="1"/>
        <v>28.578501351371784</v>
      </c>
      <c r="F30" s="383">
        <f t="shared" si="2"/>
        <v>28.651235386050466</v>
      </c>
      <c r="G30" s="110">
        <f t="shared" si="22"/>
        <v>1.010044152286218</v>
      </c>
      <c r="H30" s="412" t="b">
        <f>Wh_hp&gt;='2021'!Maxi_hp</f>
        <v>1</v>
      </c>
      <c r="I30" s="379">
        <f>IF(H30,Wh_hp,'2021'!Maxi_hp)</f>
        <v>28.651235386050466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2.0785727091273576E-2</v>
      </c>
      <c r="M30" s="832"/>
      <c r="N30" s="832"/>
      <c r="O30" s="48">
        <f>IF(t&lt;Tnet,'2021'!Resal+('2021'!Salim-'2021'!Resal)*(1-EXP(('2021'!Tnet-t)/('2021'!Tau_j))),Resal+(Salim-Resal)*(1-EXP((Tnet-t)/(Tau_j))))*Salcycl</f>
        <v>7.7917356349793992E-2</v>
      </c>
      <c r="P30" s="169">
        <f>(INDEX(Models!$BJ30:$BT30,,T30)*(1-R30)+INDEX(Models!$BJ30:$BT30,,T30+1)*R30-ERP_i)*Q30*Ramure*Pc/MaxiM</f>
        <v>2.538600297636548E-3</v>
      </c>
      <c r="Q30" s="304">
        <f t="shared" si="4"/>
        <v>0.6</v>
      </c>
      <c r="R30" s="177">
        <f t="shared" si="5"/>
        <v>0.99970637110153948</v>
      </c>
      <c r="S30" s="799">
        <f t="shared" si="6"/>
        <v>-1</v>
      </c>
      <c r="T30" s="176">
        <f t="shared" si="7"/>
        <v>5</v>
      </c>
      <c r="U30" s="250">
        <f t="shared" si="8"/>
        <v>-2.9362889846052645E-4</v>
      </c>
      <c r="V30" s="382">
        <f t="shared" si="9"/>
        <v>25.54739804353412</v>
      </c>
      <c r="W30" s="400">
        <f t="shared" si="10"/>
        <v>0</v>
      </c>
      <c r="X30" s="157">
        <f t="shared" si="11"/>
        <v>44577</v>
      </c>
      <c r="Y30" s="383">
        <f t="shared" si="12"/>
        <v>25.804000000000002</v>
      </c>
      <c r="Z30" s="383">
        <f t="shared" si="13"/>
        <v>26.351740077633877</v>
      </c>
      <c r="AA30" s="384">
        <f t="shared" si="14"/>
        <v>28.578501351371784</v>
      </c>
      <c r="AB30" s="197">
        <f t="shared" si="15"/>
        <v>44577</v>
      </c>
      <c r="AC30" s="119">
        <f>IF(OR(t&lt;Tnet,NoTnet),'2021'!Resal_s+('2021'!Salim-'2021'!Resal_s)*(1-EXP(('2021'!Tnet_s-t)/'2021'!Tau_j)),Resal_s+(Salim-Resal_s)*(1-EXP((Tnet_s-t)/Tau_j)))*Salcycl</f>
        <v>7.7917356349793992E-2</v>
      </c>
      <c r="AD30" s="230">
        <f>(INDEX(Models!$BJ30:$BT30,,AH30)*(1-AF30)+INDEX(Models!$BJ30:$BT30,,AH30+1)*AF30-ERP_i)*AE30*Ramure*Pc/MaxiM</f>
        <v>2.538600297636548E-3</v>
      </c>
      <c r="AE30" s="304">
        <f t="shared" si="16"/>
        <v>0.6</v>
      </c>
      <c r="AF30" s="177">
        <f t="shared" si="23"/>
        <v>0.99970637110153948</v>
      </c>
      <c r="AG30" s="799">
        <f t="shared" si="24"/>
        <v>-1</v>
      </c>
      <c r="AH30" s="176">
        <f t="shared" si="17"/>
        <v>5</v>
      </c>
      <c r="AI30" s="224">
        <f t="shared" si="18"/>
        <v>-2.9362889846052645E-4</v>
      </c>
      <c r="AJ30" s="264" t="b">
        <f t="shared" si="19"/>
        <v>1</v>
      </c>
      <c r="AK30" s="264" t="b">
        <f t="shared" si="20"/>
        <v>0</v>
      </c>
      <c r="AL30" s="264"/>
      <c r="AM30" s="264"/>
      <c r="AN30" s="75"/>
    </row>
    <row r="31" spans="1:40" s="6" customFormat="1" ht="11.25" x14ac:dyDescent="0.2">
      <c r="A31" s="56">
        <f t="shared" si="21"/>
        <v>44578</v>
      </c>
      <c r="B31" s="1153">
        <v>11.915000000000001</v>
      </c>
      <c r="C31" s="388"/>
      <c r="D31" s="391">
        <f t="shared" si="0"/>
        <v>12.168152244390038</v>
      </c>
      <c r="E31" s="383">
        <f t="shared" si="1"/>
        <v>13.197300070141797</v>
      </c>
      <c r="F31" s="383">
        <f t="shared" si="2"/>
        <v>13.20492175837156</v>
      </c>
      <c r="G31" s="110">
        <f t="shared" si="22"/>
        <v>0.46068981831048306</v>
      </c>
      <c r="H31" s="412" t="b">
        <f>Wh_hp&gt;='2021'!Maxi_hp</f>
        <v>1</v>
      </c>
      <c r="I31" s="379">
        <f>IF(H31,Wh_hp,'2021'!Maxi_hp)</f>
        <v>13.20492175837156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2.0804493509419153E-2</v>
      </c>
      <c r="M31" s="832"/>
      <c r="N31" s="832"/>
      <c r="O31" s="48">
        <f>IF(t&lt;Tnet,'2021'!Resal+('2021'!Salim-'2021'!Resal)*(1-EXP(('2021'!Tnet-t)/('2021'!Tau_j))),Resal+(Salim-Resal)*(1-EXP((Tnet-t)/(Tau_j))))*Salcycl</f>
        <v>7.798169476195764E-2</v>
      </c>
      <c r="P31" s="169">
        <f>(INDEX(Models!$BJ31:$BT31,,T31)*(1-R31)+INDEX(Models!$BJ31:$BT31,,T31+1)*R31-ERP_i)*Q31*Ramure*Pc/MaxiM</f>
        <v>2.5005231875550702E-3</v>
      </c>
      <c r="Q31" s="304">
        <f t="shared" si="4"/>
        <v>0.6</v>
      </c>
      <c r="R31" s="177">
        <f t="shared" si="5"/>
        <v>0.99976035499089355</v>
      </c>
      <c r="S31" s="799">
        <f t="shared" si="6"/>
        <v>-1</v>
      </c>
      <c r="T31" s="176">
        <f t="shared" si="7"/>
        <v>5</v>
      </c>
      <c r="U31" s="250">
        <f t="shared" si="8"/>
        <v>-2.3964500910640305E-4</v>
      </c>
      <c r="V31" s="382">
        <f t="shared" si="9"/>
        <v>25.813616283707049</v>
      </c>
      <c r="W31" s="400">
        <f t="shared" si="10"/>
        <v>0</v>
      </c>
      <c r="X31" s="157">
        <f t="shared" si="11"/>
        <v>44578</v>
      </c>
      <c r="Y31" s="383">
        <f t="shared" si="12"/>
        <v>11.915000000000001</v>
      </c>
      <c r="Z31" s="383">
        <f t="shared" si="13"/>
        <v>12.168152244390038</v>
      </c>
      <c r="AA31" s="384">
        <f t="shared" si="14"/>
        <v>13.197300070141797</v>
      </c>
      <c r="AB31" s="197">
        <f t="shared" si="15"/>
        <v>44578</v>
      </c>
      <c r="AC31" s="119">
        <f>IF(OR(t&lt;Tnet,NoTnet),'2021'!Resal_s+('2021'!Salim-'2021'!Resal_s)*(1-EXP(('2021'!Tnet_s-t)/'2021'!Tau_j)),Resal_s+(Salim-Resal_s)*(1-EXP((Tnet_s-t)/Tau_j)))*Salcycl</f>
        <v>7.798169476195764E-2</v>
      </c>
      <c r="AD31" s="230">
        <f>(INDEX(Models!$BJ31:$BT31,,AH31)*(1-AF31)+INDEX(Models!$BJ31:$BT31,,AH31+1)*AF31-ERP_i)*AE31*Ramure*Pc/MaxiM</f>
        <v>2.5005231875550702E-3</v>
      </c>
      <c r="AE31" s="304">
        <f t="shared" si="16"/>
        <v>0.6</v>
      </c>
      <c r="AF31" s="177">
        <f t="shared" si="23"/>
        <v>0.99976035499089355</v>
      </c>
      <c r="AG31" s="799">
        <f t="shared" si="24"/>
        <v>-1</v>
      </c>
      <c r="AH31" s="176">
        <f t="shared" si="17"/>
        <v>5</v>
      </c>
      <c r="AI31" s="224">
        <f t="shared" si="18"/>
        <v>-2.3964500910640305E-4</v>
      </c>
      <c r="AJ31" s="264" t="b">
        <f t="shared" si="19"/>
        <v>1</v>
      </c>
      <c r="AK31" s="264" t="b">
        <f t="shared" si="20"/>
        <v>0</v>
      </c>
      <c r="AL31" s="264"/>
      <c r="AM31" s="264"/>
      <c r="AN31" s="75"/>
    </row>
    <row r="32" spans="1:40" s="6" customFormat="1" ht="11.25" x14ac:dyDescent="0.2">
      <c r="A32" s="56">
        <f t="shared" si="21"/>
        <v>44579</v>
      </c>
      <c r="B32" s="1153">
        <v>3.7850000000000001</v>
      </c>
      <c r="C32" s="388"/>
      <c r="D32" s="391">
        <f t="shared" si="0"/>
        <v>3.8654921463205532</v>
      </c>
      <c r="E32" s="383">
        <f t="shared" si="1"/>
        <v>4.1927172339555536</v>
      </c>
      <c r="F32" s="383">
        <f t="shared" si="2"/>
        <v>4.1927172339555536</v>
      </c>
      <c r="G32" s="110">
        <f t="shared" si="22"/>
        <v>0.14474449148214782</v>
      </c>
      <c r="H32" s="412" t="b">
        <f>Wh_hp&gt;='2021'!Maxi_hp</f>
        <v>0</v>
      </c>
      <c r="I32" s="379">
        <f>IF(H32,Wh_hp,'2021'!Maxi_hp)</f>
        <v>29.066008249734857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2.0823259567910646E-2</v>
      </c>
      <c r="M32" s="832"/>
      <c r="N32" s="832"/>
      <c r="O32" s="48">
        <f>IF(t&lt;Tnet,'2021'!Resal+('2021'!Salim-'2021'!Resal)*(1-EXP(('2021'!Tnet-t)/('2021'!Tau_j))),Resal+(Salim-Resal)*(1-EXP((Tnet-t)/(Tau_j))))*Salcycl</f>
        <v>7.8046066399351355E-2</v>
      </c>
      <c r="P32" s="169">
        <f>(INDEX(Models!$BJ32:$BT32,,T32)*(1-R32)+INDEX(Models!$BJ32:$BT32,,T32+1)*R32-ERP_i)*Q32*Ramure*Pc/MaxiM</f>
        <v>2.4617813310294518E-3</v>
      </c>
      <c r="Q32" s="304">
        <f t="shared" si="4"/>
        <v>0.6</v>
      </c>
      <c r="R32" s="177">
        <f t="shared" si="5"/>
        <v>0.99981659120303523</v>
      </c>
      <c r="S32" s="799">
        <f t="shared" si="6"/>
        <v>-1</v>
      </c>
      <c r="T32" s="176">
        <f t="shared" si="7"/>
        <v>5</v>
      </c>
      <c r="U32" s="250">
        <f t="shared" si="8"/>
        <v>-1.8340879696471962E-4</v>
      </c>
      <c r="V32" s="382">
        <f t="shared" si="9"/>
        <v>26.085152664533219</v>
      </c>
      <c r="W32" s="400">
        <f t="shared" si="10"/>
        <v>0</v>
      </c>
      <c r="X32" s="157">
        <f t="shared" si="11"/>
        <v>44579</v>
      </c>
      <c r="Y32" s="383">
        <f t="shared" si="12"/>
        <v>3.7850000000000006</v>
      </c>
      <c r="Z32" s="383">
        <f t="shared" si="13"/>
        <v>3.8654921463205536</v>
      </c>
      <c r="AA32" s="384">
        <f t="shared" si="14"/>
        <v>4.1927172339555536</v>
      </c>
      <c r="AB32" s="197">
        <f t="shared" si="15"/>
        <v>44579</v>
      </c>
      <c r="AC32" s="119">
        <f>IF(OR(t&lt;Tnet,NoTnet),'2021'!Resal_s+('2021'!Salim-'2021'!Resal_s)*(1-EXP(('2021'!Tnet_s-t)/'2021'!Tau_j)),Resal_s+(Salim-Resal_s)*(1-EXP((Tnet_s-t)/Tau_j)))*Salcycl</f>
        <v>7.8046066399351355E-2</v>
      </c>
      <c r="AD32" s="230">
        <f>(INDEX(Models!$BJ32:$BT32,,AH32)*(1-AF32)+INDEX(Models!$BJ32:$BT32,,AH32+1)*AF32-ERP_i)*AE32*Ramure*Pc/MaxiM</f>
        <v>2.4617813310294518E-3</v>
      </c>
      <c r="AE32" s="304">
        <f t="shared" si="16"/>
        <v>0.6</v>
      </c>
      <c r="AF32" s="177">
        <f t="shared" si="23"/>
        <v>0.99981659120303523</v>
      </c>
      <c r="AG32" s="799">
        <f t="shared" si="24"/>
        <v>-1</v>
      </c>
      <c r="AH32" s="176">
        <f t="shared" si="17"/>
        <v>5</v>
      </c>
      <c r="AI32" s="224">
        <f t="shared" si="18"/>
        <v>-1.8340879696471962E-4</v>
      </c>
      <c r="AJ32" s="264" t="b">
        <f t="shared" si="19"/>
        <v>1</v>
      </c>
      <c r="AK32" s="264" t="b">
        <f t="shared" si="20"/>
        <v>0</v>
      </c>
      <c r="AL32" s="264"/>
      <c r="AM32" s="264"/>
      <c r="AN32" s="75"/>
    </row>
    <row r="33" spans="1:40" s="6" customFormat="1" ht="11.25" x14ac:dyDescent="0.2">
      <c r="A33" s="56">
        <f t="shared" si="21"/>
        <v>44580</v>
      </c>
      <c r="B33" s="1153">
        <v>10.327</v>
      </c>
      <c r="C33" s="388"/>
      <c r="D33" s="391">
        <f t="shared" si="0"/>
        <v>10.546817026959737</v>
      </c>
      <c r="E33" s="383">
        <f t="shared" si="1"/>
        <v>11.440434826523799</v>
      </c>
      <c r="F33" s="383">
        <f t="shared" si="2"/>
        <v>11.444068508749462</v>
      </c>
      <c r="G33" s="110">
        <f t="shared" si="22"/>
        <v>0.3909245241121711</v>
      </c>
      <c r="H33" s="412" t="b">
        <f>Wh_hp&gt;='2021'!Maxi_hp</f>
        <v>0</v>
      </c>
      <c r="I33" s="379">
        <f>IF(H33,Wh_hp,'2021'!Maxi_hp)</f>
        <v>30.468754573897851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2.0842025266754938E-2</v>
      </c>
      <c r="M33" s="832"/>
      <c r="N33" s="832"/>
      <c r="O33" s="48">
        <f>IF(t&lt;Tnet,'2021'!Resal+('2021'!Salim-'2021'!Resal)*(1-EXP(('2021'!Tnet-t)/('2021'!Tau_j))),Resal+(Salim-Resal)*(1-EXP((Tnet-t)/(Tau_j))))*Salcycl</f>
        <v>7.8110475092456721E-2</v>
      </c>
      <c r="P33" s="169">
        <f>(INDEX(Models!$BJ33:$BT33,,T33)*(1-R33)+INDEX(Models!$BJ33:$BT33,,T33+1)*R33-ERP_i)*Q33*Ramure*Pc/MaxiM</f>
        <v>2.4224859777184048E-3</v>
      </c>
      <c r="Q33" s="304">
        <f t="shared" si="4"/>
        <v>0.6</v>
      </c>
      <c r="R33" s="177">
        <f t="shared" si="5"/>
        <v>0.99987517316889618</v>
      </c>
      <c r="S33" s="799">
        <f t="shared" si="6"/>
        <v>-1</v>
      </c>
      <c r="T33" s="176">
        <f t="shared" si="7"/>
        <v>5</v>
      </c>
      <c r="U33" s="250">
        <f t="shared" si="8"/>
        <v>-1.2482683110383904E-4</v>
      </c>
      <c r="V33" s="382">
        <f t="shared" si="9"/>
        <v>26.36123968103367</v>
      </c>
      <c r="W33" s="400">
        <f t="shared" si="10"/>
        <v>0</v>
      </c>
      <c r="X33" s="157">
        <f t="shared" si="11"/>
        <v>44580</v>
      </c>
      <c r="Y33" s="383">
        <f t="shared" si="12"/>
        <v>10.327</v>
      </c>
      <c r="Z33" s="383">
        <f t="shared" si="13"/>
        <v>10.546817026959737</v>
      </c>
      <c r="AA33" s="384">
        <f t="shared" si="14"/>
        <v>11.440434826523799</v>
      </c>
      <c r="AB33" s="197">
        <f t="shared" si="15"/>
        <v>44580</v>
      </c>
      <c r="AC33" s="119">
        <f>IF(OR(t&lt;Tnet,NoTnet),'2021'!Resal_s+('2021'!Salim-'2021'!Resal_s)*(1-EXP(('2021'!Tnet_s-t)/'2021'!Tau_j)),Resal_s+(Salim-Resal_s)*(1-EXP((Tnet_s-t)/Tau_j)))*Salcycl</f>
        <v>7.8110475092456721E-2</v>
      </c>
      <c r="AD33" s="230">
        <f>(INDEX(Models!$BJ33:$BT33,,AH33)*(1-AF33)+INDEX(Models!$BJ33:$BT33,,AH33+1)*AF33-ERP_i)*AE33*Ramure*Pc/MaxiM</f>
        <v>2.4224859777184048E-3</v>
      </c>
      <c r="AE33" s="304">
        <f t="shared" si="16"/>
        <v>0.6</v>
      </c>
      <c r="AF33" s="177">
        <f t="shared" si="23"/>
        <v>0.99987517316889618</v>
      </c>
      <c r="AG33" s="799">
        <f t="shared" si="24"/>
        <v>-1</v>
      </c>
      <c r="AH33" s="176">
        <f t="shared" si="17"/>
        <v>5</v>
      </c>
      <c r="AI33" s="224">
        <f t="shared" si="18"/>
        <v>-1.2482683110383904E-4</v>
      </c>
      <c r="AJ33" s="264" t="b">
        <f t="shared" si="19"/>
        <v>1</v>
      </c>
      <c r="AK33" s="264" t="b">
        <f t="shared" si="20"/>
        <v>0</v>
      </c>
      <c r="AL33" s="264"/>
      <c r="AM33" s="264"/>
      <c r="AN33" s="75"/>
    </row>
    <row r="34" spans="1:40" s="6" customFormat="1" ht="11.25" x14ac:dyDescent="0.2">
      <c r="A34" s="56">
        <f t="shared" si="21"/>
        <v>44581</v>
      </c>
      <c r="B34" s="1153">
        <v>6.4670000000000005</v>
      </c>
      <c r="C34" s="388"/>
      <c r="D34" s="391">
        <f t="shared" si="0"/>
        <v>6.6047809524472276</v>
      </c>
      <c r="E34" s="383">
        <f t="shared" si="1"/>
        <v>7.164896172408433</v>
      </c>
      <c r="F34" s="383">
        <f t="shared" si="2"/>
        <v>7.164896172408433</v>
      </c>
      <c r="G34" s="110">
        <f t="shared" si="22"/>
        <v>0.2421667415431612</v>
      </c>
      <c r="H34" s="412" t="b">
        <f>Wh_hp&gt;='2021'!Maxi_hp</f>
        <v>0</v>
      </c>
      <c r="I34" s="379">
        <f>IF(H34,Wh_hp,'2021'!Maxi_hp)</f>
        <v>12.26188245483894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2.0860790605958912E-2</v>
      </c>
      <c r="M34" s="832"/>
      <c r="N34" s="832"/>
      <c r="O34" s="48">
        <f>IF(t&lt;Tnet,'2021'!Resal+('2021'!Salim-'2021'!Resal)*(1-EXP(('2021'!Tnet-t)/('2021'!Tau_j))),Resal+(Salim-Resal)*(1-EXP((Tnet-t)/(Tau_j))))*Salcycl</f>
        <v>7.8174924867463386E-2</v>
      </c>
      <c r="P34" s="169">
        <f>(INDEX(Models!$BJ34:$BT34,,T34)*(1-R34)+INDEX(Models!$BJ34:$BT34,,T34+1)*R34-ERP_i)*Q34*Ramure*Pc/MaxiM</f>
        <v>2.3827534218932487E-3</v>
      </c>
      <c r="Q34" s="304">
        <f t="shared" si="4"/>
        <v>0.6</v>
      </c>
      <c r="R34" s="177">
        <f t="shared" si="5"/>
        <v>0.99993619814893886</v>
      </c>
      <c r="S34" s="799">
        <f t="shared" si="6"/>
        <v>-1</v>
      </c>
      <c r="T34" s="176">
        <f t="shared" si="7"/>
        <v>5</v>
      </c>
      <c r="U34" s="250">
        <f t="shared" si="8"/>
        <v>-6.3801851061189236E-5</v>
      </c>
      <c r="V34" s="382">
        <f t="shared" si="9"/>
        <v>26.641109726748976</v>
      </c>
      <c r="W34" s="400">
        <f t="shared" si="10"/>
        <v>0</v>
      </c>
      <c r="X34" s="157">
        <f t="shared" si="11"/>
        <v>44581</v>
      </c>
      <c r="Y34" s="383">
        <f t="shared" si="12"/>
        <v>6.4670000000000005</v>
      </c>
      <c r="Z34" s="383">
        <f t="shared" si="13"/>
        <v>6.6047809524472276</v>
      </c>
      <c r="AA34" s="384">
        <f t="shared" si="14"/>
        <v>7.164896172408433</v>
      </c>
      <c r="AB34" s="197">
        <f t="shared" si="15"/>
        <v>44581</v>
      </c>
      <c r="AC34" s="119">
        <f>IF(OR(t&lt;Tnet,NoTnet),'2021'!Resal_s+('2021'!Salim-'2021'!Resal_s)*(1-EXP(('2021'!Tnet_s-t)/'2021'!Tau_j)),Resal_s+(Salim-Resal_s)*(1-EXP((Tnet_s-t)/Tau_j)))*Salcycl</f>
        <v>7.8174924867463386E-2</v>
      </c>
      <c r="AD34" s="230">
        <f>(INDEX(Models!$BJ34:$BT34,,AH34)*(1-AF34)+INDEX(Models!$BJ34:$BT34,,AH34+1)*AF34-ERP_i)*AE34*Ramure*Pc/MaxiM</f>
        <v>2.3827534218932487E-3</v>
      </c>
      <c r="AE34" s="304">
        <f t="shared" si="16"/>
        <v>0.6</v>
      </c>
      <c r="AF34" s="177">
        <f t="shared" si="23"/>
        <v>0.99993619814893886</v>
      </c>
      <c r="AG34" s="799">
        <f t="shared" si="24"/>
        <v>-1</v>
      </c>
      <c r="AH34" s="176">
        <f t="shared" si="17"/>
        <v>5</v>
      </c>
      <c r="AI34" s="224">
        <f t="shared" si="18"/>
        <v>-6.3801851061189236E-5</v>
      </c>
      <c r="AJ34" s="264" t="b">
        <f t="shared" si="19"/>
        <v>1</v>
      </c>
      <c r="AK34" s="264" t="b">
        <f t="shared" si="20"/>
        <v>0</v>
      </c>
      <c r="AL34" s="264"/>
      <c r="AM34" s="264"/>
      <c r="AN34" s="75"/>
    </row>
    <row r="35" spans="1:40" s="6" customFormat="1" ht="11.25" x14ac:dyDescent="0.2">
      <c r="A35" s="56">
        <f t="shared" si="21"/>
        <v>44582</v>
      </c>
      <c r="B35" s="1153">
        <v>20.618000000000002</v>
      </c>
      <c r="C35" s="388"/>
      <c r="D35" s="391">
        <f t="shared" si="0"/>
        <v>21.057674893439579</v>
      </c>
      <c r="E35" s="383">
        <f t="shared" si="1"/>
        <v>22.845059059435876</v>
      </c>
      <c r="F35" s="383">
        <f t="shared" si="2"/>
        <v>22.880726638611495</v>
      </c>
      <c r="G35" s="110">
        <f t="shared" si="22"/>
        <v>0.76518410983193275</v>
      </c>
      <c r="H35" s="412" t="b">
        <f>Wh_hp&gt;='2021'!Maxi_hp</f>
        <v>1</v>
      </c>
      <c r="I35" s="379">
        <f>IF(H35,Wh_hp,'2021'!Maxi_hp)</f>
        <v>22.880726638611495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2.0879555585529341E-2</v>
      </c>
      <c r="M35" s="832"/>
      <c r="N35" s="832"/>
      <c r="O35" s="48">
        <f>IF(t&lt;Tnet,'2021'!Resal+('2021'!Salim-'2021'!Resal)*(1-EXP(('2021'!Tnet-t)/('2021'!Tau_j))),Resal+(Salim-Resal)*(1-EXP((Tnet-t)/(Tau_j))))*Salcycl</f>
        <v>7.8239419795154322E-2</v>
      </c>
      <c r="P35" s="169">
        <f>(INDEX(Models!$BJ35:$BT35,,T35)*(1-R35)+INDEX(Models!$BJ35:$BT35,,T35+1)*R35-ERP_i)*Q35*Ramure*Pc/MaxiM</f>
        <v>2.3426967601447145E-3</v>
      </c>
      <c r="Q35" s="304">
        <f t="shared" si="4"/>
        <v>0.6</v>
      </c>
      <c r="R35" s="177">
        <f t="shared" si="5"/>
        <v>0.99999976738617502</v>
      </c>
      <c r="S35" s="799">
        <f t="shared" si="6"/>
        <v>-1</v>
      </c>
      <c r="T35" s="176">
        <f t="shared" si="7"/>
        <v>5</v>
      </c>
      <c r="U35" s="250">
        <f t="shared" si="8"/>
        <v>-2.3261382499850051E-7</v>
      </c>
      <c r="V35" s="382">
        <f t="shared" si="9"/>
        <v>26.923995301079763</v>
      </c>
      <c r="W35" s="400">
        <f t="shared" si="10"/>
        <v>0</v>
      </c>
      <c r="X35" s="157">
        <f t="shared" si="11"/>
        <v>44582</v>
      </c>
      <c r="Y35" s="383">
        <f t="shared" si="12"/>
        <v>20.618000000000002</v>
      </c>
      <c r="Z35" s="383">
        <f t="shared" si="13"/>
        <v>21.057674893439579</v>
      </c>
      <c r="AA35" s="384">
        <f t="shared" si="14"/>
        <v>22.845059059435876</v>
      </c>
      <c r="AB35" s="197">
        <f t="shared" si="15"/>
        <v>44582</v>
      </c>
      <c r="AC35" s="119">
        <f>IF(OR(t&lt;Tnet,NoTnet),'2021'!Resal_s+('2021'!Salim-'2021'!Resal_s)*(1-EXP(('2021'!Tnet_s-t)/'2021'!Tau_j)),Resal_s+(Salim-Resal_s)*(1-EXP((Tnet_s-t)/Tau_j)))*Salcycl</f>
        <v>7.8239419795154322E-2</v>
      </c>
      <c r="AD35" s="230">
        <f>(INDEX(Models!$BJ35:$BT35,,AH35)*(1-AF35)+INDEX(Models!$BJ35:$BT35,,AH35+1)*AF35-ERP_i)*AE35*Ramure*Pc/MaxiM</f>
        <v>2.3426967601447145E-3</v>
      </c>
      <c r="AE35" s="304">
        <f t="shared" si="16"/>
        <v>0.6</v>
      </c>
      <c r="AF35" s="177">
        <f t="shared" si="23"/>
        <v>0.99999976738617502</v>
      </c>
      <c r="AG35" s="799">
        <f t="shared" si="24"/>
        <v>-1</v>
      </c>
      <c r="AH35" s="176">
        <f t="shared" si="17"/>
        <v>5</v>
      </c>
      <c r="AI35" s="224">
        <f t="shared" si="18"/>
        <v>-2.3261382499850051E-7</v>
      </c>
      <c r="AJ35" s="264" t="b">
        <f t="shared" si="19"/>
        <v>1</v>
      </c>
      <c r="AK35" s="264" t="b">
        <f t="shared" si="20"/>
        <v>0</v>
      </c>
      <c r="AL35" s="264"/>
      <c r="AM35" s="264"/>
      <c r="AN35" s="75"/>
    </row>
    <row r="36" spans="1:40" s="6" customFormat="1" ht="11.25" x14ac:dyDescent="0.2">
      <c r="A36" s="56">
        <f t="shared" si="21"/>
        <v>44583</v>
      </c>
      <c r="B36" s="1153">
        <v>27.521000000000001</v>
      </c>
      <c r="C36" s="388"/>
      <c r="D36" s="391">
        <f t="shared" si="0"/>
        <v>28.108418735197688</v>
      </c>
      <c r="E36" s="383">
        <f t="shared" si="1"/>
        <v>30.496408395700122</v>
      </c>
      <c r="F36" s="383">
        <f t="shared" si="2"/>
        <v>30.566788013971934</v>
      </c>
      <c r="G36" s="110">
        <f t="shared" si="22"/>
        <v>1.011462059241816</v>
      </c>
      <c r="H36" s="412" t="b">
        <f>Wh_hp&gt;='2021'!Maxi_hp</f>
        <v>1</v>
      </c>
      <c r="I36" s="379">
        <f>IF(H36,Wh_hp,'2021'!Maxi_hp)</f>
        <v>30.566788013971934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2.0898320205473331E-2</v>
      </c>
      <c r="M36" s="832"/>
      <c r="N36" s="832"/>
      <c r="O36" s="48">
        <f>IF(t&lt;Tnet,'2021'!Resal+('2021'!Salim-'2021'!Resal)*(1-EXP(('2021'!Tnet-t)/('2021'!Tau_j))),Resal+(Salim-Resal)*(1-EXP((Tnet-t)/(Tau_j))))*Salcycl</f>
        <v>7.8303963847727392E-2</v>
      </c>
      <c r="P36" s="169">
        <f>(INDEX(Models!$BJ36:$BT36,,T36)*(1-R36)+INDEX(Models!$BJ36:$BT36,,T36+1)*R36-ERP_i)*Q36*Ramure*Pc/MaxiM</f>
        <v>2.3024865497690479E-3</v>
      </c>
      <c r="Q36" s="304">
        <f t="shared" si="4"/>
        <v>0.6</v>
      </c>
      <c r="R36" s="177">
        <f t="shared" si="5"/>
        <v>6.5986264957097036E-5</v>
      </c>
      <c r="S36" s="799">
        <f t="shared" si="6"/>
        <v>0</v>
      </c>
      <c r="T36" s="176">
        <f t="shared" si="7"/>
        <v>6</v>
      </c>
      <c r="U36" s="250">
        <f t="shared" si="8"/>
        <v>6.5986264957097036E-5</v>
      </c>
      <c r="V36" s="382">
        <f t="shared" si="9"/>
        <v>27.209127370165053</v>
      </c>
      <c r="W36" s="400">
        <f t="shared" si="10"/>
        <v>0</v>
      </c>
      <c r="X36" s="157">
        <f t="shared" si="11"/>
        <v>44583</v>
      </c>
      <c r="Y36" s="383">
        <f t="shared" si="12"/>
        <v>27.521000000000001</v>
      </c>
      <c r="Z36" s="383">
        <f t="shared" si="13"/>
        <v>28.108418735197688</v>
      </c>
      <c r="AA36" s="384">
        <f t="shared" si="14"/>
        <v>30.496408395700122</v>
      </c>
      <c r="AB36" s="197">
        <f t="shared" si="15"/>
        <v>44583</v>
      </c>
      <c r="AC36" s="119">
        <f>IF(OR(t&lt;Tnet,NoTnet),'2021'!Resal_s+('2021'!Salim-'2021'!Resal_s)*(1-EXP(('2021'!Tnet_s-t)/'2021'!Tau_j)),Resal_s+(Salim-Resal_s)*(1-EXP((Tnet_s-t)/Tau_j)))*Salcycl</f>
        <v>7.8303963847727392E-2</v>
      </c>
      <c r="AD36" s="230">
        <f>(INDEX(Models!$BJ36:$BT36,,AH36)*(1-AF36)+INDEX(Models!$BJ36:$BT36,,AH36+1)*AF36-ERP_i)*AE36*Ramure*Pc/MaxiM</f>
        <v>2.3024865497690479E-3</v>
      </c>
      <c r="AE36" s="304">
        <f t="shared" si="16"/>
        <v>0.6</v>
      </c>
      <c r="AF36" s="177">
        <f t="shared" si="23"/>
        <v>6.5986264957097036E-5</v>
      </c>
      <c r="AG36" s="799">
        <f t="shared" si="24"/>
        <v>0</v>
      </c>
      <c r="AH36" s="176">
        <f t="shared" si="17"/>
        <v>6</v>
      </c>
      <c r="AI36" s="224">
        <f t="shared" si="18"/>
        <v>6.5986264957097036E-5</v>
      </c>
      <c r="AJ36" s="264" t="b">
        <f t="shared" si="19"/>
        <v>1</v>
      </c>
      <c r="AK36" s="264" t="b">
        <f t="shared" si="20"/>
        <v>0</v>
      </c>
      <c r="AL36" s="264"/>
      <c r="AM36" s="264"/>
      <c r="AN36" s="75"/>
    </row>
    <row r="37" spans="1:40" s="6" customFormat="1" ht="11.25" x14ac:dyDescent="0.2">
      <c r="A37" s="56">
        <f t="shared" si="21"/>
        <v>44584</v>
      </c>
      <c r="B37" s="1153">
        <v>27.641999999999999</v>
      </c>
      <c r="C37" s="388"/>
      <c r="D37" s="391">
        <f t="shared" si="0"/>
        <v>28.232542475647332</v>
      </c>
      <c r="E37" s="383">
        <f t="shared" si="1"/>
        <v>30.633224165051416</v>
      </c>
      <c r="F37" s="383">
        <f t="shared" si="2"/>
        <v>30.702667936607366</v>
      </c>
      <c r="G37" s="110">
        <f t="shared" si="22"/>
        <v>1.0051787273423882</v>
      </c>
      <c r="H37" s="412" t="b">
        <f>Wh_hp&gt;='2021'!Maxi_hp</f>
        <v>1</v>
      </c>
      <c r="I37" s="379">
        <f>IF(H37,Wh_hp,'2021'!Maxi_hp)</f>
        <v>30.702667936607366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2.0917084465797542E-2</v>
      </c>
      <c r="M37" s="832"/>
      <c r="N37" s="832"/>
      <c r="O37" s="48">
        <f>IF(t&lt;Tnet,'2021'!Resal+('2021'!Salim-'2021'!Resal)*(1-EXP(('2021'!Tnet-t)/('2021'!Tau_j))),Resal+(Salim-Resal)*(1-EXP((Tnet-t)/(Tau_j))))*Salcycl</f>
        <v>7.8368560764914719E-2</v>
      </c>
      <c r="P37" s="169">
        <f>(INDEX(Models!$BJ37:$BT37,,T37)*(1-R37)+INDEX(Models!$BJ37:$BT37,,T37+1)*R37-ERP_i)*Q37*Ramure*Pc/MaxiM</f>
        <v>2.2618155431746783E-3</v>
      </c>
      <c r="Q37" s="304">
        <f t="shared" si="4"/>
        <v>0.6</v>
      </c>
      <c r="R37" s="177">
        <f t="shared" si="5"/>
        <v>1.3496447573439069E-4</v>
      </c>
      <c r="S37" s="799">
        <f t="shared" si="6"/>
        <v>0</v>
      </c>
      <c r="T37" s="176">
        <f t="shared" si="7"/>
        <v>6</v>
      </c>
      <c r="U37" s="250">
        <f t="shared" si="8"/>
        <v>1.3496447573439069E-4</v>
      </c>
      <c r="V37" s="382">
        <f t="shared" si="9"/>
        <v>27.499587136193401</v>
      </c>
      <c r="W37" s="400">
        <f t="shared" si="10"/>
        <v>0</v>
      </c>
      <c r="X37" s="157">
        <f t="shared" si="11"/>
        <v>44584</v>
      </c>
      <c r="Y37" s="383">
        <f t="shared" si="12"/>
        <v>27.641999999999999</v>
      </c>
      <c r="Z37" s="383">
        <f t="shared" si="13"/>
        <v>28.232542475647332</v>
      </c>
      <c r="AA37" s="384">
        <f t="shared" si="14"/>
        <v>30.633224165051416</v>
      </c>
      <c r="AB37" s="197">
        <f t="shared" si="15"/>
        <v>44584</v>
      </c>
      <c r="AC37" s="119">
        <f>IF(OR(t&lt;Tnet,NoTnet),'2021'!Resal_s+('2021'!Salim-'2021'!Resal_s)*(1-EXP(('2021'!Tnet_s-t)/'2021'!Tau_j)),Resal_s+(Salim-Resal_s)*(1-EXP((Tnet_s-t)/Tau_j)))*Salcycl</f>
        <v>7.8368560764914719E-2</v>
      </c>
      <c r="AD37" s="230">
        <f>(INDEX(Models!$BJ37:$BT37,,AH37)*(1-AF37)+INDEX(Models!$BJ37:$BT37,,AH37+1)*AF37-ERP_i)*AE37*Ramure*Pc/MaxiM</f>
        <v>2.2618155431746783E-3</v>
      </c>
      <c r="AE37" s="304">
        <f t="shared" si="16"/>
        <v>0.6</v>
      </c>
      <c r="AF37" s="177">
        <f t="shared" si="23"/>
        <v>1.3496447573439069E-4</v>
      </c>
      <c r="AG37" s="799">
        <f t="shared" si="24"/>
        <v>0</v>
      </c>
      <c r="AH37" s="176">
        <f t="shared" si="17"/>
        <v>6</v>
      </c>
      <c r="AI37" s="224">
        <f t="shared" si="18"/>
        <v>1.3496447573439069E-4</v>
      </c>
      <c r="AJ37" s="264" t="b">
        <f t="shared" si="19"/>
        <v>1</v>
      </c>
      <c r="AK37" s="264" t="b">
        <f t="shared" si="20"/>
        <v>0</v>
      </c>
      <c r="AL37" s="264"/>
      <c r="AM37" s="264"/>
      <c r="AN37" s="75"/>
    </row>
    <row r="38" spans="1:40" s="6" customFormat="1" ht="11.25" x14ac:dyDescent="0.2">
      <c r="A38" s="56">
        <f t="shared" si="21"/>
        <v>44585</v>
      </c>
      <c r="B38" s="1153">
        <v>28.177</v>
      </c>
      <c r="C38" s="388"/>
      <c r="D38" s="391">
        <f t="shared" si="0"/>
        <v>28.779523745189639</v>
      </c>
      <c r="E38" s="383">
        <f t="shared" si="1"/>
        <v>31.228907313314863</v>
      </c>
      <c r="F38" s="383">
        <f t="shared" si="2"/>
        <v>31.29840811546141</v>
      </c>
      <c r="G38" s="110">
        <f t="shared" si="22"/>
        <v>1.0136207234082972</v>
      </c>
      <c r="H38" s="412" t="b">
        <f>Wh_hp&gt;='2021'!Maxi_hp</f>
        <v>1</v>
      </c>
      <c r="I38" s="379">
        <f>IF(H38,Wh_hp,'2021'!Maxi_hp)</f>
        <v>31.29840811546141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2.093584836650908E-2</v>
      </c>
      <c r="M38" s="832"/>
      <c r="N38" s="832"/>
      <c r="O38" s="48">
        <f>IF(t&lt;Tnet,'2021'!Resal+('2021'!Salim-'2021'!Resal)*(1-EXP(('2021'!Tnet-t)/('2021'!Tau_j))),Resal+(Salim-Resal)*(1-EXP((Tnet-t)/(Tau_j))))*Salcycl</f>
        <v>7.8433213930635862E-2</v>
      </c>
      <c r="P38" s="169">
        <f>(INDEX(Models!$BJ38:$BT38,,T38)*(1-R38)+INDEX(Models!$BJ38:$BT38,,T38+1)*R38-ERP_i)*Q38*Ramure*Pc/MaxiM</f>
        <v>2.2205858486526405E-3</v>
      </c>
      <c r="Q38" s="304">
        <f t="shared" si="4"/>
        <v>0.6</v>
      </c>
      <c r="R38" s="177">
        <f t="shared" si="5"/>
        <v>2.0681618596386743E-4</v>
      </c>
      <c r="S38" s="799">
        <f t="shared" si="6"/>
        <v>0</v>
      </c>
      <c r="T38" s="176">
        <f t="shared" si="7"/>
        <v>6</v>
      </c>
      <c r="U38" s="250">
        <f t="shared" si="8"/>
        <v>2.0681618596386743E-4</v>
      </c>
      <c r="V38" s="382">
        <f t="shared" si="9"/>
        <v>27.798366143556052</v>
      </c>
      <c r="W38" s="400">
        <f t="shared" si="10"/>
        <v>0</v>
      </c>
      <c r="X38" s="157">
        <f t="shared" si="11"/>
        <v>44585</v>
      </c>
      <c r="Y38" s="383">
        <f t="shared" si="12"/>
        <v>28.177</v>
      </c>
      <c r="Z38" s="383">
        <f t="shared" si="13"/>
        <v>28.779523745189639</v>
      </c>
      <c r="AA38" s="384">
        <f t="shared" si="14"/>
        <v>31.228907313314863</v>
      </c>
      <c r="AB38" s="197">
        <f t="shared" si="15"/>
        <v>44585</v>
      </c>
      <c r="AC38" s="119">
        <f>IF(OR(t&lt;Tnet,NoTnet),'2021'!Resal_s+('2021'!Salim-'2021'!Resal_s)*(1-EXP(('2021'!Tnet_s-t)/'2021'!Tau_j)),Resal_s+(Salim-Resal_s)*(1-EXP((Tnet_s-t)/Tau_j)))*Salcycl</f>
        <v>7.8433213930635862E-2</v>
      </c>
      <c r="AD38" s="230">
        <f>(INDEX(Models!$BJ38:$BT38,,AH38)*(1-AF38)+INDEX(Models!$BJ38:$BT38,,AH38+1)*AF38-ERP_i)*AE38*Ramure*Pc/MaxiM</f>
        <v>2.2205858486526405E-3</v>
      </c>
      <c r="AE38" s="304">
        <f t="shared" si="16"/>
        <v>0.6</v>
      </c>
      <c r="AF38" s="177">
        <f t="shared" si="23"/>
        <v>2.0681618596386743E-4</v>
      </c>
      <c r="AG38" s="799">
        <f t="shared" si="24"/>
        <v>0</v>
      </c>
      <c r="AH38" s="176">
        <f t="shared" si="17"/>
        <v>6</v>
      </c>
      <c r="AI38" s="224">
        <f t="shared" si="18"/>
        <v>2.0681618596386743E-4</v>
      </c>
      <c r="AJ38" s="264" t="b">
        <f t="shared" si="19"/>
        <v>1</v>
      </c>
      <c r="AK38" s="264" t="b">
        <f t="shared" si="20"/>
        <v>0</v>
      </c>
      <c r="AL38" s="264"/>
      <c r="AM38" s="264"/>
      <c r="AN38" s="75"/>
    </row>
    <row r="39" spans="1:40" s="6" customFormat="1" ht="11.25" x14ac:dyDescent="0.2">
      <c r="A39" s="56">
        <f t="shared" si="21"/>
        <v>44586</v>
      </c>
      <c r="B39" s="1153">
        <v>27.245000000000001</v>
      </c>
      <c r="C39" s="388"/>
      <c r="D39" s="391">
        <f t="shared" si="0"/>
        <v>27.82812761427266</v>
      </c>
      <c r="E39" s="383">
        <f t="shared" si="1"/>
        <v>30.198659783117435</v>
      </c>
      <c r="F39" s="383">
        <f t="shared" si="2"/>
        <v>30.261651120262506</v>
      </c>
      <c r="G39" s="110">
        <f t="shared" si="22"/>
        <v>0.96932068567307617</v>
      </c>
      <c r="H39" s="412" t="b">
        <f>Wh_hp&gt;='2021'!Maxi_hp</f>
        <v>1</v>
      </c>
      <c r="I39" s="379">
        <f>IF(H39,Wh_hp,'2021'!Maxi_hp)</f>
        <v>30.261651120262506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2.0954611907614717E-2</v>
      </c>
      <c r="M39" s="832"/>
      <c r="N39" s="832"/>
      <c r="O39" s="48">
        <f>IF(t&lt;Tnet,'2021'!Resal+('2021'!Salim-'2021'!Resal)*(1-EXP(('2021'!Tnet-t)/('2021'!Tau_j))),Resal+(Salim-Resal)*(1-EXP((Tnet-t)/(Tau_j))))*Salcycl</f>
        <v>7.8497926261284726E-2</v>
      </c>
      <c r="P39" s="169">
        <f>(INDEX(Models!$BJ39:$BT39,,T39)*(1-R39)+INDEX(Models!$BJ39:$BT39,,T39+1)*R39-ERP_i)*Q39*Ramure*Pc/MaxiM</f>
        <v>2.1766673032903496E-3</v>
      </c>
      <c r="Q39" s="304">
        <f t="shared" si="4"/>
        <v>0.6</v>
      </c>
      <c r="R39" s="177">
        <f t="shared" si="5"/>
        <v>2.8166021737210055E-4</v>
      </c>
      <c r="S39" s="799">
        <f t="shared" si="6"/>
        <v>0</v>
      </c>
      <c r="T39" s="176">
        <f t="shared" si="7"/>
        <v>6</v>
      </c>
      <c r="U39" s="250">
        <f t="shared" si="8"/>
        <v>2.8166021737210055E-4</v>
      </c>
      <c r="V39" s="382">
        <f t="shared" si="9"/>
        <v>28.104634208412378</v>
      </c>
      <c r="W39" s="400">
        <f t="shared" si="10"/>
        <v>0</v>
      </c>
      <c r="X39" s="157">
        <f t="shared" si="11"/>
        <v>44586</v>
      </c>
      <c r="Y39" s="383">
        <f t="shared" si="12"/>
        <v>27.245000000000001</v>
      </c>
      <c r="Z39" s="383">
        <f t="shared" si="13"/>
        <v>27.82812761427266</v>
      </c>
      <c r="AA39" s="384">
        <f t="shared" si="14"/>
        <v>30.198659783117435</v>
      </c>
      <c r="AB39" s="197">
        <f t="shared" si="15"/>
        <v>44586</v>
      </c>
      <c r="AC39" s="119">
        <f>IF(OR(t&lt;Tnet,NoTnet),'2021'!Resal_s+('2021'!Salim-'2021'!Resal_s)*(1-EXP(('2021'!Tnet_s-t)/'2021'!Tau_j)),Resal_s+(Salim-Resal_s)*(1-EXP((Tnet_s-t)/Tau_j)))*Salcycl</f>
        <v>7.8497926261284726E-2</v>
      </c>
      <c r="AD39" s="230">
        <f>(INDEX(Models!$BJ39:$BT39,,AH39)*(1-AF39)+INDEX(Models!$BJ39:$BT39,,AH39+1)*AF39-ERP_i)*AE39*Ramure*Pc/MaxiM</f>
        <v>2.1766673032903496E-3</v>
      </c>
      <c r="AE39" s="304">
        <f t="shared" si="16"/>
        <v>0.6</v>
      </c>
      <c r="AF39" s="177">
        <f t="shared" si="23"/>
        <v>2.8166021737210055E-4</v>
      </c>
      <c r="AG39" s="799">
        <f t="shared" si="24"/>
        <v>0</v>
      </c>
      <c r="AH39" s="176">
        <f t="shared" si="17"/>
        <v>6</v>
      </c>
      <c r="AI39" s="224">
        <f t="shared" si="18"/>
        <v>2.8166021737210055E-4</v>
      </c>
      <c r="AJ39" s="264" t="b">
        <f t="shared" si="19"/>
        <v>1</v>
      </c>
      <c r="AK39" s="264" t="b">
        <f t="shared" si="20"/>
        <v>0</v>
      </c>
      <c r="AL39" s="264"/>
      <c r="AM39" s="264"/>
      <c r="AN39" s="75"/>
    </row>
    <row r="40" spans="1:40" s="6" customFormat="1" ht="11.25" x14ac:dyDescent="0.2">
      <c r="A40" s="56">
        <f t="shared" si="21"/>
        <v>44587</v>
      </c>
      <c r="B40" s="1153">
        <v>27.907</v>
      </c>
      <c r="C40" s="388"/>
      <c r="D40" s="391">
        <f t="shared" si="0"/>
        <v>28.504842759041807</v>
      </c>
      <c r="E40" s="383">
        <f t="shared" si="1"/>
        <v>30.93519522417828</v>
      </c>
      <c r="F40" s="383">
        <f t="shared" si="2"/>
        <v>30.999537323642969</v>
      </c>
      <c r="G40" s="110">
        <f t="shared" si="22"/>
        <v>0.98198199174056688</v>
      </c>
      <c r="H40" s="412" t="b">
        <f>Wh_hp&gt;='2021'!Maxi_hp</f>
        <v>1</v>
      </c>
      <c r="I40" s="379">
        <f>IF(H40,Wh_hp,'2021'!Maxi_hp)</f>
        <v>30.999537323642969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2.0973375089121338E-2</v>
      </c>
      <c r="M40" s="832"/>
      <c r="N40" s="832"/>
      <c r="O40" s="48">
        <f>IF(t&lt;Tnet,'2021'!Resal+('2021'!Salim-'2021'!Resal)*(1-EXP(('2021'!Tnet-t)/('2021'!Tau_j))),Resal+(Salim-Resal)*(1-EXP((Tnet-t)/(Tau_j))))*Salcycl</f>
        <v>7.8562700106607417E-2</v>
      </c>
      <c r="P40" s="169">
        <f>(INDEX(Models!$BJ40:$BT40,,T40)*(1-R40)+INDEX(Models!$BJ40:$BT40,,T40+1)*R40-ERP_i)*Q40*Ramure*Pc/MaxiM</f>
        <v>2.1302515532528855E-3</v>
      </c>
      <c r="Q40" s="304">
        <f t="shared" si="4"/>
        <v>0.6</v>
      </c>
      <c r="R40" s="177">
        <f t="shared" si="5"/>
        <v>3.5962022976476922E-4</v>
      </c>
      <c r="S40" s="799">
        <f t="shared" si="6"/>
        <v>0</v>
      </c>
      <c r="T40" s="176">
        <f t="shared" si="7"/>
        <v>6</v>
      </c>
      <c r="U40" s="250">
        <f t="shared" si="8"/>
        <v>3.5962022976476922E-4</v>
      </c>
      <c r="V40" s="382">
        <f t="shared" si="9"/>
        <v>28.417497891315456</v>
      </c>
      <c r="W40" s="400">
        <f t="shared" si="10"/>
        <v>0</v>
      </c>
      <c r="X40" s="157">
        <f t="shared" si="11"/>
        <v>44587</v>
      </c>
      <c r="Y40" s="383">
        <f t="shared" si="12"/>
        <v>27.907</v>
      </c>
      <c r="Z40" s="383">
        <f t="shared" si="13"/>
        <v>28.504842759041807</v>
      </c>
      <c r="AA40" s="384">
        <f t="shared" si="14"/>
        <v>30.93519522417828</v>
      </c>
      <c r="AB40" s="197">
        <f t="shared" si="15"/>
        <v>44587</v>
      </c>
      <c r="AC40" s="119">
        <f>IF(OR(t&lt;Tnet,NoTnet),'2021'!Resal_s+('2021'!Salim-'2021'!Resal_s)*(1-EXP(('2021'!Tnet_s-t)/'2021'!Tau_j)),Resal_s+(Salim-Resal_s)*(1-EXP((Tnet_s-t)/Tau_j)))*Salcycl</f>
        <v>7.8562700106607417E-2</v>
      </c>
      <c r="AD40" s="230">
        <f>(INDEX(Models!$BJ40:$BT40,,AH40)*(1-AF40)+INDEX(Models!$BJ40:$BT40,,AH40+1)*AF40-ERP_i)*AE40*Ramure*Pc/MaxiM</f>
        <v>2.1302515532528855E-3</v>
      </c>
      <c r="AE40" s="304">
        <f t="shared" si="16"/>
        <v>0.6</v>
      </c>
      <c r="AF40" s="177">
        <f t="shared" si="23"/>
        <v>3.5962022976476922E-4</v>
      </c>
      <c r="AG40" s="799">
        <f t="shared" si="24"/>
        <v>0</v>
      </c>
      <c r="AH40" s="176">
        <f t="shared" si="17"/>
        <v>6</v>
      </c>
      <c r="AI40" s="224">
        <f t="shared" si="18"/>
        <v>3.5962022976476922E-4</v>
      </c>
      <c r="AJ40" s="264" t="b">
        <f t="shared" si="19"/>
        <v>1</v>
      </c>
      <c r="AK40" s="264" t="b">
        <f t="shared" si="20"/>
        <v>0</v>
      </c>
      <c r="AL40" s="264"/>
      <c r="AM40" s="264"/>
      <c r="AN40" s="75"/>
    </row>
    <row r="41" spans="1:40" s="6" customFormat="1" ht="11.25" x14ac:dyDescent="0.2">
      <c r="A41" s="56">
        <f t="shared" si="21"/>
        <v>44588</v>
      </c>
      <c r="B41" s="1153">
        <v>26.666</v>
      </c>
      <c r="C41" s="388"/>
      <c r="D41" s="391">
        <f t="shared" si="0"/>
        <v>27.237779217728914</v>
      </c>
      <c r="E41" s="383">
        <f t="shared" si="1"/>
        <v>29.562180677605536</v>
      </c>
      <c r="F41" s="383">
        <f t="shared" si="2"/>
        <v>29.617485688648788</v>
      </c>
      <c r="G41" s="110">
        <f t="shared" si="22"/>
        <v>0.92776370147389109</v>
      </c>
      <c r="H41" s="412" t="b">
        <f>Wh_hp&gt;='2021'!Maxi_hp</f>
        <v>1</v>
      </c>
      <c r="I41" s="379">
        <f>IF(H41,Wh_hp,'2021'!Maxi_hp)</f>
        <v>29.617485688648788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2.0992137911035935E-2</v>
      </c>
      <c r="M41" s="832"/>
      <c r="N41" s="832"/>
      <c r="O41" s="48">
        <f>IF(t&lt;Tnet,'2021'!Resal+('2021'!Salim-'2021'!Resal)*(1-EXP(('2021'!Tnet-t)/('2021'!Tau_j))),Resal+(Salim-Resal)*(1-EXP((Tnet-t)/(Tau_j))))*Salcycl</f>
        <v>7.8627537163976621E-2</v>
      </c>
      <c r="P41" s="169">
        <f>(INDEX(Models!$BJ41:$BT41,,T41)*(1-R41)+INDEX(Models!$BJ41:$BT41,,T41+1)*R41-ERP_i)*Q41*Ramure*Pc/MaxiM</f>
        <v>2.0815190169712699E-3</v>
      </c>
      <c r="Q41" s="304">
        <f t="shared" si="4"/>
        <v>0.6</v>
      </c>
      <c r="R41" s="177">
        <f t="shared" si="5"/>
        <v>4.4082491158651139E-4</v>
      </c>
      <c r="S41" s="799">
        <f t="shared" si="6"/>
        <v>0</v>
      </c>
      <c r="T41" s="176">
        <f t="shared" si="7"/>
        <v>6</v>
      </c>
      <c r="U41" s="250">
        <f t="shared" si="8"/>
        <v>4.4082491158651139E-4</v>
      </c>
      <c r="V41" s="382">
        <f t="shared" si="9"/>
        <v>28.736064106858443</v>
      </c>
      <c r="W41" s="400">
        <f t="shared" si="10"/>
        <v>0</v>
      </c>
      <c r="X41" s="157">
        <f t="shared" si="11"/>
        <v>44588</v>
      </c>
      <c r="Y41" s="383">
        <f t="shared" si="12"/>
        <v>26.666</v>
      </c>
      <c r="Z41" s="383">
        <f t="shared" si="13"/>
        <v>27.237779217728914</v>
      </c>
      <c r="AA41" s="384">
        <f t="shared" si="14"/>
        <v>29.562180677605536</v>
      </c>
      <c r="AB41" s="197">
        <f t="shared" si="15"/>
        <v>44588</v>
      </c>
      <c r="AC41" s="119">
        <f>IF(OR(t&lt;Tnet,NoTnet),'2021'!Resal_s+('2021'!Salim-'2021'!Resal_s)*(1-EXP(('2021'!Tnet_s-t)/'2021'!Tau_j)),Resal_s+(Salim-Resal_s)*(1-EXP((Tnet_s-t)/Tau_j)))*Salcycl</f>
        <v>7.8627537163976621E-2</v>
      </c>
      <c r="AD41" s="230">
        <f>(INDEX(Models!$BJ41:$BT41,,AH41)*(1-AF41)+INDEX(Models!$BJ41:$BT41,,AH41+1)*AF41-ERP_i)*AE41*Ramure*Pc/MaxiM</f>
        <v>2.0815190169712699E-3</v>
      </c>
      <c r="AE41" s="304">
        <f t="shared" si="16"/>
        <v>0.6</v>
      </c>
      <c r="AF41" s="177">
        <f t="shared" si="23"/>
        <v>4.4082491158651139E-4</v>
      </c>
      <c r="AG41" s="799">
        <f t="shared" si="24"/>
        <v>0</v>
      </c>
      <c r="AH41" s="176">
        <f t="shared" si="17"/>
        <v>6</v>
      </c>
      <c r="AI41" s="224">
        <f t="shared" si="18"/>
        <v>4.4082491158651139E-4</v>
      </c>
      <c r="AJ41" s="264" t="b">
        <f t="shared" si="19"/>
        <v>1</v>
      </c>
      <c r="AK41" s="264" t="b">
        <f t="shared" si="20"/>
        <v>0</v>
      </c>
      <c r="AL41" s="264"/>
      <c r="AM41" s="264"/>
      <c r="AN41" s="75"/>
    </row>
    <row r="42" spans="1:40" s="6" customFormat="1" ht="11.25" x14ac:dyDescent="0.2">
      <c r="A42" s="56">
        <f t="shared" si="21"/>
        <v>44589</v>
      </c>
      <c r="B42" s="1153">
        <v>4.2140000000000004</v>
      </c>
      <c r="C42" s="388"/>
      <c r="D42" s="391">
        <f t="shared" si="0"/>
        <v>4.3044401634370892</v>
      </c>
      <c r="E42" s="383">
        <f t="shared" si="1"/>
        <v>4.6720990284646025</v>
      </c>
      <c r="F42" s="383">
        <f t="shared" si="2"/>
        <v>4.6720990284646025</v>
      </c>
      <c r="G42" s="110">
        <f t="shared" si="22"/>
        <v>0.14471864807665361</v>
      </c>
      <c r="H42" s="412" t="b">
        <f>Wh_hp&gt;='2021'!Maxi_hp</f>
        <v>0</v>
      </c>
      <c r="I42" s="379">
        <f>IF(H42,Wh_hp,'2021'!Maxi_hp)</f>
        <v>18.471919028830147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2.1010900373365282E-2</v>
      </c>
      <c r="M42" s="832"/>
      <c r="N42" s="832"/>
      <c r="O42" s="48">
        <f>IF(t&lt;Tnet,'2021'!Resal+('2021'!Salim-'2021'!Resal)*(1-EXP(('2021'!Tnet-t)/('2021'!Tau_j))),Resal+(Salim-Resal)*(1-EXP((Tnet-t)/(Tau_j))))*Salcycl</f>
        <v>7.8692438406712667E-2</v>
      </c>
      <c r="P42" s="169">
        <f>(INDEX(Models!$BJ42:$BT42,,T42)*(1-R42)+INDEX(Models!$BJ42:$BT42,,T42+1)*R42-ERP_i)*Q42*Ramure*Pc/MaxiM</f>
        <v>2.0306383055719197E-3</v>
      </c>
      <c r="Q42" s="304">
        <f t="shared" si="4"/>
        <v>0.6</v>
      </c>
      <c r="R42" s="177">
        <f t="shared" si="5"/>
        <v>5.2540817743246368E-4</v>
      </c>
      <c r="S42" s="799">
        <f t="shared" si="6"/>
        <v>0</v>
      </c>
      <c r="T42" s="176">
        <f t="shared" si="7"/>
        <v>6</v>
      </c>
      <c r="U42" s="250">
        <f t="shared" si="8"/>
        <v>5.2540817743246368E-4</v>
      </c>
      <c r="V42" s="382">
        <f t="shared" si="9"/>
        <v>29.059440134852625</v>
      </c>
      <c r="W42" s="400">
        <f t="shared" si="10"/>
        <v>0</v>
      </c>
      <c r="X42" s="157">
        <f t="shared" si="11"/>
        <v>44589</v>
      </c>
      <c r="Y42" s="383">
        <f t="shared" si="12"/>
        <v>4.2140000000000004</v>
      </c>
      <c r="Z42" s="383">
        <f t="shared" si="13"/>
        <v>4.3044401634370892</v>
      </c>
      <c r="AA42" s="384">
        <f t="shared" si="14"/>
        <v>4.6720990284646025</v>
      </c>
      <c r="AB42" s="197">
        <f t="shared" si="15"/>
        <v>44589</v>
      </c>
      <c r="AC42" s="119">
        <f>IF(OR(t&lt;Tnet,NoTnet),'2021'!Resal_s+('2021'!Salim-'2021'!Resal_s)*(1-EXP(('2021'!Tnet_s-t)/'2021'!Tau_j)),Resal_s+(Salim-Resal_s)*(1-EXP((Tnet_s-t)/Tau_j)))*Salcycl</f>
        <v>7.8692438406712667E-2</v>
      </c>
      <c r="AD42" s="230">
        <f>(INDEX(Models!$BJ42:$BT42,,AH42)*(1-AF42)+INDEX(Models!$BJ42:$BT42,,AH42+1)*AF42-ERP_i)*AE42*Ramure*Pc/MaxiM</f>
        <v>2.0306383055719197E-3</v>
      </c>
      <c r="AE42" s="304">
        <f t="shared" si="16"/>
        <v>0.6</v>
      </c>
      <c r="AF42" s="177">
        <f t="shared" si="23"/>
        <v>5.2540817743246368E-4</v>
      </c>
      <c r="AG42" s="799">
        <f t="shared" si="24"/>
        <v>0</v>
      </c>
      <c r="AH42" s="176">
        <f t="shared" si="17"/>
        <v>6</v>
      </c>
      <c r="AI42" s="224">
        <f t="shared" si="18"/>
        <v>5.2540817743246368E-4</v>
      </c>
      <c r="AJ42" s="264" t="b">
        <f t="shared" si="19"/>
        <v>1</v>
      </c>
      <c r="AK42" s="264" t="b">
        <f t="shared" si="20"/>
        <v>0</v>
      </c>
      <c r="AL42" s="264"/>
      <c r="AM42" s="264"/>
      <c r="AN42" s="75"/>
    </row>
    <row r="43" spans="1:40" s="6" customFormat="1" ht="11.25" x14ac:dyDescent="0.2">
      <c r="A43" s="56">
        <f t="shared" si="21"/>
        <v>44590</v>
      </c>
      <c r="B43" s="1153">
        <v>8.8940000000000001</v>
      </c>
      <c r="C43" s="388"/>
      <c r="D43" s="391">
        <f t="shared" si="0"/>
        <v>9.0850556539799303</v>
      </c>
      <c r="E43" s="383">
        <f t="shared" si="1"/>
        <v>9.8617407550330256</v>
      </c>
      <c r="F43" s="383">
        <f t="shared" si="2"/>
        <v>9.8618146925919881</v>
      </c>
      <c r="G43" s="110">
        <f t="shared" si="22"/>
        <v>0.30205726217124096</v>
      </c>
      <c r="H43" s="412" t="b">
        <f>Wh_hp&gt;='2021'!Maxi_hp</f>
        <v>0</v>
      </c>
      <c r="I43" s="379">
        <f>IF(H43,Wh_hp,'2021'!Maxi_hp)</f>
        <v>19.775703807846384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2.1029662476116262E-2</v>
      </c>
      <c r="M43" s="832"/>
      <c r="N43" s="832"/>
      <c r="O43" s="48">
        <f>IF(t&lt;Tnet,'2021'!Resal+('2021'!Salim-'2021'!Resal)*(1-EXP(('2021'!Tnet-t)/('2021'!Tau_j))),Resal+(Salim-Resal)*(1-EXP((Tnet-t)/(Tau_j))))*Salcycl</f>
        <v>7.875740402694198E-2</v>
      </c>
      <c r="P43" s="169">
        <f>(INDEX(Models!$BJ43:$BT43,,T43)*(1-R43)+INDEX(Models!$BJ43:$BT43,,T43+1)*R43-ERP_i)*Q43*Ramure*Pc/MaxiM</f>
        <v>1.977765839153359E-3</v>
      </c>
      <c r="Q43" s="304">
        <f t="shared" si="4"/>
        <v>0.6</v>
      </c>
      <c r="R43" s="177">
        <f t="shared" si="5"/>
        <v>6.1350937271773681E-4</v>
      </c>
      <c r="S43" s="799">
        <f t="shared" si="6"/>
        <v>0</v>
      </c>
      <c r="T43" s="176">
        <f t="shared" si="7"/>
        <v>6</v>
      </c>
      <c r="U43" s="250">
        <f t="shared" si="8"/>
        <v>6.1350937271773681E-4</v>
      </c>
      <c r="V43" s="382">
        <f t="shared" si="9"/>
        <v>29.386733617807469</v>
      </c>
      <c r="W43" s="400">
        <f t="shared" si="10"/>
        <v>0</v>
      </c>
      <c r="X43" s="157">
        <f t="shared" si="11"/>
        <v>44590</v>
      </c>
      <c r="Y43" s="383">
        <f t="shared" si="12"/>
        <v>8.8940000000000001</v>
      </c>
      <c r="Z43" s="383">
        <f t="shared" si="13"/>
        <v>9.0850556539799303</v>
      </c>
      <c r="AA43" s="384">
        <f t="shared" si="14"/>
        <v>9.8617407550330256</v>
      </c>
      <c r="AB43" s="197">
        <f t="shared" si="15"/>
        <v>44590</v>
      </c>
      <c r="AC43" s="119">
        <f>IF(OR(t&lt;Tnet,NoTnet),'2021'!Resal_s+('2021'!Salim-'2021'!Resal_s)*(1-EXP(('2021'!Tnet_s-t)/'2021'!Tau_j)),Resal_s+(Salim-Resal_s)*(1-EXP((Tnet_s-t)/Tau_j)))*Salcycl</f>
        <v>7.875740402694198E-2</v>
      </c>
      <c r="AD43" s="230">
        <f>(INDEX(Models!$BJ43:$BT43,,AH43)*(1-AF43)+INDEX(Models!$BJ43:$BT43,,AH43+1)*AF43-ERP_i)*AE43*Ramure*Pc/MaxiM</f>
        <v>1.977765839153359E-3</v>
      </c>
      <c r="AE43" s="304">
        <f t="shared" si="16"/>
        <v>0.6</v>
      </c>
      <c r="AF43" s="177">
        <f t="shared" si="23"/>
        <v>6.1350937271773681E-4</v>
      </c>
      <c r="AG43" s="799">
        <f t="shared" si="24"/>
        <v>0</v>
      </c>
      <c r="AH43" s="176">
        <f t="shared" si="17"/>
        <v>6</v>
      </c>
      <c r="AI43" s="224">
        <f t="shared" si="18"/>
        <v>6.1350937271773681E-4</v>
      </c>
      <c r="AJ43" s="264" t="b">
        <f t="shared" si="19"/>
        <v>1</v>
      </c>
      <c r="AK43" s="264" t="b">
        <f t="shared" si="20"/>
        <v>0</v>
      </c>
      <c r="AL43" s="264"/>
      <c r="AM43" s="264"/>
      <c r="AN43" s="75"/>
    </row>
    <row r="44" spans="1:40" s="6" customFormat="1" ht="11.25" x14ac:dyDescent="0.2">
      <c r="A44" s="56">
        <f t="shared" si="21"/>
        <v>44591</v>
      </c>
      <c r="B44" s="1153">
        <v>4.593</v>
      </c>
      <c r="C44" s="388"/>
      <c r="D44" s="391">
        <f t="shared" si="0"/>
        <v>4.6917540291378854</v>
      </c>
      <c r="E44" s="383">
        <f t="shared" si="1"/>
        <v>5.0932135119408084</v>
      </c>
      <c r="F44" s="383">
        <f t="shared" si="2"/>
        <v>5.0932135119408084</v>
      </c>
      <c r="G44" s="110">
        <f t="shared" si="22"/>
        <v>0.15426050213068826</v>
      </c>
      <c r="H44" s="412" t="b">
        <f>Wh_hp&gt;='2021'!Maxi_hp</f>
        <v>0</v>
      </c>
      <c r="I44" s="379">
        <f>IF(H44,Wh_hp,'2021'!Maxi_hp)</f>
        <v>11.80160840972839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2.104842421929598E-2</v>
      </c>
      <c r="M44" s="832"/>
      <c r="N44" s="832"/>
      <c r="O44" s="48">
        <f>IF(t&lt;Tnet,'2021'!Resal+('2021'!Salim-'2021'!Resal)*(1-EXP(('2021'!Tnet-t)/('2021'!Tau_j))),Resal+(Salim-Resal)*(1-EXP((Tnet-t)/(Tau_j))))*Salcycl</f>
        <v>7.8822433393322136E-2</v>
      </c>
      <c r="P44" s="169">
        <f>(INDEX(Models!$BJ44:$BT44,,T44)*(1-R44)+INDEX(Models!$BJ44:$BT44,,T44+1)*R44-ERP_i)*Q44*Ramure*Pc/MaxiM</f>
        <v>1.9240889670482076E-3</v>
      </c>
      <c r="Q44" s="304">
        <f t="shared" si="4"/>
        <v>0.6</v>
      </c>
      <c r="R44" s="177">
        <f t="shared" si="5"/>
        <v>7.0527348571120842E-4</v>
      </c>
      <c r="S44" s="799">
        <f t="shared" si="6"/>
        <v>0</v>
      </c>
      <c r="T44" s="176">
        <f t="shared" si="7"/>
        <v>6</v>
      </c>
      <c r="U44" s="250">
        <f t="shared" si="8"/>
        <v>7.0527348571120842E-4</v>
      </c>
      <c r="V44" s="382">
        <f t="shared" si="9"/>
        <v>29.717021506196595</v>
      </c>
      <c r="W44" s="400">
        <f t="shared" si="10"/>
        <v>0</v>
      </c>
      <c r="X44" s="157">
        <f t="shared" si="11"/>
        <v>44591</v>
      </c>
      <c r="Y44" s="383">
        <f t="shared" si="12"/>
        <v>4.593</v>
      </c>
      <c r="Z44" s="383">
        <f t="shared" si="13"/>
        <v>4.6917540291378854</v>
      </c>
      <c r="AA44" s="384">
        <f t="shared" si="14"/>
        <v>5.0932135119408084</v>
      </c>
      <c r="AB44" s="197">
        <f t="shared" si="15"/>
        <v>44591</v>
      </c>
      <c r="AC44" s="119">
        <f>IF(OR(t&lt;Tnet,NoTnet),'2021'!Resal_s+('2021'!Salim-'2021'!Resal_s)*(1-EXP(('2021'!Tnet_s-t)/'2021'!Tau_j)),Resal_s+(Salim-Resal_s)*(1-EXP((Tnet_s-t)/Tau_j)))*Salcycl</f>
        <v>7.8822433393322136E-2</v>
      </c>
      <c r="AD44" s="230">
        <f>(INDEX(Models!$BJ44:$BT44,,AH44)*(1-AF44)+INDEX(Models!$BJ44:$BT44,,AH44+1)*AF44-ERP_i)*AE44*Ramure*Pc/MaxiM</f>
        <v>1.9240889670482076E-3</v>
      </c>
      <c r="AE44" s="304">
        <f t="shared" si="16"/>
        <v>0.6</v>
      </c>
      <c r="AF44" s="177">
        <f t="shared" si="23"/>
        <v>7.0527348571120842E-4</v>
      </c>
      <c r="AG44" s="799">
        <f t="shared" si="24"/>
        <v>0</v>
      </c>
      <c r="AH44" s="176">
        <f t="shared" si="17"/>
        <v>6</v>
      </c>
      <c r="AI44" s="224">
        <f t="shared" si="18"/>
        <v>7.0527348571120842E-4</v>
      </c>
      <c r="AJ44" s="264" t="b">
        <f t="shared" si="19"/>
        <v>1</v>
      </c>
      <c r="AK44" s="264" t="b">
        <f t="shared" si="20"/>
        <v>0</v>
      </c>
      <c r="AL44" s="264"/>
      <c r="AM44" s="264"/>
      <c r="AN44" s="75"/>
    </row>
    <row r="45" spans="1:40" s="6" customFormat="1" ht="11.25" x14ac:dyDescent="0.2">
      <c r="A45" s="56">
        <f t="shared" si="21"/>
        <v>44592</v>
      </c>
      <c r="B45" s="1153">
        <v>7.6160000000000005</v>
      </c>
      <c r="C45" s="388"/>
      <c r="D45" s="391">
        <f t="shared" si="0"/>
        <v>7.7799006101257193</v>
      </c>
      <c r="E45" s="383">
        <f t="shared" si="1"/>
        <v>8.4462004602931362</v>
      </c>
      <c r="F45" s="383">
        <f t="shared" si="2"/>
        <v>8.4462004602931362</v>
      </c>
      <c r="G45" s="110">
        <f t="shared" si="22"/>
        <v>0.25297534208314532</v>
      </c>
      <c r="H45" s="412" t="b">
        <f>Wh_hp&gt;='2021'!Maxi_hp</f>
        <v>0</v>
      </c>
      <c r="I45" s="379">
        <f>IF(H45,Wh_hp,'2021'!Maxi_hp)</f>
        <v>23.12427848668732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2.1067185602910987E-2</v>
      </c>
      <c r="M45" s="832"/>
      <c r="N45" s="832"/>
      <c r="O45" s="48">
        <f>IF(t&lt;Tnet,'2021'!Resal+('2021'!Salim-'2021'!Resal)*(1-EXP(('2021'!Tnet-t)/('2021'!Tau_j))),Resal+(Salim-Resal)*(1-EXP((Tnet-t)/(Tau_j))))*Salcycl</f>
        <v>7.8887525023801336E-2</v>
      </c>
      <c r="P45" s="169">
        <f>(INDEX(Models!$BJ45:$BT45,,T45)*(1-R45)+INDEX(Models!$BJ45:$BT45,,T45+1)*R45-ERP_i)*Q45*Ramure*Pc/MaxiM</f>
        <v>1.872620996148865E-3</v>
      </c>
      <c r="Q45" s="304">
        <f t="shared" si="4"/>
        <v>0.6</v>
      </c>
      <c r="R45" s="177">
        <f t="shared" si="5"/>
        <v>8.0085136714126877E-4</v>
      </c>
      <c r="S45" s="799">
        <f t="shared" si="6"/>
        <v>0</v>
      </c>
      <c r="T45" s="176">
        <f t="shared" si="7"/>
        <v>6</v>
      </c>
      <c r="U45" s="250">
        <f t="shared" si="8"/>
        <v>8.0085136714126877E-4</v>
      </c>
      <c r="V45" s="382">
        <f t="shared" si="9"/>
        <v>30.04932439618905</v>
      </c>
      <c r="W45" s="400">
        <f t="shared" si="10"/>
        <v>0</v>
      </c>
      <c r="X45" s="157">
        <f t="shared" si="11"/>
        <v>44592</v>
      </c>
      <c r="Y45" s="383">
        <f t="shared" si="12"/>
        <v>7.6159999999999997</v>
      </c>
      <c r="Z45" s="383">
        <f t="shared" si="13"/>
        <v>7.7799006101257184</v>
      </c>
      <c r="AA45" s="384">
        <f t="shared" si="14"/>
        <v>8.4462004602931362</v>
      </c>
      <c r="AB45" s="197">
        <f t="shared" si="15"/>
        <v>44592</v>
      </c>
      <c r="AC45" s="119">
        <f>IF(OR(t&lt;Tnet,NoTnet),'2021'!Resal_s+('2021'!Salim-'2021'!Resal_s)*(1-EXP(('2021'!Tnet_s-t)/'2021'!Tau_j)),Resal_s+(Salim-Resal_s)*(1-EXP((Tnet_s-t)/Tau_j)))*Salcycl</f>
        <v>7.8887525023801336E-2</v>
      </c>
      <c r="AD45" s="230">
        <f>(INDEX(Models!$BJ45:$BT45,,AH45)*(1-AF45)+INDEX(Models!$BJ45:$BT45,,AH45+1)*AF45-ERP_i)*AE45*Ramure*Pc/MaxiM</f>
        <v>1.872620996148865E-3</v>
      </c>
      <c r="AE45" s="304">
        <f t="shared" si="16"/>
        <v>0.6</v>
      </c>
      <c r="AF45" s="177">
        <f t="shared" si="23"/>
        <v>8.0085136714126877E-4</v>
      </c>
      <c r="AG45" s="799">
        <f t="shared" si="24"/>
        <v>0</v>
      </c>
      <c r="AH45" s="176">
        <f t="shared" si="17"/>
        <v>6</v>
      </c>
      <c r="AI45" s="224">
        <f t="shared" si="18"/>
        <v>8.0085136714126877E-4</v>
      </c>
      <c r="AJ45" s="264" t="b">
        <f t="shared" si="19"/>
        <v>1</v>
      </c>
      <c r="AK45" s="264" t="b">
        <f t="shared" si="20"/>
        <v>0</v>
      </c>
      <c r="AL45" s="264"/>
      <c r="AM45" s="264"/>
      <c r="AN45" s="75"/>
    </row>
    <row r="46" spans="1:40" s="6" customFormat="1" ht="11.25" x14ac:dyDescent="0.2">
      <c r="A46" s="56">
        <f t="shared" si="21"/>
        <v>44593</v>
      </c>
      <c r="B46" s="1153">
        <v>12.638</v>
      </c>
      <c r="C46" s="388"/>
      <c r="D46" s="391">
        <f t="shared" si="0"/>
        <v>12.910224300543451</v>
      </c>
      <c r="E46" s="383">
        <f t="shared" si="1"/>
        <v>14.016895736164171</v>
      </c>
      <c r="F46" s="383">
        <f t="shared" si="2"/>
        <v>14.021130827306354</v>
      </c>
      <c r="G46" s="110">
        <f t="shared" si="22"/>
        <v>0.4153267082061623</v>
      </c>
      <c r="H46" s="412" t="b">
        <f>Wh_hp&gt;='2021'!Maxi_hp</f>
        <v>1</v>
      </c>
      <c r="I46" s="379">
        <f>IF(H46,Wh_hp,'2021'!Maxi_hp)</f>
        <v>14.021130827306354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2.1085946626968499E-2</v>
      </c>
      <c r="M46" s="832"/>
      <c r="N46" s="832"/>
      <c r="O46" s="48">
        <f>IF(t&lt;Tnet,'2021'!Resal+('2021'!Salim-'2021'!Resal)*(1-EXP(('2021'!Tnet-t)/('2021'!Tau_j))),Resal+(Salim-Resal)*(1-EXP((Tnet-t)/(Tau_j))))*Salcycl</f>
        <v>7.8952676573420033E-2</v>
      </c>
      <c r="P46" s="169">
        <f>(INDEX(Models!$BJ46:$BT46,,T46)*(1-R46)+INDEX(Models!$BJ46:$BT46,,T46+1)*R46-ERP_i)*Q46*Ramure*Pc/MaxiM</f>
        <v>1.8233526699457166E-3</v>
      </c>
      <c r="Q46" s="304">
        <f t="shared" si="4"/>
        <v>0.6</v>
      </c>
      <c r="R46" s="177">
        <f t="shared" si="5"/>
        <v>9.0039995758174336E-4</v>
      </c>
      <c r="S46" s="799">
        <f t="shared" si="6"/>
        <v>0</v>
      </c>
      <c r="T46" s="176">
        <f t="shared" si="7"/>
        <v>6</v>
      </c>
      <c r="U46" s="250">
        <f t="shared" si="8"/>
        <v>9.0039995758174336E-4</v>
      </c>
      <c r="V46" s="382">
        <f t="shared" si="9"/>
        <v>30.382751039643043</v>
      </c>
      <c r="W46" s="400">
        <f t="shared" si="10"/>
        <v>0</v>
      </c>
      <c r="X46" s="157">
        <f t="shared" si="11"/>
        <v>44593</v>
      </c>
      <c r="Y46" s="383">
        <f t="shared" si="12"/>
        <v>12.638</v>
      </c>
      <c r="Z46" s="383">
        <f t="shared" si="13"/>
        <v>12.910224300543451</v>
      </c>
      <c r="AA46" s="384">
        <f t="shared" si="14"/>
        <v>14.016895736164171</v>
      </c>
      <c r="AB46" s="197">
        <f t="shared" si="15"/>
        <v>44593</v>
      </c>
      <c r="AC46" s="119">
        <f>IF(OR(t&lt;Tnet,NoTnet),'2021'!Resal_s+('2021'!Salim-'2021'!Resal_s)*(1-EXP(('2021'!Tnet_s-t)/'2021'!Tau_j)),Resal_s+(Salim-Resal_s)*(1-EXP((Tnet_s-t)/Tau_j)))*Salcycl</f>
        <v>7.8952676573420033E-2</v>
      </c>
      <c r="AD46" s="230">
        <f>(INDEX(Models!$BJ46:$BT46,,AH46)*(1-AF46)+INDEX(Models!$BJ46:$BT46,,AH46+1)*AF46-ERP_i)*AE46*Ramure*Pc/MaxiM</f>
        <v>1.8233526699457166E-3</v>
      </c>
      <c r="AE46" s="304">
        <f t="shared" si="16"/>
        <v>0.6</v>
      </c>
      <c r="AF46" s="177">
        <f t="shared" si="23"/>
        <v>9.0039995758174336E-4</v>
      </c>
      <c r="AG46" s="799">
        <f t="shared" si="24"/>
        <v>0</v>
      </c>
      <c r="AH46" s="176">
        <f t="shared" si="17"/>
        <v>6</v>
      </c>
      <c r="AI46" s="224">
        <f t="shared" si="18"/>
        <v>9.0039995758174336E-4</v>
      </c>
      <c r="AJ46" s="264" t="b">
        <f t="shared" si="19"/>
        <v>1</v>
      </c>
      <c r="AK46" s="264" t="b">
        <f t="shared" si="20"/>
        <v>0</v>
      </c>
      <c r="AL46" s="264"/>
      <c r="AM46" s="264"/>
      <c r="AN46" s="75"/>
    </row>
    <row r="47" spans="1:40" s="6" customFormat="1" ht="11.25" x14ac:dyDescent="0.2">
      <c r="A47" s="56">
        <f t="shared" si="21"/>
        <v>44594</v>
      </c>
      <c r="B47" s="1153">
        <v>5.335</v>
      </c>
      <c r="C47" s="388"/>
      <c r="D47" s="391">
        <f t="shared" si="0"/>
        <v>5.4500211000488958</v>
      </c>
      <c r="E47" s="383">
        <f t="shared" si="1"/>
        <v>5.9176188226894695</v>
      </c>
      <c r="F47" s="383">
        <f t="shared" si="2"/>
        <v>5.9176188226894695</v>
      </c>
      <c r="G47" s="110">
        <f t="shared" si="22"/>
        <v>0.17337714634251239</v>
      </c>
      <c r="H47" s="412" t="b">
        <f>Wh_hp&gt;='2021'!Maxi_hp</f>
        <v>0</v>
      </c>
      <c r="I47" s="379">
        <f>IF(H47,Wh_hp,'2021'!Maxi_hp)</f>
        <v>29.977059055663016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2.1104707291475178E-2</v>
      </c>
      <c r="M47" s="832"/>
      <c r="N47" s="832"/>
      <c r="O47" s="48">
        <f>IF(t&lt;Tnet,'2021'!Resal+('2021'!Salim-'2021'!Resal)*(1-EXP(('2021'!Tnet-t)/('2021'!Tau_j))),Resal+(Salim-Resal)*(1-EXP((Tnet-t)/(Tau_j))))*Salcycl</f>
        <v>7.901788483700567E-2</v>
      </c>
      <c r="P47" s="169">
        <f>(INDEX(Models!$BJ47:$BT47,,T47)*(1-R47)+INDEX(Models!$BJ47:$BT47,,T47+1)*R47-ERP_i)*Q47*Ramure*Pc/MaxiM</f>
        <v>1.7762684361707984E-3</v>
      </c>
      <c r="Q47" s="304">
        <f t="shared" si="4"/>
        <v>0.6</v>
      </c>
      <c r="R47" s="177">
        <f t="shared" si="5"/>
        <v>1.0040825228266239E-3</v>
      </c>
      <c r="S47" s="799">
        <f t="shared" si="6"/>
        <v>0</v>
      </c>
      <c r="T47" s="176">
        <f t="shared" si="7"/>
        <v>6</v>
      </c>
      <c r="U47" s="250">
        <f t="shared" si="8"/>
        <v>1.0040825228266239E-3</v>
      </c>
      <c r="V47" s="382">
        <f t="shared" si="9"/>
        <v>30.716410554896768</v>
      </c>
      <c r="W47" s="400">
        <f t="shared" si="10"/>
        <v>0</v>
      </c>
      <c r="X47" s="157">
        <f t="shared" si="11"/>
        <v>44594</v>
      </c>
      <c r="Y47" s="383">
        <f t="shared" si="12"/>
        <v>5.335</v>
      </c>
      <c r="Z47" s="383">
        <f t="shared" si="13"/>
        <v>5.4500211000488958</v>
      </c>
      <c r="AA47" s="384">
        <f t="shared" si="14"/>
        <v>5.9176188226894695</v>
      </c>
      <c r="AB47" s="197">
        <f t="shared" si="15"/>
        <v>44594</v>
      </c>
      <c r="AC47" s="119">
        <f>IF(OR(t&lt;Tnet,NoTnet),'2021'!Resal_s+('2021'!Salim-'2021'!Resal_s)*(1-EXP(('2021'!Tnet_s-t)/'2021'!Tau_j)),Resal_s+(Salim-Resal_s)*(1-EXP((Tnet_s-t)/Tau_j)))*Salcycl</f>
        <v>7.901788483700567E-2</v>
      </c>
      <c r="AD47" s="230">
        <f>(INDEX(Models!$BJ47:$BT47,,AH47)*(1-AF47)+INDEX(Models!$BJ47:$BT47,,AH47+1)*AF47-ERP_i)*AE47*Ramure*Pc/MaxiM</f>
        <v>1.7762684361707984E-3</v>
      </c>
      <c r="AE47" s="304">
        <f t="shared" si="16"/>
        <v>0.6</v>
      </c>
      <c r="AF47" s="177">
        <f t="shared" si="23"/>
        <v>1.0040825228266239E-3</v>
      </c>
      <c r="AG47" s="799">
        <f t="shared" si="24"/>
        <v>0</v>
      </c>
      <c r="AH47" s="176">
        <f t="shared" si="17"/>
        <v>6</v>
      </c>
      <c r="AI47" s="224">
        <f t="shared" si="18"/>
        <v>1.0040825228266239E-3</v>
      </c>
      <c r="AJ47" s="264" t="b">
        <f t="shared" si="19"/>
        <v>1</v>
      </c>
      <c r="AK47" s="264" t="b">
        <f t="shared" si="20"/>
        <v>0</v>
      </c>
      <c r="AL47" s="264"/>
      <c r="AM47" s="264"/>
      <c r="AN47" s="75"/>
    </row>
    <row r="48" spans="1:40" s="6" customFormat="1" ht="11.25" x14ac:dyDescent="0.2">
      <c r="A48" s="56">
        <f t="shared" si="21"/>
        <v>44595</v>
      </c>
      <c r="B48" s="1153">
        <v>10.47</v>
      </c>
      <c r="C48" s="388"/>
      <c r="D48" s="391">
        <f t="shared" si="0"/>
        <v>10.695935241487154</v>
      </c>
      <c r="E48" s="383">
        <f t="shared" si="1"/>
        <v>11.61444183838849</v>
      </c>
      <c r="F48" s="383">
        <f t="shared" si="2"/>
        <v>11.615510694827195</v>
      </c>
      <c r="G48" s="110">
        <f t="shared" si="22"/>
        <v>0.33665160931346699</v>
      </c>
      <c r="H48" s="412" t="b">
        <f>Wh_hp&gt;='2021'!Maxi_hp</f>
        <v>0</v>
      </c>
      <c r="I48" s="379">
        <f>IF(H48,Wh_hp,'2021'!Maxi_hp)</f>
        <v>27.588451395254136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2.1123467596438017E-2</v>
      </c>
      <c r="M48" s="832"/>
      <c r="N48" s="832"/>
      <c r="O48" s="48">
        <f>IF(t&lt;Tnet,'2021'!Resal+('2021'!Salim-'2021'!Resal)*(1-EXP(('2021'!Tnet-t)/('2021'!Tau_j))),Resal+(Salim-Resal)*(1-EXP((Tnet-t)/(Tau_j))))*Salcycl</f>
        <v>7.9083145766458862E-2</v>
      </c>
      <c r="P48" s="169">
        <f>(INDEX(Models!$BJ48:$BT48,,T48)*(1-R48)+INDEX(Models!$BJ48:$BT48,,T48+1)*R48-ERP_i)*Q48*Ramure*Pc/MaxiM</f>
        <v>1.7313474605761174E-3</v>
      </c>
      <c r="Q48" s="304">
        <f t="shared" si="4"/>
        <v>0.6</v>
      </c>
      <c r="R48" s="177">
        <f t="shared" si="5"/>
        <v>1.1120688974596074E-3</v>
      </c>
      <c r="S48" s="799">
        <f t="shared" si="6"/>
        <v>0</v>
      </c>
      <c r="T48" s="176">
        <f t="shared" si="7"/>
        <v>6</v>
      </c>
      <c r="U48" s="250">
        <f t="shared" si="8"/>
        <v>1.1120688974596074E-3</v>
      </c>
      <c r="V48" s="382">
        <f t="shared" si="9"/>
        <v>31.049412419800866</v>
      </c>
      <c r="W48" s="400">
        <f t="shared" si="10"/>
        <v>0</v>
      </c>
      <c r="X48" s="157">
        <f t="shared" si="11"/>
        <v>44595</v>
      </c>
      <c r="Y48" s="383">
        <f t="shared" si="12"/>
        <v>10.47</v>
      </c>
      <c r="Z48" s="383">
        <f t="shared" si="13"/>
        <v>10.695935241487154</v>
      </c>
      <c r="AA48" s="384">
        <f t="shared" si="14"/>
        <v>11.61444183838849</v>
      </c>
      <c r="AB48" s="197">
        <f t="shared" si="15"/>
        <v>44595</v>
      </c>
      <c r="AC48" s="119">
        <f>IF(OR(t&lt;Tnet,NoTnet),'2021'!Resal_s+('2021'!Salim-'2021'!Resal_s)*(1-EXP(('2021'!Tnet_s-t)/'2021'!Tau_j)),Resal_s+(Salim-Resal_s)*(1-EXP((Tnet_s-t)/Tau_j)))*Salcycl</f>
        <v>7.9083145766458862E-2</v>
      </c>
      <c r="AD48" s="230">
        <f>(INDEX(Models!$BJ48:$BT48,,AH48)*(1-AF48)+INDEX(Models!$BJ48:$BT48,,AH48+1)*AF48-ERP_i)*AE48*Ramure*Pc/MaxiM</f>
        <v>1.7313474605761174E-3</v>
      </c>
      <c r="AE48" s="304">
        <f t="shared" si="16"/>
        <v>0.6</v>
      </c>
      <c r="AF48" s="177">
        <f t="shared" si="23"/>
        <v>1.1120688974596074E-3</v>
      </c>
      <c r="AG48" s="799">
        <f t="shared" si="24"/>
        <v>0</v>
      </c>
      <c r="AH48" s="176">
        <f t="shared" si="17"/>
        <v>6</v>
      </c>
      <c r="AI48" s="224">
        <f t="shared" si="18"/>
        <v>1.1120688974596074E-3</v>
      </c>
      <c r="AJ48" s="264" t="b">
        <f t="shared" si="19"/>
        <v>1</v>
      </c>
      <c r="AK48" s="264" t="b">
        <f t="shared" si="20"/>
        <v>0</v>
      </c>
      <c r="AL48" s="264"/>
      <c r="AM48" s="264"/>
      <c r="AN48" s="75"/>
    </row>
    <row r="49" spans="1:40" s="6" customFormat="1" ht="11.25" x14ac:dyDescent="0.2">
      <c r="A49" s="56">
        <f t="shared" si="21"/>
        <v>44596</v>
      </c>
      <c r="B49" s="1153">
        <v>10.311999999999999</v>
      </c>
      <c r="C49" s="388"/>
      <c r="D49" s="391">
        <f t="shared" si="0"/>
        <v>10.534727608183777</v>
      </c>
      <c r="E49" s="383">
        <f t="shared" si="1"/>
        <v>11.440201908428847</v>
      </c>
      <c r="F49" s="383">
        <f t="shared" si="2"/>
        <v>11.440991439026538</v>
      </c>
      <c r="G49" s="110">
        <f t="shared" si="22"/>
        <v>0.32807564436446934</v>
      </c>
      <c r="H49" s="412" t="b">
        <f>Wh_hp&gt;='2021'!Maxi_hp</f>
        <v>0</v>
      </c>
      <c r="I49" s="379">
        <f>IF(H49,Wh_hp,'2021'!Maxi_hp)</f>
        <v>19.347515119040757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2.1142227541863901E-2</v>
      </c>
      <c r="M49" s="832"/>
      <c r="N49" s="832"/>
      <c r="O49" s="48">
        <f>IF(t&lt;Tnet,'2021'!Resal+('2021'!Salim-'2021'!Resal)*(1-EXP(('2021'!Tnet-t)/('2021'!Tau_j))),Resal+(Salim-Resal)*(1-EXP((Tnet-t)/(Tau_j))))*Salcycl</f>
        <v>7.9148454502183246E-2</v>
      </c>
      <c r="P49" s="169">
        <f>(INDEX(Models!$BJ49:$BT49,,T49)*(1-R49)+INDEX(Models!$BJ49:$BT49,,T49+1)*R49-ERP_i)*Q49*Ramure*Pc/MaxiM</f>
        <v>1.6885645675154442E-3</v>
      </c>
      <c r="Q49" s="304">
        <f t="shared" si="4"/>
        <v>0.6</v>
      </c>
      <c r="R49" s="177">
        <f t="shared" si="5"/>
        <v>1.2245357368255751E-3</v>
      </c>
      <c r="S49" s="799">
        <f t="shared" si="6"/>
        <v>0</v>
      </c>
      <c r="T49" s="176">
        <f t="shared" si="7"/>
        <v>6</v>
      </c>
      <c r="U49" s="250">
        <f t="shared" si="8"/>
        <v>1.2245357368255751E-3</v>
      </c>
      <c r="V49" s="382">
        <f t="shared" si="9"/>
        <v>31.380866475595568</v>
      </c>
      <c r="W49" s="400">
        <f t="shared" si="10"/>
        <v>0</v>
      </c>
      <c r="X49" s="157">
        <f t="shared" si="11"/>
        <v>44596</v>
      </c>
      <c r="Y49" s="383">
        <f t="shared" si="12"/>
        <v>10.311999999999999</v>
      </c>
      <c r="Z49" s="383">
        <f t="shared" si="13"/>
        <v>10.534727608183777</v>
      </c>
      <c r="AA49" s="384">
        <f t="shared" si="14"/>
        <v>11.440201908428847</v>
      </c>
      <c r="AB49" s="197">
        <f t="shared" si="15"/>
        <v>44596</v>
      </c>
      <c r="AC49" s="119">
        <f>IF(OR(t&lt;Tnet,NoTnet),'2021'!Resal_s+('2021'!Salim-'2021'!Resal_s)*(1-EXP(('2021'!Tnet_s-t)/'2021'!Tau_j)),Resal_s+(Salim-Resal_s)*(1-EXP((Tnet_s-t)/Tau_j)))*Salcycl</f>
        <v>7.9148454502183246E-2</v>
      </c>
      <c r="AD49" s="230">
        <f>(INDEX(Models!$BJ49:$BT49,,AH49)*(1-AF49)+INDEX(Models!$BJ49:$BT49,,AH49+1)*AF49-ERP_i)*AE49*Ramure*Pc/MaxiM</f>
        <v>1.6885645675154442E-3</v>
      </c>
      <c r="AE49" s="304">
        <f t="shared" si="16"/>
        <v>0.6</v>
      </c>
      <c r="AF49" s="177">
        <f t="shared" si="23"/>
        <v>1.2245357368255751E-3</v>
      </c>
      <c r="AG49" s="799">
        <f t="shared" si="24"/>
        <v>0</v>
      </c>
      <c r="AH49" s="176">
        <f t="shared" si="17"/>
        <v>6</v>
      </c>
      <c r="AI49" s="224">
        <f t="shared" si="18"/>
        <v>1.2245357368255751E-3</v>
      </c>
      <c r="AJ49" s="264" t="b">
        <f t="shared" si="19"/>
        <v>1</v>
      </c>
      <c r="AK49" s="264" t="b">
        <f t="shared" si="20"/>
        <v>0</v>
      </c>
      <c r="AL49" s="264"/>
      <c r="AM49" s="264"/>
      <c r="AN49" s="75"/>
    </row>
    <row r="50" spans="1:40" s="6" customFormat="1" ht="11.25" x14ac:dyDescent="0.2">
      <c r="A50" s="56">
        <f t="shared" si="21"/>
        <v>44597</v>
      </c>
      <c r="B50" s="1153">
        <v>9.0609999999999999</v>
      </c>
      <c r="C50" s="388"/>
      <c r="D50" s="391">
        <f t="shared" si="0"/>
        <v>9.2568848205303986</v>
      </c>
      <c r="E50" s="383">
        <f t="shared" si="1"/>
        <v>10.053240236440974</v>
      </c>
      <c r="F50" s="383">
        <f t="shared" si="2"/>
        <v>10.053240236440974</v>
      </c>
      <c r="G50" s="110">
        <f t="shared" si="22"/>
        <v>0.28527599676691467</v>
      </c>
      <c r="H50" s="412" t="b">
        <f>Wh_hp&gt;='2021'!Maxi_hp</f>
        <v>0</v>
      </c>
      <c r="I50" s="379">
        <f>IF(H50,Wh_hp,'2021'!Maxi_hp)</f>
        <v>35.681802082367859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2.1160987127759712E-2</v>
      </c>
      <c r="M50" s="832"/>
      <c r="N50" s="832"/>
      <c r="O50" s="48">
        <f>IF(t&lt;Tnet,'2021'!Resal+('2021'!Salim-'2021'!Resal)*(1-EXP(('2021'!Tnet-t)/('2021'!Tau_j))),Resal+(Salim-Resal)*(1-EXP((Tnet-t)/(Tau_j))))*Salcycl</f>
        <v>7.9213805418072755E-2</v>
      </c>
      <c r="P50" s="169">
        <f>(INDEX(Models!$BJ50:$BT50,,T50)*(1-R50)+INDEX(Models!$BJ50:$BT50,,T50+1)*R50-ERP_i)*Q50*Ramure*Pc/MaxiM</f>
        <v>1.6478911083036747E-3</v>
      </c>
      <c r="Q50" s="304">
        <f t="shared" si="4"/>
        <v>0.6</v>
      </c>
      <c r="R50" s="177">
        <f t="shared" si="5"/>
        <v>1.3416667776064246E-3</v>
      </c>
      <c r="S50" s="799">
        <f t="shared" si="6"/>
        <v>0</v>
      </c>
      <c r="T50" s="176">
        <f t="shared" si="7"/>
        <v>6</v>
      </c>
      <c r="U50" s="250">
        <f t="shared" si="8"/>
        <v>1.3416667776064246E-3</v>
      </c>
      <c r="V50" s="382">
        <f t="shared" si="9"/>
        <v>31.709882924565754</v>
      </c>
      <c r="W50" s="400">
        <f t="shared" si="10"/>
        <v>0</v>
      </c>
      <c r="X50" s="157">
        <f t="shared" si="11"/>
        <v>44597</v>
      </c>
      <c r="Y50" s="383">
        <f t="shared" si="12"/>
        <v>9.0609999999999999</v>
      </c>
      <c r="Z50" s="383">
        <f t="shared" si="13"/>
        <v>9.2568848205303986</v>
      </c>
      <c r="AA50" s="384">
        <f t="shared" si="14"/>
        <v>10.053240236440974</v>
      </c>
      <c r="AB50" s="197">
        <f t="shared" si="15"/>
        <v>44597</v>
      </c>
      <c r="AC50" s="119">
        <f>IF(OR(t&lt;Tnet,NoTnet),'2021'!Resal_s+('2021'!Salim-'2021'!Resal_s)*(1-EXP(('2021'!Tnet_s-t)/'2021'!Tau_j)),Resal_s+(Salim-Resal_s)*(1-EXP((Tnet_s-t)/Tau_j)))*Salcycl</f>
        <v>7.9213805418072755E-2</v>
      </c>
      <c r="AD50" s="230">
        <f>(INDEX(Models!$BJ50:$BT50,,AH50)*(1-AF50)+INDEX(Models!$BJ50:$BT50,,AH50+1)*AF50-ERP_i)*AE50*Ramure*Pc/MaxiM</f>
        <v>1.6478911083036747E-3</v>
      </c>
      <c r="AE50" s="304">
        <f t="shared" si="16"/>
        <v>0.6</v>
      </c>
      <c r="AF50" s="177">
        <f t="shared" si="23"/>
        <v>1.3416667776064246E-3</v>
      </c>
      <c r="AG50" s="799">
        <f t="shared" si="24"/>
        <v>0</v>
      </c>
      <c r="AH50" s="176">
        <f t="shared" si="17"/>
        <v>6</v>
      </c>
      <c r="AI50" s="224">
        <f t="shared" si="18"/>
        <v>1.3416667776064246E-3</v>
      </c>
      <c r="AJ50" s="264" t="b">
        <f t="shared" si="19"/>
        <v>1</v>
      </c>
      <c r="AK50" s="264" t="b">
        <f t="shared" si="20"/>
        <v>0</v>
      </c>
      <c r="AL50" s="264"/>
      <c r="AM50" s="264"/>
      <c r="AN50" s="75"/>
    </row>
    <row r="51" spans="1:40" s="6" customFormat="1" ht="11.25" x14ac:dyDescent="0.2">
      <c r="A51" s="56">
        <f t="shared" si="21"/>
        <v>44598</v>
      </c>
      <c r="B51" s="1153">
        <v>21.109000000000002</v>
      </c>
      <c r="C51" s="388"/>
      <c r="D51" s="391">
        <f t="shared" si="0"/>
        <v>21.565757268889875</v>
      </c>
      <c r="E51" s="383">
        <f t="shared" si="1"/>
        <v>23.42268914279876</v>
      </c>
      <c r="F51" s="383">
        <f t="shared" si="2"/>
        <v>23.442028475237052</v>
      </c>
      <c r="G51" s="110">
        <f t="shared" si="22"/>
        <v>0.65835647388341834</v>
      </c>
      <c r="H51" s="412" t="b">
        <f>Wh_hp&gt;='2021'!Maxi_hp</f>
        <v>0</v>
      </c>
      <c r="I51" s="379">
        <f>IF(H51,Wh_hp,'2021'!Maxi_hp)</f>
        <v>37.076232391062831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2.1179746354132334E-2</v>
      </c>
      <c r="M51" s="832"/>
      <c r="N51" s="832"/>
      <c r="O51" s="48">
        <f>IF(t&lt;Tnet,'2021'!Resal+('2021'!Salim-'2021'!Resal)*(1-EXP(('2021'!Tnet-t)/('2021'!Tau_j))),Resal+(Salim-Resal)*(1-EXP((Tnet-t)/(Tau_j))))*Salcycl</f>
        <v>7.9279192179340027E-2</v>
      </c>
      <c r="P51" s="169">
        <f>(INDEX(Models!$BJ51:$BT51,,T51)*(1-R51)+INDEX(Models!$BJ51:$BT51,,T51+1)*R51-ERP_i)*Q51*Ramure*Pc/MaxiM</f>
        <v>1.6091733860525081E-3</v>
      </c>
      <c r="Q51" s="304">
        <f t="shared" si="4"/>
        <v>0.6</v>
      </c>
      <c r="R51" s="177">
        <f t="shared" si="5"/>
        <v>1.463653107200574E-3</v>
      </c>
      <c r="S51" s="799">
        <f t="shared" si="6"/>
        <v>0</v>
      </c>
      <c r="T51" s="176">
        <f t="shared" si="7"/>
        <v>6</v>
      </c>
      <c r="U51" s="250">
        <f t="shared" si="8"/>
        <v>1.463653107200574E-3</v>
      </c>
      <c r="V51" s="382">
        <f t="shared" si="9"/>
        <v>32.038012453735021</v>
      </c>
      <c r="W51" s="400">
        <f t="shared" si="10"/>
        <v>0</v>
      </c>
      <c r="X51" s="157">
        <f t="shared" si="11"/>
        <v>44598</v>
      </c>
      <c r="Y51" s="383">
        <f t="shared" si="12"/>
        <v>21.109000000000002</v>
      </c>
      <c r="Z51" s="383">
        <f t="shared" si="13"/>
        <v>21.565757268889875</v>
      </c>
      <c r="AA51" s="384">
        <f t="shared" si="14"/>
        <v>23.42268914279876</v>
      </c>
      <c r="AB51" s="197">
        <f t="shared" si="15"/>
        <v>44598</v>
      </c>
      <c r="AC51" s="119">
        <f>IF(OR(t&lt;Tnet,NoTnet),'2021'!Resal_s+('2021'!Salim-'2021'!Resal_s)*(1-EXP(('2021'!Tnet_s-t)/'2021'!Tau_j)),Resal_s+(Salim-Resal_s)*(1-EXP((Tnet_s-t)/Tau_j)))*Salcycl</f>
        <v>7.9279192179340027E-2</v>
      </c>
      <c r="AD51" s="230">
        <f>(INDEX(Models!$BJ51:$BT51,,AH51)*(1-AF51)+INDEX(Models!$BJ51:$BT51,,AH51+1)*AF51-ERP_i)*AE51*Ramure*Pc/MaxiM</f>
        <v>1.6091733860525081E-3</v>
      </c>
      <c r="AE51" s="304">
        <f t="shared" si="16"/>
        <v>0.6</v>
      </c>
      <c r="AF51" s="177">
        <f t="shared" si="23"/>
        <v>1.463653107200574E-3</v>
      </c>
      <c r="AG51" s="799">
        <f t="shared" si="24"/>
        <v>0</v>
      </c>
      <c r="AH51" s="176">
        <f t="shared" si="17"/>
        <v>6</v>
      </c>
      <c r="AI51" s="224">
        <f t="shared" si="18"/>
        <v>1.463653107200574E-3</v>
      </c>
      <c r="AJ51" s="264" t="b">
        <f t="shared" si="19"/>
        <v>1</v>
      </c>
      <c r="AK51" s="264" t="b">
        <f t="shared" si="20"/>
        <v>0</v>
      </c>
      <c r="AL51" s="264"/>
      <c r="AM51" s="264"/>
      <c r="AN51" s="75"/>
    </row>
    <row r="52" spans="1:40" s="6" customFormat="1" ht="11.25" x14ac:dyDescent="0.2">
      <c r="A52" s="56">
        <f t="shared" si="21"/>
        <v>44599</v>
      </c>
      <c r="B52" s="1153">
        <v>8.8960000000000008</v>
      </c>
      <c r="C52" s="388"/>
      <c r="D52" s="391">
        <f t="shared" si="0"/>
        <v>9.0886661365474257</v>
      </c>
      <c r="E52" s="383">
        <f t="shared" si="1"/>
        <v>9.8719523218682781</v>
      </c>
      <c r="F52" s="383">
        <f t="shared" si="2"/>
        <v>9.8719523218682781</v>
      </c>
      <c r="G52" s="110">
        <f t="shared" si="22"/>
        <v>0.27441288907125566</v>
      </c>
      <c r="H52" s="412" t="b">
        <f>Wh_hp&gt;='2021'!Maxi_hp</f>
        <v>0</v>
      </c>
      <c r="I52" s="379">
        <f>IF(H52,Wh_hp,'2021'!Maxi_hp)</f>
        <v>24.451684563184926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2.1198505220988761E-2</v>
      </c>
      <c r="M52" s="832"/>
      <c r="N52" s="832"/>
      <c r="O52" s="48">
        <f>IF(t&lt;Tnet,'2021'!Resal+('2021'!Salim-'2021'!Resal)*(1-EXP(('2021'!Tnet-t)/('2021'!Tau_j))),Resal+(Salim-Resal)*(1-EXP((Tnet-t)/(Tau_j))))*Salcycl</f>
        <v>7.9344607812349685E-2</v>
      </c>
      <c r="P52" s="169">
        <f>(INDEX(Models!$BJ52:$BT52,,T52)*(1-R52)+INDEX(Models!$BJ52:$BT52,,T52+1)*R52-ERP_i)*Q52*Ramure*Pc/MaxiM</f>
        <v>1.5709668245191715E-3</v>
      </c>
      <c r="Q52" s="304">
        <f t="shared" si="4"/>
        <v>0.6</v>
      </c>
      <c r="R52" s="177">
        <f t="shared" si="5"/>
        <v>1.590693442102041E-3</v>
      </c>
      <c r="S52" s="799">
        <f t="shared" si="6"/>
        <v>0</v>
      </c>
      <c r="T52" s="176">
        <f t="shared" si="7"/>
        <v>6</v>
      </c>
      <c r="U52" s="250">
        <f t="shared" si="8"/>
        <v>1.590693442102041E-3</v>
      </c>
      <c r="V52" s="382">
        <f t="shared" si="9"/>
        <v>32.367374248309162</v>
      </c>
      <c r="W52" s="400">
        <f t="shared" si="10"/>
        <v>0</v>
      </c>
      <c r="X52" s="157">
        <f t="shared" si="11"/>
        <v>44599</v>
      </c>
      <c r="Y52" s="383">
        <f t="shared" si="12"/>
        <v>8.8960000000000008</v>
      </c>
      <c r="Z52" s="383">
        <f t="shared" si="13"/>
        <v>9.0886661365474257</v>
      </c>
      <c r="AA52" s="384">
        <f t="shared" si="14"/>
        <v>9.8719523218682781</v>
      </c>
      <c r="AB52" s="197">
        <f t="shared" si="15"/>
        <v>44599</v>
      </c>
      <c r="AC52" s="119">
        <f>IF(OR(t&lt;Tnet,NoTnet),'2021'!Resal_s+('2021'!Salim-'2021'!Resal_s)*(1-EXP(('2021'!Tnet_s-t)/'2021'!Tau_j)),Resal_s+(Salim-Resal_s)*(1-EXP((Tnet_s-t)/Tau_j)))*Salcycl</f>
        <v>7.9344607812349685E-2</v>
      </c>
      <c r="AD52" s="230">
        <f>(INDEX(Models!$BJ52:$BT52,,AH52)*(1-AF52)+INDEX(Models!$BJ52:$BT52,,AH52+1)*AF52-ERP_i)*AE52*Ramure*Pc/MaxiM</f>
        <v>1.5709668245191715E-3</v>
      </c>
      <c r="AE52" s="304">
        <f t="shared" si="16"/>
        <v>0.6</v>
      </c>
      <c r="AF52" s="177">
        <f t="shared" si="23"/>
        <v>1.590693442102041E-3</v>
      </c>
      <c r="AG52" s="799">
        <f t="shared" si="24"/>
        <v>0</v>
      </c>
      <c r="AH52" s="176">
        <f t="shared" si="17"/>
        <v>6</v>
      </c>
      <c r="AI52" s="224">
        <f t="shared" si="18"/>
        <v>1.590693442102041E-3</v>
      </c>
      <c r="AJ52" s="264" t="b">
        <f t="shared" si="19"/>
        <v>1</v>
      </c>
      <c r="AK52" s="264" t="b">
        <f t="shared" si="20"/>
        <v>0</v>
      </c>
      <c r="AL52" s="264"/>
      <c r="AM52" s="264"/>
      <c r="AN52" s="75"/>
    </row>
    <row r="53" spans="1:40" s="6" customFormat="1" ht="11.25" x14ac:dyDescent="0.2">
      <c r="A53" s="56">
        <f t="shared" si="21"/>
        <v>44600</v>
      </c>
      <c r="B53" s="1153">
        <v>32.991</v>
      </c>
      <c r="C53" s="388"/>
      <c r="D53" s="391">
        <f t="shared" si="0"/>
        <v>33.706152323106814</v>
      </c>
      <c r="E53" s="383">
        <f t="shared" si="1"/>
        <v>36.613643383990244</v>
      </c>
      <c r="F53" s="383">
        <f t="shared" si="2"/>
        <v>36.669864928426442</v>
      </c>
      <c r="G53" s="110">
        <f t="shared" si="22"/>
        <v>1.0089647411935272</v>
      </c>
      <c r="H53" s="412" t="b">
        <f>Wh_hp&gt;='2021'!Maxi_hp</f>
        <v>1</v>
      </c>
      <c r="I53" s="379">
        <f>IF(H53,Wh_hp,'2021'!Maxi_hp)</f>
        <v>36.669864928426442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2.1217263728335656E-2</v>
      </c>
      <c r="M53" s="832"/>
      <c r="N53" s="832"/>
      <c r="O53" s="48">
        <f>IF(t&lt;Tnet,'2021'!Resal+('2021'!Salim-'2021'!Resal)*(1-EXP(('2021'!Tnet-t)/('2021'!Tau_j))),Resal+(Salim-Resal)*(1-EXP((Tnet-t)/(Tau_j))))*Salcycl</f>
        <v>7.9410044785511905E-2</v>
      </c>
      <c r="P53" s="169">
        <f>(INDEX(Models!$BJ53:$BT53,,T53)*(1-R53)+INDEX(Models!$BJ53:$BT53,,T53+1)*R53-ERP_i)*Q53*Ramure*Pc/MaxiM</f>
        <v>1.5331811160453955E-3</v>
      </c>
      <c r="Q53" s="304">
        <f t="shared" si="4"/>
        <v>0.6</v>
      </c>
      <c r="R53" s="177">
        <f t="shared" si="5"/>
        <v>1.7229944154683033E-3</v>
      </c>
      <c r="S53" s="799">
        <f t="shared" si="6"/>
        <v>0</v>
      </c>
      <c r="T53" s="176">
        <f t="shared" si="7"/>
        <v>6</v>
      </c>
      <c r="U53" s="250">
        <f t="shared" si="8"/>
        <v>1.7229944154683033E-3</v>
      </c>
      <c r="V53" s="382">
        <f t="shared" si="9"/>
        <v>32.697872039586045</v>
      </c>
      <c r="W53" s="400">
        <f t="shared" si="10"/>
        <v>0</v>
      </c>
      <c r="X53" s="157">
        <f t="shared" si="11"/>
        <v>44600</v>
      </c>
      <c r="Y53" s="383">
        <f t="shared" si="12"/>
        <v>32.991</v>
      </c>
      <c r="Z53" s="383">
        <f t="shared" si="13"/>
        <v>33.706152323106814</v>
      </c>
      <c r="AA53" s="384">
        <f t="shared" si="14"/>
        <v>36.613643383990244</v>
      </c>
      <c r="AB53" s="197">
        <f t="shared" si="15"/>
        <v>44600</v>
      </c>
      <c r="AC53" s="119">
        <f>IF(OR(t&lt;Tnet,NoTnet),'2021'!Resal_s+('2021'!Salim-'2021'!Resal_s)*(1-EXP(('2021'!Tnet_s-t)/'2021'!Tau_j)),Resal_s+(Salim-Resal_s)*(1-EXP((Tnet_s-t)/Tau_j)))*Salcycl</f>
        <v>7.9410044785511905E-2</v>
      </c>
      <c r="AD53" s="230">
        <f>(INDEX(Models!$BJ53:$BT53,,AH53)*(1-AF53)+INDEX(Models!$BJ53:$BT53,,AH53+1)*AF53-ERP_i)*AE53*Ramure*Pc/MaxiM</f>
        <v>1.5331811160453955E-3</v>
      </c>
      <c r="AE53" s="304">
        <f t="shared" si="16"/>
        <v>0.6</v>
      </c>
      <c r="AF53" s="177">
        <f t="shared" si="23"/>
        <v>1.7229944154683033E-3</v>
      </c>
      <c r="AG53" s="799">
        <f t="shared" si="24"/>
        <v>0</v>
      </c>
      <c r="AH53" s="176">
        <f t="shared" si="17"/>
        <v>6</v>
      </c>
      <c r="AI53" s="224">
        <f t="shared" si="18"/>
        <v>1.7229944154683033E-3</v>
      </c>
      <c r="AJ53" s="264" t="b">
        <f t="shared" si="19"/>
        <v>1</v>
      </c>
      <c r="AK53" s="264" t="b">
        <f t="shared" si="20"/>
        <v>0</v>
      </c>
      <c r="AL53" s="264"/>
      <c r="AM53" s="264"/>
      <c r="AN53" s="75"/>
    </row>
    <row r="54" spans="1:40" s="6" customFormat="1" ht="11.25" x14ac:dyDescent="0.2">
      <c r="A54" s="56">
        <f t="shared" si="21"/>
        <v>44601</v>
      </c>
      <c r="B54" s="1153">
        <v>33.271999999999998</v>
      </c>
      <c r="C54" s="388"/>
      <c r="D54" s="391">
        <f t="shared" si="0"/>
        <v>33.993895100000174</v>
      </c>
      <c r="E54" s="383">
        <f t="shared" si="1"/>
        <v>36.92883233314928</v>
      </c>
      <c r="F54" s="383">
        <f t="shared" si="2"/>
        <v>36.984153600859251</v>
      </c>
      <c r="G54" s="110">
        <f t="shared" si="22"/>
        <v>1.0073447597282734</v>
      </c>
      <c r="H54" s="412" t="b">
        <f>Wh_hp&gt;='2021'!Maxi_hp</f>
        <v>1</v>
      </c>
      <c r="I54" s="379">
        <f>IF(H54,Wh_hp,'2021'!Maxi_hp)</f>
        <v>36.984153600859251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2.1236021876180122E-2</v>
      </c>
      <c r="M54" s="832"/>
      <c r="N54" s="832"/>
      <c r="O54" s="48">
        <f>IF(t&lt;Tnet,'2021'!Resal+('2021'!Salim-'2021'!Resal)*(1-EXP(('2021'!Tnet-t)/('2021'!Tau_j))),Resal+(Salim-Resal)*(1-EXP((Tnet-t)/(Tau_j))))*Salcycl</f>
        <v>7.9475495100194471E-2</v>
      </c>
      <c r="P54" s="169">
        <f>(INDEX(Models!$BJ54:$BT54,,T54)*(1-R54)+INDEX(Models!$BJ54:$BT54,,T54+1)*R54-ERP_i)*Q54*Ramure*Pc/MaxiM</f>
        <v>1.4958100246664874E-3</v>
      </c>
      <c r="Q54" s="304">
        <f t="shared" si="4"/>
        <v>0.6</v>
      </c>
      <c r="R54" s="177">
        <f t="shared" si="5"/>
        <v>1.8607708740594358E-3</v>
      </c>
      <c r="S54" s="799">
        <f t="shared" si="6"/>
        <v>0</v>
      </c>
      <c r="T54" s="176">
        <f t="shared" si="7"/>
        <v>6</v>
      </c>
      <c r="U54" s="250">
        <f t="shared" si="8"/>
        <v>1.8607708740594358E-3</v>
      </c>
      <c r="V54" s="382">
        <f t="shared" si="9"/>
        <v>33.029406942043323</v>
      </c>
      <c r="W54" s="400">
        <f t="shared" si="10"/>
        <v>0</v>
      </c>
      <c r="X54" s="157">
        <f t="shared" si="11"/>
        <v>44601</v>
      </c>
      <c r="Y54" s="383">
        <f t="shared" si="12"/>
        <v>33.271999999999998</v>
      </c>
      <c r="Z54" s="383">
        <f t="shared" si="13"/>
        <v>33.993895100000174</v>
      </c>
      <c r="AA54" s="384">
        <f t="shared" si="14"/>
        <v>36.92883233314928</v>
      </c>
      <c r="AB54" s="197">
        <f t="shared" si="15"/>
        <v>44601</v>
      </c>
      <c r="AC54" s="119">
        <f>IF(OR(t&lt;Tnet,NoTnet),'2021'!Resal_s+('2021'!Salim-'2021'!Resal_s)*(1-EXP(('2021'!Tnet_s-t)/'2021'!Tau_j)),Resal_s+(Salim-Resal_s)*(1-EXP((Tnet_s-t)/Tau_j)))*Salcycl</f>
        <v>7.9475495100194471E-2</v>
      </c>
      <c r="AD54" s="230">
        <f>(INDEX(Models!$BJ54:$BT54,,AH54)*(1-AF54)+INDEX(Models!$BJ54:$BT54,,AH54+1)*AF54-ERP_i)*AE54*Ramure*Pc/MaxiM</f>
        <v>1.4958100246664874E-3</v>
      </c>
      <c r="AE54" s="304">
        <f t="shared" si="16"/>
        <v>0.6</v>
      </c>
      <c r="AF54" s="177">
        <f t="shared" si="23"/>
        <v>1.8607708740594358E-3</v>
      </c>
      <c r="AG54" s="799">
        <f t="shared" si="24"/>
        <v>0</v>
      </c>
      <c r="AH54" s="176">
        <f t="shared" si="17"/>
        <v>6</v>
      </c>
      <c r="AI54" s="224">
        <f t="shared" si="18"/>
        <v>1.8607708740594358E-3</v>
      </c>
      <c r="AJ54" s="264" t="b">
        <f t="shared" si="19"/>
        <v>1</v>
      </c>
      <c r="AK54" s="264" t="b">
        <f t="shared" si="20"/>
        <v>0</v>
      </c>
      <c r="AL54" s="264"/>
      <c r="AM54" s="264"/>
      <c r="AN54" s="75"/>
    </row>
    <row r="55" spans="1:40" s="6" customFormat="1" ht="11.25" x14ac:dyDescent="0.2">
      <c r="A55" s="56">
        <f t="shared" si="21"/>
        <v>44602</v>
      </c>
      <c r="B55" s="1153">
        <v>31.027000000000001</v>
      </c>
      <c r="C55" s="388"/>
      <c r="D55" s="391">
        <f t="shared" si="0"/>
        <v>31.700793378449703</v>
      </c>
      <c r="E55" s="383">
        <f t="shared" si="1"/>
        <v>34.440199585087001</v>
      </c>
      <c r="F55" s="383">
        <f t="shared" si="2"/>
        <v>34.485478690767295</v>
      </c>
      <c r="G55" s="110">
        <f t="shared" si="22"/>
        <v>0.92987770587116814</v>
      </c>
      <c r="H55" s="412" t="b">
        <f>Wh_hp&gt;='2021'!Maxi_hp</f>
        <v>1</v>
      </c>
      <c r="I55" s="379">
        <f>IF(H55,Wh_hp,'2021'!Maxi_hp)</f>
        <v>34.485478690767295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2.1254779664528822E-2</v>
      </c>
      <c r="M55" s="832"/>
      <c r="N55" s="832"/>
      <c r="O55" s="48">
        <f>IF(t&lt;Tnet,'2021'!Resal+('2021'!Salim-'2021'!Resal)*(1-EXP(('2021'!Tnet-t)/('2021'!Tau_j))),Resal+(Salim-Resal)*(1-EXP((Tnet-t)/(Tau_j))))*Salcycl</f>
        <v>7.9540950390528206E-2</v>
      </c>
      <c r="P55" s="169">
        <f>(INDEX(Models!$BJ55:$BT55,,T55)*(1-R55)+INDEX(Models!$BJ55:$BT55,,T55+1)*R55-ERP_i)*Q55*Ramure*Pc/MaxiM</f>
        <v>1.4588469891797487E-3</v>
      </c>
      <c r="Q55" s="304">
        <f t="shared" si="4"/>
        <v>0.6</v>
      </c>
      <c r="R55" s="177">
        <f t="shared" si="5"/>
        <v>2.0042461847219429E-3</v>
      </c>
      <c r="S55" s="799">
        <f t="shared" si="6"/>
        <v>0</v>
      </c>
      <c r="T55" s="176">
        <f t="shared" si="7"/>
        <v>6</v>
      </c>
      <c r="U55" s="250">
        <f t="shared" si="8"/>
        <v>2.0042461847219429E-3</v>
      </c>
      <c r="V55" s="382">
        <f t="shared" si="9"/>
        <v>33.361880132080458</v>
      </c>
      <c r="W55" s="400">
        <f t="shared" si="10"/>
        <v>0</v>
      </c>
      <c r="X55" s="157">
        <f t="shared" si="11"/>
        <v>44602</v>
      </c>
      <c r="Y55" s="383">
        <f t="shared" si="12"/>
        <v>31.027000000000005</v>
      </c>
      <c r="Z55" s="383">
        <f t="shared" si="13"/>
        <v>31.700793378449706</v>
      </c>
      <c r="AA55" s="384">
        <f t="shared" si="14"/>
        <v>34.440199585087001</v>
      </c>
      <c r="AB55" s="197">
        <f t="shared" si="15"/>
        <v>44602</v>
      </c>
      <c r="AC55" s="119">
        <f>IF(OR(t&lt;Tnet,NoTnet),'2021'!Resal_s+('2021'!Salim-'2021'!Resal_s)*(1-EXP(('2021'!Tnet_s-t)/'2021'!Tau_j)),Resal_s+(Salim-Resal_s)*(1-EXP((Tnet_s-t)/Tau_j)))*Salcycl</f>
        <v>7.9540950390528206E-2</v>
      </c>
      <c r="AD55" s="230">
        <f>(INDEX(Models!$BJ55:$BT55,,AH55)*(1-AF55)+INDEX(Models!$BJ55:$BT55,,AH55+1)*AF55-ERP_i)*AE55*Ramure*Pc/MaxiM</f>
        <v>1.4588469891797487E-3</v>
      </c>
      <c r="AE55" s="304">
        <f t="shared" si="16"/>
        <v>0.6</v>
      </c>
      <c r="AF55" s="177">
        <f t="shared" si="23"/>
        <v>2.0042461847219429E-3</v>
      </c>
      <c r="AG55" s="799">
        <f t="shared" si="24"/>
        <v>0</v>
      </c>
      <c r="AH55" s="176">
        <f t="shared" si="17"/>
        <v>6</v>
      </c>
      <c r="AI55" s="224">
        <f t="shared" si="18"/>
        <v>2.0042461847219429E-3</v>
      </c>
      <c r="AJ55" s="264" t="b">
        <f t="shared" si="19"/>
        <v>1</v>
      </c>
      <c r="AK55" s="264" t="b">
        <f t="shared" si="20"/>
        <v>0</v>
      </c>
      <c r="AL55" s="264"/>
      <c r="AM55" s="264"/>
      <c r="AN55" s="75"/>
    </row>
    <row r="56" spans="1:40" s="6" customFormat="1" ht="11.25" x14ac:dyDescent="0.2">
      <c r="A56" s="56">
        <f t="shared" si="21"/>
        <v>44603</v>
      </c>
      <c r="B56" s="1153">
        <v>17.187000000000001</v>
      </c>
      <c r="C56" s="388"/>
      <c r="D56" s="391">
        <f t="shared" si="0"/>
        <v>17.560575555460346</v>
      </c>
      <c r="E56" s="383">
        <f t="shared" si="1"/>
        <v>19.079419494234763</v>
      </c>
      <c r="F56" s="383">
        <f t="shared" si="2"/>
        <v>19.087566705183981</v>
      </c>
      <c r="G56" s="110">
        <f t="shared" si="22"/>
        <v>0.50956478996182131</v>
      </c>
      <c r="H56" s="412" t="b">
        <f>Wh_hp&gt;='2021'!Maxi_hp</f>
        <v>0</v>
      </c>
      <c r="I56" s="379">
        <f>IF(H56,Wh_hp,'2021'!Maxi_hp)</f>
        <v>31.561088268066062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2.1273537093388972E-2</v>
      </c>
      <c r="M56" s="832"/>
      <c r="N56" s="832"/>
      <c r="O56" s="48">
        <f>IF(t&lt;Tnet,'2021'!Resal+('2021'!Salim-'2021'!Resal)*(1-EXP(('2021'!Tnet-t)/('2021'!Tau_j))),Resal+(Salim-Resal)*(1-EXP((Tnet-t)/(Tau_j))))*Salcycl</f>
        <v>7.9606402030909115E-2</v>
      </c>
      <c r="P56" s="169">
        <f>(INDEX(Models!$BJ56:$BT56,,T56)*(1-R56)+INDEX(Models!$BJ56:$BT56,,T56+1)*R56-ERP_i)*Q56*Ramure*Pc/MaxiM</f>
        <v>1.42228520662766E-3</v>
      </c>
      <c r="Q56" s="304">
        <f t="shared" si="4"/>
        <v>0.6</v>
      </c>
      <c r="R56" s="177">
        <f t="shared" si="5"/>
        <v>2.1536525505831483E-3</v>
      </c>
      <c r="S56" s="799">
        <f t="shared" si="6"/>
        <v>0</v>
      </c>
      <c r="T56" s="176">
        <f t="shared" si="7"/>
        <v>6</v>
      </c>
      <c r="U56" s="250">
        <f t="shared" si="8"/>
        <v>2.1536525505831483E-3</v>
      </c>
      <c r="V56" s="382">
        <f t="shared" si="9"/>
        <v>33.695192843498234</v>
      </c>
      <c r="W56" s="400">
        <f t="shared" si="10"/>
        <v>0</v>
      </c>
      <c r="X56" s="157">
        <f t="shared" si="11"/>
        <v>44603</v>
      </c>
      <c r="Y56" s="383">
        <f t="shared" si="12"/>
        <v>17.187000000000001</v>
      </c>
      <c r="Z56" s="383">
        <f t="shared" si="13"/>
        <v>17.560575555460346</v>
      </c>
      <c r="AA56" s="384">
        <f t="shared" si="14"/>
        <v>19.079419494234763</v>
      </c>
      <c r="AB56" s="197">
        <f t="shared" si="15"/>
        <v>44603</v>
      </c>
      <c r="AC56" s="119">
        <f>IF(OR(t&lt;Tnet,NoTnet),'2021'!Resal_s+('2021'!Salim-'2021'!Resal_s)*(1-EXP(('2021'!Tnet_s-t)/'2021'!Tau_j)),Resal_s+(Salim-Resal_s)*(1-EXP((Tnet_s-t)/Tau_j)))*Salcycl</f>
        <v>7.9606402030909115E-2</v>
      </c>
      <c r="AD56" s="230">
        <f>(INDEX(Models!$BJ56:$BT56,,AH56)*(1-AF56)+INDEX(Models!$BJ56:$BT56,,AH56+1)*AF56-ERP_i)*AE56*Ramure*Pc/MaxiM</f>
        <v>1.42228520662766E-3</v>
      </c>
      <c r="AE56" s="304">
        <f t="shared" si="16"/>
        <v>0.6</v>
      </c>
      <c r="AF56" s="177">
        <f t="shared" si="23"/>
        <v>2.1536525505831483E-3</v>
      </c>
      <c r="AG56" s="799">
        <f t="shared" si="24"/>
        <v>0</v>
      </c>
      <c r="AH56" s="176">
        <f t="shared" si="17"/>
        <v>6</v>
      </c>
      <c r="AI56" s="224">
        <f t="shared" si="18"/>
        <v>2.1536525505831483E-3</v>
      </c>
      <c r="AJ56" s="264" t="b">
        <f t="shared" si="19"/>
        <v>1</v>
      </c>
      <c r="AK56" s="264" t="b">
        <f t="shared" si="20"/>
        <v>0</v>
      </c>
      <c r="AL56" s="264"/>
      <c r="AM56" s="264"/>
      <c r="AN56" s="75"/>
    </row>
    <row r="57" spans="1:40" s="6" customFormat="1" ht="11.25" x14ac:dyDescent="0.2">
      <c r="A57" s="56">
        <f t="shared" si="21"/>
        <v>44604</v>
      </c>
      <c r="B57" s="1153">
        <v>26.336000000000002</v>
      </c>
      <c r="C57" s="388"/>
      <c r="D57" s="391">
        <f t="shared" si="0"/>
        <v>26.908953350347787</v>
      </c>
      <c r="E57" s="383">
        <f t="shared" si="1"/>
        <v>29.238433155076155</v>
      </c>
      <c r="F57" s="383">
        <f t="shared" si="2"/>
        <v>29.265897627745993</v>
      </c>
      <c r="G57" s="110">
        <f t="shared" si="22"/>
        <v>0.77357572867486235</v>
      </c>
      <c r="H57" s="412" t="b">
        <f>Wh_hp&gt;='2021'!Maxi_hp</f>
        <v>1</v>
      </c>
      <c r="I57" s="379">
        <f>IF(H57,Wh_hp,'2021'!Maxi_hp)</f>
        <v>29.265897627745993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2.1292294162767123E-2</v>
      </c>
      <c r="M57" s="832"/>
      <c r="N57" s="832"/>
      <c r="O57" s="48">
        <f>IF(t&lt;Tnet,'2021'!Resal+('2021'!Salim-'2021'!Resal)*(1-EXP(('2021'!Tnet-t)/('2021'!Tau_j))),Resal+(Salim-Resal)*(1-EXP((Tnet-t)/(Tau_j))))*Salcycl</f>
        <v>7.967184124994546E-2</v>
      </c>
      <c r="P57" s="169">
        <f>(INDEX(Models!$BJ57:$BT57,,T57)*(1-R57)+INDEX(Models!$BJ57:$BT57,,T57+1)*R57-ERP_i)*Q57*Ramure*Pc/MaxiM</f>
        <v>1.3861177093796976E-3</v>
      </c>
      <c r="Q57" s="304">
        <f t="shared" si="4"/>
        <v>0.6</v>
      </c>
      <c r="R57" s="177">
        <f t="shared" si="5"/>
        <v>2.30923133710599E-3</v>
      </c>
      <c r="S57" s="799">
        <f t="shared" si="6"/>
        <v>0</v>
      </c>
      <c r="T57" s="176">
        <f t="shared" si="7"/>
        <v>6</v>
      </c>
      <c r="U57" s="250">
        <f t="shared" si="8"/>
        <v>2.30923133710599E-3</v>
      </c>
      <c r="V57" s="382">
        <f t="shared" si="9"/>
        <v>34.029246361815765</v>
      </c>
      <c r="W57" s="400">
        <f t="shared" si="10"/>
        <v>0</v>
      </c>
      <c r="X57" s="157">
        <f t="shared" si="11"/>
        <v>44604</v>
      </c>
      <c r="Y57" s="383">
        <f t="shared" si="12"/>
        <v>26.336000000000002</v>
      </c>
      <c r="Z57" s="383">
        <f t="shared" si="13"/>
        <v>26.908953350347787</v>
      </c>
      <c r="AA57" s="384">
        <f t="shared" si="14"/>
        <v>29.238433155076155</v>
      </c>
      <c r="AB57" s="197">
        <f t="shared" si="15"/>
        <v>44604</v>
      </c>
      <c r="AC57" s="119">
        <f>IF(OR(t&lt;Tnet,NoTnet),'2021'!Resal_s+('2021'!Salim-'2021'!Resal_s)*(1-EXP(('2021'!Tnet_s-t)/'2021'!Tau_j)),Resal_s+(Salim-Resal_s)*(1-EXP((Tnet_s-t)/Tau_j)))*Salcycl</f>
        <v>7.967184124994546E-2</v>
      </c>
      <c r="AD57" s="230">
        <f>(INDEX(Models!$BJ57:$BT57,,AH57)*(1-AF57)+INDEX(Models!$BJ57:$BT57,,AH57+1)*AF57-ERP_i)*AE57*Ramure*Pc/MaxiM</f>
        <v>1.3861177093796976E-3</v>
      </c>
      <c r="AE57" s="304">
        <f t="shared" si="16"/>
        <v>0.6</v>
      </c>
      <c r="AF57" s="177">
        <f t="shared" si="23"/>
        <v>2.30923133710599E-3</v>
      </c>
      <c r="AG57" s="799">
        <f t="shared" si="24"/>
        <v>0</v>
      </c>
      <c r="AH57" s="176">
        <f t="shared" si="17"/>
        <v>6</v>
      </c>
      <c r="AI57" s="224">
        <f t="shared" si="18"/>
        <v>2.30923133710599E-3</v>
      </c>
      <c r="AJ57" s="264" t="b">
        <f t="shared" si="19"/>
        <v>1</v>
      </c>
      <c r="AK57" s="264" t="b">
        <f t="shared" si="20"/>
        <v>0</v>
      </c>
      <c r="AL57" s="264"/>
      <c r="AM57" s="264"/>
      <c r="AN57" s="75"/>
    </row>
    <row r="58" spans="1:40" s="6" customFormat="1" ht="11.25" x14ac:dyDescent="0.2">
      <c r="A58" s="56">
        <f t="shared" si="21"/>
        <v>44605</v>
      </c>
      <c r="B58" s="1153">
        <v>32.22</v>
      </c>
      <c r="C58" s="388"/>
      <c r="D58" s="391">
        <f t="shared" si="0"/>
        <v>32.921593759416311</v>
      </c>
      <c r="E58" s="383">
        <f t="shared" si="1"/>
        <v>35.774124390355936</v>
      </c>
      <c r="F58" s="383">
        <f t="shared" si="2"/>
        <v>35.818160403759038</v>
      </c>
      <c r="G58" s="110">
        <f t="shared" si="22"/>
        <v>0.93749720661919989</v>
      </c>
      <c r="H58" s="412" t="b">
        <f>Wh_hp&gt;='2021'!Maxi_hp</f>
        <v>1</v>
      </c>
      <c r="I58" s="379">
        <f>IF(H58,Wh_hp,'2021'!Maxi_hp)</f>
        <v>35.818160403759038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2.1311050872670378E-2</v>
      </c>
      <c r="M58" s="832"/>
      <c r="N58" s="832"/>
      <c r="O58" s="48">
        <f>IF(t&lt;Tnet,'2021'!Resal+('2021'!Salim-'2021'!Resal)*(1-EXP(('2021'!Tnet-t)/('2021'!Tau_j))),Resal+(Salim-Resal)*(1-EXP((Tnet-t)/(Tau_j))))*Salcycl</f>
        <v>7.9737259249554576E-2</v>
      </c>
      <c r="P58" s="169">
        <f>(INDEX(Models!$BJ58:$BT58,,T58)*(1-R58)+INDEX(Models!$BJ58:$BT58,,T58+1)*R58-ERP_i)*Q58*Ramure*Pc/MaxiM</f>
        <v>1.3497319972197365E-3</v>
      </c>
      <c r="Q58" s="304">
        <f t="shared" si="4"/>
        <v>0.6</v>
      </c>
      <c r="R58" s="177">
        <f t="shared" si="5"/>
        <v>2.4712334081451724E-3</v>
      </c>
      <c r="S58" s="799">
        <f t="shared" si="6"/>
        <v>0</v>
      </c>
      <c r="T58" s="176">
        <f t="shared" si="7"/>
        <v>6</v>
      </c>
      <c r="U58" s="250">
        <f t="shared" si="8"/>
        <v>2.4712334081451724E-3</v>
      </c>
      <c r="V58" s="382">
        <f t="shared" si="9"/>
        <v>34.363962851465594</v>
      </c>
      <c r="W58" s="400">
        <f t="shared" si="10"/>
        <v>0</v>
      </c>
      <c r="X58" s="157">
        <f t="shared" si="11"/>
        <v>44605</v>
      </c>
      <c r="Y58" s="383">
        <f t="shared" si="12"/>
        <v>32.22</v>
      </c>
      <c r="Z58" s="383">
        <f t="shared" si="13"/>
        <v>32.921593759416311</v>
      </c>
      <c r="AA58" s="384">
        <f t="shared" si="14"/>
        <v>35.774124390355936</v>
      </c>
      <c r="AB58" s="197">
        <f t="shared" si="15"/>
        <v>44605</v>
      </c>
      <c r="AC58" s="119">
        <f>IF(OR(t&lt;Tnet,NoTnet),'2021'!Resal_s+('2021'!Salim-'2021'!Resal_s)*(1-EXP(('2021'!Tnet_s-t)/'2021'!Tau_j)),Resal_s+(Salim-Resal_s)*(1-EXP((Tnet_s-t)/Tau_j)))*Salcycl</f>
        <v>7.9737259249554576E-2</v>
      </c>
      <c r="AD58" s="230">
        <f>(INDEX(Models!$BJ58:$BT58,,AH58)*(1-AF58)+INDEX(Models!$BJ58:$BT58,,AH58+1)*AF58-ERP_i)*AE58*Ramure*Pc/MaxiM</f>
        <v>1.3497319972197365E-3</v>
      </c>
      <c r="AE58" s="304">
        <f t="shared" si="16"/>
        <v>0.6</v>
      </c>
      <c r="AF58" s="177">
        <f t="shared" si="23"/>
        <v>2.4712334081451724E-3</v>
      </c>
      <c r="AG58" s="799">
        <f t="shared" si="24"/>
        <v>0</v>
      </c>
      <c r="AH58" s="176">
        <f t="shared" si="17"/>
        <v>6</v>
      </c>
      <c r="AI58" s="224">
        <f t="shared" si="18"/>
        <v>2.4712334081451724E-3</v>
      </c>
      <c r="AJ58" s="264" t="b">
        <f t="shared" si="19"/>
        <v>1</v>
      </c>
      <c r="AK58" s="264" t="b">
        <f t="shared" si="20"/>
        <v>0</v>
      </c>
      <c r="AL58" s="264"/>
      <c r="AM58" s="264"/>
      <c r="AN58" s="75"/>
    </row>
    <row r="59" spans="1:40" s="6" customFormat="1" ht="11.25" x14ac:dyDescent="0.2">
      <c r="A59" s="56">
        <f t="shared" si="21"/>
        <v>44606</v>
      </c>
      <c r="B59" s="1153">
        <v>15.125999999999999</v>
      </c>
      <c r="C59" s="388"/>
      <c r="D59" s="391">
        <f t="shared" si="0"/>
        <v>15.455666384485713</v>
      </c>
      <c r="E59" s="383">
        <f t="shared" si="1"/>
        <v>16.796034393714354</v>
      </c>
      <c r="F59" s="383">
        <f t="shared" si="2"/>
        <v>16.800315009535005</v>
      </c>
      <c r="G59" s="110">
        <f t="shared" si="22"/>
        <v>0.43545581385275373</v>
      </c>
      <c r="H59" s="412" t="b">
        <f>Wh_hp&gt;='2021'!Maxi_hp</f>
        <v>0</v>
      </c>
      <c r="I59" s="379">
        <f>IF(H59,Wh_hp,'2021'!Maxi_hp)</f>
        <v>38.116109222133424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2.1329807223105623E-2</v>
      </c>
      <c r="M59" s="832"/>
      <c r="N59" s="832"/>
      <c r="O59" s="48">
        <f>IF(t&lt;Tnet,'2021'!Resal+('2021'!Salim-'2021'!Resal)*(1-EXP(('2021'!Tnet-t)/('2021'!Tau_j))),Resal+(Salim-Resal)*(1-EXP((Tnet-t)/(Tau_j))))*Salcycl</f>
        <v>7.9802647327886514E-2</v>
      </c>
      <c r="P59" s="169">
        <f>(INDEX(Models!$BJ59:$BT59,,T59)*(1-R59)+INDEX(Models!$BJ59:$BT59,,T59+1)*R59-ERP_i)*Q59*Ramure*Pc/MaxiM</f>
        <v>1.312240502061313E-3</v>
      </c>
      <c r="Q59" s="304">
        <f t="shared" si="4"/>
        <v>0.6</v>
      </c>
      <c r="R59" s="177">
        <f t="shared" si="5"/>
        <v>2.6399194721268755E-3</v>
      </c>
      <c r="S59" s="799">
        <f t="shared" si="6"/>
        <v>0</v>
      </c>
      <c r="T59" s="176">
        <f t="shared" si="7"/>
        <v>6</v>
      </c>
      <c r="U59" s="250">
        <f t="shared" si="8"/>
        <v>2.6399194721268755E-3</v>
      </c>
      <c r="V59" s="382">
        <f t="shared" si="9"/>
        <v>34.69927488346849</v>
      </c>
      <c r="W59" s="400">
        <f t="shared" si="10"/>
        <v>0</v>
      </c>
      <c r="X59" s="157">
        <f t="shared" si="11"/>
        <v>44606</v>
      </c>
      <c r="Y59" s="383">
        <f t="shared" si="12"/>
        <v>15.126000000000001</v>
      </c>
      <c r="Z59" s="383">
        <f t="shared" si="13"/>
        <v>15.455666384485715</v>
      </c>
      <c r="AA59" s="384">
        <f t="shared" si="14"/>
        <v>16.796034393714354</v>
      </c>
      <c r="AB59" s="197">
        <f t="shared" si="15"/>
        <v>44606</v>
      </c>
      <c r="AC59" s="119">
        <f>IF(OR(t&lt;Tnet,NoTnet),'2021'!Resal_s+('2021'!Salim-'2021'!Resal_s)*(1-EXP(('2021'!Tnet_s-t)/'2021'!Tau_j)),Resal_s+(Salim-Resal_s)*(1-EXP((Tnet_s-t)/Tau_j)))*Salcycl</f>
        <v>7.9802647327886514E-2</v>
      </c>
      <c r="AD59" s="230">
        <f>(INDEX(Models!$BJ59:$BT59,,AH59)*(1-AF59)+INDEX(Models!$BJ59:$BT59,,AH59+1)*AF59-ERP_i)*AE59*Ramure*Pc/MaxiM</f>
        <v>1.312240502061313E-3</v>
      </c>
      <c r="AE59" s="304">
        <f t="shared" si="16"/>
        <v>0.6</v>
      </c>
      <c r="AF59" s="177">
        <f t="shared" si="23"/>
        <v>2.6399194721268755E-3</v>
      </c>
      <c r="AG59" s="799">
        <f t="shared" si="24"/>
        <v>0</v>
      </c>
      <c r="AH59" s="176">
        <f t="shared" si="17"/>
        <v>6</v>
      </c>
      <c r="AI59" s="224">
        <f t="shared" si="18"/>
        <v>2.6399194721268755E-3</v>
      </c>
      <c r="AJ59" s="264" t="b">
        <f t="shared" si="19"/>
        <v>1</v>
      </c>
      <c r="AK59" s="264" t="b">
        <f t="shared" si="20"/>
        <v>0</v>
      </c>
      <c r="AL59" s="264"/>
      <c r="AM59" s="264"/>
      <c r="AN59" s="75"/>
    </row>
    <row r="60" spans="1:40" s="6" customFormat="1" ht="11.25" x14ac:dyDescent="0.2">
      <c r="A60" s="56">
        <f t="shared" si="21"/>
        <v>44607</v>
      </c>
      <c r="B60" s="1153">
        <v>18.243000000000002</v>
      </c>
      <c r="C60" s="388"/>
      <c r="D60" s="391">
        <f t="shared" si="0"/>
        <v>18.640957663040403</v>
      </c>
      <c r="E60" s="383">
        <f t="shared" si="1"/>
        <v>20.259003710727811</v>
      </c>
      <c r="F60" s="383">
        <f t="shared" si="2"/>
        <v>20.267142675340899</v>
      </c>
      <c r="G60" s="110">
        <f t="shared" si="22"/>
        <v>0.52025232934948262</v>
      </c>
      <c r="H60" s="412" t="b">
        <f>Wh_hp&gt;='2021'!Maxi_hp</f>
        <v>0</v>
      </c>
      <c r="I60" s="379">
        <f>IF(H60,Wh_hp,'2021'!Maxi_hp)</f>
        <v>37.957548920378891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2.134856321407963E-2</v>
      </c>
      <c r="M60" s="832"/>
      <c r="N60" s="832"/>
      <c r="O60" s="48">
        <f>IF(t&lt;Tnet,'2021'!Resal+('2021'!Salim-'2021'!Resal)*(1-EXP(('2021'!Tnet-t)/('2021'!Tau_j))),Resal+(Salim-Resal)*(1-EXP((Tnet-t)/(Tau_j))))*Salcycl</f>
        <v>7.9867997004739136E-2</v>
      </c>
      <c r="P60" s="169">
        <f>(INDEX(Models!$BJ60:$BT60,,T60)*(1-R60)+INDEX(Models!$BJ60:$BT60,,T60+1)*R60-ERP_i)*Q60*Ramure*Pc/MaxiM</f>
        <v>1.2736770483463881E-3</v>
      </c>
      <c r="Q60" s="304">
        <f t="shared" si="4"/>
        <v>0.6</v>
      </c>
      <c r="R60" s="177">
        <f t="shared" si="5"/>
        <v>2.8155604384573151E-3</v>
      </c>
      <c r="S60" s="799">
        <f t="shared" si="6"/>
        <v>0</v>
      </c>
      <c r="T60" s="176">
        <f t="shared" si="7"/>
        <v>6</v>
      </c>
      <c r="U60" s="250">
        <f t="shared" si="8"/>
        <v>2.8155604384573151E-3</v>
      </c>
      <c r="V60" s="382">
        <f t="shared" si="9"/>
        <v>35.035083921015307</v>
      </c>
      <c r="W60" s="400">
        <f t="shared" si="10"/>
        <v>0</v>
      </c>
      <c r="X60" s="157">
        <f t="shared" si="11"/>
        <v>44607</v>
      </c>
      <c r="Y60" s="383">
        <f t="shared" si="12"/>
        <v>18.243000000000002</v>
      </c>
      <c r="Z60" s="383">
        <f t="shared" si="13"/>
        <v>18.640957663040403</v>
      </c>
      <c r="AA60" s="384">
        <f t="shared" si="14"/>
        <v>20.259003710727811</v>
      </c>
      <c r="AB60" s="197">
        <f t="shared" si="15"/>
        <v>44607</v>
      </c>
      <c r="AC60" s="119">
        <f>IF(OR(t&lt;Tnet,NoTnet),'2021'!Resal_s+('2021'!Salim-'2021'!Resal_s)*(1-EXP(('2021'!Tnet_s-t)/'2021'!Tau_j)),Resal_s+(Salim-Resal_s)*(1-EXP((Tnet_s-t)/Tau_j)))*Salcycl</f>
        <v>7.9867997004739136E-2</v>
      </c>
      <c r="AD60" s="230">
        <f>(INDEX(Models!$BJ60:$BT60,,AH60)*(1-AF60)+INDEX(Models!$BJ60:$BT60,,AH60+1)*AF60-ERP_i)*AE60*Ramure*Pc/MaxiM</f>
        <v>1.2736770483463881E-3</v>
      </c>
      <c r="AE60" s="304">
        <f t="shared" si="16"/>
        <v>0.6</v>
      </c>
      <c r="AF60" s="177">
        <f t="shared" si="23"/>
        <v>2.8155604384573151E-3</v>
      </c>
      <c r="AG60" s="799">
        <f t="shared" si="24"/>
        <v>0</v>
      </c>
      <c r="AH60" s="176">
        <f t="shared" si="17"/>
        <v>6</v>
      </c>
      <c r="AI60" s="224">
        <f t="shared" si="18"/>
        <v>2.8155604384573151E-3</v>
      </c>
      <c r="AJ60" s="264" t="b">
        <f t="shared" si="19"/>
        <v>1</v>
      </c>
      <c r="AK60" s="264" t="b">
        <f t="shared" si="20"/>
        <v>0</v>
      </c>
      <c r="AL60" s="264"/>
      <c r="AM60" s="264"/>
      <c r="AN60" s="75"/>
    </row>
    <row r="61" spans="1:40" s="6" customFormat="1" ht="11.25" x14ac:dyDescent="0.2">
      <c r="A61" s="56">
        <f t="shared" si="21"/>
        <v>44608</v>
      </c>
      <c r="B61" s="1153">
        <v>8.9730000000000008</v>
      </c>
      <c r="C61" s="388"/>
      <c r="D61" s="391">
        <f t="shared" si="0"/>
        <v>9.1689151331175651</v>
      </c>
      <c r="E61" s="383">
        <f t="shared" si="1"/>
        <v>9.9654896048229347</v>
      </c>
      <c r="F61" s="383">
        <f t="shared" si="2"/>
        <v>9.9654896048229347</v>
      </c>
      <c r="G61" s="110">
        <f t="shared" si="22"/>
        <v>0.25336724458791027</v>
      </c>
      <c r="H61" s="412" t="b">
        <f>Wh_hp&gt;='2021'!Maxi_hp</f>
        <v>0</v>
      </c>
      <c r="I61" s="379">
        <f>IF(H61,Wh_hp,'2021'!Maxi_hp)</f>
        <v>33.411514000889703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2.1367318845599392E-2</v>
      </c>
      <c r="M61" s="832"/>
      <c r="N61" s="832"/>
      <c r="O61" s="48">
        <f>IF(t&lt;Tnet,'2021'!Resal+('2021'!Salim-'2021'!Resal)*(1-EXP(('2021'!Tnet-t)/('2021'!Tau_j))),Resal+(Salim-Resal)*(1-EXP((Tnet-t)/(Tau_j))))*Salcycl</f>
        <v>7.9933300148128869E-2</v>
      </c>
      <c r="P61" s="169">
        <f>(INDEX(Models!$BJ61:$BT61,,T61)*(1-R61)+INDEX(Models!$BJ61:$BT61,,T61+1)*R61-ERP_i)*Q61*Ramure*Pc/MaxiM</f>
        <v>1.2340739008219455E-3</v>
      </c>
      <c r="Q61" s="304">
        <f t="shared" si="4"/>
        <v>0.6</v>
      </c>
      <c r="R61" s="177">
        <f t="shared" si="5"/>
        <v>2.998437784245394E-3</v>
      </c>
      <c r="S61" s="799">
        <f t="shared" si="6"/>
        <v>0</v>
      </c>
      <c r="T61" s="176">
        <f t="shared" si="7"/>
        <v>6</v>
      </c>
      <c r="U61" s="250">
        <f t="shared" si="8"/>
        <v>2.998437784245394E-3</v>
      </c>
      <c r="V61" s="382">
        <f t="shared" si="9"/>
        <v>35.371291460599309</v>
      </c>
      <c r="W61" s="400">
        <f t="shared" si="10"/>
        <v>0</v>
      </c>
      <c r="X61" s="157">
        <f t="shared" si="11"/>
        <v>44608</v>
      </c>
      <c r="Y61" s="383">
        <f t="shared" si="12"/>
        <v>8.9730000000000008</v>
      </c>
      <c r="Z61" s="383">
        <f t="shared" si="13"/>
        <v>9.1689151331175651</v>
      </c>
      <c r="AA61" s="384">
        <f t="shared" si="14"/>
        <v>9.9654896048229347</v>
      </c>
      <c r="AB61" s="197">
        <f t="shared" si="15"/>
        <v>44608</v>
      </c>
      <c r="AC61" s="119">
        <f>IF(OR(t&lt;Tnet,NoTnet),'2021'!Resal_s+('2021'!Salim-'2021'!Resal_s)*(1-EXP(('2021'!Tnet_s-t)/'2021'!Tau_j)),Resal_s+(Salim-Resal_s)*(1-EXP((Tnet_s-t)/Tau_j)))*Salcycl</f>
        <v>7.9933300148128869E-2</v>
      </c>
      <c r="AD61" s="230">
        <f>(INDEX(Models!$BJ61:$BT61,,AH61)*(1-AF61)+INDEX(Models!$BJ61:$BT61,,AH61+1)*AF61-ERP_i)*AE61*Ramure*Pc/MaxiM</f>
        <v>1.2340739008219455E-3</v>
      </c>
      <c r="AE61" s="304">
        <f t="shared" si="16"/>
        <v>0.6</v>
      </c>
      <c r="AF61" s="177">
        <f t="shared" si="23"/>
        <v>2.998437784245394E-3</v>
      </c>
      <c r="AG61" s="799">
        <f t="shared" si="24"/>
        <v>0</v>
      </c>
      <c r="AH61" s="176">
        <f t="shared" si="17"/>
        <v>6</v>
      </c>
      <c r="AI61" s="224">
        <f t="shared" si="18"/>
        <v>2.998437784245394E-3</v>
      </c>
      <c r="AJ61" s="264" t="b">
        <f t="shared" si="19"/>
        <v>1</v>
      </c>
      <c r="AK61" s="264" t="b">
        <f t="shared" si="20"/>
        <v>0</v>
      </c>
      <c r="AL61" s="264"/>
      <c r="AM61" s="264"/>
      <c r="AN61" s="75"/>
    </row>
    <row r="62" spans="1:40" s="6" customFormat="1" ht="11.25" x14ac:dyDescent="0.2">
      <c r="A62" s="56">
        <f t="shared" si="21"/>
        <v>44609</v>
      </c>
      <c r="B62" s="1153">
        <v>11.179</v>
      </c>
      <c r="C62" s="388"/>
      <c r="D62" s="391">
        <f t="shared" si="0"/>
        <v>11.423299530426055</v>
      </c>
      <c r="E62" s="383">
        <f t="shared" si="1"/>
        <v>12.416610342581263</v>
      </c>
      <c r="F62" s="383">
        <f t="shared" si="2"/>
        <v>12.416887011895994</v>
      </c>
      <c r="G62" s="110">
        <f t="shared" si="22"/>
        <v>0.31270219365719959</v>
      </c>
      <c r="H62" s="412" t="b">
        <f>Wh_hp&gt;='2021'!Maxi_hp</f>
        <v>0</v>
      </c>
      <c r="I62" s="379">
        <f>IF(H62,Wh_hp,'2021'!Maxi_hp)</f>
        <v>36.826584894030596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2.1386074117671683E-2</v>
      </c>
      <c r="M62" s="832"/>
      <c r="N62" s="832"/>
      <c r="O62" s="48">
        <f>IF(t&lt;Tnet,'2021'!Resal+('2021'!Salim-'2021'!Resal)*(1-EXP(('2021'!Tnet-t)/('2021'!Tau_j))),Resal+(Salim-Resal)*(1-EXP((Tnet-t)/(Tau_j))))*Salcycl</f>
        <v>7.9998549100696884E-2</v>
      </c>
      <c r="P62" s="169">
        <f>(INDEX(Models!$BJ62:$BT62,,T62)*(1-R62)+INDEX(Models!$BJ62:$BT62,,T62+1)*R62-ERP_i)*Q62*Ramure*Pc/MaxiM</f>
        <v>1.1934618409396047E-3</v>
      </c>
      <c r="Q62" s="304">
        <f t="shared" si="4"/>
        <v>0.6</v>
      </c>
      <c r="R62" s="177">
        <f t="shared" si="5"/>
        <v>3.1888439314017285E-3</v>
      </c>
      <c r="S62" s="799">
        <f t="shared" si="6"/>
        <v>0</v>
      </c>
      <c r="T62" s="176">
        <f t="shared" si="7"/>
        <v>6</v>
      </c>
      <c r="U62" s="250">
        <f t="shared" si="8"/>
        <v>3.1888439314017285E-3</v>
      </c>
      <c r="V62" s="382">
        <f t="shared" si="9"/>
        <v>35.707799023884597</v>
      </c>
      <c r="W62" s="400">
        <f t="shared" si="10"/>
        <v>0</v>
      </c>
      <c r="X62" s="157">
        <f t="shared" si="11"/>
        <v>44609</v>
      </c>
      <c r="Y62" s="383">
        <f t="shared" si="12"/>
        <v>11.179</v>
      </c>
      <c r="Z62" s="383">
        <f t="shared" si="13"/>
        <v>11.423299530426055</v>
      </c>
      <c r="AA62" s="384">
        <f t="shared" si="14"/>
        <v>12.416610342581263</v>
      </c>
      <c r="AB62" s="197">
        <f t="shared" si="15"/>
        <v>44609</v>
      </c>
      <c r="AC62" s="119">
        <f>IF(OR(t&lt;Tnet,NoTnet),'2021'!Resal_s+('2021'!Salim-'2021'!Resal_s)*(1-EXP(('2021'!Tnet_s-t)/'2021'!Tau_j)),Resal_s+(Salim-Resal_s)*(1-EXP((Tnet_s-t)/Tau_j)))*Salcycl</f>
        <v>7.9998549100696884E-2</v>
      </c>
      <c r="AD62" s="230">
        <f>(INDEX(Models!$BJ62:$BT62,,AH62)*(1-AF62)+INDEX(Models!$BJ62:$BT62,,AH62+1)*AF62-ERP_i)*AE62*Ramure*Pc/MaxiM</f>
        <v>1.1934618409396047E-3</v>
      </c>
      <c r="AE62" s="304">
        <f t="shared" si="16"/>
        <v>0.6</v>
      </c>
      <c r="AF62" s="177">
        <f t="shared" si="23"/>
        <v>3.1888439314017285E-3</v>
      </c>
      <c r="AG62" s="799">
        <f t="shared" si="24"/>
        <v>0</v>
      </c>
      <c r="AH62" s="176">
        <f t="shared" si="17"/>
        <v>6</v>
      </c>
      <c r="AI62" s="224">
        <f t="shared" si="18"/>
        <v>3.1888439314017285E-3</v>
      </c>
      <c r="AJ62" s="264" t="b">
        <f t="shared" si="19"/>
        <v>1</v>
      </c>
      <c r="AK62" s="264" t="b">
        <f t="shared" si="20"/>
        <v>0</v>
      </c>
      <c r="AL62" s="264"/>
      <c r="AM62" s="264"/>
      <c r="AN62" s="75"/>
    </row>
    <row r="63" spans="1:40" s="6" customFormat="1" ht="11.25" x14ac:dyDescent="0.2">
      <c r="A63" s="56">
        <f t="shared" si="21"/>
        <v>44610</v>
      </c>
      <c r="B63" s="1153">
        <v>28.859000000000002</v>
      </c>
      <c r="C63" s="388"/>
      <c r="D63" s="391">
        <f t="shared" si="0"/>
        <v>29.490233404078037</v>
      </c>
      <c r="E63" s="383">
        <f t="shared" si="1"/>
        <v>32.056822395114168</v>
      </c>
      <c r="F63" s="383">
        <f t="shared" si="2"/>
        <v>32.083253619797951</v>
      </c>
      <c r="G63" s="110">
        <f t="shared" si="22"/>
        <v>0.80038615674193514</v>
      </c>
      <c r="H63" s="412" t="b">
        <f>Wh_hp&gt;='2021'!Maxi_hp</f>
        <v>1</v>
      </c>
      <c r="I63" s="379">
        <f>IF(H63,Wh_hp,'2021'!Maxi_hp)</f>
        <v>32.083253619797951</v>
      </c>
      <c r="J63" s="85">
        <f>IF(H63,An,'2021'!An_max)</f>
        <v>2022</v>
      </c>
      <c r="K63" s="197">
        <f t="shared" si="3"/>
        <v>44610</v>
      </c>
      <c r="L63" s="147">
        <f>IF(t&lt;Tvie,1-EXP((T0-t)*PertePVj)+'2021'!Pspv,1-EXP((T0-t)*PertePVj)+Pspv)</f>
        <v>2.1404829030303496E-2</v>
      </c>
      <c r="M63" s="832"/>
      <c r="N63" s="832"/>
      <c r="O63" s="48">
        <f>IF(t&lt;Tnet,'2021'!Resal+('2021'!Salim-'2021'!Resal)*(1-EXP(('2021'!Tnet-t)/('2021'!Tau_j))),Resal+(Salim-Resal)*(1-EXP((Tnet-t)/(Tau_j))))*Salcycl</f>
        <v>8.0063736804659377E-2</v>
      </c>
      <c r="P63" s="169">
        <f>(INDEX(Models!$BJ63:$BT63,,T63)*(1-R63)+INDEX(Models!$BJ63:$BT63,,T63+1)*R63-ERP_i)*Q63*Ramure*Pc/MaxiM</f>
        <v>1.1518702318466573E-3</v>
      </c>
      <c r="Q63" s="304">
        <f t="shared" si="4"/>
        <v>0.6</v>
      </c>
      <c r="R63" s="177">
        <f t="shared" si="5"/>
        <v>3.3870826341500003E-3</v>
      </c>
      <c r="S63" s="799">
        <f t="shared" si="6"/>
        <v>0</v>
      </c>
      <c r="T63" s="176">
        <f t="shared" si="7"/>
        <v>6</v>
      </c>
      <c r="U63" s="250">
        <f t="shared" si="8"/>
        <v>3.3870826341500003E-3</v>
      </c>
      <c r="V63" s="382">
        <f t="shared" si="9"/>
        <v>36.044508152029891</v>
      </c>
      <c r="W63" s="400">
        <f t="shared" si="10"/>
        <v>0</v>
      </c>
      <c r="X63" s="157">
        <f t="shared" si="11"/>
        <v>44610</v>
      </c>
      <c r="Y63" s="383">
        <f t="shared" si="12"/>
        <v>28.859000000000002</v>
      </c>
      <c r="Z63" s="383">
        <f t="shared" si="13"/>
        <v>29.490233404078037</v>
      </c>
      <c r="AA63" s="384">
        <f t="shared" si="14"/>
        <v>32.056822395114168</v>
      </c>
      <c r="AB63" s="197">
        <f t="shared" si="15"/>
        <v>44610</v>
      </c>
      <c r="AC63" s="119">
        <f>IF(OR(t&lt;Tnet,NoTnet),'2021'!Resal_s+('2021'!Salim-'2021'!Resal_s)*(1-EXP(('2021'!Tnet_s-t)/'2021'!Tau_j)),Resal_s+(Salim-Resal_s)*(1-EXP((Tnet_s-t)/Tau_j)))*Salcycl</f>
        <v>8.0063736804659377E-2</v>
      </c>
      <c r="AD63" s="230">
        <f>(INDEX(Models!$BJ63:$BT63,,AH63)*(1-AF63)+INDEX(Models!$BJ63:$BT63,,AH63+1)*AF63-ERP_i)*AE63*Ramure*Pc/MaxiM</f>
        <v>1.1518702318466573E-3</v>
      </c>
      <c r="AE63" s="304">
        <f t="shared" si="16"/>
        <v>0.6</v>
      </c>
      <c r="AF63" s="177">
        <f t="shared" si="23"/>
        <v>3.3870826341500003E-3</v>
      </c>
      <c r="AG63" s="799">
        <f t="shared" si="24"/>
        <v>0</v>
      </c>
      <c r="AH63" s="176">
        <f t="shared" si="17"/>
        <v>6</v>
      </c>
      <c r="AI63" s="224">
        <f t="shared" si="18"/>
        <v>3.3870826341500003E-3</v>
      </c>
      <c r="AJ63" s="264" t="b">
        <f t="shared" si="19"/>
        <v>1</v>
      </c>
      <c r="AK63" s="264" t="b">
        <f t="shared" si="20"/>
        <v>0</v>
      </c>
      <c r="AL63" s="264"/>
      <c r="AM63" s="264"/>
      <c r="AN63" s="75"/>
    </row>
    <row r="64" spans="1:40" s="6" customFormat="1" ht="11.25" x14ac:dyDescent="0.2">
      <c r="A64" s="56">
        <f t="shared" si="21"/>
        <v>44611</v>
      </c>
      <c r="B64" s="1153">
        <v>19.581</v>
      </c>
      <c r="C64" s="388"/>
      <c r="D64" s="391">
        <f t="shared" si="0"/>
        <v>20.00967903120404</v>
      </c>
      <c r="E64" s="383">
        <f t="shared" si="1"/>
        <v>21.752697844497927</v>
      </c>
      <c r="F64" s="383">
        <f t="shared" si="2"/>
        <v>21.760912874834226</v>
      </c>
      <c r="G64" s="110">
        <f t="shared" si="22"/>
        <v>0.5378217372408296</v>
      </c>
      <c r="H64" s="412" t="b">
        <f>Wh_hp&gt;='2021'!Maxi_hp</f>
        <v>0</v>
      </c>
      <c r="I64" s="379">
        <f>IF(H64,Wh_hp,'2021'!Maxi_hp)</f>
        <v>39.436937045771522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2.1423583583501715E-2</v>
      </c>
      <c r="M64" s="832"/>
      <c r="N64" s="832"/>
      <c r="O64" s="48">
        <f>IF(t&lt;Tnet,'2021'!Resal+('2021'!Salim-'2021'!Resal)*(1-EXP(('2021'!Tnet-t)/('2021'!Tau_j))),Resal+(Salim-Resal)*(1-EXP((Tnet-t)/(Tau_j))))*Salcycl</f>
        <v>8.0128856924051042E-2</v>
      </c>
      <c r="P64" s="169">
        <f>(INDEX(Models!$BJ64:$BT64,,T64)*(1-R64)+INDEX(Models!$BJ64:$BT64,,T64+1)*R64-ERP_i)*Q64*Ramure*Pc/MaxiM</f>
        <v>1.1093270714196714E-3</v>
      </c>
      <c r="Q64" s="304">
        <f t="shared" si="4"/>
        <v>0.6</v>
      </c>
      <c r="R64" s="177">
        <f t="shared" si="5"/>
        <v>3.5934693769589651E-3</v>
      </c>
      <c r="S64" s="799">
        <f t="shared" si="6"/>
        <v>0</v>
      </c>
      <c r="T64" s="176">
        <f t="shared" si="7"/>
        <v>6</v>
      </c>
      <c r="U64" s="250">
        <f t="shared" si="8"/>
        <v>3.5934693769589651E-3</v>
      </c>
      <c r="V64" s="382">
        <f t="shared" si="9"/>
        <v>36.3813203979566</v>
      </c>
      <c r="W64" s="400">
        <f t="shared" si="10"/>
        <v>0</v>
      </c>
      <c r="X64" s="157">
        <f t="shared" si="11"/>
        <v>44611</v>
      </c>
      <c r="Y64" s="383">
        <f t="shared" si="12"/>
        <v>19.581</v>
      </c>
      <c r="Z64" s="383">
        <f t="shared" si="13"/>
        <v>20.00967903120404</v>
      </c>
      <c r="AA64" s="384">
        <f t="shared" si="14"/>
        <v>21.752697844497927</v>
      </c>
      <c r="AB64" s="197">
        <f t="shared" si="15"/>
        <v>44611</v>
      </c>
      <c r="AC64" s="119">
        <f>IF(OR(t&lt;Tnet,NoTnet),'2021'!Resal_s+('2021'!Salim-'2021'!Resal_s)*(1-EXP(('2021'!Tnet_s-t)/'2021'!Tau_j)),Resal_s+(Salim-Resal_s)*(1-EXP((Tnet_s-t)/Tau_j)))*Salcycl</f>
        <v>8.0128856924051042E-2</v>
      </c>
      <c r="AD64" s="230">
        <f>(INDEX(Models!$BJ64:$BT64,,AH64)*(1-AF64)+INDEX(Models!$BJ64:$BT64,,AH64+1)*AF64-ERP_i)*AE64*Ramure*Pc/MaxiM</f>
        <v>1.1093270714196714E-3</v>
      </c>
      <c r="AE64" s="304">
        <f t="shared" si="16"/>
        <v>0.6</v>
      </c>
      <c r="AF64" s="177">
        <f t="shared" si="23"/>
        <v>3.5934693769589651E-3</v>
      </c>
      <c r="AG64" s="799">
        <f t="shared" si="24"/>
        <v>0</v>
      </c>
      <c r="AH64" s="176">
        <f t="shared" si="17"/>
        <v>6</v>
      </c>
      <c r="AI64" s="224">
        <f t="shared" si="18"/>
        <v>3.5934693769589651E-3</v>
      </c>
      <c r="AJ64" s="264" t="b">
        <f t="shared" si="19"/>
        <v>1</v>
      </c>
      <c r="AK64" s="264" t="b">
        <f t="shared" si="20"/>
        <v>0</v>
      </c>
      <c r="AL64" s="264"/>
      <c r="AM64" s="264"/>
      <c r="AN64" s="75"/>
    </row>
    <row r="65" spans="1:40" s="6" customFormat="1" ht="11.25" x14ac:dyDescent="0.2">
      <c r="A65" s="56">
        <f t="shared" si="21"/>
        <v>44612</v>
      </c>
      <c r="B65" s="1153">
        <v>19.462</v>
      </c>
      <c r="C65" s="388"/>
      <c r="D65" s="391">
        <f t="shared" si="0"/>
        <v>19.88845496932025</v>
      </c>
      <c r="E65" s="383">
        <f t="shared" si="1"/>
        <v>21.622443094268892</v>
      </c>
      <c r="F65" s="383">
        <f t="shared" si="2"/>
        <v>21.630019237107017</v>
      </c>
      <c r="G65" s="110">
        <f t="shared" si="22"/>
        <v>0.52965479399190185</v>
      </c>
      <c r="H65" s="412" t="b">
        <f>Wh_hp&gt;='2021'!Maxi_hp</f>
        <v>0</v>
      </c>
      <c r="I65" s="379">
        <f>IF(H65,Wh_hp,'2021'!Maxi_hp)</f>
        <v>41.467946828147284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2.1442337777273113E-2</v>
      </c>
      <c r="M65" s="832"/>
      <c r="N65" s="832"/>
      <c r="O65" s="48">
        <f>IF(t&lt;Tnet,'2021'!Resal+('2021'!Salim-'2021'!Resal)*(1-EXP(('2021'!Tnet-t)/('2021'!Tau_j))),Resal+(Salim-Resal)*(1-EXP((Tnet-t)/(Tau_j))))*Salcycl</f>
        <v>8.0193903963065305E-2</v>
      </c>
      <c r="P65" s="169">
        <f>(INDEX(Models!$BJ65:$BT65,,T65)*(1-R65)+INDEX(Models!$BJ65:$BT65,,T65+1)*R65-ERP_i)*Q65*Ramure*Pc/MaxiM</f>
        <v>1.0658518704109669E-3</v>
      </c>
      <c r="Q65" s="304">
        <f t="shared" si="4"/>
        <v>0.6</v>
      </c>
      <c r="R65" s="177">
        <f t="shared" si="5"/>
        <v>3.8083317828692511E-3</v>
      </c>
      <c r="S65" s="799">
        <f t="shared" si="6"/>
        <v>0</v>
      </c>
      <c r="T65" s="176">
        <f t="shared" si="7"/>
        <v>6</v>
      </c>
      <c r="U65" s="250">
        <f t="shared" si="8"/>
        <v>3.8083317828692511E-3</v>
      </c>
      <c r="V65" s="382">
        <f t="shared" si="9"/>
        <v>36.718384319299361</v>
      </c>
      <c r="W65" s="400">
        <f t="shared" si="10"/>
        <v>0</v>
      </c>
      <c r="X65" s="157">
        <f t="shared" si="11"/>
        <v>44612</v>
      </c>
      <c r="Y65" s="383">
        <f t="shared" si="12"/>
        <v>19.462</v>
      </c>
      <c r="Z65" s="383">
        <f t="shared" si="13"/>
        <v>19.88845496932025</v>
      </c>
      <c r="AA65" s="384">
        <f t="shared" si="14"/>
        <v>21.622443094268892</v>
      </c>
      <c r="AB65" s="197">
        <f t="shared" si="15"/>
        <v>44612</v>
      </c>
      <c r="AC65" s="119">
        <f>IF(OR(t&lt;Tnet,NoTnet),'2021'!Resal_s+('2021'!Salim-'2021'!Resal_s)*(1-EXP(('2021'!Tnet_s-t)/'2021'!Tau_j)),Resal_s+(Salim-Resal_s)*(1-EXP((Tnet_s-t)/Tau_j)))*Salcycl</f>
        <v>8.0193903963065305E-2</v>
      </c>
      <c r="AD65" s="230">
        <f>(INDEX(Models!$BJ65:$BT65,,AH65)*(1-AF65)+INDEX(Models!$BJ65:$BT65,,AH65+1)*AF65-ERP_i)*AE65*Ramure*Pc/MaxiM</f>
        <v>1.0658518704109669E-3</v>
      </c>
      <c r="AE65" s="304">
        <f t="shared" si="16"/>
        <v>0.6</v>
      </c>
      <c r="AF65" s="177">
        <f t="shared" si="23"/>
        <v>3.8083317828692511E-3</v>
      </c>
      <c r="AG65" s="799">
        <f t="shared" si="24"/>
        <v>0</v>
      </c>
      <c r="AH65" s="176">
        <f t="shared" si="17"/>
        <v>6</v>
      </c>
      <c r="AI65" s="224">
        <f t="shared" si="18"/>
        <v>3.8083317828692511E-3</v>
      </c>
      <c r="AJ65" s="264" t="b">
        <f t="shared" si="19"/>
        <v>1</v>
      </c>
      <c r="AK65" s="264" t="b">
        <f t="shared" si="20"/>
        <v>0</v>
      </c>
      <c r="AL65" s="264"/>
      <c r="AM65" s="264"/>
      <c r="AN65" s="75"/>
    </row>
    <row r="66" spans="1:40" s="6" customFormat="1" ht="11.25" x14ac:dyDescent="0.2">
      <c r="A66" s="56">
        <f t="shared" si="21"/>
        <v>44613</v>
      </c>
      <c r="B66" s="1153">
        <v>21.547000000000001</v>
      </c>
      <c r="C66" s="388"/>
      <c r="D66" s="391">
        <f t="shared" si="0"/>
        <v>22.01956387762575</v>
      </c>
      <c r="E66" s="383">
        <f t="shared" si="1"/>
        <v>23.941045192282694</v>
      </c>
      <c r="F66" s="383">
        <f t="shared" si="2"/>
        <v>23.950887388071926</v>
      </c>
      <c r="G66" s="110">
        <f t="shared" si="22"/>
        <v>0.58111747987730122</v>
      </c>
      <c r="H66" s="412" t="b">
        <f>Wh_hp&gt;='2021'!Maxi_hp</f>
        <v>1</v>
      </c>
      <c r="I66" s="379">
        <f>IF(H66,Wh_hp,'2021'!Maxi_hp)</f>
        <v>23.950887388071926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2.1461091611624794E-2</v>
      </c>
      <c r="M66" s="832"/>
      <c r="N66" s="832"/>
      <c r="O66" s="48">
        <f>IF(t&lt;Tnet,'2021'!Resal+('2021'!Salim-'2021'!Resal)*(1-EXP(('2021'!Tnet-t)/('2021'!Tau_j))),Resal+(Salim-Resal)*(1-EXP((Tnet-t)/(Tau_j))))*Salcycl</f>
        <v>8.0258873379359705E-2</v>
      </c>
      <c r="P66" s="169">
        <f>(INDEX(Models!$BJ66:$BT66,,T66)*(1-R66)+INDEX(Models!$BJ66:$BT66,,T66+1)*R66-ERP_i)*Q66*Ramure*Pc/MaxiM</f>
        <v>1.0219550974813602E-3</v>
      </c>
      <c r="Q66" s="304">
        <f t="shared" si="4"/>
        <v>0.6</v>
      </c>
      <c r="R66" s="177">
        <f t="shared" si="5"/>
        <v>4.0320100321558725E-3</v>
      </c>
      <c r="S66" s="799">
        <f t="shared" si="6"/>
        <v>0</v>
      </c>
      <c r="T66" s="176">
        <f t="shared" si="7"/>
        <v>6</v>
      </c>
      <c r="U66" s="250">
        <f t="shared" si="8"/>
        <v>4.0320100321558725E-3</v>
      </c>
      <c r="V66" s="382">
        <f t="shared" si="9"/>
        <v>37.055895971640894</v>
      </c>
      <c r="W66" s="400">
        <f t="shared" si="10"/>
        <v>0</v>
      </c>
      <c r="X66" s="157">
        <f t="shared" si="11"/>
        <v>44613</v>
      </c>
      <c r="Y66" s="383">
        <f t="shared" si="12"/>
        <v>21.547000000000001</v>
      </c>
      <c r="Z66" s="383">
        <f t="shared" si="13"/>
        <v>22.01956387762575</v>
      </c>
      <c r="AA66" s="384">
        <f t="shared" si="14"/>
        <v>23.941045192282694</v>
      </c>
      <c r="AB66" s="197">
        <f t="shared" si="15"/>
        <v>44613</v>
      </c>
      <c r="AC66" s="119">
        <f>IF(OR(t&lt;Tnet,NoTnet),'2021'!Resal_s+('2021'!Salim-'2021'!Resal_s)*(1-EXP(('2021'!Tnet_s-t)/'2021'!Tau_j)),Resal_s+(Salim-Resal_s)*(1-EXP((Tnet_s-t)/Tau_j)))*Salcycl</f>
        <v>8.0258873379359705E-2</v>
      </c>
      <c r="AD66" s="230">
        <f>(INDEX(Models!$BJ66:$BT66,,AH66)*(1-AF66)+INDEX(Models!$BJ66:$BT66,,AH66+1)*AF66-ERP_i)*AE66*Ramure*Pc/MaxiM</f>
        <v>1.0219550974813602E-3</v>
      </c>
      <c r="AE66" s="304">
        <f t="shared" si="16"/>
        <v>0.6</v>
      </c>
      <c r="AF66" s="177">
        <f t="shared" si="23"/>
        <v>4.0320100321558725E-3</v>
      </c>
      <c r="AG66" s="799">
        <f t="shared" si="24"/>
        <v>0</v>
      </c>
      <c r="AH66" s="176">
        <f t="shared" si="17"/>
        <v>6</v>
      </c>
      <c r="AI66" s="224">
        <f t="shared" si="18"/>
        <v>4.0320100321558725E-3</v>
      </c>
      <c r="AJ66" s="264" t="b">
        <f t="shared" si="19"/>
        <v>1</v>
      </c>
      <c r="AK66" s="264" t="b">
        <f t="shared" si="20"/>
        <v>0</v>
      </c>
      <c r="AL66" s="264"/>
      <c r="AM66" s="264"/>
      <c r="AN66" s="75"/>
    </row>
    <row r="67" spans="1:40" s="6" customFormat="1" ht="11.25" x14ac:dyDescent="0.2">
      <c r="A67" s="56">
        <f t="shared" si="21"/>
        <v>44614</v>
      </c>
      <c r="B67" s="1153">
        <v>32.926000000000002</v>
      </c>
      <c r="C67" s="388"/>
      <c r="D67" s="391">
        <f t="shared" si="0"/>
        <v>33.648770375008532</v>
      </c>
      <c r="E67" s="383">
        <f t="shared" si="1"/>
        <v>36.587626137746149</v>
      </c>
      <c r="F67" s="383">
        <f t="shared" si="2"/>
        <v>36.617348207984875</v>
      </c>
      <c r="G67" s="110">
        <f t="shared" si="22"/>
        <v>0.88037274821140632</v>
      </c>
      <c r="H67" s="412" t="b">
        <f>Wh_hp&gt;='2021'!Maxi_hp</f>
        <v>0</v>
      </c>
      <c r="I67" s="379">
        <f>IF(H67,Wh_hp,'2021'!Maxi_hp)</f>
        <v>39.949310572645629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2.1479845086563421E-2</v>
      </c>
      <c r="M67" s="832"/>
      <c r="N67" s="832"/>
      <c r="O67" s="48">
        <f>IF(t&lt;Tnet,'2021'!Resal+('2021'!Salim-'2021'!Resal)*(1-EXP(('2021'!Tnet-t)/('2021'!Tau_j))),Resal+(Salim-Resal)*(1-EXP((Tnet-t)/(Tau_j))))*Salcycl</f>
        <v>8.0323761691270298E-2</v>
      </c>
      <c r="P67" s="169">
        <f>(INDEX(Models!$BJ67:$BT67,,T67)*(1-R67)+INDEX(Models!$BJ67:$BT67,,T67+1)*R67-ERP_i)*Q67*Ramure*Pc/MaxiM</f>
        <v>9.7875286111589479E-4</v>
      </c>
      <c r="Q67" s="304">
        <f t="shared" si="4"/>
        <v>0.6</v>
      </c>
      <c r="R67" s="177">
        <f t="shared" si="5"/>
        <v>4.2648572912251615E-3</v>
      </c>
      <c r="S67" s="799">
        <f t="shared" si="6"/>
        <v>0</v>
      </c>
      <c r="T67" s="176">
        <f t="shared" si="7"/>
        <v>6</v>
      </c>
      <c r="U67" s="250">
        <f t="shared" si="8"/>
        <v>4.2648572912251615E-3</v>
      </c>
      <c r="V67" s="382">
        <f t="shared" si="9"/>
        <v>37.393814163343009</v>
      </c>
      <c r="W67" s="400">
        <f t="shared" si="10"/>
        <v>0</v>
      </c>
      <c r="X67" s="157">
        <f t="shared" si="11"/>
        <v>44614</v>
      </c>
      <c r="Y67" s="383">
        <f t="shared" si="12"/>
        <v>32.926000000000002</v>
      </c>
      <c r="Z67" s="383">
        <f t="shared" si="13"/>
        <v>33.648770375008532</v>
      </c>
      <c r="AA67" s="384">
        <f t="shared" si="14"/>
        <v>36.587626137746149</v>
      </c>
      <c r="AB67" s="197">
        <f t="shared" si="15"/>
        <v>44614</v>
      </c>
      <c r="AC67" s="119">
        <f>IF(OR(t&lt;Tnet,NoTnet),'2021'!Resal_s+('2021'!Salim-'2021'!Resal_s)*(1-EXP(('2021'!Tnet_s-t)/'2021'!Tau_j)),Resal_s+(Salim-Resal_s)*(1-EXP((Tnet_s-t)/Tau_j)))*Salcycl</f>
        <v>8.0323761691270298E-2</v>
      </c>
      <c r="AD67" s="230">
        <f>(INDEX(Models!$BJ67:$BT67,,AH67)*(1-AF67)+INDEX(Models!$BJ67:$BT67,,AH67+1)*AF67-ERP_i)*AE67*Ramure*Pc/MaxiM</f>
        <v>9.7875286111589479E-4</v>
      </c>
      <c r="AE67" s="304">
        <f t="shared" si="16"/>
        <v>0.6</v>
      </c>
      <c r="AF67" s="177">
        <f t="shared" si="23"/>
        <v>4.2648572912251615E-3</v>
      </c>
      <c r="AG67" s="799">
        <f t="shared" si="24"/>
        <v>0</v>
      </c>
      <c r="AH67" s="176">
        <f t="shared" si="17"/>
        <v>6</v>
      </c>
      <c r="AI67" s="224">
        <f t="shared" si="18"/>
        <v>4.2648572912251615E-3</v>
      </c>
      <c r="AJ67" s="264" t="b">
        <f t="shared" si="19"/>
        <v>1</v>
      </c>
      <c r="AK67" s="264" t="b">
        <f t="shared" si="20"/>
        <v>0</v>
      </c>
      <c r="AL67" s="264"/>
      <c r="AM67" s="264"/>
      <c r="AN67" s="75"/>
    </row>
    <row r="68" spans="1:40" s="6" customFormat="1" ht="11.25" x14ac:dyDescent="0.2">
      <c r="A68" s="56">
        <f t="shared" si="21"/>
        <v>44615</v>
      </c>
      <c r="B68" s="1153">
        <v>34.597999999999999</v>
      </c>
      <c r="C68" s="388"/>
      <c r="D68" s="391">
        <f t="shared" si="0"/>
        <v>35.358150674520694</v>
      </c>
      <c r="E68" s="383">
        <f t="shared" si="1"/>
        <v>38.449011603680049</v>
      </c>
      <c r="F68" s="383">
        <f t="shared" si="2"/>
        <v>38.48076316050448</v>
      </c>
      <c r="G68" s="110">
        <f t="shared" si="22"/>
        <v>0.91683519527886048</v>
      </c>
      <c r="H68" s="412" t="b">
        <f>Wh_hp&gt;='2021'!Maxi_hp</f>
        <v>0</v>
      </c>
      <c r="I68" s="379">
        <f>IF(H68,Wh_hp,'2021'!Maxi_hp)</f>
        <v>41.571938803017574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2.1498598202096098E-2</v>
      </c>
      <c r="M68" s="832"/>
      <c r="N68" s="832"/>
      <c r="O68" s="48">
        <f>IF(t&lt;Tnet,'2021'!Resal+('2021'!Salim-'2021'!Resal)*(1-EXP(('2021'!Tnet-t)/('2021'!Tau_j))),Resal+(Salim-Resal)*(1-EXP((Tnet-t)/(Tau_j))))*Salcycl</f>
        <v>8.0388566577964268E-2</v>
      </c>
      <c r="P68" s="169">
        <f>(INDEX(Models!$BJ68:$BT68,,T68)*(1-R68)+INDEX(Models!$BJ68:$BT68,,T68+1)*R68-ERP_i)*Q68*Ramure*Pc/MaxiM</f>
        <v>9.3622119430248707E-4</v>
      </c>
      <c r="Q68" s="304">
        <f t="shared" si="4"/>
        <v>0.6</v>
      </c>
      <c r="R68" s="177">
        <f t="shared" si="5"/>
        <v>4.507240151603027E-3</v>
      </c>
      <c r="S68" s="799">
        <f t="shared" si="6"/>
        <v>0</v>
      </c>
      <c r="T68" s="176">
        <f t="shared" si="7"/>
        <v>6</v>
      </c>
      <c r="U68" s="250">
        <f t="shared" si="8"/>
        <v>4.507240151603027E-3</v>
      </c>
      <c r="V68" s="382">
        <f t="shared" si="9"/>
        <v>37.732139214583221</v>
      </c>
      <c r="W68" s="400">
        <f t="shared" si="10"/>
        <v>0</v>
      </c>
      <c r="X68" s="157">
        <f t="shared" si="11"/>
        <v>44615</v>
      </c>
      <c r="Y68" s="383">
        <f t="shared" si="12"/>
        <v>34.597999999999999</v>
      </c>
      <c r="Z68" s="383">
        <f t="shared" si="13"/>
        <v>35.358150674520694</v>
      </c>
      <c r="AA68" s="384">
        <f t="shared" si="14"/>
        <v>38.449011603680049</v>
      </c>
      <c r="AB68" s="197">
        <f t="shared" si="15"/>
        <v>44615</v>
      </c>
      <c r="AC68" s="119">
        <f>IF(OR(t&lt;Tnet,NoTnet),'2021'!Resal_s+('2021'!Salim-'2021'!Resal_s)*(1-EXP(('2021'!Tnet_s-t)/'2021'!Tau_j)),Resal_s+(Salim-Resal_s)*(1-EXP((Tnet_s-t)/Tau_j)))*Salcycl</f>
        <v>8.0388566577964268E-2</v>
      </c>
      <c r="AD68" s="230">
        <f>(INDEX(Models!$BJ68:$BT68,,AH68)*(1-AF68)+INDEX(Models!$BJ68:$BT68,,AH68+1)*AF68-ERP_i)*AE68*Ramure*Pc/MaxiM</f>
        <v>9.3622119430248707E-4</v>
      </c>
      <c r="AE68" s="304">
        <f t="shared" si="16"/>
        <v>0.6</v>
      </c>
      <c r="AF68" s="177">
        <f t="shared" si="23"/>
        <v>4.507240151603027E-3</v>
      </c>
      <c r="AG68" s="799">
        <f t="shared" si="24"/>
        <v>0</v>
      </c>
      <c r="AH68" s="176">
        <f t="shared" si="17"/>
        <v>6</v>
      </c>
      <c r="AI68" s="224">
        <f t="shared" si="18"/>
        <v>4.507240151603027E-3</v>
      </c>
      <c r="AJ68" s="264" t="b">
        <f t="shared" si="19"/>
        <v>1</v>
      </c>
      <c r="AK68" s="264" t="b">
        <f t="shared" si="20"/>
        <v>0</v>
      </c>
      <c r="AL68" s="264"/>
      <c r="AM68" s="264"/>
      <c r="AN68" s="75"/>
    </row>
    <row r="69" spans="1:40" s="6" customFormat="1" ht="11.25" x14ac:dyDescent="0.2">
      <c r="A69" s="56">
        <f t="shared" si="21"/>
        <v>44616</v>
      </c>
      <c r="B69" s="1153">
        <v>21.536000000000001</v>
      </c>
      <c r="C69" s="388"/>
      <c r="D69" s="391">
        <f t="shared" si="0"/>
        <v>22.009588030089482</v>
      </c>
      <c r="E69" s="383">
        <f t="shared" si="1"/>
        <v>23.935258229139009</v>
      </c>
      <c r="F69" s="383">
        <f t="shared" si="2"/>
        <v>23.943385657937263</v>
      </c>
      <c r="G69" s="110">
        <f t="shared" si="22"/>
        <v>0.56536782504041938</v>
      </c>
      <c r="H69" s="412" t="b">
        <f>Wh_hp&gt;='2021'!Maxi_hp</f>
        <v>0</v>
      </c>
      <c r="I69" s="379">
        <f>IF(H69,Wh_hp,'2021'!Maxi_hp)</f>
        <v>41.52507944394246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2.1517350958229486E-2</v>
      </c>
      <c r="M69" s="832"/>
      <c r="N69" s="832"/>
      <c r="O69" s="48">
        <f>IF(t&lt;Tnet,'2021'!Resal+('2021'!Salim-'2021'!Resal)*(1-EXP(('2021'!Tnet-t)/('2021'!Tau_j))),Resal+(Salim-Resal)*(1-EXP((Tnet-t)/(Tau_j))))*Salcycl</f>
        <v>8.0453286971652535E-2</v>
      </c>
      <c r="P69" s="169">
        <f>(INDEX(Models!$BJ69:$BT69,,T69)*(1-R69)+INDEX(Models!$BJ69:$BT69,,T69+1)*R69-ERP_i)*Q69*Ramure*Pc/MaxiM</f>
        <v>8.9434236202707987E-4</v>
      </c>
      <c r="Q69" s="304">
        <f t="shared" si="4"/>
        <v>0.6</v>
      </c>
      <c r="R69" s="177">
        <f t="shared" si="5"/>
        <v>4.7595390788213133E-3</v>
      </c>
      <c r="S69" s="799">
        <f t="shared" si="6"/>
        <v>0</v>
      </c>
      <c r="T69" s="176">
        <f t="shared" si="7"/>
        <v>6</v>
      </c>
      <c r="U69" s="250">
        <f t="shared" si="8"/>
        <v>4.7595390788213133E-3</v>
      </c>
      <c r="V69" s="382">
        <f t="shared" si="9"/>
        <v>38.070871190254024</v>
      </c>
      <c r="W69" s="400">
        <f t="shared" si="10"/>
        <v>0</v>
      </c>
      <c r="X69" s="157">
        <f t="shared" si="11"/>
        <v>44616</v>
      </c>
      <c r="Y69" s="383">
        <f t="shared" si="12"/>
        <v>21.536000000000001</v>
      </c>
      <c r="Z69" s="383">
        <f t="shared" si="13"/>
        <v>22.009588030089482</v>
      </c>
      <c r="AA69" s="384">
        <f t="shared" si="14"/>
        <v>23.935258229139009</v>
      </c>
      <c r="AB69" s="197">
        <f t="shared" si="15"/>
        <v>44616</v>
      </c>
      <c r="AC69" s="119">
        <f>IF(OR(t&lt;Tnet,NoTnet),'2021'!Resal_s+('2021'!Salim-'2021'!Resal_s)*(1-EXP(('2021'!Tnet_s-t)/'2021'!Tau_j)),Resal_s+(Salim-Resal_s)*(1-EXP((Tnet_s-t)/Tau_j)))*Salcycl</f>
        <v>8.0453286971652535E-2</v>
      </c>
      <c r="AD69" s="230">
        <f>(INDEX(Models!$BJ69:$BT69,,AH69)*(1-AF69)+INDEX(Models!$BJ69:$BT69,,AH69+1)*AF69-ERP_i)*AE69*Ramure*Pc/MaxiM</f>
        <v>8.9434236202707987E-4</v>
      </c>
      <c r="AE69" s="304">
        <f t="shared" si="16"/>
        <v>0.6</v>
      </c>
      <c r="AF69" s="177">
        <f t="shared" si="23"/>
        <v>4.7595390788213133E-3</v>
      </c>
      <c r="AG69" s="799">
        <f t="shared" si="24"/>
        <v>0</v>
      </c>
      <c r="AH69" s="176">
        <f t="shared" si="17"/>
        <v>6</v>
      </c>
      <c r="AI69" s="224">
        <f t="shared" si="18"/>
        <v>4.7595390788213133E-3</v>
      </c>
      <c r="AJ69" s="264" t="b">
        <f t="shared" si="19"/>
        <v>1</v>
      </c>
      <c r="AK69" s="264" t="b">
        <f t="shared" si="20"/>
        <v>0</v>
      </c>
      <c r="AL69" s="264"/>
      <c r="AM69" s="264"/>
      <c r="AN69" s="75"/>
    </row>
    <row r="70" spans="1:40" s="6" customFormat="1" ht="11.25" x14ac:dyDescent="0.2">
      <c r="A70" s="56">
        <f t="shared" si="21"/>
        <v>44617</v>
      </c>
      <c r="B70" s="1153">
        <v>30.839000000000002</v>
      </c>
      <c r="C70" s="388"/>
      <c r="D70" s="391">
        <f t="shared" si="0"/>
        <v>31.517769951186949</v>
      </c>
      <c r="E70" s="383">
        <f t="shared" si="1"/>
        <v>34.277742594892395</v>
      </c>
      <c r="F70" s="383">
        <f t="shared" si="2"/>
        <v>34.298763568107987</v>
      </c>
      <c r="G70" s="110">
        <f t="shared" si="22"/>
        <v>0.80269667223338459</v>
      </c>
      <c r="H70" s="412" t="b">
        <f>Wh_hp&gt;='2021'!Maxi_hp</f>
        <v>0</v>
      </c>
      <c r="I70" s="379">
        <f>IF(H70,Wh_hp,'2021'!Maxi_hp)</f>
        <v>36.519009293012743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2.1536103354970582E-2</v>
      </c>
      <c r="M70" s="832"/>
      <c r="N70" s="832"/>
      <c r="O70" s="48">
        <f>IF(t&lt;Tnet,'2021'!Resal+('2021'!Salim-'2021'!Resal)*(1-EXP(('2021'!Tnet-t)/('2021'!Tau_j))),Resal+(Salim-Resal)*(1-EXP((Tnet-t)/(Tau_j))))*Salcycl</f>
        <v>8.0517923141085052E-2</v>
      </c>
      <c r="P70" s="169">
        <f>(INDEX(Models!$BJ70:$BT70,,T70)*(1-R70)+INDEX(Models!$BJ70:$BT70,,T70+1)*R70-ERP_i)*Q70*Ramure*Pc/MaxiM</f>
        <v>8.5309949908991616E-4</v>
      </c>
      <c r="Q70" s="304">
        <f t="shared" si="4"/>
        <v>0.6</v>
      </c>
      <c r="R70" s="177">
        <f t="shared" si="5"/>
        <v>5.0221488709573658E-3</v>
      </c>
      <c r="S70" s="799">
        <f t="shared" si="6"/>
        <v>0</v>
      </c>
      <c r="T70" s="176">
        <f t="shared" si="7"/>
        <v>6</v>
      </c>
      <c r="U70" s="250">
        <f t="shared" si="8"/>
        <v>5.0221488709573658E-3</v>
      </c>
      <c r="V70" s="382">
        <f t="shared" si="9"/>
        <v>38.410010090527834</v>
      </c>
      <c r="W70" s="400">
        <f t="shared" si="10"/>
        <v>0</v>
      </c>
      <c r="X70" s="157">
        <f t="shared" si="11"/>
        <v>44617</v>
      </c>
      <c r="Y70" s="383">
        <f t="shared" si="12"/>
        <v>30.839000000000002</v>
      </c>
      <c r="Z70" s="383">
        <f t="shared" si="13"/>
        <v>31.517769951186949</v>
      </c>
      <c r="AA70" s="384">
        <f t="shared" si="14"/>
        <v>34.277742594892395</v>
      </c>
      <c r="AB70" s="197">
        <f t="shared" si="15"/>
        <v>44617</v>
      </c>
      <c r="AC70" s="119">
        <f>IF(OR(t&lt;Tnet,NoTnet),'2021'!Resal_s+('2021'!Salim-'2021'!Resal_s)*(1-EXP(('2021'!Tnet_s-t)/'2021'!Tau_j)),Resal_s+(Salim-Resal_s)*(1-EXP((Tnet_s-t)/Tau_j)))*Salcycl</f>
        <v>8.0517923141085052E-2</v>
      </c>
      <c r="AD70" s="230">
        <f>(INDEX(Models!$BJ70:$BT70,,AH70)*(1-AF70)+INDEX(Models!$BJ70:$BT70,,AH70+1)*AF70-ERP_i)*AE70*Ramure*Pc/MaxiM</f>
        <v>8.5309949908991616E-4</v>
      </c>
      <c r="AE70" s="304">
        <f t="shared" si="16"/>
        <v>0.6</v>
      </c>
      <c r="AF70" s="177">
        <f t="shared" si="23"/>
        <v>5.0221488709573658E-3</v>
      </c>
      <c r="AG70" s="799">
        <f t="shared" si="24"/>
        <v>0</v>
      </c>
      <c r="AH70" s="176">
        <f t="shared" si="17"/>
        <v>6</v>
      </c>
      <c r="AI70" s="224">
        <f t="shared" si="18"/>
        <v>5.0221488709573658E-3</v>
      </c>
      <c r="AJ70" s="264" t="b">
        <f t="shared" si="19"/>
        <v>1</v>
      </c>
      <c r="AK70" s="264" t="b">
        <f t="shared" si="20"/>
        <v>0</v>
      </c>
      <c r="AL70" s="264"/>
      <c r="AM70" s="264"/>
      <c r="AN70" s="75"/>
    </row>
    <row r="71" spans="1:40" s="6" customFormat="1" ht="11.25" x14ac:dyDescent="0.2">
      <c r="A71" s="56">
        <f t="shared" si="21"/>
        <v>44618</v>
      </c>
      <c r="B71" s="1188">
        <f>41.141*0.95</f>
        <v>39.083949999999994</v>
      </c>
      <c r="C71" s="388"/>
      <c r="D71" s="391">
        <f t="shared" si="0"/>
        <v>39.944957788789935</v>
      </c>
      <c r="E71" s="383">
        <f t="shared" si="1"/>
        <v>43.445939172739358</v>
      </c>
      <c r="F71" s="383">
        <f t="shared" si="2"/>
        <v>43.481266681339839</v>
      </c>
      <c r="G71" s="110">
        <f t="shared" si="22"/>
        <v>1.0086296254599769</v>
      </c>
      <c r="H71" s="412" t="b">
        <f>Wh_hp&gt;='2021'!Maxi_hp</f>
        <v>1</v>
      </c>
      <c r="I71" s="379">
        <f>IF(H71,Wh_hp,'2021'!Maxi_hp)</f>
        <v>43.481266681339839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2.1554855392326266E-2</v>
      </c>
      <c r="M71" s="832"/>
      <c r="N71" s="832"/>
      <c r="O71" s="48">
        <f>IF(t&lt;Tnet,'2021'!Resal+('2021'!Salim-'2021'!Resal)*(1-EXP(('2021'!Tnet-t)/('2021'!Tau_j))),Resal+(Salim-Resal)*(1-EXP((Tnet-t)/(Tau_j))))*Salcycl</f>
        <v>8.0582476765657107E-2</v>
      </c>
      <c r="P71" s="169">
        <f>(INDEX(Models!$BJ71:$BT71,,T71)*(1-R71)+INDEX(Models!$BJ71:$BT71,,T71+1)*R71-ERP_i)*Q71*Ramure*Pc/MaxiM</f>
        <v>8.124765283262802E-4</v>
      </c>
      <c r="Q71" s="304">
        <f t="shared" si="4"/>
        <v>0.6</v>
      </c>
      <c r="R71" s="177">
        <f t="shared" si="5"/>
        <v>5.2954791265226661E-3</v>
      </c>
      <c r="S71" s="799">
        <f t="shared" si="6"/>
        <v>0</v>
      </c>
      <c r="T71" s="176">
        <f t="shared" si="7"/>
        <v>6</v>
      </c>
      <c r="U71" s="250">
        <f t="shared" si="8"/>
        <v>5.2954791265226661E-3</v>
      </c>
      <c r="V71" s="382">
        <f t="shared" si="9"/>
        <v>38.749555846305917</v>
      </c>
      <c r="W71" s="400">
        <f t="shared" si="10"/>
        <v>0</v>
      </c>
      <c r="X71" s="157">
        <f t="shared" si="11"/>
        <v>44618</v>
      </c>
      <c r="Y71" s="383">
        <f t="shared" si="12"/>
        <v>39.083949999999994</v>
      </c>
      <c r="Z71" s="383">
        <f t="shared" si="13"/>
        <v>39.944957788789935</v>
      </c>
      <c r="AA71" s="384">
        <f t="shared" si="14"/>
        <v>43.445939172739358</v>
      </c>
      <c r="AB71" s="197">
        <f t="shared" si="15"/>
        <v>44618</v>
      </c>
      <c r="AC71" s="119">
        <f>IF(OR(t&lt;Tnet,NoTnet),'2021'!Resal_s+('2021'!Salim-'2021'!Resal_s)*(1-EXP(('2021'!Tnet_s-t)/'2021'!Tau_j)),Resal_s+(Salim-Resal_s)*(1-EXP((Tnet_s-t)/Tau_j)))*Salcycl</f>
        <v>8.0582476765657107E-2</v>
      </c>
      <c r="AD71" s="230">
        <f>(INDEX(Models!$BJ71:$BT71,,AH71)*(1-AF71)+INDEX(Models!$BJ71:$BT71,,AH71+1)*AF71-ERP_i)*AE71*Ramure*Pc/MaxiM</f>
        <v>8.124765283262802E-4</v>
      </c>
      <c r="AE71" s="304">
        <f t="shared" si="16"/>
        <v>0.6</v>
      </c>
      <c r="AF71" s="177">
        <f t="shared" si="23"/>
        <v>5.2954791265226661E-3</v>
      </c>
      <c r="AG71" s="799">
        <f t="shared" si="24"/>
        <v>0</v>
      </c>
      <c r="AH71" s="176">
        <f t="shared" si="17"/>
        <v>6</v>
      </c>
      <c r="AI71" s="224">
        <f t="shared" si="18"/>
        <v>5.2954791265226661E-3</v>
      </c>
      <c r="AJ71" s="264" t="b">
        <f t="shared" si="19"/>
        <v>1</v>
      </c>
      <c r="AK71" s="264" t="b">
        <f t="shared" si="20"/>
        <v>0</v>
      </c>
      <c r="AL71" s="264"/>
      <c r="AM71" s="264"/>
      <c r="AN71" s="75"/>
    </row>
    <row r="72" spans="1:40" s="6" customFormat="1" ht="11.25" x14ac:dyDescent="0.2">
      <c r="A72" s="56">
        <f t="shared" si="21"/>
        <v>44619</v>
      </c>
      <c r="B72" s="1153">
        <v>27.937000000000001</v>
      </c>
      <c r="C72" s="388"/>
      <c r="D72" s="391">
        <f t="shared" si="0"/>
        <v>28.552991008703685</v>
      </c>
      <c r="E72" s="383">
        <f t="shared" si="1"/>
        <v>31.057699802864512</v>
      </c>
      <c r="F72" s="383">
        <f t="shared" si="2"/>
        <v>31.071933891955709</v>
      </c>
      <c r="G72" s="110">
        <f t="shared" si="22"/>
        <v>0.71446828033327237</v>
      </c>
      <c r="H72" s="412" t="b">
        <f>Wh_hp&gt;='2021'!Maxi_hp</f>
        <v>0</v>
      </c>
      <c r="I72" s="379">
        <f>IF(H72,Wh_hp,'2021'!Maxi_hp)</f>
        <v>42.979805880549684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2.1573607070303535E-2</v>
      </c>
      <c r="M72" s="832"/>
      <c r="N72" s="832"/>
      <c r="O72" s="48">
        <f>IF(t&lt;Tnet,'2021'!Resal+('2021'!Salim-'2021'!Resal)*(1-EXP(('2021'!Tnet-t)/('2021'!Tau_j))),Resal+(Salim-Resal)*(1-EXP((Tnet-t)/(Tau_j))))*Salcycl</f>
        <v>8.0646950999565453E-2</v>
      </c>
      <c r="P72" s="169">
        <f>(INDEX(Models!$BJ72:$BT72,,T72)*(1-R72)+INDEX(Models!$BJ72:$BT72,,T72+1)*R72-ERP_i)*Q72*Ramure*Pc/MaxiM</f>
        <v>7.7327161251392388E-4</v>
      </c>
      <c r="Q72" s="304">
        <f t="shared" si="4"/>
        <v>0.6</v>
      </c>
      <c r="R72" s="177">
        <f t="shared" si="5"/>
        <v>5.5799547213327971E-3</v>
      </c>
      <c r="S72" s="799">
        <f t="shared" si="6"/>
        <v>0</v>
      </c>
      <c r="T72" s="176">
        <f t="shared" si="7"/>
        <v>6</v>
      </c>
      <c r="U72" s="250">
        <f t="shared" si="8"/>
        <v>5.5799547213327971E-3</v>
      </c>
      <c r="V72" s="382">
        <f t="shared" si="9"/>
        <v>39.089476491199811</v>
      </c>
      <c r="W72" s="400">
        <f t="shared" si="10"/>
        <v>0</v>
      </c>
      <c r="X72" s="157">
        <f t="shared" si="11"/>
        <v>44619</v>
      </c>
      <c r="Y72" s="383">
        <f t="shared" si="12"/>
        <v>27.937000000000001</v>
      </c>
      <c r="Z72" s="383">
        <f t="shared" si="13"/>
        <v>28.552991008703685</v>
      </c>
      <c r="AA72" s="384">
        <f t="shared" si="14"/>
        <v>31.057699802864512</v>
      </c>
      <c r="AB72" s="197">
        <f t="shared" si="15"/>
        <v>44619</v>
      </c>
      <c r="AC72" s="119">
        <f>IF(OR(t&lt;Tnet,NoTnet),'2021'!Resal_s+('2021'!Salim-'2021'!Resal_s)*(1-EXP(('2021'!Tnet_s-t)/'2021'!Tau_j)),Resal_s+(Salim-Resal_s)*(1-EXP((Tnet_s-t)/Tau_j)))*Salcycl</f>
        <v>8.0646950999565453E-2</v>
      </c>
      <c r="AD72" s="230">
        <f>(INDEX(Models!$BJ72:$BT72,,AH72)*(1-AF72)+INDEX(Models!$BJ72:$BT72,,AH72+1)*AF72-ERP_i)*AE72*Ramure*Pc/MaxiM</f>
        <v>7.7327161251392388E-4</v>
      </c>
      <c r="AE72" s="304">
        <f t="shared" si="16"/>
        <v>0.6</v>
      </c>
      <c r="AF72" s="177">
        <f t="shared" si="23"/>
        <v>5.5799547213327971E-3</v>
      </c>
      <c r="AG72" s="799">
        <f t="shared" si="24"/>
        <v>0</v>
      </c>
      <c r="AH72" s="176">
        <f t="shared" si="17"/>
        <v>6</v>
      </c>
      <c r="AI72" s="224">
        <f t="shared" si="18"/>
        <v>5.5799547213327971E-3</v>
      </c>
      <c r="AJ72" s="264" t="b">
        <f t="shared" si="19"/>
        <v>1</v>
      </c>
      <c r="AK72" s="264" t="b">
        <f t="shared" si="20"/>
        <v>0</v>
      </c>
      <c r="AL72" s="264"/>
      <c r="AM72" s="264"/>
      <c r="AN72" s="75"/>
    </row>
    <row r="73" spans="1:40" s="6" customFormat="1" ht="11.25" x14ac:dyDescent="0.2">
      <c r="A73" s="56">
        <f t="shared" si="21"/>
        <v>44620</v>
      </c>
      <c r="B73" s="1153">
        <v>33.725999999999999</v>
      </c>
      <c r="C73" s="388"/>
      <c r="D73" s="391">
        <f t="shared" si="0"/>
        <v>34.470294962603951</v>
      </c>
      <c r="E73" s="383">
        <f t="shared" si="1"/>
        <v>37.496704633861171</v>
      </c>
      <c r="F73" s="383">
        <f t="shared" si="2"/>
        <v>37.518611340462861</v>
      </c>
      <c r="G73" s="110">
        <f t="shared" si="22"/>
        <v>0.85521381319646572</v>
      </c>
      <c r="H73" s="412" t="b">
        <f>Wh_hp&gt;='2021'!Maxi_hp</f>
        <v>1</v>
      </c>
      <c r="I73" s="379">
        <f>IF(H73,Wh_hp,'2021'!Maxi_hp)</f>
        <v>37.518611340462861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2.159235838890905E-2</v>
      </c>
      <c r="M73" s="832"/>
      <c r="N73" s="832"/>
      <c r="O73" s="48">
        <f>IF(t&lt;Tnet,'2021'!Resal+('2021'!Salim-'2021'!Resal)*(1-EXP(('2021'!Tnet-t)/('2021'!Tau_j))),Resal+(Salim-Resal)*(1-EXP((Tnet-t)/(Tau_j))))*Salcycl</f>
        <v>8.0711350525567008E-2</v>
      </c>
      <c r="P73" s="169">
        <f>(INDEX(Models!$BJ73:$BT73,,T73)*(1-R73)+INDEX(Models!$BJ73:$BT73,,T73+1)*R73-ERP_i)*Q73*Ramure*Pc/MaxiM</f>
        <v>7.3598050029479096E-4</v>
      </c>
      <c r="Q73" s="304">
        <f t="shared" si="4"/>
        <v>0.6</v>
      </c>
      <c r="R73" s="177">
        <f t="shared" si="5"/>
        <v>5.8760162939204561E-3</v>
      </c>
      <c r="S73" s="799">
        <f t="shared" si="6"/>
        <v>0</v>
      </c>
      <c r="T73" s="176">
        <f t="shared" si="7"/>
        <v>6</v>
      </c>
      <c r="U73" s="250">
        <f t="shared" si="8"/>
        <v>5.8760162939204561E-3</v>
      </c>
      <c r="V73" s="382">
        <f t="shared" si="9"/>
        <v>39.429750837608424</v>
      </c>
      <c r="W73" s="400">
        <f t="shared" si="10"/>
        <v>0</v>
      </c>
      <c r="X73" s="157">
        <f t="shared" si="11"/>
        <v>44620</v>
      </c>
      <c r="Y73" s="383">
        <f t="shared" si="12"/>
        <v>33.725999999999999</v>
      </c>
      <c r="Z73" s="383">
        <f t="shared" si="13"/>
        <v>34.470294962603951</v>
      </c>
      <c r="AA73" s="384">
        <f t="shared" si="14"/>
        <v>37.496704633861171</v>
      </c>
      <c r="AB73" s="197">
        <f t="shared" si="15"/>
        <v>44620</v>
      </c>
      <c r="AC73" s="119">
        <f>IF(OR(t&lt;Tnet,NoTnet),'2021'!Resal_s+('2021'!Salim-'2021'!Resal_s)*(1-EXP(('2021'!Tnet_s-t)/'2021'!Tau_j)),Resal_s+(Salim-Resal_s)*(1-EXP((Tnet_s-t)/Tau_j)))*Salcycl</f>
        <v>8.0711350525567008E-2</v>
      </c>
      <c r="AD73" s="230">
        <f>(INDEX(Models!$BJ73:$BT73,,AH73)*(1-AF73)+INDEX(Models!$BJ73:$BT73,,AH73+1)*AF73-ERP_i)*AE73*Ramure*Pc/MaxiM</f>
        <v>7.3598050029479096E-4</v>
      </c>
      <c r="AE73" s="304">
        <f t="shared" si="16"/>
        <v>0.6</v>
      </c>
      <c r="AF73" s="177">
        <f t="shared" si="23"/>
        <v>5.8760162939204561E-3</v>
      </c>
      <c r="AG73" s="799">
        <f t="shared" si="24"/>
        <v>0</v>
      </c>
      <c r="AH73" s="176">
        <f t="shared" si="17"/>
        <v>6</v>
      </c>
      <c r="AI73" s="224">
        <f t="shared" si="18"/>
        <v>5.8760162939204561E-3</v>
      </c>
      <c r="AJ73" s="264" t="b">
        <f t="shared" si="19"/>
        <v>1</v>
      </c>
      <c r="AK73" s="264" t="b">
        <f t="shared" si="20"/>
        <v>0</v>
      </c>
      <c r="AL73" s="264"/>
      <c r="AM73" s="264"/>
      <c r="AN73" s="75"/>
    </row>
    <row r="74" spans="1:40" s="6" customFormat="1" ht="11.25" x14ac:dyDescent="0.2">
      <c r="A74" s="56">
        <f t="shared" si="21"/>
        <v>44621</v>
      </c>
      <c r="B74" s="1153">
        <v>39.128999999999998</v>
      </c>
      <c r="C74" s="388"/>
      <c r="D74" s="391">
        <f t="shared" si="0"/>
        <v>39.993299570205018</v>
      </c>
      <c r="E74" s="383">
        <f t="shared" si="1"/>
        <v>43.507660501987786</v>
      </c>
      <c r="F74" s="383">
        <f t="shared" si="2"/>
        <v>43.537458266027507</v>
      </c>
      <c r="G74" s="110">
        <f t="shared" si="22"/>
        <v>0.98385706838615938</v>
      </c>
      <c r="H74" s="412" t="b">
        <f>Wh_hp&gt;='2021'!Maxi_hp</f>
        <v>1</v>
      </c>
      <c r="I74" s="379">
        <f>IF(H74,Wh_hp,'2021'!Maxi_hp)</f>
        <v>43.537458266027507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2.1611109348149915E-2</v>
      </c>
      <c r="M74" s="832"/>
      <c r="N74" s="832"/>
      <c r="O74" s="48">
        <f>IF(t&lt;Tnet,'2021'!Resal+('2021'!Salim-'2021'!Resal)*(1-EXP(('2021'!Tnet-t)/('2021'!Tau_j))),Resal+(Salim-Resal)*(1-EXP((Tnet-t)/(Tau_j))))*Salcycl</f>
        <v>8.0775681598007437E-2</v>
      </c>
      <c r="P74" s="169">
        <f>(INDEX(Models!$BJ74:$BT74,,T74)*(1-R74)+INDEX(Models!$BJ74:$BT74,,T74+1)*R74-ERP_i)*Q74*Ramure*Pc/MaxiM</f>
        <v>7.0055657601365948E-4</v>
      </c>
      <c r="Q74" s="304">
        <f t="shared" si="4"/>
        <v>0.6</v>
      </c>
      <c r="R74" s="177">
        <f t="shared" si="5"/>
        <v>6.1841207389792385E-3</v>
      </c>
      <c r="S74" s="799">
        <f t="shared" si="6"/>
        <v>0</v>
      </c>
      <c r="T74" s="176">
        <f t="shared" si="7"/>
        <v>6</v>
      </c>
      <c r="U74" s="250">
        <f t="shared" si="8"/>
        <v>6.1841207389792385E-3</v>
      </c>
      <c r="V74" s="382">
        <f t="shared" si="9"/>
        <v>39.770378531627294</v>
      </c>
      <c r="W74" s="400">
        <f t="shared" si="10"/>
        <v>0</v>
      </c>
      <c r="X74" s="157">
        <f t="shared" si="11"/>
        <v>44621</v>
      </c>
      <c r="Y74" s="383">
        <f t="shared" si="12"/>
        <v>39.128999999999998</v>
      </c>
      <c r="Z74" s="383">
        <f t="shared" si="13"/>
        <v>39.993299570205018</v>
      </c>
      <c r="AA74" s="384">
        <f t="shared" si="14"/>
        <v>43.507660501987786</v>
      </c>
      <c r="AB74" s="197">
        <f t="shared" si="15"/>
        <v>44621</v>
      </c>
      <c r="AC74" s="119">
        <f>IF(OR(t&lt;Tnet,NoTnet),'2021'!Resal_s+('2021'!Salim-'2021'!Resal_s)*(1-EXP(('2021'!Tnet_s-t)/'2021'!Tau_j)),Resal_s+(Salim-Resal_s)*(1-EXP((Tnet_s-t)/Tau_j)))*Salcycl</f>
        <v>8.0775681598007437E-2</v>
      </c>
      <c r="AD74" s="230">
        <f>(INDEX(Models!$BJ74:$BT74,,AH74)*(1-AF74)+INDEX(Models!$BJ74:$BT74,,AH74+1)*AF74-ERP_i)*AE74*Ramure*Pc/MaxiM</f>
        <v>7.0055657601365948E-4</v>
      </c>
      <c r="AE74" s="304">
        <f t="shared" si="16"/>
        <v>0.6</v>
      </c>
      <c r="AF74" s="177">
        <f t="shared" si="23"/>
        <v>6.1841207389792385E-3</v>
      </c>
      <c r="AG74" s="799">
        <f t="shared" si="24"/>
        <v>0</v>
      </c>
      <c r="AH74" s="176">
        <f t="shared" si="17"/>
        <v>6</v>
      </c>
      <c r="AI74" s="224">
        <f t="shared" si="18"/>
        <v>6.1841207389792385E-3</v>
      </c>
      <c r="AJ74" s="264" t="b">
        <f t="shared" si="19"/>
        <v>1</v>
      </c>
      <c r="AK74" s="264" t="b">
        <f t="shared" si="20"/>
        <v>0</v>
      </c>
      <c r="AL74" s="264"/>
      <c r="AM74" s="264"/>
      <c r="AN74" s="75"/>
    </row>
    <row r="75" spans="1:40" s="6" customFormat="1" ht="11.25" x14ac:dyDescent="0.2">
      <c r="A75" s="56">
        <f t="shared" si="21"/>
        <v>44622</v>
      </c>
      <c r="B75" s="1153">
        <v>11.401</v>
      </c>
      <c r="C75" s="388"/>
      <c r="D75" s="391">
        <f t="shared" si="0"/>
        <v>11.653053924350576</v>
      </c>
      <c r="E75" s="383">
        <f t="shared" si="1"/>
        <v>12.677937809259744</v>
      </c>
      <c r="F75" s="383">
        <f t="shared" si="2"/>
        <v>12.677937809259744</v>
      </c>
      <c r="G75" s="110">
        <f t="shared" si="22"/>
        <v>0.28404412849096522</v>
      </c>
      <c r="H75" s="412" t="b">
        <f>Wh_hp&gt;='2021'!Maxi_hp</f>
        <v>0</v>
      </c>
      <c r="I75" s="379">
        <f>IF(H75,Wh_hp,'2021'!Maxi_hp)</f>
        <v>30.966593074683484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2.1629859948032792E-2</v>
      </c>
      <c r="M75" s="832"/>
      <c r="N75" s="832"/>
      <c r="O75" s="48">
        <f>IF(t&lt;Tnet,'2021'!Resal+('2021'!Salim-'2021'!Resal)*(1-EXP(('2021'!Tnet-t)/('2021'!Tau_j))),Resal+(Salim-Resal)*(1-EXP((Tnet-t)/(Tau_j))))*Salcycl</f>
        <v>8.0839952074903701E-2</v>
      </c>
      <c r="P75" s="169">
        <f>(INDEX(Models!$BJ75:$BT75,,T75)*(1-R75)+INDEX(Models!$BJ75:$BT75,,T75+1)*R75-ERP_i)*Q75*Ramure*Pc/MaxiM</f>
        <v>6.669547592140099E-4</v>
      </c>
      <c r="Q75" s="304">
        <f t="shared" si="4"/>
        <v>0.6</v>
      </c>
      <c r="R75" s="177">
        <f t="shared" si="5"/>
        <v>6.5047417082407912E-3</v>
      </c>
      <c r="S75" s="799">
        <f t="shared" si="6"/>
        <v>0</v>
      </c>
      <c r="T75" s="176">
        <f t="shared" si="7"/>
        <v>6</v>
      </c>
      <c r="U75" s="250">
        <f t="shared" si="8"/>
        <v>6.5047417082407912E-3</v>
      </c>
      <c r="V75" s="382">
        <f t="shared" si="9"/>
        <v>40.111359137467964</v>
      </c>
      <c r="W75" s="400">
        <f t="shared" si="10"/>
        <v>0</v>
      </c>
      <c r="X75" s="157">
        <f t="shared" si="11"/>
        <v>44622</v>
      </c>
      <c r="Y75" s="383">
        <f t="shared" si="12"/>
        <v>11.401</v>
      </c>
      <c r="Z75" s="383">
        <f t="shared" si="13"/>
        <v>11.653053924350576</v>
      </c>
      <c r="AA75" s="384">
        <f t="shared" si="14"/>
        <v>12.677937809259744</v>
      </c>
      <c r="AB75" s="197">
        <f t="shared" si="15"/>
        <v>44622</v>
      </c>
      <c r="AC75" s="119">
        <f>IF(OR(t&lt;Tnet,NoTnet),'2021'!Resal_s+('2021'!Salim-'2021'!Resal_s)*(1-EXP(('2021'!Tnet_s-t)/'2021'!Tau_j)),Resal_s+(Salim-Resal_s)*(1-EXP((Tnet_s-t)/Tau_j)))*Salcycl</f>
        <v>8.0839952074903701E-2</v>
      </c>
      <c r="AD75" s="230">
        <f>(INDEX(Models!$BJ75:$BT75,,AH75)*(1-AF75)+INDEX(Models!$BJ75:$BT75,,AH75+1)*AF75-ERP_i)*AE75*Ramure*Pc/MaxiM</f>
        <v>6.669547592140099E-4</v>
      </c>
      <c r="AE75" s="304">
        <f t="shared" si="16"/>
        <v>0.6</v>
      </c>
      <c r="AF75" s="177">
        <f t="shared" si="23"/>
        <v>6.5047417082407912E-3</v>
      </c>
      <c r="AG75" s="799">
        <f t="shared" si="24"/>
        <v>0</v>
      </c>
      <c r="AH75" s="176">
        <f t="shared" si="17"/>
        <v>6</v>
      </c>
      <c r="AI75" s="224">
        <f t="shared" si="18"/>
        <v>6.5047417082407912E-3</v>
      </c>
      <c r="AJ75" s="264" t="b">
        <f t="shared" si="19"/>
        <v>1</v>
      </c>
      <c r="AK75" s="264" t="b">
        <f t="shared" si="20"/>
        <v>0</v>
      </c>
      <c r="AL75" s="264"/>
      <c r="AM75" s="264"/>
      <c r="AN75" s="75"/>
    </row>
    <row r="76" spans="1:40" s="6" customFormat="1" ht="11.25" x14ac:dyDescent="0.2">
      <c r="A76" s="56">
        <f t="shared" si="21"/>
        <v>44623</v>
      </c>
      <c r="B76" s="1153">
        <v>34.981999999999999</v>
      </c>
      <c r="C76" s="388"/>
      <c r="D76" s="391">
        <f t="shared" si="0"/>
        <v>35.756069204074358</v>
      </c>
      <c r="E76" s="383">
        <f t="shared" si="1"/>
        <v>38.903526806400251</v>
      </c>
      <c r="F76" s="383">
        <f t="shared" si="2"/>
        <v>38.923472241989082</v>
      </c>
      <c r="G76" s="110">
        <f t="shared" si="22"/>
        <v>0.86465704766781681</v>
      </c>
      <c r="H76" s="412" t="b">
        <f>Wh_hp&gt;='2021'!Maxi_hp</f>
        <v>1</v>
      </c>
      <c r="I76" s="379">
        <f>IF(H76,Wh_hp,'2021'!Maxi_hp)</f>
        <v>38.923472241989082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2.1648610188564898E-2</v>
      </c>
      <c r="M76" s="832"/>
      <c r="N76" s="832"/>
      <c r="O76" s="48">
        <f>IF(t&lt;Tnet,'2021'!Resal+('2021'!Salim-'2021'!Resal)*(1-EXP(('2021'!Tnet-t)/('2021'!Tau_j))),Resal+(Salim-Resal)*(1-EXP((Tnet-t)/(Tau_j))))*Salcycl</f>
        <v>8.0904171438978281E-2</v>
      </c>
      <c r="P76" s="169">
        <f>(INDEX(Models!$BJ76:$BT76,,T76)*(1-R76)+INDEX(Models!$BJ76:$BT76,,T76+1)*R76-ERP_i)*Q76*Ramure*Pc/MaxiM</f>
        <v>6.351314086752675E-4</v>
      </c>
      <c r="Q76" s="304">
        <f t="shared" si="4"/>
        <v>0.6</v>
      </c>
      <c r="R76" s="177">
        <f t="shared" si="5"/>
        <v>6.8383701180986739E-3</v>
      </c>
      <c r="S76" s="799">
        <f t="shared" si="6"/>
        <v>0</v>
      </c>
      <c r="T76" s="176">
        <f t="shared" si="7"/>
        <v>6</v>
      </c>
      <c r="U76" s="250">
        <f t="shared" si="8"/>
        <v>6.8383701180986739E-3</v>
      </c>
      <c r="V76" s="382">
        <f t="shared" si="9"/>
        <v>40.452692134712649</v>
      </c>
      <c r="W76" s="400">
        <f t="shared" si="10"/>
        <v>0</v>
      </c>
      <c r="X76" s="157">
        <f t="shared" si="11"/>
        <v>44623</v>
      </c>
      <c r="Y76" s="383">
        <f t="shared" si="12"/>
        <v>34.981999999999999</v>
      </c>
      <c r="Z76" s="383">
        <f t="shared" si="13"/>
        <v>35.756069204074358</v>
      </c>
      <c r="AA76" s="384">
        <f t="shared" si="14"/>
        <v>38.903526806400251</v>
      </c>
      <c r="AB76" s="197">
        <f t="shared" si="15"/>
        <v>44623</v>
      </c>
      <c r="AC76" s="119">
        <f>IF(OR(t&lt;Tnet,NoTnet),'2021'!Resal_s+('2021'!Salim-'2021'!Resal_s)*(1-EXP(('2021'!Tnet_s-t)/'2021'!Tau_j)),Resal_s+(Salim-Resal_s)*(1-EXP((Tnet_s-t)/Tau_j)))*Salcycl</f>
        <v>8.0904171438978281E-2</v>
      </c>
      <c r="AD76" s="230">
        <f>(INDEX(Models!$BJ76:$BT76,,AH76)*(1-AF76)+INDEX(Models!$BJ76:$BT76,,AH76+1)*AF76-ERP_i)*AE76*Ramure*Pc/MaxiM</f>
        <v>6.351314086752675E-4</v>
      </c>
      <c r="AE76" s="304">
        <f t="shared" si="16"/>
        <v>0.6</v>
      </c>
      <c r="AF76" s="177">
        <f t="shared" si="23"/>
        <v>6.8383701180986739E-3</v>
      </c>
      <c r="AG76" s="799">
        <f t="shared" si="24"/>
        <v>0</v>
      </c>
      <c r="AH76" s="176">
        <f t="shared" si="17"/>
        <v>6</v>
      </c>
      <c r="AI76" s="224">
        <f t="shared" si="18"/>
        <v>6.8383701180986739E-3</v>
      </c>
      <c r="AJ76" s="264" t="b">
        <f t="shared" si="19"/>
        <v>1</v>
      </c>
      <c r="AK76" s="264" t="b">
        <f t="shared" si="20"/>
        <v>0</v>
      </c>
      <c r="AL76" s="264"/>
      <c r="AM76" s="264"/>
      <c r="AN76" s="75"/>
    </row>
    <row r="77" spans="1:40" s="6" customFormat="1" ht="11.25" x14ac:dyDescent="0.2">
      <c r="A77" s="56">
        <f t="shared" si="21"/>
        <v>44624</v>
      </c>
      <c r="B77" s="1153">
        <v>3.7589999999999999</v>
      </c>
      <c r="C77" s="388"/>
      <c r="D77" s="391">
        <f t="shared" si="0"/>
        <v>3.8422514455492434</v>
      </c>
      <c r="E77" s="383">
        <f t="shared" si="1"/>
        <v>4.1807607484746159</v>
      </c>
      <c r="F77" s="383">
        <f t="shared" si="2"/>
        <v>4.1807607484746159</v>
      </c>
      <c r="G77" s="110">
        <f t="shared" si="22"/>
        <v>9.208930060136207E-2</v>
      </c>
      <c r="H77" s="412" t="b">
        <f>Wh_hp&gt;='2021'!Maxi_hp</f>
        <v>0</v>
      </c>
      <c r="I77" s="379">
        <f>IF(H77,Wh_hp,'2021'!Maxi_hp)</f>
        <v>32.038386239307918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2.1667360069752784E-2</v>
      </c>
      <c r="M77" s="832"/>
      <c r="N77" s="832"/>
      <c r="O77" s="48">
        <f>IF(t&lt;Tnet,'2021'!Resal+('2021'!Salim-'2021'!Resal)*(1-EXP(('2021'!Tnet-t)/('2021'!Tau_j))),Resal+(Salim-Resal)*(1-EXP((Tnet-t)/(Tau_j))))*Salcycl</f>
        <v>8.0968350807656311E-2</v>
      </c>
      <c r="P77" s="169">
        <f>(INDEX(Models!$BJ77:$BT77,,T77)*(1-R77)+INDEX(Models!$BJ77:$BT77,,T77+1)*R77-ERP_i)*Q77*Ramure*Pc/MaxiM</f>
        <v>6.0504423585946792E-4</v>
      </c>
      <c r="Q77" s="304">
        <f t="shared" si="4"/>
        <v>0.6</v>
      </c>
      <c r="R77" s="177">
        <f t="shared" si="5"/>
        <v>7.1855146631969596E-3</v>
      </c>
      <c r="S77" s="799">
        <f t="shared" si="6"/>
        <v>0</v>
      </c>
      <c r="T77" s="176">
        <f t="shared" si="7"/>
        <v>6</v>
      </c>
      <c r="U77" s="250">
        <f t="shared" si="8"/>
        <v>7.1855146631969596E-3</v>
      </c>
      <c r="V77" s="382">
        <f t="shared" si="9"/>
        <v>40.794376916593059</v>
      </c>
      <c r="W77" s="400">
        <f t="shared" si="10"/>
        <v>0</v>
      </c>
      <c r="X77" s="157">
        <f t="shared" si="11"/>
        <v>44624</v>
      </c>
      <c r="Y77" s="383">
        <f t="shared" si="12"/>
        <v>3.7589999999999999</v>
      </c>
      <c r="Z77" s="383">
        <f t="shared" si="13"/>
        <v>3.8422514455492434</v>
      </c>
      <c r="AA77" s="384">
        <f t="shared" si="14"/>
        <v>4.1807607484746159</v>
      </c>
      <c r="AB77" s="197">
        <f t="shared" si="15"/>
        <v>44624</v>
      </c>
      <c r="AC77" s="119">
        <f>IF(OR(t&lt;Tnet,NoTnet),'2021'!Resal_s+('2021'!Salim-'2021'!Resal_s)*(1-EXP(('2021'!Tnet_s-t)/'2021'!Tau_j)),Resal_s+(Salim-Resal_s)*(1-EXP((Tnet_s-t)/Tau_j)))*Salcycl</f>
        <v>8.0968350807656311E-2</v>
      </c>
      <c r="AD77" s="230">
        <f>(INDEX(Models!$BJ77:$BT77,,AH77)*(1-AF77)+INDEX(Models!$BJ77:$BT77,,AH77+1)*AF77-ERP_i)*AE77*Ramure*Pc/MaxiM</f>
        <v>6.0504423585946792E-4</v>
      </c>
      <c r="AE77" s="304">
        <f t="shared" si="16"/>
        <v>0.6</v>
      </c>
      <c r="AF77" s="177">
        <f t="shared" si="23"/>
        <v>7.1855146631969596E-3</v>
      </c>
      <c r="AG77" s="799">
        <f t="shared" si="24"/>
        <v>0</v>
      </c>
      <c r="AH77" s="176">
        <f t="shared" si="17"/>
        <v>6</v>
      </c>
      <c r="AI77" s="224">
        <f t="shared" si="18"/>
        <v>7.1855146631969596E-3</v>
      </c>
      <c r="AJ77" s="264" t="b">
        <f t="shared" si="19"/>
        <v>1</v>
      </c>
      <c r="AK77" s="264" t="b">
        <f t="shared" si="20"/>
        <v>0</v>
      </c>
      <c r="AL77" s="264"/>
      <c r="AM77" s="264"/>
      <c r="AN77" s="75"/>
    </row>
    <row r="78" spans="1:40" s="6" customFormat="1" ht="11.25" x14ac:dyDescent="0.2">
      <c r="A78" s="56">
        <f t="shared" si="21"/>
        <v>44625</v>
      </c>
      <c r="B78" s="1153">
        <v>12.943</v>
      </c>
      <c r="C78" s="388"/>
      <c r="D78" s="391">
        <f t="shared" si="0"/>
        <v>13.229905173478578</v>
      </c>
      <c r="E78" s="383">
        <f t="shared" si="1"/>
        <v>14.396488685063584</v>
      </c>
      <c r="F78" s="383">
        <f t="shared" si="2"/>
        <v>14.396662266295969</v>
      </c>
      <c r="G78" s="110">
        <f t="shared" si="22"/>
        <v>0.31445844399429806</v>
      </c>
      <c r="H78" s="412" t="b">
        <f>Wh_hp&gt;='2021'!Maxi_hp</f>
        <v>0</v>
      </c>
      <c r="I78" s="379">
        <f>IF(H78,Wh_hp,'2021'!Maxi_hp)</f>
        <v>38.035034481034316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2.1686109591603442E-2</v>
      </c>
      <c r="M78" s="832"/>
      <c r="N78" s="832"/>
      <c r="O78" s="48">
        <f>IF(t&lt;Tnet,'2021'!Resal+('2021'!Salim-'2021'!Resal)*(1-EXP(('2021'!Tnet-t)/('2021'!Tau_j))),Resal+(Salim-Resal)*(1-EXP((Tnet-t)/(Tau_j))))*Salcycl</f>
        <v>8.1032502932144909E-2</v>
      </c>
      <c r="P78" s="169">
        <f>(INDEX(Models!$BJ78:$BT78,,T78)*(1-R78)+INDEX(Models!$BJ78:$BT78,,T78+1)*R78-ERP_i)*Q78*Ramure*Pc/MaxiM</f>
        <v>5.7665222783232243E-4</v>
      </c>
      <c r="Q78" s="304">
        <f t="shared" si="4"/>
        <v>0.6</v>
      </c>
      <c r="R78" s="177">
        <f t="shared" si="5"/>
        <v>7.5467023350926019E-3</v>
      </c>
      <c r="S78" s="799">
        <f t="shared" si="6"/>
        <v>0</v>
      </c>
      <c r="T78" s="176">
        <f t="shared" si="7"/>
        <v>6</v>
      </c>
      <c r="U78" s="250">
        <f t="shared" si="8"/>
        <v>7.5467023350926019E-3</v>
      </c>
      <c r="V78" s="382">
        <f t="shared" si="9"/>
        <v>41.136412786865286</v>
      </c>
      <c r="W78" s="400">
        <f t="shared" si="10"/>
        <v>0</v>
      </c>
      <c r="X78" s="157">
        <f t="shared" si="11"/>
        <v>44625</v>
      </c>
      <c r="Y78" s="383">
        <f t="shared" si="12"/>
        <v>12.943</v>
      </c>
      <c r="Z78" s="383">
        <f t="shared" si="13"/>
        <v>13.229905173478578</v>
      </c>
      <c r="AA78" s="384">
        <f t="shared" si="14"/>
        <v>14.396488685063584</v>
      </c>
      <c r="AB78" s="197">
        <f t="shared" si="15"/>
        <v>44625</v>
      </c>
      <c r="AC78" s="119">
        <f>IF(OR(t&lt;Tnet,NoTnet),'2021'!Resal_s+('2021'!Salim-'2021'!Resal_s)*(1-EXP(('2021'!Tnet_s-t)/'2021'!Tau_j)),Resal_s+(Salim-Resal_s)*(1-EXP((Tnet_s-t)/Tau_j)))*Salcycl</f>
        <v>8.1032502932144909E-2</v>
      </c>
      <c r="AD78" s="230">
        <f>(INDEX(Models!$BJ78:$BT78,,AH78)*(1-AF78)+INDEX(Models!$BJ78:$BT78,,AH78+1)*AF78-ERP_i)*AE78*Ramure*Pc/MaxiM</f>
        <v>5.7665222783232243E-4</v>
      </c>
      <c r="AE78" s="304">
        <f t="shared" si="16"/>
        <v>0.6</v>
      </c>
      <c r="AF78" s="177">
        <f t="shared" si="23"/>
        <v>7.5467023350926019E-3</v>
      </c>
      <c r="AG78" s="799">
        <f t="shared" si="24"/>
        <v>0</v>
      </c>
      <c r="AH78" s="176">
        <f t="shared" si="17"/>
        <v>6</v>
      </c>
      <c r="AI78" s="224">
        <f t="shared" si="18"/>
        <v>7.5467023350926019E-3</v>
      </c>
      <c r="AJ78" s="264" t="b">
        <f t="shared" si="19"/>
        <v>1</v>
      </c>
      <c r="AK78" s="264" t="b">
        <f t="shared" si="20"/>
        <v>0</v>
      </c>
      <c r="AL78" s="264"/>
      <c r="AM78" s="264"/>
      <c r="AN78" s="75"/>
    </row>
    <row r="79" spans="1:40" s="6" customFormat="1" ht="11.25" x14ac:dyDescent="0.2">
      <c r="A79" s="56">
        <f t="shared" si="21"/>
        <v>44626</v>
      </c>
      <c r="B79" s="1153">
        <v>15.604000000000001</v>
      </c>
      <c r="C79" s="388"/>
      <c r="D79" s="391">
        <f t="shared" ref="D79:D142" si="25">Wh/(1-Ppv)</f>
        <v>15.950196767948812</v>
      </c>
      <c r="E79" s="383">
        <f t="shared" si="1"/>
        <v>17.357861011510455</v>
      </c>
      <c r="F79" s="383">
        <f t="shared" ref="F79:F142" si="26">Wh_sa/(1-Pvg*MEDIAN((-Sdif+Wh/Env_an)/Csdif,0,1))</f>
        <v>17.358899888574093</v>
      </c>
      <c r="G79" s="110">
        <f t="shared" si="22"/>
        <v>0.3759981288301833</v>
      </c>
      <c r="H79" s="412" t="b">
        <f>Wh_hp&gt;='2021'!Maxi_hp</f>
        <v>1</v>
      </c>
      <c r="I79" s="379">
        <f>IF(H79,Wh_hp,'2021'!Maxi_hp)</f>
        <v>17.358899888574093</v>
      </c>
      <c r="J79" s="85">
        <f>IF(H79,An,'2021'!An_max)</f>
        <v>2022</v>
      </c>
      <c r="K79" s="197">
        <f t="shared" ref="K79:K142" si="27">t</f>
        <v>44626</v>
      </c>
      <c r="L79" s="147">
        <f>IF(t&lt;Tvie,1-EXP((T0-t)*PertePVj)+'2021'!Pspv,1-EXP((T0-t)*PertePVj)+Pspv)</f>
        <v>2.1704858754123868E-2</v>
      </c>
      <c r="M79" s="832"/>
      <c r="N79" s="832"/>
      <c r="O79" s="48">
        <f>IF(t&lt;Tnet,'2021'!Resal+('2021'!Salim-'2021'!Resal)*(1-EXP(('2021'!Tnet-t)/('2021'!Tau_j))),Resal+(Salim-Resal)*(1-EXP((Tnet-t)/(Tau_j))))*Salcycl</f>
        <v>8.1096642185819037E-2</v>
      </c>
      <c r="P79" s="169">
        <f>(INDEX(Models!$BJ79:$BT79,,T79)*(1-R79)+INDEX(Models!$BJ79:$BT79,,T79+1)*R79-ERP_i)*Q79*Ramure*Pc/MaxiM</f>
        <v>5.4990141530615177E-4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7.9224789449907265E-3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7.9224789449907265E-3</v>
      </c>
      <c r="V79" s="382">
        <f t="shared" ref="V79:V142" si="33">MaxiM*(1-Ppv)*(1-Pvg)*(1-Psa)</f>
        <v>41.479867947339912</v>
      </c>
      <c r="W79" s="400">
        <f t="shared" ref="W79:W142" si="34">Wh*(A79&gt;Tmaj)</f>
        <v>0</v>
      </c>
      <c r="X79" s="157">
        <f t="shared" ref="X79:X142" si="35">t</f>
        <v>44626</v>
      </c>
      <c r="Y79" s="383">
        <f t="shared" ref="Y79:Y142" si="36">Wh_pvt_s*(1-Ppv)</f>
        <v>15.604000000000001</v>
      </c>
      <c r="Z79" s="383">
        <f t="shared" ref="Z79:Z142" si="37">Wh_sa_s*(1-Psa_s)</f>
        <v>15.950196767948812</v>
      </c>
      <c r="AA79" s="384">
        <f t="shared" ref="AA79:AA142" si="38">Wh_hp*(1-Pvg_s*MEDIAN((-Sdif+Wh/Env_an)/Csdif,0,1))</f>
        <v>17.357861011510455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8.1096642185819037E-2</v>
      </c>
      <c r="AD79" s="230">
        <f>(INDEX(Models!$BJ79:$BT79,,AH79)*(1-AF79)+INDEX(Models!$BJ79:$BT79,,AH79+1)*AF79-ERP_i)*AE79*Ramure*Pc/MaxiM</f>
        <v>5.4990141530615177E-4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7.9224789449907265E-3</v>
      </c>
      <c r="AG79" s="799">
        <f t="shared" si="24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7.9224789449907265E-3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44627</v>
      </c>
      <c r="B80" s="1153">
        <v>38.436999999999998</v>
      </c>
      <c r="C80" s="388"/>
      <c r="D80" s="391">
        <f t="shared" si="25"/>
        <v>39.29053210006002</v>
      </c>
      <c r="E80" s="383">
        <f t="shared" ref="E80:E143" si="47">Wh_pvt/(1-Psa)</f>
        <v>42.761052683722873</v>
      </c>
      <c r="F80" s="383">
        <f t="shared" si="26"/>
        <v>42.780921418940942</v>
      </c>
      <c r="G80" s="110">
        <f t="shared" ref="G80:G143" si="48">+Wh_hp/MaxiM</f>
        <v>0.91892978653008806</v>
      </c>
      <c r="H80" s="412" t="b">
        <f>Wh_hp&gt;='2021'!Maxi_hp</f>
        <v>1</v>
      </c>
      <c r="I80" s="379">
        <f>IF(H80,Wh_hp,'2021'!Maxi_hp)</f>
        <v>42.780921418940942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2.1723607557320834E-2</v>
      </c>
      <c r="M80" s="832"/>
      <c r="N80" s="832"/>
      <c r="O80" s="48">
        <f>IF(t&lt;Tnet,'2021'!Resal+('2021'!Salim-'2021'!Resal)*(1-EXP(('2021'!Tnet-t)/('2021'!Tau_j))),Resal+(Salim-Resal)*(1-EXP((Tnet-t)/(Tau_j))))*Salcycl</f>
        <v>8.1160784542236492E-2</v>
      </c>
      <c r="P80" s="169">
        <f>(INDEX(Models!$BJ80:$BT80,,T80)*(1-R80)+INDEX(Models!$BJ80:$BT80,,T80+1)*R80-ERP_i)*Q80*Ramure*Pc/MaxiM</f>
        <v>5.2521549533087288E-4</v>
      </c>
      <c r="Q80" s="304">
        <f t="shared" si="28"/>
        <v>0.6</v>
      </c>
      <c r="R80" s="177">
        <f t="shared" si="29"/>
        <v>8.3134096494262948E-3</v>
      </c>
      <c r="S80" s="799">
        <f t="shared" si="30"/>
        <v>0</v>
      </c>
      <c r="T80" s="176">
        <f t="shared" si="31"/>
        <v>6</v>
      </c>
      <c r="U80" s="250">
        <f t="shared" si="32"/>
        <v>8.3134096494262948E-3</v>
      </c>
      <c r="V80" s="382">
        <f t="shared" si="33"/>
        <v>41.825461595000903</v>
      </c>
      <c r="W80" s="400">
        <f t="shared" si="34"/>
        <v>0</v>
      </c>
      <c r="X80" s="157">
        <f t="shared" si="35"/>
        <v>44627</v>
      </c>
      <c r="Y80" s="383">
        <f t="shared" si="36"/>
        <v>38.436999999999998</v>
      </c>
      <c r="Z80" s="383">
        <f t="shared" si="37"/>
        <v>39.29053210006002</v>
      </c>
      <c r="AA80" s="384">
        <f t="shared" si="38"/>
        <v>42.761052683722873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8.1160784542236492E-2</v>
      </c>
      <c r="AD80" s="230">
        <f>(INDEX(Models!$BJ80:$BT80,,AH80)*(1-AF80)+INDEX(Models!$BJ80:$BT80,,AH80+1)*AF80-ERP_i)*AE80*Ramure*Pc/MaxiM</f>
        <v>5.2521549533087288E-4</v>
      </c>
      <c r="AE80" s="304">
        <f t="shared" si="40"/>
        <v>0.6</v>
      </c>
      <c r="AF80" s="177">
        <f t="shared" si="41"/>
        <v>8.3134096494262948E-3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8.3134096494262948E-3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44628</v>
      </c>
      <c r="B81" s="1153">
        <v>31.324999999999999</v>
      </c>
      <c r="C81" s="388"/>
      <c r="D81" s="391">
        <f t="shared" si="25"/>
        <v>32.021216692929279</v>
      </c>
      <c r="E81" s="383">
        <f t="shared" si="47"/>
        <v>34.852074626215156</v>
      </c>
      <c r="F81" s="383">
        <f t="shared" si="26"/>
        <v>34.863147641201927</v>
      </c>
      <c r="G81" s="110">
        <f t="shared" si="48"/>
        <v>0.74264170044185662</v>
      </c>
      <c r="H81" s="412" t="b">
        <f>Wh_hp&gt;='2021'!Maxi_hp</f>
        <v>1</v>
      </c>
      <c r="I81" s="379">
        <f>IF(H81,Wh_hp,'2021'!Maxi_hp)</f>
        <v>34.863147641201927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2.1742356001201335E-2</v>
      </c>
      <c r="M81" s="832"/>
      <c r="N81" s="832"/>
      <c r="O81" s="48">
        <f>IF(t&lt;Tnet,'2021'!Resal+('2021'!Salim-'2021'!Resal)*(1-EXP(('2021'!Tnet-t)/('2021'!Tau_j))),Resal+(Salim-Resal)*(1-EXP((Tnet-t)/(Tau_j))))*Salcycl</f>
        <v>8.1224947543195994E-2</v>
      </c>
      <c r="P81" s="169">
        <f>(INDEX(Models!$BJ81:$BT81,,T81)*(1-R81)+INDEX(Models!$BJ81:$BT81,,T81+1)*R81-ERP_i)*Q81*Ramure*Pc/MaxiM</f>
        <v>5.0212346800295989E-4</v>
      </c>
      <c r="Q81" s="304">
        <f t="shared" si="28"/>
        <v>0.6</v>
      </c>
      <c r="R81" s="177">
        <f t="shared" si="29"/>
        <v>8.7200794776363753E-3</v>
      </c>
      <c r="S81" s="799">
        <f t="shared" si="30"/>
        <v>0</v>
      </c>
      <c r="T81" s="176">
        <f t="shared" si="31"/>
        <v>6</v>
      </c>
      <c r="U81" s="250">
        <f t="shared" si="32"/>
        <v>8.7200794776363753E-3</v>
      </c>
      <c r="V81" s="382">
        <f t="shared" si="33"/>
        <v>42.172717177163044</v>
      </c>
      <c r="W81" s="400">
        <f t="shared" si="34"/>
        <v>0</v>
      </c>
      <c r="X81" s="157">
        <f t="shared" si="35"/>
        <v>44628</v>
      </c>
      <c r="Y81" s="383">
        <f t="shared" si="36"/>
        <v>31.324999999999999</v>
      </c>
      <c r="Z81" s="383">
        <f t="shared" si="37"/>
        <v>32.021216692929279</v>
      </c>
      <c r="AA81" s="384">
        <f t="shared" si="38"/>
        <v>34.852074626215156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8.1224947543195994E-2</v>
      </c>
      <c r="AD81" s="230">
        <f>(INDEX(Models!$BJ81:$BT81,,AH81)*(1-AF81)+INDEX(Models!$BJ81:$BT81,,AH81+1)*AF81-ERP_i)*AE81*Ramure*Pc/MaxiM</f>
        <v>5.0212346800295989E-4</v>
      </c>
      <c r="AE81" s="304">
        <f t="shared" si="40"/>
        <v>0.6</v>
      </c>
      <c r="AF81" s="177">
        <f t="shared" si="41"/>
        <v>8.7200794776363753E-3</v>
      </c>
      <c r="AG81" s="799">
        <f t="shared" si="49"/>
        <v>0</v>
      </c>
      <c r="AH81" s="176">
        <f t="shared" si="42"/>
        <v>6</v>
      </c>
      <c r="AI81" s="224">
        <f t="shared" si="43"/>
        <v>8.7200794776363753E-3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44629</v>
      </c>
      <c r="B82" s="1153">
        <v>30.54</v>
      </c>
      <c r="C82" s="388"/>
      <c r="D82" s="391">
        <f t="shared" si="25"/>
        <v>31.219367914683442</v>
      </c>
      <c r="E82" s="383">
        <f t="shared" si="47"/>
        <v>33.981712443505124</v>
      </c>
      <c r="F82" s="383">
        <f t="shared" si="26"/>
        <v>33.991472888421292</v>
      </c>
      <c r="G82" s="110">
        <f t="shared" si="48"/>
        <v>0.71809199529253953</v>
      </c>
      <c r="H82" s="412" t="b">
        <f>Wh_hp&gt;='2021'!Maxi_hp</f>
        <v>0</v>
      </c>
      <c r="I82" s="379">
        <f>IF(H82,Wh_hp,'2021'!Maxi_hp)</f>
        <v>45.223150143497143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2.1761104085772143E-2</v>
      </c>
      <c r="M82" s="832"/>
      <c r="N82" s="832"/>
      <c r="O82" s="48">
        <f>IF(t&lt;Tnet,'2021'!Resal+('2021'!Salim-'2021'!Resal)*(1-EXP(('2021'!Tnet-t)/('2021'!Tau_j))),Resal+(Salim-Resal)*(1-EXP((Tnet-t)/(Tau_j))))*Salcycl</f>
        <v>8.1289150257336351E-2</v>
      </c>
      <c r="P82" s="169">
        <f>(INDEX(Models!$BJ82:$BT82,,T82)*(1-R82)+INDEX(Models!$BJ82:$BT82,,T82+1)*R82-ERP_i)*Q82*Ramure*Pc/MaxiM</f>
        <v>4.8059746124638465E-4</v>
      </c>
      <c r="Q82" s="304">
        <f t="shared" si="28"/>
        <v>0.6</v>
      </c>
      <c r="R82" s="177">
        <f t="shared" si="29"/>
        <v>9.1430938592232999E-3</v>
      </c>
      <c r="S82" s="799">
        <f t="shared" si="30"/>
        <v>0</v>
      </c>
      <c r="T82" s="176">
        <f t="shared" si="31"/>
        <v>6</v>
      </c>
      <c r="U82" s="250">
        <f t="shared" si="32"/>
        <v>9.1430938592232999E-3</v>
      </c>
      <c r="V82" s="382">
        <f t="shared" si="33"/>
        <v>42.521139954480347</v>
      </c>
      <c r="W82" s="400">
        <f t="shared" si="34"/>
        <v>0</v>
      </c>
      <c r="X82" s="157">
        <f t="shared" si="35"/>
        <v>44629</v>
      </c>
      <c r="Y82" s="383">
        <f t="shared" si="36"/>
        <v>30.54</v>
      </c>
      <c r="Z82" s="383">
        <f t="shared" si="37"/>
        <v>31.219367914683442</v>
      </c>
      <c r="AA82" s="384">
        <f t="shared" si="38"/>
        <v>33.981712443505124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8.1289150257336351E-2</v>
      </c>
      <c r="AD82" s="230">
        <f>(INDEX(Models!$BJ82:$BT82,,AH82)*(1-AF82)+INDEX(Models!$BJ82:$BT82,,AH82+1)*AF82-ERP_i)*AE82*Ramure*Pc/MaxiM</f>
        <v>4.8059746124638465E-4</v>
      </c>
      <c r="AE82" s="304">
        <f t="shared" si="40"/>
        <v>0.6</v>
      </c>
      <c r="AF82" s="177">
        <f t="shared" si="41"/>
        <v>9.1430938592232999E-3</v>
      </c>
      <c r="AG82" s="799">
        <f t="shared" si="49"/>
        <v>0</v>
      </c>
      <c r="AH82" s="176">
        <f t="shared" si="42"/>
        <v>6</v>
      </c>
      <c r="AI82" s="224">
        <f t="shared" si="43"/>
        <v>9.1430938592232999E-3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44630</v>
      </c>
      <c r="B83" s="1153">
        <v>24.311</v>
      </c>
      <c r="C83" s="388"/>
      <c r="D83" s="391">
        <f t="shared" si="25"/>
        <v>24.852278952757693</v>
      </c>
      <c r="E83" s="383">
        <f t="shared" si="47"/>
        <v>27.053144604972953</v>
      </c>
      <c r="F83" s="383">
        <f t="shared" si="26"/>
        <v>27.05789988058347</v>
      </c>
      <c r="G83" s="110">
        <f t="shared" si="48"/>
        <v>0.56692185814483353</v>
      </c>
      <c r="H83" s="412" t="b">
        <f>Wh_hp&gt;='2021'!Maxi_hp</f>
        <v>0</v>
      </c>
      <c r="I83" s="379">
        <f>IF(H83,Wh_hp,'2021'!Maxi_hp)</f>
        <v>44.941946667610743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2.1779851811040141E-2</v>
      </c>
      <c r="M83" s="832"/>
      <c r="N83" s="832"/>
      <c r="O83" s="48">
        <f>IF(t&lt;Tnet,'2021'!Resal+('2021'!Salim-'2021'!Resal)*(1-EXP(('2021'!Tnet-t)/('2021'!Tau_j))),Resal+(Salim-Resal)*(1-EXP((Tnet-t)/(Tau_j))))*Salcycl</f>
        <v>8.1353413229850374E-2</v>
      </c>
      <c r="P83" s="169">
        <f>(INDEX(Models!$BJ83:$BT83,,T83)*(1-R83)+INDEX(Models!$BJ83:$BT83,,T83+1)*R83-ERP_i)*Q83*Ramure*Pc/MaxiM</f>
        <v>4.6060930267334402E-4</v>
      </c>
      <c r="Q83" s="304">
        <f t="shared" si="28"/>
        <v>0.6</v>
      </c>
      <c r="R83" s="177">
        <f t="shared" si="29"/>
        <v>9.5830791505600588E-3</v>
      </c>
      <c r="S83" s="799">
        <f t="shared" si="30"/>
        <v>0</v>
      </c>
      <c r="T83" s="176">
        <f t="shared" si="31"/>
        <v>6</v>
      </c>
      <c r="U83" s="250">
        <f t="shared" si="32"/>
        <v>9.5830791505600588E-3</v>
      </c>
      <c r="V83" s="382">
        <f t="shared" si="33"/>
        <v>42.870235260786515</v>
      </c>
      <c r="W83" s="400">
        <f t="shared" si="34"/>
        <v>0</v>
      </c>
      <c r="X83" s="157">
        <f t="shared" si="35"/>
        <v>44630</v>
      </c>
      <c r="Y83" s="383">
        <f t="shared" si="36"/>
        <v>24.311</v>
      </c>
      <c r="Z83" s="383">
        <f t="shared" si="37"/>
        <v>24.852278952757693</v>
      </c>
      <c r="AA83" s="384">
        <f t="shared" si="38"/>
        <v>27.053144604972953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8.1353413229850374E-2</v>
      </c>
      <c r="AD83" s="230">
        <f>(INDEX(Models!$BJ83:$BT83,,AH83)*(1-AF83)+INDEX(Models!$BJ83:$BT83,,AH83+1)*AF83-ERP_i)*AE83*Ramure*Pc/MaxiM</f>
        <v>4.6060930267334402E-4</v>
      </c>
      <c r="AE83" s="304">
        <f t="shared" si="40"/>
        <v>0.6</v>
      </c>
      <c r="AF83" s="177">
        <f t="shared" si="41"/>
        <v>9.5830791505600588E-3</v>
      </c>
      <c r="AG83" s="799">
        <f t="shared" si="49"/>
        <v>0</v>
      </c>
      <c r="AH83" s="176">
        <f t="shared" si="42"/>
        <v>6</v>
      </c>
      <c r="AI83" s="224">
        <f t="shared" si="43"/>
        <v>9.5830791505600588E-3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44631</v>
      </c>
      <c r="B84" s="1153">
        <v>15.077</v>
      </c>
      <c r="C84" s="388"/>
      <c r="D84" s="391">
        <f t="shared" si="25"/>
        <v>15.412981403742936</v>
      </c>
      <c r="E84" s="383">
        <f t="shared" si="47"/>
        <v>16.779097946960391</v>
      </c>
      <c r="F84" s="383">
        <f t="shared" si="26"/>
        <v>16.779615641307064</v>
      </c>
      <c r="G84" s="110">
        <f t="shared" si="48"/>
        <v>0.34870361764780178</v>
      </c>
      <c r="H84" s="412" t="b">
        <f>Wh_hp&gt;='2021'!Maxi_hp</f>
        <v>0</v>
      </c>
      <c r="I84" s="379">
        <f>IF(H84,Wh_hp,'2021'!Maxi_hp)</f>
        <v>33.644561072825525</v>
      </c>
      <c r="J84" s="85">
        <f>IF(H84,An,'2021'!An_max)</f>
        <v>2020</v>
      </c>
      <c r="K84" s="197">
        <f t="shared" si="27"/>
        <v>44631</v>
      </c>
      <c r="L84" s="147">
        <f>IF(t&lt;Tvie,1-EXP((T0-t)*PertePVj)+'2021'!Pspv,1-EXP((T0-t)*PertePVj)+Pspv)</f>
        <v>2.1798599177012323E-2</v>
      </c>
      <c r="M84" s="832"/>
      <c r="N84" s="832"/>
      <c r="O84" s="48">
        <f>IF(t&lt;Tnet,'2021'!Resal+('2021'!Salim-'2021'!Resal)*(1-EXP(('2021'!Tnet-t)/('2021'!Tau_j))),Resal+(Salim-Resal)*(1-EXP((Tnet-t)/(Tau_j))))*Salcycl</f>
        <v>8.141775842395238E-2</v>
      </c>
      <c r="P84" s="169">
        <f>(INDEX(Models!$BJ84:$BT84,,T84)*(1-R84)+INDEX(Models!$BJ84:$BT84,,T84+1)*R84-ERP_i)*Q84*Ramure*Pc/MaxiM</f>
        <v>4.4213073962576043E-4</v>
      </c>
      <c r="Q84" s="304">
        <f t="shared" si="28"/>
        <v>0.6</v>
      </c>
      <c r="R84" s="177">
        <f t="shared" si="29"/>
        <v>1.0040683158224907E-2</v>
      </c>
      <c r="S84" s="799">
        <f t="shared" si="30"/>
        <v>0</v>
      </c>
      <c r="T84" s="176">
        <f t="shared" si="31"/>
        <v>6</v>
      </c>
      <c r="U84" s="250">
        <f t="shared" si="32"/>
        <v>1.0040683158224907E-2</v>
      </c>
      <c r="V84" s="382">
        <f t="shared" si="33"/>
        <v>43.219508502527013</v>
      </c>
      <c r="W84" s="400">
        <f t="shared" si="34"/>
        <v>0</v>
      </c>
      <c r="X84" s="157">
        <f t="shared" si="35"/>
        <v>44631</v>
      </c>
      <c r="Y84" s="383">
        <f t="shared" si="36"/>
        <v>15.076999999999998</v>
      </c>
      <c r="Z84" s="383">
        <f t="shared" si="37"/>
        <v>15.412981403742934</v>
      </c>
      <c r="AA84" s="384">
        <f t="shared" si="38"/>
        <v>16.779097946960391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8.141775842395238E-2</v>
      </c>
      <c r="AD84" s="230">
        <f>(INDEX(Models!$BJ84:$BT84,,AH84)*(1-AF84)+INDEX(Models!$BJ84:$BT84,,AH84+1)*AF84-ERP_i)*AE84*Ramure*Pc/MaxiM</f>
        <v>4.4213073962576043E-4</v>
      </c>
      <c r="AE84" s="304">
        <f t="shared" si="40"/>
        <v>0.6</v>
      </c>
      <c r="AF84" s="177">
        <f t="shared" si="41"/>
        <v>1.0040683158224907E-2</v>
      </c>
      <c r="AG84" s="799">
        <f t="shared" si="49"/>
        <v>0</v>
      </c>
      <c r="AH84" s="176">
        <f t="shared" si="42"/>
        <v>6</v>
      </c>
      <c r="AI84" s="224">
        <f t="shared" si="43"/>
        <v>1.0040683158224907E-2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44632</v>
      </c>
      <c r="B85" s="1153">
        <v>15.692</v>
      </c>
      <c r="C85" s="388"/>
      <c r="D85" s="391">
        <f t="shared" si="25"/>
        <v>16.041993730699339</v>
      </c>
      <c r="E85" s="383">
        <f t="shared" si="47"/>
        <v>17.465087655991685</v>
      </c>
      <c r="F85" s="383">
        <f t="shared" si="26"/>
        <v>17.465725897625184</v>
      </c>
      <c r="G85" s="110">
        <f t="shared" si="48"/>
        <v>0.36002879487308392</v>
      </c>
      <c r="H85" s="412" t="b">
        <f>Wh_hp&gt;='2021'!Maxi_hp</f>
        <v>0</v>
      </c>
      <c r="I85" s="379">
        <f>IF(H85,Wh_hp,'2021'!Maxi_hp)</f>
        <v>43.401527185164618</v>
      </c>
      <c r="J85" s="85">
        <f>IF(H85,An,'2021'!An_max)</f>
        <v>2020</v>
      </c>
      <c r="K85" s="197">
        <f t="shared" si="27"/>
        <v>44632</v>
      </c>
      <c r="L85" s="147">
        <f>IF(t&lt;Tvie,1-EXP((T0-t)*PertePVj)+'2021'!Pspv,1-EXP((T0-t)*PertePVj)+Pspv)</f>
        <v>2.1817346183695463E-2</v>
      </c>
      <c r="M85" s="832"/>
      <c r="N85" s="832"/>
      <c r="O85" s="48">
        <f>IF(t&lt;Tnet,'2021'!Resal+('2021'!Salim-'2021'!Resal)*(1-EXP(('2021'!Tnet-t)/('2021'!Tau_j))),Resal+(Salim-Resal)*(1-EXP((Tnet-t)/(Tau_j))))*Salcycl</f>
        <v>8.1482209154795052E-2</v>
      </c>
      <c r="P85" s="169">
        <f>(INDEX(Models!$BJ85:$BT85,,T85)*(1-R85)+INDEX(Models!$BJ85:$BT85,,T85+1)*R85-ERP_i)*Q85*Ramure*Pc/MaxiM</f>
        <v>4.2513364933041708E-4</v>
      </c>
      <c r="Q85" s="304">
        <f t="shared" si="28"/>
        <v>0.6</v>
      </c>
      <c r="R85" s="177">
        <f t="shared" si="29"/>
        <v>1.051657565758015E-2</v>
      </c>
      <c r="S85" s="799">
        <f t="shared" si="30"/>
        <v>0</v>
      </c>
      <c r="T85" s="176">
        <f t="shared" si="31"/>
        <v>6</v>
      </c>
      <c r="U85" s="250">
        <f t="shared" si="32"/>
        <v>1.051657565758015E-2</v>
      </c>
      <c r="V85" s="382">
        <f t="shared" si="33"/>
        <v>43.568465157593877</v>
      </c>
      <c r="W85" s="400">
        <f t="shared" si="34"/>
        <v>0</v>
      </c>
      <c r="X85" s="157">
        <f t="shared" si="35"/>
        <v>44632</v>
      </c>
      <c r="Y85" s="383">
        <f t="shared" si="36"/>
        <v>15.691999999999998</v>
      </c>
      <c r="Z85" s="383">
        <f t="shared" si="37"/>
        <v>16.041993730699339</v>
      </c>
      <c r="AA85" s="384">
        <f t="shared" si="38"/>
        <v>17.465087655991685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8.1482209154795052E-2</v>
      </c>
      <c r="AD85" s="230">
        <f>(INDEX(Models!$BJ85:$BT85,,AH85)*(1-AF85)+INDEX(Models!$BJ85:$BT85,,AH85+1)*AF85-ERP_i)*AE85*Ramure*Pc/MaxiM</f>
        <v>4.2513364933041708E-4</v>
      </c>
      <c r="AE85" s="304">
        <f t="shared" si="40"/>
        <v>0.6</v>
      </c>
      <c r="AF85" s="177">
        <f t="shared" si="41"/>
        <v>1.051657565758015E-2</v>
      </c>
      <c r="AG85" s="799">
        <f t="shared" si="49"/>
        <v>0</v>
      </c>
      <c r="AH85" s="176">
        <f t="shared" si="42"/>
        <v>6</v>
      </c>
      <c r="AI85" s="224">
        <f t="shared" si="43"/>
        <v>1.051657565758015E-2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44633</v>
      </c>
      <c r="B86" s="1153">
        <v>8.7989999999999995</v>
      </c>
      <c r="C86" s="388"/>
      <c r="D86" s="391">
        <f t="shared" si="25"/>
        <v>8.995424933912064</v>
      </c>
      <c r="E86" s="383">
        <f t="shared" si="47"/>
        <v>9.7941025586642745</v>
      </c>
      <c r="F86" s="383">
        <f t="shared" si="26"/>
        <v>9.7941025586642745</v>
      </c>
      <c r="G86" s="110">
        <f t="shared" si="48"/>
        <v>0.20027492696438573</v>
      </c>
      <c r="H86" s="412" t="b">
        <f>Wh_hp&gt;='2021'!Maxi_hp</f>
        <v>0</v>
      </c>
      <c r="I86" s="379">
        <f>IF(H86,Wh_hp,'2021'!Maxi_hp)</f>
        <v>43.4645843753053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2.1836092831096554E-2</v>
      </c>
      <c r="M86" s="832"/>
      <c r="N86" s="832"/>
      <c r="O86" s="48">
        <f>IF(t&lt;Tnet,'2021'!Resal+('2021'!Salim-'2021'!Resal)*(1-EXP(('2021'!Tnet-t)/('2021'!Tau_j))),Resal+(Salim-Resal)*(1-EXP((Tnet-t)/(Tau_j))))*Salcycl</f>
        <v>8.1546790016576456E-2</v>
      </c>
      <c r="P86" s="169">
        <f>(INDEX(Models!$BJ86:$BT86,,T86)*(1-R86)+INDEX(Models!$BJ86:$BT86,,T86+1)*R86-ERP_i)*Q86*Ramure*Pc/MaxiM</f>
        <v>4.0963926061414111E-4</v>
      </c>
      <c r="Q86" s="304">
        <f t="shared" si="28"/>
        <v>0.6</v>
      </c>
      <c r="R86" s="177">
        <f t="shared" si="29"/>
        <v>1.1011448904425934E-2</v>
      </c>
      <c r="S86" s="799">
        <f t="shared" si="30"/>
        <v>0</v>
      </c>
      <c r="T86" s="176">
        <f t="shared" si="31"/>
        <v>6</v>
      </c>
      <c r="U86" s="250">
        <f t="shared" si="32"/>
        <v>1.1011448904425934E-2</v>
      </c>
      <c r="V86" s="382">
        <f t="shared" si="33"/>
        <v>43.916608621257495</v>
      </c>
      <c r="W86" s="400">
        <f t="shared" si="34"/>
        <v>0</v>
      </c>
      <c r="X86" s="157">
        <f t="shared" si="35"/>
        <v>44633</v>
      </c>
      <c r="Y86" s="383">
        <f t="shared" si="36"/>
        <v>8.7989999999999995</v>
      </c>
      <c r="Z86" s="383">
        <f t="shared" si="37"/>
        <v>8.995424933912064</v>
      </c>
      <c r="AA86" s="384">
        <f t="shared" si="38"/>
        <v>9.7941025586642745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8.1546790016576456E-2</v>
      </c>
      <c r="AD86" s="230">
        <f>(INDEX(Models!$BJ86:$BT86,,AH86)*(1-AF86)+INDEX(Models!$BJ86:$BT86,,AH86+1)*AF86-ERP_i)*AE86*Ramure*Pc/MaxiM</f>
        <v>4.0963926061414111E-4</v>
      </c>
      <c r="AE86" s="304">
        <f t="shared" si="40"/>
        <v>0.6</v>
      </c>
      <c r="AF86" s="177">
        <f t="shared" si="41"/>
        <v>1.1011448904425934E-2</v>
      </c>
      <c r="AG86" s="799">
        <f t="shared" si="49"/>
        <v>0</v>
      </c>
      <c r="AH86" s="176">
        <f t="shared" si="42"/>
        <v>6</v>
      </c>
      <c r="AI86" s="224">
        <f t="shared" si="43"/>
        <v>1.1011448904425934E-2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44634</v>
      </c>
      <c r="B87" s="1153">
        <v>14.177</v>
      </c>
      <c r="C87" s="388"/>
      <c r="D87" s="391">
        <f t="shared" si="25"/>
        <v>14.493758766065174</v>
      </c>
      <c r="E87" s="383">
        <f t="shared" si="47"/>
        <v>15.781729833368516</v>
      </c>
      <c r="F87" s="383">
        <f t="shared" si="26"/>
        <v>15.781910448247334</v>
      </c>
      <c r="G87" s="110">
        <f t="shared" si="48"/>
        <v>0.32016382023824647</v>
      </c>
      <c r="H87" s="412" t="b">
        <f>Wh_hp&gt;='2021'!Maxi_hp</f>
        <v>0</v>
      </c>
      <c r="I87" s="379">
        <f>IF(H87,Wh_hp,'2021'!Maxi_hp)</f>
        <v>41.9627960937136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2.1854839119222369E-2</v>
      </c>
      <c r="M87" s="832"/>
      <c r="N87" s="832"/>
      <c r="O87" s="48">
        <f>IF(t&lt;Tnet,'2021'!Resal+('2021'!Salim-'2021'!Resal)*(1-EXP(('2021'!Tnet-t)/('2021'!Tau_j))),Resal+(Salim-Resal)*(1-EXP((Tnet-t)/(Tau_j))))*Salcycl</f>
        <v>8.1611526803613554E-2</v>
      </c>
      <c r="P87" s="169">
        <f>(INDEX(Models!$BJ87:$BT87,,T87)*(1-R87)+INDEX(Models!$BJ87:$BT87,,T87+1)*R87-ERP_i)*Q87*Ramure*Pc/MaxiM</f>
        <v>3.9489529209709606E-4</v>
      </c>
      <c r="Q87" s="304">
        <f t="shared" si="28"/>
        <v>0.6</v>
      </c>
      <c r="R87" s="177">
        <f t="shared" si="29"/>
        <v>1.1526018137463567E-2</v>
      </c>
      <c r="S87" s="799">
        <f t="shared" si="30"/>
        <v>0</v>
      </c>
      <c r="T87" s="176">
        <f t="shared" si="31"/>
        <v>6</v>
      </c>
      <c r="U87" s="250">
        <f t="shared" si="32"/>
        <v>1.1526018137463567E-2</v>
      </c>
      <c r="V87" s="382">
        <f t="shared" si="33"/>
        <v>44.263476567359717</v>
      </c>
      <c r="W87" s="400">
        <f t="shared" si="34"/>
        <v>0</v>
      </c>
      <c r="X87" s="157">
        <f t="shared" si="35"/>
        <v>44634</v>
      </c>
      <c r="Y87" s="383">
        <f t="shared" si="36"/>
        <v>14.177</v>
      </c>
      <c r="Z87" s="383">
        <f t="shared" si="37"/>
        <v>14.493758766065174</v>
      </c>
      <c r="AA87" s="384">
        <f t="shared" si="38"/>
        <v>15.781729833368516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8.1611526803613554E-2</v>
      </c>
      <c r="AD87" s="230">
        <f>(INDEX(Models!$BJ87:$BT87,,AH87)*(1-AF87)+INDEX(Models!$BJ87:$BT87,,AH87+1)*AF87-ERP_i)*AE87*Ramure*Pc/MaxiM</f>
        <v>3.9489529209709606E-4</v>
      </c>
      <c r="AE87" s="304">
        <f t="shared" si="40"/>
        <v>0.6</v>
      </c>
      <c r="AF87" s="177">
        <f t="shared" si="41"/>
        <v>1.1526018137463567E-2</v>
      </c>
      <c r="AG87" s="799">
        <f t="shared" si="49"/>
        <v>0</v>
      </c>
      <c r="AH87" s="176">
        <f t="shared" si="42"/>
        <v>6</v>
      </c>
      <c r="AI87" s="224">
        <f t="shared" si="43"/>
        <v>1.1526018137463567E-2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44635</v>
      </c>
      <c r="B88" s="1153">
        <v>13.494</v>
      </c>
      <c r="C88" s="388"/>
      <c r="D88" s="391">
        <f t="shared" si="25"/>
        <v>13.795762790705636</v>
      </c>
      <c r="E88" s="383">
        <f t="shared" si="47"/>
        <v>15.022769193948045</v>
      </c>
      <c r="F88" s="383">
        <f t="shared" si="26"/>
        <v>15.022789612536666</v>
      </c>
      <c r="G88" s="110">
        <f t="shared" si="48"/>
        <v>0.30238308860666813</v>
      </c>
      <c r="H88" s="412" t="b">
        <f>Wh_hp&gt;='2021'!Maxi_hp</f>
        <v>0</v>
      </c>
      <c r="I88" s="379">
        <f>IF(H88,Wh_hp,'2021'!Maxi_hp)</f>
        <v>33.906662518762403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2.1873585048079902E-2</v>
      </c>
      <c r="M88" s="832"/>
      <c r="N88" s="832"/>
      <c r="O88" s="48">
        <f>IF(t&lt;Tnet,'2021'!Resal+('2021'!Salim-'2021'!Resal)*(1-EXP(('2021'!Tnet-t)/('2021'!Tau_j))),Resal+(Salim-Resal)*(1-EXP((Tnet-t)/(Tau_j))))*Salcycl</f>
        <v>8.167644642618295E-2</v>
      </c>
      <c r="P88" s="169">
        <f>(INDEX(Models!$BJ88:$BT88,,T88)*(1-R88)+INDEX(Models!$BJ88:$BT88,,T88+1)*R88-ERP_i)*Q88*Ramure*Pc/MaxiM</f>
        <v>3.8088936633589752E-4</v>
      </c>
      <c r="Q88" s="304">
        <f t="shared" si="28"/>
        <v>0.6</v>
      </c>
      <c r="R88" s="177">
        <f t="shared" si="29"/>
        <v>1.2061022069095168E-2</v>
      </c>
      <c r="S88" s="799">
        <f t="shared" si="30"/>
        <v>0</v>
      </c>
      <c r="T88" s="176">
        <f t="shared" si="31"/>
        <v>6</v>
      </c>
      <c r="U88" s="250">
        <f t="shared" si="32"/>
        <v>1.2061022069095168E-2</v>
      </c>
      <c r="V88" s="382">
        <f t="shared" si="33"/>
        <v>44.608574754565538</v>
      </c>
      <c r="W88" s="400">
        <f t="shared" si="34"/>
        <v>0</v>
      </c>
      <c r="X88" s="157">
        <f t="shared" si="35"/>
        <v>44635</v>
      </c>
      <c r="Y88" s="383">
        <f t="shared" si="36"/>
        <v>13.494</v>
      </c>
      <c r="Z88" s="383">
        <f t="shared" si="37"/>
        <v>13.795762790705636</v>
      </c>
      <c r="AA88" s="384">
        <f t="shared" si="38"/>
        <v>15.022769193948045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8.167644642618295E-2</v>
      </c>
      <c r="AD88" s="230">
        <f>(INDEX(Models!$BJ88:$BT88,,AH88)*(1-AF88)+INDEX(Models!$BJ88:$BT88,,AH88+1)*AF88-ERP_i)*AE88*Ramure*Pc/MaxiM</f>
        <v>3.8088936633589752E-4</v>
      </c>
      <c r="AE88" s="304">
        <f t="shared" si="40"/>
        <v>0.6</v>
      </c>
      <c r="AF88" s="177">
        <f t="shared" si="41"/>
        <v>1.2061022069095168E-2</v>
      </c>
      <c r="AG88" s="799">
        <f t="shared" si="49"/>
        <v>0</v>
      </c>
      <c r="AH88" s="176">
        <f t="shared" si="42"/>
        <v>6</v>
      </c>
      <c r="AI88" s="224">
        <f t="shared" si="43"/>
        <v>1.2061022069095168E-2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44636</v>
      </c>
      <c r="B89" s="1153">
        <v>13.467000000000001</v>
      </c>
      <c r="C89" s="388"/>
      <c r="D89" s="391">
        <f t="shared" si="25"/>
        <v>13.7684228654545</v>
      </c>
      <c r="E89" s="383">
        <f t="shared" si="47"/>
        <v>14.994061059415618</v>
      </c>
      <c r="F89" s="383">
        <f t="shared" si="26"/>
        <v>14.994061059415618</v>
      </c>
      <c r="G89" s="110">
        <f t="shared" si="48"/>
        <v>0.29948003188844108</v>
      </c>
      <c r="H89" s="412" t="b">
        <f>Wh_hp&gt;='2021'!Maxi_hp</f>
        <v>0</v>
      </c>
      <c r="I89" s="379">
        <f>IF(H89,Wh_hp,'2021'!Maxi_hp)</f>
        <v>50.695816320188271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2.1892330617676037E-2</v>
      </c>
      <c r="M89" s="832"/>
      <c r="N89" s="832"/>
      <c r="O89" s="48">
        <f>IF(t&lt;Tnet,'2021'!Resal+('2021'!Salim-'2021'!Resal)*(1-EXP(('2021'!Tnet-t)/('2021'!Tau_j))),Resal+(Salim-Resal)*(1-EXP((Tnet-t)/(Tau_j))))*Salcycl</f>
        <v>8.1741576821942441E-2</v>
      </c>
      <c r="P89" s="169">
        <f>(INDEX(Models!$BJ89:$BT89,,T89)*(1-R89)+INDEX(Models!$BJ89:$BT89,,T89+1)*R89-ERP_i)*Q89*Ramure*Pc/MaxiM</f>
        <v>3.6760907650604452E-4</v>
      </c>
      <c r="Q89" s="304">
        <f t="shared" si="28"/>
        <v>0.6</v>
      </c>
      <c r="R89" s="177">
        <f t="shared" si="29"/>
        <v>1.2617223361867096E-2</v>
      </c>
      <c r="S89" s="799">
        <f t="shared" si="30"/>
        <v>0</v>
      </c>
      <c r="T89" s="176">
        <f t="shared" si="31"/>
        <v>6</v>
      </c>
      <c r="U89" s="250">
        <f t="shared" si="32"/>
        <v>1.2617223361867096E-2</v>
      </c>
      <c r="V89" s="382">
        <f t="shared" si="33"/>
        <v>44.951409026099689</v>
      </c>
      <c r="W89" s="400">
        <f t="shared" si="34"/>
        <v>0</v>
      </c>
      <c r="X89" s="157">
        <f t="shared" si="35"/>
        <v>44636</v>
      </c>
      <c r="Y89" s="383">
        <f t="shared" si="36"/>
        <v>13.467000000000001</v>
      </c>
      <c r="Z89" s="383">
        <f t="shared" si="37"/>
        <v>13.7684228654545</v>
      </c>
      <c r="AA89" s="384">
        <f t="shared" si="38"/>
        <v>14.994061059415618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8.1741576821942441E-2</v>
      </c>
      <c r="AD89" s="230">
        <f>(INDEX(Models!$BJ89:$BT89,,AH89)*(1-AF89)+INDEX(Models!$BJ89:$BT89,,AH89+1)*AF89-ERP_i)*AE89*Ramure*Pc/MaxiM</f>
        <v>3.6760907650604452E-4</v>
      </c>
      <c r="AE89" s="304">
        <f t="shared" si="40"/>
        <v>0.6</v>
      </c>
      <c r="AF89" s="177">
        <f t="shared" si="41"/>
        <v>1.2617223361867096E-2</v>
      </c>
      <c r="AG89" s="799">
        <f t="shared" si="49"/>
        <v>0</v>
      </c>
      <c r="AH89" s="176">
        <f t="shared" si="42"/>
        <v>6</v>
      </c>
      <c r="AI89" s="224">
        <f t="shared" si="43"/>
        <v>1.2617223361867096E-2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44637</v>
      </c>
      <c r="B90" s="1153">
        <v>11.31</v>
      </c>
      <c r="C90" s="388"/>
      <c r="D90" s="391">
        <f t="shared" si="25"/>
        <v>11.563365784531983</v>
      </c>
      <c r="E90" s="383">
        <f t="shared" si="47"/>
        <v>12.593610619286732</v>
      </c>
      <c r="F90" s="383">
        <f t="shared" si="26"/>
        <v>12.593610619286732</v>
      </c>
      <c r="G90" s="110">
        <f t="shared" si="48"/>
        <v>0.24962715166144575</v>
      </c>
      <c r="H90" s="412" t="b">
        <f>Wh_hp&gt;='2021'!Maxi_hp</f>
        <v>0</v>
      </c>
      <c r="I90" s="379">
        <f>IF(H90,Wh_hp,'2021'!Maxi_hp)</f>
        <v>27.308423529990701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2.1911075828017434E-2</v>
      </c>
      <c r="M90" s="832"/>
      <c r="N90" s="832"/>
      <c r="O90" s="48">
        <f>IF(t&lt;Tnet,'2021'!Resal+('2021'!Salim-'2021'!Resal)*(1-EXP(('2021'!Tnet-t)/('2021'!Tau_j))),Resal+(Salim-Resal)*(1-EXP((Tnet-t)/(Tau_j))))*Salcycl</f>
        <v>8.1806946863750091E-2</v>
      </c>
      <c r="P90" s="169">
        <f>(INDEX(Models!$BJ90:$BT90,,T90)*(1-R90)+INDEX(Models!$BJ90:$BT90,,T90+1)*R90-ERP_i)*Q90*Ramure*Pc/MaxiM</f>
        <v>3.5504207750031473E-4</v>
      </c>
      <c r="Q90" s="304">
        <f t="shared" si="28"/>
        <v>0.6</v>
      </c>
      <c r="R90" s="177">
        <f t="shared" si="29"/>
        <v>1.3195409087631345E-2</v>
      </c>
      <c r="S90" s="799">
        <f t="shared" si="30"/>
        <v>0</v>
      </c>
      <c r="T90" s="176">
        <f t="shared" si="31"/>
        <v>6</v>
      </c>
      <c r="U90" s="250">
        <f t="shared" si="32"/>
        <v>1.3195409087631345E-2</v>
      </c>
      <c r="V90" s="382">
        <f t="shared" si="33"/>
        <v>45.29148531661771</v>
      </c>
      <c r="W90" s="400">
        <f t="shared" si="34"/>
        <v>0</v>
      </c>
      <c r="X90" s="157">
        <f t="shared" si="35"/>
        <v>44637</v>
      </c>
      <c r="Y90" s="383">
        <f t="shared" si="36"/>
        <v>11.31</v>
      </c>
      <c r="Z90" s="383">
        <f t="shared" si="37"/>
        <v>11.563365784531983</v>
      </c>
      <c r="AA90" s="384">
        <f t="shared" si="38"/>
        <v>12.593610619286732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8.1806946863750091E-2</v>
      </c>
      <c r="AD90" s="230">
        <f>(INDEX(Models!$BJ90:$BT90,,AH90)*(1-AF90)+INDEX(Models!$BJ90:$BT90,,AH90+1)*AF90-ERP_i)*AE90*Ramure*Pc/MaxiM</f>
        <v>3.5504207750031473E-4</v>
      </c>
      <c r="AE90" s="304">
        <f t="shared" si="40"/>
        <v>0.6</v>
      </c>
      <c r="AF90" s="177">
        <f t="shared" si="41"/>
        <v>1.3195409087631345E-2</v>
      </c>
      <c r="AG90" s="799">
        <f t="shared" si="49"/>
        <v>0</v>
      </c>
      <c r="AH90" s="176">
        <f t="shared" si="42"/>
        <v>6</v>
      </c>
      <c r="AI90" s="224">
        <f t="shared" si="43"/>
        <v>1.3195409087631345E-2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44638</v>
      </c>
      <c r="B91" s="1153">
        <v>14.621</v>
      </c>
      <c r="C91" s="388"/>
      <c r="D91" s="391">
        <f t="shared" si="25"/>
        <v>14.948825052770667</v>
      </c>
      <c r="E91" s="383">
        <f t="shared" si="47"/>
        <v>16.28186331127273</v>
      </c>
      <c r="F91" s="383">
        <f t="shared" si="26"/>
        <v>16.282026445583469</v>
      </c>
      <c r="G91" s="110">
        <f t="shared" si="48"/>
        <v>0.32033027249533524</v>
      </c>
      <c r="H91" s="412" t="b">
        <f>Wh_hp&gt;='2021'!Maxi_hp</f>
        <v>0</v>
      </c>
      <c r="I91" s="379">
        <f>IF(H91,Wh_hp,'2021'!Maxi_hp)</f>
        <v>34.112652515484889</v>
      </c>
      <c r="J91" s="85">
        <f>IF(H91,An,'2021'!An_max)</f>
        <v>2018</v>
      </c>
      <c r="K91" s="197">
        <f t="shared" si="27"/>
        <v>44638</v>
      </c>
      <c r="L91" s="147">
        <f>IF(t&lt;Tvie,1-EXP((T0-t)*PertePVj)+'2021'!Pspv,1-EXP((T0-t)*PertePVj)+Pspv)</f>
        <v>2.1929820679111311E-2</v>
      </c>
      <c r="M91" s="832"/>
      <c r="N91" s="832"/>
      <c r="O91" s="48">
        <f>IF(t&lt;Tnet,'2021'!Resal+('2021'!Salim-'2021'!Resal)*(1-EXP(('2021'!Tnet-t)/('2021'!Tau_j))),Resal+(Salim-Resal)*(1-EXP((Tnet-t)/(Tau_j))))*Salcycl</f>
        <v>8.1872586264689698E-2</v>
      </c>
      <c r="P91" s="169">
        <f>(INDEX(Models!$BJ91:$BT91,,T91)*(1-R91)+INDEX(Models!$BJ91:$BT91,,T91+1)*R91-ERP_i)*Q91*Ramure*Pc/MaxiM</f>
        <v>3.431761735871394E-4</v>
      </c>
      <c r="Q91" s="304">
        <f t="shared" si="28"/>
        <v>0.6</v>
      </c>
      <c r="R91" s="177">
        <f t="shared" si="29"/>
        <v>1.3796391166256772E-2</v>
      </c>
      <c r="S91" s="799">
        <f t="shared" si="30"/>
        <v>0</v>
      </c>
      <c r="T91" s="176">
        <f t="shared" si="31"/>
        <v>6</v>
      </c>
      <c r="U91" s="250">
        <f t="shared" si="32"/>
        <v>1.3796391166256772E-2</v>
      </c>
      <c r="V91" s="382">
        <f t="shared" si="33"/>
        <v>45.628309652132764</v>
      </c>
      <c r="W91" s="400">
        <f t="shared" si="34"/>
        <v>0</v>
      </c>
      <c r="X91" s="157">
        <f t="shared" si="35"/>
        <v>44638</v>
      </c>
      <c r="Y91" s="383">
        <f t="shared" si="36"/>
        <v>14.620999999999999</v>
      </c>
      <c r="Z91" s="383">
        <f t="shared" si="37"/>
        <v>14.948825052770665</v>
      </c>
      <c r="AA91" s="384">
        <f t="shared" si="38"/>
        <v>16.28186331127273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8.1872586264689698E-2</v>
      </c>
      <c r="AD91" s="230">
        <f>(INDEX(Models!$BJ91:$BT91,,AH91)*(1-AF91)+INDEX(Models!$BJ91:$BT91,,AH91+1)*AF91-ERP_i)*AE91*Ramure*Pc/MaxiM</f>
        <v>3.431761735871394E-4</v>
      </c>
      <c r="AE91" s="304">
        <f t="shared" si="40"/>
        <v>0.6</v>
      </c>
      <c r="AF91" s="177">
        <f t="shared" si="41"/>
        <v>1.3796391166256772E-2</v>
      </c>
      <c r="AG91" s="799">
        <f t="shared" si="49"/>
        <v>0</v>
      </c>
      <c r="AH91" s="176">
        <f t="shared" si="42"/>
        <v>6</v>
      </c>
      <c r="AI91" s="224">
        <f t="shared" si="43"/>
        <v>1.3796391166256772E-2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44639</v>
      </c>
      <c r="B92" s="1153">
        <v>27.934000000000001</v>
      </c>
      <c r="C92" s="388"/>
      <c r="D92" s="391">
        <f t="shared" si="25"/>
        <v>28.560870119149605</v>
      </c>
      <c r="E92" s="383">
        <f t="shared" si="47"/>
        <v>31.109975651811752</v>
      </c>
      <c r="F92" s="383">
        <f t="shared" si="26"/>
        <v>31.114517473333766</v>
      </c>
      <c r="G92" s="110">
        <f t="shared" si="48"/>
        <v>0.60765794612064927</v>
      </c>
      <c r="H92" s="412" t="b">
        <f>Wh_hp&gt;='2021'!Maxi_hp</f>
        <v>0</v>
      </c>
      <c r="I92" s="379">
        <f>IF(H92,Wh_hp,'2021'!Maxi_hp)</f>
        <v>46.811989092410982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2.1948565170964329E-2</v>
      </c>
      <c r="M92" s="832"/>
      <c r="N92" s="832"/>
      <c r="O92" s="48">
        <f>IF(t&lt;Tnet,'2021'!Resal+('2021'!Salim-'2021'!Resal)*(1-EXP(('2021'!Tnet-t)/('2021'!Tau_j))),Resal+(Salim-Resal)*(1-EXP((Tnet-t)/(Tau_j))))*Salcycl</f>
        <v>8.1938525481092594E-2</v>
      </c>
      <c r="P92" s="169">
        <f>(INDEX(Models!$BJ92:$BT92,,T92)*(1-R92)+INDEX(Models!$BJ92:$BT92,,T92+1)*R92-ERP_i)*Q92*Ramure*Pc/MaxiM</f>
        <v>3.3199940275622754E-4</v>
      </c>
      <c r="Q92" s="304">
        <f t="shared" si="28"/>
        <v>0.6</v>
      </c>
      <c r="R92" s="177">
        <f t="shared" si="29"/>
        <v>1.4421006780463359E-2</v>
      </c>
      <c r="S92" s="799">
        <f t="shared" si="30"/>
        <v>0</v>
      </c>
      <c r="T92" s="176">
        <f t="shared" si="31"/>
        <v>6</v>
      </c>
      <c r="U92" s="250">
        <f t="shared" si="32"/>
        <v>1.4421006780463359E-2</v>
      </c>
      <c r="V92" s="382">
        <f t="shared" si="33"/>
        <v>45.961388156115156</v>
      </c>
      <c r="W92" s="400">
        <f t="shared" si="34"/>
        <v>0</v>
      </c>
      <c r="X92" s="157">
        <f t="shared" si="35"/>
        <v>44639</v>
      </c>
      <c r="Y92" s="383">
        <f t="shared" si="36"/>
        <v>27.934000000000001</v>
      </c>
      <c r="Z92" s="383">
        <f t="shared" si="37"/>
        <v>28.560870119149605</v>
      </c>
      <c r="AA92" s="384">
        <f t="shared" si="38"/>
        <v>31.109975651811752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8.1938525481092594E-2</v>
      </c>
      <c r="AD92" s="230">
        <f>(INDEX(Models!$BJ92:$BT92,,AH92)*(1-AF92)+INDEX(Models!$BJ92:$BT92,,AH92+1)*AF92-ERP_i)*AE92*Ramure*Pc/MaxiM</f>
        <v>3.3199940275622754E-4</v>
      </c>
      <c r="AE92" s="304">
        <f t="shared" si="40"/>
        <v>0.6</v>
      </c>
      <c r="AF92" s="177">
        <f t="shared" si="41"/>
        <v>1.4421006780463359E-2</v>
      </c>
      <c r="AG92" s="799">
        <f t="shared" si="49"/>
        <v>0</v>
      </c>
      <c r="AH92" s="176">
        <f t="shared" si="42"/>
        <v>6</v>
      </c>
      <c r="AI92" s="224">
        <f t="shared" si="43"/>
        <v>1.4421006780463359E-2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44640</v>
      </c>
      <c r="B93" s="1153">
        <v>31.016999999999999</v>
      </c>
      <c r="C93" s="388"/>
      <c r="D93" s="391">
        <f t="shared" si="25"/>
        <v>31.713663863233524</v>
      </c>
      <c r="E93" s="383">
        <f t="shared" si="47"/>
        <v>34.546655267612422</v>
      </c>
      <c r="F93" s="383">
        <f t="shared" si="26"/>
        <v>34.552526803610711</v>
      </c>
      <c r="G93" s="110">
        <f t="shared" si="48"/>
        <v>0.66991092837147204</v>
      </c>
      <c r="H93" s="412" t="b">
        <f>Wh_hp&gt;='2021'!Maxi_hp</f>
        <v>0</v>
      </c>
      <c r="I93" s="379">
        <f>IF(H93,Wh_hp,'2021'!Maxi_hp)</f>
        <v>50.974512464979433</v>
      </c>
      <c r="J93" s="85">
        <f>IF(H93,An,'2021'!An_max)</f>
        <v>2018</v>
      </c>
      <c r="K93" s="197">
        <f t="shared" si="27"/>
        <v>44640</v>
      </c>
      <c r="L93" s="147">
        <f>IF(t&lt;Tvie,1-EXP((T0-t)*PertePVj)+'2021'!Pspv,1-EXP((T0-t)*PertePVj)+Pspv)</f>
        <v>2.1967309303583371E-2</v>
      </c>
      <c r="M93" s="832"/>
      <c r="N93" s="832"/>
      <c r="O93" s="48">
        <f>IF(t&lt;Tnet,'2021'!Resal+('2021'!Salim-'2021'!Resal)*(1-EXP(('2021'!Tnet-t)/('2021'!Tau_j))),Resal+(Salim-Resal)*(1-EXP((Tnet-t)/(Tau_j))))*Salcycl</f>
        <v>8.2004795614319004E-2</v>
      </c>
      <c r="P93" s="169">
        <f>(INDEX(Models!$BJ93:$BT93,,T93)*(1-R93)+INDEX(Models!$BJ93:$BT93,,T93+1)*R93-ERP_i)*Q93*Ramure*Pc/MaxiM</f>
        <v>3.2147971646478854E-4</v>
      </c>
      <c r="Q93" s="304">
        <f t="shared" si="28"/>
        <v>0.6</v>
      </c>
      <c r="R93" s="177">
        <f t="shared" si="29"/>
        <v>1.5070118763084835E-2</v>
      </c>
      <c r="S93" s="799">
        <f t="shared" si="30"/>
        <v>0</v>
      </c>
      <c r="T93" s="176">
        <f t="shared" si="31"/>
        <v>6</v>
      </c>
      <c r="U93" s="250">
        <f t="shared" si="32"/>
        <v>1.5070118763084835E-2</v>
      </c>
      <c r="V93" s="382">
        <f t="shared" si="33"/>
        <v>46.293167184884098</v>
      </c>
      <c r="W93" s="400">
        <f t="shared" si="34"/>
        <v>0</v>
      </c>
      <c r="X93" s="157">
        <f t="shared" si="35"/>
        <v>44640</v>
      </c>
      <c r="Y93" s="383">
        <f t="shared" si="36"/>
        <v>31.017000000000003</v>
      </c>
      <c r="Z93" s="383">
        <f t="shared" si="37"/>
        <v>31.713663863233528</v>
      </c>
      <c r="AA93" s="384">
        <f t="shared" si="38"/>
        <v>34.546655267612422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8.2004795614319004E-2</v>
      </c>
      <c r="AD93" s="230">
        <f>(INDEX(Models!$BJ93:$BT93,,AH93)*(1-AF93)+INDEX(Models!$BJ93:$BT93,,AH93+1)*AF93-ERP_i)*AE93*Ramure*Pc/MaxiM</f>
        <v>3.2147971646478854E-4</v>
      </c>
      <c r="AE93" s="304">
        <f t="shared" si="40"/>
        <v>0.6</v>
      </c>
      <c r="AF93" s="177">
        <f t="shared" si="41"/>
        <v>1.5070118763084835E-2</v>
      </c>
      <c r="AG93" s="799">
        <f t="shared" si="49"/>
        <v>0</v>
      </c>
      <c r="AH93" s="176">
        <f t="shared" si="42"/>
        <v>6</v>
      </c>
      <c r="AI93" s="224">
        <f t="shared" si="43"/>
        <v>1.5070118763084835E-2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44641</v>
      </c>
      <c r="B94" s="1153">
        <v>43.905999999999999</v>
      </c>
      <c r="C94" s="388"/>
      <c r="D94" s="391">
        <f t="shared" si="25"/>
        <v>44.893020327710794</v>
      </c>
      <c r="E94" s="383">
        <f t="shared" si="47"/>
        <v>48.906877629004597</v>
      </c>
      <c r="F94" s="383">
        <f t="shared" si="26"/>
        <v>48.920855815846522</v>
      </c>
      <c r="G94" s="110">
        <f t="shared" si="48"/>
        <v>0.94164121172747595</v>
      </c>
      <c r="H94" s="412" t="b">
        <f>Wh_hp&gt;='2021'!Maxi_hp</f>
        <v>0</v>
      </c>
      <c r="I94" s="379">
        <f>IF(H94,Wh_hp,'2021'!Maxi_hp)</f>
        <v>52.150714918937091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2.1986053076975542E-2</v>
      </c>
      <c r="M94" s="832"/>
      <c r="N94" s="832"/>
      <c r="O94" s="48">
        <f>IF(t&lt;Tnet,'2021'!Resal+('2021'!Salim-'2021'!Resal)*(1-EXP(('2021'!Tnet-t)/('2021'!Tau_j))),Resal+(Salim-Resal)*(1-EXP((Tnet-t)/(Tau_j))))*Salcycl</f>
        <v>8.2071428312024464E-2</v>
      </c>
      <c r="P94" s="169">
        <f>(INDEX(Models!$BJ94:$BT94,,T94)*(1-R94)+INDEX(Models!$BJ94:$BT94,,T94+1)*R94-ERP_i)*Q94*Ramure*Pc/MaxiM</f>
        <v>3.117066189368817E-4</v>
      </c>
      <c r="Q94" s="304">
        <f t="shared" si="28"/>
        <v>0.6</v>
      </c>
      <c r="R94" s="177">
        <f t="shared" si="29"/>
        <v>1.5744615952785042E-2</v>
      </c>
      <c r="S94" s="799">
        <f t="shared" si="30"/>
        <v>0</v>
      </c>
      <c r="T94" s="176">
        <f t="shared" si="31"/>
        <v>6</v>
      </c>
      <c r="U94" s="250">
        <f t="shared" si="32"/>
        <v>1.5744615952785042E-2</v>
      </c>
      <c r="V94" s="382">
        <f t="shared" si="33"/>
        <v>46.625889590809258</v>
      </c>
      <c r="W94" s="400">
        <f t="shared" si="34"/>
        <v>0</v>
      </c>
      <c r="X94" s="157">
        <f t="shared" si="35"/>
        <v>44641</v>
      </c>
      <c r="Y94" s="383">
        <f t="shared" si="36"/>
        <v>43.905999999999999</v>
      </c>
      <c r="Z94" s="383">
        <f t="shared" si="37"/>
        <v>44.893020327710794</v>
      </c>
      <c r="AA94" s="384">
        <f t="shared" si="38"/>
        <v>48.906877629004597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8.2071428312024464E-2</v>
      </c>
      <c r="AD94" s="230">
        <f>(INDEX(Models!$BJ94:$BT94,,AH94)*(1-AF94)+INDEX(Models!$BJ94:$BT94,,AH94+1)*AF94-ERP_i)*AE94*Ramure*Pc/MaxiM</f>
        <v>3.117066189368817E-4</v>
      </c>
      <c r="AE94" s="304">
        <f t="shared" si="40"/>
        <v>0.6</v>
      </c>
      <c r="AF94" s="177">
        <f t="shared" si="41"/>
        <v>1.5744615952785042E-2</v>
      </c>
      <c r="AG94" s="799">
        <f t="shared" si="49"/>
        <v>0</v>
      </c>
      <c r="AH94" s="176">
        <f t="shared" si="42"/>
        <v>6</v>
      </c>
      <c r="AI94" s="224">
        <f t="shared" si="43"/>
        <v>1.5744615952785042E-2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44642</v>
      </c>
      <c r="B95" s="1153">
        <v>41.683999999999997</v>
      </c>
      <c r="C95" s="388"/>
      <c r="D95" s="391">
        <f t="shared" si="25"/>
        <v>42.621885925867616</v>
      </c>
      <c r="E95" s="383">
        <f t="shared" si="47"/>
        <v>46.436073271770859</v>
      </c>
      <c r="F95" s="383">
        <f t="shared" si="26"/>
        <v>46.447859171278907</v>
      </c>
      <c r="G95" s="110">
        <f t="shared" si="48"/>
        <v>0.88762897148895248</v>
      </c>
      <c r="H95" s="412" t="b">
        <f>Wh_hp&gt;='2021'!Maxi_hp</f>
        <v>0</v>
      </c>
      <c r="I95" s="379">
        <f>IF(H95,Wh_hp,'2021'!Maxi_hp)</f>
        <v>50.892769880316351</v>
      </c>
      <c r="J95" s="85">
        <f>IF(H95,An,'2021'!An_max)</f>
        <v>2020</v>
      </c>
      <c r="K95" s="197">
        <f t="shared" si="27"/>
        <v>44642</v>
      </c>
      <c r="L95" s="147">
        <f>IF(t&lt;Tvie,1-EXP((T0-t)*PertePVj)+'2021'!Pspv,1-EXP((T0-t)*PertePVj)+Pspv)</f>
        <v>2.2004796491147394E-2</v>
      </c>
      <c r="M95" s="832"/>
      <c r="N95" s="832"/>
      <c r="O95" s="48">
        <f>IF(t&lt;Tnet,'2021'!Resal+('2021'!Salim-'2021'!Resal)*(1-EXP(('2021'!Tnet-t)/('2021'!Tau_j))),Resal+(Salim-Resal)*(1-EXP((Tnet-t)/(Tau_j))))*Salcycl</f>
        <v>8.2138455669591284E-2</v>
      </c>
      <c r="P95" s="169">
        <f>(INDEX(Models!$BJ95:$BT95,,T95)*(1-R95)+INDEX(Models!$BJ95:$BT95,,T95+1)*R95-ERP_i)*Q95*Ramure*Pc/MaxiM</f>
        <v>3.0224564158249398E-4</v>
      </c>
      <c r="Q95" s="304">
        <f t="shared" si="28"/>
        <v>0.6</v>
      </c>
      <c r="R95" s="177">
        <f t="shared" si="29"/>
        <v>1.6445413513959752E-2</v>
      </c>
      <c r="S95" s="799">
        <f t="shared" si="30"/>
        <v>0</v>
      </c>
      <c r="T95" s="176">
        <f t="shared" si="31"/>
        <v>6</v>
      </c>
      <c r="U95" s="250">
        <f t="shared" si="32"/>
        <v>1.6445413513959752E-2</v>
      </c>
      <c r="V95" s="382">
        <f t="shared" si="33"/>
        <v>46.958784710434095</v>
      </c>
      <c r="W95" s="400">
        <f t="shared" si="34"/>
        <v>0</v>
      </c>
      <c r="X95" s="157">
        <f t="shared" si="35"/>
        <v>44642</v>
      </c>
      <c r="Y95" s="383">
        <f t="shared" si="36"/>
        <v>41.683999999999997</v>
      </c>
      <c r="Z95" s="383">
        <f t="shared" si="37"/>
        <v>42.621885925867616</v>
      </c>
      <c r="AA95" s="384">
        <f t="shared" si="38"/>
        <v>46.436073271770859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8.2138455669591284E-2</v>
      </c>
      <c r="AD95" s="230">
        <f>(INDEX(Models!$BJ95:$BT95,,AH95)*(1-AF95)+INDEX(Models!$BJ95:$BT95,,AH95+1)*AF95-ERP_i)*AE95*Ramure*Pc/MaxiM</f>
        <v>3.0224564158249398E-4</v>
      </c>
      <c r="AE95" s="304">
        <f t="shared" si="40"/>
        <v>0.6</v>
      </c>
      <c r="AF95" s="177">
        <f t="shared" si="41"/>
        <v>1.6445413513959752E-2</v>
      </c>
      <c r="AG95" s="799">
        <f t="shared" si="49"/>
        <v>0</v>
      </c>
      <c r="AH95" s="176">
        <f t="shared" si="42"/>
        <v>6</v>
      </c>
      <c r="AI95" s="224">
        <f t="shared" si="43"/>
        <v>1.6445413513959752E-2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44643</v>
      </c>
      <c r="B96" s="1153">
        <v>47.512</v>
      </c>
      <c r="C96" s="388"/>
      <c r="D96" s="391">
        <f t="shared" si="25"/>
        <v>48.58194641816732</v>
      </c>
      <c r="E96" s="383">
        <f t="shared" si="47"/>
        <v>52.93338337488445</v>
      </c>
      <c r="F96" s="383">
        <f t="shared" si="26"/>
        <v>52.948902458584236</v>
      </c>
      <c r="G96" s="110">
        <f t="shared" si="48"/>
        <v>1.0046718730909368</v>
      </c>
      <c r="H96" s="412" t="b">
        <f>Wh_hp&gt;='2021'!Maxi_hp</f>
        <v>0</v>
      </c>
      <c r="I96" s="379">
        <f>IF(H96,Wh_hp,'2021'!Maxi_hp)</f>
        <v>53.286062169656844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2.2023539546106141E-2</v>
      </c>
      <c r="M96" s="832"/>
      <c r="N96" s="832"/>
      <c r="O96" s="48">
        <f>IF(t&lt;Tnet,'2021'!Resal+('2021'!Salim-'2021'!Resal)*(1-EXP(('2021'!Tnet-t)/('2021'!Tau_j))),Resal+(Salim-Resal)*(1-EXP((Tnet-t)/(Tau_j))))*Salcycl</f>
        <v>8.2205910132352816E-2</v>
      </c>
      <c r="P96" s="169">
        <f>(INDEX(Models!$BJ96:$BT96,,T96)*(1-R96)+INDEX(Models!$BJ96:$BT96,,T96+1)*R96-ERP_i)*Q96*Ramure*Pc/MaxiM</f>
        <v>2.9309547467814352E-4</v>
      </c>
      <c r="Q96" s="304">
        <f t="shared" si="28"/>
        <v>0.6</v>
      </c>
      <c r="R96" s="177">
        <f t="shared" si="29"/>
        <v>1.7173453216254395E-2</v>
      </c>
      <c r="S96" s="799">
        <f t="shared" si="30"/>
        <v>0</v>
      </c>
      <c r="T96" s="176">
        <f t="shared" si="31"/>
        <v>6</v>
      </c>
      <c r="U96" s="250">
        <f t="shared" si="32"/>
        <v>1.7173453216254395E-2</v>
      </c>
      <c r="V96" s="382">
        <f t="shared" si="33"/>
        <v>47.291062159256356</v>
      </c>
      <c r="W96" s="400">
        <f t="shared" si="34"/>
        <v>0</v>
      </c>
      <c r="X96" s="157">
        <f t="shared" si="35"/>
        <v>44643</v>
      </c>
      <c r="Y96" s="383">
        <f t="shared" si="36"/>
        <v>47.512</v>
      </c>
      <c r="Z96" s="383">
        <f t="shared" si="37"/>
        <v>48.58194641816732</v>
      </c>
      <c r="AA96" s="384">
        <f t="shared" si="38"/>
        <v>52.93338337488445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8.2205910132352816E-2</v>
      </c>
      <c r="AD96" s="230">
        <f>(INDEX(Models!$BJ96:$BT96,,AH96)*(1-AF96)+INDEX(Models!$BJ96:$BT96,,AH96+1)*AF96-ERP_i)*AE96*Ramure*Pc/MaxiM</f>
        <v>2.9309547467814352E-4</v>
      </c>
      <c r="AE96" s="304">
        <f t="shared" si="40"/>
        <v>0.6</v>
      </c>
      <c r="AF96" s="177">
        <f t="shared" si="41"/>
        <v>1.7173453216254395E-2</v>
      </c>
      <c r="AG96" s="799">
        <f t="shared" si="49"/>
        <v>0</v>
      </c>
      <c r="AH96" s="176">
        <f t="shared" si="42"/>
        <v>6</v>
      </c>
      <c r="AI96" s="224">
        <f t="shared" si="43"/>
        <v>1.7173453216254395E-2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44644</v>
      </c>
      <c r="B97" s="1153">
        <v>46.731000000000002</v>
      </c>
      <c r="C97" s="388"/>
      <c r="D97" s="391">
        <f t="shared" si="25"/>
        <v>47.78427446446824</v>
      </c>
      <c r="E97" s="383">
        <f t="shared" si="47"/>
        <v>52.068117631258112</v>
      </c>
      <c r="F97" s="383">
        <f t="shared" si="26"/>
        <v>52.082526631852751</v>
      </c>
      <c r="G97" s="110">
        <f t="shared" si="48"/>
        <v>0.98128410854983295</v>
      </c>
      <c r="H97" s="412" t="b">
        <f>Wh_hp&gt;='2021'!Maxi_hp</f>
        <v>0</v>
      </c>
      <c r="I97" s="379">
        <f>IF(H97,Wh_hp,'2021'!Maxi_hp)</f>
        <v>52.432685420203406</v>
      </c>
      <c r="J97" s="85">
        <f>IF(H97,An,'2021'!An_max)</f>
        <v>2021</v>
      </c>
      <c r="K97" s="197">
        <f t="shared" si="27"/>
        <v>44644</v>
      </c>
      <c r="L97" s="147">
        <f>IF(t&lt;Tvie,1-EXP((T0-t)*PertePVj)+'2021'!Pspv,1-EXP((T0-t)*PertePVj)+Pspv)</f>
        <v>2.2042282241858446E-2</v>
      </c>
      <c r="M97" s="832"/>
      <c r="N97" s="832"/>
      <c r="O97" s="48">
        <f>IF(t&lt;Tnet,'2021'!Resal+('2021'!Salim-'2021'!Resal)*(1-EXP(('2021'!Tnet-t)/('2021'!Tau_j))),Resal+(Salim-Resal)*(1-EXP((Tnet-t)/(Tau_j))))*Salcycl</f>
        <v>8.227382439917795E-2</v>
      </c>
      <c r="P97" s="169">
        <f>(INDEX(Models!$BJ97:$BT97,,T97)*(1-R97)+INDEX(Models!$BJ97:$BT97,,T97+1)*R97-ERP_i)*Q97*Ramure*Pc/MaxiM</f>
        <v>2.842541685792209E-4</v>
      </c>
      <c r="Q97" s="304">
        <f t="shared" si="28"/>
        <v>0.6</v>
      </c>
      <c r="R97" s="177">
        <f t="shared" si="29"/>
        <v>1.7929703668814211E-2</v>
      </c>
      <c r="S97" s="799">
        <f t="shared" si="30"/>
        <v>0</v>
      </c>
      <c r="T97" s="176">
        <f t="shared" si="31"/>
        <v>6</v>
      </c>
      <c r="U97" s="250">
        <f t="shared" si="32"/>
        <v>1.7929703668814211E-2</v>
      </c>
      <c r="V97" s="382">
        <f t="shared" si="33"/>
        <v>47.621931788987432</v>
      </c>
      <c r="W97" s="400">
        <f t="shared" si="34"/>
        <v>0</v>
      </c>
      <c r="X97" s="157">
        <f t="shared" si="35"/>
        <v>44644</v>
      </c>
      <c r="Y97" s="383">
        <f t="shared" si="36"/>
        <v>46.731000000000002</v>
      </c>
      <c r="Z97" s="383">
        <f t="shared" si="37"/>
        <v>47.78427446446824</v>
      </c>
      <c r="AA97" s="384">
        <f t="shared" si="38"/>
        <v>52.068117631258112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8.227382439917795E-2</v>
      </c>
      <c r="AD97" s="230">
        <f>(INDEX(Models!$BJ97:$BT97,,AH97)*(1-AF97)+INDEX(Models!$BJ97:$BT97,,AH97+1)*AF97-ERP_i)*AE97*Ramure*Pc/MaxiM</f>
        <v>2.842541685792209E-4</v>
      </c>
      <c r="AE97" s="304">
        <f t="shared" si="40"/>
        <v>0.6</v>
      </c>
      <c r="AF97" s="177">
        <f t="shared" si="41"/>
        <v>1.7929703668814211E-2</v>
      </c>
      <c r="AG97" s="799">
        <f t="shared" si="49"/>
        <v>0</v>
      </c>
      <c r="AH97" s="176">
        <f t="shared" si="42"/>
        <v>6</v>
      </c>
      <c r="AI97" s="224">
        <f t="shared" si="43"/>
        <v>1.7929703668814211E-2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44645</v>
      </c>
      <c r="B98" s="1153">
        <v>41.585999999999999</v>
      </c>
      <c r="C98" s="388"/>
      <c r="D98" s="391">
        <f t="shared" si="25"/>
        <v>42.524125784098452</v>
      </c>
      <c r="E98" s="383">
        <f t="shared" si="47"/>
        <v>46.339852650769771</v>
      </c>
      <c r="F98" s="383">
        <f t="shared" si="26"/>
        <v>46.350209045253081</v>
      </c>
      <c r="G98" s="110">
        <f t="shared" si="48"/>
        <v>0.86722214402524955</v>
      </c>
      <c r="H98" s="412" t="b">
        <f>Wh_hp&gt;='2021'!Maxi_hp</f>
        <v>1</v>
      </c>
      <c r="I98" s="379">
        <f>IF(H98,Wh_hp,'2021'!Maxi_hp)</f>
        <v>46.350209045253081</v>
      </c>
      <c r="J98" s="85">
        <f>IF(H98,An,'2021'!An_max)</f>
        <v>2022</v>
      </c>
      <c r="K98" s="197">
        <f t="shared" si="27"/>
        <v>44645</v>
      </c>
      <c r="L98" s="147">
        <f>IF(t&lt;Tvie,1-EXP((T0-t)*PertePVj)+'2021'!Pspv,1-EXP((T0-t)*PertePVj)+Pspv)</f>
        <v>2.2061024578411303E-2</v>
      </c>
      <c r="M98" s="832"/>
      <c r="N98" s="832"/>
      <c r="O98" s="48">
        <f>IF(t&lt;Tnet,'2021'!Resal+('2021'!Salim-'2021'!Resal)*(1-EXP(('2021'!Tnet-t)/('2021'!Tau_j))),Resal+(Salim-Resal)*(1-EXP((Tnet-t)/(Tau_j))))*Salcycl</f>
        <v>8.2342231327917945E-2</v>
      </c>
      <c r="P98" s="169">
        <f>(INDEX(Models!$BJ98:$BT98,,T98)*(1-R98)+INDEX(Models!$BJ98:$BT98,,T98+1)*R98-ERP_i)*Q98*Ramure*Pc/MaxiM</f>
        <v>2.7571921158204405E-4</v>
      </c>
      <c r="Q98" s="304">
        <f t="shared" si="28"/>
        <v>0.6</v>
      </c>
      <c r="R98" s="177">
        <f t="shared" si="29"/>
        <v>1.871516050406145E-2</v>
      </c>
      <c r="S98" s="799">
        <f t="shared" si="30"/>
        <v>0</v>
      </c>
      <c r="T98" s="176">
        <f t="shared" si="31"/>
        <v>6</v>
      </c>
      <c r="U98" s="250">
        <f t="shared" si="32"/>
        <v>1.871516050406145E-2</v>
      </c>
      <c r="V98" s="382">
        <f t="shared" si="33"/>
        <v>47.95060369590945</v>
      </c>
      <c r="W98" s="400">
        <f t="shared" si="34"/>
        <v>0</v>
      </c>
      <c r="X98" s="157">
        <f t="shared" si="35"/>
        <v>44645</v>
      </c>
      <c r="Y98" s="383">
        <f t="shared" si="36"/>
        <v>41.585999999999999</v>
      </c>
      <c r="Z98" s="383">
        <f t="shared" si="37"/>
        <v>42.524125784098452</v>
      </c>
      <c r="AA98" s="384">
        <f t="shared" si="38"/>
        <v>46.339852650769771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8.2342231327917945E-2</v>
      </c>
      <c r="AD98" s="230">
        <f>(INDEX(Models!$BJ98:$BT98,,AH98)*(1-AF98)+INDEX(Models!$BJ98:$BT98,,AH98+1)*AF98-ERP_i)*AE98*Ramure*Pc/MaxiM</f>
        <v>2.7571921158204405E-4</v>
      </c>
      <c r="AE98" s="304">
        <f t="shared" si="40"/>
        <v>0.6</v>
      </c>
      <c r="AF98" s="177">
        <f t="shared" si="41"/>
        <v>1.871516050406145E-2</v>
      </c>
      <c r="AG98" s="799">
        <f t="shared" si="49"/>
        <v>0</v>
      </c>
      <c r="AH98" s="176">
        <f t="shared" si="42"/>
        <v>6</v>
      </c>
      <c r="AI98" s="224">
        <f t="shared" si="43"/>
        <v>1.871516050406145E-2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44646</v>
      </c>
      <c r="B99" s="1153">
        <v>46.033999999999999</v>
      </c>
      <c r="C99" s="388"/>
      <c r="D99" s="391">
        <f t="shared" si="25"/>
        <v>47.073368998480127</v>
      </c>
      <c r="E99" s="383">
        <f t="shared" si="47"/>
        <v>51.301157058141683</v>
      </c>
      <c r="F99" s="383">
        <f t="shared" si="26"/>
        <v>51.313972160403146</v>
      </c>
      <c r="G99" s="110">
        <f t="shared" si="48"/>
        <v>0.95353608254080313</v>
      </c>
      <c r="H99" s="412" t="b">
        <f>Wh_hp&gt;='2021'!Maxi_hp</f>
        <v>0</v>
      </c>
      <c r="I99" s="379">
        <f>IF(H99,Wh_hp,'2021'!Maxi_hp)</f>
        <v>54.664172365947202</v>
      </c>
      <c r="J99" s="85">
        <f>IF(H99,An,'2021'!An_max)</f>
        <v>2018</v>
      </c>
      <c r="K99" s="197">
        <f t="shared" si="27"/>
        <v>44646</v>
      </c>
      <c r="L99" s="147">
        <f>IF(t&lt;Tvie,1-EXP((T0-t)*PertePVj)+'2021'!Pspv,1-EXP((T0-t)*PertePVj)+Pspv)</f>
        <v>2.2079766555771485E-2</v>
      </c>
      <c r="M99" s="832"/>
      <c r="N99" s="832"/>
      <c r="O99" s="48">
        <f>IF(t&lt;Tnet,'2021'!Resal+('2021'!Salim-'2021'!Resal)*(1-EXP(('2021'!Tnet-t)/('2021'!Tau_j))),Resal+(Salim-Resal)*(1-EXP((Tnet-t)/(Tau_j))))*Salcycl</f>
        <v>8.2411163843147478E-2</v>
      </c>
      <c r="P99" s="169">
        <f>(INDEX(Models!$BJ99:$BT99,,T99)*(1-R99)+INDEX(Models!$BJ99:$BT99,,T99+1)*R99-ERP_i)*Q99*Ramure*Pc/MaxiM</f>
        <v>2.6748760489718232E-4</v>
      </c>
      <c r="Q99" s="304">
        <f t="shared" si="28"/>
        <v>0.6</v>
      </c>
      <c r="R99" s="177">
        <f t="shared" si="29"/>
        <v>1.9530846505465067E-2</v>
      </c>
      <c r="S99" s="799">
        <f t="shared" si="30"/>
        <v>0</v>
      </c>
      <c r="T99" s="176">
        <f t="shared" si="31"/>
        <v>6</v>
      </c>
      <c r="U99" s="250">
        <f t="shared" si="32"/>
        <v>1.9530846505465067E-2</v>
      </c>
      <c r="V99" s="382">
        <f t="shared" si="33"/>
        <v>48.2762882301313</v>
      </c>
      <c r="W99" s="400">
        <f t="shared" si="34"/>
        <v>0</v>
      </c>
      <c r="X99" s="157">
        <f t="shared" si="35"/>
        <v>44646</v>
      </c>
      <c r="Y99" s="383">
        <f t="shared" si="36"/>
        <v>46.033999999999999</v>
      </c>
      <c r="Z99" s="383">
        <f t="shared" si="37"/>
        <v>47.073368998480127</v>
      </c>
      <c r="AA99" s="384">
        <f t="shared" si="38"/>
        <v>51.301157058141683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8.2411163843147478E-2</v>
      </c>
      <c r="AD99" s="230">
        <f>(INDEX(Models!$BJ99:$BT99,,AH99)*(1-AF99)+INDEX(Models!$BJ99:$BT99,,AH99+1)*AF99-ERP_i)*AE99*Ramure*Pc/MaxiM</f>
        <v>2.6748760489718232E-4</v>
      </c>
      <c r="AE99" s="304">
        <f t="shared" si="40"/>
        <v>0.6</v>
      </c>
      <c r="AF99" s="177">
        <f t="shared" si="41"/>
        <v>1.9530846505465067E-2</v>
      </c>
      <c r="AG99" s="799">
        <f t="shared" si="49"/>
        <v>0</v>
      </c>
      <c r="AH99" s="176">
        <f t="shared" si="42"/>
        <v>6</v>
      </c>
      <c r="AI99" s="224">
        <f t="shared" si="43"/>
        <v>1.9530846505465067E-2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44647</v>
      </c>
      <c r="B100" s="1153">
        <v>44.505000000000003</v>
      </c>
      <c r="C100" s="388"/>
      <c r="D100" s="391">
        <f t="shared" si="25"/>
        <v>45.510718995729285</v>
      </c>
      <c r="E100" s="383">
        <f t="shared" si="47"/>
        <v>49.601917644710042</v>
      </c>
      <c r="F100" s="383">
        <f t="shared" si="26"/>
        <v>49.613250732252105</v>
      </c>
      <c r="G100" s="110">
        <f t="shared" si="48"/>
        <v>0.91574622151092089</v>
      </c>
      <c r="H100" s="412" t="b">
        <f>Wh_hp&gt;='2021'!Maxi_hp</f>
        <v>0</v>
      </c>
      <c r="I100" s="379">
        <f>IF(H100,Wh_hp,'2021'!Maxi_hp)</f>
        <v>53.82661692337178</v>
      </c>
      <c r="J100" s="85">
        <f>IF(H100,An,'2021'!An_max)</f>
        <v>2018</v>
      </c>
      <c r="K100" s="197">
        <f t="shared" si="27"/>
        <v>44647</v>
      </c>
      <c r="L100" s="147">
        <f>IF(t&lt;Tvie,1-EXP((T0-t)*PertePVj)+'2021'!Pspv,1-EXP((T0-t)*PertePVj)+Pspv)</f>
        <v>2.2098508173945985E-2</v>
      </c>
      <c r="M100" s="832"/>
      <c r="N100" s="832"/>
      <c r="O100" s="48">
        <f>IF(t&lt;Tnet,'2021'!Resal+('2021'!Salim-'2021'!Resal)*(1-EXP(('2021'!Tnet-t)/('2021'!Tau_j))),Resal+(Salim-Resal)*(1-EXP((Tnet-t)/(Tau_j))))*Salcycl</f>
        <v>8.2480654846558601E-2</v>
      </c>
      <c r="P100" s="169">
        <f>(INDEX(Models!$BJ100:$BT100,,T100)*(1-R100)+INDEX(Models!$BJ100:$BT100,,T100+1)*R100-ERP_i)*Q100*Ramure*Pc/MaxiM</f>
        <v>2.5967291865147191E-4</v>
      </c>
      <c r="Q100" s="304">
        <f t="shared" si="28"/>
        <v>0.6</v>
      </c>
      <c r="R100" s="177">
        <f t="shared" si="29"/>
        <v>2.0377811673429645E-2</v>
      </c>
      <c r="S100" s="799">
        <f t="shared" si="30"/>
        <v>0</v>
      </c>
      <c r="T100" s="176">
        <f t="shared" si="31"/>
        <v>6</v>
      </c>
      <c r="U100" s="250">
        <f t="shared" si="32"/>
        <v>2.0377811673429645E-2</v>
      </c>
      <c r="V100" s="382">
        <f t="shared" si="33"/>
        <v>48.598190317812815</v>
      </c>
      <c r="W100" s="400">
        <f t="shared" si="34"/>
        <v>0</v>
      </c>
      <c r="X100" s="157">
        <f t="shared" si="35"/>
        <v>44647</v>
      </c>
      <c r="Y100" s="383">
        <f t="shared" si="36"/>
        <v>44.505000000000003</v>
      </c>
      <c r="Z100" s="383">
        <f t="shared" si="37"/>
        <v>45.510718995729285</v>
      </c>
      <c r="AA100" s="384">
        <f t="shared" si="38"/>
        <v>49.601917644710042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8.2480654846558601E-2</v>
      </c>
      <c r="AD100" s="230">
        <f>(INDEX(Models!$BJ100:$BT100,,AH100)*(1-AF100)+INDEX(Models!$BJ100:$BT100,,AH100+1)*AF100-ERP_i)*AE100*Ramure*Pc/MaxiM</f>
        <v>2.5967291865147191E-4</v>
      </c>
      <c r="AE100" s="304">
        <f t="shared" si="40"/>
        <v>0.6</v>
      </c>
      <c r="AF100" s="177">
        <f t="shared" si="41"/>
        <v>2.0377811673429645E-2</v>
      </c>
      <c r="AG100" s="799">
        <f t="shared" si="49"/>
        <v>0</v>
      </c>
      <c r="AH100" s="176">
        <f t="shared" si="42"/>
        <v>6</v>
      </c>
      <c r="AI100" s="224">
        <f t="shared" si="43"/>
        <v>2.0377811673429645E-2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44648</v>
      </c>
      <c r="B101" s="1153">
        <v>14.331</v>
      </c>
      <c r="C101" s="388"/>
      <c r="D101" s="391">
        <f t="shared" si="25"/>
        <v>14.655131192046987</v>
      </c>
      <c r="E101" s="383">
        <f t="shared" si="47"/>
        <v>15.973778371358494</v>
      </c>
      <c r="F101" s="383">
        <f t="shared" si="26"/>
        <v>15.973778371358494</v>
      </c>
      <c r="G101" s="110">
        <f t="shared" si="48"/>
        <v>0.29290058622318194</v>
      </c>
      <c r="H101" s="412" t="b">
        <f>Wh_hp&gt;='2021'!Maxi_hp</f>
        <v>0</v>
      </c>
      <c r="I101" s="379">
        <f>IF(H101,Wh_hp,'2021'!Maxi_hp)</f>
        <v>53.283033319082513</v>
      </c>
      <c r="J101" s="85">
        <f>IF(H101,An,'2021'!An_max)</f>
        <v>2021</v>
      </c>
      <c r="K101" s="197">
        <f t="shared" si="27"/>
        <v>44648</v>
      </c>
      <c r="L101" s="147">
        <f>IF(t&lt;Tvie,1-EXP((T0-t)*PertePVj)+'2021'!Pspv,1-EXP((T0-t)*PertePVj)+Pspv)</f>
        <v>2.2117249432941688E-2</v>
      </c>
      <c r="M101" s="832"/>
      <c r="N101" s="832"/>
      <c r="O101" s="48">
        <f>IF(t&lt;Tnet,'2021'!Resal+('2021'!Salim-'2021'!Resal)*(1-EXP(('2021'!Tnet-t)/('2021'!Tau_j))),Resal+(Salim-Resal)*(1-EXP((Tnet-t)/(Tau_j))))*Salcycl</f>
        <v>8.2550737130288765E-2</v>
      </c>
      <c r="P101" s="169">
        <f>(INDEX(Models!$BJ101:$BT101,,T101)*(1-R101)+INDEX(Models!$BJ101:$BT101,,T101+1)*R101-ERP_i)*Q101*Ramure*Pc/MaxiM</f>
        <v>2.5222406723349915E-4</v>
      </c>
      <c r="Q101" s="304">
        <f t="shared" si="28"/>
        <v>0.6</v>
      </c>
      <c r="R101" s="177">
        <f t="shared" si="29"/>
        <v>2.1257133223093885E-2</v>
      </c>
      <c r="S101" s="799">
        <f t="shared" si="30"/>
        <v>0</v>
      </c>
      <c r="T101" s="176">
        <f t="shared" si="31"/>
        <v>6</v>
      </c>
      <c r="U101" s="250">
        <f t="shared" si="32"/>
        <v>2.1257133223093885E-2</v>
      </c>
      <c r="V101" s="382">
        <f t="shared" si="33"/>
        <v>48.915523050457189</v>
      </c>
      <c r="W101" s="400">
        <f t="shared" si="34"/>
        <v>0</v>
      </c>
      <c r="X101" s="157">
        <f t="shared" si="35"/>
        <v>44648</v>
      </c>
      <c r="Y101" s="383">
        <f t="shared" si="36"/>
        <v>14.331</v>
      </c>
      <c r="Z101" s="383">
        <f t="shared" si="37"/>
        <v>14.655131192046987</v>
      </c>
      <c r="AA101" s="384">
        <f t="shared" si="38"/>
        <v>15.973778371358494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8.2550737130288765E-2</v>
      </c>
      <c r="AD101" s="230">
        <f>(INDEX(Models!$BJ101:$BT101,,AH101)*(1-AF101)+INDEX(Models!$BJ101:$BT101,,AH101+1)*AF101-ERP_i)*AE101*Ramure*Pc/MaxiM</f>
        <v>2.5222406723349915E-4</v>
      </c>
      <c r="AE101" s="304">
        <f t="shared" si="40"/>
        <v>0.6</v>
      </c>
      <c r="AF101" s="177">
        <f t="shared" si="41"/>
        <v>2.1257133223093885E-2</v>
      </c>
      <c r="AG101" s="799">
        <f t="shared" si="49"/>
        <v>0</v>
      </c>
      <c r="AH101" s="176">
        <f t="shared" si="42"/>
        <v>6</v>
      </c>
      <c r="AI101" s="224">
        <f t="shared" si="43"/>
        <v>2.1257133223093885E-2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44649</v>
      </c>
      <c r="B102" s="1153">
        <v>27.504999999999999</v>
      </c>
      <c r="C102" s="388"/>
      <c r="D102" s="391">
        <f t="shared" si="25"/>
        <v>28.127633012447099</v>
      </c>
      <c r="E102" s="383">
        <f t="shared" si="47"/>
        <v>30.66087909600294</v>
      </c>
      <c r="F102" s="383">
        <f t="shared" si="26"/>
        <v>30.663657428213796</v>
      </c>
      <c r="G102" s="110">
        <f t="shared" si="48"/>
        <v>0.55864609489777506</v>
      </c>
      <c r="H102" s="412" t="b">
        <f>Wh_hp&gt;='2021'!Maxi_hp</f>
        <v>0</v>
      </c>
      <c r="I102" s="379">
        <f>IF(H102,Wh_hp,'2021'!Maxi_hp)</f>
        <v>55.473113479022246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2.2135990332765365E-2</v>
      </c>
      <c r="M102" s="832"/>
      <c r="N102" s="832"/>
      <c r="O102" s="48">
        <f>IF(t&lt;Tnet,'2021'!Resal+('2021'!Salim-'2021'!Resal)*(1-EXP(('2021'!Tnet-t)/('2021'!Tau_j))),Resal+(Salim-Resal)*(1-EXP((Tnet-t)/(Tau_j))))*Salcycl</f>
        <v>8.2621443293388275E-2</v>
      </c>
      <c r="P102" s="169">
        <f>(INDEX(Models!$BJ102:$BT102,,T102)*(1-R102)+INDEX(Models!$BJ102:$BT102,,T102+1)*R102-ERP_i)*Q102*Ramure*Pc/MaxiM</f>
        <v>2.4513615498754273E-4</v>
      </c>
      <c r="Q102" s="304">
        <f t="shared" si="28"/>
        <v>0.6</v>
      </c>
      <c r="R102" s="177">
        <f t="shared" si="29"/>
        <v>2.2169915507480268E-2</v>
      </c>
      <c r="S102" s="799">
        <f t="shared" si="30"/>
        <v>0</v>
      </c>
      <c r="T102" s="176">
        <f t="shared" si="31"/>
        <v>6</v>
      </c>
      <c r="U102" s="250">
        <f t="shared" si="32"/>
        <v>2.2169915507480268E-2</v>
      </c>
      <c r="V102" s="382">
        <f t="shared" si="33"/>
        <v>49.227497574636033</v>
      </c>
      <c r="W102" s="400">
        <f t="shared" si="34"/>
        <v>0</v>
      </c>
      <c r="X102" s="157">
        <f t="shared" si="35"/>
        <v>44649</v>
      </c>
      <c r="Y102" s="383">
        <f t="shared" si="36"/>
        <v>27.504999999999999</v>
      </c>
      <c r="Z102" s="383">
        <f t="shared" si="37"/>
        <v>28.127633012447099</v>
      </c>
      <c r="AA102" s="384">
        <f t="shared" si="38"/>
        <v>30.66087909600294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8.2621443293388275E-2</v>
      </c>
      <c r="AD102" s="230">
        <f>(INDEX(Models!$BJ102:$BT102,,AH102)*(1-AF102)+INDEX(Models!$BJ102:$BT102,,AH102+1)*AF102-ERP_i)*AE102*Ramure*Pc/MaxiM</f>
        <v>2.4513615498754273E-4</v>
      </c>
      <c r="AE102" s="304">
        <f t="shared" si="40"/>
        <v>0.6</v>
      </c>
      <c r="AF102" s="177">
        <f t="shared" si="41"/>
        <v>2.2169915507480268E-2</v>
      </c>
      <c r="AG102" s="799">
        <f t="shared" si="49"/>
        <v>0</v>
      </c>
      <c r="AH102" s="176">
        <f t="shared" si="42"/>
        <v>6</v>
      </c>
      <c r="AI102" s="224">
        <f t="shared" si="43"/>
        <v>2.2169915507480268E-2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44650</v>
      </c>
      <c r="B103" s="1153">
        <v>7.7119999999999997</v>
      </c>
      <c r="C103" s="388"/>
      <c r="D103" s="391">
        <f t="shared" si="25"/>
        <v>7.88672834393161</v>
      </c>
      <c r="E103" s="383">
        <f t="shared" si="47"/>
        <v>8.5976959437448226</v>
      </c>
      <c r="F103" s="383">
        <f t="shared" si="26"/>
        <v>8.5976959437448226</v>
      </c>
      <c r="G103" s="110">
        <f t="shared" si="48"/>
        <v>0.15565604317875781</v>
      </c>
      <c r="H103" s="412" t="b">
        <f>Wh_hp&gt;='2021'!Maxi_hp</f>
        <v>0</v>
      </c>
      <c r="I103" s="379">
        <f>IF(H103,Wh_hp,'2021'!Maxi_hp)</f>
        <v>54.228775027955102</v>
      </c>
      <c r="J103" s="85">
        <f>IF(H103,An,'2021'!An_max)</f>
        <v>2018</v>
      </c>
      <c r="K103" s="197">
        <f t="shared" si="27"/>
        <v>44650</v>
      </c>
      <c r="L103" s="147">
        <f>IF(t&lt;Tvie,1-EXP((T0-t)*PertePVj)+'2021'!Pspv,1-EXP((T0-t)*PertePVj)+Pspv)</f>
        <v>2.2154730873424011E-2</v>
      </c>
      <c r="M103" s="832"/>
      <c r="N103" s="832"/>
      <c r="O103" s="48">
        <f>IF(t&lt;Tnet,'2021'!Resal+('2021'!Salim-'2021'!Resal)*(1-EXP(('2021'!Tnet-t)/('2021'!Tau_j))),Resal+(Salim-Resal)*(1-EXP((Tnet-t)/(Tau_j))))*Salcycl</f>
        <v>8.269280566155307E-2</v>
      </c>
      <c r="P103" s="169">
        <f>(INDEX(Models!$BJ103:$BT103,,T103)*(1-R103)+INDEX(Models!$BJ103:$BT103,,T103+1)*R103-ERP_i)*Q103*Ramure*Pc/MaxiM</f>
        <v>2.3840421512849694E-4</v>
      </c>
      <c r="Q103" s="304">
        <f t="shared" si="28"/>
        <v>0.6</v>
      </c>
      <c r="R103" s="177">
        <f t="shared" si="29"/>
        <v>2.3117289859098607E-2</v>
      </c>
      <c r="S103" s="799">
        <f t="shared" si="30"/>
        <v>0</v>
      </c>
      <c r="T103" s="176">
        <f t="shared" si="31"/>
        <v>6</v>
      </c>
      <c r="U103" s="250">
        <f t="shared" si="32"/>
        <v>2.3117289859098607E-2</v>
      </c>
      <c r="V103" s="382">
        <f t="shared" si="33"/>
        <v>49.533325332177824</v>
      </c>
      <c r="W103" s="400">
        <f t="shared" si="34"/>
        <v>0</v>
      </c>
      <c r="X103" s="157">
        <f t="shared" si="35"/>
        <v>44650</v>
      </c>
      <c r="Y103" s="383">
        <f t="shared" si="36"/>
        <v>7.7119999999999997</v>
      </c>
      <c r="Z103" s="383">
        <f t="shared" si="37"/>
        <v>7.8867283439316092</v>
      </c>
      <c r="AA103" s="384">
        <f t="shared" si="38"/>
        <v>8.5976959437448226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8.269280566155307E-2</v>
      </c>
      <c r="AD103" s="230">
        <f>(INDEX(Models!$BJ103:$BT103,,AH103)*(1-AF103)+INDEX(Models!$BJ103:$BT103,,AH103+1)*AF103-ERP_i)*AE103*Ramure*Pc/MaxiM</f>
        <v>2.3840421512849694E-4</v>
      </c>
      <c r="AE103" s="304">
        <f t="shared" si="40"/>
        <v>0.6</v>
      </c>
      <c r="AF103" s="177">
        <f t="shared" si="41"/>
        <v>2.3117289859098607E-2</v>
      </c>
      <c r="AG103" s="799">
        <f t="shared" si="49"/>
        <v>0</v>
      </c>
      <c r="AH103" s="176">
        <f t="shared" si="42"/>
        <v>6</v>
      </c>
      <c r="AI103" s="224">
        <f t="shared" si="43"/>
        <v>2.3117289859098607E-2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44651</v>
      </c>
      <c r="B104" s="1153">
        <v>27.469000000000001</v>
      </c>
      <c r="C104" s="388"/>
      <c r="D104" s="391">
        <f t="shared" si="25"/>
        <v>28.091894816593726</v>
      </c>
      <c r="E104" s="383">
        <f t="shared" si="47"/>
        <v>30.626710071883835</v>
      </c>
      <c r="F104" s="383">
        <f t="shared" si="26"/>
        <v>30.629260664282391</v>
      </c>
      <c r="G104" s="110">
        <f t="shared" si="48"/>
        <v>0.55114772544713386</v>
      </c>
      <c r="H104" s="412" t="b">
        <f>Wh_hp&gt;='2021'!Maxi_hp</f>
        <v>0</v>
      </c>
      <c r="I104" s="379">
        <f>IF(H104,Wh_hp,'2021'!Maxi_hp)</f>
        <v>49.948595361830613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2.217347105492451E-2</v>
      </c>
      <c r="M104" s="832"/>
      <c r="N104" s="832"/>
      <c r="O104" s="48">
        <f>IF(t&lt;Tnet,'2021'!Resal+('2021'!Salim-'2021'!Resal)*(1-EXP(('2021'!Tnet-t)/('2021'!Tau_j))),Resal+(Salim-Resal)*(1-EXP((Tnet-t)/(Tau_j))))*Salcycl</f>
        <v>8.2764856210172613E-2</v>
      </c>
      <c r="P104" s="169">
        <f>(INDEX(Models!$BJ104:$BT104,,T104)*(1-R104)+INDEX(Models!$BJ104:$BT104,,T104+1)*R104-ERP_i)*Q104*Ramure*Pc/MaxiM</f>
        <v>2.3202327865131034E-4</v>
      </c>
      <c r="Q104" s="304">
        <f t="shared" si="28"/>
        <v>0.6</v>
      </c>
      <c r="R104" s="177">
        <f t="shared" si="29"/>
        <v>2.4100414342762864E-2</v>
      </c>
      <c r="S104" s="799">
        <f t="shared" si="30"/>
        <v>0</v>
      </c>
      <c r="T104" s="176">
        <f t="shared" si="31"/>
        <v>6</v>
      </c>
      <c r="U104" s="250">
        <f t="shared" si="32"/>
        <v>2.4100414342762864E-2</v>
      </c>
      <c r="V104" s="382">
        <f t="shared" si="33"/>
        <v>49.832218064225515</v>
      </c>
      <c r="W104" s="400">
        <f t="shared" si="34"/>
        <v>0</v>
      </c>
      <c r="X104" s="157">
        <f t="shared" si="35"/>
        <v>44651</v>
      </c>
      <c r="Y104" s="383">
        <f t="shared" si="36"/>
        <v>27.469000000000001</v>
      </c>
      <c r="Z104" s="383">
        <f t="shared" si="37"/>
        <v>28.091894816593726</v>
      </c>
      <c r="AA104" s="384">
        <f t="shared" si="38"/>
        <v>30.626710071883835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8.2764856210172613E-2</v>
      </c>
      <c r="AD104" s="230">
        <f>(INDEX(Models!$BJ104:$BT104,,AH104)*(1-AF104)+INDEX(Models!$BJ104:$BT104,,AH104+1)*AF104-ERP_i)*AE104*Ramure*Pc/MaxiM</f>
        <v>2.3202327865131034E-4</v>
      </c>
      <c r="AE104" s="304">
        <f t="shared" si="40"/>
        <v>0.6</v>
      </c>
      <c r="AF104" s="177">
        <f t="shared" si="41"/>
        <v>2.4100414342762864E-2</v>
      </c>
      <c r="AG104" s="799">
        <f t="shared" si="49"/>
        <v>0</v>
      </c>
      <c r="AH104" s="176">
        <f t="shared" si="42"/>
        <v>6</v>
      </c>
      <c r="AI104" s="224">
        <f t="shared" si="43"/>
        <v>2.4100414342762864E-2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44652</v>
      </c>
      <c r="B105" s="1153">
        <v>32.166000000000004</v>
      </c>
      <c r="C105" s="388"/>
      <c r="D105" s="391">
        <f t="shared" si="25"/>
        <v>32.896035762671545</v>
      </c>
      <c r="E105" s="383">
        <f t="shared" si="47"/>
        <v>35.867188529334996</v>
      </c>
      <c r="F105" s="383">
        <f t="shared" si="26"/>
        <v>35.871146062960712</v>
      </c>
      <c r="G105" s="110">
        <f t="shared" si="48"/>
        <v>0.64166211815704821</v>
      </c>
      <c r="H105" s="412" t="b">
        <f>Wh_hp&gt;='2021'!Maxi_hp</f>
        <v>0</v>
      </c>
      <c r="I105" s="379">
        <f>IF(H105,Wh_hp,'2021'!Maxi_hp)</f>
        <v>50.703405728850484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2.2192210877273633E-2</v>
      </c>
      <c r="M105" s="832"/>
      <c r="N105" s="832"/>
      <c r="O105" s="48">
        <f>IF(t&lt;Tnet,'2021'!Resal+('2021'!Salim-'2021'!Resal)*(1-EXP(('2021'!Tnet-t)/('2021'!Tau_j))),Resal+(Salim-Resal)*(1-EXP((Tnet-t)/(Tau_j))))*Salcycl</f>
        <v>8.283762649066867E-2</v>
      </c>
      <c r="P105" s="169">
        <f>(INDEX(Models!$BJ105:$BT105,,T105)*(1-R105)+INDEX(Models!$BJ105:$BT105,,T105+1)*R105-ERP_i)*Q105*Ramure*Pc/MaxiM</f>
        <v>2.2598843966206689E-4</v>
      </c>
      <c r="Q105" s="304">
        <f t="shared" si="28"/>
        <v>0.6</v>
      </c>
      <c r="R105" s="177">
        <f t="shared" si="29"/>
        <v>2.5120473412048101E-2</v>
      </c>
      <c r="S105" s="799">
        <f t="shared" si="30"/>
        <v>0</v>
      </c>
      <c r="T105" s="176">
        <f t="shared" si="31"/>
        <v>6</v>
      </c>
      <c r="U105" s="250">
        <f t="shared" si="32"/>
        <v>2.5120473412048101E-2</v>
      </c>
      <c r="V105" s="382">
        <f t="shared" si="33"/>
        <v>50.123387829100544</v>
      </c>
      <c r="W105" s="400">
        <f t="shared" si="34"/>
        <v>0</v>
      </c>
      <c r="X105" s="157">
        <f t="shared" si="35"/>
        <v>44652</v>
      </c>
      <c r="Y105" s="383">
        <f t="shared" si="36"/>
        <v>32.166000000000004</v>
      </c>
      <c r="Z105" s="383">
        <f t="shared" si="37"/>
        <v>32.896035762671545</v>
      </c>
      <c r="AA105" s="384">
        <f t="shared" si="38"/>
        <v>35.867188529334996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8.283762649066867E-2</v>
      </c>
      <c r="AD105" s="230">
        <f>(INDEX(Models!$BJ105:$BT105,,AH105)*(1-AF105)+INDEX(Models!$BJ105:$BT105,,AH105+1)*AF105-ERP_i)*AE105*Ramure*Pc/MaxiM</f>
        <v>2.2598843966206689E-4</v>
      </c>
      <c r="AE105" s="304">
        <f t="shared" si="40"/>
        <v>0.6</v>
      </c>
      <c r="AF105" s="177">
        <f t="shared" si="41"/>
        <v>2.5120473412048101E-2</v>
      </c>
      <c r="AG105" s="799">
        <f t="shared" si="49"/>
        <v>0</v>
      </c>
      <c r="AH105" s="176">
        <f t="shared" si="42"/>
        <v>6</v>
      </c>
      <c r="AI105" s="224">
        <f t="shared" si="43"/>
        <v>2.5120473412048101E-2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44653</v>
      </c>
      <c r="B106" s="1153">
        <v>20.080000000000002</v>
      </c>
      <c r="C106" s="388"/>
      <c r="D106" s="391">
        <f t="shared" si="25"/>
        <v>20.536126894642674</v>
      </c>
      <c r="E106" s="383">
        <f t="shared" si="47"/>
        <v>22.392734182740341</v>
      </c>
      <c r="F106" s="383">
        <f t="shared" si="26"/>
        <v>22.393427396496172</v>
      </c>
      <c r="G106" s="110">
        <f t="shared" si="48"/>
        <v>0.39828947418207672</v>
      </c>
      <c r="H106" s="412" t="b">
        <f>Wh_hp&gt;='2021'!Maxi_hp</f>
        <v>0</v>
      </c>
      <c r="I106" s="379">
        <f>IF(H106,Wh_hp,'2021'!Maxi_hp)</f>
        <v>45.942881049826532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2.2210950340478375E-2</v>
      </c>
      <c r="M106" s="832"/>
      <c r="N106" s="832"/>
      <c r="O106" s="48">
        <f>IF(t&lt;Tnet,'2021'!Resal+('2021'!Salim-'2021'!Resal)*(1-EXP(('2021'!Tnet-t)/('2021'!Tau_j))),Resal+(Salim-Resal)*(1-EXP((Tnet-t)/(Tau_j))))*Salcycl</f>
        <v>8.2911147560028001E-2</v>
      </c>
      <c r="P106" s="169">
        <f>(INDEX(Models!$BJ106:$BT106,,T106)*(1-R106)+INDEX(Models!$BJ106:$BT106,,T106+1)*R106-ERP_i)*Q106*Ramure*Pc/MaxiM</f>
        <v>2.2029491748582955E-4</v>
      </c>
      <c r="Q106" s="304">
        <f t="shared" si="28"/>
        <v>0.6</v>
      </c>
      <c r="R106" s="177">
        <f t="shared" si="29"/>
        <v>2.6178677461487464E-2</v>
      </c>
      <c r="S106" s="799">
        <f t="shared" si="30"/>
        <v>0</v>
      </c>
      <c r="T106" s="176">
        <f t="shared" si="31"/>
        <v>6</v>
      </c>
      <c r="U106" s="250">
        <f t="shared" si="32"/>
        <v>2.6178677461487464E-2</v>
      </c>
      <c r="V106" s="382">
        <f t="shared" si="33"/>
        <v>50.40604701039365</v>
      </c>
      <c r="W106" s="400">
        <f t="shared" si="34"/>
        <v>0</v>
      </c>
      <c r="X106" s="157">
        <f t="shared" si="35"/>
        <v>44653</v>
      </c>
      <c r="Y106" s="383">
        <f t="shared" si="36"/>
        <v>20.080000000000002</v>
      </c>
      <c r="Z106" s="383">
        <f t="shared" si="37"/>
        <v>20.536126894642674</v>
      </c>
      <c r="AA106" s="384">
        <f t="shared" si="38"/>
        <v>22.392734182740341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8.2911147560028001E-2</v>
      </c>
      <c r="AD106" s="230">
        <f>(INDEX(Models!$BJ106:$BT106,,AH106)*(1-AF106)+INDEX(Models!$BJ106:$BT106,,AH106+1)*AF106-ERP_i)*AE106*Ramure*Pc/MaxiM</f>
        <v>2.2029491748582955E-4</v>
      </c>
      <c r="AE106" s="304">
        <f t="shared" si="40"/>
        <v>0.6</v>
      </c>
      <c r="AF106" s="177">
        <f t="shared" si="41"/>
        <v>2.6178677461487464E-2</v>
      </c>
      <c r="AG106" s="799">
        <f t="shared" si="49"/>
        <v>0</v>
      </c>
      <c r="AH106" s="176">
        <f t="shared" si="42"/>
        <v>6</v>
      </c>
      <c r="AI106" s="224">
        <f t="shared" si="43"/>
        <v>2.6178677461487464E-2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44654</v>
      </c>
      <c r="B107" s="1153">
        <v>22.339000000000002</v>
      </c>
      <c r="C107" s="388"/>
      <c r="D107" s="391">
        <f t="shared" si="25"/>
        <v>22.846879025514284</v>
      </c>
      <c r="E107" s="383">
        <f t="shared" si="47"/>
        <v>24.914412779334679</v>
      </c>
      <c r="F107" s="383">
        <f t="shared" si="26"/>
        <v>24.91548969289402</v>
      </c>
      <c r="G107" s="110">
        <f t="shared" si="48"/>
        <v>0.44069580489923771</v>
      </c>
      <c r="H107" s="412" t="b">
        <f>Wh_hp&gt;='2021'!Maxi_hp</f>
        <v>0</v>
      </c>
      <c r="I107" s="379">
        <f>IF(H107,Wh_hp,'2021'!Maxi_hp)</f>
        <v>55.561785950469968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2.2229689444545508E-2</v>
      </c>
      <c r="M107" s="832"/>
      <c r="N107" s="832"/>
      <c r="O107" s="48">
        <f>IF(t&lt;Tnet,'2021'!Resal+('2021'!Salim-'2021'!Resal)*(1-EXP(('2021'!Tnet-t)/('2021'!Tau_j))),Resal+(Salim-Resal)*(1-EXP((Tnet-t)/(Tau_j))))*Salcycl</f>
        <v>8.2985449913365664E-2</v>
      </c>
      <c r="P107" s="169">
        <f>(INDEX(Models!$BJ107:$BT107,,T107)*(1-R107)+INDEX(Models!$BJ107:$BT107,,T107+1)*R107-ERP_i)*Q107*Ramure*Pc/MaxiM</f>
        <v>2.1492886547348167E-4</v>
      </c>
      <c r="Q107" s="304">
        <f t="shared" si="28"/>
        <v>0.6</v>
      </c>
      <c r="R107" s="177">
        <f t="shared" si="29"/>
        <v>2.7276262266301032E-2</v>
      </c>
      <c r="S107" s="799">
        <f t="shared" si="30"/>
        <v>0</v>
      </c>
      <c r="T107" s="176">
        <f t="shared" si="31"/>
        <v>6</v>
      </c>
      <c r="U107" s="250">
        <f t="shared" si="32"/>
        <v>2.7276262266301032E-2</v>
      </c>
      <c r="V107" s="382">
        <f t="shared" si="33"/>
        <v>50.681589978426821</v>
      </c>
      <c r="W107" s="400">
        <f t="shared" si="34"/>
        <v>0</v>
      </c>
      <c r="X107" s="157">
        <f t="shared" si="35"/>
        <v>44654</v>
      </c>
      <c r="Y107" s="383">
        <f t="shared" si="36"/>
        <v>22.339000000000002</v>
      </c>
      <c r="Z107" s="383">
        <f t="shared" si="37"/>
        <v>22.846879025514284</v>
      </c>
      <c r="AA107" s="384">
        <f t="shared" si="38"/>
        <v>24.914412779334679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8.2985449913365664E-2</v>
      </c>
      <c r="AD107" s="230">
        <f>(INDEX(Models!$BJ107:$BT107,,AH107)*(1-AF107)+INDEX(Models!$BJ107:$BT107,,AH107+1)*AF107-ERP_i)*AE107*Ramure*Pc/MaxiM</f>
        <v>2.1492886547348167E-4</v>
      </c>
      <c r="AE107" s="304">
        <f t="shared" si="40"/>
        <v>0.6</v>
      </c>
      <c r="AF107" s="177">
        <f t="shared" si="41"/>
        <v>2.7276262266301032E-2</v>
      </c>
      <c r="AG107" s="799">
        <f t="shared" si="49"/>
        <v>0</v>
      </c>
      <c r="AH107" s="176">
        <f t="shared" si="42"/>
        <v>6</v>
      </c>
      <c r="AI107" s="224">
        <f t="shared" si="43"/>
        <v>2.7276262266301032E-2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44655</v>
      </c>
      <c r="B108" s="1153">
        <v>44.968000000000004</v>
      </c>
      <c r="C108" s="388"/>
      <c r="D108" s="391">
        <f t="shared" si="25"/>
        <v>45.991232636662559</v>
      </c>
      <c r="E108" s="383">
        <f t="shared" si="47"/>
        <v>50.157328610671584</v>
      </c>
      <c r="F108" s="383">
        <f t="shared" si="26"/>
        <v>50.166091368223242</v>
      </c>
      <c r="G108" s="110">
        <f t="shared" si="48"/>
        <v>0.88252731384048588</v>
      </c>
      <c r="H108" s="412" t="b">
        <f>Wh_hp&gt;='2021'!Maxi_hp</f>
        <v>0</v>
      </c>
      <c r="I108" s="379">
        <f>IF(H108,Wh_hp,'2021'!Maxi_hp)</f>
        <v>57.558924699627966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2.2248428189482139E-2</v>
      </c>
      <c r="M108" s="832"/>
      <c r="N108" s="832"/>
      <c r="O108" s="48">
        <f>IF(t&lt;Tnet,'2021'!Resal+('2021'!Salim-'2021'!Resal)*(1-EXP(('2021'!Tnet-t)/('2021'!Tau_j))),Resal+(Salim-Resal)*(1-EXP((Tnet-t)/(Tau_j))))*Salcycl</f>
        <v>8.3060563419293354E-2</v>
      </c>
      <c r="P108" s="169">
        <f>(INDEX(Models!$BJ108:$BT108,,T108)*(1-R108)+INDEX(Models!$BJ108:$BT108,,T108+1)*R108-ERP_i)*Q108*Ramure*Pc/MaxiM</f>
        <v>2.0988872242678786E-4</v>
      </c>
      <c r="Q108" s="304">
        <f t="shared" si="28"/>
        <v>0.6</v>
      </c>
      <c r="R108" s="177">
        <f t="shared" si="29"/>
        <v>2.8414488301153704E-2</v>
      </c>
      <c r="S108" s="799">
        <f t="shared" si="30"/>
        <v>0</v>
      </c>
      <c r="T108" s="176">
        <f t="shared" si="31"/>
        <v>6</v>
      </c>
      <c r="U108" s="250">
        <f t="shared" si="32"/>
        <v>2.8414488301153704E-2</v>
      </c>
      <c r="V108" s="382">
        <f t="shared" si="33"/>
        <v>50.951869164262718</v>
      </c>
      <c r="W108" s="400">
        <f t="shared" si="34"/>
        <v>0</v>
      </c>
      <c r="X108" s="157">
        <f t="shared" si="35"/>
        <v>44655</v>
      </c>
      <c r="Y108" s="383">
        <f t="shared" si="36"/>
        <v>44.968000000000004</v>
      </c>
      <c r="Z108" s="383">
        <f t="shared" si="37"/>
        <v>45.991232636662559</v>
      </c>
      <c r="AA108" s="384">
        <f t="shared" si="38"/>
        <v>50.157328610671584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8.3060563419293354E-2</v>
      </c>
      <c r="AD108" s="230">
        <f>(INDEX(Models!$BJ108:$BT108,,AH108)*(1-AF108)+INDEX(Models!$BJ108:$BT108,,AH108+1)*AF108-ERP_i)*AE108*Ramure*Pc/MaxiM</f>
        <v>2.0988872242678786E-4</v>
      </c>
      <c r="AE108" s="304">
        <f t="shared" si="40"/>
        <v>0.6</v>
      </c>
      <c r="AF108" s="177">
        <f t="shared" si="41"/>
        <v>2.8414488301153704E-2</v>
      </c>
      <c r="AG108" s="799">
        <f t="shared" si="49"/>
        <v>0</v>
      </c>
      <c r="AH108" s="176">
        <f t="shared" si="42"/>
        <v>6</v>
      </c>
      <c r="AI108" s="224">
        <f t="shared" si="43"/>
        <v>2.8414488301153704E-2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44656</v>
      </c>
      <c r="B109" s="1153">
        <v>51.6</v>
      </c>
      <c r="C109" s="388"/>
      <c r="D109" s="391">
        <f t="shared" si="25"/>
        <v>52.775153125686352</v>
      </c>
      <c r="E109" s="383">
        <f t="shared" si="47"/>
        <v>57.560535585782659</v>
      </c>
      <c r="F109" s="383">
        <f t="shared" si="26"/>
        <v>57.572341328599016</v>
      </c>
      <c r="G109" s="110">
        <f t="shared" si="48"/>
        <v>1.007482097951178</v>
      </c>
      <c r="H109" s="412" t="b">
        <f>Wh_hp&gt;='2021'!Maxi_hp</f>
        <v>0</v>
      </c>
      <c r="I109" s="379">
        <f>IF(H109,Wh_hp,'2021'!Maxi_hp)</f>
        <v>59.132284614261103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2.2267166575294817E-2</v>
      </c>
      <c r="M109" s="832"/>
      <c r="N109" s="832"/>
      <c r="O109" s="48">
        <f>IF(t&lt;Tnet,'2021'!Resal+('2021'!Salim-'2021'!Resal)*(1-EXP(('2021'!Tnet-t)/('2021'!Tau_j))),Resal+(Salim-Resal)*(1-EXP((Tnet-t)/(Tau_j))))*Salcycl</f>
        <v>8.3136517257811779E-2</v>
      </c>
      <c r="P109" s="169">
        <f>(INDEX(Models!$BJ109:$BT109,,T109)*(1-R109)+INDEX(Models!$BJ109:$BT109,,T109+1)*R109-ERP_i)*Q109*Ramure*Pc/MaxiM</f>
        <v>2.0505927922876042E-4</v>
      </c>
      <c r="Q109" s="304">
        <f t="shared" si="28"/>
        <v>0.6</v>
      </c>
      <c r="R109" s="177">
        <f t="shared" si="29"/>
        <v>2.9594639929172432E-2</v>
      </c>
      <c r="S109" s="799">
        <f t="shared" si="30"/>
        <v>0</v>
      </c>
      <c r="T109" s="176">
        <f t="shared" si="31"/>
        <v>6</v>
      </c>
      <c r="U109" s="250">
        <f t="shared" si="32"/>
        <v>2.9594639929172432E-2</v>
      </c>
      <c r="V109" s="382">
        <f t="shared" si="33"/>
        <v>51.216790953342084</v>
      </c>
      <c r="W109" s="400">
        <f t="shared" si="34"/>
        <v>0</v>
      </c>
      <c r="X109" s="157">
        <f t="shared" si="35"/>
        <v>44656</v>
      </c>
      <c r="Y109" s="383">
        <f t="shared" si="36"/>
        <v>51.6</v>
      </c>
      <c r="Z109" s="383">
        <f t="shared" si="37"/>
        <v>52.775153125686352</v>
      </c>
      <c r="AA109" s="384">
        <f t="shared" si="38"/>
        <v>57.560535585782659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8.3136517257811779E-2</v>
      </c>
      <c r="AD109" s="230">
        <f>(INDEX(Models!$BJ109:$BT109,,AH109)*(1-AF109)+INDEX(Models!$BJ109:$BT109,,AH109+1)*AF109-ERP_i)*AE109*Ramure*Pc/MaxiM</f>
        <v>2.0505927922876042E-4</v>
      </c>
      <c r="AE109" s="304">
        <f t="shared" si="40"/>
        <v>0.6</v>
      </c>
      <c r="AF109" s="177">
        <f t="shared" si="41"/>
        <v>2.9594639929172432E-2</v>
      </c>
      <c r="AG109" s="799">
        <f t="shared" si="49"/>
        <v>0</v>
      </c>
      <c r="AH109" s="176">
        <f t="shared" si="42"/>
        <v>6</v>
      </c>
      <c r="AI109" s="224">
        <f t="shared" si="43"/>
        <v>2.9594639929172432E-2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44657</v>
      </c>
      <c r="B110" s="1153">
        <v>11.169</v>
      </c>
      <c r="C110" s="388"/>
      <c r="D110" s="391">
        <f t="shared" si="25"/>
        <v>11.423584923825107</v>
      </c>
      <c r="E110" s="383">
        <f t="shared" si="47"/>
        <v>12.460461545203525</v>
      </c>
      <c r="F110" s="383">
        <f t="shared" si="26"/>
        <v>12.460461545203525</v>
      </c>
      <c r="G110" s="110">
        <f t="shared" si="48"/>
        <v>0.21693033150955227</v>
      </c>
      <c r="H110" s="412" t="b">
        <f>Wh_hp&gt;='2021'!Maxi_hp</f>
        <v>0</v>
      </c>
      <c r="I110" s="379">
        <f>IF(H110,Wh_hp,'2021'!Maxi_hp)</f>
        <v>59.680123270108488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2.2285904601990758E-2</v>
      </c>
      <c r="M110" s="832"/>
      <c r="N110" s="832"/>
      <c r="O110" s="48">
        <f>IF(t&lt;Tnet,'2021'!Resal+('2021'!Salim-'2021'!Resal)*(1-EXP(('2021'!Tnet-t)/('2021'!Tau_j))),Resal+(Salim-Resal)*(1-EXP((Tnet-t)/(Tau_j))))*Salcycl</f>
        <v>8.3213339860396307E-2</v>
      </c>
      <c r="P110" s="169">
        <f>(INDEX(Models!$BJ110:$BT110,,T110)*(1-R110)+INDEX(Models!$BJ110:$BT110,,T110+1)*R110-ERP_i)*Q110*Ramure*Pc/MaxiM</f>
        <v>2.0043604260061169E-4</v>
      </c>
      <c r="Q110" s="304">
        <f t="shared" si="28"/>
        <v>0.6</v>
      </c>
      <c r="R110" s="177">
        <f t="shared" si="29"/>
        <v>3.0818024452212635E-2</v>
      </c>
      <c r="S110" s="799">
        <f t="shared" si="30"/>
        <v>0</v>
      </c>
      <c r="T110" s="176">
        <f t="shared" si="31"/>
        <v>6</v>
      </c>
      <c r="U110" s="250">
        <f t="shared" si="32"/>
        <v>3.0818024452212635E-2</v>
      </c>
      <c r="V110" s="382">
        <f t="shared" si="33"/>
        <v>51.476256234589677</v>
      </c>
      <c r="W110" s="400">
        <f t="shared" si="34"/>
        <v>0</v>
      </c>
      <c r="X110" s="157">
        <f t="shared" si="35"/>
        <v>44657</v>
      </c>
      <c r="Y110" s="383">
        <f t="shared" si="36"/>
        <v>11.169</v>
      </c>
      <c r="Z110" s="383">
        <f t="shared" si="37"/>
        <v>11.423584923825107</v>
      </c>
      <c r="AA110" s="384">
        <f t="shared" si="38"/>
        <v>12.460461545203525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8.3213339860396307E-2</v>
      </c>
      <c r="AD110" s="230">
        <f>(INDEX(Models!$BJ110:$BT110,,AH110)*(1-AF110)+INDEX(Models!$BJ110:$BT110,,AH110+1)*AF110-ERP_i)*AE110*Ramure*Pc/MaxiM</f>
        <v>2.0043604260061169E-4</v>
      </c>
      <c r="AE110" s="304">
        <f t="shared" si="40"/>
        <v>0.6</v>
      </c>
      <c r="AF110" s="177">
        <f t="shared" si="41"/>
        <v>3.0818024452212635E-2</v>
      </c>
      <c r="AG110" s="799">
        <f t="shared" si="49"/>
        <v>0</v>
      </c>
      <c r="AH110" s="176">
        <f t="shared" si="42"/>
        <v>6</v>
      </c>
      <c r="AI110" s="224">
        <f t="shared" si="43"/>
        <v>3.0818024452212635E-2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44658</v>
      </c>
      <c r="B111" s="1153">
        <v>37.493000000000002</v>
      </c>
      <c r="C111" s="388"/>
      <c r="D111" s="391">
        <f t="shared" si="25"/>
        <v>38.348346142334677</v>
      </c>
      <c r="E111" s="383">
        <f t="shared" si="47"/>
        <v>41.832630206821015</v>
      </c>
      <c r="F111" s="383">
        <f t="shared" si="26"/>
        <v>41.837606681240267</v>
      </c>
      <c r="G111" s="110">
        <f t="shared" si="48"/>
        <v>0.72472433562004412</v>
      </c>
      <c r="H111" s="412" t="b">
        <f>Wh_hp&gt;='2021'!Maxi_hp</f>
        <v>0</v>
      </c>
      <c r="I111" s="379">
        <f>IF(H111,Wh_hp,'2021'!Maxi_hp)</f>
        <v>57.850737846912956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2.2304642269576624E-2</v>
      </c>
      <c r="M111" s="832"/>
      <c r="N111" s="832"/>
      <c r="O111" s="48">
        <f>IF(t&lt;Tnet,'2021'!Resal+('2021'!Salim-'2021'!Resal)*(1-EXP(('2021'!Tnet-t)/('2021'!Tau_j))),Resal+(Salim-Resal)*(1-EXP((Tnet-t)/(Tau_j))))*Salcycl</f>
        <v>8.3291058851905769E-2</v>
      </c>
      <c r="P111" s="169">
        <f>(INDEX(Models!$BJ111:$BT111,,T111)*(1-R111)+INDEX(Models!$BJ111:$BT111,,T111+1)*R111-ERP_i)*Q111*Ramure*Pc/MaxiM</f>
        <v>1.9601473467515765E-4</v>
      </c>
      <c r="Q111" s="304">
        <f t="shared" si="28"/>
        <v>0.6</v>
      </c>
      <c r="R111" s="177">
        <f t="shared" si="29"/>
        <v>3.2085971013161643E-2</v>
      </c>
      <c r="S111" s="799">
        <f t="shared" si="30"/>
        <v>0</v>
      </c>
      <c r="T111" s="176">
        <f t="shared" si="31"/>
        <v>6</v>
      </c>
      <c r="U111" s="250">
        <f t="shared" si="32"/>
        <v>3.2085971013161643E-2</v>
      </c>
      <c r="V111" s="382">
        <f t="shared" si="33"/>
        <v>51.730165978906825</v>
      </c>
      <c r="W111" s="400">
        <f t="shared" si="34"/>
        <v>0</v>
      </c>
      <c r="X111" s="157">
        <f t="shared" si="35"/>
        <v>44658</v>
      </c>
      <c r="Y111" s="383">
        <f t="shared" si="36"/>
        <v>37.493000000000002</v>
      </c>
      <c r="Z111" s="383">
        <f t="shared" si="37"/>
        <v>38.348346142334677</v>
      </c>
      <c r="AA111" s="384">
        <f t="shared" si="38"/>
        <v>41.832630206821015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8.3291058851905769E-2</v>
      </c>
      <c r="AD111" s="230">
        <f>(INDEX(Models!$BJ111:$BT111,,AH111)*(1-AF111)+INDEX(Models!$BJ111:$BT111,,AH111+1)*AF111-ERP_i)*AE111*Ramure*Pc/MaxiM</f>
        <v>1.9601473467515765E-4</v>
      </c>
      <c r="AE111" s="304">
        <f t="shared" si="40"/>
        <v>0.6</v>
      </c>
      <c r="AF111" s="177">
        <f t="shared" si="41"/>
        <v>3.2085971013161643E-2</v>
      </c>
      <c r="AG111" s="799">
        <f t="shared" si="49"/>
        <v>0</v>
      </c>
      <c r="AH111" s="176">
        <f t="shared" si="42"/>
        <v>6</v>
      </c>
      <c r="AI111" s="224">
        <f t="shared" si="43"/>
        <v>3.2085971013161643E-2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44659</v>
      </c>
      <c r="B112" s="1153">
        <v>30.46</v>
      </c>
      <c r="C112" s="388"/>
      <c r="D112" s="391">
        <f t="shared" si="25"/>
        <v>31.155495962309327</v>
      </c>
      <c r="E112" s="383">
        <f t="shared" si="47"/>
        <v>33.98916225668242</v>
      </c>
      <c r="F112" s="383">
        <f t="shared" si="26"/>
        <v>33.991825986872563</v>
      </c>
      <c r="G112" s="110">
        <f t="shared" si="48"/>
        <v>0.58594593678343654</v>
      </c>
      <c r="H112" s="412" t="b">
        <f>Wh_hp&gt;='2021'!Maxi_hp</f>
        <v>0</v>
      </c>
      <c r="I112" s="379">
        <f>IF(H112,Wh_hp,'2021'!Maxi_hp)</f>
        <v>57.096062387011123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2.2323379578059299E-2</v>
      </c>
      <c r="M112" s="832"/>
      <c r="N112" s="832"/>
      <c r="O112" s="48">
        <f>IF(t&lt;Tnet,'2021'!Resal+('2021'!Salim-'2021'!Resal)*(1-EXP(('2021'!Tnet-t)/('2021'!Tau_j))),Resal+(Salim-Resal)*(1-EXP((Tnet-t)/(Tau_j))))*Salcycl</f>
        <v>8.3369700993909585E-2</v>
      </c>
      <c r="P112" s="169">
        <f>(INDEX(Models!$BJ112:$BT112,,T112)*(1-R112)+INDEX(Models!$BJ112:$BT112,,T112+1)*R112-ERP_i)*Q112*Ramure*Pc/MaxiM</f>
        <v>1.9179129775203553E-4</v>
      </c>
      <c r="Q112" s="304">
        <f t="shared" si="28"/>
        <v>0.6</v>
      </c>
      <c r="R112" s="177">
        <f t="shared" si="29"/>
        <v>3.3399829340905227E-2</v>
      </c>
      <c r="S112" s="799">
        <f t="shared" si="30"/>
        <v>0</v>
      </c>
      <c r="T112" s="176">
        <f t="shared" si="31"/>
        <v>6</v>
      </c>
      <c r="U112" s="250">
        <f t="shared" si="32"/>
        <v>3.3399829340905227E-2</v>
      </c>
      <c r="V112" s="382">
        <f t="shared" si="33"/>
        <v>51.978421245173642</v>
      </c>
      <c r="W112" s="400">
        <f t="shared" si="34"/>
        <v>0</v>
      </c>
      <c r="X112" s="157">
        <f t="shared" si="35"/>
        <v>44659</v>
      </c>
      <c r="Y112" s="383">
        <f t="shared" si="36"/>
        <v>30.46</v>
      </c>
      <c r="Z112" s="383">
        <f t="shared" si="37"/>
        <v>31.155495962309327</v>
      </c>
      <c r="AA112" s="384">
        <f t="shared" si="38"/>
        <v>33.98916225668242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8.3369700993909585E-2</v>
      </c>
      <c r="AD112" s="230">
        <f>(INDEX(Models!$BJ112:$BT112,,AH112)*(1-AF112)+INDEX(Models!$BJ112:$BT112,,AH112+1)*AF112-ERP_i)*AE112*Ramure*Pc/MaxiM</f>
        <v>1.9179129775203553E-4</v>
      </c>
      <c r="AE112" s="304">
        <f t="shared" si="40"/>
        <v>0.6</v>
      </c>
      <c r="AF112" s="177">
        <f t="shared" si="41"/>
        <v>3.3399829340905227E-2</v>
      </c>
      <c r="AG112" s="799">
        <f t="shared" si="49"/>
        <v>0</v>
      </c>
      <c r="AH112" s="176">
        <f t="shared" si="42"/>
        <v>6</v>
      </c>
      <c r="AI112" s="224">
        <f t="shared" si="43"/>
        <v>3.3399829340905227E-2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44660</v>
      </c>
      <c r="B113" s="1153">
        <v>35.734999999999999</v>
      </c>
      <c r="C113" s="388"/>
      <c r="D113" s="391">
        <f t="shared" si="25"/>
        <v>36.551641023005359</v>
      </c>
      <c r="E113" s="383">
        <f t="shared" si="47"/>
        <v>39.879562264382734</v>
      </c>
      <c r="F113" s="383">
        <f t="shared" si="26"/>
        <v>39.88367357014603</v>
      </c>
      <c r="G113" s="110">
        <f t="shared" si="48"/>
        <v>0.68424630374724404</v>
      </c>
      <c r="H113" s="412" t="b">
        <f>Wh_hp&gt;='2021'!Maxi_hp</f>
        <v>0</v>
      </c>
      <c r="I113" s="379">
        <f>IF(H113,Wh_hp,'2021'!Maxi_hp)</f>
        <v>45.048186570983958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2.2342116527445888E-2</v>
      </c>
      <c r="M113" s="832"/>
      <c r="N113" s="832"/>
      <c r="O113" s="48">
        <f>IF(t&lt;Tnet,'2021'!Resal+('2021'!Salim-'2021'!Resal)*(1-EXP(('2021'!Tnet-t)/('2021'!Tau_j))),Resal+(Salim-Resal)*(1-EXP((Tnet-t)/(Tau_j))))*Salcycl</f>
        <v>8.3449292129006439E-2</v>
      </c>
      <c r="P113" s="169">
        <f>(INDEX(Models!$BJ113:$BT113,,T113)*(1-R113)+INDEX(Models!$BJ113:$BT113,,T113+1)*R113-ERP_i)*Q113*Ramure*Pc/MaxiM</f>
        <v>1.8776189924245534E-4</v>
      </c>
      <c r="Q113" s="304">
        <f t="shared" si="28"/>
        <v>0.6</v>
      </c>
      <c r="R113" s="177">
        <f t="shared" si="29"/>
        <v>3.476096832847126E-2</v>
      </c>
      <c r="S113" s="799">
        <f t="shared" si="30"/>
        <v>0</v>
      </c>
      <c r="T113" s="176">
        <f t="shared" si="31"/>
        <v>6</v>
      </c>
      <c r="U113" s="250">
        <f t="shared" si="32"/>
        <v>3.476096832847126E-2</v>
      </c>
      <c r="V113" s="382">
        <f t="shared" si="33"/>
        <v>52.220923184119762</v>
      </c>
      <c r="W113" s="400">
        <f t="shared" si="34"/>
        <v>0</v>
      </c>
      <c r="X113" s="157">
        <f t="shared" si="35"/>
        <v>44660</v>
      </c>
      <c r="Y113" s="383">
        <f t="shared" si="36"/>
        <v>35.734999999999999</v>
      </c>
      <c r="Z113" s="383">
        <f t="shared" si="37"/>
        <v>36.551641023005359</v>
      </c>
      <c r="AA113" s="384">
        <f t="shared" si="38"/>
        <v>39.879562264382734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8.3449292129006439E-2</v>
      </c>
      <c r="AD113" s="230">
        <f>(INDEX(Models!$BJ113:$BT113,,AH113)*(1-AF113)+INDEX(Models!$BJ113:$BT113,,AH113+1)*AF113-ERP_i)*AE113*Ramure*Pc/MaxiM</f>
        <v>1.8776189924245534E-4</v>
      </c>
      <c r="AE113" s="304">
        <f t="shared" si="40"/>
        <v>0.6</v>
      </c>
      <c r="AF113" s="177">
        <f t="shared" si="41"/>
        <v>3.476096832847126E-2</v>
      </c>
      <c r="AG113" s="799">
        <f t="shared" si="49"/>
        <v>0</v>
      </c>
      <c r="AH113" s="176">
        <f t="shared" si="42"/>
        <v>6</v>
      </c>
      <c r="AI113" s="224">
        <f t="shared" si="43"/>
        <v>3.476096832847126E-2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44661</v>
      </c>
      <c r="B114" s="1153">
        <v>52.253</v>
      </c>
      <c r="C114" s="388"/>
      <c r="D114" s="391">
        <f t="shared" si="25"/>
        <v>53.448146145372334</v>
      </c>
      <c r="E114" s="383">
        <f t="shared" si="47"/>
        <v>58.319571631372433</v>
      </c>
      <c r="F114" s="383">
        <f t="shared" si="26"/>
        <v>58.33024090130305</v>
      </c>
      <c r="G114" s="110">
        <f t="shared" si="48"/>
        <v>0.99609921119737344</v>
      </c>
      <c r="H114" s="412" t="b">
        <f>Wh_hp&gt;='2021'!Maxi_hp</f>
        <v>1</v>
      </c>
      <c r="I114" s="379">
        <f>IF(H114,Wh_hp,'2021'!Maxi_hp)</f>
        <v>58.33024090130305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2.2360853117743051E-2</v>
      </c>
      <c r="M114" s="832"/>
      <c r="N114" s="832"/>
      <c r="O114" s="48">
        <f>IF(t&lt;Tnet,'2021'!Resal+('2021'!Salim-'2021'!Resal)*(1-EXP(('2021'!Tnet-t)/('2021'!Tau_j))),Resal+(Salim-Resal)*(1-EXP((Tnet-t)/(Tau_j))))*Salcycl</f>
        <v>8.3529857125691928E-2</v>
      </c>
      <c r="P114" s="169">
        <f>(INDEX(Models!$BJ114:$BT114,,T114)*(1-R114)+INDEX(Models!$BJ114:$BT114,,T114+1)*R114-ERP_i)*Q114*Ramure*Pc/MaxiM</f>
        <v>1.8393619331785648E-4</v>
      </c>
      <c r="Q114" s="304">
        <f t="shared" si="28"/>
        <v>0.6</v>
      </c>
      <c r="R114" s="177">
        <f t="shared" si="29"/>
        <v>3.6170774434813785E-2</v>
      </c>
      <c r="S114" s="799">
        <f t="shared" si="30"/>
        <v>0</v>
      </c>
      <c r="T114" s="176">
        <f t="shared" si="31"/>
        <v>6</v>
      </c>
      <c r="U114" s="250">
        <f t="shared" si="32"/>
        <v>3.6170774434813785E-2</v>
      </c>
      <c r="V114" s="382">
        <f t="shared" si="33"/>
        <v>52.457572356036543</v>
      </c>
      <c r="W114" s="400">
        <f t="shared" si="34"/>
        <v>0</v>
      </c>
      <c r="X114" s="157">
        <f t="shared" si="35"/>
        <v>44661</v>
      </c>
      <c r="Y114" s="383">
        <f t="shared" si="36"/>
        <v>52.253</v>
      </c>
      <c r="Z114" s="383">
        <f t="shared" si="37"/>
        <v>53.448146145372334</v>
      </c>
      <c r="AA114" s="384">
        <f t="shared" si="38"/>
        <v>58.319571631372433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8.3529857125691928E-2</v>
      </c>
      <c r="AD114" s="230">
        <f>(INDEX(Models!$BJ114:$BT114,,AH114)*(1-AF114)+INDEX(Models!$BJ114:$BT114,,AH114+1)*AF114-ERP_i)*AE114*Ramure*Pc/MaxiM</f>
        <v>1.8393619331785648E-4</v>
      </c>
      <c r="AE114" s="304">
        <f t="shared" si="40"/>
        <v>0.6</v>
      </c>
      <c r="AF114" s="177">
        <f t="shared" si="41"/>
        <v>3.6170774434813785E-2</v>
      </c>
      <c r="AG114" s="799">
        <f t="shared" si="49"/>
        <v>0</v>
      </c>
      <c r="AH114" s="176">
        <f t="shared" si="42"/>
        <v>6</v>
      </c>
      <c r="AI114" s="224">
        <f t="shared" si="43"/>
        <v>3.6170774434813785E-2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44662</v>
      </c>
      <c r="B115" s="1153">
        <v>43.307000000000002</v>
      </c>
      <c r="C115" s="388"/>
      <c r="D115" s="391">
        <f t="shared" si="25"/>
        <v>44.298379542996528</v>
      </c>
      <c r="E115" s="383">
        <f t="shared" si="47"/>
        <v>48.340169772146432</v>
      </c>
      <c r="F115" s="383">
        <f t="shared" si="26"/>
        <v>48.346665699755086</v>
      </c>
      <c r="G115" s="110">
        <f t="shared" si="48"/>
        <v>0.82190988071679649</v>
      </c>
      <c r="H115" s="412" t="b">
        <f>Wh_hp&gt;='2021'!Maxi_hp</f>
        <v>0</v>
      </c>
      <c r="I115" s="379">
        <f>IF(H115,Wh_hp,'2021'!Maxi_hp)</f>
        <v>59.403908056990687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2.2379589348957674E-2</v>
      </c>
      <c r="M115" s="832"/>
      <c r="N115" s="832"/>
      <c r="O115" s="48">
        <f>IF(t&lt;Tnet,'2021'!Resal+('2021'!Salim-'2021'!Resal)*(1-EXP(('2021'!Tnet-t)/('2021'!Tau_j))),Resal+(Salim-Resal)*(1-EXP((Tnet-t)/(Tau_j))))*Salcycl</f>
        <v>8.3611419823328412E-2</v>
      </c>
      <c r="P115" s="169">
        <f>(INDEX(Models!$BJ115:$BT115,,T115)*(1-R115)+INDEX(Models!$BJ115:$BT115,,T115+1)*R115-ERP_i)*Q115*Ramure*Pc/MaxiM</f>
        <v>1.801962784681308E-4</v>
      </c>
      <c r="Q115" s="304">
        <f t="shared" si="28"/>
        <v>0.6</v>
      </c>
      <c r="R115" s="177">
        <f t="shared" si="29"/>
        <v>3.763064990071089E-2</v>
      </c>
      <c r="S115" s="799">
        <f t="shared" si="30"/>
        <v>0</v>
      </c>
      <c r="T115" s="176">
        <f t="shared" si="31"/>
        <v>6</v>
      </c>
      <c r="U115" s="250">
        <f t="shared" si="32"/>
        <v>3.763064990071089E-2</v>
      </c>
      <c r="V115" s="382">
        <f t="shared" si="33"/>
        <v>52.688276147905661</v>
      </c>
      <c r="W115" s="400">
        <f t="shared" si="34"/>
        <v>0</v>
      </c>
      <c r="X115" s="157">
        <f t="shared" si="35"/>
        <v>44662</v>
      </c>
      <c r="Y115" s="383">
        <f t="shared" si="36"/>
        <v>43.307000000000002</v>
      </c>
      <c r="Z115" s="383">
        <f t="shared" si="37"/>
        <v>44.298379542996528</v>
      </c>
      <c r="AA115" s="384">
        <f t="shared" si="38"/>
        <v>48.340169772146432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8.3611419823328412E-2</v>
      </c>
      <c r="AD115" s="230">
        <f>(INDEX(Models!$BJ115:$BT115,,AH115)*(1-AF115)+INDEX(Models!$BJ115:$BT115,,AH115+1)*AF115-ERP_i)*AE115*Ramure*Pc/MaxiM</f>
        <v>1.801962784681308E-4</v>
      </c>
      <c r="AE115" s="304">
        <f t="shared" si="40"/>
        <v>0.6</v>
      </c>
      <c r="AF115" s="177">
        <f t="shared" si="41"/>
        <v>3.763064990071089E-2</v>
      </c>
      <c r="AG115" s="799">
        <f t="shared" si="49"/>
        <v>0</v>
      </c>
      <c r="AH115" s="176">
        <f t="shared" si="42"/>
        <v>6</v>
      </c>
      <c r="AI115" s="224">
        <f t="shared" si="43"/>
        <v>3.763064990071089E-2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44663</v>
      </c>
      <c r="B116" s="1153">
        <v>36.987000000000002</v>
      </c>
      <c r="C116" s="388"/>
      <c r="D116" s="391">
        <f t="shared" si="25"/>
        <v>37.834427818840503</v>
      </c>
      <c r="E116" s="383">
        <f t="shared" si="47"/>
        <v>41.290167194967651</v>
      </c>
      <c r="F116" s="383">
        <f t="shared" si="26"/>
        <v>41.294322689001859</v>
      </c>
      <c r="G116" s="110">
        <f t="shared" si="48"/>
        <v>0.69896314275300042</v>
      </c>
      <c r="H116" s="412" t="b">
        <f>Wh_hp&gt;='2021'!Maxi_hp</f>
        <v>0</v>
      </c>
      <c r="I116" s="379">
        <f>IF(H116,Wh_hp,'2021'!Maxi_hp)</f>
        <v>58.857771528976158</v>
      </c>
      <c r="J116" s="85">
        <f>IF(H116,An,'2021'!An_max)</f>
        <v>2018</v>
      </c>
      <c r="K116" s="197">
        <f t="shared" si="27"/>
        <v>44663</v>
      </c>
      <c r="L116" s="147">
        <f>IF(t&lt;Tvie,1-EXP((T0-t)*PertePVj)+'2021'!Pspv,1-EXP((T0-t)*PertePVj)+Pspv)</f>
        <v>2.2398325221096749E-2</v>
      </c>
      <c r="M116" s="832"/>
      <c r="N116" s="832"/>
      <c r="O116" s="48">
        <f>IF(t&lt;Tnet,'2021'!Resal+('2021'!Salim-'2021'!Resal)*(1-EXP(('2021'!Tnet-t)/('2021'!Tau_j))),Resal+(Salim-Resal)*(1-EXP((Tnet-t)/(Tau_j))))*Salcycl</f>
        <v>8.3694002976774678E-2</v>
      </c>
      <c r="P116" s="169">
        <f>(INDEX(Models!$BJ116:$BT116,,T116)*(1-R116)+INDEX(Models!$BJ116:$BT116,,T116+1)*R116-ERP_i)*Q116*Ramure*Pc/MaxiM</f>
        <v>1.765386569057893E-4</v>
      </c>
      <c r="Q116" s="304">
        <f t="shared" si="28"/>
        <v>0.6</v>
      </c>
      <c r="R116" s="177">
        <f t="shared" si="29"/>
        <v>3.9142010769339215E-2</v>
      </c>
      <c r="S116" s="799">
        <f t="shared" si="30"/>
        <v>0</v>
      </c>
      <c r="T116" s="176">
        <f t="shared" si="31"/>
        <v>6</v>
      </c>
      <c r="U116" s="250">
        <f t="shared" si="32"/>
        <v>3.9142010769339215E-2</v>
      </c>
      <c r="V116" s="382">
        <f t="shared" si="33"/>
        <v>52.912936123908196</v>
      </c>
      <c r="W116" s="400">
        <f t="shared" si="34"/>
        <v>0</v>
      </c>
      <c r="X116" s="157">
        <f t="shared" si="35"/>
        <v>44663</v>
      </c>
      <c r="Y116" s="383">
        <f t="shared" si="36"/>
        <v>36.987000000000002</v>
      </c>
      <c r="Z116" s="383">
        <f t="shared" si="37"/>
        <v>37.834427818840503</v>
      </c>
      <c r="AA116" s="384">
        <f t="shared" si="38"/>
        <v>41.290167194967651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8.3694002976774678E-2</v>
      </c>
      <c r="AD116" s="230">
        <f>(INDEX(Models!$BJ116:$BT116,,AH116)*(1-AF116)+INDEX(Models!$BJ116:$BT116,,AH116+1)*AF116-ERP_i)*AE116*Ramure*Pc/MaxiM</f>
        <v>1.765386569057893E-4</v>
      </c>
      <c r="AE116" s="304">
        <f t="shared" si="40"/>
        <v>0.6</v>
      </c>
      <c r="AF116" s="177">
        <f t="shared" si="41"/>
        <v>3.9142010769339215E-2</v>
      </c>
      <c r="AG116" s="799">
        <f t="shared" si="49"/>
        <v>0</v>
      </c>
      <c r="AH116" s="176">
        <f t="shared" si="42"/>
        <v>6</v>
      </c>
      <c r="AI116" s="224">
        <f t="shared" si="43"/>
        <v>3.9142010769339215E-2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44664</v>
      </c>
      <c r="B117" s="1153">
        <v>7.9039999999999999</v>
      </c>
      <c r="C117" s="388"/>
      <c r="D117" s="391">
        <f t="shared" si="25"/>
        <v>8.0852474838972963</v>
      </c>
      <c r="E117" s="383">
        <f t="shared" si="47"/>
        <v>8.8245471107797737</v>
      </c>
      <c r="F117" s="383">
        <f t="shared" si="26"/>
        <v>8.8245471107797737</v>
      </c>
      <c r="G117" s="110">
        <f t="shared" si="48"/>
        <v>0.14873737370859255</v>
      </c>
      <c r="H117" s="412" t="b">
        <f>Wh_hp&gt;='2021'!Maxi_hp</f>
        <v>0</v>
      </c>
      <c r="I117" s="379">
        <f>IF(H117,Wh_hp,'2021'!Maxi_hp)</f>
        <v>58.816606841862637</v>
      </c>
      <c r="J117" s="85">
        <f>IF(H117,An,'2021'!An_max)</f>
        <v>2018</v>
      </c>
      <c r="K117" s="197">
        <f t="shared" si="27"/>
        <v>44664</v>
      </c>
      <c r="L117" s="147">
        <f>IF(t&lt;Tvie,1-EXP((T0-t)*PertePVj)+'2021'!Pspv,1-EXP((T0-t)*PertePVj)+Pspv)</f>
        <v>2.2417060734167049E-2</v>
      </c>
      <c r="M117" s="832"/>
      <c r="N117" s="832"/>
      <c r="O117" s="48">
        <f>IF(t&lt;Tnet,'2021'!Resal+('2021'!Salim-'2021'!Resal)*(1-EXP(('2021'!Tnet-t)/('2021'!Tau_j))),Resal+(Salim-Resal)*(1-EXP((Tnet-t)/(Tau_j))))*Salcycl</f>
        <v>8.3777628200247714E-2</v>
      </c>
      <c r="P117" s="169">
        <f>(INDEX(Models!$BJ117:$BT117,,T117)*(1-R117)+INDEX(Models!$BJ117:$BT117,,T117+1)*R117-ERP_i)*Q117*Ramure*Pc/MaxiM</f>
        <v>1.7295984981936362E-4</v>
      </c>
      <c r="Q117" s="304">
        <f t="shared" si="28"/>
        <v>0.6</v>
      </c>
      <c r="R117" s="177">
        <f t="shared" si="29"/>
        <v>4.0706284702260766E-2</v>
      </c>
      <c r="S117" s="799">
        <f t="shared" si="30"/>
        <v>0</v>
      </c>
      <c r="T117" s="176">
        <f t="shared" si="31"/>
        <v>6</v>
      </c>
      <c r="U117" s="250">
        <f t="shared" si="32"/>
        <v>4.0706284702260766E-2</v>
      </c>
      <c r="V117" s="382">
        <f t="shared" si="33"/>
        <v>53.13145397356503</v>
      </c>
      <c r="W117" s="400">
        <f t="shared" si="34"/>
        <v>0</v>
      </c>
      <c r="X117" s="157">
        <f t="shared" si="35"/>
        <v>44664</v>
      </c>
      <c r="Y117" s="383">
        <f t="shared" si="36"/>
        <v>7.903999999999999</v>
      </c>
      <c r="Z117" s="383">
        <f t="shared" si="37"/>
        <v>8.0852474838972963</v>
      </c>
      <c r="AA117" s="384">
        <f t="shared" si="38"/>
        <v>8.8245471107797737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8.3777628200247714E-2</v>
      </c>
      <c r="AD117" s="230">
        <f>(INDEX(Models!$BJ117:$BT117,,AH117)*(1-AF117)+INDEX(Models!$BJ117:$BT117,,AH117+1)*AF117-ERP_i)*AE117*Ramure*Pc/MaxiM</f>
        <v>1.7295984981936362E-4</v>
      </c>
      <c r="AE117" s="304">
        <f t="shared" si="40"/>
        <v>0.6</v>
      </c>
      <c r="AF117" s="177">
        <f t="shared" si="41"/>
        <v>4.0706284702260766E-2</v>
      </c>
      <c r="AG117" s="799">
        <f t="shared" si="49"/>
        <v>0</v>
      </c>
      <c r="AH117" s="176">
        <f t="shared" si="42"/>
        <v>6</v>
      </c>
      <c r="AI117" s="224">
        <f t="shared" si="43"/>
        <v>4.0706284702260766E-2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44665</v>
      </c>
      <c r="B118" s="1153">
        <v>40.005000000000003</v>
      </c>
      <c r="C118" s="388"/>
      <c r="D118" s="391">
        <f t="shared" si="25"/>
        <v>40.923143289956016</v>
      </c>
      <c r="E118" s="383">
        <f t="shared" si="47"/>
        <v>44.669206387471725</v>
      </c>
      <c r="F118" s="383">
        <f t="shared" si="26"/>
        <v>44.674072446314028</v>
      </c>
      <c r="G118" s="110">
        <f t="shared" si="48"/>
        <v>0.74990213422853091</v>
      </c>
      <c r="H118" s="412" t="b">
        <f>Wh_hp&gt;='2021'!Maxi_hp</f>
        <v>0</v>
      </c>
      <c r="I118" s="379">
        <f>IF(H118,Wh_hp,'2021'!Maxi_hp)</f>
        <v>59.036177217934771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2.2435795888175569E-2</v>
      </c>
      <c r="M118" s="832"/>
      <c r="N118" s="832"/>
      <c r="O118" s="48">
        <f>IF(t&lt;Tnet,'2021'!Resal+('2021'!Salim-'2021'!Resal)*(1-EXP(('2021'!Tnet-t)/('2021'!Tau_j))),Resal+(Salim-Resal)*(1-EXP((Tnet-t)/(Tau_j))))*Salcycl</f>
        <v>8.3862315910012711E-2</v>
      </c>
      <c r="P118" s="169">
        <f>(INDEX(Models!$BJ118:$BT118,,T118)*(1-R118)+INDEX(Models!$BJ118:$BT118,,T118+1)*R118-ERP_i)*Q118*Ramure*Pc/MaxiM</f>
        <v>1.6945639952636841E-4</v>
      </c>
      <c r="Q118" s="304">
        <f t="shared" si="28"/>
        <v>0.6</v>
      </c>
      <c r="R118" s="177">
        <f t="shared" si="29"/>
        <v>4.232490858182434E-2</v>
      </c>
      <c r="S118" s="799">
        <f t="shared" si="30"/>
        <v>0</v>
      </c>
      <c r="T118" s="176">
        <f t="shared" si="31"/>
        <v>6</v>
      </c>
      <c r="U118" s="250">
        <f t="shared" si="32"/>
        <v>4.232490858182434E-2</v>
      </c>
      <c r="V118" s="382">
        <f t="shared" si="33"/>
        <v>53.343731526990943</v>
      </c>
      <c r="W118" s="400">
        <f t="shared" si="34"/>
        <v>0</v>
      </c>
      <c r="X118" s="157">
        <f t="shared" si="35"/>
        <v>44665</v>
      </c>
      <c r="Y118" s="383">
        <f t="shared" si="36"/>
        <v>40.005000000000003</v>
      </c>
      <c r="Z118" s="383">
        <f t="shared" si="37"/>
        <v>40.923143289956016</v>
      </c>
      <c r="AA118" s="384">
        <f t="shared" si="38"/>
        <v>44.669206387471725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8.3862315910012711E-2</v>
      </c>
      <c r="AD118" s="230">
        <f>(INDEX(Models!$BJ118:$BT118,,AH118)*(1-AF118)+INDEX(Models!$BJ118:$BT118,,AH118+1)*AF118-ERP_i)*AE118*Ramure*Pc/MaxiM</f>
        <v>1.6945639952636841E-4</v>
      </c>
      <c r="AE118" s="304">
        <f t="shared" si="40"/>
        <v>0.6</v>
      </c>
      <c r="AF118" s="177">
        <f t="shared" si="41"/>
        <v>4.232490858182434E-2</v>
      </c>
      <c r="AG118" s="799">
        <f t="shared" si="49"/>
        <v>0</v>
      </c>
      <c r="AH118" s="176">
        <f t="shared" si="42"/>
        <v>6</v>
      </c>
      <c r="AI118" s="224">
        <f t="shared" si="43"/>
        <v>4.232490858182434E-2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44666</v>
      </c>
      <c r="B119" s="1153">
        <v>43.652999999999999</v>
      </c>
      <c r="C119" s="388"/>
      <c r="D119" s="391">
        <f t="shared" si="25"/>
        <v>44.655723309224307</v>
      </c>
      <c r="E119" s="383">
        <f t="shared" si="47"/>
        <v>48.748026821349342</v>
      </c>
      <c r="F119" s="383">
        <f t="shared" si="26"/>
        <v>48.753984131244202</v>
      </c>
      <c r="G119" s="110">
        <f t="shared" si="48"/>
        <v>0.8151513479285134</v>
      </c>
      <c r="H119" s="412" t="b">
        <f>Wh_hp&gt;='2021'!Maxi_hp</f>
        <v>0</v>
      </c>
      <c r="I119" s="379">
        <f>IF(H119,Wh_hp,'2021'!Maxi_hp)</f>
        <v>59.816550107721071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2.2454530683129192E-2</v>
      </c>
      <c r="M119" s="832"/>
      <c r="N119" s="832"/>
      <c r="O119" s="48">
        <f>IF(t&lt;Tnet,'2021'!Resal+('2021'!Salim-'2021'!Resal)*(1-EXP(('2021'!Tnet-t)/('2021'!Tau_j))),Resal+(Salim-Resal)*(1-EXP((Tnet-t)/(Tau_j))))*Salcycl</f>
        <v>8.3948085265531172E-2</v>
      </c>
      <c r="P119" s="169">
        <f>(INDEX(Models!$BJ119:$BT119,,T119)*(1-R119)+INDEX(Models!$BJ119:$BT119,,T119+1)*R119-ERP_i)*Q119*Ramure*Pc/MaxiM</f>
        <v>1.6602487176759273E-4</v>
      </c>
      <c r="Q119" s="304">
        <f t="shared" si="28"/>
        <v>0.6</v>
      </c>
      <c r="R119" s="177">
        <f t="shared" si="29"/>
        <v>4.3999325891355842E-2</v>
      </c>
      <c r="S119" s="799">
        <f t="shared" si="30"/>
        <v>0</v>
      </c>
      <c r="T119" s="176">
        <f t="shared" si="31"/>
        <v>6</v>
      </c>
      <c r="U119" s="250">
        <f t="shared" si="32"/>
        <v>4.3999325891355842E-2</v>
      </c>
      <c r="V119" s="382">
        <f t="shared" si="33"/>
        <v>53.54967075460106</v>
      </c>
      <c r="W119" s="400">
        <f t="shared" si="34"/>
        <v>0</v>
      </c>
      <c r="X119" s="157">
        <f t="shared" si="35"/>
        <v>44666</v>
      </c>
      <c r="Y119" s="383">
        <f t="shared" si="36"/>
        <v>43.652999999999999</v>
      </c>
      <c r="Z119" s="383">
        <f t="shared" si="37"/>
        <v>44.655723309224307</v>
      </c>
      <c r="AA119" s="384">
        <f t="shared" si="38"/>
        <v>48.748026821349342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8.3948085265531172E-2</v>
      </c>
      <c r="AD119" s="230">
        <f>(INDEX(Models!$BJ119:$BT119,,AH119)*(1-AF119)+INDEX(Models!$BJ119:$BT119,,AH119+1)*AF119-ERP_i)*AE119*Ramure*Pc/MaxiM</f>
        <v>1.6602487176759273E-4</v>
      </c>
      <c r="AE119" s="304">
        <f t="shared" si="40"/>
        <v>0.6</v>
      </c>
      <c r="AF119" s="177">
        <f t="shared" si="41"/>
        <v>4.3999325891355842E-2</v>
      </c>
      <c r="AG119" s="799">
        <f t="shared" si="49"/>
        <v>0</v>
      </c>
      <c r="AH119" s="176">
        <f t="shared" si="42"/>
        <v>6</v>
      </c>
      <c r="AI119" s="224">
        <f t="shared" si="43"/>
        <v>4.3999325891355842E-2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44667</v>
      </c>
      <c r="B120" s="1153">
        <v>45.292000000000002</v>
      </c>
      <c r="C120" s="388"/>
      <c r="D120" s="391">
        <f t="shared" si="25"/>
        <v>46.333259627436448</v>
      </c>
      <c r="E120" s="383">
        <f t="shared" si="47"/>
        <v>50.584091429332666</v>
      </c>
      <c r="F120" s="383">
        <f t="shared" si="26"/>
        <v>50.590470832793535</v>
      </c>
      <c r="G120" s="110">
        <f t="shared" si="48"/>
        <v>0.84262399953746203</v>
      </c>
      <c r="H120" s="412" t="b">
        <f>Wh_hp&gt;='2021'!Maxi_hp</f>
        <v>0</v>
      </c>
      <c r="I120" s="379">
        <f>IF(H120,Wh_hp,'2021'!Maxi_hp)</f>
        <v>51.884062779817704</v>
      </c>
      <c r="J120" s="85">
        <f>IF(H120,An,'2021'!An_max)</f>
        <v>2021</v>
      </c>
      <c r="K120" s="197">
        <f t="shared" si="27"/>
        <v>44667</v>
      </c>
      <c r="L120" s="147">
        <f>IF(t&lt;Tvie,1-EXP((T0-t)*PertePVj)+'2021'!Pspv,1-EXP((T0-t)*PertePVj)+Pspv)</f>
        <v>2.2473265119034691E-2</v>
      </c>
      <c r="M120" s="832"/>
      <c r="N120" s="832"/>
      <c r="O120" s="48">
        <f>IF(t&lt;Tnet,'2021'!Resal+('2021'!Salim-'2021'!Resal)*(1-EXP(('2021'!Tnet-t)/('2021'!Tau_j))),Resal+(Salim-Resal)*(1-EXP((Tnet-t)/(Tau_j))))*Salcycl</f>
        <v>8.4034954108738902E-2</v>
      </c>
      <c r="P120" s="169">
        <f>(INDEX(Models!$BJ120:$BT120,,T120)*(1-R120)+INDEX(Models!$BJ120:$BT120,,T120+1)*R120-ERP_i)*Q120*Ramure*Pc/MaxiM</f>
        <v>1.6266185804094402E-4</v>
      </c>
      <c r="Q120" s="304">
        <f t="shared" si="28"/>
        <v>0.6</v>
      </c>
      <c r="R120" s="177">
        <f t="shared" si="29"/>
        <v>4.5730983864998236E-2</v>
      </c>
      <c r="S120" s="799">
        <f t="shared" si="30"/>
        <v>0</v>
      </c>
      <c r="T120" s="176">
        <f t="shared" si="31"/>
        <v>6</v>
      </c>
      <c r="U120" s="250">
        <f t="shared" si="32"/>
        <v>4.5730983864998236E-2</v>
      </c>
      <c r="V120" s="382">
        <f t="shared" si="33"/>
        <v>53.749173779976871</v>
      </c>
      <c r="W120" s="400">
        <f t="shared" si="34"/>
        <v>0</v>
      </c>
      <c r="X120" s="157">
        <f t="shared" si="35"/>
        <v>44667</v>
      </c>
      <c r="Y120" s="383">
        <f t="shared" si="36"/>
        <v>45.292000000000002</v>
      </c>
      <c r="Z120" s="383">
        <f t="shared" si="37"/>
        <v>46.333259627436448</v>
      </c>
      <c r="AA120" s="384">
        <f t="shared" si="38"/>
        <v>50.584091429332666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8.4034954108738902E-2</v>
      </c>
      <c r="AD120" s="230">
        <f>(INDEX(Models!$BJ120:$BT120,,AH120)*(1-AF120)+INDEX(Models!$BJ120:$BT120,,AH120+1)*AF120-ERP_i)*AE120*Ramure*Pc/MaxiM</f>
        <v>1.6266185804094402E-4</v>
      </c>
      <c r="AE120" s="304">
        <f t="shared" si="40"/>
        <v>0.6</v>
      </c>
      <c r="AF120" s="177">
        <f t="shared" si="41"/>
        <v>4.5730983864998236E-2</v>
      </c>
      <c r="AG120" s="799">
        <f t="shared" si="49"/>
        <v>0</v>
      </c>
      <c r="AH120" s="176">
        <f t="shared" si="42"/>
        <v>6</v>
      </c>
      <c r="AI120" s="224">
        <f t="shared" si="43"/>
        <v>4.5730983864998236E-2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44668</v>
      </c>
      <c r="B121" s="1153">
        <v>53.158999999999999</v>
      </c>
      <c r="C121" s="388"/>
      <c r="D121" s="391">
        <f t="shared" si="25"/>
        <v>54.382163579501388</v>
      </c>
      <c r="E121" s="383">
        <f t="shared" si="47"/>
        <v>59.377143384567823</v>
      </c>
      <c r="F121" s="383">
        <f t="shared" si="26"/>
        <v>59.386411049175642</v>
      </c>
      <c r="G121" s="110">
        <f t="shared" si="48"/>
        <v>0.98547405173400704</v>
      </c>
      <c r="H121" s="412" t="b">
        <f>Wh_hp&gt;='2021'!Maxi_hp</f>
        <v>1</v>
      </c>
      <c r="I121" s="379">
        <f>IF(H121,Wh_hp,'2021'!Maxi_hp)</f>
        <v>59.386411049175642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2.2491999195898948E-2</v>
      </c>
      <c r="M121" s="832"/>
      <c r="N121" s="832"/>
      <c r="O121" s="48">
        <f>IF(t&lt;Tnet,'2021'!Resal+('2021'!Salim-'2021'!Resal)*(1-EXP(('2021'!Tnet-t)/('2021'!Tau_j))),Resal+(Salim-Resal)*(1-EXP((Tnet-t)/(Tau_j))))*Salcycl</f>
        <v>8.4122938901177197E-2</v>
      </c>
      <c r="P121" s="169">
        <f>(INDEX(Models!$BJ121:$BT121,,T121)*(1-R121)+INDEX(Models!$BJ121:$BT121,,T121+1)*R121-ERP_i)*Q121*Ramure*Pc/MaxiM</f>
        <v>1.5936325236198999E-4</v>
      </c>
      <c r="Q121" s="304">
        <f t="shared" si="28"/>
        <v>0.6</v>
      </c>
      <c r="R121" s="177">
        <f t="shared" si="29"/>
        <v>4.7521330399675023E-2</v>
      </c>
      <c r="S121" s="799">
        <f t="shared" si="30"/>
        <v>0</v>
      </c>
      <c r="T121" s="176">
        <f t="shared" si="31"/>
        <v>6</v>
      </c>
      <c r="U121" s="250">
        <f t="shared" si="32"/>
        <v>4.7521330399675023E-2</v>
      </c>
      <c r="V121" s="382">
        <f t="shared" si="33"/>
        <v>53.942388560588896</v>
      </c>
      <c r="W121" s="400">
        <f t="shared" si="34"/>
        <v>0</v>
      </c>
      <c r="X121" s="157">
        <f t="shared" si="35"/>
        <v>44668</v>
      </c>
      <c r="Y121" s="383">
        <f t="shared" si="36"/>
        <v>53.158999999999999</v>
      </c>
      <c r="Z121" s="383">
        <f t="shared" si="37"/>
        <v>54.382163579501388</v>
      </c>
      <c r="AA121" s="384">
        <f t="shared" si="38"/>
        <v>59.377143384567823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8.4122938901177197E-2</v>
      </c>
      <c r="AD121" s="230">
        <f>(INDEX(Models!$BJ121:$BT121,,AH121)*(1-AF121)+INDEX(Models!$BJ121:$BT121,,AH121+1)*AF121-ERP_i)*AE121*Ramure*Pc/MaxiM</f>
        <v>1.5936325236198999E-4</v>
      </c>
      <c r="AE121" s="304">
        <f t="shared" si="40"/>
        <v>0.6</v>
      </c>
      <c r="AF121" s="177">
        <f t="shared" si="41"/>
        <v>4.7521330399675023E-2</v>
      </c>
      <c r="AG121" s="799">
        <f t="shared" si="49"/>
        <v>0</v>
      </c>
      <c r="AH121" s="176">
        <f t="shared" si="42"/>
        <v>6</v>
      </c>
      <c r="AI121" s="224">
        <f t="shared" si="43"/>
        <v>4.7521330399675023E-2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44669</v>
      </c>
      <c r="B122" s="1153">
        <v>39.323999999999998</v>
      </c>
      <c r="C122" s="388"/>
      <c r="D122" s="391">
        <f t="shared" si="25"/>
        <v>40.229597729720496</v>
      </c>
      <c r="E122" s="383">
        <f t="shared" si="47"/>
        <v>43.928944396325406</v>
      </c>
      <c r="F122" s="383">
        <f t="shared" si="26"/>
        <v>43.933124779978819</v>
      </c>
      <c r="G122" s="110">
        <f t="shared" si="48"/>
        <v>0.72643533273181382</v>
      </c>
      <c r="H122" s="412" t="b">
        <f>Wh_hp&gt;='2021'!Maxi_hp</f>
        <v>1</v>
      </c>
      <c r="I122" s="379">
        <f>IF(H122,Wh_hp,'2021'!Maxi_hp)</f>
        <v>43.933124779978819</v>
      </c>
      <c r="J122" s="85">
        <f>IF(H122,An,'2021'!An_max)</f>
        <v>2022</v>
      </c>
      <c r="K122" s="197">
        <f t="shared" si="27"/>
        <v>44669</v>
      </c>
      <c r="L122" s="147">
        <f>IF(t&lt;Tvie,1-EXP((T0-t)*PertePVj)+'2021'!Pspv,1-EXP((T0-t)*PertePVj)+Pspv)</f>
        <v>2.2510732913728959E-2</v>
      </c>
      <c r="M122" s="832"/>
      <c r="N122" s="832"/>
      <c r="O122" s="48">
        <f>IF(t&lt;Tnet,'2021'!Resal+('2021'!Salim-'2021'!Resal)*(1-EXP(('2021'!Tnet-t)/('2021'!Tau_j))),Resal+(Salim-Resal)*(1-EXP((Tnet-t)/(Tau_j))))*Salcycl</f>
        <v>8.4212054658758209E-2</v>
      </c>
      <c r="P122" s="169">
        <f>(INDEX(Models!$BJ122:$BT122,,T122)*(1-R122)+INDEX(Models!$BJ122:$BT122,,T122+1)*R122-ERP_i)*Q122*Ramure*Pc/MaxiM</f>
        <v>1.5617940081120768E-4</v>
      </c>
      <c r="Q122" s="304">
        <f t="shared" si="28"/>
        <v>0.6</v>
      </c>
      <c r="R122" s="177">
        <f t="shared" si="29"/>
        <v>4.9371810722397935E-2</v>
      </c>
      <c r="S122" s="799">
        <f t="shared" si="30"/>
        <v>0</v>
      </c>
      <c r="T122" s="176">
        <f t="shared" si="31"/>
        <v>6</v>
      </c>
      <c r="U122" s="250">
        <f t="shared" si="32"/>
        <v>4.9371810722397935E-2</v>
      </c>
      <c r="V122" s="382">
        <f t="shared" si="33"/>
        <v>54.129525659259066</v>
      </c>
      <c r="W122" s="400">
        <f t="shared" si="34"/>
        <v>0</v>
      </c>
      <c r="X122" s="157">
        <f t="shared" si="35"/>
        <v>44669</v>
      </c>
      <c r="Y122" s="383">
        <f t="shared" si="36"/>
        <v>39.323999999999998</v>
      </c>
      <c r="Z122" s="383">
        <f t="shared" si="37"/>
        <v>40.229597729720496</v>
      </c>
      <c r="AA122" s="384">
        <f t="shared" si="38"/>
        <v>43.928944396325406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8.4212054658758209E-2</v>
      </c>
      <c r="AD122" s="230">
        <f>(INDEX(Models!$BJ122:$BT122,,AH122)*(1-AF122)+INDEX(Models!$BJ122:$BT122,,AH122+1)*AF122-ERP_i)*AE122*Ramure*Pc/MaxiM</f>
        <v>1.5617940081120768E-4</v>
      </c>
      <c r="AE122" s="304">
        <f t="shared" si="40"/>
        <v>0.6</v>
      </c>
      <c r="AF122" s="177">
        <f t="shared" si="41"/>
        <v>4.9371810722397935E-2</v>
      </c>
      <c r="AG122" s="799">
        <f t="shared" si="49"/>
        <v>0</v>
      </c>
      <c r="AH122" s="176">
        <f t="shared" si="42"/>
        <v>6</v>
      </c>
      <c r="AI122" s="224">
        <f t="shared" si="43"/>
        <v>4.9371810722397935E-2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44670</v>
      </c>
      <c r="B123" s="1153">
        <v>9.1920000000000002</v>
      </c>
      <c r="C123" s="388"/>
      <c r="D123" s="391">
        <f t="shared" si="25"/>
        <v>9.4038640376681162</v>
      </c>
      <c r="E123" s="383">
        <f t="shared" si="47"/>
        <v>10.269616479894198</v>
      </c>
      <c r="F123" s="383">
        <f t="shared" si="26"/>
        <v>10.269616479894198</v>
      </c>
      <c r="G123" s="110">
        <f t="shared" si="48"/>
        <v>0.1692228599849972</v>
      </c>
      <c r="H123" s="412" t="b">
        <f>Wh_hp&gt;='2021'!Maxi_hp</f>
        <v>0</v>
      </c>
      <c r="I123" s="379">
        <f>IF(H123,Wh_hp,'2021'!Maxi_hp)</f>
        <v>59.533076172726751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2.2529466272531606E-2</v>
      </c>
      <c r="M123" s="832"/>
      <c r="N123" s="832"/>
      <c r="O123" s="48">
        <f>IF(t&lt;Tnet,'2021'!Resal+('2021'!Salim-'2021'!Resal)*(1-EXP(('2021'!Tnet-t)/('2021'!Tau_j))),Resal+(Salim-Resal)*(1-EXP((Tnet-t)/(Tau_j))))*Salcycl</f>
        <v>8.4302314884012228E-2</v>
      </c>
      <c r="P123" s="169">
        <f>(INDEX(Models!$BJ123:$BT123,,T123)*(1-R123)+INDEX(Models!$BJ123:$BT123,,T123+1)*R123-ERP_i)*Q123*Ramure*Pc/MaxiM</f>
        <v>1.5309284814584136E-4</v>
      </c>
      <c r="Q123" s="304">
        <f t="shared" si="28"/>
        <v>0.6</v>
      </c>
      <c r="R123" s="177">
        <f t="shared" si="29"/>
        <v>5.1283863807034792E-2</v>
      </c>
      <c r="S123" s="799">
        <f t="shared" si="30"/>
        <v>0</v>
      </c>
      <c r="T123" s="176">
        <f t="shared" si="31"/>
        <v>6</v>
      </c>
      <c r="U123" s="250">
        <f t="shared" si="32"/>
        <v>5.1283863807034792E-2</v>
      </c>
      <c r="V123" s="382">
        <f t="shared" si="33"/>
        <v>54.310586473687152</v>
      </c>
      <c r="W123" s="400">
        <f t="shared" si="34"/>
        <v>0</v>
      </c>
      <c r="X123" s="157">
        <f t="shared" si="35"/>
        <v>44670</v>
      </c>
      <c r="Y123" s="383">
        <f t="shared" si="36"/>
        <v>9.1920000000000002</v>
      </c>
      <c r="Z123" s="383">
        <f t="shared" si="37"/>
        <v>9.4038640376681162</v>
      </c>
      <c r="AA123" s="384">
        <f t="shared" si="38"/>
        <v>10.269616479894198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8.4302314884012228E-2</v>
      </c>
      <c r="AD123" s="230">
        <f>(INDEX(Models!$BJ123:$BT123,,AH123)*(1-AF123)+INDEX(Models!$BJ123:$BT123,,AH123+1)*AF123-ERP_i)*AE123*Ramure*Pc/MaxiM</f>
        <v>1.5309284814584136E-4</v>
      </c>
      <c r="AE123" s="304">
        <f t="shared" si="40"/>
        <v>0.6</v>
      </c>
      <c r="AF123" s="177">
        <f t="shared" si="41"/>
        <v>5.1283863807034792E-2</v>
      </c>
      <c r="AG123" s="799">
        <f t="shared" si="49"/>
        <v>0</v>
      </c>
      <c r="AH123" s="176">
        <f t="shared" si="42"/>
        <v>6</v>
      </c>
      <c r="AI123" s="224">
        <f t="shared" si="43"/>
        <v>5.1283863807034792E-2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44671</v>
      </c>
      <c r="B124" s="1153">
        <v>9.59</v>
      </c>
      <c r="C124" s="388"/>
      <c r="D124" s="391">
        <f t="shared" si="25"/>
        <v>9.811225466934026</v>
      </c>
      <c r="E124" s="383">
        <f t="shared" si="47"/>
        <v>10.715550782501372</v>
      </c>
      <c r="F124" s="383">
        <f t="shared" si="26"/>
        <v>10.715550782501372</v>
      </c>
      <c r="G124" s="110">
        <f t="shared" si="48"/>
        <v>0.17598348013363771</v>
      </c>
      <c r="H124" s="412" t="b">
        <f>Wh_hp&gt;='2021'!Maxi_hp</f>
        <v>0</v>
      </c>
      <c r="I124" s="379">
        <f>IF(H124,Wh_hp,'2021'!Maxi_hp)</f>
        <v>52.580415314681325</v>
      </c>
      <c r="J124" s="85">
        <f>IF(H124,An,'2021'!An_max)</f>
        <v>2018</v>
      </c>
      <c r="K124" s="197">
        <f t="shared" si="27"/>
        <v>44671</v>
      </c>
      <c r="L124" s="147">
        <f>IF(t&lt;Tvie,1-EXP((T0-t)*PertePVj)+'2021'!Pspv,1-EXP((T0-t)*PertePVj)+Pspv)</f>
        <v>2.2548199272313552E-2</v>
      </c>
      <c r="M124" s="832"/>
      <c r="N124" s="832"/>
      <c r="O124" s="48">
        <f>IF(t&lt;Tnet,'2021'!Resal+('2021'!Salim-'2021'!Resal)*(1-EXP(('2021'!Tnet-t)/('2021'!Tau_j))),Resal+(Salim-Resal)*(1-EXP((Tnet-t)/(Tau_j))))*Salcycl</f>
        <v>8.4393731495736132E-2</v>
      </c>
      <c r="P124" s="169">
        <f>(INDEX(Models!$BJ124:$BT124,,T124)*(1-R124)+INDEX(Models!$BJ124:$BT124,,T124+1)*R124-ERP_i)*Q124*Ramure*Pc/MaxiM</f>
        <v>1.5010037217937661E-4</v>
      </c>
      <c r="Q124" s="304">
        <f t="shared" si="28"/>
        <v>0.6</v>
      </c>
      <c r="R124" s="177">
        <f t="shared" si="29"/>
        <v>5.3258918535704004E-2</v>
      </c>
      <c r="S124" s="799">
        <f t="shared" si="30"/>
        <v>0</v>
      </c>
      <c r="T124" s="176">
        <f t="shared" si="31"/>
        <v>6</v>
      </c>
      <c r="U124" s="250">
        <f t="shared" si="32"/>
        <v>5.3258918535704004E-2</v>
      </c>
      <c r="V124" s="382">
        <f t="shared" si="33"/>
        <v>54.485571771563301</v>
      </c>
      <c r="W124" s="400">
        <f t="shared" si="34"/>
        <v>0</v>
      </c>
      <c r="X124" s="157">
        <f t="shared" si="35"/>
        <v>44671</v>
      </c>
      <c r="Y124" s="383">
        <f t="shared" si="36"/>
        <v>9.59</v>
      </c>
      <c r="Z124" s="383">
        <f t="shared" si="37"/>
        <v>9.811225466934026</v>
      </c>
      <c r="AA124" s="384">
        <f t="shared" si="38"/>
        <v>10.715550782501372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8.4393731495736132E-2</v>
      </c>
      <c r="AD124" s="230">
        <f>(INDEX(Models!$BJ124:$BT124,,AH124)*(1-AF124)+INDEX(Models!$BJ124:$BT124,,AH124+1)*AF124-ERP_i)*AE124*Ramure*Pc/MaxiM</f>
        <v>1.5010037217937661E-4</v>
      </c>
      <c r="AE124" s="304">
        <f t="shared" si="40"/>
        <v>0.6</v>
      </c>
      <c r="AF124" s="177">
        <f t="shared" si="41"/>
        <v>5.3258918535704004E-2</v>
      </c>
      <c r="AG124" s="799">
        <f t="shared" si="49"/>
        <v>0</v>
      </c>
      <c r="AH124" s="176">
        <f t="shared" si="42"/>
        <v>6</v>
      </c>
      <c r="AI124" s="224">
        <f t="shared" si="43"/>
        <v>5.3258918535704004E-2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44672</v>
      </c>
      <c r="B125" s="1153">
        <v>9.2309999999999999</v>
      </c>
      <c r="C125" s="388"/>
      <c r="D125" s="391">
        <f t="shared" si="25"/>
        <v>9.4441249241417466</v>
      </c>
      <c r="E125" s="383">
        <f t="shared" si="47"/>
        <v>10.315656746982578</v>
      </c>
      <c r="F125" s="383">
        <f t="shared" si="26"/>
        <v>10.315656746982578</v>
      </c>
      <c r="G125" s="110">
        <f t="shared" si="48"/>
        <v>0.168872538774792</v>
      </c>
      <c r="H125" s="412" t="b">
        <f>Wh_hp&gt;='2021'!Maxi_hp</f>
        <v>0</v>
      </c>
      <c r="I125" s="379">
        <f>IF(H125,Wh_hp,'2021'!Maxi_hp)</f>
        <v>55.246951602065522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2.25669319130819E-2</v>
      </c>
      <c r="M125" s="832"/>
      <c r="N125" s="832"/>
      <c r="O125" s="48">
        <f>IF(t&lt;Tnet,'2021'!Resal+('2021'!Salim-'2021'!Resal)*(1-EXP(('2021'!Tnet-t)/('2021'!Tau_j))),Resal+(Salim-Resal)*(1-EXP((Tnet-t)/(Tau_j))))*Salcycl</f>
        <v>8.4486314756039405E-2</v>
      </c>
      <c r="P125" s="169">
        <f>(INDEX(Models!$BJ125:$BT125,,T125)*(1-R125)+INDEX(Models!$BJ125:$BT125,,T125+1)*R125-ERP_i)*Q125*Ramure*Pc/MaxiM</f>
        <v>1.4719929014583193E-4</v>
      </c>
      <c r="Q125" s="304">
        <f t="shared" si="28"/>
        <v>0.6</v>
      </c>
      <c r="R125" s="177">
        <f t="shared" si="29"/>
        <v>5.529838960117707E-2</v>
      </c>
      <c r="S125" s="799">
        <f t="shared" si="30"/>
        <v>0</v>
      </c>
      <c r="T125" s="176">
        <f t="shared" si="31"/>
        <v>6</v>
      </c>
      <c r="U125" s="250">
        <f t="shared" si="32"/>
        <v>5.529838960117707E-2</v>
      </c>
      <c r="V125" s="382">
        <f t="shared" si="33"/>
        <v>54.654482429859655</v>
      </c>
      <c r="W125" s="400">
        <f t="shared" si="34"/>
        <v>0</v>
      </c>
      <c r="X125" s="157">
        <f t="shared" si="35"/>
        <v>44672</v>
      </c>
      <c r="Y125" s="383">
        <f t="shared" si="36"/>
        <v>9.2309999999999999</v>
      </c>
      <c r="Z125" s="383">
        <f t="shared" si="37"/>
        <v>9.4441249241417466</v>
      </c>
      <c r="AA125" s="384">
        <f t="shared" si="38"/>
        <v>10.315656746982578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8.4486314756039405E-2</v>
      </c>
      <c r="AD125" s="230">
        <f>(INDEX(Models!$BJ125:$BT125,,AH125)*(1-AF125)+INDEX(Models!$BJ125:$BT125,,AH125+1)*AF125-ERP_i)*AE125*Ramure*Pc/MaxiM</f>
        <v>1.4719929014583193E-4</v>
      </c>
      <c r="AE125" s="304">
        <f t="shared" si="40"/>
        <v>0.6</v>
      </c>
      <c r="AF125" s="177">
        <f t="shared" si="41"/>
        <v>5.529838960117707E-2</v>
      </c>
      <c r="AG125" s="799">
        <f t="shared" si="49"/>
        <v>0</v>
      </c>
      <c r="AH125" s="176">
        <f t="shared" si="42"/>
        <v>6</v>
      </c>
      <c r="AI125" s="224">
        <f t="shared" si="43"/>
        <v>5.529838960117707E-2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44673</v>
      </c>
      <c r="B126" s="1153">
        <v>26.829000000000001</v>
      </c>
      <c r="C126" s="388"/>
      <c r="D126" s="391">
        <f t="shared" si="25"/>
        <v>27.448952831144325</v>
      </c>
      <c r="E126" s="383">
        <f t="shared" si="47"/>
        <v>29.985094301958991</v>
      </c>
      <c r="F126" s="383">
        <f t="shared" si="26"/>
        <v>29.986265933860359</v>
      </c>
      <c r="G126" s="110">
        <f t="shared" si="48"/>
        <v>0.48937406393285748</v>
      </c>
      <c r="H126" s="412" t="b">
        <f>Wh_hp&gt;='2021'!Maxi_hp</f>
        <v>0</v>
      </c>
      <c r="I126" s="379">
        <f>IF(H126,Wh_hp,'2021'!Maxi_hp)</f>
        <v>61.484611749803321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2.2585664194843535E-2</v>
      </c>
      <c r="M126" s="832"/>
      <c r="N126" s="832"/>
      <c r="O126" s="48">
        <f>IF(t&lt;Tnet,'2021'!Resal+('2021'!Salim-'2021'!Resal)*(1-EXP(('2021'!Tnet-t)/('2021'!Tau_j))),Resal+(Salim-Resal)*(1-EXP((Tnet-t)/(Tau_j))))*Salcycl</f>
        <v>8.4580073194866504E-2</v>
      </c>
      <c r="P126" s="169">
        <f>(INDEX(Models!$BJ126:$BT126,,T126)*(1-R126)+INDEX(Models!$BJ126:$BT126,,T126+1)*R126-ERP_i)*Q126*Ramure*Pc/MaxiM</f>
        <v>1.4438701773215326E-4</v>
      </c>
      <c r="Q126" s="304">
        <f t="shared" si="28"/>
        <v>0.6</v>
      </c>
      <c r="R126" s="177">
        <f t="shared" si="29"/>
        <v>5.7403673148059525E-2</v>
      </c>
      <c r="S126" s="799">
        <f t="shared" si="30"/>
        <v>0</v>
      </c>
      <c r="T126" s="176">
        <f t="shared" si="31"/>
        <v>6</v>
      </c>
      <c r="U126" s="250">
        <f t="shared" si="32"/>
        <v>5.7403673148059525E-2</v>
      </c>
      <c r="V126" s="382">
        <f t="shared" si="33"/>
        <v>54.817319465236451</v>
      </c>
      <c r="W126" s="400">
        <f t="shared" si="34"/>
        <v>0</v>
      </c>
      <c r="X126" s="157">
        <f t="shared" si="35"/>
        <v>44673</v>
      </c>
      <c r="Y126" s="383">
        <f t="shared" si="36"/>
        <v>26.829000000000001</v>
      </c>
      <c r="Z126" s="383">
        <f t="shared" si="37"/>
        <v>27.448952831144325</v>
      </c>
      <c r="AA126" s="384">
        <f t="shared" si="38"/>
        <v>29.985094301958991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8.4580073194866504E-2</v>
      </c>
      <c r="AD126" s="230">
        <f>(INDEX(Models!$BJ126:$BT126,,AH126)*(1-AF126)+INDEX(Models!$BJ126:$BT126,,AH126+1)*AF126-ERP_i)*AE126*Ramure*Pc/MaxiM</f>
        <v>1.4438701773215326E-4</v>
      </c>
      <c r="AE126" s="304">
        <f t="shared" si="40"/>
        <v>0.6</v>
      </c>
      <c r="AF126" s="177">
        <f t="shared" si="41"/>
        <v>5.7403673148059525E-2</v>
      </c>
      <c r="AG126" s="799">
        <f t="shared" si="49"/>
        <v>0</v>
      </c>
      <c r="AH126" s="176">
        <f t="shared" si="42"/>
        <v>6</v>
      </c>
      <c r="AI126" s="224">
        <f t="shared" si="43"/>
        <v>5.7403673148059525E-2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44674</v>
      </c>
      <c r="B127" s="1153">
        <v>8.9350000000000005</v>
      </c>
      <c r="C127" s="388"/>
      <c r="D127" s="391">
        <f t="shared" si="25"/>
        <v>9.141641280673392</v>
      </c>
      <c r="E127" s="383">
        <f t="shared" si="47"/>
        <v>9.9873175274611263</v>
      </c>
      <c r="F127" s="383">
        <f t="shared" si="26"/>
        <v>9.9873175274611263</v>
      </c>
      <c r="G127" s="110">
        <f t="shared" si="48"/>
        <v>0.16250810566226226</v>
      </c>
      <c r="H127" s="412" t="b">
        <f>Wh_hp&gt;='2021'!Maxi_hp</f>
        <v>0</v>
      </c>
      <c r="I127" s="379">
        <f>IF(H127,Wh_hp,'2021'!Maxi_hp)</f>
        <v>61.411826255045938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2.2604396117605119E-2</v>
      </c>
      <c r="M127" s="832"/>
      <c r="N127" s="832"/>
      <c r="O127" s="48">
        <f>IF(t&lt;Tnet,'2021'!Resal+('2021'!Salim-'2021'!Resal)*(1-EXP(('2021'!Tnet-t)/('2021'!Tau_j))),Resal+(Salim-Resal)*(1-EXP((Tnet-t)/(Tau_j))))*Salcycl</f>
        <v>8.4675013532158491E-2</v>
      </c>
      <c r="P127" s="169">
        <f>(INDEX(Models!$BJ127:$BT127,,T127)*(1-R127)+INDEX(Models!$BJ127:$BT127,,T127+1)*R127-ERP_i)*Q127*Ramure*Pc/MaxiM</f>
        <v>1.4166066234151163E-4</v>
      </c>
      <c r="Q127" s="304">
        <f t="shared" si="28"/>
        <v>0.6</v>
      </c>
      <c r="R127" s="177">
        <f t="shared" si="29"/>
        <v>5.9576142152092913E-2</v>
      </c>
      <c r="S127" s="799">
        <f t="shared" si="30"/>
        <v>0</v>
      </c>
      <c r="T127" s="176">
        <f t="shared" si="31"/>
        <v>6</v>
      </c>
      <c r="U127" s="250">
        <f t="shared" si="32"/>
        <v>5.9576142152092913E-2</v>
      </c>
      <c r="V127" s="382">
        <f t="shared" si="33"/>
        <v>54.974084065374562</v>
      </c>
      <c r="W127" s="400">
        <f t="shared" si="34"/>
        <v>0</v>
      </c>
      <c r="X127" s="157">
        <f t="shared" si="35"/>
        <v>44674</v>
      </c>
      <c r="Y127" s="383">
        <f t="shared" si="36"/>
        <v>8.9350000000000005</v>
      </c>
      <c r="Z127" s="383">
        <f t="shared" si="37"/>
        <v>9.141641280673392</v>
      </c>
      <c r="AA127" s="384">
        <f t="shared" si="38"/>
        <v>9.9873175274611263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8.4675013532158491E-2</v>
      </c>
      <c r="AD127" s="230">
        <f>(INDEX(Models!$BJ127:$BT127,,AH127)*(1-AF127)+INDEX(Models!$BJ127:$BT127,,AH127+1)*AF127-ERP_i)*AE127*Ramure*Pc/MaxiM</f>
        <v>1.4166066234151163E-4</v>
      </c>
      <c r="AE127" s="304">
        <f t="shared" si="40"/>
        <v>0.6</v>
      </c>
      <c r="AF127" s="177">
        <f t="shared" si="41"/>
        <v>5.9576142152092913E-2</v>
      </c>
      <c r="AG127" s="799">
        <f t="shared" si="49"/>
        <v>0</v>
      </c>
      <c r="AH127" s="176">
        <f t="shared" si="42"/>
        <v>6</v>
      </c>
      <c r="AI127" s="224">
        <f t="shared" si="43"/>
        <v>5.9576142152092913E-2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44675</v>
      </c>
      <c r="B128" s="1153">
        <v>30.874000000000002</v>
      </c>
      <c r="C128" s="388"/>
      <c r="D128" s="391">
        <f t="shared" si="25"/>
        <v>31.588633693324223</v>
      </c>
      <c r="E128" s="383">
        <f t="shared" si="47"/>
        <v>34.514464189820856</v>
      </c>
      <c r="F128" s="383">
        <f t="shared" si="26"/>
        <v>34.516247619334536</v>
      </c>
      <c r="G128" s="110">
        <f t="shared" si="48"/>
        <v>0.56002589819160975</v>
      </c>
      <c r="H128" s="412" t="b">
        <f>Wh_hp&gt;='2021'!Maxi_hp</f>
        <v>0</v>
      </c>
      <c r="I128" s="379">
        <f>IF(H128,Wh_hp,'2021'!Maxi_hp)</f>
        <v>58.10105142457774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2.2623127681373756E-2</v>
      </c>
      <c r="M128" s="832"/>
      <c r="N128" s="832"/>
      <c r="O128" s="48">
        <f>IF(t&lt;Tnet,'2021'!Resal+('2021'!Salim-'2021'!Resal)*(1-EXP(('2021'!Tnet-t)/('2021'!Tau_j))),Resal+(Salim-Resal)*(1-EXP((Tnet-t)/(Tau_j))))*Salcycl</f>
        <v>8.4771140597904096E-2</v>
      </c>
      <c r="P128" s="169">
        <f>(INDEX(Models!$BJ128:$BT128,,T128)*(1-R128)+INDEX(Models!$BJ128:$BT128,,T128+1)*R128-ERP_i)*Q128*Ramure*Pc/MaxiM</f>
        <v>1.3906955162678046E-4</v>
      </c>
      <c r="Q128" s="304">
        <f t="shared" si="28"/>
        <v>0.6</v>
      </c>
      <c r="R128" s="177">
        <f t="shared" si="29"/>
        <v>6.1817141538674417E-2</v>
      </c>
      <c r="S128" s="799">
        <f t="shared" si="30"/>
        <v>0</v>
      </c>
      <c r="T128" s="176">
        <f t="shared" si="31"/>
        <v>6</v>
      </c>
      <c r="U128" s="250">
        <f t="shared" si="32"/>
        <v>6.1817141538674417E-2</v>
      </c>
      <c r="V128" s="382">
        <f t="shared" si="33"/>
        <v>55.124774700841783</v>
      </c>
      <c r="W128" s="400">
        <f t="shared" si="34"/>
        <v>0</v>
      </c>
      <c r="X128" s="157">
        <f t="shared" si="35"/>
        <v>44675</v>
      </c>
      <c r="Y128" s="383">
        <f t="shared" si="36"/>
        <v>30.874000000000006</v>
      </c>
      <c r="Z128" s="383">
        <f t="shared" si="37"/>
        <v>31.588633693324226</v>
      </c>
      <c r="AA128" s="384">
        <f t="shared" si="38"/>
        <v>34.514464189820856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8.4771140597904096E-2</v>
      </c>
      <c r="AD128" s="230">
        <f>(INDEX(Models!$BJ128:$BT128,,AH128)*(1-AF128)+INDEX(Models!$BJ128:$BT128,,AH128+1)*AF128-ERP_i)*AE128*Ramure*Pc/MaxiM</f>
        <v>1.3906955162678046E-4</v>
      </c>
      <c r="AE128" s="304">
        <f t="shared" si="40"/>
        <v>0.6</v>
      </c>
      <c r="AF128" s="177">
        <f t="shared" si="41"/>
        <v>6.1817141538674417E-2</v>
      </c>
      <c r="AG128" s="799">
        <f t="shared" si="49"/>
        <v>0</v>
      </c>
      <c r="AH128" s="176">
        <f t="shared" si="42"/>
        <v>6</v>
      </c>
      <c r="AI128" s="224">
        <f t="shared" si="43"/>
        <v>6.1817141538674417E-2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44676</v>
      </c>
      <c r="B129" s="1153">
        <v>46.725000000000001</v>
      </c>
      <c r="C129" s="388"/>
      <c r="D129" s="391">
        <f t="shared" si="25"/>
        <v>47.807449525871831</v>
      </c>
      <c r="E129" s="383">
        <f t="shared" si="47"/>
        <v>52.241068406658513</v>
      </c>
      <c r="F129" s="383">
        <f t="shared" si="26"/>
        <v>52.246629003917974</v>
      </c>
      <c r="G129" s="110">
        <f t="shared" si="48"/>
        <v>0.84537910081480661</v>
      </c>
      <c r="H129" s="412" t="b">
        <f>Wh_hp&gt;='2021'!Maxi_hp</f>
        <v>0</v>
      </c>
      <c r="I129" s="379">
        <f>IF(H129,Wh_hp,'2021'!Maxi_hp)</f>
        <v>57.415722541484826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2.264185888615633E-2</v>
      </c>
      <c r="M129" s="832"/>
      <c r="N129" s="832"/>
      <c r="O129" s="48">
        <f>IF(t&lt;Tnet,'2021'!Resal+('2021'!Salim-'2021'!Resal)*(1-EXP(('2021'!Tnet-t)/('2021'!Tau_j))),Resal+(Salim-Resal)*(1-EXP((Tnet-t)/(Tau_j))))*Salcycl</f>
        <v>8.4868457250418472E-2</v>
      </c>
      <c r="P129" s="169">
        <f>(INDEX(Models!$BJ129:$BT129,,T129)*(1-R129)+INDEX(Models!$BJ129:$BT129,,T129+1)*R129-ERP_i)*Q129*Ramure*Pc/MaxiM</f>
        <v>1.365973909646143E-4</v>
      </c>
      <c r="Q129" s="304">
        <f t="shared" si="28"/>
        <v>0.6</v>
      </c>
      <c r="R129" s="177">
        <f t="shared" si="29"/>
        <v>6.4127983043640258E-2</v>
      </c>
      <c r="S129" s="799">
        <f t="shared" si="30"/>
        <v>0</v>
      </c>
      <c r="T129" s="176">
        <f t="shared" si="31"/>
        <v>6</v>
      </c>
      <c r="U129" s="250">
        <f t="shared" si="32"/>
        <v>6.4127983043640258E-2</v>
      </c>
      <c r="V129" s="382">
        <f t="shared" si="33"/>
        <v>55.269393604989958</v>
      </c>
      <c r="W129" s="400">
        <f t="shared" si="34"/>
        <v>0</v>
      </c>
      <c r="X129" s="157">
        <f t="shared" si="35"/>
        <v>44676</v>
      </c>
      <c r="Y129" s="383">
        <f t="shared" si="36"/>
        <v>46.725000000000001</v>
      </c>
      <c r="Z129" s="383">
        <f t="shared" si="37"/>
        <v>47.807449525871831</v>
      </c>
      <c r="AA129" s="384">
        <f t="shared" si="38"/>
        <v>52.241068406658513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8.4868457250418472E-2</v>
      </c>
      <c r="AD129" s="230">
        <f>(INDEX(Models!$BJ129:$BT129,,AH129)*(1-AF129)+INDEX(Models!$BJ129:$BT129,,AH129+1)*AF129-ERP_i)*AE129*Ramure*Pc/MaxiM</f>
        <v>1.365973909646143E-4</v>
      </c>
      <c r="AE129" s="304">
        <f t="shared" si="40"/>
        <v>0.6</v>
      </c>
      <c r="AF129" s="177">
        <f t="shared" si="41"/>
        <v>6.4127983043640258E-2</v>
      </c>
      <c r="AG129" s="799">
        <f t="shared" si="49"/>
        <v>0</v>
      </c>
      <c r="AH129" s="176">
        <f t="shared" si="42"/>
        <v>6</v>
      </c>
      <c r="AI129" s="224">
        <f t="shared" si="43"/>
        <v>6.4127983043640258E-2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44677</v>
      </c>
      <c r="B130" s="1153">
        <v>53.57</v>
      </c>
      <c r="C130" s="388"/>
      <c r="D130" s="391">
        <f t="shared" si="25"/>
        <v>54.812073919446412</v>
      </c>
      <c r="E130" s="383">
        <f t="shared" si="47"/>
        <v>59.901743194563835</v>
      </c>
      <c r="F130" s="383">
        <f t="shared" si="26"/>
        <v>59.909404473598052</v>
      </c>
      <c r="G130" s="110">
        <f t="shared" si="48"/>
        <v>0.96682274908050125</v>
      </c>
      <c r="H130" s="412" t="b">
        <f>Wh_hp&gt;='2021'!Maxi_hp</f>
        <v>1</v>
      </c>
      <c r="I130" s="379">
        <f>IF(H130,Wh_hp,'2021'!Maxi_hp)</f>
        <v>59.909404473598052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2.2660589731959502E-2</v>
      </c>
      <c r="M130" s="832"/>
      <c r="N130" s="832"/>
      <c r="O130" s="48">
        <f>IF(t&lt;Tnet,'2021'!Resal+('2021'!Salim-'2021'!Resal)*(1-EXP(('2021'!Tnet-t)/('2021'!Tau_j))),Resal+(Salim-Resal)*(1-EXP((Tnet-t)/(Tau_j))))*Salcycl</f>
        <v>8.4966964293274785E-2</v>
      </c>
      <c r="P130" s="169">
        <f>(INDEX(Models!$BJ130:$BT130,,T130)*(1-R130)+INDEX(Models!$BJ130:$BT130,,T130+1)*R130-ERP_i)*Q130*Ramure*Pc/MaxiM</f>
        <v>1.3424246058055505E-4</v>
      </c>
      <c r="Q130" s="304">
        <f t="shared" si="28"/>
        <v>0.6</v>
      </c>
      <c r="R130" s="177">
        <f t="shared" si="29"/>
        <v>6.650993982149922E-2</v>
      </c>
      <c r="S130" s="799">
        <f t="shared" si="30"/>
        <v>0</v>
      </c>
      <c r="T130" s="176">
        <f t="shared" si="31"/>
        <v>6</v>
      </c>
      <c r="U130" s="250">
        <f t="shared" si="32"/>
        <v>6.650993982149922E-2</v>
      </c>
      <c r="V130" s="382">
        <f t="shared" si="33"/>
        <v>55.407942384398808</v>
      </c>
      <c r="W130" s="400">
        <f t="shared" si="34"/>
        <v>0</v>
      </c>
      <c r="X130" s="157">
        <f t="shared" si="35"/>
        <v>44677</v>
      </c>
      <c r="Y130" s="383">
        <f t="shared" si="36"/>
        <v>53.57</v>
      </c>
      <c r="Z130" s="383">
        <f t="shared" si="37"/>
        <v>54.812073919446412</v>
      </c>
      <c r="AA130" s="384">
        <f t="shared" si="38"/>
        <v>59.901743194563835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8.4966964293274785E-2</v>
      </c>
      <c r="AD130" s="230">
        <f>(INDEX(Models!$BJ130:$BT130,,AH130)*(1-AF130)+INDEX(Models!$BJ130:$BT130,,AH130+1)*AF130-ERP_i)*AE130*Ramure*Pc/MaxiM</f>
        <v>1.3424246058055505E-4</v>
      </c>
      <c r="AE130" s="304">
        <f t="shared" si="40"/>
        <v>0.6</v>
      </c>
      <c r="AF130" s="177">
        <f t="shared" si="41"/>
        <v>6.650993982149922E-2</v>
      </c>
      <c r="AG130" s="799">
        <f t="shared" si="49"/>
        <v>0</v>
      </c>
      <c r="AH130" s="176">
        <f t="shared" si="42"/>
        <v>6</v>
      </c>
      <c r="AI130" s="224">
        <f t="shared" si="43"/>
        <v>6.650993982149922E-2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44678</v>
      </c>
      <c r="B131" s="1153">
        <v>38.886000000000003</v>
      </c>
      <c r="C131" s="388"/>
      <c r="D131" s="391">
        <f t="shared" si="25"/>
        <v>39.788373258105331</v>
      </c>
      <c r="E131" s="383">
        <f t="shared" si="47"/>
        <v>43.487729144427561</v>
      </c>
      <c r="F131" s="383">
        <f t="shared" si="26"/>
        <v>43.491010827693984</v>
      </c>
      <c r="G131" s="110">
        <f t="shared" si="48"/>
        <v>0.70009911679775982</v>
      </c>
      <c r="H131" s="412" t="b">
        <f>Wh_hp&gt;='2021'!Maxi_hp</f>
        <v>1</v>
      </c>
      <c r="I131" s="379">
        <f>IF(H131,Wh_hp,'2021'!Maxi_hp)</f>
        <v>43.491010827693984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2.2679320218790378E-2</v>
      </c>
      <c r="M131" s="832"/>
      <c r="N131" s="832"/>
      <c r="O131" s="48">
        <f>IF(t&lt;Tnet,'2021'!Resal+('2021'!Salim-'2021'!Resal)*(1-EXP(('2021'!Tnet-t)/('2021'!Tau_j))),Resal+(Salim-Resal)*(1-EXP((Tnet-t)/(Tau_j))))*Salcycl</f>
        <v>8.5066660391400498E-2</v>
      </c>
      <c r="P131" s="169">
        <f>(INDEX(Models!$BJ131:$BT131,,T131)*(1-R131)+INDEX(Models!$BJ131:$BT131,,T131+1)*R131-ERP_i)*Q131*Ramure*Pc/MaxiM</f>
        <v>1.3200325269794162E-4</v>
      </c>
      <c r="Q131" s="304">
        <f t="shared" si="28"/>
        <v>0.6</v>
      </c>
      <c r="R131" s="177">
        <f t="shared" si="29"/>
        <v>6.896424080863417E-2</v>
      </c>
      <c r="S131" s="799">
        <f t="shared" si="30"/>
        <v>0</v>
      </c>
      <c r="T131" s="176">
        <f t="shared" si="31"/>
        <v>6</v>
      </c>
      <c r="U131" s="250">
        <f t="shared" si="32"/>
        <v>6.896424080863417E-2</v>
      </c>
      <c r="V131" s="382">
        <f t="shared" si="33"/>
        <v>55.54042281655925</v>
      </c>
      <c r="W131" s="400">
        <f t="shared" si="34"/>
        <v>0</v>
      </c>
      <c r="X131" s="157">
        <f t="shared" si="35"/>
        <v>44678</v>
      </c>
      <c r="Y131" s="383">
        <f t="shared" si="36"/>
        <v>38.886000000000003</v>
      </c>
      <c r="Z131" s="383">
        <f t="shared" si="37"/>
        <v>39.788373258105331</v>
      </c>
      <c r="AA131" s="384">
        <f t="shared" si="38"/>
        <v>43.487729144427561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8.5066660391400498E-2</v>
      </c>
      <c r="AD131" s="230">
        <f>(INDEX(Models!$BJ131:$BT131,,AH131)*(1-AF131)+INDEX(Models!$BJ131:$BT131,,AH131+1)*AF131-ERP_i)*AE131*Ramure*Pc/MaxiM</f>
        <v>1.3200325269794162E-4</v>
      </c>
      <c r="AE131" s="304">
        <f t="shared" si="40"/>
        <v>0.6</v>
      </c>
      <c r="AF131" s="177">
        <f t="shared" si="41"/>
        <v>6.896424080863417E-2</v>
      </c>
      <c r="AG131" s="799">
        <f t="shared" si="49"/>
        <v>0</v>
      </c>
      <c r="AH131" s="176">
        <f t="shared" si="42"/>
        <v>6</v>
      </c>
      <c r="AI131" s="224">
        <f t="shared" si="43"/>
        <v>6.896424080863417E-2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44679</v>
      </c>
      <c r="B132" s="1153">
        <v>23.43</v>
      </c>
      <c r="C132" s="388"/>
      <c r="D132" s="391">
        <f t="shared" si="25"/>
        <v>23.974166846091713</v>
      </c>
      <c r="E132" s="383">
        <f t="shared" si="47"/>
        <v>26.206073730878998</v>
      </c>
      <c r="F132" s="383">
        <f t="shared" si="26"/>
        <v>26.206661580251836</v>
      </c>
      <c r="G132" s="110">
        <f t="shared" si="48"/>
        <v>0.4208516916036148</v>
      </c>
      <c r="H132" s="412" t="b">
        <f>Wh_hp&gt;='2021'!Maxi_hp</f>
        <v>0</v>
      </c>
      <c r="I132" s="379">
        <f>IF(H132,Wh_hp,'2021'!Maxi_hp)</f>
        <v>46.721279625112096</v>
      </c>
      <c r="J132" s="85">
        <f>IF(H132,An,'2021'!An_max)</f>
        <v>2018</v>
      </c>
      <c r="K132" s="197">
        <f t="shared" si="27"/>
        <v>44679</v>
      </c>
      <c r="L132" s="147">
        <f>IF(t&lt;Tvie,1-EXP((T0-t)*PertePVj)+'2021'!Pspv,1-EXP((T0-t)*PertePVj)+Pspv)</f>
        <v>2.2698050346655729E-2</v>
      </c>
      <c r="M132" s="832"/>
      <c r="N132" s="832"/>
      <c r="O132" s="48">
        <f>IF(t&lt;Tnet,'2021'!Resal+('2021'!Salim-'2021'!Resal)*(1-EXP(('2021'!Tnet-t)/('2021'!Tau_j))),Resal+(Salim-Resal)*(1-EXP((Tnet-t)/(Tau_j))))*Salcycl</f>
        <v>8.5167541986932438E-2</v>
      </c>
      <c r="P132" s="169">
        <f>(INDEX(Models!$BJ132:$BT132,,T132)*(1-R132)+INDEX(Models!$BJ132:$BT132,,T132+1)*R132-ERP_i)*Q132*Ramure*Pc/MaxiM</f>
        <v>1.2987847284721293E-4</v>
      </c>
      <c r="Q132" s="304">
        <f t="shared" si="28"/>
        <v>0.6</v>
      </c>
      <c r="R132" s="177">
        <f t="shared" si="29"/>
        <v>7.149206485151148E-2</v>
      </c>
      <c r="S132" s="799">
        <f t="shared" si="30"/>
        <v>0</v>
      </c>
      <c r="T132" s="176">
        <f t="shared" si="31"/>
        <v>6</v>
      </c>
      <c r="U132" s="250">
        <f t="shared" si="32"/>
        <v>7.149206485151148E-2</v>
      </c>
      <c r="V132" s="382">
        <f t="shared" si="33"/>
        <v>55.666836853850768</v>
      </c>
      <c r="W132" s="400">
        <f t="shared" si="34"/>
        <v>0</v>
      </c>
      <c r="X132" s="157">
        <f t="shared" si="35"/>
        <v>44679</v>
      </c>
      <c r="Y132" s="383">
        <f t="shared" si="36"/>
        <v>23.43</v>
      </c>
      <c r="Z132" s="383">
        <f t="shared" si="37"/>
        <v>23.974166846091713</v>
      </c>
      <c r="AA132" s="384">
        <f t="shared" si="38"/>
        <v>26.206073730878998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8.5167541986932438E-2</v>
      </c>
      <c r="AD132" s="230">
        <f>(INDEX(Models!$BJ132:$BT132,,AH132)*(1-AF132)+INDEX(Models!$BJ132:$BT132,,AH132+1)*AF132-ERP_i)*AE132*Ramure*Pc/MaxiM</f>
        <v>1.2987847284721293E-4</v>
      </c>
      <c r="AE132" s="304">
        <f t="shared" si="40"/>
        <v>0.6</v>
      </c>
      <c r="AF132" s="177">
        <f t="shared" si="41"/>
        <v>7.149206485151148E-2</v>
      </c>
      <c r="AG132" s="799">
        <f t="shared" si="49"/>
        <v>0</v>
      </c>
      <c r="AH132" s="176">
        <f t="shared" si="42"/>
        <v>6</v>
      </c>
      <c r="AI132" s="224">
        <f t="shared" si="43"/>
        <v>7.149206485151148E-2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44680</v>
      </c>
      <c r="B133" s="1153">
        <v>42.85</v>
      </c>
      <c r="C133" s="388"/>
      <c r="D133" s="391">
        <f t="shared" si="25"/>
        <v>43.846040869367378</v>
      </c>
      <c r="E133" s="383">
        <f t="shared" si="47"/>
        <v>47.933293813671327</v>
      </c>
      <c r="F133" s="383">
        <f t="shared" si="26"/>
        <v>47.937392751496574</v>
      </c>
      <c r="G133" s="110">
        <f t="shared" si="48"/>
        <v>0.76806498521156985</v>
      </c>
      <c r="H133" s="412" t="b">
        <f>Wh_hp&gt;='2021'!Maxi_hp</f>
        <v>0</v>
      </c>
      <c r="I133" s="379">
        <f>IF(H133,Wh_hp,'2021'!Maxi_hp)</f>
        <v>51.783140656081144</v>
      </c>
      <c r="J133" s="85">
        <f>IF(H133,An,'2021'!An_max)</f>
        <v>2018</v>
      </c>
      <c r="K133" s="197">
        <f t="shared" si="27"/>
        <v>44680</v>
      </c>
      <c r="L133" s="147">
        <f>IF(t&lt;Tvie,1-EXP((T0-t)*PertePVj)+'2021'!Pspv,1-EXP((T0-t)*PertePVj)+Pspv)</f>
        <v>2.2716780115562329E-2</v>
      </c>
      <c r="M133" s="832"/>
      <c r="N133" s="832"/>
      <c r="O133" s="48">
        <f>IF(t&lt;Tnet,'2021'!Resal+('2021'!Salim-'2021'!Resal)*(1-EXP(('2021'!Tnet-t)/('2021'!Tau_j))),Resal+(Salim-Resal)*(1-EXP((Tnet-t)/(Tau_j))))*Salcycl</f>
        <v>8.5269603215504489E-2</v>
      </c>
      <c r="P133" s="169">
        <f>(INDEX(Models!$BJ133:$BT133,,T133)*(1-R133)+INDEX(Models!$BJ133:$BT133,,T133+1)*R133-ERP_i)*Q133*Ramure*Pc/MaxiM</f>
        <v>1.2786704121820776E-4</v>
      </c>
      <c r="Q133" s="304">
        <f t="shared" si="28"/>
        <v>0.6</v>
      </c>
      <c r="R133" s="177">
        <f t="shared" si="29"/>
        <v>7.4094534612643564E-2</v>
      </c>
      <c r="S133" s="799">
        <f t="shared" si="30"/>
        <v>0</v>
      </c>
      <c r="T133" s="176">
        <f t="shared" si="31"/>
        <v>6</v>
      </c>
      <c r="U133" s="250">
        <f t="shared" si="32"/>
        <v>7.4094534612643564E-2</v>
      </c>
      <c r="V133" s="382">
        <f t="shared" si="33"/>
        <v>55.787186633887806</v>
      </c>
      <c r="W133" s="400">
        <f t="shared" si="34"/>
        <v>0</v>
      </c>
      <c r="X133" s="157">
        <f t="shared" si="35"/>
        <v>44680</v>
      </c>
      <c r="Y133" s="383">
        <f t="shared" si="36"/>
        <v>42.85</v>
      </c>
      <c r="Z133" s="383">
        <f t="shared" si="37"/>
        <v>43.846040869367378</v>
      </c>
      <c r="AA133" s="384">
        <f t="shared" si="38"/>
        <v>47.933293813671327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8.5269603215504489E-2</v>
      </c>
      <c r="AD133" s="230">
        <f>(INDEX(Models!$BJ133:$BT133,,AH133)*(1-AF133)+INDEX(Models!$BJ133:$BT133,,AH133+1)*AF133-ERP_i)*AE133*Ramure*Pc/MaxiM</f>
        <v>1.2786704121820776E-4</v>
      </c>
      <c r="AE133" s="304">
        <f t="shared" si="40"/>
        <v>0.6</v>
      </c>
      <c r="AF133" s="177">
        <f t="shared" si="41"/>
        <v>7.4094534612643564E-2</v>
      </c>
      <c r="AG133" s="799">
        <f t="shared" si="49"/>
        <v>0</v>
      </c>
      <c r="AH133" s="176">
        <f t="shared" si="42"/>
        <v>6</v>
      </c>
      <c r="AI133" s="224">
        <f t="shared" si="43"/>
        <v>7.4094534612643564E-2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44681</v>
      </c>
      <c r="B134" s="1153">
        <v>45.358000000000004</v>
      </c>
      <c r="C134" s="388"/>
      <c r="D134" s="391">
        <f t="shared" si="25"/>
        <v>46.413228396314423</v>
      </c>
      <c r="E134" s="383">
        <f t="shared" si="47"/>
        <v>50.745517096153911</v>
      </c>
      <c r="F134" s="383">
        <f t="shared" si="26"/>
        <v>50.750187494888173</v>
      </c>
      <c r="G134" s="110">
        <f t="shared" si="48"/>
        <v>0.81136429394771747</v>
      </c>
      <c r="H134" s="412" t="b">
        <f>Wh_hp&gt;='2021'!Maxi_hp</f>
        <v>0</v>
      </c>
      <c r="I134" s="379">
        <f>IF(H134,Wh_hp,'2021'!Maxi_hp)</f>
        <v>61.648626642094747</v>
      </c>
      <c r="J134" s="85">
        <f>IF(H134,An,'2021'!An_max)</f>
        <v>2018</v>
      </c>
      <c r="K134" s="197">
        <f t="shared" si="27"/>
        <v>44681</v>
      </c>
      <c r="L134" s="147">
        <f>IF(t&lt;Tvie,1-EXP((T0-t)*PertePVj)+'2021'!Pspv,1-EXP((T0-t)*PertePVj)+Pspv)</f>
        <v>2.2735509525517283E-2</v>
      </c>
      <c r="M134" s="832"/>
      <c r="N134" s="832"/>
      <c r="O134" s="48">
        <f>IF(t&lt;Tnet,'2021'!Resal+('2021'!Salim-'2021'!Resal)*(1-EXP(('2021'!Tnet-t)/('2021'!Tau_j))),Resal+(Salim-Resal)*(1-EXP((Tnet-t)/(Tau_j))))*Salcycl</f>
        <v>8.5372835823715354E-2</v>
      </c>
      <c r="P134" s="169">
        <f>(INDEX(Models!$BJ134:$BT134,,T134)*(1-R134)+INDEX(Models!$BJ134:$BT134,,T134+1)*R134-ERP_i)*Q134*Ramure*Pc/MaxiM</f>
        <v>1.2596809408756105E-4</v>
      </c>
      <c r="Q134" s="304">
        <f t="shared" si="28"/>
        <v>0.6</v>
      </c>
      <c r="R134" s="177">
        <f t="shared" si="29"/>
        <v>7.6772710269922689E-2</v>
      </c>
      <c r="S134" s="799">
        <f t="shared" si="30"/>
        <v>0</v>
      </c>
      <c r="T134" s="176">
        <f t="shared" si="31"/>
        <v>6</v>
      </c>
      <c r="U134" s="250">
        <f t="shared" si="32"/>
        <v>7.6772710269922689E-2</v>
      </c>
      <c r="V134" s="382">
        <f t="shared" si="33"/>
        <v>55.90147447519491</v>
      </c>
      <c r="W134" s="400">
        <f t="shared" si="34"/>
        <v>0</v>
      </c>
      <c r="X134" s="157">
        <f t="shared" si="35"/>
        <v>44681</v>
      </c>
      <c r="Y134" s="383">
        <f t="shared" si="36"/>
        <v>45.358000000000004</v>
      </c>
      <c r="Z134" s="383">
        <f t="shared" si="37"/>
        <v>46.413228396314423</v>
      </c>
      <c r="AA134" s="384">
        <f t="shared" si="38"/>
        <v>50.745517096153911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8.5372835823715354E-2</v>
      </c>
      <c r="AD134" s="230">
        <f>(INDEX(Models!$BJ134:$BT134,,AH134)*(1-AF134)+INDEX(Models!$BJ134:$BT134,,AH134+1)*AF134-ERP_i)*AE134*Ramure*Pc/MaxiM</f>
        <v>1.2596809408756105E-4</v>
      </c>
      <c r="AE134" s="304">
        <f t="shared" si="40"/>
        <v>0.6</v>
      </c>
      <c r="AF134" s="177">
        <f t="shared" si="41"/>
        <v>7.6772710269922689E-2</v>
      </c>
      <c r="AG134" s="799">
        <f t="shared" si="49"/>
        <v>0</v>
      </c>
      <c r="AH134" s="176">
        <f t="shared" si="42"/>
        <v>6</v>
      </c>
      <c r="AI134" s="224">
        <f t="shared" si="43"/>
        <v>7.6772710269922689E-2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44682</v>
      </c>
      <c r="B135" s="1153">
        <v>45.893000000000001</v>
      </c>
      <c r="C135" s="388"/>
      <c r="D135" s="391">
        <f t="shared" si="25"/>
        <v>46.961574878719851</v>
      </c>
      <c r="E135" s="383">
        <f t="shared" si="47"/>
        <v>51.350908224973089</v>
      </c>
      <c r="F135" s="383">
        <f t="shared" si="26"/>
        <v>51.355640216775114</v>
      </c>
      <c r="G135" s="110">
        <f t="shared" si="48"/>
        <v>0.81936206843016302</v>
      </c>
      <c r="H135" s="412" t="b">
        <f>Wh_hp&gt;='2021'!Maxi_hp</f>
        <v>0</v>
      </c>
      <c r="I135" s="379">
        <f>IF(H135,Wh_hp,'2021'!Maxi_hp)</f>
        <v>57.098058064772587</v>
      </c>
      <c r="J135" s="85">
        <f>IF(H135,An,'2021'!An_max)</f>
        <v>2018</v>
      </c>
      <c r="K135" s="197">
        <f t="shared" si="27"/>
        <v>44682</v>
      </c>
      <c r="L135" s="147">
        <f>IF(t&lt;Tvie,1-EXP((T0-t)*PertePVj)+'2021'!Pspv,1-EXP((T0-t)*PertePVj)+Pspv)</f>
        <v>2.2754238576527475E-2</v>
      </c>
      <c r="M135" s="832"/>
      <c r="N135" s="832"/>
      <c r="O135" s="48">
        <f>IF(t&lt;Tnet,'2021'!Resal+('2021'!Salim-'2021'!Resal)*(1-EXP(('2021'!Tnet-t)/('2021'!Tau_j))),Resal+(Salim-Resal)*(1-EXP((Tnet-t)/(Tau_j))))*Salcycl</f>
        <v>8.5477229088591067E-2</v>
      </c>
      <c r="P135" s="169">
        <f>(INDEX(Models!$BJ135:$BT135,,T135)*(1-R135)+INDEX(Models!$BJ135:$BT135,,T135+1)*R135-ERP_i)*Q135*Ramure*Pc/MaxiM</f>
        <v>1.2418287001308184E-4</v>
      </c>
      <c r="Q135" s="304">
        <f t="shared" si="28"/>
        <v>0.6</v>
      </c>
      <c r="R135" s="177">
        <f t="shared" si="29"/>
        <v>7.9527583027982685E-2</v>
      </c>
      <c r="S135" s="799">
        <f t="shared" si="30"/>
        <v>0</v>
      </c>
      <c r="T135" s="176">
        <f t="shared" si="31"/>
        <v>6</v>
      </c>
      <c r="U135" s="250">
        <f t="shared" si="32"/>
        <v>7.9527583027982685E-2</v>
      </c>
      <c r="V135" s="382">
        <f t="shared" si="33"/>
        <v>56.008852695926279</v>
      </c>
      <c r="W135" s="400">
        <f t="shared" si="34"/>
        <v>0</v>
      </c>
      <c r="X135" s="157">
        <f t="shared" si="35"/>
        <v>44682</v>
      </c>
      <c r="Y135" s="383">
        <f t="shared" si="36"/>
        <v>45.893000000000001</v>
      </c>
      <c r="Z135" s="383">
        <f t="shared" si="37"/>
        <v>46.961574878719851</v>
      </c>
      <c r="AA135" s="384">
        <f t="shared" si="38"/>
        <v>51.350908224973089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8.5477229088591067E-2</v>
      </c>
      <c r="AD135" s="230">
        <f>(INDEX(Models!$BJ135:$BT135,,AH135)*(1-AF135)+INDEX(Models!$BJ135:$BT135,,AH135+1)*AF135-ERP_i)*AE135*Ramure*Pc/MaxiM</f>
        <v>1.2418287001308184E-4</v>
      </c>
      <c r="AE135" s="304">
        <f t="shared" si="40"/>
        <v>0.6</v>
      </c>
      <c r="AF135" s="177">
        <f t="shared" si="41"/>
        <v>7.9527583027982685E-2</v>
      </c>
      <c r="AG135" s="799">
        <f t="shared" si="49"/>
        <v>0</v>
      </c>
      <c r="AH135" s="176">
        <f t="shared" si="42"/>
        <v>6</v>
      </c>
      <c r="AI135" s="224">
        <f t="shared" si="43"/>
        <v>7.9527583027982685E-2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44683</v>
      </c>
      <c r="B136" s="1153">
        <v>29.515000000000001</v>
      </c>
      <c r="C136" s="388"/>
      <c r="D136" s="391">
        <f t="shared" si="25"/>
        <v>30.202807547703667</v>
      </c>
      <c r="E136" s="383">
        <f t="shared" si="47"/>
        <v>30.449353769287988</v>
      </c>
      <c r="F136" s="383">
        <f t="shared" si="26"/>
        <v>30.450339939875921</v>
      </c>
      <c r="G136" s="110">
        <f t="shared" si="48"/>
        <v>0.48489569115081144</v>
      </c>
      <c r="H136" s="412" t="b">
        <f>Wh_hp&gt;='2021'!Maxi_hp</f>
        <v>0</v>
      </c>
      <c r="I136" s="379">
        <f>IF(H136,Wh_hp,'2021'!Maxi_hp)</f>
        <v>49.564429764978506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2.2772967268599564E-2</v>
      </c>
      <c r="M136" s="832"/>
      <c r="N136" s="832"/>
      <c r="O136" s="48">
        <f>IF(t&lt;Tnet,'2021'!Resal+('2021'!Salim-'2021'!Resal)*(1-EXP(('2021'!Tnet-t)/('2021'!Tau_j))),Resal+(Salim-Resal)*(1-EXP((Tnet-t)/(Tau_j))))*Salcycl</f>
        <v>8.0969278839997105E-3</v>
      </c>
      <c r="P136" s="169">
        <f>(INDEX(Models!$BJ136:$BT136,,T136)*(1-R136)+INDEX(Models!$BJ136:$BT136,,T136+1)*R136-ERP_i)*Q136*Ramure*Pc/MaxiM</f>
        <v>1.2258248474613029E-4</v>
      </c>
      <c r="Q136" s="304">
        <f t="shared" si="28"/>
        <v>0.6</v>
      </c>
      <c r="R136" s="177">
        <f t="shared" si="29"/>
        <v>8.2360068463417771E-2</v>
      </c>
      <c r="S136" s="799">
        <f t="shared" si="30"/>
        <v>0</v>
      </c>
      <c r="T136" s="176">
        <f t="shared" si="31"/>
        <v>6</v>
      </c>
      <c r="U136" s="250">
        <f t="shared" si="32"/>
        <v>8.2360068463417771E-2</v>
      </c>
      <c r="V136" s="382">
        <f t="shared" si="33"/>
        <v>60.863270820553481</v>
      </c>
      <c r="W136" s="400">
        <f t="shared" si="34"/>
        <v>0</v>
      </c>
      <c r="X136" s="157">
        <f t="shared" si="35"/>
        <v>44683</v>
      </c>
      <c r="Y136" s="383">
        <f t="shared" si="36"/>
        <v>27.209336587244749</v>
      </c>
      <c r="Z136" s="383">
        <f t="shared" si="37"/>
        <v>27.843413736921743</v>
      </c>
      <c r="AA136" s="384">
        <f t="shared" si="38"/>
        <v>30.449353769287988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8.5582769739916964E-2</v>
      </c>
      <c r="AD136" s="230">
        <f>(INDEX(Models!$BJ136:$BT136,,AH136)*(1-AF136)+INDEX(Models!$BJ136:$BT136,,AH136+1)*AF136-ERP_i)*AE136*Ramure*Pc/MaxiM</f>
        <v>1.2258248474613029E-4</v>
      </c>
      <c r="AE136" s="304">
        <f t="shared" si="40"/>
        <v>0.6</v>
      </c>
      <c r="AF136" s="177">
        <f t="shared" si="41"/>
        <v>8.2360068463417771E-2</v>
      </c>
      <c r="AG136" s="799">
        <f t="shared" si="49"/>
        <v>0</v>
      </c>
      <c r="AH136" s="176">
        <f t="shared" si="42"/>
        <v>6</v>
      </c>
      <c r="AI136" s="224">
        <f t="shared" si="43"/>
        <v>8.2360068463417771E-2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44684</v>
      </c>
      <c r="B137" s="1153">
        <v>41.195999999999998</v>
      </c>
      <c r="C137" s="388"/>
      <c r="D137" s="391">
        <f t="shared" si="25"/>
        <v>42.15682553513242</v>
      </c>
      <c r="E137" s="383">
        <f t="shared" si="47"/>
        <v>42.505417027833722</v>
      </c>
      <c r="F137" s="383">
        <f t="shared" si="26"/>
        <v>42.508180337355583</v>
      </c>
      <c r="G137" s="110">
        <f t="shared" si="48"/>
        <v>0.67569826850110237</v>
      </c>
      <c r="H137" s="412" t="b">
        <f>Wh_hp&gt;='2021'!Maxi_hp</f>
        <v>0</v>
      </c>
      <c r="I137" s="379">
        <f>IF(H137,Wh_hp,'2021'!Maxi_hp)</f>
        <v>61.404519088032231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2.2791695601740547E-2</v>
      </c>
      <c r="M137" s="832"/>
      <c r="N137" s="832"/>
      <c r="O137" s="48">
        <f>IF(t&lt;Tnet,'2021'!Resal+('2021'!Salim-'2021'!Resal)*(1-EXP(('2021'!Tnet-t)/('2021'!Tau_j))),Resal+(Salim-Resal)*(1-EXP((Tnet-t)/(Tau_j))))*Salcycl</f>
        <v>8.2011074605629567E-3</v>
      </c>
      <c r="P137" s="169">
        <f>(INDEX(Models!$BJ137:$BT137,,T137)*(1-R137)+INDEX(Models!$BJ137:$BT137,,T137+1)*R137-ERP_i)*Q137*Ramure*Pc/MaxiM</f>
        <v>1.2110777986388455E-4</v>
      </c>
      <c r="Q137" s="304">
        <f t="shared" si="28"/>
        <v>0.6</v>
      </c>
      <c r="R137" s="177">
        <f t="shared" si="29"/>
        <v>8.5270999728981542E-2</v>
      </c>
      <c r="S137" s="799">
        <f t="shared" si="30"/>
        <v>0</v>
      </c>
      <c r="T137" s="176">
        <f t="shared" si="31"/>
        <v>6</v>
      </c>
      <c r="U137" s="250">
        <f t="shared" si="32"/>
        <v>8.5270999728981542E-2</v>
      </c>
      <c r="V137" s="382">
        <f t="shared" si="33"/>
        <v>60.964620782965135</v>
      </c>
      <c r="W137" s="400">
        <f t="shared" si="34"/>
        <v>0</v>
      </c>
      <c r="X137" s="157">
        <f t="shared" si="35"/>
        <v>44684</v>
      </c>
      <c r="Y137" s="383">
        <f t="shared" si="36"/>
        <v>37.980169599202711</v>
      </c>
      <c r="Z137" s="383">
        <f t="shared" si="37"/>
        <v>38.865991445488127</v>
      </c>
      <c r="AA137" s="384">
        <f t="shared" si="38"/>
        <v>42.505417027833722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8.5622629698289932E-2</v>
      </c>
      <c r="AD137" s="230">
        <f>(INDEX(Models!$BJ137:$BT137,,AH137)*(1-AF137)+INDEX(Models!$BJ137:$BT137,,AH137+1)*AF137-ERP_i)*AE137*Ramure*Pc/MaxiM</f>
        <v>1.2110777986388455E-4</v>
      </c>
      <c r="AE137" s="304">
        <f t="shared" si="40"/>
        <v>0.6</v>
      </c>
      <c r="AF137" s="177">
        <f t="shared" si="41"/>
        <v>8.5270999728981542E-2</v>
      </c>
      <c r="AG137" s="799">
        <f t="shared" si="49"/>
        <v>0</v>
      </c>
      <c r="AH137" s="176">
        <f t="shared" si="42"/>
        <v>6</v>
      </c>
      <c r="AI137" s="224">
        <f t="shared" si="43"/>
        <v>8.5270999728981542E-2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44685</v>
      </c>
      <c r="B138" s="1153">
        <v>22.308</v>
      </c>
      <c r="C138" s="388"/>
      <c r="D138" s="391">
        <f t="shared" si="25"/>
        <v>22.828733071053186</v>
      </c>
      <c r="E138" s="383">
        <f t="shared" si="47"/>
        <v>23.019921919080236</v>
      </c>
      <c r="F138" s="383">
        <f t="shared" si="26"/>
        <v>23.020179303218871</v>
      </c>
      <c r="G138" s="110">
        <f t="shared" si="48"/>
        <v>0.36531325001887299</v>
      </c>
      <c r="H138" s="412" t="b">
        <f>Wh_hp&gt;='2021'!Maxi_hp</f>
        <v>0</v>
      </c>
      <c r="I138" s="379">
        <f>IF(H138,Wh_hp,'2021'!Maxi_hp)</f>
        <v>54.000058250195806</v>
      </c>
      <c r="J138" s="85">
        <f>IF(H138,An,'2021'!An_max)</f>
        <v>2021</v>
      </c>
      <c r="K138" s="197">
        <f t="shared" si="27"/>
        <v>44685</v>
      </c>
      <c r="L138" s="147">
        <f>IF(t&lt;Tvie,1-EXP((T0-t)*PertePVj)+'2021'!Pspv,1-EXP((T0-t)*PertePVj)+Pspv)</f>
        <v>2.2810423575957306E-2</v>
      </c>
      <c r="M138" s="832"/>
      <c r="N138" s="832"/>
      <c r="O138" s="48">
        <f>IF(t&lt;Tnet,'2021'!Resal+('2021'!Salim-'2021'!Resal)*(1-EXP(('2021'!Tnet-t)/('2021'!Tau_j))),Resal+(Salim-Resal)*(1-EXP((Tnet-t)/(Tau_j))))*Salcycl</f>
        <v>8.3053647488083322E-3</v>
      </c>
      <c r="P138" s="169">
        <f>(INDEX(Models!$BJ138:$BT138,,T138)*(1-R138)+INDEX(Models!$BJ138:$BT138,,T138+1)*R138-ERP_i)*Q138*Ramure*Pc/MaxiM</f>
        <v>1.1975843818986954E-4</v>
      </c>
      <c r="Q138" s="304">
        <f t="shared" si="28"/>
        <v>0.6</v>
      </c>
      <c r="R138" s="177">
        <f t="shared" si="29"/>
        <v>8.8261120645271945E-2</v>
      </c>
      <c r="S138" s="799">
        <f t="shared" si="30"/>
        <v>0</v>
      </c>
      <c r="T138" s="176">
        <f t="shared" si="31"/>
        <v>6</v>
      </c>
      <c r="U138" s="250">
        <f t="shared" si="32"/>
        <v>8.8261120645271945E-2</v>
      </c>
      <c r="V138" s="382">
        <f t="shared" si="33"/>
        <v>61.058770307201399</v>
      </c>
      <c r="W138" s="400">
        <f t="shared" si="34"/>
        <v>0</v>
      </c>
      <c r="X138" s="157">
        <f t="shared" si="35"/>
        <v>44685</v>
      </c>
      <c r="Y138" s="383">
        <f t="shared" si="36"/>
        <v>20.567839987364415</v>
      </c>
      <c r="Z138" s="383">
        <f t="shared" si="37"/>
        <v>21.047952703948191</v>
      </c>
      <c r="AA138" s="384">
        <f t="shared" si="38"/>
        <v>23.019921919080236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8.5663592694359414E-2</v>
      </c>
      <c r="AD138" s="230">
        <f>(INDEX(Models!$BJ138:$BT138,,AH138)*(1-AF138)+INDEX(Models!$BJ138:$BT138,,AH138+1)*AF138-ERP_i)*AE138*Ramure*Pc/MaxiM</f>
        <v>1.1975843818986954E-4</v>
      </c>
      <c r="AE138" s="304">
        <f t="shared" si="40"/>
        <v>0.6</v>
      </c>
      <c r="AF138" s="177">
        <f t="shared" si="41"/>
        <v>8.8261120645271945E-2</v>
      </c>
      <c r="AG138" s="799">
        <f t="shared" si="49"/>
        <v>0</v>
      </c>
      <c r="AH138" s="176">
        <f t="shared" si="42"/>
        <v>6</v>
      </c>
      <c r="AI138" s="224">
        <f t="shared" si="43"/>
        <v>8.8261120645271945E-2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44686</v>
      </c>
      <c r="B139" s="1153">
        <v>45.761000000000003</v>
      </c>
      <c r="C139" s="388"/>
      <c r="D139" s="391">
        <f t="shared" si="25"/>
        <v>46.830091233059868</v>
      </c>
      <c r="E139" s="383">
        <f t="shared" si="47"/>
        <v>47.227258366439109</v>
      </c>
      <c r="F139" s="383">
        <f t="shared" si="26"/>
        <v>47.230844492891912</v>
      </c>
      <c r="G139" s="110">
        <f t="shared" si="48"/>
        <v>0.74835541015009077</v>
      </c>
      <c r="H139" s="412" t="b">
        <f>Wh_hp&gt;='2021'!Maxi_hp</f>
        <v>0</v>
      </c>
      <c r="I139" s="379">
        <f>IF(H139,Wh_hp,'2021'!Maxi_hp)</f>
        <v>59.96671405061354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2.2829151191256614E-2</v>
      </c>
      <c r="M139" s="832"/>
      <c r="N139" s="832"/>
      <c r="O139" s="48">
        <f>IF(t&lt;Tnet,'2021'!Resal+('2021'!Salim-'2021'!Resal)*(1-EXP(('2021'!Tnet-t)/('2021'!Tau_j))),Resal+(Salim-Resal)*(1-EXP((Tnet-t)/(Tau_j))))*Salcycl</f>
        <v>8.4097012428203111E-3</v>
      </c>
      <c r="P139" s="169">
        <f>(INDEX(Models!$BJ139:$BT139,,T139)*(1-R139)+INDEX(Models!$BJ139:$BT139,,T139+1)*R139-ERP_i)*Q139*Ramure*Pc/MaxiM</f>
        <v>1.1853446020631877E-4</v>
      </c>
      <c r="Q139" s="304">
        <f t="shared" si="28"/>
        <v>0.6</v>
      </c>
      <c r="R139" s="177">
        <f t="shared" si="29"/>
        <v>9.133107871184834E-2</v>
      </c>
      <c r="S139" s="799">
        <f t="shared" si="30"/>
        <v>0</v>
      </c>
      <c r="T139" s="176">
        <f t="shared" si="31"/>
        <v>6</v>
      </c>
      <c r="U139" s="250">
        <f t="shared" si="32"/>
        <v>9.133107871184834E-2</v>
      </c>
      <c r="V139" s="382">
        <f t="shared" si="33"/>
        <v>61.146147272419519</v>
      </c>
      <c r="W139" s="400">
        <f t="shared" si="34"/>
        <v>0</v>
      </c>
      <c r="X139" s="157">
        <f t="shared" si="35"/>
        <v>44686</v>
      </c>
      <c r="Y139" s="383">
        <f t="shared" si="36"/>
        <v>42.193862216123918</v>
      </c>
      <c r="Z139" s="383">
        <f t="shared" si="37"/>
        <v>43.17961620279803</v>
      </c>
      <c r="AA139" s="384">
        <f t="shared" si="38"/>
        <v>47.227258366439109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8.5705634916072831E-2</v>
      </c>
      <c r="AD139" s="230">
        <f>(INDEX(Models!$BJ139:$BT139,,AH139)*(1-AF139)+INDEX(Models!$BJ139:$BT139,,AH139+1)*AF139-ERP_i)*AE139*Ramure*Pc/MaxiM</f>
        <v>1.1853446020631877E-4</v>
      </c>
      <c r="AE139" s="304">
        <f t="shared" si="40"/>
        <v>0.6</v>
      </c>
      <c r="AF139" s="177">
        <f t="shared" si="41"/>
        <v>9.133107871184834E-2</v>
      </c>
      <c r="AG139" s="799">
        <f t="shared" si="49"/>
        <v>0</v>
      </c>
      <c r="AH139" s="176">
        <f t="shared" si="42"/>
        <v>6</v>
      </c>
      <c r="AI139" s="224">
        <f t="shared" si="43"/>
        <v>9.133107871184834E-2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44687</v>
      </c>
      <c r="B140" s="1153">
        <v>40.157000000000004</v>
      </c>
      <c r="C140" s="388"/>
      <c r="D140" s="391">
        <f t="shared" si="25"/>
        <v>41.095955393521038</v>
      </c>
      <c r="E140" s="383">
        <f t="shared" si="47"/>
        <v>41.448855845044079</v>
      </c>
      <c r="F140" s="383">
        <f t="shared" si="26"/>
        <v>41.451330600233923</v>
      </c>
      <c r="G140" s="110">
        <f t="shared" si="48"/>
        <v>0.65583098681572116</v>
      </c>
      <c r="H140" s="412" t="b">
        <f>Wh_hp&gt;='2021'!Maxi_hp</f>
        <v>0</v>
      </c>
      <c r="I140" s="379">
        <f>IF(H140,Wh_hp,'2021'!Maxi_hp)</f>
        <v>63.959766591204975</v>
      </c>
      <c r="J140" s="85">
        <f>IF(H140,An,'2021'!An_max)</f>
        <v>2018</v>
      </c>
      <c r="K140" s="197">
        <f t="shared" si="27"/>
        <v>44687</v>
      </c>
      <c r="L140" s="147">
        <f>IF(t&lt;Tvie,1-EXP((T0-t)*PertePVj)+'2021'!Pspv,1-EXP((T0-t)*PertePVj)+Pspv)</f>
        <v>2.2847878447645575E-2</v>
      </c>
      <c r="M140" s="832"/>
      <c r="N140" s="832"/>
      <c r="O140" s="48">
        <f>IF(t&lt;Tnet,'2021'!Resal+('2021'!Salim-'2021'!Resal)*(1-EXP(('2021'!Tnet-t)/('2021'!Tau_j))),Resal+(Salim-Resal)*(1-EXP((Tnet-t)/(Tau_j))))*Salcycl</f>
        <v>8.5141180456791647E-3</v>
      </c>
      <c r="P140" s="169">
        <f>(INDEX(Models!$BJ140:$BT140,,T140)*(1-R140)+INDEX(Models!$BJ140:$BT140,,T140+1)*R140-ERP_i)*Q140*Ramure*Pc/MaxiM</f>
        <v>1.1743615595467324E-4</v>
      </c>
      <c r="Q140" s="304">
        <f t="shared" si="28"/>
        <v>0.6</v>
      </c>
      <c r="R140" s="177">
        <f t="shared" si="29"/>
        <v>9.4481418073189716E-2</v>
      </c>
      <c r="S140" s="799">
        <f t="shared" si="30"/>
        <v>0</v>
      </c>
      <c r="T140" s="176">
        <f t="shared" si="31"/>
        <v>6</v>
      </c>
      <c r="U140" s="250">
        <f t="shared" si="32"/>
        <v>9.4481418073189716E-2</v>
      </c>
      <c r="V140" s="382">
        <f t="shared" si="33"/>
        <v>61.22717935762887</v>
      </c>
      <c r="W140" s="400">
        <f t="shared" si="34"/>
        <v>0</v>
      </c>
      <c r="X140" s="157">
        <f t="shared" si="35"/>
        <v>44687</v>
      </c>
      <c r="Y140" s="383">
        <f t="shared" si="36"/>
        <v>37.028856310017602</v>
      </c>
      <c r="Z140" s="383">
        <f t="shared" si="37"/>
        <v>37.894669103508313</v>
      </c>
      <c r="AA140" s="384">
        <f t="shared" si="38"/>
        <v>41.448855845044079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8.5748729827984649E-2</v>
      </c>
      <c r="AD140" s="230">
        <f>(INDEX(Models!$BJ140:$BT140,,AH140)*(1-AF140)+INDEX(Models!$BJ140:$BT140,,AH140+1)*AF140-ERP_i)*AE140*Ramure*Pc/MaxiM</f>
        <v>1.1743615595467324E-4</v>
      </c>
      <c r="AE140" s="304">
        <f t="shared" si="40"/>
        <v>0.6</v>
      </c>
      <c r="AF140" s="177">
        <f t="shared" si="41"/>
        <v>9.4481418073189716E-2</v>
      </c>
      <c r="AG140" s="799">
        <f t="shared" si="49"/>
        <v>0</v>
      </c>
      <c r="AH140" s="176">
        <f t="shared" si="42"/>
        <v>6</v>
      </c>
      <c r="AI140" s="224">
        <f t="shared" si="43"/>
        <v>9.4481418073189716E-2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44688</v>
      </c>
      <c r="B141" s="1153">
        <v>54.938000000000002</v>
      </c>
      <c r="C141" s="388"/>
      <c r="D141" s="391">
        <f t="shared" si="25"/>
        <v>56.223643875567795</v>
      </c>
      <c r="E141" s="383">
        <f t="shared" si="47"/>
        <v>56.712426493441441</v>
      </c>
      <c r="F141" s="383">
        <f t="shared" si="26"/>
        <v>56.718052421744119</v>
      </c>
      <c r="G141" s="110">
        <f t="shared" si="48"/>
        <v>0.89616631504272914</v>
      </c>
      <c r="H141" s="412" t="b">
        <f>Wh_hp&gt;='2021'!Maxi_hp</f>
        <v>0</v>
      </c>
      <c r="I141" s="379">
        <f>IF(H141,Wh_hp,'2021'!Maxi_hp)</f>
        <v>60.392486037860046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2.2866605345130853E-2</v>
      </c>
      <c r="M141" s="832"/>
      <c r="N141" s="832"/>
      <c r="O141" s="48">
        <f>IF(t&lt;Tnet,'2021'!Resal+('2021'!Salim-'2021'!Resal)*(1-EXP(('2021'!Tnet-t)/('2021'!Tau_j))),Resal+(Salim-Resal)*(1-EXP((Tnet-t)/(Tau_j))))*Salcycl</f>
        <v>8.6186158500935525E-3</v>
      </c>
      <c r="P141" s="169">
        <f>(INDEX(Models!$BJ141:$BT141,,T141)*(1-R141)+INDEX(Models!$BJ141:$BT141,,T141+1)*R141-ERP_i)*Q141*Ramure*Pc/MaxiM</f>
        <v>1.1646413682725654E-4</v>
      </c>
      <c r="Q141" s="304">
        <f t="shared" si="28"/>
        <v>0.6</v>
      </c>
      <c r="R141" s="177">
        <f t="shared" si="29"/>
        <v>9.7712572478342044E-2</v>
      </c>
      <c r="S141" s="799">
        <f t="shared" si="30"/>
        <v>0</v>
      </c>
      <c r="T141" s="176">
        <f t="shared" si="31"/>
        <v>6</v>
      </c>
      <c r="U141" s="250">
        <f t="shared" si="32"/>
        <v>9.7712572478342044E-2</v>
      </c>
      <c r="V141" s="382">
        <f t="shared" si="33"/>
        <v>61.302294049479386</v>
      </c>
      <c r="W141" s="400">
        <f t="shared" si="34"/>
        <v>0</v>
      </c>
      <c r="X141" s="157">
        <f t="shared" si="35"/>
        <v>44688</v>
      </c>
      <c r="Y141" s="383">
        <f t="shared" si="36"/>
        <v>50.66134316444807</v>
      </c>
      <c r="Z141" s="383">
        <f t="shared" si="37"/>
        <v>51.846905900030194</v>
      </c>
      <c r="AA141" s="384">
        <f t="shared" si="38"/>
        <v>56.712426493441441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8.5792848133096899E-2</v>
      </c>
      <c r="AD141" s="230">
        <f>(INDEX(Models!$BJ141:$BT141,,AH141)*(1-AF141)+INDEX(Models!$BJ141:$BT141,,AH141+1)*AF141-ERP_i)*AE141*Ramure*Pc/MaxiM</f>
        <v>1.1646413682725654E-4</v>
      </c>
      <c r="AE141" s="304">
        <f t="shared" si="40"/>
        <v>0.6</v>
      </c>
      <c r="AF141" s="177">
        <f t="shared" si="41"/>
        <v>9.7712572478342044E-2</v>
      </c>
      <c r="AG141" s="799">
        <f t="shared" si="49"/>
        <v>0</v>
      </c>
      <c r="AH141" s="176">
        <f t="shared" si="42"/>
        <v>6</v>
      </c>
      <c r="AI141" s="224">
        <f t="shared" si="43"/>
        <v>9.7712572478342044E-2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44689</v>
      </c>
      <c r="B142" s="1153">
        <v>50.658999999999999</v>
      </c>
      <c r="C142" s="388"/>
      <c r="D142" s="391">
        <f t="shared" si="25"/>
        <v>51.845501508704587</v>
      </c>
      <c r="E142" s="383">
        <f t="shared" si="47"/>
        <v>52.301739779441839</v>
      </c>
      <c r="F142" s="383">
        <f t="shared" si="26"/>
        <v>52.306278702256357</v>
      </c>
      <c r="G142" s="110">
        <f t="shared" si="48"/>
        <v>0.82541885314847074</v>
      </c>
      <c r="H142" s="412" t="b">
        <f>Wh_hp&gt;='2021'!Maxi_hp</f>
        <v>0</v>
      </c>
      <c r="I142" s="379">
        <f>IF(H142,Wh_hp,'2021'!Maxi_hp)</f>
        <v>59.443974291396984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2.2885331883719551E-2</v>
      </c>
      <c r="M142" s="832"/>
      <c r="N142" s="832"/>
      <c r="O142" s="48">
        <f>IF(t&lt;Tnet,'2021'!Resal+('2021'!Salim-'2021'!Resal)*(1-EXP(('2021'!Tnet-t)/('2021'!Tau_j))),Resal+(Salim-Resal)*(1-EXP((Tnet-t)/(Tau_j))))*Salcycl</f>
        <v>8.72319491973347E-3</v>
      </c>
      <c r="P142" s="169">
        <f>(INDEX(Models!$BJ142:$BT142,,T142)*(1-R142)+INDEX(Models!$BJ142:$BT142,,T142+1)*R142-ERP_i)*Q142*Ramure*Pc/MaxiM</f>
        <v>1.1560368870074979E-4</v>
      </c>
      <c r="Q142" s="304">
        <f t="shared" si="28"/>
        <v>0.6</v>
      </c>
      <c r="R142" s="177">
        <f t="shared" si="29"/>
        <v>0.10102485827647499</v>
      </c>
      <c r="S142" s="799">
        <f t="shared" si="30"/>
        <v>0</v>
      </c>
      <c r="T142" s="176">
        <f t="shared" si="31"/>
        <v>6</v>
      </c>
      <c r="U142" s="250">
        <f t="shared" si="32"/>
        <v>0.10102485827647499</v>
      </c>
      <c r="V142" s="382">
        <f t="shared" si="33"/>
        <v>61.371919591540419</v>
      </c>
      <c r="W142" s="400">
        <f t="shared" si="34"/>
        <v>0</v>
      </c>
      <c r="X142" s="157">
        <f t="shared" si="35"/>
        <v>44689</v>
      </c>
      <c r="Y142" s="383">
        <f t="shared" si="36"/>
        <v>46.718065691968341</v>
      </c>
      <c r="Z142" s="383">
        <f t="shared" si="37"/>
        <v>47.812265250334683</v>
      </c>
      <c r="AA142" s="384">
        <f t="shared" si="38"/>
        <v>52.301739779441839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8.5837957743650856E-2</v>
      </c>
      <c r="AD142" s="230">
        <f>(INDEX(Models!$BJ142:$BT142,,AH142)*(1-AF142)+INDEX(Models!$BJ142:$BT142,,AH142+1)*AF142-ERP_i)*AE142*Ramure*Pc/MaxiM</f>
        <v>1.1560368870074979E-4</v>
      </c>
      <c r="AE142" s="304">
        <f t="shared" si="40"/>
        <v>0.6</v>
      </c>
      <c r="AF142" s="177">
        <f t="shared" si="41"/>
        <v>0.10102485827647499</v>
      </c>
      <c r="AG142" s="799">
        <f t="shared" si="49"/>
        <v>0</v>
      </c>
      <c r="AH142" s="176">
        <f t="shared" si="42"/>
        <v>6</v>
      </c>
      <c r="AI142" s="224">
        <f t="shared" si="43"/>
        <v>0.10102485827647499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44690</v>
      </c>
      <c r="B143" s="1153">
        <v>58.172000000000004</v>
      </c>
      <c r="C143" s="388"/>
      <c r="D143" s="391">
        <f t="shared" ref="D143:D206" si="50">Wh/(1-Ppv)</f>
        <v>59.535606999558752</v>
      </c>
      <c r="E143" s="383">
        <f t="shared" si="47"/>
        <v>60.065859703764779</v>
      </c>
      <c r="F143" s="383">
        <f t="shared" ref="F143:F206" si="51">Wh_sa/(1-Pvg*MEDIAN((-Sdif+Wh/Env_an)/Csdif,0,1))</f>
        <v>60.07223224205881</v>
      </c>
      <c r="G143" s="110">
        <f t="shared" si="48"/>
        <v>0.94685578633454004</v>
      </c>
      <c r="H143" s="412" t="b">
        <f>Wh_hp&gt;='2021'!Maxi_hp</f>
        <v>1</v>
      </c>
      <c r="I143" s="379">
        <f>IF(H143,Wh_hp,'2021'!Maxi_hp)</f>
        <v>60.07223224205881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2.2904058063418331E-2</v>
      </c>
      <c r="M143" s="832"/>
      <c r="N143" s="832"/>
      <c r="O143" s="48">
        <f>IF(t&lt;Tnet,'2021'!Resal+('2021'!Salim-'2021'!Resal)*(1-EXP(('2021'!Tnet-t)/('2021'!Tau_j))),Resal+(Salim-Resal)*(1-EXP((Tnet-t)/(Tau_j))))*Salcycl</f>
        <v>8.8278550714357799E-3</v>
      </c>
      <c r="P143" s="169">
        <f>(INDEX(Models!$BJ143:$BT143,,T143)*(1-R143)+INDEX(Models!$BJ143:$BT143,,T143+1)*R143-ERP_i)*Q143*Ramure*Pc/MaxiM</f>
        <v>1.1479519656923065E-4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0.10441846749382039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0.10441846749382039</v>
      </c>
      <c r="V143" s="382">
        <f t="shared" ref="V143:V206" si="58">MaxiM*(1-Ppv)*(1-Pvg)*(1-Psa)</f>
        <v>61.436486821816963</v>
      </c>
      <c r="W143" s="400">
        <f t="shared" ref="W143:W206" si="59">Wh*(A143&gt;Tmaj)</f>
        <v>0</v>
      </c>
      <c r="X143" s="157">
        <f t="shared" ref="X143:X206" si="60">t</f>
        <v>44690</v>
      </c>
      <c r="Y143" s="383">
        <f t="shared" ref="Y143:Y206" si="61">Wh_pvt_s*(1-Ppv)</f>
        <v>53.649565155565888</v>
      </c>
      <c r="Z143" s="383">
        <f t="shared" ref="Z143:Z206" si="62">Wh_sa_s*(1-Psa_s)</f>
        <v>54.907161981692077</v>
      </c>
      <c r="AA143" s="384">
        <f t="shared" ref="AA143:AA206" si="63">Wh_hp*(1-Pvg_s*MEDIAN((-Sdif+Wh/Env_an)/Csdif,0,1))</f>
        <v>60.065859703764779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8.5884023761827036E-2</v>
      </c>
      <c r="AD143" s="230">
        <f>(INDEX(Models!$BJ143:$BT143,,AH143)*(1-AF143)+INDEX(Models!$BJ143:$BT143,,AH143+1)*AF143-ERP_i)*AE143*Ramure*Pc/MaxiM</f>
        <v>1.1479519656923065E-4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0.10441846749382039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0.10441846749382039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44691</v>
      </c>
      <c r="B144" s="1153">
        <v>54.338999999999999</v>
      </c>
      <c r="C144" s="388"/>
      <c r="D144" s="391">
        <f t="shared" si="50"/>
        <v>55.613823660751308</v>
      </c>
      <c r="E144" s="383">
        <f t="shared" ref="E144:E169" si="72">Wh_pvt/(1-Psa)</f>
        <v>56.115076953520465</v>
      </c>
      <c r="F144" s="383">
        <f t="shared" si="51"/>
        <v>56.120412695618967</v>
      </c>
      <c r="G144" s="110">
        <f t="shared" ref="G144:G169" si="73">+Wh_hp/MaxiM</f>
        <v>0.8835956158079602</v>
      </c>
      <c r="H144" s="412" t="b">
        <f>Wh_hp&gt;='2021'!Maxi_hp</f>
        <v>1</v>
      </c>
      <c r="I144" s="379">
        <f>IF(H144,Wh_hp,'2021'!Maxi_hp)</f>
        <v>56.120412695618967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2.2922783884234077E-2</v>
      </c>
      <c r="M144" s="832"/>
      <c r="N144" s="832"/>
      <c r="O144" s="48">
        <f>IF(t&lt;Tnet,'2021'!Resal+('2021'!Salim-'2021'!Resal)*(1-EXP(('2021'!Tnet-t)/('2021'!Tau_j))),Resal+(Salim-Resal)*(1-EXP((Tnet-t)/(Tau_j))))*Salcycl</f>
        <v>8.9325956584598281E-3</v>
      </c>
      <c r="P144" s="169">
        <f>(INDEX(Models!$BJ144:$BT144,,T144)*(1-R144)+INDEX(Models!$BJ144:$BT144,,T144+1)*R144-ERP_i)*Q144*Ramure*Pc/MaxiM</f>
        <v>1.1403745707622764E-4</v>
      </c>
      <c r="Q144" s="304">
        <f t="shared" si="53"/>
        <v>0.6</v>
      </c>
      <c r="R144" s="177">
        <f t="shared" si="54"/>
        <v>0.10789346104053862</v>
      </c>
      <c r="S144" s="799">
        <f t="shared" si="55"/>
        <v>0</v>
      </c>
      <c r="T144" s="176">
        <f t="shared" si="56"/>
        <v>6</v>
      </c>
      <c r="U144" s="250">
        <f t="shared" si="57"/>
        <v>0.10789346104053862</v>
      </c>
      <c r="V144" s="382">
        <f t="shared" si="58"/>
        <v>61.496422820378704</v>
      </c>
      <c r="W144" s="400">
        <f t="shared" si="59"/>
        <v>0</v>
      </c>
      <c r="X144" s="157">
        <f t="shared" si="60"/>
        <v>44691</v>
      </c>
      <c r="Y144" s="383">
        <f t="shared" si="61"/>
        <v>50.117272259276362</v>
      </c>
      <c r="Z144" s="383">
        <f t="shared" si="62"/>
        <v>51.293051800461157</v>
      </c>
      <c r="AA144" s="384">
        <f t="shared" si="63"/>
        <v>56.115076953520465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8.5931008471276646E-2</v>
      </c>
      <c r="AD144" s="230">
        <f>(INDEX(Models!$BJ144:$BT144,,AH144)*(1-AF144)+INDEX(Models!$BJ144:$BT144,,AH144+1)*AF144-ERP_i)*AE144*Ramure*Pc/MaxiM</f>
        <v>1.1403745707622764E-4</v>
      </c>
      <c r="AE144" s="304">
        <f t="shared" si="65"/>
        <v>0.6</v>
      </c>
      <c r="AF144" s="177">
        <f t="shared" si="66"/>
        <v>0.10789346104053862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0.10789346104053862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44692</v>
      </c>
      <c r="B145" s="1153">
        <v>58.594999999999999</v>
      </c>
      <c r="C145" s="388"/>
      <c r="D145" s="391">
        <f t="shared" si="50"/>
        <v>59.970821154002259</v>
      </c>
      <c r="E145" s="383">
        <f t="shared" si="72"/>
        <v>60.517745165512991</v>
      </c>
      <c r="F145" s="383">
        <f t="shared" si="51"/>
        <v>60.524133563423938</v>
      </c>
      <c r="G145" s="110">
        <f t="shared" si="73"/>
        <v>0.95194952451984127</v>
      </c>
      <c r="H145" s="412" t="b">
        <f>Wh_hp&gt;='2021'!Maxi_hp</f>
        <v>1</v>
      </c>
      <c r="I145" s="379">
        <f>IF(H145,Wh_hp,'2021'!Maxi_hp)</f>
        <v>60.524133563423938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2.2941509346173783E-2</v>
      </c>
      <c r="M145" s="832"/>
      <c r="N145" s="832"/>
      <c r="O145" s="48">
        <f>IF(t&lt;Tnet,'2021'!Resal+('2021'!Salim-'2021'!Resal)*(1-EXP(('2021'!Tnet-t)/('2021'!Tau_j))),Resal+(Salim-Resal)*(1-EXP((Tnet-t)/(Tau_j))))*Salcycl</f>
        <v>9.0374155549735342E-3</v>
      </c>
      <c r="P145" s="169">
        <f>(INDEX(Models!$BJ145:$BT145,,T145)*(1-R145)+INDEX(Models!$BJ145:$BT145,,T145+1)*R145-ERP_i)*Q145*Ramure*Pc/MaxiM</f>
        <v>1.1332937981774041E-4</v>
      </c>
      <c r="Q145" s="304">
        <f t="shared" si="53"/>
        <v>0.6</v>
      </c>
      <c r="R145" s="177">
        <f t="shared" si="54"/>
        <v>0.11144976209890288</v>
      </c>
      <c r="S145" s="799">
        <f t="shared" si="55"/>
        <v>0</v>
      </c>
      <c r="T145" s="176">
        <f t="shared" si="56"/>
        <v>6</v>
      </c>
      <c r="U145" s="250">
        <f t="shared" si="57"/>
        <v>0.11144976209890288</v>
      </c>
      <c r="V145" s="382">
        <f t="shared" si="58"/>
        <v>61.552154482021052</v>
      </c>
      <c r="W145" s="400">
        <f t="shared" si="59"/>
        <v>0</v>
      </c>
      <c r="X145" s="157">
        <f t="shared" si="60"/>
        <v>44692</v>
      </c>
      <c r="Y145" s="383">
        <f t="shared" si="61"/>
        <v>54.045499673234765</v>
      </c>
      <c r="Z145" s="383">
        <f t="shared" si="62"/>
        <v>55.314497740118604</v>
      </c>
      <c r="AA145" s="384">
        <f t="shared" si="63"/>
        <v>60.517745165512991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8.5978871340360905E-2</v>
      </c>
      <c r="AD145" s="230">
        <f>(INDEX(Models!$BJ145:$BT145,,AH145)*(1-AF145)+INDEX(Models!$BJ145:$BT145,,AH145+1)*AF145-ERP_i)*AE145*Ramure*Pc/MaxiM</f>
        <v>1.1332937981774041E-4</v>
      </c>
      <c r="AE145" s="304">
        <f t="shared" si="65"/>
        <v>0.6</v>
      </c>
      <c r="AF145" s="177">
        <f t="shared" si="66"/>
        <v>0.11144976209890288</v>
      </c>
      <c r="AG145" s="799">
        <f t="shared" si="74"/>
        <v>0</v>
      </c>
      <c r="AH145" s="176">
        <f t="shared" si="67"/>
        <v>6</v>
      </c>
      <c r="AI145" s="224">
        <f t="shared" si="68"/>
        <v>0.11144976209890288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44693</v>
      </c>
      <c r="B146" s="1153">
        <v>43.686</v>
      </c>
      <c r="C146" s="388"/>
      <c r="D146" s="391">
        <f t="shared" si="50"/>
        <v>44.712612055635496</v>
      </c>
      <c r="E146" s="383">
        <f t="shared" si="72"/>
        <v>45.125160402617048</v>
      </c>
      <c r="F146" s="383">
        <f t="shared" si="51"/>
        <v>45.128132277848309</v>
      </c>
      <c r="G146" s="110">
        <f t="shared" si="73"/>
        <v>0.70910781306943316</v>
      </c>
      <c r="H146" s="412" t="b">
        <f>Wh_hp&gt;='2021'!Maxi_hp</f>
        <v>0</v>
      </c>
      <c r="I146" s="379">
        <f>IF(H146,Wh_hp,'2021'!Maxi_hp)</f>
        <v>56.127004376201441</v>
      </c>
      <c r="J146" s="85">
        <f>IF(H146,An,'2021'!An_max)</f>
        <v>2018</v>
      </c>
      <c r="K146" s="197">
        <f t="shared" si="52"/>
        <v>44693</v>
      </c>
      <c r="L146" s="147">
        <f>IF(t&lt;Tvie,1-EXP((T0-t)*PertePVj)+'2021'!Pspv,1-EXP((T0-t)*PertePVj)+Pspv)</f>
        <v>2.2960234449244332E-2</v>
      </c>
      <c r="M146" s="832"/>
      <c r="N146" s="832"/>
      <c r="O146" s="48">
        <f>IF(t&lt;Tnet,'2021'!Resal+('2021'!Salim-'2021'!Resal)*(1-EXP(('2021'!Tnet-t)/('2021'!Tau_j))),Resal+(Salim-Resal)*(1-EXP((Tnet-t)/(Tau_j))))*Salcycl</f>
        <v>9.1423131419524004E-3</v>
      </c>
      <c r="P146" s="169">
        <f>(INDEX(Models!$BJ146:$BT146,,T146)*(1-R146)+INDEX(Models!$BJ146:$BT146,,T146+1)*R146-ERP_i)*Q146*Ramure*Pc/MaxiM</f>
        <v>1.1266998467793491E-4</v>
      </c>
      <c r="Q146" s="304">
        <f t="shared" si="53"/>
        <v>0.6</v>
      </c>
      <c r="R146" s="177">
        <f t="shared" si="54"/>
        <v>0.11508714974673162</v>
      </c>
      <c r="S146" s="799">
        <f t="shared" si="55"/>
        <v>0</v>
      </c>
      <c r="T146" s="176">
        <f t="shared" si="56"/>
        <v>6</v>
      </c>
      <c r="U146" s="250">
        <f t="shared" si="57"/>
        <v>0.11508714974673162</v>
      </c>
      <c r="V146" s="382">
        <f t="shared" si="58"/>
        <v>61.604108520660631</v>
      </c>
      <c r="W146" s="400">
        <f t="shared" si="59"/>
        <v>0</v>
      </c>
      <c r="X146" s="157">
        <f t="shared" si="60"/>
        <v>44693</v>
      </c>
      <c r="Y146" s="383">
        <f t="shared" si="61"/>
        <v>40.296200098742993</v>
      </c>
      <c r="Z146" s="383">
        <f t="shared" si="62"/>
        <v>41.243152550733789</v>
      </c>
      <c r="AA146" s="384">
        <f t="shared" si="63"/>
        <v>45.125160402617048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8.6027569037917945E-2</v>
      </c>
      <c r="AD146" s="230">
        <f>(INDEX(Models!$BJ146:$BT146,,AH146)*(1-AF146)+INDEX(Models!$BJ146:$BT146,,AH146+1)*AF146-ERP_i)*AE146*Ramure*Pc/MaxiM</f>
        <v>1.1266998467793491E-4</v>
      </c>
      <c r="AE146" s="304">
        <f t="shared" si="65"/>
        <v>0.6</v>
      </c>
      <c r="AF146" s="177">
        <f t="shared" si="66"/>
        <v>0.11508714974673162</v>
      </c>
      <c r="AG146" s="799">
        <f t="shared" si="74"/>
        <v>0</v>
      </c>
      <c r="AH146" s="176">
        <f t="shared" si="67"/>
        <v>6</v>
      </c>
      <c r="AI146" s="224">
        <f t="shared" si="68"/>
        <v>0.11508714974673162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44694</v>
      </c>
      <c r="B147" s="1153">
        <v>45.758000000000003</v>
      </c>
      <c r="C147" s="388"/>
      <c r="D147" s="391">
        <f t="shared" si="50"/>
        <v>46.834201198191181</v>
      </c>
      <c r="E147" s="383">
        <f t="shared" si="72"/>
        <v>47.271332745620683</v>
      </c>
      <c r="F147" s="383">
        <f t="shared" si="51"/>
        <v>47.274679188903427</v>
      </c>
      <c r="G147" s="110">
        <f t="shared" si="73"/>
        <v>0.74215894633756208</v>
      </c>
      <c r="H147" s="412" t="b">
        <f>Wh_hp&gt;='2021'!Maxi_hp</f>
        <v>0</v>
      </c>
      <c r="I147" s="379">
        <f>IF(H147,Wh_hp,'2021'!Maxi_hp)</f>
        <v>64.735176440204555</v>
      </c>
      <c r="J147" s="85">
        <f>IF(H147,An,'2021'!An_max)</f>
        <v>2018</v>
      </c>
      <c r="K147" s="197">
        <f t="shared" si="52"/>
        <v>44694</v>
      </c>
      <c r="L147" s="147">
        <f>IF(t&lt;Tvie,1-EXP((T0-t)*PertePVj)+'2021'!Pspv,1-EXP((T0-t)*PertePVj)+Pspv)</f>
        <v>2.2978959193452497E-2</v>
      </c>
      <c r="M147" s="832"/>
      <c r="N147" s="832"/>
      <c r="O147" s="48">
        <f>IF(t&lt;Tnet,'2021'!Resal+('2021'!Salim-'2021'!Resal)*(1-EXP(('2021'!Tnet-t)/('2021'!Tau_j))),Resal+(Salim-Resal)*(1-EXP((Tnet-t)/(Tau_j))))*Salcycl</f>
        <v>9.2472862946729462E-3</v>
      </c>
      <c r="P147" s="169">
        <f>(INDEX(Models!$BJ147:$BT147,,T147)*(1-R147)+INDEX(Models!$BJ147:$BT147,,T147+1)*R147-ERP_i)*Q147*Ramure*Pc/MaxiM</f>
        <v>1.1205839929042771E-4</v>
      </c>
      <c r="Q147" s="304">
        <f t="shared" si="53"/>
        <v>0.6</v>
      </c>
      <c r="R147" s="177">
        <f t="shared" si="54"/>
        <v>0.11880525287218373</v>
      </c>
      <c r="S147" s="799">
        <f t="shared" si="55"/>
        <v>0</v>
      </c>
      <c r="T147" s="176">
        <f t="shared" si="56"/>
        <v>6</v>
      </c>
      <c r="U147" s="250">
        <f t="shared" si="57"/>
        <v>0.11880525287218373</v>
      </c>
      <c r="V147" s="382">
        <f t="shared" si="58"/>
        <v>61.652711465176431</v>
      </c>
      <c r="W147" s="400">
        <f t="shared" si="59"/>
        <v>0</v>
      </c>
      <c r="X147" s="157">
        <f t="shared" si="60"/>
        <v>44694</v>
      </c>
      <c r="Y147" s="383">
        <f t="shared" si="61"/>
        <v>42.209610448358454</v>
      </c>
      <c r="Z147" s="383">
        <f t="shared" si="62"/>
        <v>43.202355615098831</v>
      </c>
      <c r="AA147" s="384">
        <f t="shared" si="63"/>
        <v>47.271332745620683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8.6077055462304722E-2</v>
      </c>
      <c r="AD147" s="230">
        <f>(INDEX(Models!$BJ147:$BT147,,AH147)*(1-AF147)+INDEX(Models!$BJ147:$BT147,,AH147+1)*AF147-ERP_i)*AE147*Ramure*Pc/MaxiM</f>
        <v>1.1205839929042771E-4</v>
      </c>
      <c r="AE147" s="304">
        <f t="shared" si="65"/>
        <v>0.6</v>
      </c>
      <c r="AF147" s="177">
        <f t="shared" si="66"/>
        <v>0.11880525287218373</v>
      </c>
      <c r="AG147" s="799">
        <f t="shared" si="74"/>
        <v>0</v>
      </c>
      <c r="AH147" s="176">
        <f t="shared" si="67"/>
        <v>6</v>
      </c>
      <c r="AI147" s="224">
        <f t="shared" si="68"/>
        <v>0.11880525287218373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44695</v>
      </c>
      <c r="B148" s="1153">
        <v>52.142000000000003</v>
      </c>
      <c r="C148" s="388"/>
      <c r="D148" s="391">
        <f t="shared" si="50"/>
        <v>53.36937192840913</v>
      </c>
      <c r="E148" s="383">
        <f t="shared" si="72"/>
        <v>53.87321211404587</v>
      </c>
      <c r="F148" s="383">
        <f t="shared" si="51"/>
        <v>53.877889988701689</v>
      </c>
      <c r="G148" s="110">
        <f t="shared" si="73"/>
        <v>0.84509034709629594</v>
      </c>
      <c r="H148" s="412" t="b">
        <f>Wh_hp&gt;='2021'!Maxi_hp</f>
        <v>0</v>
      </c>
      <c r="I148" s="379">
        <f>IF(H148,Wh_hp,'2021'!Maxi_hp)</f>
        <v>63.17753058579234</v>
      </c>
      <c r="J148" s="85">
        <f>IF(H148,An,'2021'!An_max)</f>
        <v>2018</v>
      </c>
      <c r="K148" s="197">
        <f t="shared" si="52"/>
        <v>44695</v>
      </c>
      <c r="L148" s="147">
        <f>IF(t&lt;Tvie,1-EXP((T0-t)*PertePVj)+'2021'!Pspv,1-EXP((T0-t)*PertePVj)+Pspv)</f>
        <v>2.2997683578805272E-2</v>
      </c>
      <c r="M148" s="832"/>
      <c r="N148" s="832"/>
      <c r="O148" s="48">
        <f>IF(t&lt;Tnet,'2021'!Resal+('2021'!Salim-'2021'!Resal)*(1-EXP(('2021'!Tnet-t)/('2021'!Tau_j))),Resal+(Salim-Resal)*(1-EXP((Tnet-t)/(Tau_j))))*Salcycl</f>
        <v>9.3523323719800835E-3</v>
      </c>
      <c r="P148" s="169">
        <f>(INDEX(Models!$BJ148:$BT148,,T148)*(1-R148)+INDEX(Models!$BJ148:$BT148,,T148+1)*R148-ERP_i)*Q148*Ramure*Pc/MaxiM</f>
        <v>1.1149385654416739E-4</v>
      </c>
      <c r="Q148" s="304">
        <f t="shared" si="53"/>
        <v>0.6</v>
      </c>
      <c r="R148" s="177">
        <f t="shared" si="54"/>
        <v>0.12260354443778609</v>
      </c>
      <c r="S148" s="799">
        <f t="shared" si="55"/>
        <v>0</v>
      </c>
      <c r="T148" s="176">
        <f t="shared" si="56"/>
        <v>6</v>
      </c>
      <c r="U148" s="250">
        <f t="shared" si="57"/>
        <v>0.12260354443778609</v>
      </c>
      <c r="V148" s="382">
        <f t="shared" si="58"/>
        <v>61.698389661122512</v>
      </c>
      <c r="W148" s="400">
        <f t="shared" si="59"/>
        <v>0</v>
      </c>
      <c r="X148" s="157">
        <f t="shared" si="60"/>
        <v>44695</v>
      </c>
      <c r="Y148" s="383">
        <f t="shared" si="61"/>
        <v>48.101007886379428</v>
      </c>
      <c r="Z148" s="383">
        <f t="shared" si="62"/>
        <v>49.233258793669677</v>
      </c>
      <c r="AA148" s="384">
        <f t="shared" si="63"/>
        <v>53.87321211404587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8.6127281784381643E-2</v>
      </c>
      <c r="AD148" s="230">
        <f>(INDEX(Models!$BJ148:$BT148,,AH148)*(1-AF148)+INDEX(Models!$BJ148:$BT148,,AH148+1)*AF148-ERP_i)*AE148*Ramure*Pc/MaxiM</f>
        <v>1.1149385654416739E-4</v>
      </c>
      <c r="AE148" s="304">
        <f t="shared" si="65"/>
        <v>0.6</v>
      </c>
      <c r="AF148" s="177">
        <f t="shared" si="66"/>
        <v>0.12260354443778609</v>
      </c>
      <c r="AG148" s="799">
        <f t="shared" si="74"/>
        <v>0</v>
      </c>
      <c r="AH148" s="176">
        <f t="shared" si="67"/>
        <v>6</v>
      </c>
      <c r="AI148" s="224">
        <f t="shared" si="68"/>
        <v>0.12260354443778609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44696</v>
      </c>
      <c r="B149" s="1153">
        <v>54.871000000000002</v>
      </c>
      <c r="C149" s="388"/>
      <c r="D149" s="391">
        <f t="shared" si="50"/>
        <v>56.163686296415023</v>
      </c>
      <c r="E149" s="383">
        <f t="shared" si="72"/>
        <v>56.699922880426072</v>
      </c>
      <c r="F149" s="383">
        <f t="shared" si="51"/>
        <v>56.705215721872008</v>
      </c>
      <c r="G149" s="110">
        <f t="shared" si="73"/>
        <v>0.88872676619717994</v>
      </c>
      <c r="H149" s="412" t="b">
        <f>Wh_hp&gt;='2021'!Maxi_hp</f>
        <v>0</v>
      </c>
      <c r="I149" s="379">
        <f>IF(H149,Wh_hp,'2021'!Maxi_hp)</f>
        <v>63.749746861981109</v>
      </c>
      <c r="J149" s="85">
        <f>IF(H149,An,'2021'!An_max)</f>
        <v>2018</v>
      </c>
      <c r="K149" s="197">
        <f t="shared" si="52"/>
        <v>44696</v>
      </c>
      <c r="L149" s="147">
        <f>IF(t&lt;Tvie,1-EXP((T0-t)*PertePVj)+'2021'!Pspv,1-EXP((T0-t)*PertePVj)+Pspv)</f>
        <v>2.301640760530943E-2</v>
      </c>
      <c r="M149" s="832"/>
      <c r="N149" s="832"/>
      <c r="O149" s="48">
        <f>IF(t&lt;Tnet,'2021'!Resal+('2021'!Salim-'2021'!Resal)*(1-EXP(('2021'!Tnet-t)/('2021'!Tau_j))),Resal+(Salim-Resal)*(1-EXP((Tnet-t)/(Tau_j))))*Salcycl</f>
        <v>9.4574482075031364E-3</v>
      </c>
      <c r="P149" s="169">
        <f>(INDEX(Models!$BJ149:$BT149,,T149)*(1-R149)+INDEX(Models!$BJ149:$BT149,,T149+1)*R149-ERP_i)*Q149*Ramure*Pc/MaxiM</f>
        <v>1.1097842855960867E-4</v>
      </c>
      <c r="Q149" s="304">
        <f t="shared" si="53"/>
        <v>0.6</v>
      </c>
      <c r="R149" s="177">
        <f t="shared" si="54"/>
        <v>0.12648133615282572</v>
      </c>
      <c r="S149" s="799">
        <f t="shared" si="55"/>
        <v>0</v>
      </c>
      <c r="T149" s="176">
        <f t="shared" si="56"/>
        <v>6</v>
      </c>
      <c r="U149" s="250">
        <f t="shared" si="57"/>
        <v>0.12648133615282572</v>
      </c>
      <c r="V149" s="382">
        <f t="shared" si="58"/>
        <v>61.740046700282981</v>
      </c>
      <c r="W149" s="400">
        <f t="shared" si="59"/>
        <v>0</v>
      </c>
      <c r="X149" s="157">
        <f t="shared" si="60"/>
        <v>44696</v>
      </c>
      <c r="Y149" s="383">
        <f t="shared" si="61"/>
        <v>50.621062254049846</v>
      </c>
      <c r="Z149" s="383">
        <f t="shared" si="62"/>
        <v>51.813625784617578</v>
      </c>
      <c r="AA149" s="384">
        <f t="shared" si="63"/>
        <v>56.699922880426072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8.6178196505013932E-2</v>
      </c>
      <c r="AD149" s="230">
        <f>(INDEX(Models!$BJ149:$BT149,,AH149)*(1-AF149)+INDEX(Models!$BJ149:$BT149,,AH149+1)*AF149-ERP_i)*AE149*Ramure*Pc/MaxiM</f>
        <v>1.1097842855960867E-4</v>
      </c>
      <c r="AE149" s="304">
        <f t="shared" si="65"/>
        <v>0.6</v>
      </c>
      <c r="AF149" s="177">
        <f t="shared" si="66"/>
        <v>0.12648133615282572</v>
      </c>
      <c r="AG149" s="799">
        <f t="shared" si="74"/>
        <v>0</v>
      </c>
      <c r="AH149" s="176">
        <f t="shared" si="67"/>
        <v>6</v>
      </c>
      <c r="AI149" s="224">
        <f t="shared" si="68"/>
        <v>0.12648133615282572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44697</v>
      </c>
      <c r="B150" s="1153">
        <v>53.228999999999999</v>
      </c>
      <c r="C150" s="388"/>
      <c r="D150" s="391">
        <f t="shared" si="50"/>
        <v>54.484047179052261</v>
      </c>
      <c r="E150" s="383">
        <f t="shared" si="72"/>
        <v>55.010088305450026</v>
      </c>
      <c r="F150" s="383">
        <f t="shared" si="51"/>
        <v>55.014965480142017</v>
      </c>
      <c r="G150" s="110">
        <f t="shared" si="73"/>
        <v>0.86162025104408368</v>
      </c>
      <c r="H150" s="412" t="b">
        <f>Wh_hp&gt;='2021'!Maxi_hp</f>
        <v>1</v>
      </c>
      <c r="I150" s="379">
        <f>IF(H150,Wh_hp,'2021'!Maxi_hp)</f>
        <v>55.014965480142017</v>
      </c>
      <c r="J150" s="85">
        <f>IF(H150,An,'2021'!An_max)</f>
        <v>2022</v>
      </c>
      <c r="K150" s="197">
        <f t="shared" si="52"/>
        <v>44697</v>
      </c>
      <c r="L150" s="147">
        <f>IF(t&lt;Tvie,1-EXP((T0-t)*PertePVj)+'2021'!Pspv,1-EXP((T0-t)*PertePVj)+Pspv)</f>
        <v>2.3035131272971854E-2</v>
      </c>
      <c r="M150" s="832"/>
      <c r="N150" s="832"/>
      <c r="O150" s="48">
        <f>IF(t&lt;Tnet,'2021'!Resal+('2021'!Salim-'2021'!Resal)*(1-EXP(('2021'!Tnet-t)/('2021'!Tau_j))),Resal+(Salim-Resal)*(1-EXP((Tnet-t)/(Tau_j))))*Salcycl</f>
        <v>9.5626301029887433E-3</v>
      </c>
      <c r="P150" s="169">
        <f>(INDEX(Models!$BJ150:$BT150,,T150)*(1-R150)+INDEX(Models!$BJ150:$BT150,,T150+1)*R150-ERP_i)*Q150*Ramure*Pc/MaxiM</f>
        <v>1.1049132836108513E-4</v>
      </c>
      <c r="Q150" s="304">
        <f t="shared" si="53"/>
        <v>0.6</v>
      </c>
      <c r="R150" s="177">
        <f t="shared" si="54"/>
        <v>0.13043777361395184</v>
      </c>
      <c r="S150" s="799">
        <f t="shared" si="55"/>
        <v>0</v>
      </c>
      <c r="T150" s="176">
        <f t="shared" si="56"/>
        <v>6</v>
      </c>
      <c r="U150" s="250">
        <f t="shared" si="57"/>
        <v>0.13043777361395184</v>
      </c>
      <c r="V150" s="382">
        <f t="shared" si="58"/>
        <v>61.776446567019534</v>
      </c>
      <c r="W150" s="400">
        <f t="shared" si="59"/>
        <v>0</v>
      </c>
      <c r="X150" s="157">
        <f t="shared" si="60"/>
        <v>44697</v>
      </c>
      <c r="Y150" s="383">
        <f t="shared" si="61"/>
        <v>49.108685065438344</v>
      </c>
      <c r="Z150" s="383">
        <f t="shared" si="62"/>
        <v>50.266582389422339</v>
      </c>
      <c r="AA150" s="384">
        <f t="shared" si="63"/>
        <v>55.010088305450026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8.6229745527562213E-2</v>
      </c>
      <c r="AD150" s="230">
        <f>(INDEX(Models!$BJ150:$BT150,,AH150)*(1-AF150)+INDEX(Models!$BJ150:$BT150,,AH150+1)*AF150-ERP_i)*AE150*Ramure*Pc/MaxiM</f>
        <v>1.1049132836108513E-4</v>
      </c>
      <c r="AE150" s="304">
        <f t="shared" si="65"/>
        <v>0.6</v>
      </c>
      <c r="AF150" s="177">
        <f t="shared" si="66"/>
        <v>0.13043777361395184</v>
      </c>
      <c r="AG150" s="799">
        <f t="shared" si="74"/>
        <v>0</v>
      </c>
      <c r="AH150" s="176">
        <f t="shared" si="67"/>
        <v>6</v>
      </c>
      <c r="AI150" s="224">
        <f t="shared" si="68"/>
        <v>0.13043777361395184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44698</v>
      </c>
      <c r="B151" s="1153">
        <v>56.77</v>
      </c>
      <c r="C151" s="388"/>
      <c r="D151" s="391">
        <f t="shared" si="50"/>
        <v>58.109651454429475</v>
      </c>
      <c r="E151" s="383">
        <f t="shared" si="72"/>
        <v>58.676932635523791</v>
      </c>
      <c r="F151" s="383">
        <f t="shared" si="51"/>
        <v>58.682633435101266</v>
      </c>
      <c r="G151" s="110">
        <f t="shared" si="73"/>
        <v>0.91848059368635915</v>
      </c>
      <c r="H151" s="412" t="b">
        <f>Wh_hp&gt;='2021'!Maxi_hp</f>
        <v>1</v>
      </c>
      <c r="I151" s="379">
        <f>IF(H151,Wh_hp,'2021'!Maxi_hp)</f>
        <v>58.682633435101266</v>
      </c>
      <c r="J151" s="85">
        <f>IF(H151,An,'2021'!An_max)</f>
        <v>2022</v>
      </c>
      <c r="K151" s="197">
        <f t="shared" si="52"/>
        <v>44698</v>
      </c>
      <c r="L151" s="147">
        <f>IF(t&lt;Tvie,1-EXP((T0-t)*PertePVj)+'2021'!Pspv,1-EXP((T0-t)*PertePVj)+Pspv)</f>
        <v>2.3053854581799538E-2</v>
      </c>
      <c r="M151" s="832"/>
      <c r="N151" s="832"/>
      <c r="O151" s="48">
        <f>IF(t&lt;Tnet,'2021'!Resal+('2021'!Salim-'2021'!Resal)*(1-EXP(('2021'!Tnet-t)/('2021'!Tau_j))),Resal+(Salim-Resal)*(1-EXP((Tnet-t)/(Tau_j))))*Salcycl</f>
        <v>9.6678738239101471E-3</v>
      </c>
      <c r="P151" s="169">
        <f>(INDEX(Models!$BJ151:$BT151,,T151)*(1-R151)+INDEX(Models!$BJ151:$BT151,,T151+1)*R151-ERP_i)*Q151*Ramure*Pc/MaxiM</f>
        <v>1.0994864536953793E-4</v>
      </c>
      <c r="Q151" s="304">
        <f t="shared" si="53"/>
        <v>0.6</v>
      </c>
      <c r="R151" s="177">
        <f t="shared" si="54"/>
        <v>0.13447183197392565</v>
      </c>
      <c r="S151" s="799">
        <f t="shared" si="55"/>
        <v>0</v>
      </c>
      <c r="T151" s="176">
        <f t="shared" si="56"/>
        <v>6</v>
      </c>
      <c r="U151" s="250">
        <f t="shared" si="57"/>
        <v>0.13447183197392565</v>
      </c>
      <c r="V151" s="382">
        <f t="shared" si="58"/>
        <v>61.807809037420981</v>
      </c>
      <c r="W151" s="400">
        <f t="shared" si="59"/>
        <v>0</v>
      </c>
      <c r="X151" s="157">
        <f t="shared" si="60"/>
        <v>44698</v>
      </c>
      <c r="Y151" s="383">
        <f t="shared" si="61"/>
        <v>52.37816358932001</v>
      </c>
      <c r="Z151" s="383">
        <f t="shared" si="62"/>
        <v>53.614177030094673</v>
      </c>
      <c r="AA151" s="384">
        <f t="shared" si="63"/>
        <v>58.676932635523791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8.6281872245722244E-2</v>
      </c>
      <c r="AD151" s="230">
        <f>(INDEX(Models!$BJ151:$BT151,,AH151)*(1-AF151)+INDEX(Models!$BJ151:$BT151,,AH151+1)*AF151-ERP_i)*AE151*Ramure*Pc/MaxiM</f>
        <v>1.0994864536953793E-4</v>
      </c>
      <c r="AE151" s="304">
        <f t="shared" si="65"/>
        <v>0.6</v>
      </c>
      <c r="AF151" s="177">
        <f t="shared" si="66"/>
        <v>0.13447183197392565</v>
      </c>
      <c r="AG151" s="799">
        <f t="shared" si="74"/>
        <v>0</v>
      </c>
      <c r="AH151" s="176">
        <f t="shared" si="67"/>
        <v>6</v>
      </c>
      <c r="AI151" s="224">
        <f t="shared" si="68"/>
        <v>0.13447183197392565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44699</v>
      </c>
      <c r="B152" s="1153">
        <v>54.908000000000001</v>
      </c>
      <c r="C152" s="388"/>
      <c r="D152" s="391">
        <f t="shared" si="50"/>
        <v>56.204789360170992</v>
      </c>
      <c r="E152" s="383">
        <f t="shared" si="72"/>
        <v>56.75950996108935</v>
      </c>
      <c r="F152" s="383">
        <f t="shared" si="51"/>
        <v>56.764723738320157</v>
      </c>
      <c r="G152" s="110">
        <f t="shared" si="73"/>
        <v>0.88796987669209138</v>
      </c>
      <c r="H152" s="412" t="b">
        <f>Wh_hp&gt;='2021'!Maxi_hp</f>
        <v>0</v>
      </c>
      <c r="I152" s="379">
        <f>IF(H152,Wh_hp,'2021'!Maxi_hp)</f>
        <v>65.112138934007149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2.3072577531799254E-2</v>
      </c>
      <c r="M152" s="832"/>
      <c r="N152" s="832"/>
      <c r="O152" s="48">
        <f>IF(t&lt;Tnet,'2021'!Resal+('2021'!Salim-'2021'!Resal)*(1-EXP(('2021'!Tnet-t)/('2021'!Tau_j))),Resal+(Salim-Resal)*(1-EXP((Tnet-t)/(Tau_j))))*Salcycl</f>
        <v>9.7731745975015542E-3</v>
      </c>
      <c r="P152" s="169">
        <f>(INDEX(Models!$BJ152:$BT152,,T152)*(1-R152)+INDEX(Models!$BJ152:$BT152,,T152+1)*R152-ERP_i)*Q152*Ramure*Pc/MaxiM</f>
        <v>1.093466364271489E-4</v>
      </c>
      <c r="Q152" s="304">
        <f t="shared" si="53"/>
        <v>0.6</v>
      </c>
      <c r="R152" s="177">
        <f t="shared" si="54"/>
        <v>0.13858231219788275</v>
      </c>
      <c r="S152" s="799">
        <f t="shared" si="55"/>
        <v>0</v>
      </c>
      <c r="T152" s="176">
        <f t="shared" si="56"/>
        <v>6</v>
      </c>
      <c r="U152" s="250">
        <f t="shared" si="57"/>
        <v>0.13858231219788275</v>
      </c>
      <c r="V152" s="382">
        <f t="shared" si="58"/>
        <v>61.834348874964697</v>
      </c>
      <c r="W152" s="400">
        <f t="shared" si="59"/>
        <v>0</v>
      </c>
      <c r="X152" s="157">
        <f t="shared" si="60"/>
        <v>44699</v>
      </c>
      <c r="Y152" s="383">
        <f t="shared" si="61"/>
        <v>50.662679517543218</v>
      </c>
      <c r="Z152" s="383">
        <f t="shared" si="62"/>
        <v>51.859205046721165</v>
      </c>
      <c r="AA152" s="384">
        <f t="shared" si="63"/>
        <v>56.75950996108935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8.6334517646955003E-2</v>
      </c>
      <c r="AD152" s="230">
        <f>(INDEX(Models!$BJ152:$BT152,,AH152)*(1-AF152)+INDEX(Models!$BJ152:$BT152,,AH152+1)*AF152-ERP_i)*AE152*Ramure*Pc/MaxiM</f>
        <v>1.093466364271489E-4</v>
      </c>
      <c r="AE152" s="304">
        <f t="shared" si="65"/>
        <v>0.6</v>
      </c>
      <c r="AF152" s="177">
        <f t="shared" si="66"/>
        <v>0.13858231219788275</v>
      </c>
      <c r="AG152" s="799">
        <f t="shared" si="74"/>
        <v>0</v>
      </c>
      <c r="AH152" s="176">
        <f t="shared" si="67"/>
        <v>6</v>
      </c>
      <c r="AI152" s="224">
        <f t="shared" si="68"/>
        <v>0.13858231219788275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44700</v>
      </c>
      <c r="B153" s="1153">
        <v>57.721000000000004</v>
      </c>
      <c r="C153" s="388"/>
      <c r="D153" s="391">
        <f t="shared" si="50"/>
        <v>59.085357728174799</v>
      </c>
      <c r="E153" s="383">
        <f t="shared" si="72"/>
        <v>59.67485742523548</v>
      </c>
      <c r="F153" s="383">
        <f t="shared" si="51"/>
        <v>59.680724157600373</v>
      </c>
      <c r="G153" s="110">
        <f t="shared" si="73"/>
        <v>0.93313726762246152</v>
      </c>
      <c r="H153" s="412" t="b">
        <f>Wh_hp&gt;='2021'!Maxi_hp</f>
        <v>0</v>
      </c>
      <c r="I153" s="379">
        <f>IF(H153,Wh_hp,'2021'!Maxi_hp)</f>
        <v>63.796579298765408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2.3091300122977887E-2</v>
      </c>
      <c r="M153" s="832"/>
      <c r="N153" s="832"/>
      <c r="O153" s="48">
        <f>IF(t&lt;Tnet,'2021'!Resal+('2021'!Salim-'2021'!Resal)*(1-EXP(('2021'!Tnet-t)/('2021'!Tau_j))),Resal+(Salim-Resal)*(1-EXP((Tnet-t)/(Tau_j))))*Salcycl</f>
        <v>9.8785271133532832E-3</v>
      </c>
      <c r="P153" s="169">
        <f>(INDEX(Models!$BJ153:$BT153,,T153)*(1-R153)+INDEX(Models!$BJ153:$BT153,,T153+1)*R153-ERP_i)*Q153*Ramure*Pc/MaxiM</f>
        <v>1.0868152165390703E-4</v>
      </c>
      <c r="Q153" s="304">
        <f t="shared" si="53"/>
        <v>0.6</v>
      </c>
      <c r="R153" s="177">
        <f t="shared" si="54"/>
        <v>0.14276783796517922</v>
      </c>
      <c r="S153" s="799">
        <f t="shared" si="55"/>
        <v>0</v>
      </c>
      <c r="T153" s="176">
        <f t="shared" si="56"/>
        <v>6</v>
      </c>
      <c r="U153" s="250">
        <f t="shared" si="57"/>
        <v>0.14276783796517922</v>
      </c>
      <c r="V153" s="382">
        <f t="shared" si="58"/>
        <v>61.856280769587499</v>
      </c>
      <c r="W153" s="400">
        <f t="shared" si="59"/>
        <v>0</v>
      </c>
      <c r="X153" s="157">
        <f t="shared" si="60"/>
        <v>44700</v>
      </c>
      <c r="Y153" s="383">
        <f t="shared" si="61"/>
        <v>53.260758003077605</v>
      </c>
      <c r="Z153" s="383">
        <f t="shared" si="62"/>
        <v>54.519688492673183</v>
      </c>
      <c r="AA153" s="384">
        <f t="shared" si="63"/>
        <v>59.67485742523548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8.6387620431620307E-2</v>
      </c>
      <c r="AD153" s="230">
        <f>(INDEX(Models!$BJ153:$BT153,,AH153)*(1-AF153)+INDEX(Models!$BJ153:$BT153,,AH153+1)*AF153-ERP_i)*AE153*Ramure*Pc/MaxiM</f>
        <v>1.0868152165390703E-4</v>
      </c>
      <c r="AE153" s="304">
        <f t="shared" si="65"/>
        <v>0.6</v>
      </c>
      <c r="AF153" s="177">
        <f t="shared" si="66"/>
        <v>0.14276783796517922</v>
      </c>
      <c r="AG153" s="799">
        <f t="shared" si="74"/>
        <v>0</v>
      </c>
      <c r="AH153" s="176">
        <f t="shared" si="67"/>
        <v>6</v>
      </c>
      <c r="AI153" s="224">
        <f t="shared" si="68"/>
        <v>0.14276783796517922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44701</v>
      </c>
      <c r="B154" s="1153">
        <v>51.506</v>
      </c>
      <c r="C154" s="388"/>
      <c r="D154" s="391">
        <f t="shared" si="50"/>
        <v>52.72446353087188</v>
      </c>
      <c r="E154" s="383">
        <f t="shared" si="72"/>
        <v>53.256169157577858</v>
      </c>
      <c r="F154" s="383">
        <f t="shared" si="51"/>
        <v>53.260542320343184</v>
      </c>
      <c r="G154" s="110">
        <f t="shared" si="73"/>
        <v>0.83241457359261384</v>
      </c>
      <c r="H154" s="412" t="b">
        <f>Wh_hp&gt;='2021'!Maxi_hp</f>
        <v>0</v>
      </c>
      <c r="I154" s="379">
        <f>IF(H154,Wh_hp,'2021'!Maxi_hp)</f>
        <v>63.305602398396879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2.3110022355342319E-2</v>
      </c>
      <c r="M154" s="832"/>
      <c r="N154" s="832"/>
      <c r="O154" s="48">
        <f>IF(t&lt;Tnet,'2021'!Resal+('2021'!Salim-'2021'!Resal)*(1-EXP(('2021'!Tnet-t)/('2021'!Tau_j))),Resal+(Salim-Resal)*(1-EXP((Tnet-t)/(Tau_j))))*Salcycl</f>
        <v>9.983925526688503E-3</v>
      </c>
      <c r="P154" s="169">
        <f>(INDEX(Models!$BJ154:$BT154,,T154)*(1-R154)+INDEX(Models!$BJ154:$BT154,,T154+1)*R154-ERP_i)*Q154*Ramure*Pc/MaxiM</f>
        <v>1.0794949504719133E-4</v>
      </c>
      <c r="Q154" s="304">
        <f t="shared" si="53"/>
        <v>0.6</v>
      </c>
      <c r="R154" s="177">
        <f t="shared" si="54"/>
        <v>0.1470268532728399</v>
      </c>
      <c r="S154" s="799">
        <f t="shared" si="55"/>
        <v>0</v>
      </c>
      <c r="T154" s="176">
        <f t="shared" si="56"/>
        <v>6</v>
      </c>
      <c r="U154" s="250">
        <f t="shared" si="57"/>
        <v>0.1470268532728399</v>
      </c>
      <c r="V154" s="382">
        <f t="shared" si="58"/>
        <v>61.873819341018709</v>
      </c>
      <c r="W154" s="400">
        <f t="shared" si="59"/>
        <v>0</v>
      </c>
      <c r="X154" s="157">
        <f t="shared" si="60"/>
        <v>44701</v>
      </c>
      <c r="Y154" s="383">
        <f t="shared" si="61"/>
        <v>47.528282654620803</v>
      </c>
      <c r="Z154" s="383">
        <f t="shared" si="62"/>
        <v>48.652646400584885</v>
      </c>
      <c r="AA154" s="384">
        <f t="shared" si="63"/>
        <v>53.256169157577858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8.644111714779501E-2</v>
      </c>
      <c r="AD154" s="230">
        <f>(INDEX(Models!$BJ154:$BT154,,AH154)*(1-AF154)+INDEX(Models!$BJ154:$BT154,,AH154+1)*AF154-ERP_i)*AE154*Ramure*Pc/MaxiM</f>
        <v>1.0794949504719133E-4</v>
      </c>
      <c r="AE154" s="304">
        <f t="shared" si="65"/>
        <v>0.6</v>
      </c>
      <c r="AF154" s="177">
        <f t="shared" si="66"/>
        <v>0.1470268532728399</v>
      </c>
      <c r="AG154" s="799">
        <f t="shared" si="74"/>
        <v>0</v>
      </c>
      <c r="AH154" s="176">
        <f t="shared" si="67"/>
        <v>6</v>
      </c>
      <c r="AI154" s="224">
        <f t="shared" si="68"/>
        <v>0.1470268532728399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44702</v>
      </c>
      <c r="B155" s="1153">
        <v>51.606000000000002</v>
      </c>
      <c r="C155" s="388"/>
      <c r="D155" s="391">
        <f t="shared" si="50"/>
        <v>52.827841637396141</v>
      </c>
      <c r="E155" s="383">
        <f t="shared" si="72"/>
        <v>53.366273366128922</v>
      </c>
      <c r="F155" s="383">
        <f t="shared" si="51"/>
        <v>53.370634712740788</v>
      </c>
      <c r="G155" s="110">
        <f t="shared" si="73"/>
        <v>0.8338510227768765</v>
      </c>
      <c r="H155" s="412" t="b">
        <f>Wh_hp&gt;='2021'!Maxi_hp</f>
        <v>0</v>
      </c>
      <c r="I155" s="379">
        <f>IF(H155,Wh_hp,'2021'!Maxi_hp)</f>
        <v>61.653025263591708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2.3128744228899434E-2</v>
      </c>
      <c r="M155" s="832"/>
      <c r="N155" s="832"/>
      <c r="O155" s="48">
        <f>IF(t&lt;Tnet,'2021'!Resal+('2021'!Salim-'2021'!Resal)*(1-EXP(('2021'!Tnet-t)/('2021'!Tau_j))),Resal+(Salim-Resal)*(1-EXP((Tnet-t)/(Tau_j))))*Salcycl</f>
        <v>1.0089363464425757E-2</v>
      </c>
      <c r="P155" s="169">
        <f>(INDEX(Models!$BJ155:$BT155,,T155)*(1-R155)+INDEX(Models!$BJ155:$BT155,,T155+1)*R155-ERP_i)*Q155*Ramure*Pc/MaxiM</f>
        <v>1.0714673587813183E-4</v>
      </c>
      <c r="Q155" s="304">
        <f t="shared" si="53"/>
        <v>0.6</v>
      </c>
      <c r="R155" s="177">
        <f t="shared" si="54"/>
        <v>0.15135762079378276</v>
      </c>
      <c r="S155" s="799">
        <f t="shared" si="55"/>
        <v>0</v>
      </c>
      <c r="T155" s="176">
        <f t="shared" si="56"/>
        <v>6</v>
      </c>
      <c r="U155" s="250">
        <f t="shared" si="57"/>
        <v>0.15135762079378276</v>
      </c>
      <c r="V155" s="382">
        <f t="shared" si="58"/>
        <v>61.887179139595617</v>
      </c>
      <c r="W155" s="400">
        <f t="shared" si="59"/>
        <v>0</v>
      </c>
      <c r="X155" s="157">
        <f t="shared" si="60"/>
        <v>44702</v>
      </c>
      <c r="Y155" s="383">
        <f t="shared" si="61"/>
        <v>47.622826006299057</v>
      </c>
      <c r="Z155" s="383">
        <f t="shared" si="62"/>
        <v>48.750360628338505</v>
      </c>
      <c r="AA155" s="384">
        <f t="shared" si="63"/>
        <v>53.366273366128922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8.6494942341619363E-2</v>
      </c>
      <c r="AD155" s="230">
        <f>(INDEX(Models!$BJ155:$BT155,,AH155)*(1-AF155)+INDEX(Models!$BJ155:$BT155,,AH155+1)*AF155-ERP_i)*AE155*Ramure*Pc/MaxiM</f>
        <v>1.0714673587813183E-4</v>
      </c>
      <c r="AE155" s="304">
        <f t="shared" si="65"/>
        <v>0.6</v>
      </c>
      <c r="AF155" s="177">
        <f t="shared" si="66"/>
        <v>0.15135762079378276</v>
      </c>
      <c r="AG155" s="799">
        <f t="shared" si="74"/>
        <v>0</v>
      </c>
      <c r="AH155" s="176">
        <f t="shared" si="67"/>
        <v>6</v>
      </c>
      <c r="AI155" s="224">
        <f t="shared" si="68"/>
        <v>0.15135762079378276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44703</v>
      </c>
      <c r="B156" s="1153">
        <v>39.200000000000003</v>
      </c>
      <c r="C156" s="388"/>
      <c r="D156" s="391">
        <f t="shared" si="50"/>
        <v>40.128881919564343</v>
      </c>
      <c r="E156" s="383">
        <f t="shared" si="72"/>
        <v>40.542202950017078</v>
      </c>
      <c r="F156" s="383">
        <f t="shared" si="51"/>
        <v>40.544255581953635</v>
      </c>
      <c r="G156" s="110">
        <f t="shared" si="73"/>
        <v>0.63327928778760123</v>
      </c>
      <c r="H156" s="412" t="b">
        <f>Wh_hp&gt;='2021'!Maxi_hp</f>
        <v>0</v>
      </c>
      <c r="I156" s="379">
        <f>IF(H156,Wh_hp,'2021'!Maxi_hp)</f>
        <v>60.757180610940942</v>
      </c>
      <c r="J156" s="85">
        <f>IF(H156,An,'2021'!An_max)</f>
        <v>2018</v>
      </c>
      <c r="K156" s="197">
        <f t="shared" si="52"/>
        <v>44703</v>
      </c>
      <c r="L156" s="147">
        <f>IF(t&lt;Tvie,1-EXP((T0-t)*PertePVj)+'2021'!Pspv,1-EXP((T0-t)*PertePVj)+Pspv)</f>
        <v>2.3147465743656226E-2</v>
      </c>
      <c r="M156" s="832"/>
      <c r="N156" s="832"/>
      <c r="O156" s="48">
        <f>IF(t&lt;Tnet,'2021'!Resal+('2021'!Salim-'2021'!Resal)*(1-EXP(('2021'!Tnet-t)/('2021'!Tau_j))),Resal+(Salim-Resal)*(1-EXP((Tnet-t)/(Tau_j))))*Salcycl</f>
        <v>1.0194834034112581E-2</v>
      </c>
      <c r="P156" s="169">
        <f>(INDEX(Models!$BJ156:$BT156,,T156)*(1-R156)+INDEX(Models!$BJ156:$BT156,,T156+1)*R156-ERP_i)*Q156*Ramure*Pc/MaxiM</f>
        <v>1.0632257902034989E-4</v>
      </c>
      <c r="Q156" s="304">
        <f t="shared" si="53"/>
        <v>0.6</v>
      </c>
      <c r="R156" s="177">
        <f t="shared" si="54"/>
        <v>0.15575822103933834</v>
      </c>
      <c r="S156" s="799">
        <f t="shared" si="55"/>
        <v>0</v>
      </c>
      <c r="T156" s="176">
        <f t="shared" si="56"/>
        <v>6</v>
      </c>
      <c r="U156" s="250">
        <f t="shared" si="57"/>
        <v>0.15575822103933834</v>
      </c>
      <c r="V156" s="382">
        <f t="shared" si="58"/>
        <v>61.896571349558897</v>
      </c>
      <c r="W156" s="400">
        <f t="shared" si="59"/>
        <v>0</v>
      </c>
      <c r="X156" s="157">
        <f t="shared" si="60"/>
        <v>44703</v>
      </c>
      <c r="Y156" s="383">
        <f t="shared" si="61"/>
        <v>36.176087279885344</v>
      </c>
      <c r="Z156" s="383">
        <f t="shared" si="62"/>
        <v>37.033314662407463</v>
      </c>
      <c r="AA156" s="384">
        <f t="shared" si="63"/>
        <v>40.542202950017078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8.6549028722874094E-2</v>
      </c>
      <c r="AD156" s="230">
        <f>(INDEX(Models!$BJ156:$BT156,,AH156)*(1-AF156)+INDEX(Models!$BJ156:$BT156,,AH156+1)*AF156-ERP_i)*AE156*Ramure*Pc/MaxiM</f>
        <v>1.0632257902034989E-4</v>
      </c>
      <c r="AE156" s="304">
        <f t="shared" si="65"/>
        <v>0.6</v>
      </c>
      <c r="AF156" s="177">
        <f t="shared" si="66"/>
        <v>0.15575822103933834</v>
      </c>
      <c r="AG156" s="799">
        <f t="shared" si="74"/>
        <v>0</v>
      </c>
      <c r="AH156" s="176">
        <f t="shared" si="67"/>
        <v>6</v>
      </c>
      <c r="AI156" s="224">
        <f t="shared" si="68"/>
        <v>0.15575822103933834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44704</v>
      </c>
      <c r="B157" s="1153">
        <v>20.696999999999999</v>
      </c>
      <c r="C157" s="388"/>
      <c r="D157" s="391">
        <f t="shared" si="50"/>
        <v>21.18784149609812</v>
      </c>
      <c r="E157" s="383">
        <f t="shared" si="72"/>
        <v>21.408354609820943</v>
      </c>
      <c r="F157" s="383">
        <f t="shared" si="51"/>
        <v>21.408465434339732</v>
      </c>
      <c r="G157" s="110">
        <f t="shared" si="73"/>
        <v>0.33431640047042682</v>
      </c>
      <c r="H157" s="412" t="b">
        <f>Wh_hp&gt;='2021'!Maxi_hp</f>
        <v>0</v>
      </c>
      <c r="I157" s="379">
        <f>IF(H157,Wh_hp,'2021'!Maxi_hp)</f>
        <v>57.940082195716684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2.3166186899619357E-2</v>
      </c>
      <c r="M157" s="832"/>
      <c r="N157" s="832"/>
      <c r="O157" s="48">
        <f>IF(t&lt;Tnet,'2021'!Resal+('2021'!Salim-'2021'!Resal)*(1-EXP(('2021'!Tnet-t)/('2021'!Tau_j))),Resal+(Salim-Resal)*(1-EXP((Tnet-t)/(Tau_j))))*Salcycl</f>
        <v>1.0300329835795341E-2</v>
      </c>
      <c r="P157" s="169">
        <f>(INDEX(Models!$BJ157:$BT157,,T157)*(1-R157)+INDEX(Models!$BJ157:$BT157,,T157+1)*R157-ERP_i)*Q157*Ramure*Pc/MaxiM</f>
        <v>1.05492687630852E-4</v>
      </c>
      <c r="Q157" s="304">
        <f t="shared" si="53"/>
        <v>0.6</v>
      </c>
      <c r="R157" s="177">
        <f t="shared" si="54"/>
        <v>0.16022655237111069</v>
      </c>
      <c r="S157" s="799">
        <f t="shared" si="55"/>
        <v>0</v>
      </c>
      <c r="T157" s="176">
        <f t="shared" si="56"/>
        <v>6</v>
      </c>
      <c r="U157" s="250">
        <f t="shared" si="57"/>
        <v>0.16022655237111069</v>
      </c>
      <c r="V157" s="382">
        <f t="shared" si="58"/>
        <v>61.902209163157998</v>
      </c>
      <c r="W157" s="400">
        <f t="shared" si="59"/>
        <v>0</v>
      </c>
      <c r="X157" s="157">
        <f t="shared" si="60"/>
        <v>44704</v>
      </c>
      <c r="Y157" s="383">
        <f t="shared" si="61"/>
        <v>19.101321257121157</v>
      </c>
      <c r="Z157" s="383">
        <f t="shared" si="62"/>
        <v>19.554320295788411</v>
      </c>
      <c r="AA157" s="384">
        <f t="shared" si="63"/>
        <v>21.408354609820943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8.6603307345348574E-2</v>
      </c>
      <c r="AD157" s="230">
        <f>(INDEX(Models!$BJ157:$BT157,,AH157)*(1-AF157)+INDEX(Models!$BJ157:$BT157,,AH157+1)*AF157-ERP_i)*AE157*Ramure*Pc/MaxiM</f>
        <v>1.05492687630852E-4</v>
      </c>
      <c r="AE157" s="304">
        <f t="shared" si="65"/>
        <v>0.6</v>
      </c>
      <c r="AF157" s="177">
        <f t="shared" si="66"/>
        <v>0.16022655237111069</v>
      </c>
      <c r="AG157" s="799">
        <f t="shared" si="74"/>
        <v>0</v>
      </c>
      <c r="AH157" s="176">
        <f t="shared" si="67"/>
        <v>6</v>
      </c>
      <c r="AI157" s="224">
        <f t="shared" si="68"/>
        <v>0.16022655237111069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44705</v>
      </c>
      <c r="B158" s="1153">
        <v>17.11</v>
      </c>
      <c r="C158" s="388"/>
      <c r="D158" s="391">
        <f t="shared" si="50"/>
        <v>17.51610937916287</v>
      </c>
      <c r="E158" s="383">
        <f t="shared" si="72"/>
        <v>17.700295878720958</v>
      </c>
      <c r="F158" s="383">
        <f t="shared" si="51"/>
        <v>17.700295878720958</v>
      </c>
      <c r="G158" s="110">
        <f t="shared" si="73"/>
        <v>0.27636541361702716</v>
      </c>
      <c r="H158" s="412" t="b">
        <f>Wh_hp&gt;='2021'!Maxi_hp</f>
        <v>0</v>
      </c>
      <c r="I158" s="379">
        <f>IF(H158,Wh_hp,'2021'!Maxi_hp)</f>
        <v>27.39141049073487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2.318490769679582E-2</v>
      </c>
      <c r="M158" s="832"/>
      <c r="N158" s="832"/>
      <c r="O158" s="48">
        <f>IF(t&lt;Tnet,'2021'!Resal+('2021'!Salim-'2021'!Resal)*(1-EXP(('2021'!Tnet-t)/('2021'!Tau_j))),Resal+(Salim-Resal)*(1-EXP((Tnet-t)/(Tau_j))))*Salcycl</f>
        <v>1.0405842976868846E-2</v>
      </c>
      <c r="P158" s="169">
        <f>(INDEX(Models!$BJ158:$BT158,,T158)*(1-R158)+INDEX(Models!$BJ158:$BT158,,T158+1)*R158-ERP_i)*Q158*Ramure*Pc/MaxiM</f>
        <v>1.0465542633538511E-4</v>
      </c>
      <c r="Q158" s="304">
        <f t="shared" si="53"/>
        <v>0.6</v>
      </c>
      <c r="R158" s="177">
        <f t="shared" si="54"/>
        <v>0.1647603319019402</v>
      </c>
      <c r="S158" s="799">
        <f t="shared" si="55"/>
        <v>0</v>
      </c>
      <c r="T158" s="176">
        <f t="shared" si="56"/>
        <v>6</v>
      </c>
      <c r="U158" s="250">
        <f t="shared" si="57"/>
        <v>0.1647603319019402</v>
      </c>
      <c r="V158" s="382">
        <f t="shared" si="58"/>
        <v>61.904306771769456</v>
      </c>
      <c r="W158" s="400">
        <f t="shared" si="59"/>
        <v>0</v>
      </c>
      <c r="X158" s="157">
        <f t="shared" si="60"/>
        <v>44705</v>
      </c>
      <c r="Y158" s="383">
        <f t="shared" si="61"/>
        <v>15.791611650706692</v>
      </c>
      <c r="Z158" s="383">
        <f t="shared" si="62"/>
        <v>16.166428810464122</v>
      </c>
      <c r="AA158" s="384">
        <f t="shared" si="63"/>
        <v>17.700295878720958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8.6657707801417544E-2</v>
      </c>
      <c r="AD158" s="230">
        <f>(INDEX(Models!$BJ158:$BT158,,AH158)*(1-AF158)+INDEX(Models!$BJ158:$BT158,,AH158+1)*AF158-ERP_i)*AE158*Ramure*Pc/MaxiM</f>
        <v>1.0465542633538511E-4</v>
      </c>
      <c r="AE158" s="304">
        <f t="shared" si="65"/>
        <v>0.6</v>
      </c>
      <c r="AF158" s="177">
        <f t="shared" si="66"/>
        <v>0.1647603319019402</v>
      </c>
      <c r="AG158" s="799">
        <f t="shared" si="74"/>
        <v>0</v>
      </c>
      <c r="AH158" s="176">
        <f t="shared" si="67"/>
        <v>6</v>
      </c>
      <c r="AI158" s="224">
        <f t="shared" si="68"/>
        <v>0.1647603319019402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44706</v>
      </c>
      <c r="B159" s="1153">
        <v>43.04</v>
      </c>
      <c r="C159" s="388"/>
      <c r="D159" s="391">
        <f t="shared" si="50"/>
        <v>44.062407723558692</v>
      </c>
      <c r="E159" s="383">
        <f t="shared" si="72"/>
        <v>44.530483897435708</v>
      </c>
      <c r="F159" s="383">
        <f t="shared" si="51"/>
        <v>44.533094428817286</v>
      </c>
      <c r="G159" s="110">
        <f t="shared" si="73"/>
        <v>0.69524902697617164</v>
      </c>
      <c r="H159" s="412" t="b">
        <f>Wh_hp&gt;='2021'!Maxi_hp</f>
        <v>0</v>
      </c>
      <c r="I159" s="379">
        <f>IF(H159,Wh_hp,'2021'!Maxi_hp)</f>
        <v>59.825577923222795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2.32036281351925E-2</v>
      </c>
      <c r="M159" s="832"/>
      <c r="N159" s="832"/>
      <c r="O159" s="48">
        <f>IF(t&lt;Tnet,'2021'!Resal+('2021'!Salim-'2021'!Resal)*(1-EXP(('2021'!Tnet-t)/('2021'!Tau_j))),Resal+(Salim-Resal)*(1-EXP((Tnet-t)/(Tau_j))))*Salcycl</f>
        <v>1.051136508992591E-2</v>
      </c>
      <c r="P159" s="169">
        <f>(INDEX(Models!$BJ159:$BT159,,T159)*(1-R159)+INDEX(Models!$BJ159:$BT159,,T159+1)*R159-ERP_i)*Q159*Ramure*Pc/MaxiM</f>
        <v>1.038098948474411E-4</v>
      </c>
      <c r="Q159" s="304">
        <f t="shared" si="53"/>
        <v>0.6</v>
      </c>
      <c r="R159" s="177">
        <f t="shared" si="54"/>
        <v>0.16935709731965728</v>
      </c>
      <c r="S159" s="799">
        <f t="shared" si="55"/>
        <v>0</v>
      </c>
      <c r="T159" s="176">
        <f t="shared" si="56"/>
        <v>6</v>
      </c>
      <c r="U159" s="250">
        <f t="shared" si="57"/>
        <v>0.16935709731965728</v>
      </c>
      <c r="V159" s="382">
        <f t="shared" si="58"/>
        <v>61.90307824151693</v>
      </c>
      <c r="W159" s="400">
        <f t="shared" si="59"/>
        <v>0</v>
      </c>
      <c r="X159" s="157">
        <f t="shared" si="60"/>
        <v>44706</v>
      </c>
      <c r="Y159" s="383">
        <f t="shared" si="61"/>
        <v>39.725477700651673</v>
      </c>
      <c r="Z159" s="383">
        <f t="shared" si="62"/>
        <v>40.669149522752157</v>
      </c>
      <c r="AA159" s="384">
        <f t="shared" si="63"/>
        <v>44.530483897435708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8.6712158430102035E-2</v>
      </c>
      <c r="AD159" s="230">
        <f>(INDEX(Models!$BJ159:$BT159,,AH159)*(1-AF159)+INDEX(Models!$BJ159:$BT159,,AH159+1)*AF159-ERP_i)*AE159*Ramure*Pc/MaxiM</f>
        <v>1.038098948474411E-4</v>
      </c>
      <c r="AE159" s="304">
        <f t="shared" si="65"/>
        <v>0.6</v>
      </c>
      <c r="AF159" s="177">
        <f t="shared" si="66"/>
        <v>0.16935709731965728</v>
      </c>
      <c r="AG159" s="799">
        <f t="shared" si="74"/>
        <v>0</v>
      </c>
      <c r="AH159" s="176">
        <f t="shared" si="67"/>
        <v>6</v>
      </c>
      <c r="AI159" s="224">
        <f t="shared" si="68"/>
        <v>0.16935709731965728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44707</v>
      </c>
      <c r="B160" s="1153">
        <v>26.163</v>
      </c>
      <c r="C160" s="388"/>
      <c r="D160" s="391">
        <f t="shared" si="50"/>
        <v>26.78501084887009</v>
      </c>
      <c r="E160" s="383">
        <f t="shared" si="72"/>
        <v>27.072435850684453</v>
      </c>
      <c r="F160" s="383">
        <f t="shared" si="51"/>
        <v>27.072924321985159</v>
      </c>
      <c r="G160" s="110">
        <f t="shared" si="73"/>
        <v>0.4226383190728728</v>
      </c>
      <c r="H160" s="412" t="b">
        <f>Wh_hp&gt;='2021'!Maxi_hp</f>
        <v>0</v>
      </c>
      <c r="I160" s="379">
        <f>IF(H160,Wh_hp,'2021'!Maxi_hp)</f>
        <v>62.596709791929555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2.3222348214816169E-2</v>
      </c>
      <c r="M160" s="832"/>
      <c r="N160" s="832"/>
      <c r="O160" s="48">
        <f>IF(t&lt;Tnet,'2021'!Resal+('2021'!Salim-'2021'!Resal)*(1-EXP(('2021'!Tnet-t)/('2021'!Tau_j))),Resal+(Salim-Resal)*(1-EXP((Tnet-t)/(Tau_j))))*Salcycl</f>
        <v>1.0616887353603123E-2</v>
      </c>
      <c r="P160" s="169">
        <f>(INDEX(Models!$BJ160:$BT160,,T160)*(1-R160)+INDEX(Models!$BJ160:$BT160,,T160+1)*R160-ERP_i)*Q160*Ramure*Pc/MaxiM</f>
        <v>1.0295528693222045E-4</v>
      </c>
      <c r="Q160" s="304">
        <f t="shared" si="53"/>
        <v>0.6</v>
      </c>
      <c r="R160" s="177">
        <f t="shared" si="54"/>
        <v>0.17401420966048961</v>
      </c>
      <c r="S160" s="799">
        <f t="shared" si="55"/>
        <v>0</v>
      </c>
      <c r="T160" s="176">
        <f t="shared" si="56"/>
        <v>6</v>
      </c>
      <c r="U160" s="250">
        <f t="shared" si="57"/>
        <v>0.17401420966048961</v>
      </c>
      <c r="V160" s="382">
        <f t="shared" si="58"/>
        <v>61.898737558516032</v>
      </c>
      <c r="W160" s="400">
        <f t="shared" si="59"/>
        <v>0</v>
      </c>
      <c r="X160" s="157">
        <f t="shared" si="60"/>
        <v>44707</v>
      </c>
      <c r="Y160" s="383">
        <f t="shared" si="61"/>
        <v>24.149316367957955</v>
      </c>
      <c r="Z160" s="383">
        <f t="shared" si="62"/>
        <v>24.723453002658328</v>
      </c>
      <c r="AA160" s="384">
        <f t="shared" si="63"/>
        <v>27.072435850684453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8.6766586537751086E-2</v>
      </c>
      <c r="AD160" s="230">
        <f>(INDEX(Models!$BJ160:$BT160,,AH160)*(1-AF160)+INDEX(Models!$BJ160:$BT160,,AH160+1)*AF160-ERP_i)*AE160*Ramure*Pc/MaxiM</f>
        <v>1.0295528693222045E-4</v>
      </c>
      <c r="AE160" s="304">
        <f t="shared" si="65"/>
        <v>0.6</v>
      </c>
      <c r="AF160" s="177">
        <f t="shared" si="66"/>
        <v>0.17401420966048961</v>
      </c>
      <c r="AG160" s="799">
        <f t="shared" si="74"/>
        <v>0</v>
      </c>
      <c r="AH160" s="176">
        <f t="shared" si="67"/>
        <v>6</v>
      </c>
      <c r="AI160" s="224">
        <f t="shared" si="68"/>
        <v>0.17401420966048961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44708</v>
      </c>
      <c r="B161" s="1153">
        <v>48.169000000000004</v>
      </c>
      <c r="C161" s="388"/>
      <c r="D161" s="391">
        <f t="shared" si="50"/>
        <v>49.315136436170057</v>
      </c>
      <c r="E161" s="383">
        <f t="shared" si="72"/>
        <v>49.849644287823878</v>
      </c>
      <c r="F161" s="383">
        <f t="shared" si="51"/>
        <v>49.85312176899086</v>
      </c>
      <c r="G161" s="110">
        <f t="shared" si="73"/>
        <v>0.77825619597767604</v>
      </c>
      <c r="H161" s="412" t="b">
        <f>Wh_hp&gt;='2021'!Maxi_hp</f>
        <v>0</v>
      </c>
      <c r="I161" s="379">
        <f>IF(H161,Wh_hp,'2021'!Maxi_hp)</f>
        <v>62.270971233570506</v>
      </c>
      <c r="J161" s="85">
        <f>IF(H161,An,'2021'!An_max)</f>
        <v>2020</v>
      </c>
      <c r="K161" s="197">
        <f t="shared" si="52"/>
        <v>44708</v>
      </c>
      <c r="L161" s="147">
        <f>IF(t&lt;Tvie,1-EXP((T0-t)*PertePVj)+'2021'!Pspv,1-EXP((T0-t)*PertePVj)+Pspv)</f>
        <v>2.324106793567382E-2</v>
      </c>
      <c r="M161" s="832"/>
      <c r="N161" s="832"/>
      <c r="O161" s="48">
        <f>IF(t&lt;Tnet,'2021'!Resal+('2021'!Salim-'2021'!Resal)*(1-EXP(('2021'!Tnet-t)/('2021'!Tau_j))),Resal+(Salim-Resal)*(1-EXP((Tnet-t)/(Tau_j))))*Salcycl</f>
        <v>1.0722400516393961E-2</v>
      </c>
      <c r="P161" s="169">
        <f>(INDEX(Models!$BJ161:$BT161,,T161)*(1-R161)+INDEX(Models!$BJ161:$BT161,,T161+1)*R161-ERP_i)*Q161*Ramure*Pc/MaxiM</f>
        <v>1.0209089433753382E-4</v>
      </c>
      <c r="Q161" s="304">
        <f t="shared" si="53"/>
        <v>0.6</v>
      </c>
      <c r="R161" s="177">
        <f t="shared" si="54"/>
        <v>0.17872885705146546</v>
      </c>
      <c r="S161" s="799">
        <f t="shared" si="55"/>
        <v>0</v>
      </c>
      <c r="T161" s="176">
        <f t="shared" si="56"/>
        <v>6</v>
      </c>
      <c r="U161" s="250">
        <f t="shared" si="57"/>
        <v>0.17872885705146546</v>
      </c>
      <c r="V161" s="382">
        <f t="shared" si="58"/>
        <v>61.891498622229918</v>
      </c>
      <c r="W161" s="400">
        <f t="shared" si="59"/>
        <v>0</v>
      </c>
      <c r="X161" s="157">
        <f t="shared" si="60"/>
        <v>44708</v>
      </c>
      <c r="Y161" s="383">
        <f t="shared" si="61"/>
        <v>44.463680561912703</v>
      </c>
      <c r="Z161" s="383">
        <f t="shared" si="62"/>
        <v>45.521652377359032</v>
      </c>
      <c r="AA161" s="384">
        <f t="shared" si="63"/>
        <v>49.849644287823878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8.6820918630345856E-2</v>
      </c>
      <c r="AD161" s="230">
        <f>(INDEX(Models!$BJ161:$BT161,,AH161)*(1-AF161)+INDEX(Models!$BJ161:$BT161,,AH161+1)*AF161-ERP_i)*AE161*Ramure*Pc/MaxiM</f>
        <v>1.0209089433753382E-4</v>
      </c>
      <c r="AE161" s="304">
        <f t="shared" si="65"/>
        <v>0.6</v>
      </c>
      <c r="AF161" s="177">
        <f t="shared" si="66"/>
        <v>0.17872885705146546</v>
      </c>
      <c r="AG161" s="799">
        <f t="shared" si="74"/>
        <v>0</v>
      </c>
      <c r="AH161" s="176">
        <f t="shared" si="67"/>
        <v>6</v>
      </c>
      <c r="AI161" s="224">
        <f t="shared" si="68"/>
        <v>0.17872885705146546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44709</v>
      </c>
      <c r="B162" s="1153">
        <v>57.937000000000005</v>
      </c>
      <c r="C162" s="388"/>
      <c r="D162" s="391">
        <f t="shared" si="50"/>
        <v>59.316693678161151</v>
      </c>
      <c r="E162" s="383">
        <f t="shared" si="72"/>
        <v>59.965999216654247</v>
      </c>
      <c r="F162" s="383">
        <f t="shared" si="51"/>
        <v>59.971516541682519</v>
      </c>
      <c r="G162" s="110">
        <f t="shared" si="73"/>
        <v>0.936247432551644</v>
      </c>
      <c r="H162" s="412" t="b">
        <f>Wh_hp&gt;='2021'!Maxi_hp</f>
        <v>0</v>
      </c>
      <c r="I162" s="379">
        <f>IF(H162,Wh_hp,'2021'!Maxi_hp)</f>
        <v>61.405954695216622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2.3259787297772339E-2</v>
      </c>
      <c r="M162" s="832"/>
      <c r="N162" s="832"/>
      <c r="O162" s="48">
        <f>IF(t&lt;Tnet,'2021'!Resal+('2021'!Salim-'2021'!Resal)*(1-EXP(('2021'!Tnet-t)/('2021'!Tau_j))),Resal+(Salim-Resal)*(1-EXP((Tnet-t)/(Tau_j))))*Salcycl</f>
        <v>1.0827894923374529E-2</v>
      </c>
      <c r="P162" s="169">
        <f>(INDEX(Models!$BJ162:$BT162,,T162)*(1-R162)+INDEX(Models!$BJ162:$BT162,,T162+1)*R162-ERP_i)*Q162*Ramure*Pc/MaxiM</f>
        <v>1.0121611046470345E-4</v>
      </c>
      <c r="Q162" s="304">
        <f t="shared" si="53"/>
        <v>0.6</v>
      </c>
      <c r="R162" s="177">
        <f t="shared" si="54"/>
        <v>0.18349805943300784</v>
      </c>
      <c r="S162" s="799">
        <f t="shared" si="55"/>
        <v>0</v>
      </c>
      <c r="T162" s="176">
        <f t="shared" si="56"/>
        <v>6</v>
      </c>
      <c r="U162" s="250">
        <f t="shared" si="57"/>
        <v>0.18349805943300784</v>
      </c>
      <c r="V162" s="382">
        <f t="shared" si="58"/>
        <v>61.881575243983058</v>
      </c>
      <c r="W162" s="400">
        <f t="shared" si="59"/>
        <v>0</v>
      </c>
      <c r="X162" s="157">
        <f t="shared" si="60"/>
        <v>44709</v>
      </c>
      <c r="Y162" s="383">
        <f t="shared" si="61"/>
        <v>53.48282485980323</v>
      </c>
      <c r="Z162" s="383">
        <f t="shared" si="62"/>
        <v>54.756448198071872</v>
      </c>
      <c r="AA162" s="384">
        <f t="shared" si="63"/>
        <v>59.965999216654247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8.6875080656298578E-2</v>
      </c>
      <c r="AD162" s="230">
        <f>(INDEX(Models!$BJ162:$BT162,,AH162)*(1-AF162)+INDEX(Models!$BJ162:$BT162,,AH162+1)*AF162-ERP_i)*AE162*Ramure*Pc/MaxiM</f>
        <v>1.0121611046470345E-4</v>
      </c>
      <c r="AE162" s="304">
        <f t="shared" si="65"/>
        <v>0.6</v>
      </c>
      <c r="AF162" s="177">
        <f t="shared" si="66"/>
        <v>0.18349805943300784</v>
      </c>
      <c r="AG162" s="799">
        <f t="shared" si="74"/>
        <v>0</v>
      </c>
      <c r="AH162" s="176">
        <f t="shared" si="67"/>
        <v>6</v>
      </c>
      <c r="AI162" s="224">
        <f t="shared" si="68"/>
        <v>0.18349805943300784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44710</v>
      </c>
      <c r="B163" s="1153">
        <v>62.643999999999998</v>
      </c>
      <c r="C163" s="388"/>
      <c r="D163" s="391">
        <f t="shared" si="50"/>
        <v>64.137013881781982</v>
      </c>
      <c r="E163" s="383">
        <f t="shared" si="72"/>
        <v>64.845998564032485</v>
      </c>
      <c r="F163" s="383">
        <f t="shared" si="51"/>
        <v>64.852505396426309</v>
      </c>
      <c r="G163" s="110">
        <f t="shared" si="73"/>
        <v>1.0125472202397048</v>
      </c>
      <c r="H163" s="412" t="b">
        <f>Wh_hp&gt;='2021'!Maxi_hp</f>
        <v>1</v>
      </c>
      <c r="I163" s="379">
        <f>IF(H163,Wh_hp,'2021'!Maxi_hp)</f>
        <v>64.852505396426309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2.3278506301118496E-2</v>
      </c>
      <c r="M163" s="832"/>
      <c r="N163" s="832"/>
      <c r="O163" s="48">
        <f>IF(t&lt;Tnet,'2021'!Resal+('2021'!Salim-'2021'!Resal)*(1-EXP(('2021'!Tnet-t)/('2021'!Tau_j))),Resal+(Salim-Resal)*(1-EXP((Tnet-t)/(Tau_j))))*Salcycl</f>
        <v>1.0933360545761578E-2</v>
      </c>
      <c r="P163" s="169">
        <f>(INDEX(Models!$BJ163:$BT163,,T163)*(1-R163)+INDEX(Models!$BJ163:$BT163,,T163+1)*R163-ERP_i)*Q163*Ramure*Pc/MaxiM</f>
        <v>1.0033278366122462E-4</v>
      </c>
      <c r="Q163" s="304">
        <f t="shared" si="53"/>
        <v>0.6</v>
      </c>
      <c r="R163" s="177">
        <f t="shared" si="54"/>
        <v>0.18831867426422982</v>
      </c>
      <c r="S163" s="799">
        <f t="shared" si="55"/>
        <v>0</v>
      </c>
      <c r="T163" s="176">
        <f t="shared" si="56"/>
        <v>6</v>
      </c>
      <c r="U163" s="250">
        <f t="shared" si="57"/>
        <v>0.18831867426422982</v>
      </c>
      <c r="V163" s="382">
        <f t="shared" si="58"/>
        <v>61.867731941597754</v>
      </c>
      <c r="W163" s="400">
        <f t="shared" si="59"/>
        <v>0</v>
      </c>
      <c r="X163" s="157">
        <f t="shared" si="60"/>
        <v>44710</v>
      </c>
      <c r="Y163" s="383">
        <f t="shared" si="61"/>
        <v>57.830703768005499</v>
      </c>
      <c r="Z163" s="383">
        <f t="shared" si="62"/>
        <v>59.209000867789264</v>
      </c>
      <c r="AA163" s="384">
        <f t="shared" si="63"/>
        <v>64.845998564032485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8.6928998258496079E-2</v>
      </c>
      <c r="AD163" s="230">
        <f>(INDEX(Models!$BJ163:$BT163,,AH163)*(1-AF163)+INDEX(Models!$BJ163:$BT163,,AH163+1)*AF163-ERP_i)*AE163*Ramure*Pc/MaxiM</f>
        <v>1.0033278366122462E-4</v>
      </c>
      <c r="AE163" s="304">
        <f t="shared" si="65"/>
        <v>0.6</v>
      </c>
      <c r="AF163" s="177">
        <f t="shared" si="66"/>
        <v>0.18831867426422982</v>
      </c>
      <c r="AG163" s="799">
        <f t="shared" si="74"/>
        <v>0</v>
      </c>
      <c r="AH163" s="176">
        <f t="shared" si="67"/>
        <v>6</v>
      </c>
      <c r="AI163" s="224">
        <f t="shared" si="68"/>
        <v>0.18831867426422982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44711</v>
      </c>
      <c r="B164" s="1153">
        <v>53.152999999999999</v>
      </c>
      <c r="C164" s="388"/>
      <c r="D164" s="391">
        <f t="shared" si="50"/>
        <v>54.420854898304142</v>
      </c>
      <c r="E164" s="383">
        <f t="shared" si="72"/>
        <v>55.028300588195336</v>
      </c>
      <c r="F164" s="383">
        <f t="shared" si="51"/>
        <v>55.032674505504929</v>
      </c>
      <c r="G164" s="110">
        <f t="shared" si="73"/>
        <v>0.85938408039805991</v>
      </c>
      <c r="H164" s="412" t="b">
        <f>Wh_hp&gt;='2021'!Maxi_hp</f>
        <v>0</v>
      </c>
      <c r="I164" s="379">
        <f>IF(H164,Wh_hp,'2021'!Maxi_hp)</f>
        <v>59.25879141798292</v>
      </c>
      <c r="J164" s="85">
        <f>IF(H164,An,'2021'!An_max)</f>
        <v>2020</v>
      </c>
      <c r="K164" s="197">
        <f t="shared" si="52"/>
        <v>44711</v>
      </c>
      <c r="L164" s="147">
        <f>IF(t&lt;Tvie,1-EXP((T0-t)*PertePVj)+'2021'!Pspv,1-EXP((T0-t)*PertePVj)+Pspv)</f>
        <v>2.3297224945719286E-2</v>
      </c>
      <c r="M164" s="832"/>
      <c r="N164" s="832"/>
      <c r="O164" s="48">
        <f>IF(t&lt;Tnet,'2021'!Resal+('2021'!Salim-'2021'!Resal)*(1-EXP(('2021'!Tnet-t)/('2021'!Tau_j))),Resal+(Salim-Resal)*(1-EXP((Tnet-t)/(Tau_j))))*Salcycl</f>
        <v>1.1038787013195649E-2</v>
      </c>
      <c r="P164" s="169">
        <f>(INDEX(Models!$BJ164:$BT164,,T164)*(1-R164)+INDEX(Models!$BJ164:$BT164,,T164+1)*R164-ERP_i)*Q164*Ramure*Pc/MaxiM</f>
        <v>9.9454527196029331E-5</v>
      </c>
      <c r="Q164" s="304">
        <f t="shared" si="53"/>
        <v>0.6</v>
      </c>
      <c r="R164" s="177">
        <f t="shared" si="54"/>
        <v>0.19318740320431738</v>
      </c>
      <c r="S164" s="799">
        <f t="shared" si="55"/>
        <v>0</v>
      </c>
      <c r="T164" s="176">
        <f t="shared" si="56"/>
        <v>6</v>
      </c>
      <c r="U164" s="250">
        <f t="shared" si="57"/>
        <v>0.19318740320431738</v>
      </c>
      <c r="V164" s="382">
        <f t="shared" si="58"/>
        <v>61.848874496257174</v>
      </c>
      <c r="W164" s="400">
        <f t="shared" si="59"/>
        <v>0</v>
      </c>
      <c r="X164" s="157">
        <f t="shared" si="60"/>
        <v>44711</v>
      </c>
      <c r="Y164" s="383">
        <f t="shared" si="61"/>
        <v>49.071301667406658</v>
      </c>
      <c r="Z164" s="383">
        <f t="shared" si="62"/>
        <v>50.241796092654184</v>
      </c>
      <c r="AA164" s="384">
        <f t="shared" si="63"/>
        <v>55.028300588195336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8.6982597034224063E-2</v>
      </c>
      <c r="AD164" s="230">
        <f>(INDEX(Models!$BJ164:$BT164,,AH164)*(1-AF164)+INDEX(Models!$BJ164:$BT164,,AH164+1)*AF164-ERP_i)*AE164*Ramure*Pc/MaxiM</f>
        <v>9.9454527196029331E-5</v>
      </c>
      <c r="AE164" s="304">
        <f t="shared" si="65"/>
        <v>0.6</v>
      </c>
      <c r="AF164" s="177">
        <f t="shared" si="66"/>
        <v>0.19318740320431738</v>
      </c>
      <c r="AG164" s="799">
        <f t="shared" si="74"/>
        <v>0</v>
      </c>
      <c r="AH164" s="176">
        <f t="shared" si="67"/>
        <v>6</v>
      </c>
      <c r="AI164" s="224">
        <f t="shared" si="68"/>
        <v>0.19318740320431738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44712</v>
      </c>
      <c r="B165" s="1153">
        <v>57.620000000000005</v>
      </c>
      <c r="C165" s="388"/>
      <c r="D165" s="391">
        <f t="shared" si="50"/>
        <v>58.995536581859326</v>
      </c>
      <c r="E165" s="383">
        <f t="shared" si="72"/>
        <v>59.660401863569184</v>
      </c>
      <c r="F165" s="383">
        <f t="shared" si="51"/>
        <v>59.66571360100064</v>
      </c>
      <c r="G165" s="110">
        <f t="shared" si="73"/>
        <v>0.93197006168123253</v>
      </c>
      <c r="H165" s="412" t="b">
        <f>Wh_hp&gt;='2021'!Maxi_hp</f>
        <v>0</v>
      </c>
      <c r="I165" s="379">
        <f>IF(H165,Wh_hp,'2021'!Maxi_hp)</f>
        <v>62.682352866116169</v>
      </c>
      <c r="J165" s="85">
        <f>IF(H165,An,'2021'!An_max)</f>
        <v>2018</v>
      </c>
      <c r="K165" s="197">
        <f t="shared" si="52"/>
        <v>44712</v>
      </c>
      <c r="L165" s="147">
        <f>IF(t&lt;Tvie,1-EXP((T0-t)*PertePVj)+'2021'!Pspv,1-EXP((T0-t)*PertePVj)+Pspv)</f>
        <v>2.3315943231581482E-2</v>
      </c>
      <c r="M165" s="832"/>
      <c r="N165" s="832"/>
      <c r="O165" s="48">
        <f>IF(t&lt;Tnet,'2021'!Resal+('2021'!Salim-'2021'!Resal)*(1-EXP(('2021'!Tnet-t)/('2021'!Tau_j))),Resal+(Salim-Resal)*(1-EXP((Tnet-t)/(Tau_j))))*Salcycl</f>
        <v>1.1144163648616846E-2</v>
      </c>
      <c r="P165" s="169">
        <f>(INDEX(Models!$BJ165:$BT165,,T165)*(1-R165)+INDEX(Models!$BJ165:$BT165,,T165+1)*R165-ERP_i)*Q165*Ramure*Pc/MaxiM</f>
        <v>9.8606866359277623E-5</v>
      </c>
      <c r="Q165" s="304">
        <f t="shared" si="53"/>
        <v>0.6</v>
      </c>
      <c r="R165" s="177">
        <f t="shared" si="54"/>
        <v>0.19810079975394404</v>
      </c>
      <c r="S165" s="799">
        <f t="shared" si="55"/>
        <v>0</v>
      </c>
      <c r="T165" s="176">
        <f t="shared" si="56"/>
        <v>6</v>
      </c>
      <c r="U165" s="250">
        <f t="shared" si="57"/>
        <v>0.19810079975394404</v>
      </c>
      <c r="V165" s="382">
        <f t="shared" si="58"/>
        <v>61.825427886742403</v>
      </c>
      <c r="W165" s="400">
        <f t="shared" si="59"/>
        <v>0</v>
      </c>
      <c r="X165" s="157">
        <f t="shared" si="60"/>
        <v>44712</v>
      </c>
      <c r="Y165" s="383">
        <f t="shared" si="61"/>
        <v>53.197842505208712</v>
      </c>
      <c r="Z165" s="383">
        <f t="shared" si="62"/>
        <v>54.467810891913075</v>
      </c>
      <c r="AA165" s="384">
        <f t="shared" si="63"/>
        <v>59.660401863569184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8.7035802801504303E-2</v>
      </c>
      <c r="AD165" s="230">
        <f>(INDEX(Models!$BJ165:$BT165,,AH165)*(1-AF165)+INDEX(Models!$BJ165:$BT165,,AH165+1)*AF165-ERP_i)*AE165*Ramure*Pc/MaxiM</f>
        <v>9.8606866359277623E-5</v>
      </c>
      <c r="AE165" s="304">
        <f t="shared" si="65"/>
        <v>0.6</v>
      </c>
      <c r="AF165" s="177">
        <f t="shared" si="66"/>
        <v>0.19810079975394404</v>
      </c>
      <c r="AG165" s="799">
        <f t="shared" si="74"/>
        <v>0</v>
      </c>
      <c r="AH165" s="176">
        <f t="shared" si="67"/>
        <v>6</v>
      </c>
      <c r="AI165" s="224">
        <f t="shared" si="68"/>
        <v>0.19810079975394404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44713</v>
      </c>
      <c r="B166" s="1153">
        <v>58.713999999999999</v>
      </c>
      <c r="C166" s="388"/>
      <c r="D166" s="391">
        <f t="shared" si="50"/>
        <v>60.116805281180618</v>
      </c>
      <c r="E166" s="383">
        <f t="shared" si="72"/>
        <v>60.80078243713001</v>
      </c>
      <c r="F166" s="383">
        <f t="shared" si="51"/>
        <v>60.806304796826126</v>
      </c>
      <c r="G166" s="110">
        <f t="shared" si="73"/>
        <v>0.95009163952000375</v>
      </c>
      <c r="H166" s="412" t="b">
        <f>Wh_hp&gt;='2021'!Maxi_hp</f>
        <v>0</v>
      </c>
      <c r="I166" s="379">
        <f>IF(H166,Wh_hp,'2021'!Maxi_hp)</f>
        <v>63.124729427681508</v>
      </c>
      <c r="J166" s="85">
        <f>IF(H166,An,'2021'!An_max)</f>
        <v>2018</v>
      </c>
      <c r="K166" s="197">
        <f t="shared" si="52"/>
        <v>44713</v>
      </c>
      <c r="L166" s="147">
        <f>IF(t&lt;Tvie,1-EXP((T0-t)*PertePVj)+'2021'!Pspv,1-EXP((T0-t)*PertePVj)+Pspv)</f>
        <v>2.3334661158711967E-2</v>
      </c>
      <c r="M166" s="832"/>
      <c r="N166" s="832"/>
      <c r="O166" s="48">
        <f>IF(t&lt;Tnet,'2021'!Resal+('2021'!Salim-'2021'!Resal)*(1-EXP(('2021'!Tnet-t)/('2021'!Tau_j))),Resal+(Salim-Resal)*(1-EXP((Tnet-t)/(Tau_j))))*Salcycl</f>
        <v>1.1249479505574488E-2</v>
      </c>
      <c r="P166" s="169">
        <f>(INDEX(Models!$BJ166:$BT166,,T166)*(1-R166)+INDEX(Models!$BJ166:$BT166,,T166+1)*R166-ERP_i)*Q166*Ramure*Pc/MaxiM</f>
        <v>9.7790150087842678E-5</v>
      </c>
      <c r="Q166" s="304">
        <f t="shared" si="53"/>
        <v>0.6</v>
      </c>
      <c r="R166" s="177">
        <f t="shared" si="54"/>
        <v>0.20305527783102639</v>
      </c>
      <c r="S166" s="799">
        <f t="shared" si="55"/>
        <v>0</v>
      </c>
      <c r="T166" s="176">
        <f t="shared" si="56"/>
        <v>6</v>
      </c>
      <c r="U166" s="250">
        <f t="shared" si="57"/>
        <v>0.20305527783102639</v>
      </c>
      <c r="V166" s="382">
        <f t="shared" si="58"/>
        <v>61.797818451027844</v>
      </c>
      <c r="W166" s="400">
        <f t="shared" si="59"/>
        <v>0</v>
      </c>
      <c r="X166" s="157">
        <f t="shared" si="60"/>
        <v>44713</v>
      </c>
      <c r="Y166" s="383">
        <f t="shared" si="61"/>
        <v>54.210523526020609</v>
      </c>
      <c r="Z166" s="383">
        <f t="shared" si="62"/>
        <v>55.50573095010801</v>
      </c>
      <c r="AA166" s="384">
        <f t="shared" si="63"/>
        <v>60.80078243713001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8.7088541870283601E-2</v>
      </c>
      <c r="AD166" s="230">
        <f>(INDEX(Models!$BJ166:$BT166,,AH166)*(1-AF166)+INDEX(Models!$BJ166:$BT166,,AH166+1)*AF166-ERP_i)*AE166*Ramure*Pc/MaxiM</f>
        <v>9.7790150087842678E-5</v>
      </c>
      <c r="AE166" s="304">
        <f t="shared" si="65"/>
        <v>0.6</v>
      </c>
      <c r="AF166" s="177">
        <f t="shared" si="66"/>
        <v>0.20305527783102639</v>
      </c>
      <c r="AG166" s="799">
        <f t="shared" si="74"/>
        <v>0</v>
      </c>
      <c r="AH166" s="176">
        <f t="shared" si="67"/>
        <v>6</v>
      </c>
      <c r="AI166" s="224">
        <f t="shared" si="68"/>
        <v>0.20305527783102639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44714</v>
      </c>
      <c r="B167" s="1153">
        <v>46.826999999999998</v>
      </c>
      <c r="C167" s="388"/>
      <c r="D167" s="391">
        <f t="shared" si="50"/>
        <v>47.946717860928523</v>
      </c>
      <c r="E167" s="383">
        <f t="shared" si="72"/>
        <v>48.497392336913123</v>
      </c>
      <c r="F167" s="383">
        <f t="shared" si="51"/>
        <v>48.500471479773715</v>
      </c>
      <c r="G167" s="110">
        <f t="shared" si="73"/>
        <v>0.75810433385036713</v>
      </c>
      <c r="H167" s="412" t="b">
        <f>Wh_hp&gt;='2021'!Maxi_hp</f>
        <v>0</v>
      </c>
      <c r="I167" s="379">
        <f>IF(H167,Wh_hp,'2021'!Maxi_hp)</f>
        <v>62.353294055215706</v>
      </c>
      <c r="J167" s="85">
        <f>IF(H167,An,'2021'!An_max)</f>
        <v>2018</v>
      </c>
      <c r="K167" s="197">
        <f t="shared" si="52"/>
        <v>44714</v>
      </c>
      <c r="L167" s="147">
        <f>IF(t&lt;Tvie,1-EXP((T0-t)*PertePVj)+'2021'!Pspv,1-EXP((T0-t)*PertePVj)+Pspv)</f>
        <v>2.3353378727117735E-2</v>
      </c>
      <c r="M167" s="832"/>
      <c r="N167" s="832"/>
      <c r="O167" s="48">
        <f>IF(t&lt;Tnet,'2021'!Resal+('2021'!Salim-'2021'!Resal)*(1-EXP(('2021'!Tnet-t)/('2021'!Tau_j))),Resal+(Salim-Resal)*(1-EXP((Tnet-t)/(Tau_j))))*Salcycl</f>
        <v>1.135472340778752E-2</v>
      </c>
      <c r="P167" s="169">
        <f>(INDEX(Models!$BJ167:$BT167,,T167)*(1-R167)+INDEX(Models!$BJ167:$BT167,,T167+1)*R167-ERP_i)*Q167*Ramure*Pc/MaxiM</f>
        <v>9.7004845219062852E-5</v>
      </c>
      <c r="Q167" s="304">
        <f t="shared" si="53"/>
        <v>0.6</v>
      </c>
      <c r="R167" s="177">
        <f t="shared" si="54"/>
        <v>0.20804712124543895</v>
      </c>
      <c r="S167" s="799">
        <f t="shared" si="55"/>
        <v>0</v>
      </c>
      <c r="T167" s="176">
        <f t="shared" si="56"/>
        <v>6</v>
      </c>
      <c r="U167" s="250">
        <f t="shared" si="57"/>
        <v>0.20804712124543895</v>
      </c>
      <c r="V167" s="382">
        <f t="shared" si="58"/>
        <v>61.766472321878098</v>
      </c>
      <c r="W167" s="400">
        <f t="shared" si="59"/>
        <v>0</v>
      </c>
      <c r="X167" s="157">
        <f t="shared" si="60"/>
        <v>44714</v>
      </c>
      <c r="Y167" s="383">
        <f t="shared" si="61"/>
        <v>43.237409330170067</v>
      </c>
      <c r="Z167" s="383">
        <f t="shared" si="62"/>
        <v>44.271293616741254</v>
      </c>
      <c r="AA167" s="384">
        <f t="shared" si="63"/>
        <v>48.497392336913123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8.7140741316832276E-2</v>
      </c>
      <c r="AD167" s="230">
        <f>(INDEX(Models!$BJ167:$BT167,,AH167)*(1-AF167)+INDEX(Models!$BJ167:$BT167,,AH167+1)*AF167-ERP_i)*AE167*Ramure*Pc/MaxiM</f>
        <v>9.7004845219062852E-5</v>
      </c>
      <c r="AE167" s="304">
        <f t="shared" si="65"/>
        <v>0.6</v>
      </c>
      <c r="AF167" s="177">
        <f t="shared" si="66"/>
        <v>0.20804712124543895</v>
      </c>
      <c r="AG167" s="799">
        <f t="shared" si="74"/>
        <v>0</v>
      </c>
      <c r="AH167" s="176">
        <f t="shared" si="67"/>
        <v>6</v>
      </c>
      <c r="AI167" s="224">
        <f t="shared" si="68"/>
        <v>0.20804712124543895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44715</v>
      </c>
      <c r="B168" s="1153">
        <v>57.276000000000003</v>
      </c>
      <c r="C168" s="388"/>
      <c r="D168" s="391">
        <f t="shared" si="50"/>
        <v>58.646696210201526</v>
      </c>
      <c r="E168" s="383">
        <f t="shared" si="72"/>
        <v>59.326571841068969</v>
      </c>
      <c r="F168" s="383">
        <f t="shared" si="51"/>
        <v>59.33169374417173</v>
      </c>
      <c r="G168" s="110">
        <f t="shared" si="73"/>
        <v>0.92781058028622165</v>
      </c>
      <c r="H168" s="412" t="b">
        <f>Wh_hp&gt;='2021'!Maxi_hp</f>
        <v>1</v>
      </c>
      <c r="I168" s="379">
        <f>IF(H168,Wh_hp,'2021'!Maxi_hp)</f>
        <v>59.33169374417173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2.3372095936805559E-2</v>
      </c>
      <c r="M168" s="832"/>
      <c r="N168" s="832"/>
      <c r="O168" s="48">
        <f>IF(t&lt;Tnet,'2021'!Resal+('2021'!Salim-'2021'!Resal)*(1-EXP(('2021'!Tnet-t)/('2021'!Tau_j))),Resal+(Salim-Resal)*(1-EXP((Tnet-t)/(Tau_j))))*Salcycl</f>
        <v>1.1459883990748302E-2</v>
      </c>
      <c r="P168" s="169">
        <f>(INDEX(Models!$BJ168:$BT168,,T168)*(1-R168)+INDEX(Models!$BJ168:$BT168,,T168+1)*R168-ERP_i)*Q168*Ramure*Pc/MaxiM</f>
        <v>9.6251532002347026E-5</v>
      </c>
      <c r="Q168" s="304">
        <f t="shared" si="53"/>
        <v>0.6</v>
      </c>
      <c r="R168" s="177">
        <f t="shared" si="54"/>
        <v>0.21307249402771086</v>
      </c>
      <c r="S168" s="799">
        <f t="shared" si="55"/>
        <v>0</v>
      </c>
      <c r="T168" s="176">
        <f t="shared" si="56"/>
        <v>6</v>
      </c>
      <c r="U168" s="250">
        <f t="shared" si="57"/>
        <v>0.21307249402771086</v>
      </c>
      <c r="V168" s="382">
        <f t="shared" si="58"/>
        <v>61.731815423540205</v>
      </c>
      <c r="W168" s="400">
        <f t="shared" si="59"/>
        <v>0</v>
      </c>
      <c r="X168" s="157">
        <f t="shared" si="60"/>
        <v>44715</v>
      </c>
      <c r="Y168" s="383">
        <f t="shared" si="61"/>
        <v>52.888063218301816</v>
      </c>
      <c r="Z168" s="383">
        <f t="shared" si="62"/>
        <v>54.153749855256642</v>
      </c>
      <c r="AA168" s="384">
        <f t="shared" si="63"/>
        <v>59.326571841068969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8.7192329259642654E-2</v>
      </c>
      <c r="AD168" s="230">
        <f>(INDEX(Models!$BJ168:$BT168,,AH168)*(1-AF168)+INDEX(Models!$BJ168:$BT168,,AH168+1)*AF168-ERP_i)*AE168*Ramure*Pc/MaxiM</f>
        <v>9.6251532002347026E-5</v>
      </c>
      <c r="AE168" s="304">
        <f t="shared" si="65"/>
        <v>0.6</v>
      </c>
      <c r="AF168" s="177">
        <f t="shared" si="66"/>
        <v>0.21307249402771086</v>
      </c>
      <c r="AG168" s="799">
        <f t="shared" si="74"/>
        <v>0</v>
      </c>
      <c r="AH168" s="176">
        <f t="shared" si="67"/>
        <v>6</v>
      </c>
      <c r="AI168" s="224">
        <f t="shared" si="68"/>
        <v>0.21307249402771086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44716</v>
      </c>
      <c r="B169" s="1153">
        <v>27.305</v>
      </c>
      <c r="C169" s="388"/>
      <c r="D169" s="391">
        <f t="shared" si="50"/>
        <v>27.958983345163443</v>
      </c>
      <c r="E169" s="383">
        <f t="shared" si="72"/>
        <v>28.286110794993</v>
      </c>
      <c r="F169" s="383">
        <f t="shared" si="51"/>
        <v>28.286661226554806</v>
      </c>
      <c r="G169" s="110">
        <f t="shared" si="73"/>
        <v>0.44255197903334037</v>
      </c>
      <c r="H169" s="412" t="b">
        <f>Wh_hp&gt;='2021'!Maxi_hp</f>
        <v>0</v>
      </c>
      <c r="I169" s="379">
        <f>IF(H169,Wh_hp,'2021'!Maxi_hp)</f>
        <v>57.206955445857666</v>
      </c>
      <c r="J169" s="85">
        <f>IF(H169,An,'2021'!An_max)</f>
        <v>2018</v>
      </c>
      <c r="K169" s="197">
        <f t="shared" si="52"/>
        <v>44716</v>
      </c>
      <c r="L169" s="147">
        <f>IF(t&lt;Tvie,1-EXP((T0-t)*PertePVj)+'2021'!Pspv,1-EXP((T0-t)*PertePVj)+Pspv)</f>
        <v>2.3390812787782322E-2</v>
      </c>
      <c r="M169" s="832"/>
      <c r="N169" s="832"/>
      <c r="O169" s="48">
        <f>IF(t&lt;Tnet,'2021'!Resal+('2021'!Salim-'2021'!Resal)*(1-EXP(('2021'!Tnet-t)/('2021'!Tau_j))),Resal+(Salim-Resal)*(1-EXP((Tnet-t)/(Tau_j))))*Salcycl</f>
        <v>1.1564949745139967E-2</v>
      </c>
      <c r="P169" s="169">
        <f>(INDEX(Models!$BJ169:$BT169,,T169)*(1-R169)+INDEX(Models!$BJ169:$BT169,,T169+1)*R169-ERP_i)*Q169*Ramure*Pc/MaxiM</f>
        <v>9.5530899191025582E-5</v>
      </c>
      <c r="Q169" s="304">
        <f t="shared" si="53"/>
        <v>0.6</v>
      </c>
      <c r="R169" s="177">
        <f t="shared" si="54"/>
        <v>0.21812745155737065</v>
      </c>
      <c r="S169" s="799">
        <f t="shared" si="55"/>
        <v>0</v>
      </c>
      <c r="T169" s="176">
        <f t="shared" si="56"/>
        <v>6</v>
      </c>
      <c r="U169" s="250">
        <f t="shared" si="57"/>
        <v>0.21812745155737065</v>
      </c>
      <c r="V169" s="382">
        <f t="shared" si="58"/>
        <v>61.694273466772529</v>
      </c>
      <c r="W169" s="400">
        <f t="shared" si="59"/>
        <v>0</v>
      </c>
      <c r="X169" s="157">
        <f t="shared" si="60"/>
        <v>44716</v>
      </c>
      <c r="Y169" s="383">
        <f t="shared" si="61"/>
        <v>25.214427046279802</v>
      </c>
      <c r="Z169" s="383">
        <f t="shared" si="62"/>
        <v>25.818338979848953</v>
      </c>
      <c r="AA169" s="384">
        <f t="shared" si="63"/>
        <v>28.286110794993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8.7243235135064059E-2</v>
      </c>
      <c r="AD169" s="230">
        <f>(INDEX(Models!$BJ169:$BT169,,AH169)*(1-AF169)+INDEX(Models!$BJ169:$BT169,,AH169+1)*AF169-ERP_i)*AE169*Ramure*Pc/MaxiM</f>
        <v>9.5530899191025582E-5</v>
      </c>
      <c r="AE169" s="304">
        <f t="shared" si="65"/>
        <v>0.6</v>
      </c>
      <c r="AF169" s="177">
        <f t="shared" si="66"/>
        <v>0.21812745155737065</v>
      </c>
      <c r="AG169" s="799">
        <f t="shared" si="74"/>
        <v>0</v>
      </c>
      <c r="AH169" s="176">
        <f t="shared" si="67"/>
        <v>6</v>
      </c>
      <c r="AI169" s="224">
        <f t="shared" si="68"/>
        <v>0.21812745155737065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44717</v>
      </c>
      <c r="B170" s="1153">
        <v>37.625</v>
      </c>
      <c r="C170" s="388"/>
      <c r="D170" s="391">
        <f t="shared" si="50"/>
        <v>38.52689651196652</v>
      </c>
      <c r="E170" s="383">
        <f t="shared" ref="E170:E232" si="75">Wh_pvt/(1-Psa)</f>
        <v>38.981810697875666</v>
      </c>
      <c r="F170" s="383">
        <f t="shared" si="51"/>
        <v>38.983450651625638</v>
      </c>
      <c r="G170" s="110">
        <f t="shared" ref="G170:G232" si="76">+Wh_hp/MaxiM</f>
        <v>0.61022558594031096</v>
      </c>
      <c r="H170" s="412" t="b">
        <f>Wh_hp&gt;='2021'!Maxi_hp</f>
        <v>0</v>
      </c>
      <c r="I170" s="379">
        <f>IF(H170,Wh_hp,'2021'!Maxi_hp)</f>
        <v>45.501902889660293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2.3409529280054797E-2</v>
      </c>
      <c r="M170" s="832"/>
      <c r="N170" s="832"/>
      <c r="O170" s="48">
        <f>IF(t&lt;Tnet,'2021'!Resal+('2021'!Salim-'2021'!Resal)*(1-EXP(('2021'!Tnet-t)/('2021'!Tau_j))),Resal+(Salim-Resal)*(1-EXP((Tnet-t)/(Tau_j))))*Salcycl</f>
        <v>1.1669909061816293E-2</v>
      </c>
      <c r="P170" s="169">
        <f>(INDEX(Models!$BJ170:$BT170,,T170)*(1-R170)+INDEX(Models!$BJ170:$BT170,,T170+1)*R170-ERP_i)*Q170*Ramure*Pc/MaxiM</f>
        <v>9.4913196980545906E-5</v>
      </c>
      <c r="Q170" s="304">
        <f t="shared" si="53"/>
        <v>0.6</v>
      </c>
      <c r="R170" s="177">
        <f t="shared" si="54"/>
        <v>0.2232079524276426</v>
      </c>
      <c r="S170" s="799">
        <f t="shared" si="55"/>
        <v>0</v>
      </c>
      <c r="T170" s="176">
        <f t="shared" si="56"/>
        <v>6</v>
      </c>
      <c r="U170" s="250">
        <f t="shared" si="57"/>
        <v>0.2232079524276426</v>
      </c>
      <c r="V170" s="382">
        <f t="shared" si="58"/>
        <v>61.654267668671352</v>
      </c>
      <c r="W170" s="400">
        <f t="shared" si="59"/>
        <v>0</v>
      </c>
      <c r="X170" s="157">
        <f t="shared" si="60"/>
        <v>44717</v>
      </c>
      <c r="Y170" s="383">
        <f t="shared" si="61"/>
        <v>34.746069675717109</v>
      </c>
      <c r="Z170" s="383">
        <f t="shared" si="62"/>
        <v>35.578956294855317</v>
      </c>
      <c r="AA170" s="384">
        <f t="shared" si="63"/>
        <v>38.981810697875666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8.7293389970871438E-2</v>
      </c>
      <c r="AD170" s="230">
        <f>(INDEX(Models!$BJ170:$BT170,,AH170)*(1-AF170)+INDEX(Models!$BJ170:$BT170,,AH170+1)*AF170-ERP_i)*AE170*Ramure*Pc/MaxiM</f>
        <v>9.4913196980545906E-5</v>
      </c>
      <c r="AE170" s="304">
        <f t="shared" si="65"/>
        <v>0.6</v>
      </c>
      <c r="AF170" s="177">
        <f t="shared" si="66"/>
        <v>0.2232079524276426</v>
      </c>
      <c r="AG170" s="799">
        <f t="shared" si="74"/>
        <v>0</v>
      </c>
      <c r="AH170" s="176">
        <f t="shared" si="67"/>
        <v>6</v>
      </c>
      <c r="AI170" s="224">
        <f t="shared" si="68"/>
        <v>0.2232079524276426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44718</v>
      </c>
      <c r="B171" s="1153">
        <v>49.078000000000003</v>
      </c>
      <c r="C171" s="388"/>
      <c r="D171" s="391">
        <f t="shared" si="50"/>
        <v>50.255395744869915</v>
      </c>
      <c r="E171" s="383">
        <f t="shared" si="75"/>
        <v>50.854191146209963</v>
      </c>
      <c r="F171" s="383">
        <f t="shared" si="51"/>
        <v>50.857594583964257</v>
      </c>
      <c r="G171" s="110">
        <f t="shared" si="76"/>
        <v>0.79654082717231756</v>
      </c>
      <c r="H171" s="412" t="b">
        <f>Wh_hp&gt;='2021'!Maxi_hp</f>
        <v>0</v>
      </c>
      <c r="I171" s="379">
        <f>IF(H171,Wh_hp,'2021'!Maxi_hp)</f>
        <v>58.87079114151684</v>
      </c>
      <c r="J171" s="85">
        <f>IF(H171,An,'2021'!An_max)</f>
        <v>2018</v>
      </c>
      <c r="K171" s="197">
        <f t="shared" si="52"/>
        <v>44718</v>
      </c>
      <c r="L171" s="147">
        <f>IF(t&lt;Tvie,1-EXP((T0-t)*PertePVj)+'2021'!Pspv,1-EXP((T0-t)*PertePVj)+Pspv)</f>
        <v>2.3428245413630089E-2</v>
      </c>
      <c r="M171" s="832"/>
      <c r="N171" s="832"/>
      <c r="O171" s="48">
        <f>IF(t&lt;Tnet,'2021'!Resal+('2021'!Salim-'2021'!Resal)*(1-EXP(('2021'!Tnet-t)/('2021'!Tau_j))),Resal+(Salim-Resal)*(1-EXP((Tnet-t)/(Tau_j))))*Salcycl</f>
        <v>1.1774750278073749E-2</v>
      </c>
      <c r="P171" s="169">
        <f>(INDEX(Models!$BJ171:$BT171,,T171)*(1-R171)+INDEX(Models!$BJ171:$BT171,,T171+1)*R171-ERP_i)*Q171*Ramure*Pc/MaxiM</f>
        <v>9.4337849284098168E-5</v>
      </c>
      <c r="Q171" s="304">
        <f t="shared" si="53"/>
        <v>0.6</v>
      </c>
      <c r="R171" s="177">
        <f t="shared" si="54"/>
        <v>0.22830987097478256</v>
      </c>
      <c r="S171" s="799">
        <f t="shared" si="55"/>
        <v>0</v>
      </c>
      <c r="T171" s="176">
        <f t="shared" si="56"/>
        <v>6</v>
      </c>
      <c r="U171" s="250">
        <f t="shared" si="57"/>
        <v>0.22830987097478256</v>
      </c>
      <c r="V171" s="382">
        <f t="shared" si="58"/>
        <v>61.612227105573176</v>
      </c>
      <c r="W171" s="400">
        <f t="shared" si="59"/>
        <v>0</v>
      </c>
      <c r="X171" s="157">
        <f t="shared" si="60"/>
        <v>44718</v>
      </c>
      <c r="Y171" s="383">
        <f t="shared" si="61"/>
        <v>45.325085220989209</v>
      </c>
      <c r="Z171" s="383">
        <f t="shared" si="62"/>
        <v>46.412447429617494</v>
      </c>
      <c r="AA171" s="384">
        <f t="shared" si="63"/>
        <v>50.854191146209963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8.7342726655942574E-2</v>
      </c>
      <c r="AD171" s="230">
        <f>(INDEX(Models!$BJ171:$BT171,,AH171)*(1-AF171)+INDEX(Models!$BJ171:$BT171,,AH171+1)*AF171-ERP_i)*AE171*Ramure*Pc/MaxiM</f>
        <v>9.4337849284098168E-5</v>
      </c>
      <c r="AE171" s="304">
        <f t="shared" si="65"/>
        <v>0.6</v>
      </c>
      <c r="AF171" s="177">
        <f t="shared" si="66"/>
        <v>0.22830987097478256</v>
      </c>
      <c r="AG171" s="799">
        <f t="shared" si="74"/>
        <v>0</v>
      </c>
      <c r="AH171" s="176">
        <f t="shared" si="67"/>
        <v>6</v>
      </c>
      <c r="AI171" s="224">
        <f t="shared" si="68"/>
        <v>0.22830987097478256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44719</v>
      </c>
      <c r="B172" s="1153">
        <v>29.771000000000001</v>
      </c>
      <c r="C172" s="388"/>
      <c r="D172" s="391">
        <f t="shared" si="50"/>
        <v>30.485799354260195</v>
      </c>
      <c r="E172" s="383">
        <f t="shared" si="75"/>
        <v>30.852308168270852</v>
      </c>
      <c r="F172" s="383">
        <f t="shared" si="51"/>
        <v>30.853067036856515</v>
      </c>
      <c r="G172" s="110">
        <f t="shared" si="76"/>
        <v>0.48350865062176634</v>
      </c>
      <c r="H172" s="412" t="b">
        <f>Wh_hp&gt;='2021'!Maxi_hp</f>
        <v>0</v>
      </c>
      <c r="I172" s="379">
        <f>IF(H172,Wh_hp,'2021'!Maxi_hp)</f>
        <v>52.613805955532094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2.344696118851497E-2</v>
      </c>
      <c r="M172" s="832"/>
      <c r="N172" s="832"/>
      <c r="O172" s="48">
        <f>IF(t&lt;Tnet,'2021'!Resal+('2021'!Salim-'2021'!Resal)*(1-EXP(('2021'!Tnet-t)/('2021'!Tau_j))),Resal+(Salim-Resal)*(1-EXP((Tnet-t)/(Tau_j))))*Salcycl</f>
        <v>1.1879461724928082E-2</v>
      </c>
      <c r="P172" s="169">
        <f>(INDEX(Models!$BJ172:$BT172,,T172)*(1-R172)+INDEX(Models!$BJ172:$BT172,,T172+1)*R172-ERP_i)*Q172*Ramure*Pc/MaxiM</f>
        <v>9.3805982167946108E-5</v>
      </c>
      <c r="Q172" s="304">
        <f t="shared" si="53"/>
        <v>0.6</v>
      </c>
      <c r="R172" s="177">
        <f t="shared" si="54"/>
        <v>0.23342901039260855</v>
      </c>
      <c r="S172" s="799">
        <f t="shared" si="55"/>
        <v>0</v>
      </c>
      <c r="T172" s="176">
        <f t="shared" si="56"/>
        <v>6</v>
      </c>
      <c r="U172" s="250">
        <f t="shared" si="57"/>
        <v>0.23342901039260855</v>
      </c>
      <c r="V172" s="382">
        <f t="shared" si="58"/>
        <v>61.568576833068839</v>
      </c>
      <c r="W172" s="400">
        <f t="shared" si="59"/>
        <v>0</v>
      </c>
      <c r="X172" s="157">
        <f t="shared" si="60"/>
        <v>44719</v>
      </c>
      <c r="Y172" s="383">
        <f t="shared" si="61"/>
        <v>27.49591383007678</v>
      </c>
      <c r="Z172" s="383">
        <f t="shared" si="62"/>
        <v>28.156088545421674</v>
      </c>
      <c r="AA172" s="384">
        <f t="shared" si="63"/>
        <v>30.852308168270852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8.7391180204209953E-2</v>
      </c>
      <c r="AD172" s="230">
        <f>(INDEX(Models!$BJ172:$BT172,,AH172)*(1-AF172)+INDEX(Models!$BJ172:$BT172,,AH172+1)*AF172-ERP_i)*AE172*Ramure*Pc/MaxiM</f>
        <v>9.3805982167946108E-5</v>
      </c>
      <c r="AE172" s="304">
        <f t="shared" si="65"/>
        <v>0.6</v>
      </c>
      <c r="AF172" s="177">
        <f t="shared" si="66"/>
        <v>0.23342901039260855</v>
      </c>
      <c r="AG172" s="799">
        <f t="shared" si="74"/>
        <v>0</v>
      </c>
      <c r="AH172" s="176">
        <f t="shared" si="67"/>
        <v>6</v>
      </c>
      <c r="AI172" s="224">
        <f t="shared" si="68"/>
        <v>0.23342901039260855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44720</v>
      </c>
      <c r="B173" s="1153">
        <v>22.195</v>
      </c>
      <c r="C173" s="388"/>
      <c r="D173" s="391">
        <f t="shared" si="50"/>
        <v>22.728335777109042</v>
      </c>
      <c r="E173" s="383">
        <f t="shared" si="75"/>
        <v>23.004016643519744</v>
      </c>
      <c r="F173" s="383">
        <f t="shared" si="51"/>
        <v>23.004202964004804</v>
      </c>
      <c r="G173" s="110">
        <f t="shared" si="76"/>
        <v>0.36072429817814916</v>
      </c>
      <c r="H173" s="412" t="b">
        <f>Wh_hp&gt;='2021'!Maxi_hp</f>
        <v>0</v>
      </c>
      <c r="I173" s="379">
        <f>IF(H173,Wh_hp,'2021'!Maxi_hp)</f>
        <v>63.747853574878313</v>
      </c>
      <c r="J173" s="85">
        <f>IF(H173,An,'2021'!An_max)</f>
        <v>2018</v>
      </c>
      <c r="K173" s="197">
        <f t="shared" si="52"/>
        <v>44720</v>
      </c>
      <c r="L173" s="147">
        <f>IF(t&lt;Tvie,1-EXP((T0-t)*PertePVj)+'2021'!Pspv,1-EXP((T0-t)*PertePVj)+Pspv)</f>
        <v>2.3465676604716212E-2</v>
      </c>
      <c r="M173" s="832"/>
      <c r="N173" s="832"/>
      <c r="O173" s="48">
        <f>IF(t&lt;Tnet,'2021'!Resal+('2021'!Salim-'2021'!Resal)*(1-EXP(('2021'!Tnet-t)/('2021'!Tau_j))),Resal+(Salim-Resal)*(1-EXP((Tnet-t)/(Tau_j))))*Salcycl</f>
        <v>1.1984031775092649E-2</v>
      </c>
      <c r="P173" s="169">
        <f>(INDEX(Models!$BJ173:$BT173,,T173)*(1-R173)+INDEX(Models!$BJ173:$BT173,,T173+1)*R173-ERP_i)*Q173*Ramure*Pc/MaxiM</f>
        <v>9.3318797064209709E-5</v>
      </c>
      <c r="Q173" s="304">
        <f t="shared" si="53"/>
        <v>0.6</v>
      </c>
      <c r="R173" s="177">
        <f t="shared" si="54"/>
        <v>0.23856111634587504</v>
      </c>
      <c r="S173" s="799">
        <f t="shared" si="55"/>
        <v>0</v>
      </c>
      <c r="T173" s="176">
        <f t="shared" si="56"/>
        <v>6</v>
      </c>
      <c r="U173" s="250">
        <f t="shared" si="57"/>
        <v>0.23856111634587504</v>
      </c>
      <c r="V173" s="382">
        <f t="shared" si="58"/>
        <v>61.523741684395915</v>
      </c>
      <c r="W173" s="400">
        <f t="shared" si="59"/>
        <v>0</v>
      </c>
      <c r="X173" s="157">
        <f t="shared" si="60"/>
        <v>44720</v>
      </c>
      <c r="Y173" s="383">
        <f t="shared" si="61"/>
        <v>20.499970618879569</v>
      </c>
      <c r="Z173" s="383">
        <f t="shared" si="62"/>
        <v>20.992575609225714</v>
      </c>
      <c r="AA173" s="384">
        <f t="shared" si="63"/>
        <v>23.004016643519744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8.7438688011063387E-2</v>
      </c>
      <c r="AD173" s="230">
        <f>(INDEX(Models!$BJ173:$BT173,,AH173)*(1-AF173)+INDEX(Models!$BJ173:$BT173,,AH173+1)*AF173-ERP_i)*AE173*Ramure*Pc/MaxiM</f>
        <v>9.3318797064209709E-5</v>
      </c>
      <c r="AE173" s="304">
        <f t="shared" si="65"/>
        <v>0.6</v>
      </c>
      <c r="AF173" s="177">
        <f t="shared" si="66"/>
        <v>0.23856111634587504</v>
      </c>
      <c r="AG173" s="799">
        <f t="shared" si="74"/>
        <v>0</v>
      </c>
      <c r="AH173" s="176">
        <f t="shared" si="67"/>
        <v>6</v>
      </c>
      <c r="AI173" s="224">
        <f t="shared" si="68"/>
        <v>0.23856111634587504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44721</v>
      </c>
      <c r="B174" s="1153">
        <v>48.356000000000002</v>
      </c>
      <c r="C174" s="388"/>
      <c r="D174" s="391">
        <f t="shared" si="50"/>
        <v>49.518921753142664</v>
      </c>
      <c r="E174" s="383">
        <f t="shared" si="75"/>
        <v>50.124853482653783</v>
      </c>
      <c r="F174" s="383">
        <f t="shared" si="51"/>
        <v>50.128089618071009</v>
      </c>
      <c r="G174" s="110">
        <f t="shared" si="76"/>
        <v>0.78653364473817777</v>
      </c>
      <c r="H174" s="412" t="b">
        <f>Wh_hp&gt;='2021'!Maxi_hp</f>
        <v>0</v>
      </c>
      <c r="I174" s="379">
        <f>IF(H174,Wh_hp,'2021'!Maxi_hp)</f>
        <v>60.451525350346095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2.3484391662240811E-2</v>
      </c>
      <c r="M174" s="832"/>
      <c r="N174" s="832"/>
      <c r="O174" s="48">
        <f>IF(t&lt;Tnet,'2021'!Resal+('2021'!Salim-'2021'!Resal)*(1-EXP(('2021'!Tnet-t)/('2021'!Tau_j))),Resal+(Salim-Resal)*(1-EXP((Tnet-t)/(Tau_j))))*Salcycl</f>
        <v>1.2088448891343135E-2</v>
      </c>
      <c r="P174" s="169">
        <f>(INDEX(Models!$BJ174:$BT174,,T174)*(1-R174)+INDEX(Models!$BJ174:$BT174,,T174+1)*R174-ERP_i)*Q174*Ramure*Pc/MaxiM</f>
        <v>9.287756269631764E-5</v>
      </c>
      <c r="Q174" s="304">
        <f t="shared" si="53"/>
        <v>0.6</v>
      </c>
      <c r="R174" s="177">
        <f t="shared" si="54"/>
        <v>0.24370189099018091</v>
      </c>
      <c r="S174" s="799">
        <f t="shared" si="55"/>
        <v>0</v>
      </c>
      <c r="T174" s="176">
        <f t="shared" si="56"/>
        <v>6</v>
      </c>
      <c r="U174" s="250">
        <f t="shared" si="57"/>
        <v>0.24370189099018091</v>
      </c>
      <c r="V174" s="382">
        <f t="shared" si="58"/>
        <v>61.478146270921336</v>
      </c>
      <c r="W174" s="400">
        <f t="shared" si="59"/>
        <v>0</v>
      </c>
      <c r="X174" s="157">
        <f t="shared" si="60"/>
        <v>44721</v>
      </c>
      <c r="Y174" s="383">
        <f t="shared" si="61"/>
        <v>44.665502795251413</v>
      </c>
      <c r="Z174" s="383">
        <f t="shared" si="62"/>
        <v>45.739671146968924</v>
      </c>
      <c r="AA174" s="384">
        <f t="shared" si="63"/>
        <v>50.124853482653783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8.7485190100403926E-2</v>
      </c>
      <c r="AD174" s="230">
        <f>(INDEX(Models!$BJ174:$BT174,,AH174)*(1-AF174)+INDEX(Models!$BJ174:$BT174,,AH174+1)*AF174-ERP_i)*AE174*Ramure*Pc/MaxiM</f>
        <v>9.287756269631764E-5</v>
      </c>
      <c r="AE174" s="304">
        <f t="shared" si="65"/>
        <v>0.6</v>
      </c>
      <c r="AF174" s="177">
        <f t="shared" si="66"/>
        <v>0.24370189099018091</v>
      </c>
      <c r="AG174" s="799">
        <f t="shared" si="74"/>
        <v>0</v>
      </c>
      <c r="AH174" s="176">
        <f t="shared" si="67"/>
        <v>6</v>
      </c>
      <c r="AI174" s="224">
        <f t="shared" si="68"/>
        <v>0.24370189099018091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44722</v>
      </c>
      <c r="B175" s="1153">
        <v>60.325000000000003</v>
      </c>
      <c r="C175" s="388"/>
      <c r="D175" s="391">
        <f t="shared" si="50"/>
        <v>61.776950231966005</v>
      </c>
      <c r="E175" s="383">
        <f t="shared" si="75"/>
        <v>62.539475398406232</v>
      </c>
      <c r="F175" s="383">
        <f t="shared" si="51"/>
        <v>62.54511086114735</v>
      </c>
      <c r="G175" s="110">
        <f t="shared" si="76"/>
        <v>0.98197430062299018</v>
      </c>
      <c r="H175" s="412" t="b">
        <f>Wh_hp&gt;='2021'!Maxi_hp</f>
        <v>1</v>
      </c>
      <c r="I175" s="379">
        <f>IF(H175,Wh_hp,'2021'!Maxi_hp)</f>
        <v>62.54511086114735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2.3503106361095538E-2</v>
      </c>
      <c r="M175" s="832"/>
      <c r="N175" s="832"/>
      <c r="O175" s="48">
        <f>IF(t&lt;Tnet,'2021'!Resal+('2021'!Salim-'2021'!Resal)*(1-EXP(('2021'!Tnet-t)/('2021'!Tau_j))),Resal+(Salim-Resal)*(1-EXP((Tnet-t)/(Tau_j))))*Salcycl</f>
        <v>1.2192701674943355E-2</v>
      </c>
      <c r="P175" s="169">
        <f>(INDEX(Models!$BJ175:$BT175,,T175)*(1-R175)+INDEX(Models!$BJ175:$BT175,,T175+1)*R175-ERP_i)*Q175*Ramure*Pc/MaxiM</f>
        <v>9.2483606636586141E-5</v>
      </c>
      <c r="Q175" s="304">
        <f t="shared" si="53"/>
        <v>0.6</v>
      </c>
      <c r="R175" s="177">
        <f t="shared" si="54"/>
        <v>0.24884700730119244</v>
      </c>
      <c r="S175" s="799">
        <f t="shared" si="55"/>
        <v>0</v>
      </c>
      <c r="T175" s="176">
        <f t="shared" si="56"/>
        <v>6</v>
      </c>
      <c r="U175" s="250">
        <f t="shared" si="57"/>
        <v>0.24884700730119244</v>
      </c>
      <c r="V175" s="382">
        <f t="shared" si="58"/>
        <v>61.432214978237127</v>
      </c>
      <c r="W175" s="400">
        <f t="shared" si="59"/>
        <v>0</v>
      </c>
      <c r="X175" s="157">
        <f t="shared" si="60"/>
        <v>44722</v>
      </c>
      <c r="Y175" s="383">
        <f t="shared" si="61"/>
        <v>55.72414263101426</v>
      </c>
      <c r="Z175" s="383">
        <f t="shared" si="62"/>
        <v>57.065355756902498</v>
      </c>
      <c r="AA175" s="384">
        <f t="shared" si="63"/>
        <v>62.539475398406232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8.7530629360591652E-2</v>
      </c>
      <c r="AD175" s="230">
        <f>(INDEX(Models!$BJ175:$BT175,,AH175)*(1-AF175)+INDEX(Models!$BJ175:$BT175,,AH175+1)*AF175-ERP_i)*AE175*Ramure*Pc/MaxiM</f>
        <v>9.2483606636586141E-5</v>
      </c>
      <c r="AE175" s="304">
        <f t="shared" si="65"/>
        <v>0.6</v>
      </c>
      <c r="AF175" s="177">
        <f t="shared" si="66"/>
        <v>0.24884700730119244</v>
      </c>
      <c r="AG175" s="799">
        <f t="shared" si="74"/>
        <v>0</v>
      </c>
      <c r="AH175" s="176">
        <f t="shared" si="67"/>
        <v>6</v>
      </c>
      <c r="AI175" s="224">
        <f t="shared" si="68"/>
        <v>0.24884700730119244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44723</v>
      </c>
      <c r="B176" s="1153">
        <v>58.295999999999999</v>
      </c>
      <c r="C176" s="388"/>
      <c r="D176" s="391">
        <f t="shared" si="50"/>
        <v>59.700258782912115</v>
      </c>
      <c r="E176" s="383">
        <f t="shared" si="75"/>
        <v>60.443519377468803</v>
      </c>
      <c r="F176" s="383">
        <f t="shared" si="51"/>
        <v>60.448688456997267</v>
      </c>
      <c r="G176" s="110">
        <f t="shared" si="76"/>
        <v>0.94965074177722331</v>
      </c>
      <c r="H176" s="412" t="b">
        <f>Wh_hp&gt;='2021'!Maxi_hp</f>
        <v>1</v>
      </c>
      <c r="I176" s="379">
        <f>IF(H176,Wh_hp,'2021'!Maxi_hp)</f>
        <v>60.448688456997267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2.3521820701287388E-2</v>
      </c>
      <c r="M176" s="832"/>
      <c r="N176" s="832"/>
      <c r="O176" s="48">
        <f>IF(t&lt;Tnet,'2021'!Resal+('2021'!Salim-'2021'!Resal)*(1-EXP(('2021'!Tnet-t)/('2021'!Tau_j))),Resal+(Salim-Resal)*(1-EXP((Tnet-t)/(Tau_j))))*Salcycl</f>
        <v>1.2296778913799475E-2</v>
      </c>
      <c r="P176" s="169">
        <f>(INDEX(Models!$BJ176:$BT176,,T176)*(1-R176)+INDEX(Models!$BJ176:$BT176,,T176+1)*R176-ERP_i)*Q176*Ramure*Pc/MaxiM</f>
        <v>9.2138306512904716E-5</v>
      </c>
      <c r="Q176" s="304">
        <f t="shared" si="53"/>
        <v>0.6</v>
      </c>
      <c r="R176" s="177">
        <f t="shared" si="54"/>
        <v>0.25399212361220397</v>
      </c>
      <c r="S176" s="799">
        <f t="shared" si="55"/>
        <v>0</v>
      </c>
      <c r="T176" s="176">
        <f t="shared" si="56"/>
        <v>6</v>
      </c>
      <c r="U176" s="250">
        <f t="shared" si="57"/>
        <v>0.25399212361220397</v>
      </c>
      <c r="V176" s="382">
        <f t="shared" si="58"/>
        <v>61.386371964806962</v>
      </c>
      <c r="W176" s="400">
        <f t="shared" si="59"/>
        <v>0</v>
      </c>
      <c r="X176" s="157">
        <f t="shared" si="60"/>
        <v>44723</v>
      </c>
      <c r="Y176" s="383">
        <f t="shared" si="61"/>
        <v>53.852948412238234</v>
      </c>
      <c r="Z176" s="383">
        <f t="shared" si="62"/>
        <v>55.150181083323709</v>
      </c>
      <c r="AA176" s="384">
        <f t="shared" si="63"/>
        <v>60.443519377468803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8.7574951767587894E-2</v>
      </c>
      <c r="AD176" s="230">
        <f>(INDEX(Models!$BJ176:$BT176,,AH176)*(1-AF176)+INDEX(Models!$BJ176:$BT176,,AH176+1)*AF176-ERP_i)*AE176*Ramure*Pc/MaxiM</f>
        <v>9.2138306512904716E-5</v>
      </c>
      <c r="AE176" s="304">
        <f t="shared" si="65"/>
        <v>0.6</v>
      </c>
      <c r="AF176" s="177">
        <f t="shared" si="66"/>
        <v>0.25399212361220397</v>
      </c>
      <c r="AG176" s="799">
        <f t="shared" si="74"/>
        <v>0</v>
      </c>
      <c r="AH176" s="176">
        <f t="shared" si="67"/>
        <v>6</v>
      </c>
      <c r="AI176" s="224">
        <f t="shared" si="68"/>
        <v>0.25399212361220397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44724</v>
      </c>
      <c r="B177" s="1153">
        <v>45.252000000000002</v>
      </c>
      <c r="C177" s="388"/>
      <c r="D177" s="391">
        <f t="shared" si="50"/>
        <v>46.342937528186177</v>
      </c>
      <c r="E177" s="383">
        <f t="shared" si="75"/>
        <v>46.924836928376877</v>
      </c>
      <c r="F177" s="383">
        <f t="shared" si="51"/>
        <v>46.927532087050324</v>
      </c>
      <c r="G177" s="110">
        <f t="shared" si="76"/>
        <v>0.73769898114816601</v>
      </c>
      <c r="H177" s="412" t="b">
        <f>Wh_hp&gt;='2021'!Maxi_hp</f>
        <v>0</v>
      </c>
      <c r="I177" s="379">
        <f>IF(H177,Wh_hp,'2021'!Maxi_hp)</f>
        <v>56.41651381708197</v>
      </c>
      <c r="J177" s="85">
        <f>IF(H177,An,'2021'!An_max)</f>
        <v>2018</v>
      </c>
      <c r="K177" s="197">
        <f t="shared" si="52"/>
        <v>44724</v>
      </c>
      <c r="L177" s="147">
        <f>IF(t&lt;Tvie,1-EXP((T0-t)*PertePVj)+'2021'!Pspv,1-EXP((T0-t)*PertePVj)+Pspv)</f>
        <v>2.3540534682823244E-2</v>
      </c>
      <c r="M177" s="832"/>
      <c r="N177" s="832"/>
      <c r="O177" s="48">
        <f>IF(t&lt;Tnet,'2021'!Resal+('2021'!Salim-'2021'!Resal)*(1-EXP(('2021'!Tnet-t)/('2021'!Tau_j))),Resal+(Salim-Resal)*(1-EXP((Tnet-t)/(Tau_j))))*Salcycl</f>
        <v>1.2400669630005827E-2</v>
      </c>
      <c r="P177" s="169">
        <f>(INDEX(Models!$BJ177:$BT177,,T177)*(1-R177)+INDEX(Models!$BJ177:$BT177,,T177+1)*R177-ERP_i)*Q177*Ramure*Pc/MaxiM</f>
        <v>9.1844665686355103E-5</v>
      </c>
      <c r="Q177" s="304">
        <f t="shared" si="53"/>
        <v>0.6</v>
      </c>
      <c r="R177" s="177">
        <f t="shared" si="54"/>
        <v>0.25913289825650987</v>
      </c>
      <c r="S177" s="799">
        <f t="shared" si="55"/>
        <v>0</v>
      </c>
      <c r="T177" s="176">
        <f t="shared" si="56"/>
        <v>6</v>
      </c>
      <c r="U177" s="250">
        <f t="shared" si="57"/>
        <v>0.25913289825650987</v>
      </c>
      <c r="V177" s="382">
        <f t="shared" si="58"/>
        <v>61.339982623047284</v>
      </c>
      <c r="W177" s="400">
        <f t="shared" si="59"/>
        <v>0</v>
      </c>
      <c r="X177" s="157">
        <f t="shared" si="60"/>
        <v>44724</v>
      </c>
      <c r="Y177" s="383">
        <f t="shared" si="61"/>
        <v>41.805521906293365</v>
      </c>
      <c r="Z177" s="383">
        <f t="shared" si="62"/>
        <v>42.813371564495981</v>
      </c>
      <c r="AA177" s="384">
        <f t="shared" si="63"/>
        <v>46.924836928376877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8.7618106593665382E-2</v>
      </c>
      <c r="AD177" s="230">
        <f>(INDEX(Models!$BJ177:$BT177,,AH177)*(1-AF177)+INDEX(Models!$BJ177:$BT177,,AH177+1)*AF177-ERP_i)*AE177*Ramure*Pc/MaxiM</f>
        <v>9.1844665686355103E-5</v>
      </c>
      <c r="AE177" s="304">
        <f t="shared" si="65"/>
        <v>0.6</v>
      </c>
      <c r="AF177" s="177">
        <f t="shared" si="66"/>
        <v>0.25913289825650987</v>
      </c>
      <c r="AG177" s="799">
        <f t="shared" si="74"/>
        <v>0</v>
      </c>
      <c r="AH177" s="176">
        <f t="shared" si="67"/>
        <v>6</v>
      </c>
      <c r="AI177" s="224">
        <f t="shared" si="68"/>
        <v>0.25913289825650987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44725</v>
      </c>
      <c r="B178" s="1153">
        <v>56.908000000000001</v>
      </c>
      <c r="C178" s="388"/>
      <c r="D178" s="391">
        <f t="shared" si="50"/>
        <v>58.281057914937463</v>
      </c>
      <c r="E178" s="383">
        <f t="shared" si="75"/>
        <v>59.019053592436357</v>
      </c>
      <c r="F178" s="383">
        <f t="shared" si="51"/>
        <v>59.023911034777285</v>
      </c>
      <c r="G178" s="110">
        <f t="shared" si="76"/>
        <v>0.92846291643052414</v>
      </c>
      <c r="H178" s="412" t="b">
        <f>Wh_hp&gt;='2021'!Maxi_hp</f>
        <v>0</v>
      </c>
      <c r="I178" s="379">
        <f>IF(H178,Wh_hp,'2021'!Maxi_hp)</f>
        <v>64.279104061315721</v>
      </c>
      <c r="J178" s="85">
        <f>IF(H178,An,'2021'!An_max)</f>
        <v>2018</v>
      </c>
      <c r="K178" s="197">
        <f t="shared" si="52"/>
        <v>44725</v>
      </c>
      <c r="L178" s="147">
        <f>IF(t&lt;Tvie,1-EXP((T0-t)*PertePVj)+'2021'!Pspv,1-EXP((T0-t)*PertePVj)+Pspv)</f>
        <v>2.3559248305709768E-2</v>
      </c>
      <c r="M178" s="832"/>
      <c r="N178" s="832"/>
      <c r="O178" s="48">
        <f>IF(t&lt;Tnet,'2021'!Resal+('2021'!Salim-'2021'!Resal)*(1-EXP(('2021'!Tnet-t)/('2021'!Tau_j))),Resal+(Salim-Resal)*(1-EXP((Tnet-t)/(Tau_j))))*Salcycl</f>
        <v>1.2504363126444219E-2</v>
      </c>
      <c r="P178" s="169">
        <f>(INDEX(Models!$BJ178:$BT178,,T178)*(1-R178)+INDEX(Models!$BJ178:$BT178,,T178+1)*R178-ERP_i)*Q178*Ramure*Pc/MaxiM</f>
        <v>9.1662573096335502E-5</v>
      </c>
      <c r="Q178" s="304">
        <f t="shared" si="53"/>
        <v>0.6</v>
      </c>
      <c r="R178" s="177">
        <f t="shared" si="54"/>
        <v>0.26426500420977639</v>
      </c>
      <c r="S178" s="799">
        <f t="shared" si="55"/>
        <v>0</v>
      </c>
      <c r="T178" s="176">
        <f t="shared" si="56"/>
        <v>6</v>
      </c>
      <c r="U178" s="250">
        <f t="shared" si="57"/>
        <v>0.26426500420977639</v>
      </c>
      <c r="V178" s="382">
        <f t="shared" si="58"/>
        <v>61.292126940459355</v>
      </c>
      <c r="W178" s="400">
        <f t="shared" si="59"/>
        <v>0</v>
      </c>
      <c r="X178" s="157">
        <f t="shared" si="60"/>
        <v>44725</v>
      </c>
      <c r="Y178" s="383">
        <f t="shared" si="61"/>
        <v>52.576882498901305</v>
      </c>
      <c r="Z178" s="383">
        <f t="shared" si="62"/>
        <v>53.845440604226624</v>
      </c>
      <c r="AA178" s="384">
        <f t="shared" si="63"/>
        <v>59.019053592436357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8.766004660015031E-2</v>
      </c>
      <c r="AD178" s="230">
        <f>(INDEX(Models!$BJ178:$BT178,,AH178)*(1-AF178)+INDEX(Models!$BJ178:$BT178,,AH178+1)*AF178-ERP_i)*AE178*Ramure*Pc/MaxiM</f>
        <v>9.1662573096335502E-5</v>
      </c>
      <c r="AE178" s="304">
        <f t="shared" si="65"/>
        <v>0.6</v>
      </c>
      <c r="AF178" s="177">
        <f t="shared" si="66"/>
        <v>0.26426500420977639</v>
      </c>
      <c r="AG178" s="799">
        <f t="shared" si="74"/>
        <v>0</v>
      </c>
      <c r="AH178" s="176">
        <f t="shared" si="67"/>
        <v>6</v>
      </c>
      <c r="AI178" s="224">
        <f t="shared" si="68"/>
        <v>0.26426500420977639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44726</v>
      </c>
      <c r="B179" s="1153">
        <v>50.588999999999999</v>
      </c>
      <c r="C179" s="388"/>
      <c r="D179" s="391">
        <f t="shared" si="50"/>
        <v>51.810588054055231</v>
      </c>
      <c r="E179" s="383">
        <f t="shared" si="75"/>
        <v>52.472148986871581</v>
      </c>
      <c r="F179" s="383">
        <f t="shared" si="51"/>
        <v>52.475760487542836</v>
      </c>
      <c r="G179" s="110">
        <f t="shared" si="76"/>
        <v>0.82602106665754749</v>
      </c>
      <c r="H179" s="412" t="b">
        <f>Wh_hp&gt;='2021'!Maxi_hp</f>
        <v>0</v>
      </c>
      <c r="I179" s="379">
        <f>IF(H179,Wh_hp,'2021'!Maxi_hp)</f>
        <v>56.161235442538548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2.3577961569954065E-2</v>
      </c>
      <c r="M179" s="832"/>
      <c r="N179" s="832"/>
      <c r="O179" s="48">
        <f>IF(t&lt;Tnet,'2021'!Resal+('2021'!Salim-'2021'!Resal)*(1-EXP(('2021'!Tnet-t)/('2021'!Tau_j))),Resal+(Salim-Resal)*(1-EXP((Tnet-t)/(Tau_j))))*Salcycl</f>
        <v>1.2607849032100233E-2</v>
      </c>
      <c r="P179" s="169">
        <f>(INDEX(Models!$BJ179:$BT179,,T179)*(1-R179)+INDEX(Models!$BJ179:$BT179,,T179+1)*R179-ERP_i)*Q179*Ramure*Pc/MaxiM</f>
        <v>9.1581623588596128E-5</v>
      </c>
      <c r="Q179" s="304">
        <f t="shared" si="53"/>
        <v>0.6</v>
      </c>
      <c r="R179" s="177">
        <f t="shared" si="54"/>
        <v>0.26938414362760232</v>
      </c>
      <c r="S179" s="799">
        <f t="shared" si="55"/>
        <v>0</v>
      </c>
      <c r="T179" s="176">
        <f t="shared" si="56"/>
        <v>6</v>
      </c>
      <c r="U179" s="250">
        <f t="shared" si="57"/>
        <v>0.26938414362760232</v>
      </c>
      <c r="V179" s="382">
        <f t="shared" si="58"/>
        <v>61.242806738866484</v>
      </c>
      <c r="W179" s="400">
        <f t="shared" si="59"/>
        <v>0</v>
      </c>
      <c r="X179" s="157">
        <f t="shared" si="60"/>
        <v>44726</v>
      </c>
      <c r="Y179" s="383">
        <f t="shared" si="61"/>
        <v>46.741619138053039</v>
      </c>
      <c r="Z179" s="383">
        <f t="shared" si="62"/>
        <v>47.870303309834355</v>
      </c>
      <c r="AA179" s="384">
        <f t="shared" si="63"/>
        <v>52.472148986871581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8.7700728212762924E-2</v>
      </c>
      <c r="AD179" s="230">
        <f>(INDEX(Models!$BJ179:$BT179,,AH179)*(1-AF179)+INDEX(Models!$BJ179:$BT179,,AH179+1)*AF179-ERP_i)*AE179*Ramure*Pc/MaxiM</f>
        <v>9.1581623588596128E-5</v>
      </c>
      <c r="AE179" s="304">
        <f t="shared" si="65"/>
        <v>0.6</v>
      </c>
      <c r="AF179" s="177">
        <f t="shared" si="66"/>
        <v>0.26938414362760232</v>
      </c>
      <c r="AG179" s="799">
        <f t="shared" si="74"/>
        <v>0</v>
      </c>
      <c r="AH179" s="176">
        <f t="shared" si="67"/>
        <v>6</v>
      </c>
      <c r="AI179" s="224">
        <f t="shared" si="68"/>
        <v>0.26938414362760232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44727</v>
      </c>
      <c r="B180" s="1153">
        <v>57.03</v>
      </c>
      <c r="C180" s="388"/>
      <c r="D180" s="391">
        <f t="shared" si="50"/>
        <v>58.40824023143157</v>
      </c>
      <c r="E180" s="383">
        <f t="shared" si="75"/>
        <v>59.160232893949363</v>
      </c>
      <c r="F180" s="383">
        <f t="shared" si="51"/>
        <v>59.165126104140107</v>
      </c>
      <c r="G180" s="110">
        <f t="shared" si="76"/>
        <v>0.93197592713471311</v>
      </c>
      <c r="H180" s="412" t="b">
        <f>Wh_hp&gt;='2021'!Maxi_hp</f>
        <v>1</v>
      </c>
      <c r="I180" s="379">
        <f>IF(H180,Wh_hp,'2021'!Maxi_hp)</f>
        <v>59.165126104140107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2.3596674475562907E-2</v>
      </c>
      <c r="M180" s="832"/>
      <c r="N180" s="832"/>
      <c r="O180" s="48">
        <f>IF(t&lt;Tnet,'2021'!Resal+('2021'!Salim-'2021'!Resal)*(1-EXP(('2021'!Tnet-t)/('2021'!Tau_j))),Resal+(Salim-Resal)*(1-EXP((Tnet-t)/(Tau_j))))*Salcycl</f>
        <v>1.2711117345765284E-2</v>
      </c>
      <c r="P180" s="169">
        <f>(INDEX(Models!$BJ180:$BT180,,T180)*(1-R180)+INDEX(Models!$BJ180:$BT180,,T180+1)*R180-ERP_i)*Q180*Ramure*Pc/MaxiM</f>
        <v>9.160514790676236E-5</v>
      </c>
      <c r="Q180" s="304">
        <f t="shared" si="53"/>
        <v>0.6</v>
      </c>
      <c r="R180" s="177">
        <f t="shared" si="54"/>
        <v>0.27448606217474236</v>
      </c>
      <c r="S180" s="799">
        <f t="shared" si="55"/>
        <v>0</v>
      </c>
      <c r="T180" s="176">
        <f t="shared" si="56"/>
        <v>6</v>
      </c>
      <c r="U180" s="250">
        <f t="shared" si="57"/>
        <v>0.27448606217474236</v>
      </c>
      <c r="V180" s="382">
        <f t="shared" si="58"/>
        <v>61.192022971932722</v>
      </c>
      <c r="W180" s="400">
        <f t="shared" si="59"/>
        <v>0</v>
      </c>
      <c r="X180" s="157">
        <f t="shared" si="60"/>
        <v>44727</v>
      </c>
      <c r="Y180" s="383">
        <f t="shared" si="61"/>
        <v>52.696006553950383</v>
      </c>
      <c r="Z180" s="383">
        <f t="shared" si="62"/>
        <v>53.969507452923487</v>
      </c>
      <c r="AA180" s="384">
        <f t="shared" si="63"/>
        <v>59.160232893949363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8.774011167824125E-2</v>
      </c>
      <c r="AD180" s="230">
        <f>(INDEX(Models!$BJ180:$BT180,,AH180)*(1-AF180)+INDEX(Models!$BJ180:$BT180,,AH180+1)*AF180-ERP_i)*AE180*Ramure*Pc/MaxiM</f>
        <v>9.160514790676236E-5</v>
      </c>
      <c r="AE180" s="304">
        <f t="shared" si="65"/>
        <v>0.6</v>
      </c>
      <c r="AF180" s="177">
        <f t="shared" si="66"/>
        <v>0.27448606217474236</v>
      </c>
      <c r="AG180" s="799">
        <f t="shared" si="74"/>
        <v>0</v>
      </c>
      <c r="AH180" s="176">
        <f t="shared" si="67"/>
        <v>6</v>
      </c>
      <c r="AI180" s="224">
        <f t="shared" si="68"/>
        <v>0.27448606217474236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44728</v>
      </c>
      <c r="B181" s="1153">
        <v>54.774999999999999</v>
      </c>
      <c r="C181" s="388"/>
      <c r="D181" s="391">
        <f t="shared" si="50"/>
        <v>56.099818936069887</v>
      </c>
      <c r="E181" s="383">
        <f t="shared" si="75"/>
        <v>56.828022218761085</v>
      </c>
      <c r="F181" s="383">
        <f t="shared" si="51"/>
        <v>56.832460474285213</v>
      </c>
      <c r="G181" s="110">
        <f t="shared" si="76"/>
        <v>0.89588571847525689</v>
      </c>
      <c r="H181" s="412" t="b">
        <f>Wh_hp&gt;='2021'!Maxi_hp</f>
        <v>0</v>
      </c>
      <c r="I181" s="379">
        <f>IF(H181,Wh_hp,'2021'!Maxi_hp)</f>
        <v>63.760579589282713</v>
      </c>
      <c r="J181" s="85">
        <f>IF(H181,An,'2021'!An_max)</f>
        <v>2018</v>
      </c>
      <c r="K181" s="197">
        <f t="shared" si="52"/>
        <v>44728</v>
      </c>
      <c r="L181" s="147">
        <f>IF(t&lt;Tvie,1-EXP((T0-t)*PertePVj)+'2021'!Pspv,1-EXP((T0-t)*PertePVj)+Pspv)</f>
        <v>2.3615387022543177E-2</v>
      </c>
      <c r="M181" s="832"/>
      <c r="N181" s="832"/>
      <c r="O181" s="48">
        <f>IF(t&lt;Tnet,'2021'!Resal+('2021'!Salim-'2021'!Resal)*(1-EXP(('2021'!Tnet-t)/('2021'!Tau_j))),Resal+(Salim-Resal)*(1-EXP((Tnet-t)/(Tau_j))))*Salcycl</f>
        <v>1.2814158477800899E-2</v>
      </c>
      <c r="P181" s="169">
        <f>(INDEX(Models!$BJ181:$BT181,,T181)*(1-R181)+INDEX(Models!$BJ181:$BT181,,T181+1)*R181-ERP_i)*Q181*Ramure*Pc/MaxiM</f>
        <v>9.173646443589048E-5</v>
      </c>
      <c r="Q181" s="304">
        <f t="shared" si="53"/>
        <v>0.6</v>
      </c>
      <c r="R181" s="177">
        <f t="shared" si="54"/>
        <v>0.27956656304501426</v>
      </c>
      <c r="S181" s="799">
        <f t="shared" si="55"/>
        <v>0</v>
      </c>
      <c r="T181" s="176">
        <f t="shared" si="56"/>
        <v>6</v>
      </c>
      <c r="U181" s="250">
        <f t="shared" si="57"/>
        <v>0.27956656304501426</v>
      </c>
      <c r="V181" s="382">
        <f t="shared" si="58"/>
        <v>61.139776567597352</v>
      </c>
      <c r="W181" s="400">
        <f t="shared" si="59"/>
        <v>0</v>
      </c>
      <c r="X181" s="157">
        <f t="shared" si="60"/>
        <v>44728</v>
      </c>
      <c r="Y181" s="383">
        <f t="shared" si="61"/>
        <v>50.615546859104867</v>
      </c>
      <c r="Z181" s="383">
        <f t="shared" si="62"/>
        <v>51.839762923705045</v>
      </c>
      <c r="AA181" s="384">
        <f t="shared" si="63"/>
        <v>56.828022218761085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8.7778161201063729E-2</v>
      </c>
      <c r="AD181" s="230">
        <f>(INDEX(Models!$BJ181:$BT181,,AH181)*(1-AF181)+INDEX(Models!$BJ181:$BT181,,AH181+1)*AF181-ERP_i)*AE181*Ramure*Pc/MaxiM</f>
        <v>9.173646443589048E-5</v>
      </c>
      <c r="AE181" s="304">
        <f t="shared" si="65"/>
        <v>0.6</v>
      </c>
      <c r="AF181" s="177">
        <f t="shared" si="66"/>
        <v>0.27956656304501426</v>
      </c>
      <c r="AG181" s="799">
        <f t="shared" si="74"/>
        <v>0</v>
      </c>
      <c r="AH181" s="176">
        <f t="shared" si="67"/>
        <v>6</v>
      </c>
      <c r="AI181" s="224">
        <f t="shared" si="68"/>
        <v>0.27956656304501426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44729</v>
      </c>
      <c r="B182" s="1153">
        <v>54.922000000000004</v>
      </c>
      <c r="C182" s="388"/>
      <c r="D182" s="391">
        <f t="shared" si="50"/>
        <v>56.251452406943017</v>
      </c>
      <c r="E182" s="383">
        <f t="shared" si="75"/>
        <v>56.987558609468472</v>
      </c>
      <c r="F182" s="383">
        <f t="shared" si="51"/>
        <v>56.992045008015971</v>
      </c>
      <c r="G182" s="110">
        <f t="shared" si="76"/>
        <v>0.89908015267378005</v>
      </c>
      <c r="H182" s="412" t="b">
        <f>Wh_hp&gt;='2021'!Maxi_hp</f>
        <v>0</v>
      </c>
      <c r="I182" s="379">
        <f>IF(H182,Wh_hp,'2021'!Maxi_hp)</f>
        <v>62.238525909161851</v>
      </c>
      <c r="J182" s="85">
        <f>IF(H182,An,'2021'!An_max)</f>
        <v>2018</v>
      </c>
      <c r="K182" s="197">
        <f t="shared" si="52"/>
        <v>44729</v>
      </c>
      <c r="L182" s="147">
        <f>IF(t&lt;Tvie,1-EXP((T0-t)*PertePVj)+'2021'!Pspv,1-EXP((T0-t)*PertePVj)+Pspv)</f>
        <v>2.363409921090176E-2</v>
      </c>
      <c r="M182" s="832"/>
      <c r="N182" s="832"/>
      <c r="O182" s="48">
        <f>IF(t&lt;Tnet,'2021'!Resal+('2021'!Salim-'2021'!Resal)*(1-EXP(('2021'!Tnet-t)/('2021'!Tau_j))),Resal+(Salim-Resal)*(1-EXP((Tnet-t)/(Tau_j))))*Salcycl</f>
        <v>1.2916963289653116E-2</v>
      </c>
      <c r="P182" s="169">
        <f>(INDEX(Models!$BJ182:$BT182,,T182)*(1-R182)+INDEX(Models!$BJ182:$BT182,,T182+1)*R182-ERP_i)*Q182*Ramure*Pc/MaxiM</f>
        <v>9.1978871343613791E-5</v>
      </c>
      <c r="Q182" s="304">
        <f t="shared" si="53"/>
        <v>0.6</v>
      </c>
      <c r="R182" s="177">
        <f t="shared" si="54"/>
        <v>0.28462152057467405</v>
      </c>
      <c r="S182" s="799">
        <f t="shared" si="55"/>
        <v>0</v>
      </c>
      <c r="T182" s="176">
        <f t="shared" si="56"/>
        <v>6</v>
      </c>
      <c r="U182" s="250">
        <f t="shared" si="57"/>
        <v>0.28462152057467405</v>
      </c>
      <c r="V182" s="382">
        <f t="shared" si="58"/>
        <v>61.086068423294115</v>
      </c>
      <c r="W182" s="400">
        <f t="shared" si="59"/>
        <v>0</v>
      </c>
      <c r="X182" s="157">
        <f t="shared" si="60"/>
        <v>44729</v>
      </c>
      <c r="Y182" s="383">
        <f t="shared" si="61"/>
        <v>50.754628756079342</v>
      </c>
      <c r="Z182" s="383">
        <f t="shared" si="62"/>
        <v>51.983204979874337</v>
      </c>
      <c r="AA182" s="384">
        <f t="shared" si="63"/>
        <v>56.987558609468472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8.7814845059227764E-2</v>
      </c>
      <c r="AD182" s="230">
        <f>(INDEX(Models!$BJ182:$BT182,,AH182)*(1-AF182)+INDEX(Models!$BJ182:$BT182,,AH182+1)*AF182-ERP_i)*AE182*Ramure*Pc/MaxiM</f>
        <v>9.1978871343613791E-5</v>
      </c>
      <c r="AE182" s="304">
        <f t="shared" si="65"/>
        <v>0.6</v>
      </c>
      <c r="AF182" s="177">
        <f t="shared" si="66"/>
        <v>0.28462152057467405</v>
      </c>
      <c r="AG182" s="799">
        <f t="shared" si="74"/>
        <v>0</v>
      </c>
      <c r="AH182" s="176">
        <f t="shared" si="67"/>
        <v>6</v>
      </c>
      <c r="AI182" s="224">
        <f t="shared" si="68"/>
        <v>0.28462152057467405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44730</v>
      </c>
      <c r="B183" s="1153">
        <v>57.428000000000004</v>
      </c>
      <c r="C183" s="388"/>
      <c r="D183" s="391">
        <f t="shared" si="50"/>
        <v>58.819240378220357</v>
      </c>
      <c r="E183" s="383">
        <f t="shared" si="75"/>
        <v>59.595140690930329</v>
      </c>
      <c r="F183" s="383">
        <f t="shared" si="51"/>
        <v>59.600179801280198</v>
      </c>
      <c r="G183" s="110">
        <f t="shared" si="76"/>
        <v>0.94095865085358232</v>
      </c>
      <c r="H183" s="412" t="b">
        <f>Wh_hp&gt;='2021'!Maxi_hp</f>
        <v>1</v>
      </c>
      <c r="I183" s="379">
        <f>IF(H183,Wh_hp,'2021'!Maxi_hp)</f>
        <v>59.600179801280198</v>
      </c>
      <c r="J183" s="85">
        <f>IF(H183,An,'2021'!An_max)</f>
        <v>2022</v>
      </c>
      <c r="K183" s="197">
        <f t="shared" si="52"/>
        <v>44730</v>
      </c>
      <c r="L183" s="147">
        <f>IF(t&lt;Tvie,1-EXP((T0-t)*PertePVj)+'2021'!Pspv,1-EXP((T0-t)*PertePVj)+Pspv)</f>
        <v>2.3652811040645538E-2</v>
      </c>
      <c r="M183" s="832"/>
      <c r="N183" s="832"/>
      <c r="O183" s="48">
        <f>IF(t&lt;Tnet,'2021'!Resal+('2021'!Salim-'2021'!Resal)*(1-EXP(('2021'!Tnet-t)/('2021'!Tau_j))),Resal+(Salim-Resal)*(1-EXP((Tnet-t)/(Tau_j))))*Salcycl</f>
        <v>1.3019523130818861E-2</v>
      </c>
      <c r="P183" s="169">
        <f>(INDEX(Models!$BJ183:$BT183,,T183)*(1-R183)+INDEX(Models!$BJ183:$BT183,,T183+1)*R183-ERP_i)*Q183*Ramure*Pc/MaxiM</f>
        <v>9.2335639284383815E-5</v>
      </c>
      <c r="Q183" s="304">
        <f t="shared" si="53"/>
        <v>0.6</v>
      </c>
      <c r="R183" s="177">
        <f t="shared" si="54"/>
        <v>0.28964689335694599</v>
      </c>
      <c r="S183" s="799">
        <f t="shared" si="55"/>
        <v>0</v>
      </c>
      <c r="T183" s="176">
        <f t="shared" si="56"/>
        <v>6</v>
      </c>
      <c r="U183" s="250">
        <f t="shared" si="57"/>
        <v>0.28964689335694599</v>
      </c>
      <c r="V183" s="382">
        <f t="shared" si="58"/>
        <v>61.030899407364537</v>
      </c>
      <c r="W183" s="400">
        <f t="shared" si="59"/>
        <v>0</v>
      </c>
      <c r="X183" s="157">
        <f t="shared" si="60"/>
        <v>44730</v>
      </c>
      <c r="Y183" s="383">
        <f t="shared" si="61"/>
        <v>53.073939793914597</v>
      </c>
      <c r="Z183" s="383">
        <f t="shared" si="62"/>
        <v>54.359699494279056</v>
      </c>
      <c r="AA183" s="384">
        <f t="shared" si="63"/>
        <v>59.595140690930329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8.7850135698195289E-2</v>
      </c>
      <c r="AD183" s="230">
        <f>(INDEX(Models!$BJ183:$BT183,,AH183)*(1-AF183)+INDEX(Models!$BJ183:$BT183,,AH183+1)*AF183-ERP_i)*AE183*Ramure*Pc/MaxiM</f>
        <v>9.2335639284383815E-5</v>
      </c>
      <c r="AE183" s="304">
        <f t="shared" si="65"/>
        <v>0.6</v>
      </c>
      <c r="AF183" s="177">
        <f t="shared" si="66"/>
        <v>0.28964689335694599</v>
      </c>
      <c r="AG183" s="799">
        <f t="shared" si="74"/>
        <v>0</v>
      </c>
      <c r="AH183" s="176">
        <f t="shared" si="67"/>
        <v>6</v>
      </c>
      <c r="AI183" s="224">
        <f t="shared" si="68"/>
        <v>0.28964689335694599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44731</v>
      </c>
      <c r="B184" s="1153">
        <v>58.823999999999998</v>
      </c>
      <c r="C184" s="388"/>
      <c r="D184" s="391">
        <f t="shared" si="50"/>
        <v>60.250214304242526</v>
      </c>
      <c r="E184" s="383">
        <f t="shared" si="75"/>
        <v>61.051319330012134</v>
      </c>
      <c r="F184" s="383">
        <f t="shared" si="51"/>
        <v>61.056703983579069</v>
      </c>
      <c r="G184" s="110">
        <f t="shared" si="76"/>
        <v>0.96473033506677108</v>
      </c>
      <c r="H184" s="412" t="b">
        <f>Wh_hp&gt;='2021'!Maxi_hp</f>
        <v>1</v>
      </c>
      <c r="I184" s="379">
        <f>IF(H184,Wh_hp,'2021'!Maxi_hp)</f>
        <v>61.056703983579069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2.3671522511781395E-2</v>
      </c>
      <c r="M184" s="832"/>
      <c r="N184" s="832"/>
      <c r="O184" s="48">
        <f>IF(t&lt;Tnet,'2021'!Resal+('2021'!Salim-'2021'!Resal)*(1-EXP(('2021'!Tnet-t)/('2021'!Tau_j))),Resal+(Salim-Resal)*(1-EXP((Tnet-t)/(Tau_j))))*Salcycl</f>
        <v>1.3121829872983545E-2</v>
      </c>
      <c r="P184" s="169">
        <f>(INDEX(Models!$BJ184:$BT184,,T184)*(1-R184)+INDEX(Models!$BJ184:$BT184,,T184+1)*R184-ERP_i)*Q184*Ramure*Pc/MaxiM</f>
        <v>9.2869691660707422E-5</v>
      </c>
      <c r="Q184" s="304">
        <f t="shared" si="53"/>
        <v>0.6</v>
      </c>
      <c r="R184" s="177">
        <f t="shared" si="54"/>
        <v>0.29463873677135849</v>
      </c>
      <c r="S184" s="799">
        <f t="shared" si="55"/>
        <v>0</v>
      </c>
      <c r="T184" s="176">
        <f t="shared" si="56"/>
        <v>6</v>
      </c>
      <c r="U184" s="250">
        <f t="shared" si="57"/>
        <v>0.29463873677135849</v>
      </c>
      <c r="V184" s="382">
        <f t="shared" si="58"/>
        <v>60.974266714664026</v>
      </c>
      <c r="W184" s="400">
        <f t="shared" si="59"/>
        <v>0</v>
      </c>
      <c r="X184" s="157">
        <f t="shared" si="60"/>
        <v>44731</v>
      </c>
      <c r="Y184" s="383">
        <f t="shared" si="61"/>
        <v>54.367714913062898</v>
      </c>
      <c r="Z184" s="383">
        <f t="shared" si="62"/>
        <v>55.685884583571365</v>
      </c>
      <c r="AA184" s="384">
        <f t="shared" si="63"/>
        <v>61.051319330012134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8.788400980227766E-2</v>
      </c>
      <c r="AD184" s="230">
        <f>(INDEX(Models!$BJ184:$BT184,,AH184)*(1-AF184)+INDEX(Models!$BJ184:$BT184,,AH184+1)*AF184-ERP_i)*AE184*Ramure*Pc/MaxiM</f>
        <v>9.2869691660707422E-5</v>
      </c>
      <c r="AE184" s="304">
        <f t="shared" si="65"/>
        <v>0.6</v>
      </c>
      <c r="AF184" s="177">
        <f t="shared" si="66"/>
        <v>0.29463873677135849</v>
      </c>
      <c r="AG184" s="799">
        <f t="shared" si="74"/>
        <v>0</v>
      </c>
      <c r="AH184" s="176">
        <f t="shared" si="67"/>
        <v>6</v>
      </c>
      <c r="AI184" s="224">
        <f t="shared" si="68"/>
        <v>0.29463873677135849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44732</v>
      </c>
      <c r="B185" s="1153">
        <v>33.183999999999997</v>
      </c>
      <c r="C185" s="388"/>
      <c r="D185" s="391">
        <f t="shared" si="50"/>
        <v>33.989212382036953</v>
      </c>
      <c r="E185" s="383">
        <f t="shared" si="75"/>
        <v>34.444704886279844</v>
      </c>
      <c r="F185" s="383">
        <f t="shared" si="51"/>
        <v>34.445831031283063</v>
      </c>
      <c r="G185" s="110">
        <f t="shared" si="76"/>
        <v>0.54471544577887077</v>
      </c>
      <c r="H185" s="412" t="b">
        <f>Wh_hp&gt;='2021'!Maxi_hp</f>
        <v>0</v>
      </c>
      <c r="I185" s="379">
        <f>IF(H185,Wh_hp,'2021'!Maxi_hp)</f>
        <v>56.990075158502776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2.3690233624316104E-2</v>
      </c>
      <c r="M185" s="832"/>
      <c r="N185" s="832"/>
      <c r="O185" s="48">
        <f>IF(t&lt;Tnet,'2021'!Resal+('2021'!Salim-'2021'!Resal)*(1-EXP(('2021'!Tnet-t)/('2021'!Tau_j))),Resal+(Salim-Resal)*(1-EXP((Tnet-t)/(Tau_j))))*Salcycl</f>
        <v>1.3223875941068738E-2</v>
      </c>
      <c r="P185" s="169">
        <f>(INDEX(Models!$BJ185:$BT185,,T185)*(1-R185)+INDEX(Models!$BJ185:$BT185,,T185+1)*R185-ERP_i)*Q185*Ramure*Pc/MaxiM</f>
        <v>9.3505146944299021E-5</v>
      </c>
      <c r="Q185" s="304">
        <f t="shared" si="53"/>
        <v>0.6</v>
      </c>
      <c r="R185" s="177">
        <f t="shared" si="54"/>
        <v>0.29959321484844081</v>
      </c>
      <c r="S185" s="799">
        <f t="shared" si="55"/>
        <v>0</v>
      </c>
      <c r="T185" s="176">
        <f t="shared" si="56"/>
        <v>6</v>
      </c>
      <c r="U185" s="250">
        <f t="shared" si="57"/>
        <v>0.29959321484844081</v>
      </c>
      <c r="V185" s="382">
        <f t="shared" si="58"/>
        <v>60.916175974172873</v>
      </c>
      <c r="W185" s="400">
        <f t="shared" si="59"/>
        <v>0</v>
      </c>
      <c r="X185" s="157">
        <f t="shared" si="60"/>
        <v>44732</v>
      </c>
      <c r="Y185" s="383">
        <f t="shared" si="61"/>
        <v>30.672185757487572</v>
      </c>
      <c r="Z185" s="383">
        <f t="shared" si="62"/>
        <v>31.416448768458718</v>
      </c>
      <c r="AA185" s="384">
        <f t="shared" si="63"/>
        <v>34.444704886279844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8.7916448342901979E-2</v>
      </c>
      <c r="AD185" s="230">
        <f>(INDEX(Models!$BJ185:$BT185,,AH185)*(1-AF185)+INDEX(Models!$BJ185:$BT185,,AH185+1)*AF185-ERP_i)*AE185*Ramure*Pc/MaxiM</f>
        <v>9.3505146944299021E-5</v>
      </c>
      <c r="AE185" s="304">
        <f t="shared" si="65"/>
        <v>0.6</v>
      </c>
      <c r="AF185" s="177">
        <f t="shared" si="66"/>
        <v>0.29959321484844081</v>
      </c>
      <c r="AG185" s="799">
        <f t="shared" si="74"/>
        <v>0</v>
      </c>
      <c r="AH185" s="176">
        <f t="shared" si="67"/>
        <v>6</v>
      </c>
      <c r="AI185" s="224">
        <f t="shared" si="68"/>
        <v>0.29959321484844081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44733</v>
      </c>
      <c r="B186" s="1153">
        <v>23.881</v>
      </c>
      <c r="C186" s="388"/>
      <c r="D186" s="391">
        <f t="shared" si="50"/>
        <v>24.46094314035436</v>
      </c>
      <c r="E186" s="383">
        <f t="shared" si="75"/>
        <v>24.791303481206551</v>
      </c>
      <c r="F186" s="383">
        <f t="shared" si="51"/>
        <v>24.791611943201396</v>
      </c>
      <c r="G186" s="110">
        <f t="shared" si="76"/>
        <v>0.39238201727289701</v>
      </c>
      <c r="H186" s="412" t="b">
        <f>Wh_hp&gt;='2021'!Maxi_hp</f>
        <v>0</v>
      </c>
      <c r="I186" s="379">
        <f>IF(H186,Wh_hp,'2021'!Maxi_hp)</f>
        <v>52.195932812822107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2.3708944378256658E-2</v>
      </c>
      <c r="M186" s="832"/>
      <c r="N186" s="832"/>
      <c r="O186" s="48">
        <f>IF(t&lt;Tnet,'2021'!Resal+('2021'!Salim-'2021'!Resal)*(1-EXP(('2021'!Tnet-t)/('2021'!Tau_j))),Resal+(Salim-Resal)*(1-EXP((Tnet-t)/(Tau_j))))*Salcycl</f>
        <v>1.3325654340951695E-2</v>
      </c>
      <c r="P186" s="169">
        <f>(INDEX(Models!$BJ186:$BT186,,T186)*(1-R186)+INDEX(Models!$BJ186:$BT186,,T186+1)*R186-ERP_i)*Q186*Ramure*Pc/MaxiM</f>
        <v>9.4244630063449264E-5</v>
      </c>
      <c r="Q186" s="304">
        <f t="shared" si="53"/>
        <v>0.6</v>
      </c>
      <c r="R186" s="177">
        <f t="shared" si="54"/>
        <v>0.30450661139806751</v>
      </c>
      <c r="S186" s="799">
        <f t="shared" si="55"/>
        <v>0</v>
      </c>
      <c r="T186" s="176">
        <f t="shared" si="56"/>
        <v>6</v>
      </c>
      <c r="U186" s="250">
        <f t="shared" si="57"/>
        <v>0.30450661139806751</v>
      </c>
      <c r="V186" s="382">
        <f t="shared" si="58"/>
        <v>60.856627981148485</v>
      </c>
      <c r="W186" s="400">
        <f t="shared" si="59"/>
        <v>0</v>
      </c>
      <c r="X186" s="157">
        <f t="shared" si="60"/>
        <v>44733</v>
      </c>
      <c r="Y186" s="383">
        <f t="shared" si="61"/>
        <v>22.074889615100233</v>
      </c>
      <c r="Z186" s="383">
        <f t="shared" si="62"/>
        <v>22.610971889978046</v>
      </c>
      <c r="AA186" s="384">
        <f t="shared" si="63"/>
        <v>24.791303481206551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8.7947436603377505E-2</v>
      </c>
      <c r="AD186" s="230">
        <f>(INDEX(Models!$BJ186:$BT186,,AH186)*(1-AF186)+INDEX(Models!$BJ186:$BT186,,AH186+1)*AF186-ERP_i)*AE186*Ramure*Pc/MaxiM</f>
        <v>9.4244630063449264E-5</v>
      </c>
      <c r="AE186" s="304">
        <f t="shared" si="65"/>
        <v>0.6</v>
      </c>
      <c r="AF186" s="177">
        <f t="shared" si="66"/>
        <v>0.30450661139806751</v>
      </c>
      <c r="AG186" s="799">
        <f t="shared" si="74"/>
        <v>0</v>
      </c>
      <c r="AH186" s="176">
        <f t="shared" si="67"/>
        <v>6</v>
      </c>
      <c r="AI186" s="224">
        <f t="shared" si="68"/>
        <v>0.30450661139806751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44734</v>
      </c>
      <c r="B187" s="1153">
        <v>46.253999999999998</v>
      </c>
      <c r="C187" s="388"/>
      <c r="D187" s="391">
        <f t="shared" si="50"/>
        <v>47.378172931113852</v>
      </c>
      <c r="E187" s="383">
        <f t="shared" si="75"/>
        <v>48.022985173500693</v>
      </c>
      <c r="F187" s="383">
        <f t="shared" si="51"/>
        <v>48.02599152428818</v>
      </c>
      <c r="G187" s="110">
        <f t="shared" si="76"/>
        <v>0.76078662162360633</v>
      </c>
      <c r="H187" s="412" t="b">
        <f>Wh_hp&gt;='2021'!Maxi_hp</f>
        <v>0</v>
      </c>
      <c r="I187" s="379">
        <f>IF(H187,Wh_hp,'2021'!Maxi_hp)</f>
        <v>63.676809848065162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2.372765477360983E-2</v>
      </c>
      <c r="M187" s="832"/>
      <c r="N187" s="832"/>
      <c r="O187" s="48">
        <f>IF(t&lt;Tnet,'2021'!Resal+('2021'!Salim-'2021'!Resal)*(1-EXP(('2021'!Tnet-t)/('2021'!Tau_j))),Resal+(Salim-Resal)*(1-EXP((Tnet-t)/(Tau_j))))*Salcycl</f>
        <v>1.3427158683643326E-2</v>
      </c>
      <c r="P187" s="169">
        <f>(INDEX(Models!$BJ187:$BT187,,T187)*(1-R187)+INDEX(Models!$BJ187:$BT187,,T187+1)*R187-ERP_i)*Q187*Ramure*Pc/MaxiM</f>
        <v>9.5090732371272811E-5</v>
      </c>
      <c r="Q187" s="304">
        <f t="shared" si="53"/>
        <v>0.6</v>
      </c>
      <c r="R187" s="177">
        <f t="shared" si="54"/>
        <v>0.30937534033815511</v>
      </c>
      <c r="S187" s="799">
        <f t="shared" si="55"/>
        <v>0</v>
      </c>
      <c r="T187" s="176">
        <f t="shared" si="56"/>
        <v>6</v>
      </c>
      <c r="U187" s="250">
        <f t="shared" si="57"/>
        <v>0.30937534033815511</v>
      </c>
      <c r="V187" s="382">
        <f t="shared" si="58"/>
        <v>60.795623492174862</v>
      </c>
      <c r="W187" s="400">
        <f t="shared" si="59"/>
        <v>0</v>
      </c>
      <c r="X187" s="157">
        <f t="shared" si="60"/>
        <v>44734</v>
      </c>
      <c r="Y187" s="383">
        <f t="shared" si="61"/>
        <v>42.758843272569933</v>
      </c>
      <c r="Z187" s="383">
        <f t="shared" si="62"/>
        <v>43.798068727076853</v>
      </c>
      <c r="AA187" s="384">
        <f t="shared" si="63"/>
        <v>48.022985173500693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8.797696417996051E-2</v>
      </c>
      <c r="AD187" s="230">
        <f>(INDEX(Models!$BJ187:$BT187,,AH187)*(1-AF187)+INDEX(Models!$BJ187:$BT187,,AH187+1)*AF187-ERP_i)*AE187*Ramure*Pc/MaxiM</f>
        <v>9.5090732371272811E-5</v>
      </c>
      <c r="AE187" s="304">
        <f t="shared" si="65"/>
        <v>0.6</v>
      </c>
      <c r="AF187" s="177">
        <f t="shared" si="66"/>
        <v>0.30937534033815511</v>
      </c>
      <c r="AG187" s="799">
        <f t="shared" si="74"/>
        <v>0</v>
      </c>
      <c r="AH187" s="176">
        <f t="shared" si="67"/>
        <v>6</v>
      </c>
      <c r="AI187" s="224">
        <f t="shared" si="68"/>
        <v>0.30937534033815511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44735</v>
      </c>
      <c r="B188" s="1153">
        <v>43.628999999999998</v>
      </c>
      <c r="C188" s="388"/>
      <c r="D188" s="391">
        <f t="shared" si="50"/>
        <v>44.69023051732448</v>
      </c>
      <c r="E188" s="383">
        <f t="shared" si="75"/>
        <v>45.30310832718574</v>
      </c>
      <c r="F188" s="383">
        <f t="shared" si="51"/>
        <v>45.305709039516557</v>
      </c>
      <c r="G188" s="110">
        <f t="shared" si="76"/>
        <v>0.71834417404652529</v>
      </c>
      <c r="H188" s="412" t="b">
        <f>Wh_hp&gt;='2021'!Maxi_hp</f>
        <v>0</v>
      </c>
      <c r="I188" s="379">
        <f>IF(H188,Wh_hp,'2021'!Maxi_hp)</f>
        <v>54.409239843799597</v>
      </c>
      <c r="J188" s="85">
        <f>IF(H188,An,'2021'!An_max)</f>
        <v>2018</v>
      </c>
      <c r="K188" s="197">
        <f t="shared" si="52"/>
        <v>44735</v>
      </c>
      <c r="L188" s="147">
        <f>IF(t&lt;Tvie,1-EXP((T0-t)*PertePVj)+'2021'!Pspv,1-EXP((T0-t)*PertePVj)+Pspv)</f>
        <v>2.3746364810382614E-2</v>
      </c>
      <c r="M188" s="832"/>
      <c r="N188" s="832"/>
      <c r="O188" s="48">
        <f>IF(t&lt;Tnet,'2021'!Resal+('2021'!Salim-'2021'!Resal)*(1-EXP(('2021'!Tnet-t)/('2021'!Tau_j))),Resal+(Salim-Resal)*(1-EXP((Tnet-t)/(Tau_j))))*Salcycl</f>
        <v>1.3528383205738702E-2</v>
      </c>
      <c r="P188" s="169">
        <f>(INDEX(Models!$BJ188:$BT188,,T188)*(1-R188)+INDEX(Models!$BJ188:$BT188,,T188+1)*R188-ERP_i)*Q188*Ramure*Pc/MaxiM</f>
        <v>9.60450267917221E-5</v>
      </c>
      <c r="Q188" s="304">
        <f t="shared" si="53"/>
        <v>0.6</v>
      </c>
      <c r="R188" s="177">
        <f t="shared" si="54"/>
        <v>0.31419595516937704</v>
      </c>
      <c r="S188" s="799">
        <f t="shared" si="55"/>
        <v>0</v>
      </c>
      <c r="T188" s="176">
        <f t="shared" si="56"/>
        <v>6</v>
      </c>
      <c r="U188" s="250">
        <f t="shared" si="57"/>
        <v>0.31419595516937704</v>
      </c>
      <c r="V188" s="382">
        <f t="shared" si="58"/>
        <v>60.733163285957261</v>
      </c>
      <c r="W188" s="400">
        <f t="shared" si="59"/>
        <v>0</v>
      </c>
      <c r="X188" s="157">
        <f t="shared" si="60"/>
        <v>44735</v>
      </c>
      <c r="Y188" s="383">
        <f t="shared" si="61"/>
        <v>40.335097420601777</v>
      </c>
      <c r="Z188" s="383">
        <f t="shared" si="62"/>
        <v>41.31620714812243</v>
      </c>
      <c r="AA188" s="384">
        <f t="shared" si="63"/>
        <v>45.30310832718574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8.8005024959199749E-2</v>
      </c>
      <c r="AD188" s="230">
        <f>(INDEX(Models!$BJ188:$BT188,,AH188)*(1-AF188)+INDEX(Models!$BJ188:$BT188,,AH188+1)*AF188-ERP_i)*AE188*Ramure*Pc/MaxiM</f>
        <v>9.60450267917221E-5</v>
      </c>
      <c r="AE188" s="304">
        <f t="shared" si="65"/>
        <v>0.6</v>
      </c>
      <c r="AF188" s="177">
        <f t="shared" si="66"/>
        <v>0.31419595516937704</v>
      </c>
      <c r="AG188" s="799">
        <f t="shared" si="74"/>
        <v>0</v>
      </c>
      <c r="AH188" s="176">
        <f t="shared" si="67"/>
        <v>6</v>
      </c>
      <c r="AI188" s="224">
        <f t="shared" si="68"/>
        <v>0.31419595516937704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44736</v>
      </c>
      <c r="B189" s="1153">
        <v>41.152000000000001</v>
      </c>
      <c r="C189" s="388"/>
      <c r="D189" s="391">
        <f t="shared" si="50"/>
        <v>42.153787909648678</v>
      </c>
      <c r="E189" s="383">
        <f t="shared" si="75"/>
        <v>42.736254111599472</v>
      </c>
      <c r="F189" s="383">
        <f t="shared" si="51"/>
        <v>42.738497052036806</v>
      </c>
      <c r="G189" s="110">
        <f t="shared" si="76"/>
        <v>0.67827053475104337</v>
      </c>
      <c r="H189" s="412" t="b">
        <f>Wh_hp&gt;='2021'!Maxi_hp</f>
        <v>0</v>
      </c>
      <c r="I189" s="379">
        <f>IF(H189,Wh_hp,'2021'!Maxi_hp)</f>
        <v>62.441537989908561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2.3765074488581783E-2</v>
      </c>
      <c r="M189" s="832"/>
      <c r="N189" s="832"/>
      <c r="O189" s="48">
        <f>IF(t&lt;Tnet,'2021'!Resal+('2021'!Salim-'2021'!Resal)*(1-EXP(('2021'!Tnet-t)/('2021'!Tau_j))),Resal+(Salim-Resal)*(1-EXP((Tnet-t)/(Tau_j))))*Salcycl</f>
        <v>1.3629322785983281E-2</v>
      </c>
      <c r="P189" s="169">
        <f>(INDEX(Models!$BJ189:$BT189,,T189)*(1-R189)+INDEX(Models!$BJ189:$BT189,,T189+1)*R189-ERP_i)*Q189*Ramure*Pc/MaxiM</f>
        <v>9.7108951830866653E-5</v>
      </c>
      <c r="Q189" s="304">
        <f t="shared" si="53"/>
        <v>0.6</v>
      </c>
      <c r="R189" s="177">
        <f t="shared" si="54"/>
        <v>0.31896515755091942</v>
      </c>
      <c r="S189" s="799">
        <f t="shared" si="55"/>
        <v>0</v>
      </c>
      <c r="T189" s="176">
        <f t="shared" si="56"/>
        <v>6</v>
      </c>
      <c r="U189" s="250">
        <f t="shared" si="57"/>
        <v>0.31896515755091942</v>
      </c>
      <c r="V189" s="382">
        <f t="shared" si="58"/>
        <v>60.669248106593841</v>
      </c>
      <c r="W189" s="400">
        <f t="shared" si="59"/>
        <v>0</v>
      </c>
      <c r="X189" s="157">
        <f t="shared" si="60"/>
        <v>44736</v>
      </c>
      <c r="Y189" s="383">
        <f t="shared" si="61"/>
        <v>38.047889866581393</v>
      </c>
      <c r="Z189" s="383">
        <f t="shared" si="62"/>
        <v>38.97411255456705</v>
      </c>
      <c r="AA189" s="384">
        <f t="shared" si="63"/>
        <v>42.736254111599472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8.8031617071728893E-2</v>
      </c>
      <c r="AD189" s="230">
        <f>(INDEX(Models!$BJ189:$BT189,,AH189)*(1-AF189)+INDEX(Models!$BJ189:$BT189,,AH189+1)*AF189-ERP_i)*AE189*Ramure*Pc/MaxiM</f>
        <v>9.7108951830866653E-5</v>
      </c>
      <c r="AE189" s="304">
        <f t="shared" si="65"/>
        <v>0.6</v>
      </c>
      <c r="AF189" s="177">
        <f t="shared" si="66"/>
        <v>0.31896515755091942</v>
      </c>
      <c r="AG189" s="799">
        <f t="shared" si="74"/>
        <v>0</v>
      </c>
      <c r="AH189" s="176">
        <f t="shared" si="67"/>
        <v>6</v>
      </c>
      <c r="AI189" s="224">
        <f t="shared" si="68"/>
        <v>0.31896515755091942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44737</v>
      </c>
      <c r="B190" s="1153">
        <v>35.712000000000003</v>
      </c>
      <c r="C190" s="388"/>
      <c r="D190" s="391">
        <f t="shared" si="50"/>
        <v>36.582059801579945</v>
      </c>
      <c r="E190" s="383">
        <f t="shared" si="75"/>
        <v>37.091322658653375</v>
      </c>
      <c r="F190" s="383">
        <f t="shared" si="51"/>
        <v>37.092829198477951</v>
      </c>
      <c r="G190" s="110">
        <f t="shared" si="76"/>
        <v>0.58923523130159094</v>
      </c>
      <c r="H190" s="412" t="b">
        <f>Wh_hp&gt;='2021'!Maxi_hp</f>
        <v>0</v>
      </c>
      <c r="I190" s="379">
        <f>IF(H190,Wh_hp,'2021'!Maxi_hp)</f>
        <v>58.359170518097258</v>
      </c>
      <c r="J190" s="85">
        <f>IF(H190,An,'2021'!An_max)</f>
        <v>2020</v>
      </c>
      <c r="K190" s="197">
        <f t="shared" si="52"/>
        <v>44737</v>
      </c>
      <c r="L190" s="147">
        <f>IF(t&lt;Tvie,1-EXP((T0-t)*PertePVj)+'2021'!Pspv,1-EXP((T0-t)*PertePVj)+Pspv)</f>
        <v>2.3783783808214221E-2</v>
      </c>
      <c r="M190" s="832"/>
      <c r="N190" s="832"/>
      <c r="O190" s="48">
        <f>IF(t&lt;Tnet,'2021'!Resal+('2021'!Salim-'2021'!Resal)*(1-EXP(('2021'!Tnet-t)/('2021'!Tau_j))),Resal+(Salim-Resal)*(1-EXP((Tnet-t)/(Tau_j))))*Salcycl</f>
        <v>1.3729972957829189E-2</v>
      </c>
      <c r="P190" s="169">
        <f>(INDEX(Models!$BJ190:$BT190,,T190)*(1-R190)+INDEX(Models!$BJ190:$BT190,,T190+1)*R190-ERP_i)*Q190*Ramure*Pc/MaxiM</f>
        <v>9.8284827324718793E-5</v>
      </c>
      <c r="Q190" s="304">
        <f t="shared" si="53"/>
        <v>0.6</v>
      </c>
      <c r="R190" s="177">
        <f t="shared" si="54"/>
        <v>0.3236798049418953</v>
      </c>
      <c r="S190" s="799">
        <f t="shared" si="55"/>
        <v>0</v>
      </c>
      <c r="T190" s="176">
        <f t="shared" si="56"/>
        <v>6</v>
      </c>
      <c r="U190" s="250">
        <f t="shared" si="57"/>
        <v>0.3236798049418953</v>
      </c>
      <c r="V190" s="382">
        <f t="shared" si="58"/>
        <v>60.603878601452791</v>
      </c>
      <c r="W190" s="400">
        <f t="shared" si="59"/>
        <v>0</v>
      </c>
      <c r="X190" s="157">
        <f t="shared" si="60"/>
        <v>44737</v>
      </c>
      <c r="Y190" s="383">
        <f t="shared" si="61"/>
        <v>33.020690791932232</v>
      </c>
      <c r="Z190" s="383">
        <f t="shared" si="62"/>
        <v>33.825181598340755</v>
      </c>
      <c r="AA190" s="384">
        <f t="shared" si="63"/>
        <v>37.091322658653375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8.8056742822856124E-2</v>
      </c>
      <c r="AD190" s="230">
        <f>(INDEX(Models!$BJ190:$BT190,,AH190)*(1-AF190)+INDEX(Models!$BJ190:$BT190,,AH190+1)*AF190-ERP_i)*AE190*Ramure*Pc/MaxiM</f>
        <v>9.8284827324718793E-5</v>
      </c>
      <c r="AE190" s="304">
        <f t="shared" si="65"/>
        <v>0.6</v>
      </c>
      <c r="AF190" s="177">
        <f t="shared" si="66"/>
        <v>0.3236798049418953</v>
      </c>
      <c r="AG190" s="799">
        <f t="shared" si="74"/>
        <v>0</v>
      </c>
      <c r="AH190" s="176">
        <f t="shared" si="67"/>
        <v>6</v>
      </c>
      <c r="AI190" s="224">
        <f t="shared" si="68"/>
        <v>0.3236798049418953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44738</v>
      </c>
      <c r="B191" s="1153">
        <v>12.679</v>
      </c>
      <c r="C191" s="388"/>
      <c r="D191" s="391">
        <f t="shared" si="50"/>
        <v>12.988150354909134</v>
      </c>
      <c r="E191" s="383">
        <f t="shared" si="75"/>
        <v>13.170299948311834</v>
      </c>
      <c r="F191" s="383">
        <f t="shared" si="51"/>
        <v>13.170299948311834</v>
      </c>
      <c r="G191" s="110">
        <f t="shared" si="76"/>
        <v>0.20942111257243751</v>
      </c>
      <c r="H191" s="412" t="b">
        <f>Wh_hp&gt;='2021'!Maxi_hp</f>
        <v>0</v>
      </c>
      <c r="I191" s="379">
        <f>IF(H191,Wh_hp,'2021'!Maxi_hp)</f>
        <v>60.460509614669505</v>
      </c>
      <c r="J191" s="85">
        <f>IF(H191,An,'2021'!An_max)</f>
        <v>2021</v>
      </c>
      <c r="K191" s="197">
        <f t="shared" si="52"/>
        <v>44738</v>
      </c>
      <c r="L191" s="147">
        <f>IF(t&lt;Tvie,1-EXP((T0-t)*PertePVj)+'2021'!Pspv,1-EXP((T0-t)*PertePVj)+Pspv)</f>
        <v>2.3802492769286809E-2</v>
      </c>
      <c r="M191" s="832"/>
      <c r="N191" s="832"/>
      <c r="O191" s="48">
        <f>IF(t&lt;Tnet,'2021'!Resal+('2021'!Salim-'2021'!Resal)*(1-EXP(('2021'!Tnet-t)/('2021'!Tau_j))),Resal+(Salim-Resal)*(1-EXP((Tnet-t)/(Tau_j))))*Salcycl</f>
        <v>1.3830329917888396E-2</v>
      </c>
      <c r="P191" s="169">
        <f>(INDEX(Models!$BJ191:$BT191,,T191)*(1-R191)+INDEX(Models!$BJ191:$BT191,,T191+1)*R191-ERP_i)*Q191*Ramure*Pc/MaxiM</f>
        <v>9.9574914346712485E-5</v>
      </c>
      <c r="Q191" s="304">
        <f t="shared" si="53"/>
        <v>0.6</v>
      </c>
      <c r="R191" s="177">
        <f t="shared" si="54"/>
        <v>0.32833691728272757</v>
      </c>
      <c r="S191" s="799">
        <f t="shared" si="55"/>
        <v>0</v>
      </c>
      <c r="T191" s="176">
        <f t="shared" si="56"/>
        <v>6</v>
      </c>
      <c r="U191" s="250">
        <f t="shared" si="57"/>
        <v>0.32833691728272757</v>
      </c>
      <c r="V191" s="382">
        <f t="shared" si="58"/>
        <v>60.537055380583197</v>
      </c>
      <c r="W191" s="400">
        <f t="shared" si="59"/>
        <v>0</v>
      </c>
      <c r="X191" s="157">
        <f t="shared" si="60"/>
        <v>44738</v>
      </c>
      <c r="Y191" s="383">
        <f t="shared" si="61"/>
        <v>11.724380550450077</v>
      </c>
      <c r="Z191" s="383">
        <f t="shared" si="62"/>
        <v>12.010254547473611</v>
      </c>
      <c r="AA191" s="384">
        <f t="shared" si="63"/>
        <v>13.170299948311834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8.808040860048269E-2</v>
      </c>
      <c r="AD191" s="230">
        <f>(INDEX(Models!$BJ191:$BT191,,AH191)*(1-AF191)+INDEX(Models!$BJ191:$BT191,,AH191+1)*AF191-ERP_i)*AE191*Ramure*Pc/MaxiM</f>
        <v>9.9574914346712485E-5</v>
      </c>
      <c r="AE191" s="304">
        <f t="shared" si="65"/>
        <v>0.6</v>
      </c>
      <c r="AF191" s="177">
        <f t="shared" si="66"/>
        <v>0.32833691728272757</v>
      </c>
      <c r="AG191" s="799">
        <f t="shared" si="74"/>
        <v>0</v>
      </c>
      <c r="AH191" s="176">
        <f t="shared" si="67"/>
        <v>6</v>
      </c>
      <c r="AI191" s="224">
        <f t="shared" si="68"/>
        <v>0.32833691728272757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44739</v>
      </c>
      <c r="B192" s="1153">
        <v>15.406000000000001</v>
      </c>
      <c r="C192" s="388"/>
      <c r="D192" s="391">
        <f t="shared" si="50"/>
        <v>15.781944887196664</v>
      </c>
      <c r="E192" s="383">
        <f t="shared" si="75"/>
        <v>16.004899386041146</v>
      </c>
      <c r="F192" s="383">
        <f t="shared" si="51"/>
        <v>16.004899386041146</v>
      </c>
      <c r="G192" s="110">
        <f t="shared" si="76"/>
        <v>0.25475037749954194</v>
      </c>
      <c r="H192" s="412" t="b">
        <f>Wh_hp&gt;='2021'!Maxi_hp</f>
        <v>0</v>
      </c>
      <c r="I192" s="379">
        <f>IF(H192,Wh_hp,'2021'!Maxi_hp)</f>
        <v>59.284461981263078</v>
      </c>
      <c r="J192" s="85">
        <f>IF(H192,An,'2021'!An_max)</f>
        <v>2018</v>
      </c>
      <c r="K192" s="197">
        <f t="shared" si="52"/>
        <v>44739</v>
      </c>
      <c r="L192" s="147">
        <f>IF(t&lt;Tvie,1-EXP((T0-t)*PertePVj)+'2021'!Pspv,1-EXP((T0-t)*PertePVj)+Pspv)</f>
        <v>2.3821201371806433E-2</v>
      </c>
      <c r="M192" s="832"/>
      <c r="N192" s="832"/>
      <c r="O192" s="48">
        <f>IF(t&lt;Tnet,'2021'!Resal+('2021'!Salim-'2021'!Resal)*(1-EXP(('2021'!Tnet-t)/('2021'!Tau_j))),Resal+(Salim-Resal)*(1-EXP((Tnet-t)/(Tau_j))))*Salcycl</f>
        <v>1.3930390530223071E-2</v>
      </c>
      <c r="P192" s="169">
        <f>(INDEX(Models!$BJ192:$BT192,,T192)*(1-R192)+INDEX(Models!$BJ192:$BT192,,T192+1)*R192-ERP_i)*Q192*Ramure*Pc/MaxiM</f>
        <v>1.0106649313280951E-4</v>
      </c>
      <c r="Q192" s="304">
        <f t="shared" si="53"/>
        <v>0.6</v>
      </c>
      <c r="R192" s="177">
        <f t="shared" si="54"/>
        <v>0.33293368270044471</v>
      </c>
      <c r="S192" s="799">
        <f t="shared" si="55"/>
        <v>0</v>
      </c>
      <c r="T192" s="176">
        <f t="shared" si="56"/>
        <v>6</v>
      </c>
      <c r="U192" s="250">
        <f t="shared" si="57"/>
        <v>0.33293368270044471</v>
      </c>
      <c r="V192" s="382">
        <f t="shared" si="58"/>
        <v>60.468773867212413</v>
      </c>
      <c r="W192" s="400">
        <f t="shared" si="59"/>
        <v>0</v>
      </c>
      <c r="X192" s="157">
        <f t="shared" si="60"/>
        <v>44739</v>
      </c>
      <c r="Y192" s="383">
        <f t="shared" si="61"/>
        <v>14.24715945812922</v>
      </c>
      <c r="Z192" s="383">
        <f t="shared" si="62"/>
        <v>14.594825741094249</v>
      </c>
      <c r="AA192" s="384">
        <f t="shared" si="63"/>
        <v>16.004899386041146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8.8102624761059595E-2</v>
      </c>
      <c r="AD192" s="230">
        <f>(INDEX(Models!$BJ192:$BT192,,AH192)*(1-AF192)+INDEX(Models!$BJ192:$BT192,,AH192+1)*AF192-ERP_i)*AE192*Ramure*Pc/MaxiM</f>
        <v>1.0106649313280951E-4</v>
      </c>
      <c r="AE192" s="304">
        <f t="shared" si="65"/>
        <v>0.6</v>
      </c>
      <c r="AF192" s="177">
        <f t="shared" si="66"/>
        <v>0.33293368270044471</v>
      </c>
      <c r="AG192" s="799">
        <f t="shared" si="74"/>
        <v>0</v>
      </c>
      <c r="AH192" s="176">
        <f t="shared" si="67"/>
        <v>6</v>
      </c>
      <c r="AI192" s="224">
        <f t="shared" si="68"/>
        <v>0.33293368270044471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44740</v>
      </c>
      <c r="B193" s="1153">
        <v>61.117000000000004</v>
      </c>
      <c r="C193" s="388"/>
      <c r="D193" s="391">
        <f t="shared" si="50"/>
        <v>62.609607381043553</v>
      </c>
      <c r="E193" s="383">
        <f t="shared" si="75"/>
        <v>63.500529482493022</v>
      </c>
      <c r="F193" s="383">
        <f t="shared" si="51"/>
        <v>63.507051622398635</v>
      </c>
      <c r="G193" s="110">
        <f t="shared" si="76"/>
        <v>1.0118869712014775</v>
      </c>
      <c r="H193" s="412" t="b">
        <f>Wh_hp&gt;='2021'!Maxi_hp</f>
        <v>1</v>
      </c>
      <c r="I193" s="379">
        <f>IF(H193,Wh_hp,'2021'!Maxi_hp)</f>
        <v>63.507051622398635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2.3839909615779975E-2</v>
      </c>
      <c r="M193" s="832"/>
      <c r="N193" s="832"/>
      <c r="O193" s="48">
        <f>IF(t&lt;Tnet,'2021'!Resal+('2021'!Salim-'2021'!Resal)*(1-EXP(('2021'!Tnet-t)/('2021'!Tau_j))),Resal+(Salim-Resal)*(1-EXP((Tnet-t)/(Tau_j))))*Salcycl</f>
        <v>1.4030152326447868E-2</v>
      </c>
      <c r="P193" s="169">
        <f>(INDEX(Models!$BJ193:$BT193,,T193)*(1-R193)+INDEX(Models!$BJ193:$BT193,,T193+1)*R193-ERP_i)*Q193*Ramure*Pc/MaxiM</f>
        <v>1.0269945996528526E-4</v>
      </c>
      <c r="Q193" s="304">
        <f t="shared" si="53"/>
        <v>0.6</v>
      </c>
      <c r="R193" s="177">
        <f t="shared" si="54"/>
        <v>0.33746746223127422</v>
      </c>
      <c r="S193" s="799">
        <f t="shared" si="55"/>
        <v>0</v>
      </c>
      <c r="T193" s="176">
        <f t="shared" si="56"/>
        <v>6</v>
      </c>
      <c r="U193" s="250">
        <f t="shared" si="57"/>
        <v>0.33746746223127422</v>
      </c>
      <c r="V193" s="382">
        <f t="shared" si="58"/>
        <v>60.399038370295365</v>
      </c>
      <c r="W193" s="400">
        <f t="shared" si="59"/>
        <v>0</v>
      </c>
      <c r="X193" s="157">
        <f t="shared" si="60"/>
        <v>44740</v>
      </c>
      <c r="Y193" s="383">
        <f t="shared" si="61"/>
        <v>56.524205033141257</v>
      </c>
      <c r="Z193" s="383">
        <f t="shared" si="62"/>
        <v>57.904646573794196</v>
      </c>
      <c r="AA193" s="384">
        <f t="shared" si="63"/>
        <v>63.500529482493022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8.8123405494462848E-2</v>
      </c>
      <c r="AD193" s="230">
        <f>(INDEX(Models!$BJ193:$BT193,,AH193)*(1-AF193)+INDEX(Models!$BJ193:$BT193,,AH193+1)*AF193-ERP_i)*AE193*Ramure*Pc/MaxiM</f>
        <v>1.0269945996528526E-4</v>
      </c>
      <c r="AE193" s="304">
        <f t="shared" si="65"/>
        <v>0.6</v>
      </c>
      <c r="AF193" s="177">
        <f t="shared" si="66"/>
        <v>0.33746746223127422</v>
      </c>
      <c r="AG193" s="799">
        <f t="shared" si="74"/>
        <v>0</v>
      </c>
      <c r="AH193" s="176">
        <f t="shared" si="67"/>
        <v>6</v>
      </c>
      <c r="AI193" s="224">
        <f t="shared" si="68"/>
        <v>0.33746746223127422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44741</v>
      </c>
      <c r="B194" s="1153">
        <v>59.364000000000004</v>
      </c>
      <c r="C194" s="388"/>
      <c r="D194" s="391">
        <f t="shared" si="50"/>
        <v>60.81496089023134</v>
      </c>
      <c r="E194" s="383">
        <f t="shared" si="75"/>
        <v>61.686568257959692</v>
      </c>
      <c r="F194" s="383">
        <f t="shared" si="51"/>
        <v>61.692866587615413</v>
      </c>
      <c r="G194" s="110">
        <f t="shared" si="76"/>
        <v>0.98402079725732827</v>
      </c>
      <c r="H194" s="412" t="b">
        <f>Wh_hp&gt;='2021'!Maxi_hp</f>
        <v>1</v>
      </c>
      <c r="I194" s="379">
        <f>IF(H194,Wh_hp,'2021'!Maxi_hp)</f>
        <v>61.692866587615413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2.3858617501214319E-2</v>
      </c>
      <c r="M194" s="832"/>
      <c r="N194" s="832"/>
      <c r="O194" s="48">
        <f>IF(t&lt;Tnet,'2021'!Resal+('2021'!Salim-'2021'!Resal)*(1-EXP(('2021'!Tnet-t)/('2021'!Tau_j))),Resal+(Salim-Resal)*(1-EXP((Tnet-t)/(Tau_j))))*Salcycl</f>
        <v>1.4129613501653723E-2</v>
      </c>
      <c r="P194" s="169">
        <f>(INDEX(Models!$BJ194:$BT194,,T194)*(1-R194)+INDEX(Models!$BJ194:$BT194,,T194+1)*R194-ERP_i)*Q194*Ramure*Pc/MaxiM</f>
        <v>1.044762753225266E-4</v>
      </c>
      <c r="Q194" s="304">
        <f t="shared" si="53"/>
        <v>0.6</v>
      </c>
      <c r="R194" s="177">
        <f t="shared" si="54"/>
        <v>0.34193579356304654</v>
      </c>
      <c r="S194" s="799">
        <f t="shared" si="55"/>
        <v>0</v>
      </c>
      <c r="T194" s="176">
        <f t="shared" si="56"/>
        <v>6</v>
      </c>
      <c r="U194" s="250">
        <f t="shared" si="57"/>
        <v>0.34193579356304654</v>
      </c>
      <c r="V194" s="382">
        <f t="shared" si="58"/>
        <v>60.327849363655261</v>
      </c>
      <c r="W194" s="400">
        <f t="shared" si="59"/>
        <v>0</v>
      </c>
      <c r="X194" s="157">
        <f t="shared" si="60"/>
        <v>44741</v>
      </c>
      <c r="Y194" s="383">
        <f t="shared" si="61"/>
        <v>54.907311774532374</v>
      </c>
      <c r="Z194" s="383">
        <f t="shared" si="62"/>
        <v>56.249343342024204</v>
      </c>
      <c r="AA194" s="384">
        <f t="shared" si="63"/>
        <v>61.686568257959692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8.8142768668832555E-2</v>
      </c>
      <c r="AD194" s="230">
        <f>(INDEX(Models!$BJ194:$BT194,,AH194)*(1-AF194)+INDEX(Models!$BJ194:$BT194,,AH194+1)*AF194-ERP_i)*AE194*Ramure*Pc/MaxiM</f>
        <v>1.044762753225266E-4</v>
      </c>
      <c r="AE194" s="304">
        <f t="shared" si="65"/>
        <v>0.6</v>
      </c>
      <c r="AF194" s="177">
        <f t="shared" si="66"/>
        <v>0.34193579356304654</v>
      </c>
      <c r="AG194" s="799">
        <f t="shared" si="74"/>
        <v>0</v>
      </c>
      <c r="AH194" s="176">
        <f t="shared" si="67"/>
        <v>6</v>
      </c>
      <c r="AI194" s="224">
        <f t="shared" si="68"/>
        <v>0.34193579356304654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44742</v>
      </c>
      <c r="B195" s="1153">
        <v>14.64</v>
      </c>
      <c r="C195" s="388"/>
      <c r="D195" s="391">
        <f t="shared" si="50"/>
        <v>14.998114863402483</v>
      </c>
      <c r="E195" s="383">
        <f t="shared" si="75"/>
        <v>15.214599950963388</v>
      </c>
      <c r="F195" s="383">
        <f t="shared" si="51"/>
        <v>15.214599950963388</v>
      </c>
      <c r="G195" s="110">
        <f t="shared" si="76"/>
        <v>0.24294070128931575</v>
      </c>
      <c r="H195" s="412" t="b">
        <f>Wh_hp&gt;='2021'!Maxi_hp</f>
        <v>0</v>
      </c>
      <c r="I195" s="379">
        <f>IF(H195,Wh_hp,'2021'!Maxi_hp)</f>
        <v>52.702185547178217</v>
      </c>
      <c r="J195" s="85">
        <f>IF(H195,An,'2021'!An_max)</f>
        <v>2018</v>
      </c>
      <c r="K195" s="197">
        <f t="shared" si="52"/>
        <v>44742</v>
      </c>
      <c r="L195" s="147">
        <f>IF(t&lt;Tvie,1-EXP((T0-t)*PertePVj)+'2021'!Pspv,1-EXP((T0-t)*PertePVj)+Pspv)</f>
        <v>2.3877325028116236E-2</v>
      </c>
      <c r="M195" s="832"/>
      <c r="N195" s="832"/>
      <c r="O195" s="48">
        <f>IF(t&lt;Tnet,'2021'!Resal+('2021'!Salim-'2021'!Resal)*(1-EXP(('2021'!Tnet-t)/('2021'!Tau_j))),Resal+(Salim-Resal)*(1-EXP((Tnet-t)/(Tau_j))))*Salcycl</f>
        <v>1.4228772906197722E-2</v>
      </c>
      <c r="P195" s="169">
        <f>(INDEX(Models!$BJ195:$BT195,,T195)*(1-R195)+INDEX(Models!$BJ195:$BT195,,T195+1)*R195-ERP_i)*Q195*Ramure*Pc/MaxiM</f>
        <v>1.0639931949478747E-4</v>
      </c>
      <c r="Q195" s="304">
        <f t="shared" si="53"/>
        <v>0.6</v>
      </c>
      <c r="R195" s="177">
        <f t="shared" si="54"/>
        <v>0.34633639380860215</v>
      </c>
      <c r="S195" s="799">
        <f t="shared" si="55"/>
        <v>0</v>
      </c>
      <c r="T195" s="176">
        <f t="shared" si="56"/>
        <v>6</v>
      </c>
      <c r="U195" s="250">
        <f t="shared" si="57"/>
        <v>0.34633639380860215</v>
      </c>
      <c r="V195" s="382">
        <f t="shared" si="58"/>
        <v>60.255207284224539</v>
      </c>
      <c r="W195" s="400">
        <f t="shared" si="59"/>
        <v>0</v>
      </c>
      <c r="X195" s="157">
        <f t="shared" si="60"/>
        <v>44742</v>
      </c>
      <c r="Y195" s="383">
        <f t="shared" si="61"/>
        <v>13.542013058489752</v>
      </c>
      <c r="Z195" s="383">
        <f t="shared" si="62"/>
        <v>13.873269626565961</v>
      </c>
      <c r="AA195" s="384">
        <f t="shared" si="63"/>
        <v>15.214599950963388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8.8160735656575367E-2</v>
      </c>
      <c r="AD195" s="230">
        <f>(INDEX(Models!$BJ195:$BT195,,AH195)*(1-AF195)+INDEX(Models!$BJ195:$BT195,,AH195+1)*AF195-ERP_i)*AE195*Ramure*Pc/MaxiM</f>
        <v>1.0639931949478747E-4</v>
      </c>
      <c r="AE195" s="304">
        <f t="shared" si="65"/>
        <v>0.6</v>
      </c>
      <c r="AF195" s="177">
        <f t="shared" si="66"/>
        <v>0.34633639380860215</v>
      </c>
      <c r="AG195" s="799">
        <f t="shared" si="74"/>
        <v>0</v>
      </c>
      <c r="AH195" s="176">
        <f t="shared" si="67"/>
        <v>6</v>
      </c>
      <c r="AI195" s="224">
        <f t="shared" si="68"/>
        <v>0.34633639380860215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44743</v>
      </c>
      <c r="B196" s="1153">
        <v>52.805</v>
      </c>
      <c r="C196" s="388"/>
      <c r="D196" s="391">
        <f t="shared" si="50"/>
        <v>54.097720879903036</v>
      </c>
      <c r="E196" s="383">
        <f t="shared" si="75"/>
        <v>54.884079668113522</v>
      </c>
      <c r="F196" s="383">
        <f t="shared" si="51"/>
        <v>54.888991046029723</v>
      </c>
      <c r="G196" s="110">
        <f t="shared" si="76"/>
        <v>0.8774180932614164</v>
      </c>
      <c r="H196" s="412" t="b">
        <f>Wh_hp&gt;='2021'!Maxi_hp</f>
        <v>0</v>
      </c>
      <c r="I196" s="379">
        <f>IF(H196,Wh_hp,'2021'!Maxi_hp)</f>
        <v>60.959454139649438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2.3896032196492722E-2</v>
      </c>
      <c r="M196" s="832"/>
      <c r="N196" s="832"/>
      <c r="O196" s="48">
        <f>IF(t&lt;Tnet,'2021'!Resal+('2021'!Salim-'2021'!Resal)*(1-EXP(('2021'!Tnet-t)/('2021'!Tau_j))),Resal+(Salim-Resal)*(1-EXP((Tnet-t)/(Tau_j))))*Salcycl</f>
        <v>1.4327630033438253E-2</v>
      </c>
      <c r="P196" s="169">
        <f>(INDEX(Models!$BJ196:$BT196,,T196)*(1-R196)+INDEX(Models!$BJ196:$BT196,,T196+1)*R196-ERP_i)*Q196*Ramure*Pc/MaxiM</f>
        <v>1.0847089463189859E-4</v>
      </c>
      <c r="Q196" s="304">
        <f t="shared" si="53"/>
        <v>0.6</v>
      </c>
      <c r="R196" s="177">
        <f t="shared" si="54"/>
        <v>0.35066716132954501</v>
      </c>
      <c r="S196" s="799">
        <f t="shared" si="55"/>
        <v>0</v>
      </c>
      <c r="T196" s="176">
        <f t="shared" si="56"/>
        <v>6</v>
      </c>
      <c r="U196" s="250">
        <f t="shared" si="57"/>
        <v>0.35066716132954501</v>
      </c>
      <c r="V196" s="382">
        <f t="shared" si="58"/>
        <v>60.181112534577458</v>
      </c>
      <c r="W196" s="400">
        <f t="shared" si="59"/>
        <v>0</v>
      </c>
      <c r="X196" s="157">
        <f t="shared" si="60"/>
        <v>44743</v>
      </c>
      <c r="Y196" s="383">
        <f t="shared" si="61"/>
        <v>48.848681870461562</v>
      </c>
      <c r="Z196" s="383">
        <f t="shared" si="62"/>
        <v>50.044548000746325</v>
      </c>
      <c r="AA196" s="384">
        <f t="shared" si="63"/>
        <v>54.884079668113522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8.817733114287532E-2</v>
      </c>
      <c r="AD196" s="230">
        <f>(INDEX(Models!$BJ196:$BT196,,AH196)*(1-AF196)+INDEX(Models!$BJ196:$BT196,,AH196+1)*AF196-ERP_i)*AE196*Ramure*Pc/MaxiM</f>
        <v>1.0847089463189859E-4</v>
      </c>
      <c r="AE196" s="304">
        <f t="shared" si="65"/>
        <v>0.6</v>
      </c>
      <c r="AF196" s="177">
        <f t="shared" si="66"/>
        <v>0.35066716132954501</v>
      </c>
      <c r="AG196" s="799">
        <f t="shared" si="74"/>
        <v>0</v>
      </c>
      <c r="AH196" s="176">
        <f t="shared" si="67"/>
        <v>6</v>
      </c>
      <c r="AI196" s="224">
        <f t="shared" si="68"/>
        <v>0.35066716132954501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44744</v>
      </c>
      <c r="B197" s="1153">
        <v>58.331000000000003</v>
      </c>
      <c r="C197" s="388"/>
      <c r="D197" s="391">
        <f t="shared" si="50"/>
        <v>59.760148350789933</v>
      </c>
      <c r="E197" s="383">
        <f t="shared" si="75"/>
        <v>60.634878323146097</v>
      </c>
      <c r="F197" s="383">
        <f t="shared" si="51"/>
        <v>60.641307786297681</v>
      </c>
      <c r="G197" s="110">
        <f t="shared" si="76"/>
        <v>0.97047132276476467</v>
      </c>
      <c r="H197" s="412" t="b">
        <f>Wh_hp&gt;='2021'!Maxi_hp</f>
        <v>1</v>
      </c>
      <c r="I197" s="379">
        <f>IF(H197,Wh_hp,'2021'!Maxi_hp)</f>
        <v>60.641307786297681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2.3914739006350549E-2</v>
      </c>
      <c r="M197" s="832"/>
      <c r="N197" s="832"/>
      <c r="O197" s="48">
        <f>IF(t&lt;Tnet,'2021'!Resal+('2021'!Salim-'2021'!Resal)*(1-EXP(('2021'!Tnet-t)/('2021'!Tau_j))),Resal+(Salim-Resal)*(1-EXP((Tnet-t)/(Tau_j))))*Salcycl</f>
        <v>1.4426185003528783E-2</v>
      </c>
      <c r="P197" s="169">
        <f>(INDEX(Models!$BJ197:$BT197,,T197)*(1-R197)+INDEX(Models!$BJ197:$BT197,,T197+1)*R197-ERP_i)*Q197*Ramure*Pc/MaxiM</f>
        <v>1.1069322758212187E-4</v>
      </c>
      <c r="Q197" s="304">
        <f t="shared" si="53"/>
        <v>0.6</v>
      </c>
      <c r="R197" s="177">
        <f t="shared" si="54"/>
        <v>0.35492617663720566</v>
      </c>
      <c r="S197" s="799">
        <f t="shared" si="55"/>
        <v>0</v>
      </c>
      <c r="T197" s="176">
        <f t="shared" si="56"/>
        <v>6</v>
      </c>
      <c r="U197" s="250">
        <f t="shared" si="57"/>
        <v>0.35492617663720566</v>
      </c>
      <c r="V197" s="382">
        <f t="shared" si="58"/>
        <v>60.105565481580683</v>
      </c>
      <c r="W197" s="400">
        <f t="shared" si="59"/>
        <v>0</v>
      </c>
      <c r="X197" s="157">
        <f t="shared" si="60"/>
        <v>44744</v>
      </c>
      <c r="Y197" s="383">
        <f t="shared" si="61"/>
        <v>53.965149678808679</v>
      </c>
      <c r="Z197" s="383">
        <f t="shared" si="62"/>
        <v>55.287331788897674</v>
      </c>
      <c r="AA197" s="384">
        <f t="shared" si="63"/>
        <v>60.634878323146097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8.8192582918190016E-2</v>
      </c>
      <c r="AD197" s="230">
        <f>(INDEX(Models!$BJ197:$BT197,,AH197)*(1-AF197)+INDEX(Models!$BJ197:$BT197,,AH197+1)*AF197-ERP_i)*AE197*Ramure*Pc/MaxiM</f>
        <v>1.1069322758212187E-4</v>
      </c>
      <c r="AE197" s="304">
        <f t="shared" si="65"/>
        <v>0.6</v>
      </c>
      <c r="AF197" s="177">
        <f t="shared" si="66"/>
        <v>0.35492617663720566</v>
      </c>
      <c r="AG197" s="799">
        <f t="shared" si="74"/>
        <v>0</v>
      </c>
      <c r="AH197" s="176">
        <f t="shared" si="67"/>
        <v>6</v>
      </c>
      <c r="AI197" s="224">
        <f t="shared" si="68"/>
        <v>0.35492617663720566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44745</v>
      </c>
      <c r="B198" s="1153">
        <v>48.051000000000002</v>
      </c>
      <c r="C198" s="388"/>
      <c r="D198" s="391">
        <f t="shared" si="50"/>
        <v>49.229224970762424</v>
      </c>
      <c r="E198" s="383">
        <f t="shared" si="75"/>
        <v>49.954790251722848</v>
      </c>
      <c r="F198" s="383">
        <f t="shared" si="51"/>
        <v>49.958829458254328</v>
      </c>
      <c r="G198" s="110">
        <f t="shared" si="76"/>
        <v>0.80044309922839441</v>
      </c>
      <c r="H198" s="412" t="b">
        <f>Wh_hp&gt;='2021'!Maxi_hp</f>
        <v>1</v>
      </c>
      <c r="I198" s="379">
        <f>IF(H198,Wh_hp,'2021'!Maxi_hp)</f>
        <v>49.958829458254328</v>
      </c>
      <c r="J198" s="85">
        <f>IF(H198,An,'2021'!An_max)</f>
        <v>2022</v>
      </c>
      <c r="K198" s="197">
        <f t="shared" si="52"/>
        <v>44745</v>
      </c>
      <c r="L198" s="147">
        <f>IF(t&lt;Tvie,1-EXP((T0-t)*PertePVj)+'2021'!Pspv,1-EXP((T0-t)*PertePVj)+Pspv)</f>
        <v>2.3933445457696712E-2</v>
      </c>
      <c r="M198" s="832"/>
      <c r="N198" s="832"/>
      <c r="O198" s="48">
        <f>IF(t&lt;Tnet,'2021'!Resal+('2021'!Salim-'2021'!Resal)*(1-EXP(('2021'!Tnet-t)/('2021'!Tau_j))),Resal+(Salim-Resal)*(1-EXP((Tnet-t)/(Tau_j))))*Salcycl</f>
        <v>1.4524438543416797E-2</v>
      </c>
      <c r="P198" s="169">
        <f>(INDEX(Models!$BJ198:$BT198,,T198)*(1-R198)+INDEX(Models!$BJ198:$BT198,,T198+1)*R198-ERP_i)*Q198*Ramure*Pc/MaxiM</f>
        <v>1.1308493365220742E-4</v>
      </c>
      <c r="Q198" s="304">
        <f t="shared" si="53"/>
        <v>0.6</v>
      </c>
      <c r="R198" s="177">
        <f t="shared" si="54"/>
        <v>0.35911170240450213</v>
      </c>
      <c r="S198" s="799">
        <f t="shared" si="55"/>
        <v>0</v>
      </c>
      <c r="T198" s="176">
        <f t="shared" si="56"/>
        <v>6</v>
      </c>
      <c r="U198" s="250">
        <f t="shared" si="57"/>
        <v>0.35911170240450213</v>
      </c>
      <c r="V198" s="382">
        <f t="shared" si="58"/>
        <v>60.028565470936584</v>
      </c>
      <c r="W198" s="400">
        <f t="shared" si="59"/>
        <v>0</v>
      </c>
      <c r="X198" s="157">
        <f t="shared" si="60"/>
        <v>44745</v>
      </c>
      <c r="Y198" s="383">
        <f t="shared" si="61"/>
        <v>44.458320572794811</v>
      </c>
      <c r="Z198" s="383">
        <f t="shared" si="62"/>
        <v>45.548451963546881</v>
      </c>
      <c r="AA198" s="384">
        <f t="shared" si="63"/>
        <v>49.954790251722848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8.820652165632907E-2</v>
      </c>
      <c r="AD198" s="230">
        <f>(INDEX(Models!$BJ198:$BT198,,AH198)*(1-AF198)+INDEX(Models!$BJ198:$BT198,,AH198+1)*AF198-ERP_i)*AE198*Ramure*Pc/MaxiM</f>
        <v>1.1308493365220742E-4</v>
      </c>
      <c r="AE198" s="304">
        <f t="shared" si="65"/>
        <v>0.6</v>
      </c>
      <c r="AF198" s="177">
        <f t="shared" si="66"/>
        <v>0.35911170240450213</v>
      </c>
      <c r="AG198" s="799">
        <f t="shared" si="74"/>
        <v>0</v>
      </c>
      <c r="AH198" s="176">
        <f t="shared" si="67"/>
        <v>6</v>
      </c>
      <c r="AI198" s="224">
        <f t="shared" si="68"/>
        <v>0.35911170240450213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44746</v>
      </c>
      <c r="B199" s="1153">
        <v>46.488</v>
      </c>
      <c r="C199" s="388"/>
      <c r="D199" s="391">
        <f t="shared" si="50"/>
        <v>47.628812536035277</v>
      </c>
      <c r="E199" s="383">
        <f t="shared" si="75"/>
        <v>48.335594545251539</v>
      </c>
      <c r="F199" s="383">
        <f t="shared" si="51"/>
        <v>48.339389383622176</v>
      </c>
      <c r="G199" s="110">
        <f t="shared" si="76"/>
        <v>0.77541594059786778</v>
      </c>
      <c r="H199" s="412" t="b">
        <f>Wh_hp&gt;='2021'!Maxi_hp</f>
        <v>0</v>
      </c>
      <c r="I199" s="379">
        <f>IF(H199,Wh_hp,'2021'!Maxi_hp)</f>
        <v>58.082093863284776</v>
      </c>
      <c r="J199" s="85">
        <f>IF(H199,An,'2021'!An_max)</f>
        <v>2018</v>
      </c>
      <c r="K199" s="197">
        <f t="shared" si="52"/>
        <v>44746</v>
      </c>
      <c r="L199" s="147">
        <f>IF(t&lt;Tvie,1-EXP((T0-t)*PertePVj)+'2021'!Pspv,1-EXP((T0-t)*PertePVj)+Pspv)</f>
        <v>2.3952151550537981E-2</v>
      </c>
      <c r="M199" s="832"/>
      <c r="N199" s="832"/>
      <c r="O199" s="48">
        <f>IF(t&lt;Tnet,'2021'!Resal+('2021'!Salim-'2021'!Resal)*(1-EXP(('2021'!Tnet-t)/('2021'!Tau_j))),Resal+(Salim-Resal)*(1-EXP((Tnet-t)/(Tau_j))))*Salcycl</f>
        <v>1.4622391963226454E-2</v>
      </c>
      <c r="P199" s="169">
        <f>(INDEX(Models!$BJ199:$BT199,,T199)*(1-R199)+INDEX(Models!$BJ199:$BT199,,T199+1)*R199-ERP_i)*Q199*Ramure*Pc/MaxiM</f>
        <v>1.1558198729738525E-4</v>
      </c>
      <c r="Q199" s="304">
        <f t="shared" si="53"/>
        <v>0.6</v>
      </c>
      <c r="R199" s="177">
        <f t="shared" si="54"/>
        <v>0.36322218262845923</v>
      </c>
      <c r="S199" s="799">
        <f t="shared" si="55"/>
        <v>0</v>
      </c>
      <c r="T199" s="176">
        <f t="shared" si="56"/>
        <v>6</v>
      </c>
      <c r="U199" s="250">
        <f t="shared" si="57"/>
        <v>0.36322218262845923</v>
      </c>
      <c r="V199" s="382">
        <f t="shared" si="58"/>
        <v>59.950116772414432</v>
      </c>
      <c r="W199" s="400">
        <f t="shared" si="59"/>
        <v>0</v>
      </c>
      <c r="X199" s="157">
        <f t="shared" si="60"/>
        <v>44746</v>
      </c>
      <c r="Y199" s="383">
        <f t="shared" si="61"/>
        <v>43.015861516283643</v>
      </c>
      <c r="Z199" s="383">
        <f t="shared" si="62"/>
        <v>44.071467996797622</v>
      </c>
      <c r="AA199" s="384">
        <f t="shared" si="63"/>
        <v>48.335594545251539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8.8219180679816822E-2</v>
      </c>
      <c r="AD199" s="230">
        <f>(INDEX(Models!$BJ199:$BT199,,AH199)*(1-AF199)+INDEX(Models!$BJ199:$BT199,,AH199+1)*AF199-ERP_i)*AE199*Ramure*Pc/MaxiM</f>
        <v>1.1558198729738525E-4</v>
      </c>
      <c r="AE199" s="304">
        <f t="shared" si="65"/>
        <v>0.6</v>
      </c>
      <c r="AF199" s="177">
        <f t="shared" si="66"/>
        <v>0.36322218262845923</v>
      </c>
      <c r="AG199" s="799">
        <f t="shared" si="74"/>
        <v>0</v>
      </c>
      <c r="AH199" s="176">
        <f t="shared" si="67"/>
        <v>6</v>
      </c>
      <c r="AI199" s="224">
        <f t="shared" si="68"/>
        <v>0.36322218262845923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44747</v>
      </c>
      <c r="B200" s="1153">
        <v>58.274999999999999</v>
      </c>
      <c r="C200" s="388"/>
      <c r="D200" s="391">
        <f t="shared" si="50"/>
        <v>59.706209015327708</v>
      </c>
      <c r="E200" s="383">
        <f t="shared" si="75"/>
        <v>60.59821763486039</v>
      </c>
      <c r="F200" s="383">
        <f t="shared" si="51"/>
        <v>60.605107647822642</v>
      </c>
      <c r="G200" s="110">
        <f t="shared" si="76"/>
        <v>0.97335099340474018</v>
      </c>
      <c r="H200" s="412" t="b">
        <f>Wh_hp&gt;='2021'!Maxi_hp</f>
        <v>0</v>
      </c>
      <c r="I200" s="379">
        <f>IF(H200,Wh_hp,'2021'!Maxi_hp)</f>
        <v>61.390169549077257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2.3970857284881242E-2</v>
      </c>
      <c r="M200" s="832"/>
      <c r="N200" s="832"/>
      <c r="O200" s="48">
        <f>IF(t&lt;Tnet,'2021'!Resal+('2021'!Salim-'2021'!Resal)*(1-EXP(('2021'!Tnet-t)/('2021'!Tau_j))),Resal+(Salim-Resal)*(1-EXP((Tnet-t)/(Tau_j))))*Salcycl</f>
        <v>1.4720047129233358E-2</v>
      </c>
      <c r="P200" s="169">
        <f>(INDEX(Models!$BJ200:$BT200,,T200)*(1-R200)+INDEX(Models!$BJ200:$BT200,,T200+1)*R200-ERP_i)*Q200*Ramure*Pc/MaxiM</f>
        <v>1.1818558856761846E-4</v>
      </c>
      <c r="Q200" s="304">
        <f t="shared" si="53"/>
        <v>0.6</v>
      </c>
      <c r="R200" s="177">
        <f t="shared" si="54"/>
        <v>0.36725624098843307</v>
      </c>
      <c r="S200" s="799">
        <f t="shared" si="55"/>
        <v>0</v>
      </c>
      <c r="T200" s="176">
        <f t="shared" si="56"/>
        <v>6</v>
      </c>
      <c r="U200" s="250">
        <f t="shared" si="57"/>
        <v>0.36725624098843307</v>
      </c>
      <c r="V200" s="382">
        <f t="shared" si="58"/>
        <v>59.87021969452902</v>
      </c>
      <c r="W200" s="400">
        <f t="shared" si="59"/>
        <v>0</v>
      </c>
      <c r="X200" s="157">
        <f t="shared" si="60"/>
        <v>44747</v>
      </c>
      <c r="Y200" s="383">
        <f t="shared" si="61"/>
        <v>53.927172556322759</v>
      </c>
      <c r="Z200" s="383">
        <f t="shared" si="62"/>
        <v>55.251600793710011</v>
      </c>
      <c r="AA200" s="384">
        <f t="shared" si="63"/>
        <v>60.59821763486039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8.8230595714330437E-2</v>
      </c>
      <c r="AD200" s="230">
        <f>(INDEX(Models!$BJ200:$BT200,,AH200)*(1-AF200)+INDEX(Models!$BJ200:$BT200,,AH200+1)*AF200-ERP_i)*AE200*Ramure*Pc/MaxiM</f>
        <v>1.1818558856761846E-4</v>
      </c>
      <c r="AE200" s="304">
        <f t="shared" si="65"/>
        <v>0.6</v>
      </c>
      <c r="AF200" s="177">
        <f t="shared" si="66"/>
        <v>0.36725624098843307</v>
      </c>
      <c r="AG200" s="799">
        <f t="shared" si="74"/>
        <v>0</v>
      </c>
      <c r="AH200" s="176">
        <f t="shared" si="67"/>
        <v>6</v>
      </c>
      <c r="AI200" s="224">
        <f t="shared" si="68"/>
        <v>0.36725624098843307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44748</v>
      </c>
      <c r="B201" s="1153">
        <v>49.533999999999999</v>
      </c>
      <c r="C201" s="388"/>
      <c r="D201" s="391">
        <f t="shared" si="50"/>
        <v>50.751506443964082</v>
      </c>
      <c r="E201" s="383">
        <f t="shared" si="75"/>
        <v>51.514822506399717</v>
      </c>
      <c r="F201" s="383">
        <f t="shared" si="51"/>
        <v>51.519524902125291</v>
      </c>
      <c r="G201" s="110">
        <f t="shared" si="76"/>
        <v>0.8284573497719746</v>
      </c>
      <c r="H201" s="412" t="b">
        <f>Wh_hp&gt;='2021'!Maxi_hp</f>
        <v>0</v>
      </c>
      <c r="I201" s="379">
        <f>IF(H201,Wh_hp,'2021'!Maxi_hp)</f>
        <v>60.936475957669771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2.3989562660733266E-2</v>
      </c>
      <c r="M201" s="832"/>
      <c r="N201" s="832"/>
      <c r="O201" s="48">
        <f>IF(t&lt;Tnet,'2021'!Resal+('2021'!Salim-'2021'!Resal)*(1-EXP(('2021'!Tnet-t)/('2021'!Tau_j))),Resal+(Salim-Resal)*(1-EXP((Tnet-t)/(Tau_j))))*Salcycl</f>
        <v>1.4817406433668809E-2</v>
      </c>
      <c r="P201" s="169">
        <f>(INDEX(Models!$BJ201:$BT201,,T201)*(1-R201)+INDEX(Models!$BJ201:$BT201,,T201+1)*R201-ERP_i)*Q201*Ramure*Pc/MaxiM</f>
        <v>1.208969241514765E-4</v>
      </c>
      <c r="Q201" s="304">
        <f t="shared" si="53"/>
        <v>0.6</v>
      </c>
      <c r="R201" s="177">
        <f t="shared" si="54"/>
        <v>0.37121267844955919</v>
      </c>
      <c r="S201" s="799">
        <f t="shared" si="55"/>
        <v>0</v>
      </c>
      <c r="T201" s="176">
        <f t="shared" si="56"/>
        <v>6</v>
      </c>
      <c r="U201" s="250">
        <f t="shared" si="57"/>
        <v>0.37121267844955919</v>
      </c>
      <c r="V201" s="382">
        <f t="shared" si="58"/>
        <v>59.788874515115722</v>
      </c>
      <c r="W201" s="400">
        <f t="shared" si="59"/>
        <v>0</v>
      </c>
      <c r="X201" s="157">
        <f t="shared" si="60"/>
        <v>44748</v>
      </c>
      <c r="Y201" s="383">
        <f t="shared" si="61"/>
        <v>45.842344635593442</v>
      </c>
      <c r="Z201" s="383">
        <f t="shared" si="62"/>
        <v>46.969113117853254</v>
      </c>
      <c r="AA201" s="384">
        <f t="shared" si="63"/>
        <v>51.514822506399717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8.8240804634078782E-2</v>
      </c>
      <c r="AD201" s="230">
        <f>(INDEX(Models!$BJ201:$BT201,,AH201)*(1-AF201)+INDEX(Models!$BJ201:$BT201,,AH201+1)*AF201-ERP_i)*AE201*Ramure*Pc/MaxiM</f>
        <v>1.208969241514765E-4</v>
      </c>
      <c r="AE201" s="304">
        <f t="shared" si="65"/>
        <v>0.6</v>
      </c>
      <c r="AF201" s="177">
        <f t="shared" si="66"/>
        <v>0.37121267844955919</v>
      </c>
      <c r="AG201" s="799">
        <f t="shared" si="74"/>
        <v>0</v>
      </c>
      <c r="AH201" s="176">
        <f t="shared" si="67"/>
        <v>6</v>
      </c>
      <c r="AI201" s="224">
        <f t="shared" si="68"/>
        <v>0.37121267844955919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44749</v>
      </c>
      <c r="B202" s="1153">
        <v>57.695999999999998</v>
      </c>
      <c r="C202" s="388"/>
      <c r="D202" s="391">
        <f t="shared" si="50"/>
        <v>59.11525486260048</v>
      </c>
      <c r="E202" s="383">
        <f t="shared" si="75"/>
        <v>60.010276496829512</v>
      </c>
      <c r="F202" s="383">
        <f t="shared" si="51"/>
        <v>60.017344561452532</v>
      </c>
      <c r="G202" s="110">
        <f t="shared" si="76"/>
        <v>0.96632797245907009</v>
      </c>
      <c r="H202" s="412" t="b">
        <f>Wh_hp&gt;='2021'!Maxi_hp</f>
        <v>1</v>
      </c>
      <c r="I202" s="379">
        <f>IF(H202,Wh_hp,'2021'!Maxi_hp)</f>
        <v>60.017344561452532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2.4008267678101158E-2</v>
      </c>
      <c r="M202" s="832"/>
      <c r="N202" s="832"/>
      <c r="O202" s="48">
        <f>IF(t&lt;Tnet,'2021'!Resal+('2021'!Salim-'2021'!Resal)*(1-EXP(('2021'!Tnet-t)/('2021'!Tau_j))),Resal+(Salim-Resal)*(1-EXP((Tnet-t)/(Tau_j))))*Salcycl</f>
        <v>1.4914472761616383E-2</v>
      </c>
      <c r="P202" s="169">
        <f>(INDEX(Models!$BJ202:$BT202,,T202)*(1-R202)+INDEX(Models!$BJ202:$BT202,,T202+1)*R202-ERP_i)*Q202*Ramure*Pc/MaxiM</f>
        <v>1.2371717137716278E-4</v>
      </c>
      <c r="Q202" s="304">
        <f t="shared" si="53"/>
        <v>0.6</v>
      </c>
      <c r="R202" s="177">
        <f t="shared" si="54"/>
        <v>0.37509047016459879</v>
      </c>
      <c r="S202" s="799">
        <f t="shared" si="55"/>
        <v>0</v>
      </c>
      <c r="T202" s="176">
        <f t="shared" si="56"/>
        <v>6</v>
      </c>
      <c r="U202" s="250">
        <f t="shared" si="57"/>
        <v>0.37509047016459879</v>
      </c>
      <c r="V202" s="382">
        <f t="shared" si="58"/>
        <v>59.706081480374777</v>
      </c>
      <c r="W202" s="400">
        <f t="shared" si="59"/>
        <v>0</v>
      </c>
      <c r="X202" s="157">
        <f t="shared" si="60"/>
        <v>44749</v>
      </c>
      <c r="Y202" s="383">
        <f t="shared" si="61"/>
        <v>53.400781314307551</v>
      </c>
      <c r="Z202" s="383">
        <f t="shared" si="62"/>
        <v>54.714378765551935</v>
      </c>
      <c r="AA202" s="384">
        <f t="shared" si="63"/>
        <v>60.010276496829512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8.8249847200043682E-2</v>
      </c>
      <c r="AD202" s="230">
        <f>(INDEX(Models!$BJ202:$BT202,,AH202)*(1-AF202)+INDEX(Models!$BJ202:$BT202,,AH202+1)*AF202-ERP_i)*AE202*Ramure*Pc/MaxiM</f>
        <v>1.2371717137716278E-4</v>
      </c>
      <c r="AE202" s="304">
        <f t="shared" si="65"/>
        <v>0.6</v>
      </c>
      <c r="AF202" s="177">
        <f t="shared" si="66"/>
        <v>0.37509047016459879</v>
      </c>
      <c r="AG202" s="799">
        <f t="shared" si="74"/>
        <v>0</v>
      </c>
      <c r="AH202" s="176">
        <f t="shared" si="67"/>
        <v>6</v>
      </c>
      <c r="AI202" s="224">
        <f t="shared" si="68"/>
        <v>0.37509047016459879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44750</v>
      </c>
      <c r="B203" s="1153">
        <v>60.181000000000004</v>
      </c>
      <c r="C203" s="388"/>
      <c r="D203" s="391">
        <f t="shared" si="50"/>
        <v>61.662564737167891</v>
      </c>
      <c r="E203" s="383">
        <f t="shared" si="75"/>
        <v>62.602303531961802</v>
      </c>
      <c r="F203" s="383">
        <f t="shared" si="51"/>
        <v>62.610232961581055</v>
      </c>
      <c r="G203" s="110">
        <f t="shared" si="76"/>
        <v>1.0093784288127614</v>
      </c>
      <c r="H203" s="412" t="b">
        <f>Wh_hp&gt;='2021'!Maxi_hp</f>
        <v>0</v>
      </c>
      <c r="I203" s="379">
        <f>IF(H203,Wh_hp,'2021'!Maxi_hp)</f>
        <v>63.179240618782657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2.4026972336991581E-2</v>
      </c>
      <c r="M203" s="832"/>
      <c r="N203" s="832"/>
      <c r="O203" s="48">
        <f>IF(t&lt;Tnet,'2021'!Resal+('2021'!Salim-'2021'!Resal)*(1-EXP(('2021'!Tnet-t)/('2021'!Tau_j))),Resal+(Salim-Resal)*(1-EXP((Tnet-t)/(Tau_j))))*Salcycl</f>
        <v>1.5011249455287595E-2</v>
      </c>
      <c r="P203" s="169">
        <f>(INDEX(Models!$BJ203:$BT203,,T203)*(1-R203)+INDEX(Models!$BJ203:$BT203,,T203+1)*R203-ERP_i)*Q203*Ramure*Pc/MaxiM</f>
        <v>1.2664750224007079E-4</v>
      </c>
      <c r="Q203" s="304">
        <f t="shared" si="53"/>
        <v>0.6</v>
      </c>
      <c r="R203" s="177">
        <f t="shared" si="54"/>
        <v>0.3788887617302012</v>
      </c>
      <c r="S203" s="799">
        <f t="shared" si="55"/>
        <v>0</v>
      </c>
      <c r="T203" s="176">
        <f t="shared" si="56"/>
        <v>6</v>
      </c>
      <c r="U203" s="250">
        <f t="shared" si="57"/>
        <v>0.3788887617302012</v>
      </c>
      <c r="V203" s="382">
        <f t="shared" si="58"/>
        <v>59.621840810275046</v>
      </c>
      <c r="W203" s="400">
        <f t="shared" si="59"/>
        <v>0</v>
      </c>
      <c r="X203" s="157">
        <f t="shared" si="60"/>
        <v>44750</v>
      </c>
      <c r="Y203" s="383">
        <f t="shared" si="61"/>
        <v>55.705772707197148</v>
      </c>
      <c r="Z203" s="383">
        <f t="shared" si="62"/>
        <v>57.077164151335204</v>
      </c>
      <c r="AA203" s="384">
        <f t="shared" si="63"/>
        <v>62.602303531961802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8.8257764793043494E-2</v>
      </c>
      <c r="AD203" s="230">
        <f>(INDEX(Models!$BJ203:$BT203,,AH203)*(1-AF203)+INDEX(Models!$BJ203:$BT203,,AH203+1)*AF203-ERP_i)*AE203*Ramure*Pc/MaxiM</f>
        <v>1.2664750224007079E-4</v>
      </c>
      <c r="AE203" s="304">
        <f t="shared" si="65"/>
        <v>0.6</v>
      </c>
      <c r="AF203" s="177">
        <f t="shared" si="66"/>
        <v>0.3788887617302012</v>
      </c>
      <c r="AG203" s="799">
        <f t="shared" si="74"/>
        <v>0</v>
      </c>
      <c r="AH203" s="176">
        <f t="shared" si="67"/>
        <v>6</v>
      </c>
      <c r="AI203" s="224">
        <f t="shared" si="68"/>
        <v>0.3788887617302012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44751</v>
      </c>
      <c r="B204" s="1153">
        <v>59.477000000000004</v>
      </c>
      <c r="C204" s="388"/>
      <c r="D204" s="391">
        <f t="shared" si="50"/>
        <v>60.942401274555337</v>
      </c>
      <c r="E204" s="383">
        <f t="shared" si="75"/>
        <v>61.877226339084515</v>
      </c>
      <c r="F204" s="383">
        <f t="shared" si="51"/>
        <v>61.885240787846676</v>
      </c>
      <c r="G204" s="110">
        <f t="shared" si="76"/>
        <v>0.99900625678505484</v>
      </c>
      <c r="H204" s="412" t="b">
        <f>Wh_hp&gt;='2021'!Maxi_hp</f>
        <v>1</v>
      </c>
      <c r="I204" s="379">
        <f>IF(H204,Wh_hp,'2021'!Maxi_hp)</f>
        <v>61.885240787846676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2.4045676637411528E-2</v>
      </c>
      <c r="M204" s="832"/>
      <c r="N204" s="832"/>
      <c r="O204" s="48">
        <f>IF(t&lt;Tnet,'2021'!Resal+('2021'!Salim-'2021'!Resal)*(1-EXP(('2021'!Tnet-t)/('2021'!Tau_j))),Resal+(Salim-Resal)*(1-EXP((Tnet-t)/(Tau_j))))*Salcycl</f>
        <v>1.5107740275984265E-2</v>
      </c>
      <c r="P204" s="169">
        <f>(INDEX(Models!$BJ204:$BT204,,T204)*(1-R204)+INDEX(Models!$BJ204:$BT204,,T204+1)*R204-ERP_i)*Q204*Ramure*Pc/MaxiM</f>
        <v>1.2968908742187348E-4</v>
      </c>
      <c r="Q204" s="304">
        <f t="shared" si="53"/>
        <v>0.6</v>
      </c>
      <c r="R204" s="177">
        <f t="shared" si="54"/>
        <v>0.38260686485565326</v>
      </c>
      <c r="S204" s="799">
        <f t="shared" si="55"/>
        <v>0</v>
      </c>
      <c r="T204" s="176">
        <f t="shared" si="56"/>
        <v>6</v>
      </c>
      <c r="U204" s="250">
        <f t="shared" si="57"/>
        <v>0.38260686485565326</v>
      </c>
      <c r="V204" s="382">
        <f t="shared" si="58"/>
        <v>59.536152698030442</v>
      </c>
      <c r="W204" s="400">
        <f t="shared" si="59"/>
        <v>0</v>
      </c>
      <c r="X204" s="157">
        <f t="shared" si="60"/>
        <v>44751</v>
      </c>
      <c r="Y204" s="383">
        <f t="shared" si="61"/>
        <v>55.059105035970603</v>
      </c>
      <c r="Z204" s="383">
        <f t="shared" si="62"/>
        <v>56.415657698270103</v>
      </c>
      <c r="AA204" s="384">
        <f t="shared" si="63"/>
        <v>61.877226339084515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8.8264600143601324E-2</v>
      </c>
      <c r="AD204" s="230">
        <f>(INDEX(Models!$BJ204:$BT204,,AH204)*(1-AF204)+INDEX(Models!$BJ204:$BT204,,AH204+1)*AF204-ERP_i)*AE204*Ramure*Pc/MaxiM</f>
        <v>1.2968908742187348E-4</v>
      </c>
      <c r="AE204" s="304">
        <f t="shared" si="65"/>
        <v>0.6</v>
      </c>
      <c r="AF204" s="177">
        <f t="shared" si="66"/>
        <v>0.38260686485565326</v>
      </c>
      <c r="AG204" s="799">
        <f t="shared" si="74"/>
        <v>0</v>
      </c>
      <c r="AH204" s="176">
        <f t="shared" si="67"/>
        <v>6</v>
      </c>
      <c r="AI204" s="224">
        <f t="shared" si="68"/>
        <v>0.38260686485565326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44752</v>
      </c>
      <c r="B205" s="1153">
        <v>58.911000000000001</v>
      </c>
      <c r="C205" s="388"/>
      <c r="D205" s="391">
        <f t="shared" si="50"/>
        <v>60.363612955302045</v>
      </c>
      <c r="E205" s="383">
        <f t="shared" si="75"/>
        <v>61.295547353507892</v>
      </c>
      <c r="F205" s="383">
        <f t="shared" si="51"/>
        <v>61.303585673539317</v>
      </c>
      <c r="G205" s="110">
        <f t="shared" si="76"/>
        <v>0.99094061389824784</v>
      </c>
      <c r="H205" s="412" t="b">
        <f>Wh_hp&gt;='2021'!Maxi_hp</f>
        <v>1</v>
      </c>
      <c r="I205" s="379">
        <f>IF(H205,Wh_hp,'2021'!Maxi_hp)</f>
        <v>61.303585673539317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2.4064380579367772E-2</v>
      </c>
      <c r="M205" s="832"/>
      <c r="N205" s="832"/>
      <c r="O205" s="48">
        <f>IF(t&lt;Tnet,'2021'!Resal+('2021'!Salim-'2021'!Resal)*(1-EXP(('2021'!Tnet-t)/('2021'!Tau_j))),Resal+(Salim-Resal)*(1-EXP((Tnet-t)/(Tau_j))))*Salcycl</f>
        <v>1.5203949364072591E-2</v>
      </c>
      <c r="P205" s="169">
        <f>(INDEX(Models!$BJ205:$BT205,,T205)*(1-R205)+INDEX(Models!$BJ205:$BT205,,T205+1)*R205-ERP_i)*Q205*Ramure*Pc/MaxiM</f>
        <v>1.3284207883959475E-4</v>
      </c>
      <c r="Q205" s="304">
        <f t="shared" si="53"/>
        <v>0.6</v>
      </c>
      <c r="R205" s="177">
        <f t="shared" si="54"/>
        <v>0.38624425250348199</v>
      </c>
      <c r="S205" s="799">
        <f t="shared" si="55"/>
        <v>0</v>
      </c>
      <c r="T205" s="176">
        <f t="shared" si="56"/>
        <v>6</v>
      </c>
      <c r="U205" s="250">
        <f t="shared" si="57"/>
        <v>0.38624425250348199</v>
      </c>
      <c r="V205" s="382">
        <f t="shared" si="58"/>
        <v>59.449474466382171</v>
      </c>
      <c r="W205" s="400">
        <f t="shared" si="59"/>
        <v>0</v>
      </c>
      <c r="X205" s="157">
        <f t="shared" si="60"/>
        <v>44752</v>
      </c>
      <c r="Y205" s="383">
        <f t="shared" si="61"/>
        <v>54.54012798292532</v>
      </c>
      <c r="Z205" s="383">
        <f t="shared" si="62"/>
        <v>55.884965050566827</v>
      </c>
      <c r="AA205" s="384">
        <f t="shared" si="63"/>
        <v>61.295547353507892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8.8270397060601871E-2</v>
      </c>
      <c r="AD205" s="230">
        <f>(INDEX(Models!$BJ205:$BT205,,AH205)*(1-AF205)+INDEX(Models!$BJ205:$BT205,,AH205+1)*AF205-ERP_i)*AE205*Ramure*Pc/MaxiM</f>
        <v>1.3284207883959475E-4</v>
      </c>
      <c r="AE205" s="304">
        <f t="shared" si="65"/>
        <v>0.6</v>
      </c>
      <c r="AF205" s="177">
        <f t="shared" si="66"/>
        <v>0.38624425250348199</v>
      </c>
      <c r="AG205" s="799">
        <f t="shared" si="74"/>
        <v>0</v>
      </c>
      <c r="AH205" s="176">
        <f t="shared" si="67"/>
        <v>6</v>
      </c>
      <c r="AI205" s="224">
        <f t="shared" si="68"/>
        <v>0.38624425250348199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44753</v>
      </c>
      <c r="B206" s="1153">
        <v>57.363</v>
      </c>
      <c r="C206" s="388"/>
      <c r="D206" s="391">
        <f t="shared" si="50"/>
        <v>58.778569229732568</v>
      </c>
      <c r="E206" s="383">
        <f t="shared" si="75"/>
        <v>59.691847403453309</v>
      </c>
      <c r="F206" s="383">
        <f t="shared" si="51"/>
        <v>59.699586805087193</v>
      </c>
      <c r="G206" s="110">
        <f t="shared" si="76"/>
        <v>0.96631701279143178</v>
      </c>
      <c r="H206" s="412" t="b">
        <f>Wh_hp&gt;='2021'!Maxi_hp</f>
        <v>0</v>
      </c>
      <c r="I206" s="379">
        <f>IF(H206,Wh_hp,'2021'!Maxi_hp)</f>
        <v>60.983970970198122</v>
      </c>
      <c r="J206" s="85">
        <f>IF(H206,An,'2021'!An_max)</f>
        <v>2018</v>
      </c>
      <c r="K206" s="197">
        <f t="shared" si="52"/>
        <v>44753</v>
      </c>
      <c r="L206" s="147">
        <f>IF(t&lt;Tvie,1-EXP((T0-t)*PertePVj)+'2021'!Pspv,1-EXP((T0-t)*PertePVj)+Pspv)</f>
        <v>2.4083084162867308E-2</v>
      </c>
      <c r="M206" s="832"/>
      <c r="N206" s="832"/>
      <c r="O206" s="48">
        <f>IF(t&lt;Tnet,'2021'!Resal+('2021'!Salim-'2021'!Resal)*(1-EXP(('2021'!Tnet-t)/('2021'!Tau_j))),Resal+(Salim-Resal)*(1-EXP((Tnet-t)/(Tau_j))))*Salcycl</f>
        <v>1.5299881197309125E-2</v>
      </c>
      <c r="P206" s="169">
        <f>(INDEX(Models!$BJ206:$BT206,,T206)*(1-R206)+INDEX(Models!$BJ206:$BT206,,T206+1)*R206-ERP_i)*Q206*Ramure*Pc/MaxiM</f>
        <v>1.3619120743664758E-4</v>
      </c>
      <c r="Q206" s="304">
        <f t="shared" si="53"/>
        <v>0.6</v>
      </c>
      <c r="R206" s="177">
        <f t="shared" si="54"/>
        <v>0.38980055356184629</v>
      </c>
      <c r="S206" s="799">
        <f t="shared" si="55"/>
        <v>0</v>
      </c>
      <c r="T206" s="176">
        <f t="shared" si="56"/>
        <v>6</v>
      </c>
      <c r="U206" s="250">
        <f t="shared" si="57"/>
        <v>0.38980055356184629</v>
      </c>
      <c r="V206" s="382">
        <f t="shared" si="58"/>
        <v>59.362117549724836</v>
      </c>
      <c r="W206" s="400">
        <f t="shared" si="59"/>
        <v>0</v>
      </c>
      <c r="X206" s="157">
        <f t="shared" si="60"/>
        <v>44753</v>
      </c>
      <c r="Y206" s="383">
        <f t="shared" si="61"/>
        <v>53.111875071948489</v>
      </c>
      <c r="Z206" s="383">
        <f t="shared" si="62"/>
        <v>54.42253762595108</v>
      </c>
      <c r="AA206" s="384">
        <f t="shared" si="63"/>
        <v>59.691847403453309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8.8275200160707279E-2</v>
      </c>
      <c r="AD206" s="230">
        <f>(INDEX(Models!$BJ206:$BT206,,AH206)*(1-AF206)+INDEX(Models!$BJ206:$BT206,,AH206+1)*AF206-ERP_i)*AE206*Ramure*Pc/MaxiM</f>
        <v>1.3619120743664758E-4</v>
      </c>
      <c r="AE206" s="304">
        <f t="shared" si="65"/>
        <v>0.6</v>
      </c>
      <c r="AF206" s="177">
        <f t="shared" si="66"/>
        <v>0.38980055356184629</v>
      </c>
      <c r="AG206" s="799">
        <f t="shared" si="74"/>
        <v>0</v>
      </c>
      <c r="AH206" s="176">
        <f t="shared" si="67"/>
        <v>6</v>
      </c>
      <c r="AI206" s="224">
        <f t="shared" si="68"/>
        <v>0.38980055356184629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44754</v>
      </c>
      <c r="B207" s="1153">
        <v>57.114000000000004</v>
      </c>
      <c r="C207" s="388"/>
      <c r="D207" s="391">
        <f t="shared" ref="D207:D270" si="77">Wh/(1-Ppv)</f>
        <v>58.524546168733139</v>
      </c>
      <c r="E207" s="383">
        <f t="shared" si="75"/>
        <v>59.439651737204514</v>
      </c>
      <c r="F207" s="383">
        <f t="shared" ref="F207:F270" si="78">Wh_sa/(1-Pvg*MEDIAN((-Sdif+Wh/Env_an)/Csdif,0,1))</f>
        <v>59.447521243492048</v>
      </c>
      <c r="G207" s="110">
        <f t="shared" si="76"/>
        <v>0.96355407013386363</v>
      </c>
      <c r="H207" s="412" t="b">
        <f>Wh_hp&gt;='2021'!Maxi_hp</f>
        <v>0</v>
      </c>
      <c r="I207" s="379">
        <f>IF(H207,Wh_hp,'2021'!Maxi_hp)</f>
        <v>61.397076269848142</v>
      </c>
      <c r="J207" s="85">
        <f>IF(H207,An,'2021'!An_max)</f>
        <v>2018</v>
      </c>
      <c r="K207" s="197">
        <f t="shared" ref="K207:K270" si="79">t</f>
        <v>44754</v>
      </c>
      <c r="L207" s="147">
        <f>IF(t&lt;Tvie,1-EXP((T0-t)*PertePVj)+'2021'!Pspv,1-EXP((T0-t)*PertePVj)+Pspv)</f>
        <v>2.4101787387916906E-2</v>
      </c>
      <c r="M207" s="832"/>
      <c r="N207" s="832"/>
      <c r="O207" s="48">
        <f>IF(t&lt;Tnet,'2021'!Resal+('2021'!Salim-'2021'!Resal)*(1-EXP(('2021'!Tnet-t)/('2021'!Tau_j))),Resal+(Salim-Resal)*(1-EXP((Tnet-t)/(Tau_j))))*Salcycl</f>
        <v>1.5395540547869528E-2</v>
      </c>
      <c r="P207" s="169">
        <f>(INDEX(Models!$BJ207:$BT207,,T207)*(1-R207)+INDEX(Models!$BJ207:$BT207,,T207+1)*R207-ERP_i)*Q207*Ramure*Pc/MaxiM</f>
        <v>1.3964676309463866E-4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0.39327554710856449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0.39327554710856449</v>
      </c>
      <c r="V207" s="382">
        <f t="shared" ref="V207:V270" si="85">MaxiM*(1-Ppv)*(1-Pvg)*(1-Psa)</f>
        <v>59.273876299190078</v>
      </c>
      <c r="W207" s="400">
        <f t="shared" ref="W207:W270" si="86">Wh*(A207&gt;Tmaj)</f>
        <v>0</v>
      </c>
      <c r="X207" s="157">
        <f t="shared" ref="X207:X270" si="87">t</f>
        <v>44754</v>
      </c>
      <c r="Y207" s="383">
        <f t="shared" ref="Y207:Y270" si="88">Wh_pvt_s*(1-Ppv)</f>
        <v>52.886242364292784</v>
      </c>
      <c r="Z207" s="383">
        <f t="shared" ref="Z207:Z270" si="89">Wh_sa_s*(1-Psa_s)</f>
        <v>54.192375476063013</v>
      </c>
      <c r="AA207" s="384">
        <f t="shared" ref="AA207:AA270" si="90">Wh_hp*(1-Pvg_s*MEDIAN((-Sdif+Wh/Env_an)/Csdif,0,1))</f>
        <v>59.439651737204514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8.827905460046831E-2</v>
      </c>
      <c r="AD207" s="230">
        <f>(INDEX(Models!$BJ207:$BT207,,AH207)*(1-AF207)+INDEX(Models!$BJ207:$BT207,,AH207+1)*AF207-ERP_i)*AE207*Ramure*Pc/MaxiM</f>
        <v>1.3964676309463866E-4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0.39327554710856449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0.39327554710856449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44755</v>
      </c>
      <c r="B208" s="1153">
        <v>56.823</v>
      </c>
      <c r="C208" s="388"/>
      <c r="D208" s="391">
        <f t="shared" si="77"/>
        <v>58.227475249296155</v>
      </c>
      <c r="E208" s="383">
        <f t="shared" si="75"/>
        <v>59.143665780056644</v>
      </c>
      <c r="F208" s="383">
        <f t="shared" si="78"/>
        <v>59.151654034195076</v>
      </c>
      <c r="G208" s="110">
        <f t="shared" si="76"/>
        <v>0.96009086740391647</v>
      </c>
      <c r="H208" s="412" t="b">
        <f>Wh_hp&gt;='2021'!Maxi_hp</f>
        <v>1</v>
      </c>
      <c r="I208" s="379">
        <f>IF(H208,Wh_hp,'2021'!Maxi_hp)</f>
        <v>59.151654034195076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2.4120490254523452E-2</v>
      </c>
      <c r="M208" s="832"/>
      <c r="N208" s="832"/>
      <c r="O208" s="48">
        <f>IF(t&lt;Tnet,'2021'!Resal+('2021'!Salim-'2021'!Resal)*(1-EXP(('2021'!Tnet-t)/('2021'!Tau_j))),Resal+(Salim-Resal)*(1-EXP((Tnet-t)/(Tau_j))))*Salcycl</f>
        <v>1.5490932438439211E-2</v>
      </c>
      <c r="P208" s="169">
        <f>(INDEX(Models!$BJ208:$BT208,,T208)*(1-R208)+INDEX(Models!$BJ208:$BT208,,T208+1)*R208-ERP_i)*Q208*Ramure*Pc/MaxiM</f>
        <v>1.4321026176312052E-4</v>
      </c>
      <c r="Q208" s="304">
        <f t="shared" si="80"/>
        <v>0.6</v>
      </c>
      <c r="R208" s="177">
        <f t="shared" si="81"/>
        <v>0.39666915632590993</v>
      </c>
      <c r="S208" s="799">
        <f t="shared" si="82"/>
        <v>0</v>
      </c>
      <c r="T208" s="176">
        <f t="shared" si="83"/>
        <v>6</v>
      </c>
      <c r="U208" s="250">
        <f t="shared" si="84"/>
        <v>0.39666915632590993</v>
      </c>
      <c r="V208" s="382">
        <f t="shared" si="85"/>
        <v>59.184539720350969</v>
      </c>
      <c r="W208" s="400">
        <f t="shared" si="86"/>
        <v>0</v>
      </c>
      <c r="X208" s="157">
        <f t="shared" si="87"/>
        <v>44755</v>
      </c>
      <c r="Y208" s="383">
        <f t="shared" si="88"/>
        <v>52.621710952852617</v>
      </c>
      <c r="Z208" s="383">
        <f t="shared" si="89"/>
        <v>53.922344333858511</v>
      </c>
      <c r="AA208" s="384">
        <f t="shared" si="90"/>
        <v>59.143665780056644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8.8282005813017636E-2</v>
      </c>
      <c r="AD208" s="230">
        <f>(INDEX(Models!$BJ208:$BT208,,AH208)*(1-AF208)+INDEX(Models!$BJ208:$BT208,,AH208+1)*AF208-ERP_i)*AE208*Ramure*Pc/MaxiM</f>
        <v>1.4321026176312052E-4</v>
      </c>
      <c r="AE208" s="304">
        <f t="shared" si="92"/>
        <v>0.6</v>
      </c>
      <c r="AF208" s="177">
        <f t="shared" si="93"/>
        <v>0.39666915632590993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0.39666915632590993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44756</v>
      </c>
      <c r="B209" s="1153">
        <v>56.228000000000002</v>
      </c>
      <c r="C209" s="388"/>
      <c r="D209" s="391">
        <f t="shared" si="77"/>
        <v>57.618873084147424</v>
      </c>
      <c r="E209" s="383">
        <f t="shared" si="75"/>
        <v>58.531143115395025</v>
      </c>
      <c r="F209" s="383">
        <f t="shared" si="78"/>
        <v>58.539145822501695</v>
      </c>
      <c r="G209" s="110">
        <f t="shared" si="76"/>
        <v>0.95149297424656265</v>
      </c>
      <c r="H209" s="412" t="b">
        <f>Wh_hp&gt;='2021'!Maxi_hp</f>
        <v>0</v>
      </c>
      <c r="I209" s="379">
        <f>IF(H209,Wh_hp,'2021'!Maxi_hp)</f>
        <v>61.162094530225126</v>
      </c>
      <c r="J209" s="85">
        <f>IF(H209,An,'2021'!An_max)</f>
        <v>2018</v>
      </c>
      <c r="K209" s="197">
        <f t="shared" si="79"/>
        <v>44756</v>
      </c>
      <c r="L209" s="147">
        <f>IF(t&lt;Tvie,1-EXP((T0-t)*PertePVj)+'2021'!Pspv,1-EXP((T0-t)*PertePVj)+Pspv)</f>
        <v>2.4139192762693829E-2</v>
      </c>
      <c r="M209" s="832"/>
      <c r="N209" s="832"/>
      <c r="O209" s="48">
        <f>IF(t&lt;Tnet,'2021'!Resal+('2021'!Salim-'2021'!Resal)*(1-EXP(('2021'!Tnet-t)/('2021'!Tau_j))),Resal+(Salim-Resal)*(1-EXP((Tnet-t)/(Tau_j))))*Salcycl</f>
        <v>1.5586062097728861E-2</v>
      </c>
      <c r="P209" s="169">
        <f>(INDEX(Models!$BJ209:$BT209,,T209)*(1-R209)+INDEX(Models!$BJ209:$BT209,,T209+1)*R209-ERP_i)*Q209*Ramure*Pc/MaxiM</f>
        <v>1.4688328913980533E-4</v>
      </c>
      <c r="Q209" s="304">
        <f t="shared" si="80"/>
        <v>0.6</v>
      </c>
      <c r="R209" s="177">
        <f t="shared" si="81"/>
        <v>0.39998144212404285</v>
      </c>
      <c r="S209" s="799">
        <f t="shared" si="82"/>
        <v>0</v>
      </c>
      <c r="T209" s="176">
        <f t="shared" si="83"/>
        <v>6</v>
      </c>
      <c r="U209" s="250">
        <f t="shared" si="84"/>
        <v>0.39998144212404285</v>
      </c>
      <c r="V209" s="382">
        <f t="shared" si="85"/>
        <v>59.093896904658344</v>
      </c>
      <c r="W209" s="400">
        <f t="shared" si="86"/>
        <v>0</v>
      </c>
      <c r="X209" s="157">
        <f t="shared" si="87"/>
        <v>44756</v>
      </c>
      <c r="Y209" s="383">
        <f t="shared" si="88"/>
        <v>52.075615443383533</v>
      </c>
      <c r="Z209" s="383">
        <f t="shared" si="89"/>
        <v>53.363773867311366</v>
      </c>
      <c r="AA209" s="384">
        <f t="shared" si="90"/>
        <v>58.531143115395025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8.8284099251164594E-2</v>
      </c>
      <c r="AD209" s="230">
        <f>(INDEX(Models!$BJ209:$BT209,,AH209)*(1-AF209)+INDEX(Models!$BJ209:$BT209,,AH209+1)*AF209-ERP_i)*AE209*Ramure*Pc/MaxiM</f>
        <v>1.4688328913980533E-4</v>
      </c>
      <c r="AE209" s="304">
        <f t="shared" si="92"/>
        <v>0.6</v>
      </c>
      <c r="AF209" s="177">
        <f t="shared" si="93"/>
        <v>0.39998144212404285</v>
      </c>
      <c r="AG209" s="799">
        <f t="shared" si="99"/>
        <v>0</v>
      </c>
      <c r="AH209" s="176">
        <f t="shared" si="94"/>
        <v>6</v>
      </c>
      <c r="AI209" s="224">
        <f t="shared" si="95"/>
        <v>0.39998144212404285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44757</v>
      </c>
      <c r="B210" s="1153">
        <v>54.372</v>
      </c>
      <c r="C210" s="388"/>
      <c r="D210" s="391">
        <f t="shared" si="77"/>
        <v>55.718030321228092</v>
      </c>
      <c r="E210" s="383">
        <f t="shared" si="75"/>
        <v>56.605659991418207</v>
      </c>
      <c r="F210" s="383">
        <f t="shared" si="78"/>
        <v>56.613233605157582</v>
      </c>
      <c r="G210" s="110">
        <f t="shared" si="76"/>
        <v>0.92151662484699259</v>
      </c>
      <c r="H210" s="412" t="b">
        <f>Wh_hp&gt;='2021'!Maxi_hp</f>
        <v>0</v>
      </c>
      <c r="I210" s="379">
        <f>IF(H210,Wh_hp,'2021'!Maxi_hp)</f>
        <v>62.506291921724774</v>
      </c>
      <c r="J210" s="85">
        <f>IF(H210,An,'2021'!An_max)</f>
        <v>2018</v>
      </c>
      <c r="K210" s="197">
        <f t="shared" si="79"/>
        <v>44757</v>
      </c>
      <c r="L210" s="147">
        <f>IF(t&lt;Tvie,1-EXP((T0-t)*PertePVj)+'2021'!Pspv,1-EXP((T0-t)*PertePVj)+Pspv)</f>
        <v>2.4157894912434918E-2</v>
      </c>
      <c r="M210" s="832"/>
      <c r="N210" s="832"/>
      <c r="O210" s="48">
        <f>IF(t&lt;Tnet,'2021'!Resal+('2021'!Salim-'2021'!Resal)*(1-EXP(('2021'!Tnet-t)/('2021'!Tau_j))),Resal+(Salim-Resal)*(1-EXP((Tnet-t)/(Tau_j))))*Salcycl</f>
        <v>1.5680934915778533E-2</v>
      </c>
      <c r="P210" s="169">
        <f>(INDEX(Models!$BJ210:$BT210,,T210)*(1-R210)+INDEX(Models!$BJ210:$BT210,,T210+1)*R210-ERP_i)*Q210*Ramure*Pc/MaxiM</f>
        <v>1.5066750744315927E-4</v>
      </c>
      <c r="Q210" s="304">
        <f t="shared" si="80"/>
        <v>0.6</v>
      </c>
      <c r="R210" s="177">
        <f t="shared" si="81"/>
        <v>0.40321259652919522</v>
      </c>
      <c r="S210" s="799">
        <f t="shared" si="82"/>
        <v>0</v>
      </c>
      <c r="T210" s="176">
        <f t="shared" si="83"/>
        <v>6</v>
      </c>
      <c r="U210" s="250">
        <f t="shared" si="84"/>
        <v>0.40321259652919522</v>
      </c>
      <c r="V210" s="382">
        <f t="shared" si="85"/>
        <v>59.001737031166115</v>
      </c>
      <c r="W210" s="400">
        <f t="shared" si="86"/>
        <v>0</v>
      </c>
      <c r="X210" s="157">
        <f t="shared" si="87"/>
        <v>44757</v>
      </c>
      <c r="Y210" s="383">
        <f t="shared" si="88"/>
        <v>50.361462120883623</v>
      </c>
      <c r="Z210" s="383">
        <f t="shared" si="89"/>
        <v>51.608207781078008</v>
      </c>
      <c r="AA210" s="384">
        <f t="shared" si="90"/>
        <v>56.605659991418207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8.8285380138626496E-2</v>
      </c>
      <c r="AD210" s="230">
        <f>(INDEX(Models!$BJ210:$BT210,,AH210)*(1-AF210)+INDEX(Models!$BJ210:$BT210,,AH210+1)*AF210-ERP_i)*AE210*Ramure*Pc/MaxiM</f>
        <v>1.5066750744315927E-4</v>
      </c>
      <c r="AE210" s="304">
        <f t="shared" si="92"/>
        <v>0.6</v>
      </c>
      <c r="AF210" s="177">
        <f t="shared" si="93"/>
        <v>0.40321259652919522</v>
      </c>
      <c r="AG210" s="799">
        <f t="shared" si="99"/>
        <v>0</v>
      </c>
      <c r="AH210" s="176">
        <f t="shared" si="94"/>
        <v>6</v>
      </c>
      <c r="AI210" s="224">
        <f t="shared" si="95"/>
        <v>0.40321259652919522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44758</v>
      </c>
      <c r="B211" s="1153">
        <v>55.953000000000003</v>
      </c>
      <c r="C211" s="388"/>
      <c r="D211" s="391">
        <f t="shared" si="77"/>
        <v>57.339268366587277</v>
      </c>
      <c r="E211" s="383">
        <f t="shared" si="75"/>
        <v>58.258325872118142</v>
      </c>
      <c r="F211" s="383">
        <f t="shared" si="78"/>
        <v>58.266686493782181</v>
      </c>
      <c r="G211" s="110">
        <f t="shared" si="76"/>
        <v>0.94982894109236315</v>
      </c>
      <c r="H211" s="412" t="b">
        <f>Wh_hp&gt;='2021'!Maxi_hp</f>
        <v>0</v>
      </c>
      <c r="I211" s="379">
        <f>IF(H211,Wh_hp,'2021'!Maxi_hp)</f>
        <v>60.8270261955942</v>
      </c>
      <c r="J211" s="85">
        <f>IF(H211,An,'2021'!An_max)</f>
        <v>2018</v>
      </c>
      <c r="K211" s="197">
        <f t="shared" si="79"/>
        <v>44758</v>
      </c>
      <c r="L211" s="147">
        <f>IF(t&lt;Tvie,1-EXP((T0-t)*PertePVj)+'2021'!Pspv,1-EXP((T0-t)*PertePVj)+Pspv)</f>
        <v>2.4176596703753495E-2</v>
      </c>
      <c r="M211" s="832"/>
      <c r="N211" s="832"/>
      <c r="O211" s="48">
        <f>IF(t&lt;Tnet,'2021'!Resal+('2021'!Salim-'2021'!Resal)*(1-EXP(('2021'!Tnet-t)/('2021'!Tau_j))),Resal+(Salim-Resal)*(1-EXP((Tnet-t)/(Tau_j))))*Salcycl</f>
        <v>1.5775556399410921E-2</v>
      </c>
      <c r="P211" s="169">
        <f>(INDEX(Models!$BJ211:$BT211,,T211)*(1-R211)+INDEX(Models!$BJ211:$BT211,,T211+1)*R211-ERP_i)*Q211*Ramure*Pc/MaxiM</f>
        <v>1.5456466201462998E-4</v>
      </c>
      <c r="Q211" s="304">
        <f t="shared" si="80"/>
        <v>0.6</v>
      </c>
      <c r="R211" s="177">
        <f t="shared" si="81"/>
        <v>0.40636293589053663</v>
      </c>
      <c r="S211" s="799">
        <f t="shared" si="82"/>
        <v>0</v>
      </c>
      <c r="T211" s="176">
        <f t="shared" si="83"/>
        <v>6</v>
      </c>
      <c r="U211" s="250">
        <f t="shared" si="84"/>
        <v>0.40636293589053663</v>
      </c>
      <c r="V211" s="382">
        <f t="shared" si="85"/>
        <v>58.907849368707055</v>
      </c>
      <c r="W211" s="400">
        <f t="shared" si="86"/>
        <v>0</v>
      </c>
      <c r="X211" s="157">
        <f t="shared" si="87"/>
        <v>44758</v>
      </c>
      <c r="Y211" s="383">
        <f t="shared" si="88"/>
        <v>51.830799110640434</v>
      </c>
      <c r="Z211" s="383">
        <f t="shared" si="89"/>
        <v>53.114937534353558</v>
      </c>
      <c r="AA211" s="384">
        <f t="shared" si="90"/>
        <v>58.258325872118142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8.8285893231033655E-2</v>
      </c>
      <c r="AD211" s="230">
        <f>(INDEX(Models!$BJ211:$BT211,,AH211)*(1-AF211)+INDEX(Models!$BJ211:$BT211,,AH211+1)*AF211-ERP_i)*AE211*Ramure*Pc/MaxiM</f>
        <v>1.5456466201462998E-4</v>
      </c>
      <c r="AE211" s="304">
        <f t="shared" si="92"/>
        <v>0.6</v>
      </c>
      <c r="AF211" s="177">
        <f t="shared" si="93"/>
        <v>0.40636293589053663</v>
      </c>
      <c r="AG211" s="799">
        <f t="shared" si="99"/>
        <v>0</v>
      </c>
      <c r="AH211" s="176">
        <f t="shared" si="94"/>
        <v>6</v>
      </c>
      <c r="AI211" s="224">
        <f t="shared" si="95"/>
        <v>0.40636293589053663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44759</v>
      </c>
      <c r="B212" s="1153">
        <v>55.46</v>
      </c>
      <c r="C212" s="388"/>
      <c r="D212" s="391">
        <f t="shared" si="77"/>
        <v>56.835143235215625</v>
      </c>
      <c r="E212" s="383">
        <f t="shared" si="75"/>
        <v>57.75165813002949</v>
      </c>
      <c r="F212" s="383">
        <f t="shared" si="78"/>
        <v>57.760070151961955</v>
      </c>
      <c r="G212" s="110">
        <f t="shared" si="76"/>
        <v>0.94299225211823645</v>
      </c>
      <c r="H212" s="412" t="b">
        <f>Wh_hp&gt;='2021'!Maxi_hp</f>
        <v>0</v>
      </c>
      <c r="I212" s="379">
        <f>IF(H212,Wh_hp,'2021'!Maxi_hp)</f>
        <v>61.26677577265081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2.4195298136656662E-2</v>
      </c>
      <c r="M212" s="832"/>
      <c r="N212" s="832"/>
      <c r="O212" s="48">
        <f>IF(t&lt;Tnet,'2021'!Resal+('2021'!Salim-'2021'!Resal)*(1-EXP(('2021'!Tnet-t)/('2021'!Tau_j))),Resal+(Salim-Resal)*(1-EXP((Tnet-t)/(Tau_j))))*Salcycl</f>
        <v>1.5869932128187682E-2</v>
      </c>
      <c r="P212" s="169">
        <f>(INDEX(Models!$BJ212:$BT212,,T212)*(1-R212)+INDEX(Models!$BJ212:$BT212,,T212+1)*R212-ERP_i)*Q212*Ramure*Pc/MaxiM</f>
        <v>1.5854653720751097E-4</v>
      </c>
      <c r="Q212" s="304">
        <f t="shared" si="80"/>
        <v>0.6</v>
      </c>
      <c r="R212" s="177">
        <f t="shared" si="81"/>
        <v>0.40943289395711296</v>
      </c>
      <c r="S212" s="799">
        <f t="shared" si="82"/>
        <v>0</v>
      </c>
      <c r="T212" s="176">
        <f t="shared" si="83"/>
        <v>6</v>
      </c>
      <c r="U212" s="250">
        <f t="shared" si="84"/>
        <v>0.40943289395711296</v>
      </c>
      <c r="V212" s="382">
        <f t="shared" si="85"/>
        <v>58.812025046929527</v>
      </c>
      <c r="W212" s="400">
        <f t="shared" si="86"/>
        <v>0</v>
      </c>
      <c r="X212" s="157">
        <f t="shared" si="87"/>
        <v>44759</v>
      </c>
      <c r="Y212" s="383">
        <f t="shared" si="88"/>
        <v>51.379058210263771</v>
      </c>
      <c r="Z212" s="383">
        <f t="shared" si="89"/>
        <v>52.653013571417652</v>
      </c>
      <c r="AA212" s="384">
        <f t="shared" si="90"/>
        <v>57.75165813002949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8.8285682588231482E-2</v>
      </c>
      <c r="AD212" s="230">
        <f>(INDEX(Models!$BJ212:$BT212,,AH212)*(1-AF212)+INDEX(Models!$BJ212:$BT212,,AH212+1)*AF212-ERP_i)*AE212*Ramure*Pc/MaxiM</f>
        <v>1.5854653720751097E-4</v>
      </c>
      <c r="AE212" s="304">
        <f t="shared" si="92"/>
        <v>0.6</v>
      </c>
      <c r="AF212" s="177">
        <f t="shared" si="93"/>
        <v>0.40943289395711296</v>
      </c>
      <c r="AG212" s="799">
        <f t="shared" si="99"/>
        <v>0</v>
      </c>
      <c r="AH212" s="176">
        <f t="shared" si="94"/>
        <v>6</v>
      </c>
      <c r="AI212" s="224">
        <f t="shared" si="95"/>
        <v>0.40943289395711296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44760</v>
      </c>
      <c r="B213" s="1153">
        <v>56.459000000000003</v>
      </c>
      <c r="C213" s="388"/>
      <c r="D213" s="391">
        <f t="shared" si="77"/>
        <v>57.860022540144236</v>
      </c>
      <c r="E213" s="383">
        <f t="shared" si="75"/>
        <v>58.798688789307249</v>
      </c>
      <c r="F213" s="383">
        <f t="shared" si="78"/>
        <v>58.807726124673266</v>
      </c>
      <c r="G213" s="110">
        <f t="shared" si="76"/>
        <v>0.96158401362807366</v>
      </c>
      <c r="H213" s="412" t="b">
        <f>Wh_hp&gt;='2021'!Maxi_hp</f>
        <v>1</v>
      </c>
      <c r="I213" s="379">
        <f>IF(H213,Wh_hp,'2021'!Maxi_hp)</f>
        <v>58.807726124673266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2.4213999211150972E-2</v>
      </c>
      <c r="M213" s="832"/>
      <c r="N213" s="832"/>
      <c r="O213" s="48">
        <f>IF(t&lt;Tnet,'2021'!Resal+('2021'!Salim-'2021'!Resal)*(1-EXP(('2021'!Tnet-t)/('2021'!Tau_j))),Resal+(Salim-Resal)*(1-EXP((Tnet-t)/(Tau_j))))*Salcycl</f>
        <v>1.5964067711212507E-2</v>
      </c>
      <c r="P213" s="169">
        <f>(INDEX(Models!$BJ213:$BT213,,T213)*(1-R213)+INDEX(Models!$BJ213:$BT213,,T213+1)*R213-ERP_i)*Q213*Ramure*Pc/MaxiM</f>
        <v>1.6259733264713651E-4</v>
      </c>
      <c r="Q213" s="304">
        <f t="shared" si="80"/>
        <v>0.6</v>
      </c>
      <c r="R213" s="177">
        <f t="shared" si="81"/>
        <v>0.41242301487340338</v>
      </c>
      <c r="S213" s="799">
        <f t="shared" si="82"/>
        <v>0</v>
      </c>
      <c r="T213" s="176">
        <f t="shared" si="83"/>
        <v>6</v>
      </c>
      <c r="U213" s="250">
        <f t="shared" si="84"/>
        <v>0.41242301487340338</v>
      </c>
      <c r="V213" s="382">
        <f t="shared" si="85"/>
        <v>58.714054551843439</v>
      </c>
      <c r="W213" s="400">
        <f t="shared" si="86"/>
        <v>0</v>
      </c>
      <c r="X213" s="157">
        <f t="shared" si="87"/>
        <v>44760</v>
      </c>
      <c r="Y213" s="383">
        <f t="shared" si="88"/>
        <v>52.309603009029431</v>
      </c>
      <c r="Z213" s="383">
        <f t="shared" si="89"/>
        <v>53.607658817344252</v>
      </c>
      <c r="AA213" s="384">
        <f t="shared" si="90"/>
        <v>58.798688789307249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8.8284791359276096E-2</v>
      </c>
      <c r="AD213" s="230">
        <f>(INDEX(Models!$BJ213:$BT213,,AH213)*(1-AF213)+INDEX(Models!$BJ213:$BT213,,AH213+1)*AF213-ERP_i)*AE213*Ramure*Pc/MaxiM</f>
        <v>1.6259733264713651E-4</v>
      </c>
      <c r="AE213" s="304">
        <f t="shared" si="92"/>
        <v>0.6</v>
      </c>
      <c r="AF213" s="177">
        <f t="shared" si="93"/>
        <v>0.41242301487340338</v>
      </c>
      <c r="AG213" s="799">
        <f t="shared" si="99"/>
        <v>0</v>
      </c>
      <c r="AH213" s="176">
        <f t="shared" si="94"/>
        <v>6</v>
      </c>
      <c r="AI213" s="224">
        <f t="shared" si="95"/>
        <v>0.41242301487340338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44761</v>
      </c>
      <c r="B214" s="1153">
        <v>46.655000000000001</v>
      </c>
      <c r="C214" s="388"/>
      <c r="D214" s="391">
        <f t="shared" si="77"/>
        <v>47.813653928063843</v>
      </c>
      <c r="E214" s="383">
        <f t="shared" si="75"/>
        <v>48.593974450998701</v>
      </c>
      <c r="F214" s="383">
        <f t="shared" si="78"/>
        <v>48.599715340072308</v>
      </c>
      <c r="G214" s="110">
        <f t="shared" si="76"/>
        <v>0.79593526420657035</v>
      </c>
      <c r="H214" s="412" t="b">
        <f>Wh_hp&gt;='2021'!Maxi_hp</f>
        <v>0</v>
      </c>
      <c r="I214" s="379">
        <f>IF(H214,Wh_hp,'2021'!Maxi_hp)</f>
        <v>60.996282625351171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2.4232699927243528E-2</v>
      </c>
      <c r="M214" s="832"/>
      <c r="N214" s="832"/>
      <c r="O214" s="48">
        <f>IF(t&lt;Tnet,'2021'!Resal+('2021'!Salim-'2021'!Resal)*(1-EXP(('2021'!Tnet-t)/('2021'!Tau_j))),Resal+(Salim-Resal)*(1-EXP((Tnet-t)/(Tau_j))))*Salcycl</f>
        <v>1.6057968745110958E-2</v>
      </c>
      <c r="P214" s="169">
        <f>(INDEX(Models!$BJ214:$BT214,,T214)*(1-R214)+INDEX(Models!$BJ214:$BT214,,T214+1)*R214-ERP_i)*Q214*Ramure*Pc/MaxiM</f>
        <v>1.6671881146288443E-4</v>
      </c>
      <c r="Q214" s="304">
        <f t="shared" si="80"/>
        <v>0.6</v>
      </c>
      <c r="R214" s="177">
        <f t="shared" si="81"/>
        <v>0.41533394613896712</v>
      </c>
      <c r="S214" s="799">
        <f t="shared" si="82"/>
        <v>0</v>
      </c>
      <c r="T214" s="176">
        <f t="shared" si="83"/>
        <v>6</v>
      </c>
      <c r="U214" s="250">
        <f t="shared" si="84"/>
        <v>0.41533394613896712</v>
      </c>
      <c r="V214" s="382">
        <f t="shared" si="85"/>
        <v>58.613727436976404</v>
      </c>
      <c r="W214" s="400">
        <f t="shared" si="86"/>
        <v>0</v>
      </c>
      <c r="X214" s="157">
        <f t="shared" si="87"/>
        <v>44761</v>
      </c>
      <c r="Y214" s="383">
        <f t="shared" si="88"/>
        <v>43.230335812234117</v>
      </c>
      <c r="Z214" s="383">
        <f t="shared" si="89"/>
        <v>44.303939893262175</v>
      </c>
      <c r="AA214" s="384">
        <f t="shared" si="90"/>
        <v>48.593974450998701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8.828326158138225E-2</v>
      </c>
      <c r="AD214" s="230">
        <f>(INDEX(Models!$BJ214:$BT214,,AH214)*(1-AF214)+INDEX(Models!$BJ214:$BT214,,AH214+1)*AF214-ERP_i)*AE214*Ramure*Pc/MaxiM</f>
        <v>1.6671881146288443E-4</v>
      </c>
      <c r="AE214" s="304">
        <f t="shared" si="92"/>
        <v>0.6</v>
      </c>
      <c r="AF214" s="177">
        <f t="shared" si="93"/>
        <v>0.41533394613896712</v>
      </c>
      <c r="AG214" s="799">
        <f t="shared" si="99"/>
        <v>0</v>
      </c>
      <c r="AH214" s="176">
        <f t="shared" si="94"/>
        <v>6</v>
      </c>
      <c r="AI214" s="224">
        <f t="shared" si="95"/>
        <v>0.41533394613896712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44762</v>
      </c>
      <c r="B215" s="1153">
        <v>46.198999999999998</v>
      </c>
      <c r="C215" s="388"/>
      <c r="D215" s="391">
        <f t="shared" si="77"/>
        <v>47.347236791824429</v>
      </c>
      <c r="E215" s="383">
        <f t="shared" si="75"/>
        <v>48.124526862095649</v>
      </c>
      <c r="F215" s="383">
        <f t="shared" si="78"/>
        <v>48.130280187924697</v>
      </c>
      <c r="G215" s="110">
        <f t="shared" si="76"/>
        <v>0.78953970630749681</v>
      </c>
      <c r="H215" s="412" t="b">
        <f>Wh_hp&gt;='2021'!Maxi_hp</f>
        <v>0</v>
      </c>
      <c r="I215" s="379">
        <f>IF(H215,Wh_hp,'2021'!Maxi_hp)</f>
        <v>59.776097909915435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2.4251400284941216E-2</v>
      </c>
      <c r="M215" s="832"/>
      <c r="N215" s="832"/>
      <c r="O215" s="48">
        <f>IF(t&lt;Tnet,'2021'!Resal+('2021'!Salim-'2021'!Resal)*(1-EXP(('2021'!Tnet-t)/('2021'!Tau_j))),Resal+(Salim-Resal)*(1-EXP((Tnet-t)/(Tau_j))))*Salcycl</f>
        <v>1.615164077349994E-2</v>
      </c>
      <c r="P215" s="169">
        <f>(INDEX(Models!$BJ215:$BT215,,T215)*(1-R215)+INDEX(Models!$BJ215:$BT215,,T215+1)*R215-ERP_i)*Q215*Ramure*Pc/MaxiM</f>
        <v>1.7091284626698691E-4</v>
      </c>
      <c r="Q215" s="304">
        <f t="shared" si="80"/>
        <v>0.6</v>
      </c>
      <c r="R215" s="177">
        <f t="shared" si="81"/>
        <v>0.41816643157440225</v>
      </c>
      <c r="S215" s="799">
        <f t="shared" si="82"/>
        <v>0</v>
      </c>
      <c r="T215" s="176">
        <f t="shared" si="83"/>
        <v>6</v>
      </c>
      <c r="U215" s="250">
        <f t="shared" si="84"/>
        <v>0.41816643157440225</v>
      </c>
      <c r="V215" s="382">
        <f t="shared" si="85"/>
        <v>58.510833352561633</v>
      </c>
      <c r="W215" s="400">
        <f t="shared" si="86"/>
        <v>0</v>
      </c>
      <c r="X215" s="157">
        <f t="shared" si="87"/>
        <v>44762</v>
      </c>
      <c r="Y215" s="383">
        <f t="shared" si="88"/>
        <v>42.811983671680188</v>
      </c>
      <c r="Z215" s="383">
        <f t="shared" si="89"/>
        <v>43.876039057788326</v>
      </c>
      <c r="AA215" s="384">
        <f t="shared" si="90"/>
        <v>48.124526862095649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8.8281133993933558E-2</v>
      </c>
      <c r="AD215" s="230">
        <f>(INDEX(Models!$BJ215:$BT215,,AH215)*(1-AF215)+INDEX(Models!$BJ215:$BT215,,AH215+1)*AF215-ERP_i)*AE215*Ramure*Pc/MaxiM</f>
        <v>1.7091284626698691E-4</v>
      </c>
      <c r="AE215" s="304">
        <f t="shared" si="92"/>
        <v>0.6</v>
      </c>
      <c r="AF215" s="177">
        <f t="shared" si="93"/>
        <v>0.41816643157440225</v>
      </c>
      <c r="AG215" s="799">
        <f t="shared" si="99"/>
        <v>0</v>
      </c>
      <c r="AH215" s="176">
        <f t="shared" si="94"/>
        <v>6</v>
      </c>
      <c r="AI215" s="224">
        <f t="shared" si="95"/>
        <v>0.41816643157440225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44763</v>
      </c>
      <c r="B216" s="1153">
        <v>54.633000000000003</v>
      </c>
      <c r="C216" s="388"/>
      <c r="D216" s="391">
        <f t="shared" si="77"/>
        <v>55.991929750144735</v>
      </c>
      <c r="E216" s="383">
        <f t="shared" si="75"/>
        <v>56.916544088564855</v>
      </c>
      <c r="F216" s="383">
        <f t="shared" si="78"/>
        <v>56.925596291857346</v>
      </c>
      <c r="G216" s="110">
        <f t="shared" si="76"/>
        <v>0.93539877123602921</v>
      </c>
      <c r="H216" s="412" t="b">
        <f>Wh_hp&gt;='2021'!Maxi_hp</f>
        <v>1</v>
      </c>
      <c r="I216" s="379">
        <f>IF(H216,Wh_hp,'2021'!Maxi_hp)</f>
        <v>56.925596291857346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2.4270100284250695E-2</v>
      </c>
      <c r="M216" s="832"/>
      <c r="N216" s="832"/>
      <c r="O216" s="48">
        <f>IF(t&lt;Tnet,'2021'!Resal+('2021'!Salim-'2021'!Resal)*(1-EXP(('2021'!Tnet-t)/('2021'!Tau_j))),Resal+(Salim-Resal)*(1-EXP((Tnet-t)/(Tau_j))))*Salcycl</f>
        <v>1.6245089248239995E-2</v>
      </c>
      <c r="P216" s="169">
        <f>(INDEX(Models!$BJ216:$BT216,,T216)*(1-R216)+INDEX(Models!$BJ216:$BT216,,T216+1)*R216-ERP_i)*Q216*Ramure*Pc/MaxiM</f>
        <v>1.7518142065052434E-4</v>
      </c>
      <c r="Q216" s="304">
        <f t="shared" si="80"/>
        <v>0.6</v>
      </c>
      <c r="R216" s="177">
        <f t="shared" si="81"/>
        <v>0.42092130433246222</v>
      </c>
      <c r="S216" s="799">
        <f t="shared" si="82"/>
        <v>0</v>
      </c>
      <c r="T216" s="176">
        <f t="shared" si="83"/>
        <v>6</v>
      </c>
      <c r="U216" s="250">
        <f t="shared" si="84"/>
        <v>0.42092130433246222</v>
      </c>
      <c r="V216" s="382">
        <f t="shared" si="85"/>
        <v>58.405162046206506</v>
      </c>
      <c r="W216" s="400">
        <f t="shared" si="86"/>
        <v>0</v>
      </c>
      <c r="X216" s="157">
        <f t="shared" si="87"/>
        <v>44763</v>
      </c>
      <c r="Y216" s="383">
        <f t="shared" si="88"/>
        <v>50.63261490561333</v>
      </c>
      <c r="Z216" s="383">
        <f t="shared" si="89"/>
        <v>51.892039918386921</v>
      </c>
      <c r="AA216" s="384">
        <f t="shared" si="90"/>
        <v>56.916544088564855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8.8278447868506679E-2</v>
      </c>
      <c r="AD216" s="230">
        <f>(INDEX(Models!$BJ216:$BT216,,AH216)*(1-AF216)+INDEX(Models!$BJ216:$BT216,,AH216+1)*AF216-ERP_i)*AE216*Ramure*Pc/MaxiM</f>
        <v>1.7518142065052434E-4</v>
      </c>
      <c r="AE216" s="304">
        <f t="shared" si="92"/>
        <v>0.6</v>
      </c>
      <c r="AF216" s="177">
        <f t="shared" si="93"/>
        <v>0.42092130433246222</v>
      </c>
      <c r="AG216" s="799">
        <f t="shared" si="99"/>
        <v>0</v>
      </c>
      <c r="AH216" s="176">
        <f t="shared" si="94"/>
        <v>6</v>
      </c>
      <c r="AI216" s="224">
        <f t="shared" si="95"/>
        <v>0.42092130433246222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44764</v>
      </c>
      <c r="B217" s="1153">
        <v>44.112000000000002</v>
      </c>
      <c r="C217" s="388"/>
      <c r="D217" s="391">
        <f t="shared" si="77"/>
        <v>45.210099050433506</v>
      </c>
      <c r="E217" s="383">
        <f t="shared" si="75"/>
        <v>45.961024960451155</v>
      </c>
      <c r="F217" s="383">
        <f t="shared" si="78"/>
        <v>45.966408732946888</v>
      </c>
      <c r="G217" s="110">
        <f t="shared" si="76"/>
        <v>0.75663623761496734</v>
      </c>
      <c r="H217" s="412" t="b">
        <f>Wh_hp&gt;='2021'!Maxi_hp</f>
        <v>0</v>
      </c>
      <c r="I217" s="379">
        <f>IF(H217,Wh_hp,'2021'!Maxi_hp)</f>
        <v>55.348148280408218</v>
      </c>
      <c r="J217" s="85">
        <f>IF(H217,An,'2021'!An_max)</f>
        <v>2020</v>
      </c>
      <c r="K217" s="197">
        <f t="shared" si="79"/>
        <v>44764</v>
      </c>
      <c r="L217" s="147">
        <f>IF(t&lt;Tvie,1-EXP((T0-t)*PertePVj)+'2021'!Pspv,1-EXP((T0-t)*PertePVj)+Pspv)</f>
        <v>2.4288799925178961E-2</v>
      </c>
      <c r="M217" s="832"/>
      <c r="N217" s="832"/>
      <c r="O217" s="48">
        <f>IF(t&lt;Tnet,'2021'!Resal+('2021'!Salim-'2021'!Resal)*(1-EXP(('2021'!Tnet-t)/('2021'!Tau_j))),Resal+(Salim-Resal)*(1-EXP((Tnet-t)/(Tau_j))))*Salcycl</f>
        <v>1.6338319492740019E-2</v>
      </c>
      <c r="P217" s="169">
        <f>(INDEX(Models!$BJ217:$BT217,,T217)*(1-R217)+INDEX(Models!$BJ217:$BT217,,T217+1)*R217-ERP_i)*Q217*Ramure*Pc/MaxiM</f>
        <v>1.7952663066537328E-4</v>
      </c>
      <c r="Q217" s="304">
        <f t="shared" si="80"/>
        <v>0.6</v>
      </c>
      <c r="R217" s="177">
        <f t="shared" si="81"/>
        <v>0.42359947998974135</v>
      </c>
      <c r="S217" s="799">
        <f t="shared" si="82"/>
        <v>0</v>
      </c>
      <c r="T217" s="176">
        <f t="shared" si="83"/>
        <v>6</v>
      </c>
      <c r="U217" s="250">
        <f t="shared" si="84"/>
        <v>0.42359947998974135</v>
      </c>
      <c r="V217" s="382">
        <f t="shared" si="85"/>
        <v>58.29650336927358</v>
      </c>
      <c r="W217" s="400">
        <f t="shared" si="86"/>
        <v>0</v>
      </c>
      <c r="X217" s="157">
        <f t="shared" si="87"/>
        <v>44764</v>
      </c>
      <c r="Y217" s="383">
        <f t="shared" si="88"/>
        <v>40.886011290623479</v>
      </c>
      <c r="Z217" s="383">
        <f t="shared" si="89"/>
        <v>41.903804412092626</v>
      </c>
      <c r="AA217" s="384">
        <f t="shared" si="90"/>
        <v>45.961024960451155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8.8275240855697074E-2</v>
      </c>
      <c r="AD217" s="230">
        <f>(INDEX(Models!$BJ217:$BT217,,AH217)*(1-AF217)+INDEX(Models!$BJ217:$BT217,,AH217+1)*AF217-ERP_i)*AE217*Ramure*Pc/MaxiM</f>
        <v>1.7952663066537328E-4</v>
      </c>
      <c r="AE217" s="304">
        <f t="shared" si="92"/>
        <v>0.6</v>
      </c>
      <c r="AF217" s="177">
        <f t="shared" si="93"/>
        <v>0.42359947998974135</v>
      </c>
      <c r="AG217" s="799">
        <f t="shared" si="99"/>
        <v>0</v>
      </c>
      <c r="AH217" s="176">
        <f t="shared" si="94"/>
        <v>6</v>
      </c>
      <c r="AI217" s="224">
        <f t="shared" si="95"/>
        <v>0.42359947998974135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44765</v>
      </c>
      <c r="B218" s="1153">
        <v>50.689</v>
      </c>
      <c r="C218" s="388"/>
      <c r="D218" s="391">
        <f t="shared" si="77"/>
        <v>51.951818794179808</v>
      </c>
      <c r="E218" s="383">
        <f t="shared" si="75"/>
        <v>52.819717352687114</v>
      </c>
      <c r="F218" s="383">
        <f t="shared" si="78"/>
        <v>52.827646631615835</v>
      </c>
      <c r="G218" s="110">
        <f t="shared" si="76"/>
        <v>0.87114532980399106</v>
      </c>
      <c r="H218" s="412" t="b">
        <f>Wh_hp&gt;='2021'!Maxi_hp</f>
        <v>0</v>
      </c>
      <c r="I218" s="379">
        <f>IF(H218,Wh_hp,'2021'!Maxi_hp)</f>
        <v>56.109961045476417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2.4307499207732897E-2</v>
      </c>
      <c r="M218" s="832"/>
      <c r="N218" s="832"/>
      <c r="O218" s="48">
        <f>IF(t&lt;Tnet,'2021'!Resal+('2021'!Salim-'2021'!Resal)*(1-EXP(('2021'!Tnet-t)/('2021'!Tau_j))),Resal+(Salim-Resal)*(1-EXP((Tnet-t)/(Tau_j))))*Salcycl</f>
        <v>1.643133666755895E-2</v>
      </c>
      <c r="P218" s="169">
        <f>(INDEX(Models!$BJ218:$BT218,,T218)*(1-R218)+INDEX(Models!$BJ218:$BT218,,T218+1)*R218-ERP_i)*Q218*Ramure*Pc/MaxiM</f>
        <v>1.8395068638710148E-4</v>
      </c>
      <c r="Q218" s="304">
        <f t="shared" si="80"/>
        <v>0.6</v>
      </c>
      <c r="R218" s="177">
        <f t="shared" si="81"/>
        <v>0.42620194975087344</v>
      </c>
      <c r="S218" s="799">
        <f t="shared" si="82"/>
        <v>0</v>
      </c>
      <c r="T218" s="176">
        <f t="shared" si="83"/>
        <v>6</v>
      </c>
      <c r="U218" s="250">
        <f t="shared" si="84"/>
        <v>0.42620194975087344</v>
      </c>
      <c r="V218" s="382">
        <f t="shared" si="85"/>
        <v>58.184647275365876</v>
      </c>
      <c r="W218" s="400">
        <f t="shared" si="86"/>
        <v>0</v>
      </c>
      <c r="X218" s="157">
        <f t="shared" si="87"/>
        <v>44765</v>
      </c>
      <c r="Y218" s="383">
        <f t="shared" si="88"/>
        <v>46.986657041100081</v>
      </c>
      <c r="Z218" s="383">
        <f t="shared" si="89"/>
        <v>48.157239092179843</v>
      </c>
      <c r="AA218" s="384">
        <f t="shared" si="90"/>
        <v>52.819717352687114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8.827154884936303E-2</v>
      </c>
      <c r="AD218" s="230">
        <f>(INDEX(Models!$BJ218:$BT218,,AH218)*(1-AF218)+INDEX(Models!$BJ218:$BT218,,AH218+1)*AF218-ERP_i)*AE218*Ramure*Pc/MaxiM</f>
        <v>1.8395068638710148E-4</v>
      </c>
      <c r="AE218" s="304">
        <f t="shared" si="92"/>
        <v>0.6</v>
      </c>
      <c r="AF218" s="177">
        <f t="shared" si="93"/>
        <v>0.42620194975087344</v>
      </c>
      <c r="AG218" s="799">
        <f t="shared" si="99"/>
        <v>0</v>
      </c>
      <c r="AH218" s="176">
        <f t="shared" si="94"/>
        <v>6</v>
      </c>
      <c r="AI218" s="224">
        <f t="shared" si="95"/>
        <v>0.42620194975087344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44766</v>
      </c>
      <c r="B219" s="1153">
        <v>54.873000000000005</v>
      </c>
      <c r="C219" s="388"/>
      <c r="D219" s="391">
        <f t="shared" si="77"/>
        <v>56.24113294313841</v>
      </c>
      <c r="E219" s="383">
        <f t="shared" si="75"/>
        <v>57.186084131543332</v>
      </c>
      <c r="F219" s="383">
        <f t="shared" si="78"/>
        <v>57.196015224186993</v>
      </c>
      <c r="G219" s="110">
        <f t="shared" si="76"/>
        <v>0.94493320413924498</v>
      </c>
      <c r="H219" s="412" t="b">
        <f>Wh_hp&gt;='2021'!Maxi_hp</f>
        <v>1</v>
      </c>
      <c r="I219" s="379">
        <f>IF(H219,Wh_hp,'2021'!Maxi_hp)</f>
        <v>57.196015224186993</v>
      </c>
      <c r="J219" s="85">
        <f>IF(H219,An,'2021'!An_max)</f>
        <v>2022</v>
      </c>
      <c r="K219" s="197">
        <f t="shared" si="79"/>
        <v>44766</v>
      </c>
      <c r="L219" s="147">
        <f>IF(t&lt;Tvie,1-EXP((T0-t)*PertePVj)+'2021'!Pspv,1-EXP((T0-t)*PertePVj)+Pspv)</f>
        <v>2.4326198131919385E-2</v>
      </c>
      <c r="M219" s="832"/>
      <c r="N219" s="832"/>
      <c r="O219" s="48">
        <f>IF(t&lt;Tnet,'2021'!Resal+('2021'!Salim-'2021'!Resal)*(1-EXP(('2021'!Tnet-t)/('2021'!Tau_j))),Resal+(Salim-Resal)*(1-EXP((Tnet-t)/(Tau_j))))*Salcycl</f>
        <v>1.6524145738520547E-2</v>
      </c>
      <c r="P219" s="169">
        <f>(INDEX(Models!$BJ219:$BT219,,T219)*(1-R219)+INDEX(Models!$BJ219:$BT219,,T219+1)*R219-ERP_i)*Q219*Ramure*Pc/MaxiM</f>
        <v>1.8845390046805474E-4</v>
      </c>
      <c r="Q219" s="304">
        <f t="shared" si="80"/>
        <v>0.6</v>
      </c>
      <c r="R219" s="177">
        <f t="shared" si="81"/>
        <v>0.42872977379375071</v>
      </c>
      <c r="S219" s="799">
        <f t="shared" si="82"/>
        <v>0</v>
      </c>
      <c r="T219" s="176">
        <f t="shared" si="83"/>
        <v>6</v>
      </c>
      <c r="U219" s="250">
        <f t="shared" si="84"/>
        <v>0.42872977379375071</v>
      </c>
      <c r="V219" s="382">
        <f t="shared" si="85"/>
        <v>58.069910475146926</v>
      </c>
      <c r="W219" s="400">
        <f t="shared" si="86"/>
        <v>0</v>
      </c>
      <c r="X219" s="157">
        <f t="shared" si="87"/>
        <v>44766</v>
      </c>
      <c r="Y219" s="383">
        <f t="shared" si="88"/>
        <v>50.870087375285671</v>
      </c>
      <c r="Z219" s="383">
        <f t="shared" si="89"/>
        <v>52.138416833461044</v>
      </c>
      <c r="AA219" s="384">
        <f t="shared" si="90"/>
        <v>57.186084131543332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8.8267405868730234E-2</v>
      </c>
      <c r="AD219" s="230">
        <f>(INDEX(Models!$BJ219:$BT219,,AH219)*(1-AF219)+INDEX(Models!$BJ219:$BT219,,AH219+1)*AF219-ERP_i)*AE219*Ramure*Pc/MaxiM</f>
        <v>1.8845390046805474E-4</v>
      </c>
      <c r="AE219" s="304">
        <f t="shared" si="92"/>
        <v>0.6</v>
      </c>
      <c r="AF219" s="177">
        <f t="shared" si="93"/>
        <v>0.42872977379375071</v>
      </c>
      <c r="AG219" s="799">
        <f t="shared" si="99"/>
        <v>0</v>
      </c>
      <c r="AH219" s="176">
        <f t="shared" si="94"/>
        <v>6</v>
      </c>
      <c r="AI219" s="224">
        <f t="shared" si="95"/>
        <v>0.42872977379375071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44767</v>
      </c>
      <c r="B220" s="1153">
        <v>27.963000000000001</v>
      </c>
      <c r="C220" s="388"/>
      <c r="D220" s="391">
        <f t="shared" si="77"/>
        <v>28.660742823314227</v>
      </c>
      <c r="E220" s="383">
        <f t="shared" si="75"/>
        <v>29.145038687106446</v>
      </c>
      <c r="F220" s="383">
        <f t="shared" si="78"/>
        <v>29.146505460120757</v>
      </c>
      <c r="G220" s="110">
        <f t="shared" si="76"/>
        <v>0.48244490835893089</v>
      </c>
      <c r="H220" s="412" t="b">
        <f>Wh_hp&gt;='2021'!Maxi_hp</f>
        <v>0</v>
      </c>
      <c r="I220" s="379">
        <f>IF(H220,Wh_hp,'2021'!Maxi_hp)</f>
        <v>59.315557328001788</v>
      </c>
      <c r="J220" s="85">
        <f>IF(H220,An,'2021'!An_max)</f>
        <v>2020</v>
      </c>
      <c r="K220" s="197">
        <f t="shared" si="79"/>
        <v>44767</v>
      </c>
      <c r="L220" s="147">
        <f>IF(t&lt;Tvie,1-EXP((T0-t)*PertePVj)+'2021'!Pspv,1-EXP((T0-t)*PertePVj)+Pspv)</f>
        <v>2.43448966977452E-2</v>
      </c>
      <c r="M220" s="832"/>
      <c r="N220" s="832"/>
      <c r="O220" s="48">
        <f>IF(t&lt;Tnet,'2021'!Resal+('2021'!Salim-'2021'!Resal)*(1-EXP(('2021'!Tnet-t)/('2021'!Tau_j))),Resal+(Salim-Resal)*(1-EXP((Tnet-t)/(Tau_j))))*Salcycl</f>
        <v>1.6616751447527462E-2</v>
      </c>
      <c r="P220" s="169">
        <f>(INDEX(Models!$BJ220:$BT220,,T220)*(1-R220)+INDEX(Models!$BJ220:$BT220,,T220+1)*R220-ERP_i)*Q220*Ramure*Pc/MaxiM</f>
        <v>1.9300957216216141E-4</v>
      </c>
      <c r="Q220" s="304">
        <f t="shared" si="80"/>
        <v>0.6</v>
      </c>
      <c r="R220" s="177">
        <f t="shared" si="81"/>
        <v>0.43118407478088572</v>
      </c>
      <c r="S220" s="799">
        <f t="shared" si="82"/>
        <v>0</v>
      </c>
      <c r="T220" s="176">
        <f t="shared" si="83"/>
        <v>6</v>
      </c>
      <c r="U220" s="250">
        <f t="shared" si="84"/>
        <v>0.43118407478088572</v>
      </c>
      <c r="V220" s="382">
        <f t="shared" si="85"/>
        <v>57.95275150016829</v>
      </c>
      <c r="W220" s="400">
        <f t="shared" si="86"/>
        <v>0</v>
      </c>
      <c r="X220" s="157">
        <f t="shared" si="87"/>
        <v>44767</v>
      </c>
      <c r="Y220" s="383">
        <f t="shared" si="88"/>
        <v>25.925707125795743</v>
      </c>
      <c r="Z220" s="383">
        <f t="shared" si="89"/>
        <v>26.572614685298316</v>
      </c>
      <c r="AA220" s="384">
        <f t="shared" si="90"/>
        <v>29.145038687106446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8.8262843958623799E-2</v>
      </c>
      <c r="AD220" s="230">
        <f>(INDEX(Models!$BJ220:$BT220,,AH220)*(1-AF220)+INDEX(Models!$BJ220:$BT220,,AH220+1)*AF220-ERP_i)*AE220*Ramure*Pc/MaxiM</f>
        <v>1.9300957216216141E-4</v>
      </c>
      <c r="AE220" s="304">
        <f t="shared" si="92"/>
        <v>0.6</v>
      </c>
      <c r="AF220" s="177">
        <f t="shared" si="93"/>
        <v>0.43118407478088572</v>
      </c>
      <c r="AG220" s="799">
        <f t="shared" si="99"/>
        <v>0</v>
      </c>
      <c r="AH220" s="176">
        <f t="shared" si="94"/>
        <v>6</v>
      </c>
      <c r="AI220" s="224">
        <f t="shared" si="95"/>
        <v>0.43118407478088572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44768</v>
      </c>
      <c r="B221" s="1153">
        <v>59.298000000000002</v>
      </c>
      <c r="C221" s="388"/>
      <c r="D221" s="391">
        <f t="shared" si="77"/>
        <v>60.77878981385409</v>
      </c>
      <c r="E221" s="383">
        <f t="shared" si="75"/>
        <v>61.811609785689804</v>
      </c>
      <c r="F221" s="383">
        <f t="shared" si="78"/>
        <v>61.823821811123068</v>
      </c>
      <c r="G221" s="110">
        <f t="shared" si="76"/>
        <v>1.0253284376351128</v>
      </c>
      <c r="H221" s="412" t="b">
        <f>Wh_hp&gt;='2021'!Maxi_hp</f>
        <v>1</v>
      </c>
      <c r="I221" s="379">
        <f>IF(H221,Wh_hp,'2021'!Maxi_hp)</f>
        <v>61.823821811123068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2.4363594905217334E-2</v>
      </c>
      <c r="M221" s="832"/>
      <c r="N221" s="832"/>
      <c r="O221" s="48">
        <f>IF(t&lt;Tnet,'2021'!Resal+('2021'!Salim-'2021'!Resal)*(1-EXP(('2021'!Tnet-t)/('2021'!Tau_j))),Resal+(Salim-Resal)*(1-EXP((Tnet-t)/(Tau_j))))*Salcycl</f>
        <v>1.670915828622899E-2</v>
      </c>
      <c r="P221" s="169">
        <f>(INDEX(Models!$BJ221:$BT221,,T221)*(1-R221)+INDEX(Models!$BJ221:$BT221,,T221+1)*R221-ERP_i)*Q221*Ramure*Pc/MaxiM</f>
        <v>1.9752944860921469E-4</v>
      </c>
      <c r="Q221" s="304">
        <f t="shared" si="80"/>
        <v>0.6</v>
      </c>
      <c r="R221" s="177">
        <f t="shared" si="81"/>
        <v>0.43356603155874462</v>
      </c>
      <c r="S221" s="799">
        <f t="shared" si="82"/>
        <v>0</v>
      </c>
      <c r="T221" s="176">
        <f t="shared" si="83"/>
        <v>6</v>
      </c>
      <c r="U221" s="250">
        <f t="shared" si="84"/>
        <v>0.43356603155874462</v>
      </c>
      <c r="V221" s="382">
        <f t="shared" si="85"/>
        <v>57.833176008234929</v>
      </c>
      <c r="W221" s="400">
        <f t="shared" si="86"/>
        <v>0</v>
      </c>
      <c r="X221" s="157">
        <f t="shared" si="87"/>
        <v>44768</v>
      </c>
      <c r="Y221" s="383">
        <f t="shared" si="88"/>
        <v>54.983206555913938</v>
      </c>
      <c r="Z221" s="383">
        <f t="shared" si="89"/>
        <v>56.356247336396123</v>
      </c>
      <c r="AA221" s="384">
        <f t="shared" si="90"/>
        <v>61.811609785689804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8.8257893107916902E-2</v>
      </c>
      <c r="AD221" s="230">
        <f>(INDEX(Models!$BJ221:$BT221,,AH221)*(1-AF221)+INDEX(Models!$BJ221:$BT221,,AH221+1)*AF221-ERP_i)*AE221*Ramure*Pc/MaxiM</f>
        <v>1.9752944860921469E-4</v>
      </c>
      <c r="AE221" s="304">
        <f t="shared" si="92"/>
        <v>0.6</v>
      </c>
      <c r="AF221" s="177">
        <f t="shared" si="93"/>
        <v>0.43356603155874462</v>
      </c>
      <c r="AG221" s="799">
        <f t="shared" si="99"/>
        <v>0</v>
      </c>
      <c r="AH221" s="176">
        <f t="shared" si="94"/>
        <v>6</v>
      </c>
      <c r="AI221" s="224">
        <f t="shared" si="95"/>
        <v>0.43356603155874462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44769</v>
      </c>
      <c r="B222" s="1153">
        <v>59.338000000000001</v>
      </c>
      <c r="C222" s="388"/>
      <c r="D222" s="391">
        <f t="shared" si="77"/>
        <v>60.820954313674498</v>
      </c>
      <c r="E222" s="383">
        <f t="shared" si="75"/>
        <v>61.86029199706433</v>
      </c>
      <c r="F222" s="383">
        <f t="shared" si="78"/>
        <v>61.872791150508753</v>
      </c>
      <c r="G222" s="110">
        <f t="shared" si="76"/>
        <v>1.0281889115450082</v>
      </c>
      <c r="H222" s="412" t="b">
        <f>Wh_hp&gt;='2021'!Maxi_hp</f>
        <v>1</v>
      </c>
      <c r="I222" s="379">
        <f>IF(H222,Wh_hp,'2021'!Maxi_hp)</f>
        <v>61.872791150508753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2.4382292754342449E-2</v>
      </c>
      <c r="M222" s="832"/>
      <c r="N222" s="832"/>
      <c r="O222" s="48">
        <f>IF(t&lt;Tnet,'2021'!Resal+('2021'!Salim-'2021'!Resal)*(1-EXP(('2021'!Tnet-t)/('2021'!Tau_j))),Resal+(Salim-Resal)*(1-EXP((Tnet-t)/(Tau_j))))*Salcycl</f>
        <v>1.6801370472663675E-2</v>
      </c>
      <c r="P222" s="169">
        <f>(INDEX(Models!$BJ222:$BT222,,T222)*(1-R222)+INDEX(Models!$BJ222:$BT222,,T222+1)*R222-ERP_i)*Q222*Ramure*Pc/MaxiM</f>
        <v>2.0201373191686039E-4</v>
      </c>
      <c r="Q222" s="304">
        <f t="shared" si="80"/>
        <v>0.6</v>
      </c>
      <c r="R222" s="177">
        <f t="shared" si="81"/>
        <v>0.43587687306371048</v>
      </c>
      <c r="S222" s="799">
        <f t="shared" si="82"/>
        <v>0</v>
      </c>
      <c r="T222" s="176">
        <f t="shared" si="83"/>
        <v>6</v>
      </c>
      <c r="U222" s="250">
        <f t="shared" si="84"/>
        <v>0.43587687306371048</v>
      </c>
      <c r="V222" s="382">
        <f t="shared" si="85"/>
        <v>57.711184524287205</v>
      </c>
      <c r="W222" s="400">
        <f t="shared" si="86"/>
        <v>0</v>
      </c>
      <c r="X222" s="157">
        <f t="shared" si="87"/>
        <v>44769</v>
      </c>
      <c r="Y222" s="383">
        <f t="shared" si="88"/>
        <v>55.025776799126724</v>
      </c>
      <c r="Z222" s="383">
        <f t="shared" si="89"/>
        <v>56.400961555396826</v>
      </c>
      <c r="AA222" s="384">
        <f t="shared" si="90"/>
        <v>61.86029199706433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8.8252581186111748E-2</v>
      </c>
      <c r="AD222" s="230">
        <f>(INDEX(Models!$BJ222:$BT222,,AH222)*(1-AF222)+INDEX(Models!$BJ222:$BT222,,AH222+1)*AF222-ERP_i)*AE222*Ramure*Pc/MaxiM</f>
        <v>2.0201373191686039E-4</v>
      </c>
      <c r="AE222" s="304">
        <f t="shared" si="92"/>
        <v>0.6</v>
      </c>
      <c r="AF222" s="177">
        <f t="shared" si="93"/>
        <v>0.43587687306371048</v>
      </c>
      <c r="AG222" s="799">
        <f t="shared" si="99"/>
        <v>0</v>
      </c>
      <c r="AH222" s="176">
        <f t="shared" si="94"/>
        <v>6</v>
      </c>
      <c r="AI222" s="224">
        <f t="shared" si="95"/>
        <v>0.43587687306371048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44770</v>
      </c>
      <c r="B223" s="1153">
        <v>46.264000000000003</v>
      </c>
      <c r="C223" s="388"/>
      <c r="D223" s="391">
        <f t="shared" si="77"/>
        <v>47.421122343722175</v>
      </c>
      <c r="E223" s="383">
        <f t="shared" si="75"/>
        <v>48.235991859381485</v>
      </c>
      <c r="F223" s="383">
        <f t="shared" si="78"/>
        <v>48.243154515731007</v>
      </c>
      <c r="G223" s="110">
        <f t="shared" si="76"/>
        <v>0.80333226765893684</v>
      </c>
      <c r="H223" s="412" t="b">
        <f>Wh_hp&gt;='2021'!Maxi_hp</f>
        <v>0</v>
      </c>
      <c r="I223" s="379">
        <f>IF(H223,Wh_hp,'2021'!Maxi_hp)</f>
        <v>56.218409152668862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2.4400990245127652E-2</v>
      </c>
      <c r="M223" s="832"/>
      <c r="N223" s="832"/>
      <c r="O223" s="48">
        <f>IF(t&lt;Tnet,'2021'!Resal+('2021'!Salim-'2021'!Resal)*(1-EXP(('2021'!Tnet-t)/('2021'!Tau_j))),Resal+(Salim-Resal)*(1-EXP((Tnet-t)/(Tau_j))))*Salcycl</f>
        <v>1.6893391930963727E-2</v>
      </c>
      <c r="P223" s="169">
        <f>(INDEX(Models!$BJ223:$BT223,,T223)*(1-R223)+INDEX(Models!$BJ223:$BT223,,T223+1)*R223-ERP_i)*Q223*Ramure*Pc/MaxiM</f>
        <v>2.0646264199020788E-4</v>
      </c>
      <c r="Q223" s="304">
        <f t="shared" si="80"/>
        <v>0.6</v>
      </c>
      <c r="R223" s="177">
        <f t="shared" si="81"/>
        <v>0.43811787245029199</v>
      </c>
      <c r="S223" s="799">
        <f t="shared" si="82"/>
        <v>0</v>
      </c>
      <c r="T223" s="176">
        <f t="shared" si="83"/>
        <v>6</v>
      </c>
      <c r="U223" s="250">
        <f t="shared" si="84"/>
        <v>0.43811787245029199</v>
      </c>
      <c r="V223" s="382">
        <f t="shared" si="85"/>
        <v>57.586777586092047</v>
      </c>
      <c r="W223" s="400">
        <f t="shared" si="86"/>
        <v>0</v>
      </c>
      <c r="X223" s="157">
        <f t="shared" si="87"/>
        <v>44770</v>
      </c>
      <c r="Y223" s="383">
        <f t="shared" si="88"/>
        <v>42.906174675198884</v>
      </c>
      <c r="Z223" s="383">
        <f t="shared" si="89"/>
        <v>43.979313474272004</v>
      </c>
      <c r="AA223" s="384">
        <f t="shared" si="90"/>
        <v>48.235991859381485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8.8246933897796351E-2</v>
      </c>
      <c r="AD223" s="230">
        <f>(INDEX(Models!$BJ223:$BT223,,AH223)*(1-AF223)+INDEX(Models!$BJ223:$BT223,,AH223+1)*AF223-ERP_i)*AE223*Ramure*Pc/MaxiM</f>
        <v>2.0646264199020788E-4</v>
      </c>
      <c r="AE223" s="304">
        <f t="shared" si="92"/>
        <v>0.6</v>
      </c>
      <c r="AF223" s="177">
        <f t="shared" si="93"/>
        <v>0.43811787245029199</v>
      </c>
      <c r="AG223" s="799">
        <f t="shared" si="99"/>
        <v>0</v>
      </c>
      <c r="AH223" s="176">
        <f t="shared" si="94"/>
        <v>6</v>
      </c>
      <c r="AI223" s="224">
        <f t="shared" si="95"/>
        <v>0.43811787245029199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44771</v>
      </c>
      <c r="B224" s="1153">
        <v>33.042999999999999</v>
      </c>
      <c r="C224" s="388"/>
      <c r="D224" s="391">
        <f t="shared" si="77"/>
        <v>33.870097184698579</v>
      </c>
      <c r="E224" s="383">
        <f t="shared" si="75"/>
        <v>34.4553287396933</v>
      </c>
      <c r="F224" s="383">
        <f t="shared" si="78"/>
        <v>34.458184040852075</v>
      </c>
      <c r="G224" s="110">
        <f t="shared" si="76"/>
        <v>0.5749877330140879</v>
      </c>
      <c r="H224" s="412" t="b">
        <f>Wh_hp&gt;='2021'!Maxi_hp</f>
        <v>0</v>
      </c>
      <c r="I224" s="379">
        <f>IF(H224,Wh_hp,'2021'!Maxi_hp)</f>
        <v>59.204840320642759</v>
      </c>
      <c r="J224" s="85">
        <f>IF(H224,An,'2021'!An_max)</f>
        <v>2018</v>
      </c>
      <c r="K224" s="197">
        <f t="shared" si="79"/>
        <v>44771</v>
      </c>
      <c r="L224" s="147">
        <f>IF(t&lt;Tvie,1-EXP((T0-t)*PertePVj)+'2021'!Pspv,1-EXP((T0-t)*PertePVj)+Pspv)</f>
        <v>2.4419687377579713E-2</v>
      </c>
      <c r="M224" s="832"/>
      <c r="N224" s="832"/>
      <c r="O224" s="48">
        <f>IF(t&lt;Tnet,'2021'!Resal+('2021'!Salim-'2021'!Resal)*(1-EXP(('2021'!Tnet-t)/('2021'!Tau_j))),Resal+(Salim-Resal)*(1-EXP((Tnet-t)/(Tau_j))))*Salcycl</f>
        <v>1.698522627417344E-2</v>
      </c>
      <c r="P224" s="169">
        <f>(INDEX(Models!$BJ224:$BT224,,T224)*(1-R224)+INDEX(Models!$BJ224:$BT224,,T224+1)*R224-ERP_i)*Q224*Ramure*Pc/MaxiM</f>
        <v>2.1087640909699207E-4</v>
      </c>
      <c r="Q224" s="304">
        <f t="shared" si="80"/>
        <v>0.6</v>
      </c>
      <c r="R224" s="177">
        <f t="shared" si="81"/>
        <v>0.44029034145432538</v>
      </c>
      <c r="S224" s="799">
        <f t="shared" si="82"/>
        <v>0</v>
      </c>
      <c r="T224" s="176">
        <f t="shared" si="83"/>
        <v>6</v>
      </c>
      <c r="U224" s="250">
        <f t="shared" si="84"/>
        <v>0.44029034145432538</v>
      </c>
      <c r="V224" s="382">
        <f t="shared" si="85"/>
        <v>57.459955749238837</v>
      </c>
      <c r="W224" s="400">
        <f t="shared" si="86"/>
        <v>0</v>
      </c>
      <c r="X224" s="157">
        <f t="shared" si="87"/>
        <v>44771</v>
      </c>
      <c r="Y224" s="383">
        <f t="shared" si="88"/>
        <v>30.647813518607464</v>
      </c>
      <c r="Z224" s="383">
        <f t="shared" si="89"/>
        <v>31.41495694621414</v>
      </c>
      <c r="AA224" s="384">
        <f t="shared" si="90"/>
        <v>34.4553287396933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8.824097475455478E-2</v>
      </c>
      <c r="AD224" s="230">
        <f>(INDEX(Models!$BJ224:$BT224,,AH224)*(1-AF224)+INDEX(Models!$BJ224:$BT224,,AH224+1)*AF224-ERP_i)*AE224*Ramure*Pc/MaxiM</f>
        <v>2.1087640909699207E-4</v>
      </c>
      <c r="AE224" s="304">
        <f t="shared" si="92"/>
        <v>0.6</v>
      </c>
      <c r="AF224" s="177">
        <f t="shared" si="93"/>
        <v>0.44029034145432538</v>
      </c>
      <c r="AG224" s="799">
        <f t="shared" si="99"/>
        <v>0</v>
      </c>
      <c r="AH224" s="176">
        <f t="shared" si="94"/>
        <v>6</v>
      </c>
      <c r="AI224" s="224">
        <f t="shared" si="95"/>
        <v>0.44029034145432538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44772</v>
      </c>
      <c r="B225" s="1153">
        <v>51.105000000000004</v>
      </c>
      <c r="C225" s="388"/>
      <c r="D225" s="391">
        <f t="shared" si="77"/>
        <v>52.385209882988192</v>
      </c>
      <c r="E225" s="383">
        <f t="shared" si="75"/>
        <v>53.295327626356766</v>
      </c>
      <c r="F225" s="383">
        <f t="shared" si="78"/>
        <v>53.305021788323607</v>
      </c>
      <c r="G225" s="110">
        <f t="shared" si="76"/>
        <v>0.89137714474532692</v>
      </c>
      <c r="H225" s="412" t="b">
        <f>Wh_hp&gt;='2021'!Maxi_hp</f>
        <v>1</v>
      </c>
      <c r="I225" s="379">
        <f>IF(H225,Wh_hp,'2021'!Maxi_hp)</f>
        <v>53.305021788323607</v>
      </c>
      <c r="J225" s="85">
        <f>IF(H225,An,'2021'!An_max)</f>
        <v>2022</v>
      </c>
      <c r="K225" s="197">
        <f t="shared" si="79"/>
        <v>44772</v>
      </c>
      <c r="L225" s="147">
        <f>IF(t&lt;Tvie,1-EXP((T0-t)*PertePVj)+'2021'!Pspv,1-EXP((T0-t)*PertePVj)+Pspv)</f>
        <v>2.4438384151705517E-2</v>
      </c>
      <c r="M225" s="832"/>
      <c r="N225" s="832"/>
      <c r="O225" s="48">
        <f>IF(t&lt;Tnet,'2021'!Resal+('2021'!Salim-'2021'!Resal)*(1-EXP(('2021'!Tnet-t)/('2021'!Tau_j))),Resal+(Salim-Resal)*(1-EXP((Tnet-t)/(Tau_j))))*Salcycl</f>
        <v>1.707687679019881E-2</v>
      </c>
      <c r="P225" s="169">
        <f>(INDEX(Models!$BJ225:$BT225,,T225)*(1-R225)+INDEX(Models!$BJ225:$BT225,,T225+1)*R225-ERP_i)*Q225*Ramure*Pc/MaxiM</f>
        <v>2.152552668738718E-4</v>
      </c>
      <c r="Q225" s="304">
        <f t="shared" si="80"/>
        <v>0.6</v>
      </c>
      <c r="R225" s="177">
        <f t="shared" si="81"/>
        <v>0.44239562500120783</v>
      </c>
      <c r="S225" s="799">
        <f t="shared" si="82"/>
        <v>0</v>
      </c>
      <c r="T225" s="176">
        <f t="shared" si="83"/>
        <v>6</v>
      </c>
      <c r="U225" s="250">
        <f t="shared" si="84"/>
        <v>0.44239562500120783</v>
      </c>
      <c r="V225" s="382">
        <f t="shared" si="85"/>
        <v>57.330719585824234</v>
      </c>
      <c r="W225" s="400">
        <f t="shared" si="86"/>
        <v>0</v>
      </c>
      <c r="X225" s="157">
        <f t="shared" si="87"/>
        <v>44772</v>
      </c>
      <c r="Y225" s="383">
        <f t="shared" si="88"/>
        <v>47.405298822816903</v>
      </c>
      <c r="Z225" s="383">
        <f t="shared" si="89"/>
        <v>48.592829046062739</v>
      </c>
      <c r="AA225" s="384">
        <f t="shared" si="90"/>
        <v>53.295327626356766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8.8234725063749159E-2</v>
      </c>
      <c r="AD225" s="230">
        <f>(INDEX(Models!$BJ225:$BT225,,AH225)*(1-AF225)+INDEX(Models!$BJ225:$BT225,,AH225+1)*AF225-ERP_i)*AE225*Ramure*Pc/MaxiM</f>
        <v>2.152552668738718E-4</v>
      </c>
      <c r="AE225" s="304">
        <f t="shared" si="92"/>
        <v>0.6</v>
      </c>
      <c r="AF225" s="177">
        <f t="shared" si="93"/>
        <v>0.44239562500120783</v>
      </c>
      <c r="AG225" s="799">
        <f t="shared" si="99"/>
        <v>0</v>
      </c>
      <c r="AH225" s="176">
        <f t="shared" si="94"/>
        <v>6</v>
      </c>
      <c r="AI225" s="224">
        <f t="shared" si="95"/>
        <v>0.44239562500120783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44773</v>
      </c>
      <c r="B226" s="1153">
        <v>56.743000000000002</v>
      </c>
      <c r="C226" s="388"/>
      <c r="D226" s="391">
        <f t="shared" si="77"/>
        <v>58.165559781838859</v>
      </c>
      <c r="E226" s="383">
        <f t="shared" si="75"/>
        <v>59.181610167531765</v>
      </c>
      <c r="F226" s="383">
        <f t="shared" si="78"/>
        <v>59.194470240108124</v>
      </c>
      <c r="G226" s="110">
        <f t="shared" si="76"/>
        <v>0.99202429406578818</v>
      </c>
      <c r="H226" s="412" t="b">
        <f>Wh_hp&gt;='2021'!Maxi_hp</f>
        <v>1</v>
      </c>
      <c r="I226" s="379">
        <f>IF(H226,Wh_hp,'2021'!Maxi_hp)</f>
        <v>59.194470240108124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2.4457080567511835E-2</v>
      </c>
      <c r="M226" s="832"/>
      <c r="N226" s="832"/>
      <c r="O226" s="48">
        <f>IF(t&lt;Tnet,'2021'!Resal+('2021'!Salim-'2021'!Resal)*(1-EXP(('2021'!Tnet-t)/('2021'!Tau_j))),Resal+(Salim-Resal)*(1-EXP((Tnet-t)/(Tau_j))))*Salcycl</f>
        <v>1.7168346430870399E-2</v>
      </c>
      <c r="P226" s="169">
        <f>(INDEX(Models!$BJ226:$BT226,,T226)*(1-R226)+INDEX(Models!$BJ226:$BT226,,T226+1)*R226-ERP_i)*Q226*Ramure*Pc/MaxiM</f>
        <v>2.1975432019820962E-4</v>
      </c>
      <c r="Q226" s="304">
        <f t="shared" si="80"/>
        <v>0.6</v>
      </c>
      <c r="R226" s="177">
        <f t="shared" si="81"/>
        <v>0.44443509606668091</v>
      </c>
      <c r="S226" s="799">
        <f t="shared" si="82"/>
        <v>0</v>
      </c>
      <c r="T226" s="176">
        <f t="shared" si="83"/>
        <v>6</v>
      </c>
      <c r="U226" s="250">
        <f t="shared" si="84"/>
        <v>0.44443509606668091</v>
      </c>
      <c r="V226" s="382">
        <f t="shared" si="85"/>
        <v>57.199060826214208</v>
      </c>
      <c r="W226" s="400">
        <f t="shared" si="86"/>
        <v>0</v>
      </c>
      <c r="X226" s="157">
        <f t="shared" si="87"/>
        <v>44773</v>
      </c>
      <c r="Y226" s="383">
        <f t="shared" si="88"/>
        <v>52.640415921001626</v>
      </c>
      <c r="Z226" s="383">
        <f t="shared" si="89"/>
        <v>53.960122996561374</v>
      </c>
      <c r="AA226" s="384">
        <f t="shared" si="90"/>
        <v>59.181610167531765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8.8228203933440871E-2</v>
      </c>
      <c r="AD226" s="230">
        <f>(INDEX(Models!$BJ226:$BT226,,AH226)*(1-AF226)+INDEX(Models!$BJ226:$BT226,,AH226+1)*AF226-ERP_i)*AE226*Ramure*Pc/MaxiM</f>
        <v>2.1975432019820962E-4</v>
      </c>
      <c r="AE226" s="304">
        <f t="shared" si="92"/>
        <v>0.6</v>
      </c>
      <c r="AF226" s="177">
        <f t="shared" si="93"/>
        <v>0.44443509606668091</v>
      </c>
      <c r="AG226" s="799">
        <f t="shared" si="99"/>
        <v>0</v>
      </c>
      <c r="AH226" s="176">
        <f t="shared" si="94"/>
        <v>6</v>
      </c>
      <c r="AI226" s="224">
        <f t="shared" si="95"/>
        <v>0.44443509606668091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44774</v>
      </c>
      <c r="B227" s="1153">
        <v>56.358000000000004</v>
      </c>
      <c r="C227" s="388"/>
      <c r="D227" s="391">
        <f t="shared" si="77"/>
        <v>57.77201493266849</v>
      </c>
      <c r="E227" s="383">
        <f t="shared" si="75"/>
        <v>58.786651240798726</v>
      </c>
      <c r="F227" s="383">
        <f t="shared" si="78"/>
        <v>58.799612686809596</v>
      </c>
      <c r="G227" s="110">
        <f t="shared" si="76"/>
        <v>0.98760707152798755</v>
      </c>
      <c r="H227" s="412" t="b">
        <f>Wh_hp&gt;='2021'!Maxi_hp</f>
        <v>1</v>
      </c>
      <c r="I227" s="379">
        <f>IF(H227,Wh_hp,'2021'!Maxi_hp)</f>
        <v>58.799612686809596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2.4475776625005663E-2</v>
      </c>
      <c r="M227" s="832"/>
      <c r="N227" s="832"/>
      <c r="O227" s="48">
        <f>IF(t&lt;Tnet,'2021'!Resal+('2021'!Salim-'2021'!Resal)*(1-EXP(('2021'!Tnet-t)/('2021'!Tau_j))),Resal+(Salim-Resal)*(1-EXP((Tnet-t)/(Tau_j))))*Salcycl</f>
        <v>1.7259637804067716E-2</v>
      </c>
      <c r="P227" s="169">
        <f>(INDEX(Models!$BJ227:$BT227,,T227)*(1-R227)+INDEX(Models!$BJ227:$BT227,,T227+1)*R227-ERP_i)*Q227*Ramure*Pc/MaxiM</f>
        <v>2.2440587228779303E-4</v>
      </c>
      <c r="Q227" s="304">
        <f t="shared" si="80"/>
        <v>0.6</v>
      </c>
      <c r="R227" s="177">
        <f t="shared" si="81"/>
        <v>0.44641015079535012</v>
      </c>
      <c r="S227" s="799">
        <f t="shared" si="82"/>
        <v>0</v>
      </c>
      <c r="T227" s="176">
        <f t="shared" si="83"/>
        <v>6</v>
      </c>
      <c r="U227" s="250">
        <f t="shared" si="84"/>
        <v>0.44641015079535012</v>
      </c>
      <c r="V227" s="382">
        <f t="shared" si="85"/>
        <v>57.064978310004427</v>
      </c>
      <c r="W227" s="400">
        <f t="shared" si="86"/>
        <v>0</v>
      </c>
      <c r="X227" s="157">
        <f t="shared" si="87"/>
        <v>44774</v>
      </c>
      <c r="Y227" s="383">
        <f t="shared" si="88"/>
        <v>52.288497268459487</v>
      </c>
      <c r="Z227" s="383">
        <f t="shared" si="89"/>
        <v>53.600408903797806</v>
      </c>
      <c r="AA227" s="384">
        <f t="shared" si="90"/>
        <v>58.786651240798726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8.8221428292578077E-2</v>
      </c>
      <c r="AD227" s="230">
        <f>(INDEX(Models!$BJ227:$BT227,,AH227)*(1-AF227)+INDEX(Models!$BJ227:$BT227,,AH227+1)*AF227-ERP_i)*AE227*Ramure*Pc/MaxiM</f>
        <v>2.2440587228779303E-4</v>
      </c>
      <c r="AE227" s="304">
        <f t="shared" si="92"/>
        <v>0.6</v>
      </c>
      <c r="AF227" s="177">
        <f t="shared" si="93"/>
        <v>0.44641015079535012</v>
      </c>
      <c r="AG227" s="799">
        <f t="shared" si="99"/>
        <v>0</v>
      </c>
      <c r="AH227" s="176">
        <f t="shared" si="94"/>
        <v>6</v>
      </c>
      <c r="AI227" s="224">
        <f t="shared" si="95"/>
        <v>0.44641015079535012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44775</v>
      </c>
      <c r="B228" s="1153">
        <v>56.346000000000004</v>
      </c>
      <c r="C228" s="388"/>
      <c r="D228" s="391">
        <f t="shared" si="77"/>
        <v>57.760820827173937</v>
      </c>
      <c r="E228" s="383">
        <f t="shared" si="75"/>
        <v>58.780710424843242</v>
      </c>
      <c r="F228" s="383">
        <f t="shared" si="78"/>
        <v>58.793989724542534</v>
      </c>
      <c r="G228" s="110">
        <f t="shared" si="76"/>
        <v>0.98976502548177292</v>
      </c>
      <c r="H228" s="412" t="b">
        <f>Wh_hp&gt;='2021'!Maxi_hp</f>
        <v>1</v>
      </c>
      <c r="I228" s="379">
        <f>IF(H228,Wh_hp,'2021'!Maxi_hp)</f>
        <v>58.793989724542534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2.4494472324193883E-2</v>
      </c>
      <c r="M228" s="832"/>
      <c r="N228" s="832"/>
      <c r="O228" s="48">
        <f>IF(t&lt;Tnet,'2021'!Resal+('2021'!Salim-'2021'!Resal)*(1-EXP(('2021'!Tnet-t)/('2021'!Tau_j))),Resal+(Salim-Resal)*(1-EXP((Tnet-t)/(Tau_j))))*Salcycl</f>
        <v>1.7350753168819389E-2</v>
      </c>
      <c r="P228" s="169">
        <f>(INDEX(Models!$BJ228:$BT228,,T228)*(1-R228)+INDEX(Models!$BJ228:$BT228,,T228+1)*R228-ERP_i)*Q228*Ramure*Pc/MaxiM</f>
        <v>2.2921182676787592E-4</v>
      </c>
      <c r="Q228" s="304">
        <f t="shared" si="80"/>
        <v>0.6</v>
      </c>
      <c r="R228" s="177">
        <f t="shared" si="81"/>
        <v>0.44832220387998695</v>
      </c>
      <c r="S228" s="799">
        <f t="shared" si="82"/>
        <v>0</v>
      </c>
      <c r="T228" s="176">
        <f t="shared" si="83"/>
        <v>6</v>
      </c>
      <c r="U228" s="250">
        <f t="shared" si="84"/>
        <v>0.44832220387998695</v>
      </c>
      <c r="V228" s="382">
        <f t="shared" si="85"/>
        <v>56.928472647699685</v>
      </c>
      <c r="W228" s="400">
        <f t="shared" si="86"/>
        <v>0</v>
      </c>
      <c r="X228" s="157">
        <f t="shared" si="87"/>
        <v>44775</v>
      </c>
      <c r="Y228" s="383">
        <f t="shared" si="88"/>
        <v>52.282613409593459</v>
      </c>
      <c r="Z228" s="383">
        <f t="shared" si="89"/>
        <v>53.59540456337502</v>
      </c>
      <c r="AA228" s="384">
        <f t="shared" si="90"/>
        <v>58.780710424843242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8.8214412925446545E-2</v>
      </c>
      <c r="AD228" s="230">
        <f>(INDEX(Models!$BJ228:$BT228,,AH228)*(1-AF228)+INDEX(Models!$BJ228:$BT228,,AH228+1)*AF228-ERP_i)*AE228*Ramure*Pc/MaxiM</f>
        <v>2.2921182676787592E-4</v>
      </c>
      <c r="AE228" s="304">
        <f t="shared" si="92"/>
        <v>0.6</v>
      </c>
      <c r="AF228" s="177">
        <f t="shared" si="93"/>
        <v>0.44832220387998695</v>
      </c>
      <c r="AG228" s="799">
        <f t="shared" si="99"/>
        <v>0</v>
      </c>
      <c r="AH228" s="176">
        <f t="shared" si="94"/>
        <v>6</v>
      </c>
      <c r="AI228" s="224">
        <f t="shared" si="95"/>
        <v>0.44832220387998695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44776</v>
      </c>
      <c r="B229" s="1153">
        <v>53.209000000000003</v>
      </c>
      <c r="C229" s="388"/>
      <c r="D229" s="391">
        <f t="shared" si="77"/>
        <v>54.546097636848053</v>
      </c>
      <c r="E229" s="383">
        <f t="shared" si="75"/>
        <v>55.51436217862507</v>
      </c>
      <c r="F229" s="383">
        <f t="shared" si="78"/>
        <v>55.526193805328319</v>
      </c>
      <c r="G229" s="110">
        <f t="shared" si="76"/>
        <v>0.93693087280025322</v>
      </c>
      <c r="H229" s="412" t="b">
        <f>Wh_hp&gt;='2021'!Maxi_hp</f>
        <v>0</v>
      </c>
      <c r="I229" s="379">
        <f>IF(H229,Wh_hp,'2021'!Maxi_hp)</f>
        <v>56.932913500318811</v>
      </c>
      <c r="J229" s="85">
        <f>IF(H229,An,'2021'!An_max)</f>
        <v>2018</v>
      </c>
      <c r="K229" s="197">
        <f t="shared" si="79"/>
        <v>44776</v>
      </c>
      <c r="L229" s="147">
        <f>IF(t&lt;Tvie,1-EXP((T0-t)*PertePVj)+'2021'!Pspv,1-EXP((T0-t)*PertePVj)+Pspv)</f>
        <v>2.4513167665083158E-2</v>
      </c>
      <c r="M229" s="832"/>
      <c r="N229" s="832"/>
      <c r="O229" s="48">
        <f>IF(t&lt;Tnet,'2021'!Resal+('2021'!Salim-'2021'!Resal)*(1-EXP(('2021'!Tnet-t)/('2021'!Tau_j))),Resal+(Salim-Resal)*(1-EXP((Tnet-t)/(Tau_j))))*Salcycl</f>
        <v>1.7441694433262021E-2</v>
      </c>
      <c r="P229" s="169">
        <f>(INDEX(Models!$BJ229:$BT229,,T229)*(1-R229)+INDEX(Models!$BJ229:$BT229,,T229+1)*R229-ERP_i)*Q229*Ramure*Pc/MaxiM</f>
        <v>2.3417407662597054E-4</v>
      </c>
      <c r="Q229" s="304">
        <f t="shared" si="80"/>
        <v>0.6</v>
      </c>
      <c r="R229" s="177">
        <f t="shared" si="81"/>
        <v>0.45017268420270989</v>
      </c>
      <c r="S229" s="799">
        <f t="shared" si="82"/>
        <v>0</v>
      </c>
      <c r="T229" s="176">
        <f t="shared" si="83"/>
        <v>6</v>
      </c>
      <c r="U229" s="250">
        <f t="shared" si="84"/>
        <v>0.45017268420270989</v>
      </c>
      <c r="V229" s="382">
        <f t="shared" si="85"/>
        <v>56.789544470865806</v>
      </c>
      <c r="W229" s="400">
        <f t="shared" si="86"/>
        <v>0</v>
      </c>
      <c r="X229" s="157">
        <f t="shared" si="87"/>
        <v>44776</v>
      </c>
      <c r="Y229" s="383">
        <f t="shared" si="88"/>
        <v>49.376799716589559</v>
      </c>
      <c r="Z229" s="383">
        <f t="shared" si="89"/>
        <v>50.617597367666846</v>
      </c>
      <c r="AA229" s="384">
        <f t="shared" si="90"/>
        <v>55.51436217862507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8.8207170519265105E-2</v>
      </c>
      <c r="AD229" s="230">
        <f>(INDEX(Models!$BJ229:$BT229,,AH229)*(1-AF229)+INDEX(Models!$BJ229:$BT229,,AH229+1)*AF229-ERP_i)*AE229*Ramure*Pc/MaxiM</f>
        <v>2.3417407662597054E-4</v>
      </c>
      <c r="AE229" s="304">
        <f t="shared" si="92"/>
        <v>0.6</v>
      </c>
      <c r="AF229" s="177">
        <f t="shared" si="93"/>
        <v>0.45017268420270989</v>
      </c>
      <c r="AG229" s="799">
        <f t="shared" si="99"/>
        <v>0</v>
      </c>
      <c r="AH229" s="176">
        <f t="shared" si="94"/>
        <v>6</v>
      </c>
      <c r="AI229" s="224">
        <f t="shared" si="95"/>
        <v>0.45017268420270989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44777</v>
      </c>
      <c r="B230" s="1153">
        <v>52.42</v>
      </c>
      <c r="C230" s="388"/>
      <c r="D230" s="391">
        <f t="shared" si="77"/>
        <v>53.738300609471324</v>
      </c>
      <c r="E230" s="383">
        <f t="shared" si="75"/>
        <v>54.697278631778708</v>
      </c>
      <c r="F230" s="383">
        <f t="shared" si="78"/>
        <v>54.708974263466324</v>
      </c>
      <c r="G230" s="110">
        <f t="shared" si="76"/>
        <v>0.92533685702092205</v>
      </c>
      <c r="H230" s="412" t="b">
        <f>Wh_hp&gt;='2021'!Maxi_hp</f>
        <v>1</v>
      </c>
      <c r="I230" s="379">
        <f>IF(H230,Wh_hp,'2021'!Maxi_hp)</f>
        <v>54.708974263466324</v>
      </c>
      <c r="J230" s="85">
        <f>IF(H230,An,'2021'!An_max)</f>
        <v>2022</v>
      </c>
      <c r="K230" s="197">
        <f t="shared" si="79"/>
        <v>44777</v>
      </c>
      <c r="L230" s="147">
        <f>IF(t&lt;Tvie,1-EXP((T0-t)*PertePVj)+'2021'!Pspv,1-EXP((T0-t)*PertePVj)+Pspv)</f>
        <v>2.4531862647680591E-2</v>
      </c>
      <c r="M230" s="832"/>
      <c r="N230" s="832"/>
      <c r="O230" s="48">
        <f>IF(t&lt;Tnet,'2021'!Resal+('2021'!Salim-'2021'!Resal)*(1-EXP(('2021'!Tnet-t)/('2021'!Tau_j))),Resal+(Salim-Resal)*(1-EXP((Tnet-t)/(Tau_j))))*Salcycl</f>
        <v>1.7532463155309937E-2</v>
      </c>
      <c r="P230" s="169">
        <f>(INDEX(Models!$BJ230:$BT230,,T230)*(1-R230)+INDEX(Models!$BJ230:$BT230,,T230+1)*R230-ERP_i)*Q230*Ramure*Pc/MaxiM</f>
        <v>2.3929450369601185E-4</v>
      </c>
      <c r="Q230" s="304">
        <f t="shared" si="80"/>
        <v>0.6</v>
      </c>
      <c r="R230" s="177">
        <f t="shared" si="81"/>
        <v>0.4519630307373867</v>
      </c>
      <c r="S230" s="799">
        <f t="shared" si="82"/>
        <v>0</v>
      </c>
      <c r="T230" s="176">
        <f t="shared" si="83"/>
        <v>6</v>
      </c>
      <c r="U230" s="250">
        <f t="shared" si="84"/>
        <v>0.4519630307373867</v>
      </c>
      <c r="V230" s="382">
        <f t="shared" si="85"/>
        <v>56.648194433603912</v>
      </c>
      <c r="W230" s="400">
        <f t="shared" si="86"/>
        <v>0</v>
      </c>
      <c r="X230" s="157">
        <f t="shared" si="87"/>
        <v>44777</v>
      </c>
      <c r="Y230" s="383">
        <f t="shared" si="88"/>
        <v>48.649516975337157</v>
      </c>
      <c r="Z230" s="383">
        <f t="shared" si="89"/>
        <v>49.8729944243847</v>
      </c>
      <c r="AA230" s="384">
        <f t="shared" si="90"/>
        <v>54.697278631778708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8.8199711723704236E-2</v>
      </c>
      <c r="AD230" s="230">
        <f>(INDEX(Models!$BJ230:$BT230,,AH230)*(1-AF230)+INDEX(Models!$BJ230:$BT230,,AH230+1)*AF230-ERP_i)*AE230*Ramure*Pc/MaxiM</f>
        <v>2.3929450369601185E-4</v>
      </c>
      <c r="AE230" s="304">
        <f t="shared" si="92"/>
        <v>0.6</v>
      </c>
      <c r="AF230" s="177">
        <f t="shared" si="93"/>
        <v>0.4519630307373867</v>
      </c>
      <c r="AG230" s="799">
        <f t="shared" si="99"/>
        <v>0</v>
      </c>
      <c r="AH230" s="176">
        <f t="shared" si="94"/>
        <v>6</v>
      </c>
      <c r="AI230" s="224">
        <f t="shared" si="95"/>
        <v>0.4519630307373867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44778</v>
      </c>
      <c r="B231" s="1153">
        <v>47.603999999999999</v>
      </c>
      <c r="C231" s="388"/>
      <c r="D231" s="391">
        <f t="shared" si="77"/>
        <v>48.802119222978355</v>
      </c>
      <c r="E231" s="383">
        <f t="shared" si="75"/>
        <v>49.677590406484263</v>
      </c>
      <c r="F231" s="383">
        <f t="shared" si="78"/>
        <v>49.687008060604263</v>
      </c>
      <c r="G231" s="110">
        <f t="shared" si="76"/>
        <v>0.84243634197578343</v>
      </c>
      <c r="H231" s="412" t="b">
        <f>Wh_hp&gt;='2021'!Maxi_hp</f>
        <v>0</v>
      </c>
      <c r="I231" s="379">
        <f>IF(H231,Wh_hp,'2021'!Maxi_hp)</f>
        <v>57.498472641811972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2.4550557271992846E-2</v>
      </c>
      <c r="M231" s="832"/>
      <c r="N231" s="832"/>
      <c r="O231" s="48">
        <f>IF(t&lt;Tnet,'2021'!Resal+('2021'!Salim-'2021'!Resal)*(1-EXP(('2021'!Tnet-t)/('2021'!Tau_j))),Resal+(Salim-Resal)*(1-EXP((Tnet-t)/(Tau_j))))*Salcycl</f>
        <v>1.7623060545859999E-2</v>
      </c>
      <c r="P231" s="169">
        <f>(INDEX(Models!$BJ231:$BT231,,T231)*(1-R231)+INDEX(Models!$BJ231:$BT231,,T231+1)*R231-ERP_i)*Q231*Ramure*Pc/MaxiM</f>
        <v>2.4457497813468274E-4</v>
      </c>
      <c r="Q231" s="304">
        <f t="shared" si="80"/>
        <v>0.6</v>
      </c>
      <c r="R231" s="177">
        <f t="shared" si="81"/>
        <v>0.45369468871102903</v>
      </c>
      <c r="S231" s="799">
        <f t="shared" si="82"/>
        <v>0</v>
      </c>
      <c r="T231" s="176">
        <f t="shared" si="83"/>
        <v>6</v>
      </c>
      <c r="U231" s="250">
        <f t="shared" si="84"/>
        <v>0.45369468871102903</v>
      </c>
      <c r="V231" s="382">
        <f t="shared" si="85"/>
        <v>56.504423213864783</v>
      </c>
      <c r="W231" s="400">
        <f t="shared" si="86"/>
        <v>0</v>
      </c>
      <c r="X231" s="157">
        <f t="shared" si="87"/>
        <v>44778</v>
      </c>
      <c r="Y231" s="383">
        <f t="shared" si="88"/>
        <v>44.184369701732969</v>
      </c>
      <c r="Z231" s="383">
        <f t="shared" si="89"/>
        <v>45.2964221068844</v>
      </c>
      <c r="AA231" s="384">
        <f t="shared" si="90"/>
        <v>49.677590406484263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8.8192045221017909E-2</v>
      </c>
      <c r="AD231" s="230">
        <f>(INDEX(Models!$BJ231:$BT231,,AH231)*(1-AF231)+INDEX(Models!$BJ231:$BT231,,AH231+1)*AF231-ERP_i)*AE231*Ramure*Pc/MaxiM</f>
        <v>2.4457497813468274E-4</v>
      </c>
      <c r="AE231" s="304">
        <f t="shared" si="92"/>
        <v>0.6</v>
      </c>
      <c r="AF231" s="177">
        <f t="shared" si="93"/>
        <v>0.45369468871102903</v>
      </c>
      <c r="AG231" s="799">
        <f t="shared" si="99"/>
        <v>0</v>
      </c>
      <c r="AH231" s="176">
        <f t="shared" si="94"/>
        <v>6</v>
      </c>
      <c r="AI231" s="224">
        <f t="shared" si="95"/>
        <v>0.45369468871102903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44779</v>
      </c>
      <c r="B232" s="1153">
        <v>52.271999999999998</v>
      </c>
      <c r="C232" s="388"/>
      <c r="D232" s="391">
        <f t="shared" si="77"/>
        <v>53.588632593775372</v>
      </c>
      <c r="E232" s="383">
        <f t="shared" si="75"/>
        <v>54.554991756923812</v>
      </c>
      <c r="F232" s="383">
        <f t="shared" si="78"/>
        <v>54.567221420266122</v>
      </c>
      <c r="G232" s="110">
        <f t="shared" si="76"/>
        <v>0.92747136744089587</v>
      </c>
      <c r="H232" s="412" t="b">
        <f>Wh_hp&gt;='2021'!Maxi_hp</f>
        <v>0</v>
      </c>
      <c r="I232" s="379">
        <f>IF(H232,Wh_hp,'2021'!Maxi_hp)</f>
        <v>58.413322100606401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2.4569251538026915E-2</v>
      </c>
      <c r="M232" s="832"/>
      <c r="N232" s="832"/>
      <c r="O232" s="48">
        <f>IF(t&lt;Tnet,'2021'!Resal+('2021'!Salim-'2021'!Resal)*(1-EXP(('2021'!Tnet-t)/('2021'!Tau_j))),Resal+(Salim-Resal)*(1-EXP((Tnet-t)/(Tau_j))))*Salcycl</f>
        <v>1.7713487474329864E-2</v>
      </c>
      <c r="P232" s="169">
        <f>(INDEX(Models!$BJ232:$BT232,,T232)*(1-R232)+INDEX(Models!$BJ232:$BT232,,T232+1)*R232-ERP_i)*Q232*Ramure*Pc/MaxiM</f>
        <v>2.5001735792730385E-4</v>
      </c>
      <c r="Q232" s="304">
        <f t="shared" si="80"/>
        <v>0.6</v>
      </c>
      <c r="R232" s="177">
        <f t="shared" si="81"/>
        <v>0.45536910602056058</v>
      </c>
      <c r="S232" s="799">
        <f t="shared" si="82"/>
        <v>0</v>
      </c>
      <c r="T232" s="176">
        <f t="shared" si="83"/>
        <v>6</v>
      </c>
      <c r="U232" s="250">
        <f t="shared" si="84"/>
        <v>0.45536910602056058</v>
      </c>
      <c r="V232" s="382">
        <f t="shared" si="85"/>
        <v>56.358231509976157</v>
      </c>
      <c r="W232" s="400">
        <f t="shared" si="86"/>
        <v>0</v>
      </c>
      <c r="X232" s="157">
        <f t="shared" si="87"/>
        <v>44779</v>
      </c>
      <c r="Y232" s="383">
        <f t="shared" si="88"/>
        <v>48.521929243643285</v>
      </c>
      <c r="Z232" s="383">
        <f t="shared" si="89"/>
        <v>49.744104663658653</v>
      </c>
      <c r="AA232" s="384">
        <f t="shared" si="90"/>
        <v>54.554991756923812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8.8184177805408381E-2</v>
      </c>
      <c r="AD232" s="230">
        <f>(INDEX(Models!$BJ232:$BT232,,AH232)*(1-AF232)+INDEX(Models!$BJ232:$BT232,,AH232+1)*AF232-ERP_i)*AE232*Ramure*Pc/MaxiM</f>
        <v>2.5001735792730385E-4</v>
      </c>
      <c r="AE232" s="304">
        <f t="shared" si="92"/>
        <v>0.6</v>
      </c>
      <c r="AF232" s="177">
        <f t="shared" si="93"/>
        <v>0.45536910602056058</v>
      </c>
      <c r="AG232" s="799">
        <f t="shared" si="99"/>
        <v>0</v>
      </c>
      <c r="AH232" s="176">
        <f t="shared" si="94"/>
        <v>6</v>
      </c>
      <c r="AI232" s="224">
        <f t="shared" si="95"/>
        <v>0.45536910602056058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44780</v>
      </c>
      <c r="B233" s="1153">
        <v>55.006</v>
      </c>
      <c r="C233" s="388"/>
      <c r="D233" s="391">
        <f t="shared" si="77"/>
        <v>56.39257762212015</v>
      </c>
      <c r="E233" s="383">
        <f t="shared" ref="E233:E296" si="100">Wh_pvt/(1-Psa)</f>
        <v>57.414775616358178</v>
      </c>
      <c r="F233" s="383">
        <f t="shared" si="78"/>
        <v>57.429006468910806</v>
      </c>
      <c r="G233" s="110">
        <f t="shared" ref="G233:G296" si="101">+Wh_hp/MaxiM</f>
        <v>0.97857134846775717</v>
      </c>
      <c r="H233" s="412" t="b">
        <f>Wh_hp&gt;='2021'!Maxi_hp</f>
        <v>1</v>
      </c>
      <c r="I233" s="379">
        <f>IF(H233,Wh_hp,'2021'!Maxi_hp)</f>
        <v>57.429006468910806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2.4587945445789683E-2</v>
      </c>
      <c r="M233" s="832"/>
      <c r="N233" s="832"/>
      <c r="O233" s="48">
        <f>IF(t&lt;Tnet,'2021'!Resal+('2021'!Salim-'2021'!Resal)*(1-EXP(('2021'!Tnet-t)/('2021'!Tau_j))),Resal+(Salim-Resal)*(1-EXP((Tnet-t)/(Tau_j))))*Salcycl</f>
        <v>1.7803744476304933E-2</v>
      </c>
      <c r="P233" s="169">
        <f>(INDEX(Models!$BJ233:$BT233,,T233)*(1-R233)+INDEX(Models!$BJ233:$BT233,,T233+1)*R233-ERP_i)*Q233*Ramure*Pc/MaxiM</f>
        <v>2.5562141656479572E-4</v>
      </c>
      <c r="Q233" s="304">
        <f t="shared" si="80"/>
        <v>0.6</v>
      </c>
      <c r="R233" s="177">
        <f t="shared" si="81"/>
        <v>0.45698772990012415</v>
      </c>
      <c r="S233" s="799">
        <f t="shared" si="82"/>
        <v>0</v>
      </c>
      <c r="T233" s="176">
        <f t="shared" si="83"/>
        <v>6</v>
      </c>
      <c r="U233" s="250">
        <f t="shared" si="84"/>
        <v>0.45698772990012415</v>
      </c>
      <c r="V233" s="382">
        <f t="shared" si="85"/>
        <v>56.210075741252595</v>
      </c>
      <c r="W233" s="400">
        <f t="shared" si="86"/>
        <v>0</v>
      </c>
      <c r="X233" s="157">
        <f t="shared" si="87"/>
        <v>44780</v>
      </c>
      <c r="Y233" s="383">
        <f t="shared" si="88"/>
        <v>51.064931642108995</v>
      </c>
      <c r="Z233" s="383">
        <f t="shared" si="89"/>
        <v>52.352163789330092</v>
      </c>
      <c r="AA233" s="384">
        <f t="shared" si="90"/>
        <v>57.414775616358178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8.8176114470186723E-2</v>
      </c>
      <c r="AD233" s="230">
        <f>(INDEX(Models!$BJ233:$BT233,,AH233)*(1-AF233)+INDEX(Models!$BJ233:$BT233,,AH233+1)*AF233-ERP_i)*AE233*Ramure*Pc/MaxiM</f>
        <v>2.5562141656479572E-4</v>
      </c>
      <c r="AE233" s="304">
        <f t="shared" si="92"/>
        <v>0.6</v>
      </c>
      <c r="AF233" s="177">
        <f t="shared" si="93"/>
        <v>0.45698772990012415</v>
      </c>
      <c r="AG233" s="799">
        <f t="shared" si="99"/>
        <v>0</v>
      </c>
      <c r="AH233" s="176">
        <f t="shared" si="94"/>
        <v>6</v>
      </c>
      <c r="AI233" s="224">
        <f t="shared" si="95"/>
        <v>0.45698772990012415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44781</v>
      </c>
      <c r="B234" s="1153">
        <v>55.469000000000001</v>
      </c>
      <c r="C234" s="388"/>
      <c r="D234" s="391">
        <f t="shared" si="77"/>
        <v>56.868338680164584</v>
      </c>
      <c r="E234" s="383">
        <f t="shared" si="100"/>
        <v>57.904471552452442</v>
      </c>
      <c r="F234" s="383">
        <f t="shared" si="78"/>
        <v>57.919390552745952</v>
      </c>
      <c r="G234" s="110">
        <f t="shared" si="101"/>
        <v>0.98944915798439248</v>
      </c>
      <c r="H234" s="412" t="b">
        <f>Wh_hp&gt;='2021'!Maxi_hp</f>
        <v>1</v>
      </c>
      <c r="I234" s="379">
        <f>IF(H234,Wh_hp,'2021'!Maxi_hp)</f>
        <v>57.919390552745952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2.4606638995288033E-2</v>
      </c>
      <c r="M234" s="832"/>
      <c r="N234" s="832"/>
      <c r="O234" s="48">
        <f>IF(t&lt;Tnet,'2021'!Resal+('2021'!Salim-'2021'!Resal)*(1-EXP(('2021'!Tnet-t)/('2021'!Tau_j))),Resal+(Salim-Resal)*(1-EXP((Tnet-t)/(Tau_j))))*Salcycl</f>
        <v>1.7893831763049265E-2</v>
      </c>
      <c r="P234" s="169">
        <f>(INDEX(Models!$BJ234:$BT234,,T234)*(1-R234)+INDEX(Models!$BJ234:$BT234,,T234+1)*R234-ERP_i)*Q234*Ramure*Pc/MaxiM</f>
        <v>2.6152251072736164E-4</v>
      </c>
      <c r="Q234" s="304">
        <f t="shared" si="80"/>
        <v>0.6</v>
      </c>
      <c r="R234" s="177">
        <f t="shared" si="81"/>
        <v>0.45855200383304567</v>
      </c>
      <c r="S234" s="799">
        <f t="shared" si="82"/>
        <v>0</v>
      </c>
      <c r="T234" s="176">
        <f t="shared" si="83"/>
        <v>6</v>
      </c>
      <c r="U234" s="250">
        <f t="shared" si="84"/>
        <v>0.45855200383304567</v>
      </c>
      <c r="V234" s="382">
        <f t="shared" si="85"/>
        <v>56.060264367697982</v>
      </c>
      <c r="W234" s="400">
        <f t="shared" si="86"/>
        <v>0</v>
      </c>
      <c r="X234" s="157">
        <f t="shared" si="87"/>
        <v>44781</v>
      </c>
      <c r="Y234" s="383">
        <f t="shared" si="88"/>
        <v>51.499948470531308</v>
      </c>
      <c r="Z234" s="383">
        <f t="shared" si="89"/>
        <v>52.799158298025901</v>
      </c>
      <c r="AA234" s="384">
        <f t="shared" si="90"/>
        <v>57.904471552452442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8.8167858501254442E-2</v>
      </c>
      <c r="AD234" s="230">
        <f>(INDEX(Models!$BJ234:$BT234,,AH234)*(1-AF234)+INDEX(Models!$BJ234:$BT234,,AH234+1)*AF234-ERP_i)*AE234*Ramure*Pc/MaxiM</f>
        <v>2.6152251072736164E-4</v>
      </c>
      <c r="AE234" s="304">
        <f t="shared" si="92"/>
        <v>0.6</v>
      </c>
      <c r="AF234" s="177">
        <f t="shared" si="93"/>
        <v>0.45855200383304567</v>
      </c>
      <c r="AG234" s="799">
        <f t="shared" si="99"/>
        <v>0</v>
      </c>
      <c r="AH234" s="176">
        <f t="shared" si="94"/>
        <v>6</v>
      </c>
      <c r="AI234" s="224">
        <f t="shared" si="95"/>
        <v>0.45855200383304567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44782</v>
      </c>
      <c r="B235" s="1153">
        <v>53.387</v>
      </c>
      <c r="C235" s="388"/>
      <c r="D235" s="391">
        <f t="shared" si="77"/>
        <v>54.73486421344051</v>
      </c>
      <c r="E235" s="383">
        <f t="shared" si="100"/>
        <v>55.737228554689189</v>
      </c>
      <c r="F235" s="383">
        <f t="shared" si="78"/>
        <v>55.751194247205873</v>
      </c>
      <c r="G235" s="110">
        <f t="shared" si="101"/>
        <v>0.95488157562848097</v>
      </c>
      <c r="H235" s="412" t="b">
        <f>Wh_hp&gt;='2021'!Maxi_hp</f>
        <v>0</v>
      </c>
      <c r="I235" s="379">
        <f>IF(H235,Wh_hp,'2021'!Maxi_hp)</f>
        <v>56.144783633335642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2.4625332186528626E-2</v>
      </c>
      <c r="M235" s="832"/>
      <c r="N235" s="832"/>
      <c r="O235" s="48">
        <f>IF(t&lt;Tnet,'2021'!Resal+('2021'!Salim-'2021'!Resal)*(1-EXP(('2021'!Tnet-t)/('2021'!Tau_j))),Resal+(Salim-Resal)*(1-EXP((Tnet-t)/(Tau_j))))*Salcycl</f>
        <v>1.7983749232618633E-2</v>
      </c>
      <c r="P235" s="169">
        <f>(INDEX(Models!$BJ235:$BT235,,T235)*(1-R235)+INDEX(Models!$BJ235:$BT235,,T235+1)*R235-ERP_i)*Q235*Ramure*Pc/MaxiM</f>
        <v>2.6775194950401365E-4</v>
      </c>
      <c r="Q235" s="304">
        <f t="shared" si="80"/>
        <v>0.6</v>
      </c>
      <c r="R235" s="177">
        <f t="shared" si="81"/>
        <v>0.46006336470167397</v>
      </c>
      <c r="S235" s="799">
        <f t="shared" si="82"/>
        <v>0</v>
      </c>
      <c r="T235" s="176">
        <f t="shared" si="83"/>
        <v>6</v>
      </c>
      <c r="U235" s="250">
        <f t="shared" si="84"/>
        <v>0.46006336470167397</v>
      </c>
      <c r="V235" s="382">
        <f t="shared" si="85"/>
        <v>55.908586069264082</v>
      </c>
      <c r="W235" s="400">
        <f t="shared" si="86"/>
        <v>0</v>
      </c>
      <c r="X235" s="157">
        <f t="shared" si="87"/>
        <v>44782</v>
      </c>
      <c r="Y235" s="383">
        <f t="shared" si="88"/>
        <v>49.571922517761827</v>
      </c>
      <c r="Z235" s="383">
        <f t="shared" si="89"/>
        <v>50.82346728246366</v>
      </c>
      <c r="AA235" s="384">
        <f t="shared" si="90"/>
        <v>55.737228554689189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8.8159411575409796E-2</v>
      </c>
      <c r="AD235" s="230">
        <f>(INDEX(Models!$BJ235:$BT235,,AH235)*(1-AF235)+INDEX(Models!$BJ235:$BT235,,AH235+1)*AF235-ERP_i)*AE235*Ramure*Pc/MaxiM</f>
        <v>2.6775194950401365E-4</v>
      </c>
      <c r="AE235" s="304">
        <f t="shared" si="92"/>
        <v>0.6</v>
      </c>
      <c r="AF235" s="177">
        <f t="shared" si="93"/>
        <v>0.46006336470167397</v>
      </c>
      <c r="AG235" s="799">
        <f t="shared" si="99"/>
        <v>0</v>
      </c>
      <c r="AH235" s="176">
        <f t="shared" si="94"/>
        <v>6</v>
      </c>
      <c r="AI235" s="224">
        <f t="shared" si="95"/>
        <v>0.46006336470167397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44783</v>
      </c>
      <c r="B236" s="1153">
        <v>50.448999999999998</v>
      </c>
      <c r="C236" s="388"/>
      <c r="D236" s="391">
        <f t="shared" si="77"/>
        <v>51.723679655532507</v>
      </c>
      <c r="E236" s="383">
        <f t="shared" si="100"/>
        <v>52.675713986978863</v>
      </c>
      <c r="F236" s="383">
        <f t="shared" si="78"/>
        <v>52.68820222554956</v>
      </c>
      <c r="G236" s="110">
        <f t="shared" si="101"/>
        <v>0.90480263552584483</v>
      </c>
      <c r="H236" s="412" t="b">
        <f>Wh_hp&gt;='2021'!Maxi_hp</f>
        <v>0</v>
      </c>
      <c r="I236" s="379">
        <f>IF(H236,Wh_hp,'2021'!Maxi_hp)</f>
        <v>53.37794367209424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2.4644025019518567E-2</v>
      </c>
      <c r="M236" s="832"/>
      <c r="N236" s="832"/>
      <c r="O236" s="48">
        <f>IF(t&lt;Tnet,'2021'!Resal+('2021'!Salim-'2021'!Resal)*(1-EXP(('2021'!Tnet-t)/('2021'!Tau_j))),Resal+(Salim-Resal)*(1-EXP((Tnet-t)/(Tau_j))))*Salcycl</f>
        <v>1.8073496482300902E-2</v>
      </c>
      <c r="P236" s="169">
        <f>(INDEX(Models!$BJ236:$BT236,,T236)*(1-R236)+INDEX(Models!$BJ236:$BT236,,T236+1)*R236-ERP_i)*Q236*Ramure*Pc/MaxiM</f>
        <v>2.743139766065647E-4</v>
      </c>
      <c r="Q236" s="304">
        <f t="shared" si="80"/>
        <v>0.6</v>
      </c>
      <c r="R236" s="177">
        <f t="shared" si="81"/>
        <v>0.46152324016757112</v>
      </c>
      <c r="S236" s="799">
        <f t="shared" si="82"/>
        <v>0</v>
      </c>
      <c r="T236" s="176">
        <f t="shared" si="83"/>
        <v>6</v>
      </c>
      <c r="U236" s="250">
        <f t="shared" si="84"/>
        <v>0.46152324016757112</v>
      </c>
      <c r="V236" s="382">
        <f t="shared" si="85"/>
        <v>55.75483117184735</v>
      </c>
      <c r="W236" s="400">
        <f t="shared" si="86"/>
        <v>0</v>
      </c>
      <c r="X236" s="157">
        <f t="shared" si="87"/>
        <v>44783</v>
      </c>
      <c r="Y236" s="383">
        <f t="shared" si="88"/>
        <v>46.848599609683333</v>
      </c>
      <c r="Z236" s="383">
        <f t="shared" si="89"/>
        <v>48.032309035294375</v>
      </c>
      <c r="AA236" s="384">
        <f t="shared" si="90"/>
        <v>52.675713986978863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8.8150773861979601E-2</v>
      </c>
      <c r="AD236" s="230">
        <f>(INDEX(Models!$BJ236:$BT236,,AH236)*(1-AF236)+INDEX(Models!$BJ236:$BT236,,AH236+1)*AF236-ERP_i)*AE236*Ramure*Pc/MaxiM</f>
        <v>2.743139766065647E-4</v>
      </c>
      <c r="AE236" s="304">
        <f t="shared" si="92"/>
        <v>0.6</v>
      </c>
      <c r="AF236" s="177">
        <f t="shared" si="93"/>
        <v>0.46152324016757112</v>
      </c>
      <c r="AG236" s="799">
        <f t="shared" si="99"/>
        <v>0</v>
      </c>
      <c r="AH236" s="176">
        <f t="shared" si="94"/>
        <v>6</v>
      </c>
      <c r="AI236" s="224">
        <f t="shared" si="95"/>
        <v>0.46152324016757112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44784</v>
      </c>
      <c r="B237" s="1153">
        <v>48.783000000000001</v>
      </c>
      <c r="C237" s="388"/>
      <c r="D237" s="391">
        <f t="shared" si="77"/>
        <v>50.016543892049093</v>
      </c>
      <c r="E237" s="383">
        <f t="shared" si="100"/>
        <v>50.941803580164667</v>
      </c>
      <c r="F237" s="383">
        <f t="shared" si="78"/>
        <v>50.953623036266421</v>
      </c>
      <c r="G237" s="110">
        <f t="shared" si="101"/>
        <v>0.87736795855840677</v>
      </c>
      <c r="H237" s="412" t="b">
        <f>Wh_hp&gt;='2021'!Maxi_hp</f>
        <v>0</v>
      </c>
      <c r="I237" s="379">
        <f>IF(H237,Wh_hp,'2021'!Maxi_hp)</f>
        <v>51.914944304147305</v>
      </c>
      <c r="J237" s="85">
        <f>IF(H237,An,'2021'!An_max)</f>
        <v>2021</v>
      </c>
      <c r="K237" s="197">
        <f t="shared" si="79"/>
        <v>44784</v>
      </c>
      <c r="L237" s="147">
        <f>IF(t&lt;Tvie,1-EXP((T0-t)*PertePVj)+'2021'!Pspv,1-EXP((T0-t)*PertePVj)+Pspv)</f>
        <v>2.466271749426463E-2</v>
      </c>
      <c r="M237" s="832"/>
      <c r="N237" s="832"/>
      <c r="O237" s="48">
        <f>IF(t&lt;Tnet,'2021'!Resal+('2021'!Salim-'2021'!Resal)*(1-EXP(('2021'!Tnet-t)/('2021'!Tau_j))),Resal+(Salim-Resal)*(1-EXP((Tnet-t)/(Tau_j))))*Salcycl</f>
        <v>1.8163072822098586E-2</v>
      </c>
      <c r="P237" s="169">
        <f>(INDEX(Models!$BJ237:$BT237,,T237)*(1-R237)+INDEX(Models!$BJ237:$BT237,,T237+1)*R237-ERP_i)*Q237*Ramure*Pc/MaxiM</f>
        <v>2.8121292275580718E-4</v>
      </c>
      <c r="Q237" s="304">
        <f t="shared" si="80"/>
        <v>0.6</v>
      </c>
      <c r="R237" s="177">
        <f t="shared" si="81"/>
        <v>0.46293304627391363</v>
      </c>
      <c r="S237" s="799">
        <f t="shared" si="82"/>
        <v>0</v>
      </c>
      <c r="T237" s="176">
        <f t="shared" si="83"/>
        <v>6</v>
      </c>
      <c r="U237" s="250">
        <f t="shared" si="84"/>
        <v>0.46293304627391363</v>
      </c>
      <c r="V237" s="382">
        <f t="shared" si="85"/>
        <v>55.598790113441275</v>
      </c>
      <c r="W237" s="400">
        <f t="shared" si="86"/>
        <v>0</v>
      </c>
      <c r="X237" s="157">
        <f t="shared" si="87"/>
        <v>44784</v>
      </c>
      <c r="Y237" s="383">
        <f t="shared" si="88"/>
        <v>45.306068969666292</v>
      </c>
      <c r="Z237" s="383">
        <f t="shared" si="89"/>
        <v>46.451693975309382</v>
      </c>
      <c r="AA237" s="384">
        <f t="shared" si="90"/>
        <v>50.941803580164667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8.8141944126289382E-2</v>
      </c>
      <c r="AD237" s="230">
        <f>(INDEX(Models!$BJ237:$BT237,,AH237)*(1-AF237)+INDEX(Models!$BJ237:$BT237,,AH237+1)*AF237-ERP_i)*AE237*Ramure*Pc/MaxiM</f>
        <v>2.8121292275580718E-4</v>
      </c>
      <c r="AE237" s="304">
        <f t="shared" si="92"/>
        <v>0.6</v>
      </c>
      <c r="AF237" s="177">
        <f t="shared" si="93"/>
        <v>0.46293304627391363</v>
      </c>
      <c r="AG237" s="799">
        <f t="shared" si="99"/>
        <v>0</v>
      </c>
      <c r="AH237" s="176">
        <f t="shared" si="94"/>
        <v>6</v>
      </c>
      <c r="AI237" s="224">
        <f t="shared" si="95"/>
        <v>0.46293304627391363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44785</v>
      </c>
      <c r="B238" s="1153">
        <v>49.753</v>
      </c>
      <c r="C238" s="388"/>
      <c r="D238" s="391">
        <f t="shared" si="77"/>
        <v>51.012049283449798</v>
      </c>
      <c r="E238" s="383">
        <f t="shared" si="100"/>
        <v>51.96045633258445</v>
      </c>
      <c r="F238" s="383">
        <f t="shared" si="78"/>
        <v>51.973251161233648</v>
      </c>
      <c r="G238" s="110">
        <f t="shared" si="101"/>
        <v>0.89737858723905872</v>
      </c>
      <c r="H238" s="412" t="b">
        <f>Wh_hp&gt;='2021'!Maxi_hp</f>
        <v>1</v>
      </c>
      <c r="I238" s="379">
        <f>IF(H238,Wh_hp,'2021'!Maxi_hp)</f>
        <v>51.973251161233648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2.4681409610773697E-2</v>
      </c>
      <c r="M238" s="832"/>
      <c r="N238" s="832"/>
      <c r="O238" s="48">
        <f>IF(t&lt;Tnet,'2021'!Resal+('2021'!Salim-'2021'!Resal)*(1-EXP(('2021'!Tnet-t)/('2021'!Tau_j))),Resal+(Salim-Resal)*(1-EXP((Tnet-t)/(Tau_j))))*Salcycl</f>
        <v>1.8252477288962943E-2</v>
      </c>
      <c r="P238" s="169">
        <f>(INDEX(Models!$BJ238:$BT238,,T238)*(1-R238)+INDEX(Models!$BJ238:$BT238,,T238+1)*R238-ERP_i)*Q238*Ramure*Pc/MaxiM</f>
        <v>2.8845322088666994E-4</v>
      </c>
      <c r="Q238" s="304">
        <f t="shared" si="80"/>
        <v>0.6</v>
      </c>
      <c r="R238" s="177">
        <f t="shared" si="81"/>
        <v>0.4642941852614797</v>
      </c>
      <c r="S238" s="799">
        <f t="shared" si="82"/>
        <v>0</v>
      </c>
      <c r="T238" s="176">
        <f t="shared" si="83"/>
        <v>6</v>
      </c>
      <c r="U238" s="250">
        <f t="shared" si="84"/>
        <v>0.4642941852614797</v>
      </c>
      <c r="V238" s="382">
        <f t="shared" si="85"/>
        <v>55.440253446436849</v>
      </c>
      <c r="W238" s="400">
        <f t="shared" si="86"/>
        <v>0</v>
      </c>
      <c r="X238" s="157">
        <f t="shared" si="87"/>
        <v>44785</v>
      </c>
      <c r="Y238" s="383">
        <f t="shared" si="88"/>
        <v>46.211599000771244</v>
      </c>
      <c r="Z238" s="383">
        <f t="shared" si="89"/>
        <v>47.381029600111795</v>
      </c>
      <c r="AA238" s="384">
        <f t="shared" si="90"/>
        <v>51.96045633258445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8.8132919833517606E-2</v>
      </c>
      <c r="AD238" s="230">
        <f>(INDEX(Models!$BJ238:$BT238,,AH238)*(1-AF238)+INDEX(Models!$BJ238:$BT238,,AH238+1)*AF238-ERP_i)*AE238*Ramure*Pc/MaxiM</f>
        <v>2.8845322088666994E-4</v>
      </c>
      <c r="AE238" s="304">
        <f t="shared" si="92"/>
        <v>0.6</v>
      </c>
      <c r="AF238" s="177">
        <f t="shared" si="93"/>
        <v>0.4642941852614797</v>
      </c>
      <c r="AG238" s="799">
        <f t="shared" si="99"/>
        <v>0</v>
      </c>
      <c r="AH238" s="176">
        <f t="shared" si="94"/>
        <v>6</v>
      </c>
      <c r="AI238" s="224">
        <f t="shared" si="95"/>
        <v>0.4642941852614797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44786</v>
      </c>
      <c r="B239" s="1153">
        <v>37.442999999999998</v>
      </c>
      <c r="C239" s="388"/>
      <c r="D239" s="391">
        <f t="shared" si="77"/>
        <v>38.391268216637428</v>
      </c>
      <c r="E239" s="383">
        <f t="shared" si="100"/>
        <v>39.108586516689073</v>
      </c>
      <c r="F239" s="383">
        <f t="shared" si="78"/>
        <v>39.114828639721267</v>
      </c>
      <c r="G239" s="110">
        <f t="shared" si="101"/>
        <v>0.67725324066685277</v>
      </c>
      <c r="H239" s="412" t="b">
        <f>Wh_hp&gt;='2021'!Maxi_hp</f>
        <v>0</v>
      </c>
      <c r="I239" s="379">
        <f>IF(H239,Wh_hp,'2021'!Maxi_hp)</f>
        <v>49.870847104426645</v>
      </c>
      <c r="J239" s="85">
        <f>IF(H239,An,'2021'!An_max)</f>
        <v>2018</v>
      </c>
      <c r="K239" s="197">
        <f t="shared" si="79"/>
        <v>44786</v>
      </c>
      <c r="L239" s="147">
        <f>IF(t&lt;Tvie,1-EXP((T0-t)*PertePVj)+'2021'!Pspv,1-EXP((T0-t)*PertePVj)+Pspv)</f>
        <v>2.4700101369052541E-2</v>
      </c>
      <c r="M239" s="832"/>
      <c r="N239" s="832"/>
      <c r="O239" s="48">
        <f>IF(t&lt;Tnet,'2021'!Resal+('2021'!Salim-'2021'!Resal)*(1-EXP(('2021'!Tnet-t)/('2021'!Tau_j))),Resal+(Salim-Resal)*(1-EXP((Tnet-t)/(Tau_j))))*Salcycl</f>
        <v>1.8341708661486333E-2</v>
      </c>
      <c r="P239" s="169">
        <f>(INDEX(Models!$BJ239:$BT239,,T239)*(1-R239)+INDEX(Models!$BJ239:$BT239,,T239+1)*R239-ERP_i)*Q239*Ramure*Pc/MaxiM</f>
        <v>2.9603942166845119E-4</v>
      </c>
      <c r="Q239" s="304">
        <f t="shared" si="80"/>
        <v>0.6</v>
      </c>
      <c r="R239" s="177">
        <f t="shared" si="81"/>
        <v>0.46560804358922331</v>
      </c>
      <c r="S239" s="799">
        <f t="shared" si="82"/>
        <v>0</v>
      </c>
      <c r="T239" s="176">
        <f t="shared" si="83"/>
        <v>6</v>
      </c>
      <c r="U239" s="250">
        <f t="shared" si="84"/>
        <v>0.46560804358922331</v>
      </c>
      <c r="V239" s="382">
        <f t="shared" si="85"/>
        <v>55.279011833978338</v>
      </c>
      <c r="W239" s="400">
        <f t="shared" si="86"/>
        <v>0</v>
      </c>
      <c r="X239" s="157">
        <f t="shared" si="87"/>
        <v>44786</v>
      </c>
      <c r="Y239" s="383">
        <f t="shared" si="88"/>
        <v>34.781333489534177</v>
      </c>
      <c r="Z239" s="383">
        <f t="shared" si="89"/>
        <v>35.662193278557282</v>
      </c>
      <c r="AA239" s="384">
        <f t="shared" si="90"/>
        <v>39.108586516689073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8.8123697251525204E-2</v>
      </c>
      <c r="AD239" s="230">
        <f>(INDEX(Models!$BJ239:$BT239,,AH239)*(1-AF239)+INDEX(Models!$BJ239:$BT239,,AH239+1)*AF239-ERP_i)*AE239*Ramure*Pc/MaxiM</f>
        <v>2.9603942166845119E-4</v>
      </c>
      <c r="AE239" s="304">
        <f t="shared" si="92"/>
        <v>0.6</v>
      </c>
      <c r="AF239" s="177">
        <f t="shared" si="93"/>
        <v>0.46560804358922331</v>
      </c>
      <c r="AG239" s="799">
        <f t="shared" si="99"/>
        <v>0</v>
      </c>
      <c r="AH239" s="176">
        <f t="shared" si="94"/>
        <v>6</v>
      </c>
      <c r="AI239" s="224">
        <f t="shared" si="95"/>
        <v>0.46560804358922331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44787</v>
      </c>
      <c r="B240" s="1153">
        <v>35.541000000000004</v>
      </c>
      <c r="C240" s="388"/>
      <c r="D240" s="391">
        <f t="shared" si="77"/>
        <v>36.441797233960123</v>
      </c>
      <c r="E240" s="383">
        <f t="shared" si="100"/>
        <v>37.126058918896476</v>
      </c>
      <c r="F240" s="383">
        <f t="shared" si="78"/>
        <v>37.131621795128645</v>
      </c>
      <c r="G240" s="110">
        <f t="shared" si="101"/>
        <v>0.64475393178444385</v>
      </c>
      <c r="H240" s="412" t="b">
        <f>Wh_hp&gt;='2021'!Maxi_hp</f>
        <v>0</v>
      </c>
      <c r="I240" s="379">
        <f>IF(H240,Wh_hp,'2021'!Maxi_hp)</f>
        <v>56.99494858795164</v>
      </c>
      <c r="J240" s="85">
        <f>IF(H240,An,'2021'!An_max)</f>
        <v>2018</v>
      </c>
      <c r="K240" s="197">
        <f t="shared" si="79"/>
        <v>44787</v>
      </c>
      <c r="L240" s="147">
        <f>IF(t&lt;Tvie,1-EXP((T0-t)*PertePVj)+'2021'!Pspv,1-EXP((T0-t)*PertePVj)+Pspv)</f>
        <v>2.4718792769108155E-2</v>
      </c>
      <c r="M240" s="832"/>
      <c r="N240" s="832"/>
      <c r="O240" s="48">
        <f>IF(t&lt;Tnet,'2021'!Resal+('2021'!Salim-'2021'!Resal)*(1-EXP(('2021'!Tnet-t)/('2021'!Tau_j))),Resal+(Salim-Resal)*(1-EXP((Tnet-t)/(Tau_j))))*Salcycl</f>
        <v>1.8430765474761419E-2</v>
      </c>
      <c r="P240" s="169">
        <f>(INDEX(Models!$BJ240:$BT240,,T240)*(1-R240)+INDEX(Models!$BJ240:$BT240,,T240+1)*R240-ERP_i)*Q240*Ramure*Pc/MaxiM</f>
        <v>3.0410177698661104E-4</v>
      </c>
      <c r="Q240" s="304">
        <f t="shared" si="80"/>
        <v>0.6</v>
      </c>
      <c r="R240" s="177">
        <f t="shared" si="81"/>
        <v>0.46687599015017223</v>
      </c>
      <c r="S240" s="799">
        <f t="shared" si="82"/>
        <v>0</v>
      </c>
      <c r="T240" s="176">
        <f t="shared" si="83"/>
        <v>6</v>
      </c>
      <c r="U240" s="250">
        <f t="shared" si="84"/>
        <v>0.46687599015017223</v>
      </c>
      <c r="V240" s="382">
        <f t="shared" si="85"/>
        <v>55.11484912684287</v>
      </c>
      <c r="W240" s="400">
        <f t="shared" si="86"/>
        <v>0</v>
      </c>
      <c r="X240" s="157">
        <f t="shared" si="87"/>
        <v>44787</v>
      </c>
      <c r="Y240" s="383">
        <f t="shared" si="88"/>
        <v>33.017875392631133</v>
      </c>
      <c r="Z240" s="383">
        <f t="shared" si="89"/>
        <v>33.854723281686645</v>
      </c>
      <c r="AA240" s="384">
        <f t="shared" si="90"/>
        <v>37.126058918896476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8.811427155131675E-2</v>
      </c>
      <c r="AD240" s="230">
        <f>(INDEX(Models!$BJ240:$BT240,,AH240)*(1-AF240)+INDEX(Models!$BJ240:$BT240,,AH240+1)*AF240-ERP_i)*AE240*Ramure*Pc/MaxiM</f>
        <v>3.0410177698661104E-4</v>
      </c>
      <c r="AE240" s="304">
        <f t="shared" si="92"/>
        <v>0.6</v>
      </c>
      <c r="AF240" s="177">
        <f t="shared" si="93"/>
        <v>0.46687599015017223</v>
      </c>
      <c r="AG240" s="799">
        <f t="shared" si="99"/>
        <v>0</v>
      </c>
      <c r="AH240" s="176">
        <f t="shared" si="94"/>
        <v>6</v>
      </c>
      <c r="AI240" s="224">
        <f t="shared" si="95"/>
        <v>0.46687599015017223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44788</v>
      </c>
      <c r="B241" s="1153">
        <v>40.261000000000003</v>
      </c>
      <c r="C241" s="388"/>
      <c r="D241" s="391">
        <f t="shared" si="77"/>
        <v>41.282218204514166</v>
      </c>
      <c r="E241" s="383">
        <f t="shared" si="100"/>
        <v>42.061176301437627</v>
      </c>
      <c r="F241" s="383">
        <f t="shared" si="78"/>
        <v>42.069302698785336</v>
      </c>
      <c r="G241" s="110">
        <f t="shared" si="101"/>
        <v>0.73262928313079001</v>
      </c>
      <c r="H241" s="412" t="b">
        <f>Wh_hp&gt;='2021'!Maxi_hp</f>
        <v>0</v>
      </c>
      <c r="I241" s="379">
        <f>IF(H241,Wh_hp,'2021'!Maxi_hp)</f>
        <v>50.673625731633024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2.4737483810947314E-2</v>
      </c>
      <c r="M241" s="832"/>
      <c r="N241" s="832"/>
      <c r="O241" s="48">
        <f>IF(t&lt;Tnet,'2021'!Resal+('2021'!Salim-'2021'!Resal)*(1-EXP(('2021'!Tnet-t)/('2021'!Tau_j))),Resal+(Salim-Resal)*(1-EXP((Tnet-t)/(Tau_j))))*Salcycl</f>
        <v>1.8519646035121306E-2</v>
      </c>
      <c r="P241" s="169">
        <f>(INDEX(Models!$BJ241:$BT241,,T241)*(1-R241)+INDEX(Models!$BJ241:$BT241,,T241+1)*R241-ERP_i)*Q241*Ramure*Pc/MaxiM</f>
        <v>3.1248350576878981E-4</v>
      </c>
      <c r="Q241" s="304">
        <f t="shared" si="80"/>
        <v>0.6</v>
      </c>
      <c r="R241" s="177">
        <f t="shared" si="81"/>
        <v>0.46809937467321244</v>
      </c>
      <c r="S241" s="799">
        <f t="shared" si="82"/>
        <v>0</v>
      </c>
      <c r="T241" s="176">
        <f t="shared" si="83"/>
        <v>6</v>
      </c>
      <c r="U241" s="250">
        <f t="shared" si="84"/>
        <v>0.46809937467321244</v>
      </c>
      <c r="V241" s="382">
        <f t="shared" si="85"/>
        <v>54.947565151267881</v>
      </c>
      <c r="W241" s="400">
        <f t="shared" si="86"/>
        <v>0</v>
      </c>
      <c r="X241" s="157">
        <f t="shared" si="87"/>
        <v>44788</v>
      </c>
      <c r="Y241" s="383">
        <f t="shared" si="88"/>
        <v>37.406575756000485</v>
      </c>
      <c r="Z241" s="383">
        <f t="shared" si="89"/>
        <v>38.355391635649916</v>
      </c>
      <c r="AA241" s="384">
        <f t="shared" si="90"/>
        <v>42.061176301437627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8.8104636903867384E-2</v>
      </c>
      <c r="AD241" s="230">
        <f>(INDEX(Models!$BJ241:$BT241,,AH241)*(1-AF241)+INDEX(Models!$BJ241:$BT241,,AH241+1)*AF241-ERP_i)*AE241*Ramure*Pc/MaxiM</f>
        <v>3.1248350576878981E-4</v>
      </c>
      <c r="AE241" s="304">
        <f t="shared" si="92"/>
        <v>0.6</v>
      </c>
      <c r="AF241" s="177">
        <f t="shared" si="93"/>
        <v>0.46809937467321244</v>
      </c>
      <c r="AG241" s="799">
        <f t="shared" si="99"/>
        <v>0</v>
      </c>
      <c r="AH241" s="176">
        <f t="shared" si="94"/>
        <v>6</v>
      </c>
      <c r="AI241" s="224">
        <f t="shared" si="95"/>
        <v>0.46809937467321244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44789</v>
      </c>
      <c r="B242" s="1153">
        <v>37.238</v>
      </c>
      <c r="C242" s="388"/>
      <c r="D242" s="391">
        <f t="shared" si="77"/>
        <v>38.183271737917742</v>
      </c>
      <c r="E242" s="383">
        <f t="shared" si="100"/>
        <v>38.907271808362935</v>
      </c>
      <c r="F242" s="383">
        <f t="shared" si="78"/>
        <v>38.914053490315176</v>
      </c>
      <c r="G242" s="110">
        <f t="shared" si="101"/>
        <v>0.67971158635968232</v>
      </c>
      <c r="H242" s="412" t="b">
        <f>Wh_hp&gt;='2021'!Maxi_hp</f>
        <v>0</v>
      </c>
      <c r="I242" s="379">
        <f>IF(H242,Wh_hp,'2021'!Maxi_hp)</f>
        <v>55.891220971481495</v>
      </c>
      <c r="J242" s="85">
        <f>IF(H242,An,'2021'!An_max)</f>
        <v>2018</v>
      </c>
      <c r="K242" s="197">
        <f t="shared" si="79"/>
        <v>44789</v>
      </c>
      <c r="L242" s="147">
        <f>IF(t&lt;Tvie,1-EXP((T0-t)*PertePVj)+'2021'!Pspv,1-EXP((T0-t)*PertePVj)+Pspv)</f>
        <v>2.475617449457701E-2</v>
      </c>
      <c r="M242" s="832"/>
      <c r="N242" s="832"/>
      <c r="O242" s="48">
        <f>IF(t&lt;Tnet,'2021'!Resal+('2021'!Salim-'2021'!Resal)*(1-EXP(('2021'!Tnet-t)/('2021'!Tau_j))),Resal+(Salim-Resal)*(1-EXP((Tnet-t)/(Tau_j))))*Salcycl</f>
        <v>1.860834843448405E-2</v>
      </c>
      <c r="P242" s="169">
        <f>(INDEX(Models!$BJ242:$BT242,,T242)*(1-R242)+INDEX(Models!$BJ242:$BT242,,T242+1)*R242-ERP_i)*Q242*Ramure*Pc/MaxiM</f>
        <v>3.211891756649169E-4</v>
      </c>
      <c r="Q242" s="304">
        <f t="shared" si="80"/>
        <v>0.6</v>
      </c>
      <c r="R242" s="177">
        <f t="shared" si="81"/>
        <v>0.46927952630123121</v>
      </c>
      <c r="S242" s="799">
        <f t="shared" si="82"/>
        <v>0</v>
      </c>
      <c r="T242" s="176">
        <f t="shared" si="83"/>
        <v>6</v>
      </c>
      <c r="U242" s="250">
        <f t="shared" si="84"/>
        <v>0.46927952630123121</v>
      </c>
      <c r="V242" s="382">
        <f t="shared" si="85"/>
        <v>54.776950903264741</v>
      </c>
      <c r="W242" s="400">
        <f t="shared" si="86"/>
        <v>0</v>
      </c>
      <c r="X242" s="157">
        <f t="shared" si="87"/>
        <v>44789</v>
      </c>
      <c r="Y242" s="383">
        <f t="shared" si="88"/>
        <v>34.601401268756938</v>
      </c>
      <c r="Z242" s="383">
        <f t="shared" si="89"/>
        <v>35.479744002300819</v>
      </c>
      <c r="AA242" s="384">
        <f t="shared" si="90"/>
        <v>38.907271808362935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8.8094786572143757E-2</v>
      </c>
      <c r="AD242" s="230">
        <f>(INDEX(Models!$BJ242:$BT242,,AH242)*(1-AF242)+INDEX(Models!$BJ242:$BT242,,AH242+1)*AF242-ERP_i)*AE242*Ramure*Pc/MaxiM</f>
        <v>3.211891756649169E-4</v>
      </c>
      <c r="AE242" s="304">
        <f t="shared" si="92"/>
        <v>0.6</v>
      </c>
      <c r="AF242" s="177">
        <f t="shared" si="93"/>
        <v>0.46927952630123121</v>
      </c>
      <c r="AG242" s="799">
        <f t="shared" si="99"/>
        <v>0</v>
      </c>
      <c r="AH242" s="176">
        <f t="shared" si="94"/>
        <v>6</v>
      </c>
      <c r="AI242" s="224">
        <f t="shared" si="95"/>
        <v>0.46927952630123121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44790</v>
      </c>
      <c r="B243" s="1153">
        <v>29.876000000000001</v>
      </c>
      <c r="C243" s="388"/>
      <c r="D243" s="391">
        <f t="shared" si="77"/>
        <v>30.634977424454739</v>
      </c>
      <c r="E243" s="383">
        <f t="shared" si="100"/>
        <v>31.218668834841335</v>
      </c>
      <c r="F243" s="383">
        <f t="shared" si="78"/>
        <v>31.222309143203827</v>
      </c>
      <c r="G243" s="110">
        <f t="shared" si="101"/>
        <v>0.54703455156321312</v>
      </c>
      <c r="H243" s="412" t="b">
        <f>Wh_hp&gt;='2021'!Maxi_hp</f>
        <v>0</v>
      </c>
      <c r="I243" s="379">
        <f>IF(H243,Wh_hp,'2021'!Maxi_hp)</f>
        <v>54.973908818601828</v>
      </c>
      <c r="J243" s="85">
        <f>IF(H243,An,'2021'!An_max)</f>
        <v>2018</v>
      </c>
      <c r="K243" s="197">
        <f t="shared" si="79"/>
        <v>44790</v>
      </c>
      <c r="L243" s="147">
        <f>IF(t&lt;Tvie,1-EXP((T0-t)*PertePVj)+'2021'!Pspv,1-EXP((T0-t)*PertePVj)+Pspv)</f>
        <v>2.4774864820003906E-2</v>
      </c>
      <c r="M243" s="832"/>
      <c r="N243" s="832"/>
      <c r="O243" s="48">
        <f>IF(t&lt;Tnet,'2021'!Resal+('2021'!Salim-'2021'!Resal)*(1-EXP(('2021'!Tnet-t)/('2021'!Tau_j))),Resal+(Salim-Resal)*(1-EXP((Tnet-t)/(Tau_j))))*Salcycl</f>
        <v>1.869687056403805E-2</v>
      </c>
      <c r="P243" s="169">
        <f>(INDEX(Models!$BJ243:$BT243,,T243)*(1-R243)+INDEX(Models!$BJ243:$BT243,,T243+1)*R243-ERP_i)*Q243*Ramure*Pc/MaxiM</f>
        <v>3.3022353731242365E-4</v>
      </c>
      <c r="Q243" s="304">
        <f t="shared" si="80"/>
        <v>0.6</v>
      </c>
      <c r="R243" s="177">
        <f t="shared" si="81"/>
        <v>0.47041775233608385</v>
      </c>
      <c r="S243" s="799">
        <f t="shared" si="82"/>
        <v>0</v>
      </c>
      <c r="T243" s="176">
        <f t="shared" si="83"/>
        <v>6</v>
      </c>
      <c r="U243" s="250">
        <f t="shared" si="84"/>
        <v>0.47041775233608385</v>
      </c>
      <c r="V243" s="382">
        <f t="shared" si="85"/>
        <v>54.602797483094839</v>
      </c>
      <c r="W243" s="400">
        <f t="shared" si="86"/>
        <v>0</v>
      </c>
      <c r="X243" s="157">
        <f t="shared" si="87"/>
        <v>44790</v>
      </c>
      <c r="Y243" s="383">
        <f t="shared" si="88"/>
        <v>27.763471140822439</v>
      </c>
      <c r="Z243" s="383">
        <f t="shared" si="89"/>
        <v>28.468781350368054</v>
      </c>
      <c r="AA243" s="384">
        <f t="shared" si="90"/>
        <v>31.218668834841335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8.8084712997252901E-2</v>
      </c>
      <c r="AD243" s="230">
        <f>(INDEX(Models!$BJ243:$BT243,,AH243)*(1-AF243)+INDEX(Models!$BJ243:$BT243,,AH243+1)*AF243-ERP_i)*AE243*Ramure*Pc/MaxiM</f>
        <v>3.3022353731242365E-4</v>
      </c>
      <c r="AE243" s="304">
        <f t="shared" si="92"/>
        <v>0.6</v>
      </c>
      <c r="AF243" s="177">
        <f t="shared" si="93"/>
        <v>0.47041775233608385</v>
      </c>
      <c r="AG243" s="799">
        <f t="shared" si="99"/>
        <v>0</v>
      </c>
      <c r="AH243" s="176">
        <f t="shared" si="94"/>
        <v>6</v>
      </c>
      <c r="AI243" s="224">
        <f t="shared" si="95"/>
        <v>0.47041775233608385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44791</v>
      </c>
      <c r="B244" s="1153">
        <v>37.905000000000001</v>
      </c>
      <c r="C244" s="388"/>
      <c r="D244" s="391">
        <f t="shared" si="77"/>
        <v>38.868693071168231</v>
      </c>
      <c r="E244" s="383">
        <f t="shared" si="100"/>
        <v>39.612828375935827</v>
      </c>
      <c r="F244" s="383">
        <f t="shared" si="78"/>
        <v>39.620448856469778</v>
      </c>
      <c r="G244" s="110">
        <f t="shared" si="101"/>
        <v>0.69636177494572682</v>
      </c>
      <c r="H244" s="412" t="b">
        <f>Wh_hp&gt;='2021'!Maxi_hp</f>
        <v>0</v>
      </c>
      <c r="I244" s="379">
        <f>IF(H244,Wh_hp,'2021'!Maxi_hp)</f>
        <v>54.287330596628593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2.4793554787234995E-2</v>
      </c>
      <c r="M244" s="832"/>
      <c r="N244" s="832"/>
      <c r="O244" s="48">
        <f>IF(t&lt;Tnet,'2021'!Resal+('2021'!Salim-'2021'!Resal)*(1-EXP(('2021'!Tnet-t)/('2021'!Tau_j))),Resal+(Salim-Resal)*(1-EXP((Tnet-t)/(Tau_j))))*Salcycl</f>
        <v>1.8785210127021449E-2</v>
      </c>
      <c r="P244" s="169">
        <f>(INDEX(Models!$BJ244:$BT244,,T244)*(1-R244)+INDEX(Models!$BJ244:$BT244,,T244+1)*R244-ERP_i)*Q244*Ramure*Pc/MaxiM</f>
        <v>3.3959154014879254E-4</v>
      </c>
      <c r="Q244" s="304">
        <f t="shared" si="80"/>
        <v>0.6</v>
      </c>
      <c r="R244" s="177">
        <f t="shared" si="81"/>
        <v>0.47151533714089744</v>
      </c>
      <c r="S244" s="799">
        <f t="shared" si="82"/>
        <v>0</v>
      </c>
      <c r="T244" s="176">
        <f t="shared" si="83"/>
        <v>6</v>
      </c>
      <c r="U244" s="250">
        <f t="shared" si="84"/>
        <v>0.47151533714089744</v>
      </c>
      <c r="V244" s="382">
        <f t="shared" si="85"/>
        <v>54.424896093705186</v>
      </c>
      <c r="W244" s="400">
        <f t="shared" si="86"/>
        <v>0</v>
      </c>
      <c r="X244" s="157">
        <f t="shared" si="87"/>
        <v>44791</v>
      </c>
      <c r="Y244" s="383">
        <f t="shared" si="88"/>
        <v>35.228310790003277</v>
      </c>
      <c r="Z244" s="383">
        <f t="shared" si="89"/>
        <v>36.123951972361468</v>
      </c>
      <c r="AA244" s="384">
        <f t="shared" si="90"/>
        <v>39.612828375935827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8.8074407877772237E-2</v>
      </c>
      <c r="AD244" s="230">
        <f>(INDEX(Models!$BJ244:$BT244,,AH244)*(1-AF244)+INDEX(Models!$BJ244:$BT244,,AH244+1)*AF244-ERP_i)*AE244*Ramure*Pc/MaxiM</f>
        <v>3.3959154014879254E-4</v>
      </c>
      <c r="AE244" s="304">
        <f t="shared" si="92"/>
        <v>0.6</v>
      </c>
      <c r="AF244" s="177">
        <f t="shared" si="93"/>
        <v>0.47151533714089744</v>
      </c>
      <c r="AG244" s="799">
        <f t="shared" si="99"/>
        <v>0</v>
      </c>
      <c r="AH244" s="176">
        <f t="shared" si="94"/>
        <v>6</v>
      </c>
      <c r="AI244" s="224">
        <f t="shared" si="95"/>
        <v>0.47151533714089744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44792</v>
      </c>
      <c r="B245" s="1153">
        <v>43.177</v>
      </c>
      <c r="C245" s="388"/>
      <c r="D245" s="391">
        <f t="shared" si="77"/>
        <v>44.27557642299336</v>
      </c>
      <c r="E245" s="383">
        <f t="shared" si="100"/>
        <v>45.127280034768873</v>
      </c>
      <c r="F245" s="383">
        <f t="shared" si="78"/>
        <v>45.138451739017363</v>
      </c>
      <c r="G245" s="110">
        <f t="shared" si="101"/>
        <v>0.79591049951766224</v>
      </c>
      <c r="H245" s="412" t="b">
        <f>Wh_hp&gt;='2021'!Maxi_hp</f>
        <v>0</v>
      </c>
      <c r="I245" s="379">
        <f>IF(H245,Wh_hp,'2021'!Maxi_hp)</f>
        <v>46.197672752985881</v>
      </c>
      <c r="J245" s="85">
        <f>IF(H245,An,'2021'!An_max)</f>
        <v>2021</v>
      </c>
      <c r="K245" s="197">
        <f t="shared" si="79"/>
        <v>44792</v>
      </c>
      <c r="L245" s="147">
        <f>IF(t&lt;Tvie,1-EXP((T0-t)*PertePVj)+'2021'!Pspv,1-EXP((T0-t)*PertePVj)+Pspv)</f>
        <v>2.4812244396277161E-2</v>
      </c>
      <c r="M245" s="832"/>
      <c r="N245" s="832"/>
      <c r="O245" s="48">
        <f>IF(t&lt;Tnet,'2021'!Resal+('2021'!Salim-'2021'!Resal)*(1-EXP(('2021'!Tnet-t)/('2021'!Tau_j))),Resal+(Salim-Resal)*(1-EXP((Tnet-t)/(Tau_j))))*Salcycl</f>
        <v>1.8873364650369068E-2</v>
      </c>
      <c r="P245" s="169">
        <f>(INDEX(Models!$BJ245:$BT245,,T245)*(1-R245)+INDEX(Models!$BJ245:$BT245,,T245+1)*R245-ERP_i)*Q245*Ramure*Pc/MaxiM</f>
        <v>3.4929834877400816E-4</v>
      </c>
      <c r="Q245" s="304">
        <f t="shared" si="80"/>
        <v>0.6</v>
      </c>
      <c r="R245" s="177">
        <f t="shared" si="81"/>
        <v>0.47257354119033679</v>
      </c>
      <c r="S245" s="799">
        <f t="shared" si="82"/>
        <v>0</v>
      </c>
      <c r="T245" s="176">
        <f t="shared" si="83"/>
        <v>6</v>
      </c>
      <c r="U245" s="250">
        <f t="shared" si="84"/>
        <v>0.47257354119033679</v>
      </c>
      <c r="V245" s="382">
        <f t="shared" si="85"/>
        <v>54.243038043716481</v>
      </c>
      <c r="W245" s="400">
        <f t="shared" si="86"/>
        <v>0</v>
      </c>
      <c r="X245" s="157">
        <f t="shared" si="87"/>
        <v>44792</v>
      </c>
      <c r="Y245" s="383">
        <f t="shared" si="88"/>
        <v>40.132094269329293</v>
      </c>
      <c r="Z245" s="383">
        <f t="shared" si="89"/>
        <v>41.153197462456006</v>
      </c>
      <c r="AA245" s="384">
        <f t="shared" si="90"/>
        <v>45.127280034768873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8.8063862241441984E-2</v>
      </c>
      <c r="AD245" s="230">
        <f>(INDEX(Models!$BJ245:$BT245,,AH245)*(1-AF245)+INDEX(Models!$BJ245:$BT245,,AH245+1)*AF245-ERP_i)*AE245*Ramure*Pc/MaxiM</f>
        <v>3.4929834877400816E-4</v>
      </c>
      <c r="AE245" s="304">
        <f t="shared" si="92"/>
        <v>0.6</v>
      </c>
      <c r="AF245" s="177">
        <f t="shared" si="93"/>
        <v>0.47257354119033679</v>
      </c>
      <c r="AG245" s="799">
        <f t="shared" si="99"/>
        <v>0</v>
      </c>
      <c r="AH245" s="176">
        <f t="shared" si="94"/>
        <v>6</v>
      </c>
      <c r="AI245" s="224">
        <f t="shared" si="95"/>
        <v>0.47257354119033679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44793</v>
      </c>
      <c r="B246" s="1153">
        <v>51.850999999999999</v>
      </c>
      <c r="C246" s="388"/>
      <c r="D246" s="391">
        <f t="shared" si="77"/>
        <v>53.171292844555666</v>
      </c>
      <c r="E246" s="383">
        <f t="shared" si="100"/>
        <v>54.198977626013857</v>
      </c>
      <c r="F246" s="383">
        <f t="shared" si="78"/>
        <v>54.217324757132701</v>
      </c>
      <c r="G246" s="110">
        <f t="shared" si="101"/>
        <v>0.95917086110572292</v>
      </c>
      <c r="H246" s="412" t="b">
        <f>Wh_hp&gt;='2021'!Maxi_hp</f>
        <v>1</v>
      </c>
      <c r="I246" s="379">
        <f>IF(H246,Wh_hp,'2021'!Maxi_hp)</f>
        <v>54.217324757132701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2.4830933647137288E-2</v>
      </c>
      <c r="M246" s="832"/>
      <c r="N246" s="832"/>
      <c r="O246" s="48">
        <f>IF(t&lt;Tnet,'2021'!Resal+('2021'!Salim-'2021'!Resal)*(1-EXP(('2021'!Tnet-t)/('2021'!Tau_j))),Resal+(Salim-Resal)*(1-EXP((Tnet-t)/(Tau_j))))*Salcycl</f>
        <v>1.8961331495023107E-2</v>
      </c>
      <c r="P246" s="169">
        <f>(INDEX(Models!$BJ246:$BT246,,T246)*(1-R246)+INDEX(Models!$BJ246:$BT246,,T246+1)*R246-ERP_i)*Q246*Ramure*Pc/MaxiM</f>
        <v>3.593493599907776E-4</v>
      </c>
      <c r="Q246" s="304">
        <f t="shared" si="80"/>
        <v>0.6</v>
      </c>
      <c r="R246" s="177">
        <f t="shared" si="81"/>
        <v>0.47359360025962205</v>
      </c>
      <c r="S246" s="799">
        <f t="shared" si="82"/>
        <v>0</v>
      </c>
      <c r="T246" s="176">
        <f t="shared" si="83"/>
        <v>6</v>
      </c>
      <c r="U246" s="250">
        <f t="shared" si="84"/>
        <v>0.47359360025962205</v>
      </c>
      <c r="V246" s="382">
        <f t="shared" si="85"/>
        <v>54.057014738934086</v>
      </c>
      <c r="W246" s="400">
        <f t="shared" si="86"/>
        <v>0</v>
      </c>
      <c r="X246" s="157">
        <f t="shared" si="87"/>
        <v>44793</v>
      </c>
      <c r="Y246" s="383">
        <f t="shared" si="88"/>
        <v>48.19928303185511</v>
      </c>
      <c r="Z246" s="383">
        <f t="shared" si="89"/>
        <v>49.426591444415557</v>
      </c>
      <c r="AA246" s="384">
        <f t="shared" si="90"/>
        <v>54.198977626013857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8.8053066508540542E-2</v>
      </c>
      <c r="AD246" s="230">
        <f>(INDEX(Models!$BJ246:$BT246,,AH246)*(1-AF246)+INDEX(Models!$BJ246:$BT246,,AH246+1)*AF246-ERP_i)*AE246*Ramure*Pc/MaxiM</f>
        <v>3.593493599907776E-4</v>
      </c>
      <c r="AE246" s="304">
        <f t="shared" si="92"/>
        <v>0.6</v>
      </c>
      <c r="AF246" s="177">
        <f t="shared" si="93"/>
        <v>0.47359360025962205</v>
      </c>
      <c r="AG246" s="799">
        <f t="shared" si="99"/>
        <v>0</v>
      </c>
      <c r="AH246" s="176">
        <f t="shared" si="94"/>
        <v>6</v>
      </c>
      <c r="AI246" s="224">
        <f t="shared" si="95"/>
        <v>0.47359360025962205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44794</v>
      </c>
      <c r="B247" s="1153">
        <v>35.024999999999999</v>
      </c>
      <c r="C247" s="388"/>
      <c r="D247" s="391">
        <f t="shared" si="77"/>
        <v>35.917537243049786</v>
      </c>
      <c r="E247" s="383">
        <f t="shared" si="100"/>
        <v>36.61502072225742</v>
      </c>
      <c r="F247" s="383">
        <f t="shared" si="78"/>
        <v>36.621795193166506</v>
      </c>
      <c r="G247" s="110">
        <f t="shared" si="101"/>
        <v>0.65009068174939355</v>
      </c>
      <c r="H247" s="412" t="b">
        <f>Wh_hp&gt;='2021'!Maxi_hp</f>
        <v>0</v>
      </c>
      <c r="I247" s="379">
        <f>IF(H247,Wh_hp,'2021'!Maxi_hp)</f>
        <v>54.553633144965026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2.4849622539822036E-2</v>
      </c>
      <c r="M247" s="832"/>
      <c r="N247" s="832"/>
      <c r="O247" s="48">
        <f>IF(t&lt;Tnet,'2021'!Resal+('2021'!Salim-'2021'!Resal)*(1-EXP(('2021'!Tnet-t)/('2021'!Tau_j))),Resal+(Salim-Resal)*(1-EXP((Tnet-t)/(Tau_j))))*Salcycl</f>
        <v>1.90491078647308E-2</v>
      </c>
      <c r="P247" s="169">
        <f>(INDEX(Models!$BJ247:$BT247,,T247)*(1-R247)+INDEX(Models!$BJ247:$BT247,,T247+1)*R247-ERP_i)*Q247*Ramure*Pc/MaxiM</f>
        <v>3.6974661803951855E-4</v>
      </c>
      <c r="Q247" s="304">
        <f t="shared" si="80"/>
        <v>0.6</v>
      </c>
      <c r="R247" s="177">
        <f t="shared" si="81"/>
        <v>0.47457672474328627</v>
      </c>
      <c r="S247" s="799">
        <f t="shared" si="82"/>
        <v>0</v>
      </c>
      <c r="T247" s="176">
        <f t="shared" si="83"/>
        <v>6</v>
      </c>
      <c r="U247" s="250">
        <f t="shared" si="84"/>
        <v>0.47457672474328627</v>
      </c>
      <c r="V247" s="382">
        <f t="shared" si="85"/>
        <v>53.867142690656564</v>
      </c>
      <c r="W247" s="400">
        <f t="shared" si="86"/>
        <v>0</v>
      </c>
      <c r="X247" s="157">
        <f t="shared" si="87"/>
        <v>44794</v>
      </c>
      <c r="Y247" s="383">
        <f t="shared" si="88"/>
        <v>32.561597972640897</v>
      </c>
      <c r="Z247" s="383">
        <f t="shared" si="89"/>
        <v>33.391360681671486</v>
      </c>
      <c r="AA247" s="384">
        <f t="shared" si="90"/>
        <v>36.61502072225742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8.8042010546407909E-2</v>
      </c>
      <c r="AD247" s="230">
        <f>(INDEX(Models!$BJ247:$BT247,,AH247)*(1-AF247)+INDEX(Models!$BJ247:$BT247,,AH247+1)*AF247-ERP_i)*AE247*Ramure*Pc/MaxiM</f>
        <v>3.6974661803951855E-4</v>
      </c>
      <c r="AE247" s="304">
        <f t="shared" si="92"/>
        <v>0.6</v>
      </c>
      <c r="AF247" s="177">
        <f t="shared" si="93"/>
        <v>0.47457672474328627</v>
      </c>
      <c r="AG247" s="799">
        <f t="shared" si="99"/>
        <v>0</v>
      </c>
      <c r="AH247" s="176">
        <f t="shared" si="94"/>
        <v>6</v>
      </c>
      <c r="AI247" s="224">
        <f t="shared" si="95"/>
        <v>0.47457672474328627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44795</v>
      </c>
      <c r="B248" s="1153">
        <v>27.914000000000001</v>
      </c>
      <c r="C248" s="388"/>
      <c r="D248" s="391">
        <f t="shared" si="77"/>
        <v>28.62587721946959</v>
      </c>
      <c r="E248" s="383">
        <f t="shared" si="100"/>
        <v>29.184369474684242</v>
      </c>
      <c r="F248" s="383">
        <f t="shared" si="78"/>
        <v>29.187861408376016</v>
      </c>
      <c r="G248" s="110">
        <f t="shared" si="101"/>
        <v>0.51993108267085375</v>
      </c>
      <c r="H248" s="412" t="b">
        <f>Wh_hp&gt;='2021'!Maxi_hp</f>
        <v>0</v>
      </c>
      <c r="I248" s="379">
        <f>IF(H248,Wh_hp,'2021'!Maxi_hp)</f>
        <v>56.59830554422004</v>
      </c>
      <c r="J248" s="85">
        <f>IF(H248,An,'2021'!An_max)</f>
        <v>2018</v>
      </c>
      <c r="K248" s="197">
        <f t="shared" si="79"/>
        <v>44795</v>
      </c>
      <c r="L248" s="147">
        <f>IF(t&lt;Tvie,1-EXP((T0-t)*PertePVj)+'2021'!Pspv,1-EXP((T0-t)*PertePVj)+Pspv)</f>
        <v>2.4868311074338512E-2</v>
      </c>
      <c r="M248" s="832"/>
      <c r="N248" s="832"/>
      <c r="O248" s="48">
        <f>IF(t&lt;Tnet,'2021'!Resal+('2021'!Salim-'2021'!Resal)*(1-EXP(('2021'!Tnet-t)/('2021'!Tau_j))),Resal+(Salim-Resal)*(1-EXP((Tnet-t)/(Tau_j))))*Salcycl</f>
        <v>1.913669081318034E-2</v>
      </c>
      <c r="P248" s="169">
        <f>(INDEX(Models!$BJ248:$BT248,,T248)*(1-R248)+INDEX(Models!$BJ248:$BT248,,T248+1)*R248-ERP_i)*Q248*Ramure*Pc/MaxiM</f>
        <v>3.8054607381012842E-4</v>
      </c>
      <c r="Q248" s="304">
        <f t="shared" si="80"/>
        <v>0.6</v>
      </c>
      <c r="R248" s="177">
        <f t="shared" si="81"/>
        <v>0.47552409909490467</v>
      </c>
      <c r="S248" s="799">
        <f t="shared" si="82"/>
        <v>0</v>
      </c>
      <c r="T248" s="176">
        <f t="shared" si="83"/>
        <v>6</v>
      </c>
      <c r="U248" s="250">
        <f t="shared" si="84"/>
        <v>0.47552409909490467</v>
      </c>
      <c r="V248" s="382">
        <f t="shared" si="85"/>
        <v>53.673875305716855</v>
      </c>
      <c r="W248" s="400">
        <f t="shared" si="86"/>
        <v>0</v>
      </c>
      <c r="X248" s="157">
        <f t="shared" si="87"/>
        <v>44795</v>
      </c>
      <c r="Y248" s="383">
        <f t="shared" si="88"/>
        <v>25.953373172752965</v>
      </c>
      <c r="Z248" s="383">
        <f t="shared" si="89"/>
        <v>26.615249476044362</v>
      </c>
      <c r="AA248" s="384">
        <f t="shared" si="90"/>
        <v>29.184369474684242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8.8030683714734589E-2</v>
      </c>
      <c r="AD248" s="230">
        <f>(INDEX(Models!$BJ248:$BT248,,AH248)*(1-AF248)+INDEX(Models!$BJ248:$BT248,,AH248+1)*AF248-ERP_i)*AE248*Ramure*Pc/MaxiM</f>
        <v>3.8054607381012842E-4</v>
      </c>
      <c r="AE248" s="304">
        <f t="shared" si="92"/>
        <v>0.6</v>
      </c>
      <c r="AF248" s="177">
        <f t="shared" si="93"/>
        <v>0.47552409909490467</v>
      </c>
      <c r="AG248" s="799">
        <f t="shared" si="99"/>
        <v>0</v>
      </c>
      <c r="AH248" s="176">
        <f t="shared" si="94"/>
        <v>6</v>
      </c>
      <c r="AI248" s="224">
        <f t="shared" si="95"/>
        <v>0.47552409909490467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44796</v>
      </c>
      <c r="B249" s="1153">
        <v>50.622999999999998</v>
      </c>
      <c r="C249" s="388"/>
      <c r="D249" s="391">
        <f t="shared" si="77"/>
        <v>51.915008784725202</v>
      </c>
      <c r="E249" s="383">
        <f t="shared" si="100"/>
        <v>52.932588963977224</v>
      </c>
      <c r="F249" s="383">
        <f t="shared" si="78"/>
        <v>52.951744300642389</v>
      </c>
      <c r="G249" s="110">
        <f t="shared" si="101"/>
        <v>0.94659906600951726</v>
      </c>
      <c r="H249" s="412" t="b">
        <f>Wh_hp&gt;='2021'!Maxi_hp</f>
        <v>0</v>
      </c>
      <c r="I249" s="379">
        <f>IF(H249,Wh_hp,'2021'!Maxi_hp)</f>
        <v>53.920594526150673</v>
      </c>
      <c r="J249" s="85">
        <f>IF(H249,An,'2021'!An_max)</f>
        <v>2018</v>
      </c>
      <c r="K249" s="197">
        <f t="shared" si="79"/>
        <v>44796</v>
      </c>
      <c r="L249" s="147">
        <f>IF(t&lt;Tvie,1-EXP((T0-t)*PertePVj)+'2021'!Pspv,1-EXP((T0-t)*PertePVj)+Pspv)</f>
        <v>2.4886999250693487E-2</v>
      </c>
      <c r="M249" s="832"/>
      <c r="N249" s="832"/>
      <c r="O249" s="48">
        <f>IF(t&lt;Tnet,'2021'!Resal+('2021'!Salim-'2021'!Resal)*(1-EXP(('2021'!Tnet-t)/('2021'!Tau_j))),Resal+(Salim-Resal)*(1-EXP((Tnet-t)/(Tau_j))))*Salcycl</f>
        <v>1.922407724935811E-2</v>
      </c>
      <c r="P249" s="169">
        <f>(INDEX(Models!$BJ249:$BT249,,T249)*(1-R249)+INDEX(Models!$BJ249:$BT249,,T249+1)*R249-ERP_i)*Q249*Ramure*Pc/MaxiM</f>
        <v>3.9160974854518331E-4</v>
      </c>
      <c r="Q249" s="304">
        <f t="shared" si="80"/>
        <v>0.6</v>
      </c>
      <c r="R249" s="177">
        <f t="shared" si="81"/>
        <v>0.47643688137929097</v>
      </c>
      <c r="S249" s="799">
        <f t="shared" si="82"/>
        <v>0</v>
      </c>
      <c r="T249" s="176">
        <f t="shared" si="83"/>
        <v>6</v>
      </c>
      <c r="U249" s="250">
        <f t="shared" si="84"/>
        <v>0.47643688137929097</v>
      </c>
      <c r="V249" s="382">
        <f t="shared" si="85"/>
        <v>53.47722147837473</v>
      </c>
      <c r="W249" s="400">
        <f t="shared" si="86"/>
        <v>0</v>
      </c>
      <c r="X249" s="157">
        <f t="shared" si="87"/>
        <v>44796</v>
      </c>
      <c r="Y249" s="383">
        <f t="shared" si="88"/>
        <v>47.072128607917364</v>
      </c>
      <c r="Z249" s="383">
        <f t="shared" si="89"/>
        <v>48.27351145123253</v>
      </c>
      <c r="AA249" s="384">
        <f t="shared" si="90"/>
        <v>52.932588963977224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8.8019074901387995E-2</v>
      </c>
      <c r="AD249" s="230">
        <f>(INDEX(Models!$BJ249:$BT249,,AH249)*(1-AF249)+INDEX(Models!$BJ249:$BT249,,AH249+1)*AF249-ERP_i)*AE249*Ramure*Pc/MaxiM</f>
        <v>3.9160974854518331E-4</v>
      </c>
      <c r="AE249" s="304">
        <f t="shared" si="92"/>
        <v>0.6</v>
      </c>
      <c r="AF249" s="177">
        <f t="shared" si="93"/>
        <v>0.47643688137929097</v>
      </c>
      <c r="AG249" s="799">
        <f t="shared" si="99"/>
        <v>0</v>
      </c>
      <c r="AH249" s="176">
        <f t="shared" si="94"/>
        <v>6</v>
      </c>
      <c r="AI249" s="224">
        <f t="shared" si="95"/>
        <v>0.47643688137929097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44797</v>
      </c>
      <c r="B250" s="1153">
        <v>48.261000000000003</v>
      </c>
      <c r="C250" s="388"/>
      <c r="D250" s="391">
        <f t="shared" si="77"/>
        <v>49.493673955423645</v>
      </c>
      <c r="E250" s="383">
        <f t="shared" si="100"/>
        <v>50.468280235705876</v>
      </c>
      <c r="F250" s="383">
        <f t="shared" si="78"/>
        <v>50.485886881445424</v>
      </c>
      <c r="G250" s="110">
        <f t="shared" si="101"/>
        <v>0.90579834078371213</v>
      </c>
      <c r="H250" s="412" t="b">
        <f>Wh_hp&gt;='2021'!Maxi_hp</f>
        <v>0</v>
      </c>
      <c r="I250" s="379">
        <f>IF(H250,Wh_hp,'2021'!Maxi_hp)</f>
        <v>53.710943273979339</v>
      </c>
      <c r="J250" s="85">
        <f>IF(H250,An,'2021'!An_max)</f>
        <v>2018</v>
      </c>
      <c r="K250" s="197">
        <f t="shared" si="79"/>
        <v>44797</v>
      </c>
      <c r="L250" s="147">
        <f>IF(t&lt;Tvie,1-EXP((T0-t)*PertePVj)+'2021'!Pspv,1-EXP((T0-t)*PertePVj)+Pspv)</f>
        <v>2.4905687068893845E-2</v>
      </c>
      <c r="M250" s="832"/>
      <c r="N250" s="832"/>
      <c r="O250" s="48">
        <f>IF(t&lt;Tnet,'2021'!Resal+('2021'!Salim-'2021'!Resal)*(1-EXP(('2021'!Tnet-t)/('2021'!Tau_j))),Resal+(Salim-Resal)*(1-EXP((Tnet-t)/(Tau_j))))*Salcycl</f>
        <v>1.9311263941042864E-2</v>
      </c>
      <c r="P250" s="169">
        <f>(INDEX(Models!$BJ250:$BT250,,T250)*(1-R250)+INDEX(Models!$BJ250:$BT250,,T250+1)*R250-ERP_i)*Q250*Ramure*Pc/MaxiM</f>
        <v>4.0294093537423994E-4</v>
      </c>
      <c r="Q250" s="304">
        <f t="shared" si="80"/>
        <v>0.6</v>
      </c>
      <c r="R250" s="177">
        <f t="shared" si="81"/>
        <v>0.47731620292895521</v>
      </c>
      <c r="S250" s="799">
        <f t="shared" si="82"/>
        <v>0</v>
      </c>
      <c r="T250" s="176">
        <f t="shared" si="83"/>
        <v>6</v>
      </c>
      <c r="U250" s="250">
        <f t="shared" si="84"/>
        <v>0.47731620292895521</v>
      </c>
      <c r="V250" s="382">
        <f t="shared" si="85"/>
        <v>53.277182472262979</v>
      </c>
      <c r="W250" s="400">
        <f t="shared" si="86"/>
        <v>0</v>
      </c>
      <c r="X250" s="157">
        <f t="shared" si="87"/>
        <v>44797</v>
      </c>
      <c r="Y250" s="383">
        <f t="shared" si="88"/>
        <v>44.880382762936968</v>
      </c>
      <c r="Z250" s="383">
        <f t="shared" si="89"/>
        <v>46.02670958876562</v>
      </c>
      <c r="AA250" s="384">
        <f t="shared" si="90"/>
        <v>50.468280235705876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8.8007172548706825E-2</v>
      </c>
      <c r="AD250" s="230">
        <f>(INDEX(Models!$BJ250:$BT250,,AH250)*(1-AF250)+INDEX(Models!$BJ250:$BT250,,AH250+1)*AF250-ERP_i)*AE250*Ramure*Pc/MaxiM</f>
        <v>4.0294093537423994E-4</v>
      </c>
      <c r="AE250" s="304">
        <f t="shared" si="92"/>
        <v>0.6</v>
      </c>
      <c r="AF250" s="177">
        <f t="shared" si="93"/>
        <v>0.47731620292895521</v>
      </c>
      <c r="AG250" s="799">
        <f t="shared" si="99"/>
        <v>0</v>
      </c>
      <c r="AH250" s="176">
        <f t="shared" si="94"/>
        <v>6</v>
      </c>
      <c r="AI250" s="224">
        <f t="shared" si="95"/>
        <v>0.47731620292895521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44798</v>
      </c>
      <c r="B251" s="1153">
        <v>33.835999999999999</v>
      </c>
      <c r="C251" s="388"/>
      <c r="D251" s="391">
        <f t="shared" si="77"/>
        <v>34.700898182798916</v>
      </c>
      <c r="E251" s="383">
        <f t="shared" si="100"/>
        <v>35.387350772023865</v>
      </c>
      <c r="F251" s="383">
        <f t="shared" si="78"/>
        <v>35.394425604380679</v>
      </c>
      <c r="G251" s="110">
        <f t="shared" si="101"/>
        <v>0.63739097587423521</v>
      </c>
      <c r="H251" s="412" t="b">
        <f>Wh_hp&gt;='2021'!Maxi_hp</f>
        <v>0</v>
      </c>
      <c r="I251" s="379">
        <f>IF(H251,Wh_hp,'2021'!Maxi_hp)</f>
        <v>50.59926404911738</v>
      </c>
      <c r="J251" s="85">
        <f>IF(H251,An,'2021'!An_max)</f>
        <v>2021</v>
      </c>
      <c r="K251" s="197">
        <f t="shared" si="79"/>
        <v>44798</v>
      </c>
      <c r="L251" s="147">
        <f>IF(t&lt;Tvie,1-EXP((T0-t)*PertePVj)+'2021'!Pspv,1-EXP((T0-t)*PertePVj)+Pspv)</f>
        <v>2.4924374528946469E-2</v>
      </c>
      <c r="M251" s="832"/>
      <c r="N251" s="832"/>
      <c r="O251" s="48">
        <f>IF(t&lt;Tnet,'2021'!Resal+('2021'!Salim-'2021'!Resal)*(1-EXP(('2021'!Tnet-t)/('2021'!Tau_j))),Resal+(Salim-Resal)*(1-EXP((Tnet-t)/(Tau_j))))*Salcycl</f>
        <v>1.9398247516387492E-2</v>
      </c>
      <c r="P251" s="169">
        <f>(INDEX(Models!$BJ251:$BT251,,T251)*(1-R251)+INDEX(Models!$BJ251:$BT251,,T251+1)*R251-ERP_i)*Q251*Ramure*Pc/MaxiM</f>
        <v>4.1454311562181097E-4</v>
      </c>
      <c r="Q251" s="304">
        <f t="shared" si="80"/>
        <v>0.6</v>
      </c>
      <c r="R251" s="177">
        <f t="shared" si="81"/>
        <v>0.47816316809691983</v>
      </c>
      <c r="S251" s="799">
        <f t="shared" si="82"/>
        <v>0</v>
      </c>
      <c r="T251" s="176">
        <f t="shared" si="83"/>
        <v>6</v>
      </c>
      <c r="U251" s="250">
        <f t="shared" si="84"/>
        <v>0.47816316809691983</v>
      </c>
      <c r="V251" s="382">
        <f t="shared" si="85"/>
        <v>53.073759549751095</v>
      </c>
      <c r="W251" s="400">
        <f t="shared" si="86"/>
        <v>0</v>
      </c>
      <c r="X251" s="157">
        <f t="shared" si="87"/>
        <v>44798</v>
      </c>
      <c r="Y251" s="383">
        <f t="shared" si="88"/>
        <v>31.469046733046397</v>
      </c>
      <c r="Z251" s="383">
        <f t="shared" si="89"/>
        <v>32.2734420910623</v>
      </c>
      <c r="AA251" s="384">
        <f t="shared" si="90"/>
        <v>35.387350772023865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8.7994964670351269E-2</v>
      </c>
      <c r="AD251" s="230">
        <f>(INDEX(Models!$BJ251:$BT251,,AH251)*(1-AF251)+INDEX(Models!$BJ251:$BT251,,AH251+1)*AF251-ERP_i)*AE251*Ramure*Pc/MaxiM</f>
        <v>4.1454311562181097E-4</v>
      </c>
      <c r="AE251" s="304">
        <f t="shared" si="92"/>
        <v>0.6</v>
      </c>
      <c r="AF251" s="177">
        <f t="shared" si="93"/>
        <v>0.47816316809691983</v>
      </c>
      <c r="AG251" s="799">
        <f t="shared" si="99"/>
        <v>0</v>
      </c>
      <c r="AH251" s="176">
        <f t="shared" si="94"/>
        <v>6</v>
      </c>
      <c r="AI251" s="224">
        <f t="shared" si="95"/>
        <v>0.47816316809691983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44799</v>
      </c>
      <c r="B252" s="1153">
        <v>44.933999999999997</v>
      </c>
      <c r="C252" s="388"/>
      <c r="D252" s="391">
        <f t="shared" si="77"/>
        <v>46.083462649017797</v>
      </c>
      <c r="E252" s="383">
        <f t="shared" si="100"/>
        <v>46.999244069481144</v>
      </c>
      <c r="F252" s="383">
        <f t="shared" si="78"/>
        <v>47.014994581702645</v>
      </c>
      <c r="G252" s="110">
        <f t="shared" si="101"/>
        <v>0.84986722044065155</v>
      </c>
      <c r="H252" s="412" t="b">
        <f>Wh_hp&gt;='2021'!Maxi_hp</f>
        <v>0</v>
      </c>
      <c r="I252" s="379">
        <f>IF(H252,Wh_hp,'2021'!Maxi_hp)</f>
        <v>53.844483293966427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2.4943061630858132E-2</v>
      </c>
      <c r="M252" s="832"/>
      <c r="N252" s="832"/>
      <c r="O252" s="48">
        <f>IF(t&lt;Tnet,'2021'!Resal+('2021'!Salim-'2021'!Resal)*(1-EXP(('2021'!Tnet-t)/('2021'!Tau_j))),Resal+(Salim-Resal)*(1-EXP((Tnet-t)/(Tau_j))))*Salcycl</f>
        <v>1.9485024463574481E-2</v>
      </c>
      <c r="P252" s="169">
        <f>(INDEX(Models!$BJ252:$BT252,,T252)*(1-R252)+INDEX(Models!$BJ252:$BT252,,T252+1)*R252-ERP_i)*Q252*Ramure*Pc/MaxiM</f>
        <v>4.264195639817988E-4</v>
      </c>
      <c r="Q252" s="304">
        <f t="shared" si="80"/>
        <v>0.6</v>
      </c>
      <c r="R252" s="177">
        <f t="shared" si="81"/>
        <v>0.47897885409832347</v>
      </c>
      <c r="S252" s="799">
        <f t="shared" si="82"/>
        <v>0</v>
      </c>
      <c r="T252" s="176">
        <f t="shared" si="83"/>
        <v>6</v>
      </c>
      <c r="U252" s="250">
        <f t="shared" si="84"/>
        <v>0.47897885409832347</v>
      </c>
      <c r="V252" s="382">
        <f t="shared" si="85"/>
        <v>52.866953994214441</v>
      </c>
      <c r="W252" s="400">
        <f t="shared" si="86"/>
        <v>0</v>
      </c>
      <c r="X252" s="157">
        <f t="shared" si="87"/>
        <v>44799</v>
      </c>
      <c r="Y252" s="383">
        <f t="shared" si="88"/>
        <v>41.794973166923704</v>
      </c>
      <c r="Z252" s="383">
        <f t="shared" si="89"/>
        <v>42.864135951720961</v>
      </c>
      <c r="AA252" s="384">
        <f t="shared" si="90"/>
        <v>46.999244069481144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8.7982438858953946E-2</v>
      </c>
      <c r="AD252" s="230">
        <f>(INDEX(Models!$BJ252:$BT252,,AH252)*(1-AF252)+INDEX(Models!$BJ252:$BT252,,AH252+1)*AF252-ERP_i)*AE252*Ramure*Pc/MaxiM</f>
        <v>4.264195639817988E-4</v>
      </c>
      <c r="AE252" s="304">
        <f t="shared" si="92"/>
        <v>0.6</v>
      </c>
      <c r="AF252" s="177">
        <f t="shared" si="93"/>
        <v>0.47897885409832347</v>
      </c>
      <c r="AG252" s="799">
        <f t="shared" si="99"/>
        <v>0</v>
      </c>
      <c r="AH252" s="176">
        <f t="shared" si="94"/>
        <v>6</v>
      </c>
      <c r="AI252" s="224">
        <f t="shared" si="95"/>
        <v>0.47897885409832347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44800</v>
      </c>
      <c r="B253" s="1153">
        <v>51.1</v>
      </c>
      <c r="C253" s="388"/>
      <c r="D253" s="391">
        <f t="shared" si="77"/>
        <v>52.40820030887771</v>
      </c>
      <c r="E253" s="383">
        <f t="shared" si="100"/>
        <v>53.454387729548351</v>
      </c>
      <c r="F253" s="383">
        <f t="shared" si="78"/>
        <v>53.476850706483603</v>
      </c>
      <c r="G253" s="110">
        <f t="shared" si="101"/>
        <v>0.97041759096805857</v>
      </c>
      <c r="H253" s="412" t="b">
        <f>Wh_hp&gt;='2021'!Maxi_hp</f>
        <v>1</v>
      </c>
      <c r="I253" s="379">
        <f>IF(H253,Wh_hp,'2021'!Maxi_hp)</f>
        <v>53.476850706483603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2.4961748374635717E-2</v>
      </c>
      <c r="M253" s="832"/>
      <c r="N253" s="832"/>
      <c r="O253" s="48">
        <f>IF(t&lt;Tnet,'2021'!Resal+('2021'!Salim-'2021'!Resal)*(1-EXP(('2021'!Tnet-t)/('2021'!Tau_j))),Resal+(Salim-Resal)*(1-EXP((Tnet-t)/(Tau_j))))*Salcycl</f>
        <v>1.9571591128567614E-2</v>
      </c>
      <c r="P253" s="169">
        <f>(INDEX(Models!$BJ253:$BT253,,T253)*(1-R253)+INDEX(Models!$BJ253:$BT253,,T253+1)*R253-ERP_i)*Q253*Ramure*Pc/MaxiM</f>
        <v>4.3857359165299249E-4</v>
      </c>
      <c r="Q253" s="304">
        <f t="shared" si="80"/>
        <v>0.6</v>
      </c>
      <c r="R253" s="177">
        <f t="shared" si="81"/>
        <v>0.47976431093357069</v>
      </c>
      <c r="S253" s="799">
        <f t="shared" si="82"/>
        <v>0</v>
      </c>
      <c r="T253" s="176">
        <f t="shared" si="83"/>
        <v>6</v>
      </c>
      <c r="U253" s="250">
        <f t="shared" si="84"/>
        <v>0.47976431093357069</v>
      </c>
      <c r="V253" s="382">
        <f t="shared" si="85"/>
        <v>52.656767093827433</v>
      </c>
      <c r="W253" s="400">
        <f t="shared" si="86"/>
        <v>0</v>
      </c>
      <c r="X253" s="157">
        <f t="shared" si="87"/>
        <v>44800</v>
      </c>
      <c r="Y253" s="383">
        <f t="shared" si="88"/>
        <v>47.535091724733512</v>
      </c>
      <c r="Z253" s="383">
        <f t="shared" si="89"/>
        <v>48.752027569681196</v>
      </c>
      <c r="AA253" s="384">
        <f t="shared" si="90"/>
        <v>53.454387729548351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8.7969582284969358E-2</v>
      </c>
      <c r="AD253" s="230">
        <f>(INDEX(Models!$BJ253:$BT253,,AH253)*(1-AF253)+INDEX(Models!$BJ253:$BT253,,AH253+1)*AF253-ERP_i)*AE253*Ramure*Pc/MaxiM</f>
        <v>4.3857359165299249E-4</v>
      </c>
      <c r="AE253" s="304">
        <f t="shared" si="92"/>
        <v>0.6</v>
      </c>
      <c r="AF253" s="177">
        <f t="shared" si="93"/>
        <v>0.47976431093357069</v>
      </c>
      <c r="AG253" s="799">
        <f t="shared" si="99"/>
        <v>0</v>
      </c>
      <c r="AH253" s="176">
        <f t="shared" si="94"/>
        <v>6</v>
      </c>
      <c r="AI253" s="224">
        <f t="shared" si="95"/>
        <v>0.47976431093357069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44801</v>
      </c>
      <c r="B254" s="1153">
        <v>49.988</v>
      </c>
      <c r="C254" s="388"/>
      <c r="D254" s="391">
        <f t="shared" si="77"/>
        <v>51.268714784928626</v>
      </c>
      <c r="E254" s="383">
        <f t="shared" si="100"/>
        <v>52.296761580343627</v>
      </c>
      <c r="F254" s="383">
        <f t="shared" si="78"/>
        <v>52.318783868701175</v>
      </c>
      <c r="G254" s="110">
        <f t="shared" si="101"/>
        <v>0.95315494511457233</v>
      </c>
      <c r="H254" s="412" t="b">
        <f>Wh_hp&gt;='2021'!Maxi_hp</f>
        <v>0</v>
      </c>
      <c r="I254" s="379">
        <f>IF(H254,Wh_hp,'2021'!Maxi_hp)</f>
        <v>54.734917062438733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2.4980434760286108E-2</v>
      </c>
      <c r="M254" s="832"/>
      <c r="N254" s="832"/>
      <c r="O254" s="48">
        <f>IF(t&lt;Tnet,'2021'!Resal+('2021'!Salim-'2021'!Resal)*(1-EXP(('2021'!Tnet-t)/('2021'!Tau_j))),Resal+(Salim-Resal)*(1-EXP((Tnet-t)/(Tau_j))))*Salcycl</f>
        <v>1.9657943711019459E-2</v>
      </c>
      <c r="P254" s="169">
        <f>(INDEX(Models!$BJ254:$BT254,,T254)*(1-R254)+INDEX(Models!$BJ254:$BT254,,T254+1)*R254-ERP_i)*Q254*Ramure*Pc/MaxiM</f>
        <v>4.5109446326478892E-4</v>
      </c>
      <c r="Q254" s="304">
        <f t="shared" si="80"/>
        <v>0.6</v>
      </c>
      <c r="R254" s="177">
        <f t="shared" si="81"/>
        <v>0.48052056138613053</v>
      </c>
      <c r="S254" s="799">
        <f t="shared" si="82"/>
        <v>0</v>
      </c>
      <c r="T254" s="176">
        <f t="shared" si="83"/>
        <v>6</v>
      </c>
      <c r="U254" s="250">
        <f t="shared" si="84"/>
        <v>0.48052056138613053</v>
      </c>
      <c r="V254" s="382">
        <f t="shared" si="85"/>
        <v>52.44319563579699</v>
      </c>
      <c r="W254" s="400">
        <f t="shared" si="86"/>
        <v>0</v>
      </c>
      <c r="X254" s="157">
        <f t="shared" si="87"/>
        <v>44801</v>
      </c>
      <c r="Y254" s="383">
        <f t="shared" si="88"/>
        <v>46.505437668153725</v>
      </c>
      <c r="Z254" s="383">
        <f t="shared" si="89"/>
        <v>47.696927657774857</v>
      </c>
      <c r="AA254" s="384">
        <f t="shared" si="90"/>
        <v>52.296761580343627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8.7956381687268284E-2</v>
      </c>
      <c r="AD254" s="230">
        <f>(INDEX(Models!$BJ254:$BT254,,AH254)*(1-AF254)+INDEX(Models!$BJ254:$BT254,,AH254+1)*AF254-ERP_i)*AE254*Ramure*Pc/MaxiM</f>
        <v>4.5109446326478892E-4</v>
      </c>
      <c r="AE254" s="304">
        <f t="shared" si="92"/>
        <v>0.6</v>
      </c>
      <c r="AF254" s="177">
        <f t="shared" si="93"/>
        <v>0.48052056138613053</v>
      </c>
      <c r="AG254" s="799">
        <f t="shared" si="99"/>
        <v>0</v>
      </c>
      <c r="AH254" s="176">
        <f t="shared" si="94"/>
        <v>6</v>
      </c>
      <c r="AI254" s="224">
        <f t="shared" si="95"/>
        <v>0.48052056138613053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44802</v>
      </c>
      <c r="B255" s="1153">
        <v>34.204999999999998</v>
      </c>
      <c r="C255" s="388"/>
      <c r="D255" s="391">
        <f t="shared" si="77"/>
        <v>35.082019646626556</v>
      </c>
      <c r="E255" s="383">
        <f t="shared" si="100"/>
        <v>35.788633221718413</v>
      </c>
      <c r="F255" s="383">
        <f t="shared" si="78"/>
        <v>35.797052691508647</v>
      </c>
      <c r="G255" s="110">
        <f t="shared" si="101"/>
        <v>0.65478908513332901</v>
      </c>
      <c r="H255" s="412" t="b">
        <f>Wh_hp&gt;='2021'!Maxi_hp</f>
        <v>0</v>
      </c>
      <c r="I255" s="379">
        <f>IF(H255,Wh_hp,'2021'!Maxi_hp)</f>
        <v>54.247939934538053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2.4999120787816187E-2</v>
      </c>
      <c r="M255" s="832"/>
      <c r="N255" s="832"/>
      <c r="O255" s="48">
        <f>IF(t&lt;Tnet,'2021'!Resal+('2021'!Salim-'2021'!Resal)*(1-EXP(('2021'!Tnet-t)/('2021'!Tau_j))),Resal+(Salim-Resal)*(1-EXP((Tnet-t)/(Tau_j))))*Salcycl</f>
        <v>1.9744078258430081E-2</v>
      </c>
      <c r="P255" s="169">
        <f>(INDEX(Models!$BJ255:$BT255,,T255)*(1-R255)+INDEX(Models!$BJ255:$BT255,,T255+1)*R255-ERP_i)*Q255*Ramure*Pc/MaxiM</f>
        <v>4.6385468072561236E-4</v>
      </c>
      <c r="Q255" s="304">
        <f t="shared" si="80"/>
        <v>0.6</v>
      </c>
      <c r="R255" s="177">
        <f t="shared" si="81"/>
        <v>0.48124860108842515</v>
      </c>
      <c r="S255" s="799">
        <f t="shared" si="82"/>
        <v>0</v>
      </c>
      <c r="T255" s="176">
        <f t="shared" si="83"/>
        <v>6</v>
      </c>
      <c r="U255" s="250">
        <f t="shared" si="84"/>
        <v>0.48124860108842515</v>
      </c>
      <c r="V255" s="382">
        <f t="shared" si="85"/>
        <v>52.226247819300603</v>
      </c>
      <c r="W255" s="400">
        <f t="shared" si="86"/>
        <v>0</v>
      </c>
      <c r="X255" s="157">
        <f t="shared" si="87"/>
        <v>44802</v>
      </c>
      <c r="Y255" s="383">
        <f t="shared" si="88"/>
        <v>31.825276476449591</v>
      </c>
      <c r="Z255" s="383">
        <f t="shared" si="89"/>
        <v>32.641279772142276</v>
      </c>
      <c r="AA255" s="384">
        <f t="shared" si="90"/>
        <v>35.788633221718413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8.7942823356164296E-2</v>
      </c>
      <c r="AD255" s="230">
        <f>(INDEX(Models!$BJ255:$BT255,,AH255)*(1-AF255)+INDEX(Models!$BJ255:$BT255,,AH255+1)*AF255-ERP_i)*AE255*Ramure*Pc/MaxiM</f>
        <v>4.6385468072561236E-4</v>
      </c>
      <c r="AE255" s="304">
        <f t="shared" si="92"/>
        <v>0.6</v>
      </c>
      <c r="AF255" s="177">
        <f t="shared" si="93"/>
        <v>0.48124860108842515</v>
      </c>
      <c r="AG255" s="799">
        <f t="shared" si="99"/>
        <v>0</v>
      </c>
      <c r="AH255" s="176">
        <f t="shared" si="94"/>
        <v>6</v>
      </c>
      <c r="AI255" s="224">
        <f t="shared" si="95"/>
        <v>0.48124860108842515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44803</v>
      </c>
      <c r="B256" s="1153">
        <v>49.657000000000004</v>
      </c>
      <c r="C256" s="388"/>
      <c r="D256" s="391">
        <f t="shared" si="77"/>
        <v>50.931186568200459</v>
      </c>
      <c r="E256" s="383">
        <f t="shared" si="100"/>
        <v>51.961584299469614</v>
      </c>
      <c r="F256" s="383">
        <f t="shared" si="78"/>
        <v>51.98477412614092</v>
      </c>
      <c r="G256" s="110">
        <f t="shared" si="101"/>
        <v>0.95480412093558087</v>
      </c>
      <c r="H256" s="412" t="b">
        <f>Wh_hp&gt;='2021'!Maxi_hp</f>
        <v>0</v>
      </c>
      <c r="I256" s="379">
        <f>IF(H256,Wh_hp,'2021'!Maxi_hp)</f>
        <v>52.905760781813107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2.5017806457232838E-2</v>
      </c>
      <c r="M256" s="832"/>
      <c r="N256" s="832"/>
      <c r="O256" s="48">
        <f>IF(t&lt;Tnet,'2021'!Resal+('2021'!Salim-'2021'!Resal)*(1-EXP(('2021'!Tnet-t)/('2021'!Tau_j))),Resal+(Salim-Resal)*(1-EXP((Tnet-t)/(Tau_j))))*Salcycl</f>
        <v>1.9829990658688807E-2</v>
      </c>
      <c r="P256" s="169">
        <f>(INDEX(Models!$BJ256:$BT256,,T256)*(1-R256)+INDEX(Models!$BJ256:$BT256,,T256+1)*R256-ERP_i)*Q256*Ramure*Pc/MaxiM</f>
        <v>4.7685735308903324E-4</v>
      </c>
      <c r="Q256" s="304">
        <f t="shared" si="80"/>
        <v>0.6</v>
      </c>
      <c r="R256" s="177">
        <f t="shared" si="81"/>
        <v>0.48194939864959985</v>
      </c>
      <c r="S256" s="799">
        <f t="shared" si="82"/>
        <v>0</v>
      </c>
      <c r="T256" s="176">
        <f t="shared" si="83"/>
        <v>6</v>
      </c>
      <c r="U256" s="250">
        <f t="shared" si="84"/>
        <v>0.48194939864959985</v>
      </c>
      <c r="V256" s="382">
        <f t="shared" si="85"/>
        <v>52.005924939393147</v>
      </c>
      <c r="W256" s="400">
        <f t="shared" si="86"/>
        <v>0</v>
      </c>
      <c r="X256" s="157">
        <f t="shared" si="87"/>
        <v>44803</v>
      </c>
      <c r="Y256" s="383">
        <f t="shared" si="88"/>
        <v>46.206999319728233</v>
      </c>
      <c r="Z256" s="383">
        <f t="shared" si="89"/>
        <v>47.392659707791253</v>
      </c>
      <c r="AA256" s="384">
        <f t="shared" si="90"/>
        <v>51.961584299469614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8.7928893109692832E-2</v>
      </c>
      <c r="AD256" s="230">
        <f>(INDEX(Models!$BJ256:$BT256,,AH256)*(1-AF256)+INDEX(Models!$BJ256:$BT256,,AH256+1)*AF256-ERP_i)*AE256*Ramure*Pc/MaxiM</f>
        <v>4.7685735308903324E-4</v>
      </c>
      <c r="AE256" s="304">
        <f t="shared" si="92"/>
        <v>0.6</v>
      </c>
      <c r="AF256" s="177">
        <f t="shared" si="93"/>
        <v>0.48194939864959985</v>
      </c>
      <c r="AG256" s="799">
        <f t="shared" si="99"/>
        <v>0</v>
      </c>
      <c r="AH256" s="176">
        <f t="shared" si="94"/>
        <v>6</v>
      </c>
      <c r="AI256" s="224">
        <f t="shared" si="95"/>
        <v>0.48194939864959985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44804</v>
      </c>
      <c r="B257" s="1153">
        <v>25.649000000000001</v>
      </c>
      <c r="C257" s="388"/>
      <c r="D257" s="391">
        <f t="shared" si="77"/>
        <v>26.307651295099458</v>
      </c>
      <c r="E257" s="383">
        <f t="shared" si="100"/>
        <v>26.842232517986218</v>
      </c>
      <c r="F257" s="383">
        <f t="shared" si="78"/>
        <v>26.845903870554277</v>
      </c>
      <c r="G257" s="110">
        <f t="shared" si="101"/>
        <v>0.49514933116555759</v>
      </c>
      <c r="H257" s="412" t="b">
        <f>Wh_hp&gt;='2021'!Maxi_hp</f>
        <v>0</v>
      </c>
      <c r="I257" s="379">
        <f>IF(H257,Wh_hp,'2021'!Maxi_hp)</f>
        <v>52.429420207764473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2.5036491768542946E-2</v>
      </c>
      <c r="M257" s="832"/>
      <c r="N257" s="832"/>
      <c r="O257" s="48">
        <f>IF(t&lt;Tnet,'2021'!Resal+('2021'!Salim-'2021'!Resal)*(1-EXP(('2021'!Tnet-t)/('2021'!Tau_j))),Resal+(Salim-Resal)*(1-EXP((Tnet-t)/(Tau_j))))*Salcycl</f>
        <v>1.9915676631165211E-2</v>
      </c>
      <c r="P257" s="169">
        <f>(INDEX(Models!$BJ257:$BT257,,T257)*(1-R257)+INDEX(Models!$BJ257:$BT257,,T257+1)*R257-ERP_i)*Q257*Ramure*Pc/MaxiM</f>
        <v>4.9010558679370088E-4</v>
      </c>
      <c r="Q257" s="304">
        <f t="shared" si="80"/>
        <v>0.6</v>
      </c>
      <c r="R257" s="177">
        <f t="shared" si="81"/>
        <v>0.48262389583930004</v>
      </c>
      <c r="S257" s="799">
        <f t="shared" si="82"/>
        <v>0</v>
      </c>
      <c r="T257" s="176">
        <f t="shared" si="83"/>
        <v>6</v>
      </c>
      <c r="U257" s="250">
        <f t="shared" si="84"/>
        <v>0.48262389583930004</v>
      </c>
      <c r="V257" s="382">
        <f t="shared" si="85"/>
        <v>51.782228302723105</v>
      </c>
      <c r="W257" s="400">
        <f t="shared" si="86"/>
        <v>0</v>
      </c>
      <c r="X257" s="157">
        <f t="shared" si="87"/>
        <v>44804</v>
      </c>
      <c r="Y257" s="383">
        <f t="shared" si="88"/>
        <v>23.869455388277423</v>
      </c>
      <c r="Z257" s="383">
        <f t="shared" si="89"/>
        <v>24.482409020185397</v>
      </c>
      <c r="AA257" s="384">
        <f t="shared" si="90"/>
        <v>26.842232517986218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8.7914576264085692E-2</v>
      </c>
      <c r="AD257" s="230">
        <f>(INDEX(Models!$BJ257:$BT257,,AH257)*(1-AF257)+INDEX(Models!$BJ257:$BT257,,AH257+1)*AF257-ERP_i)*AE257*Ramure*Pc/MaxiM</f>
        <v>4.9010558679370088E-4</v>
      </c>
      <c r="AE257" s="304">
        <f t="shared" si="92"/>
        <v>0.6</v>
      </c>
      <c r="AF257" s="177">
        <f t="shared" si="93"/>
        <v>0.48262389583930004</v>
      </c>
      <c r="AG257" s="799">
        <f t="shared" si="99"/>
        <v>0</v>
      </c>
      <c r="AH257" s="176">
        <f t="shared" si="94"/>
        <v>6</v>
      </c>
      <c r="AI257" s="224">
        <f t="shared" si="95"/>
        <v>0.48262389583930004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44805</v>
      </c>
      <c r="B258" s="1153">
        <v>41.984999999999999</v>
      </c>
      <c r="C258" s="388"/>
      <c r="D258" s="391">
        <f t="shared" si="77"/>
        <v>43.06397551691763</v>
      </c>
      <c r="E258" s="383">
        <f t="shared" si="100"/>
        <v>43.942882905923888</v>
      </c>
      <c r="F258" s="383">
        <f t="shared" si="78"/>
        <v>43.959150193662367</v>
      </c>
      <c r="G258" s="110">
        <f t="shared" si="101"/>
        <v>0.8142616869246776</v>
      </c>
      <c r="H258" s="412" t="b">
        <f>Wh_hp&gt;='2021'!Maxi_hp</f>
        <v>0</v>
      </c>
      <c r="I258" s="379">
        <f>IF(H258,Wh_hp,'2021'!Maxi_hp)</f>
        <v>47.872949450269061</v>
      </c>
      <c r="J258" s="85">
        <f>IF(H258,An,'2021'!An_max)</f>
        <v>2020</v>
      </c>
      <c r="K258" s="197">
        <f t="shared" si="79"/>
        <v>44805</v>
      </c>
      <c r="L258" s="147">
        <f>IF(t&lt;Tvie,1-EXP((T0-t)*PertePVj)+'2021'!Pspv,1-EXP((T0-t)*PertePVj)+Pspv)</f>
        <v>2.5055176721753281E-2</v>
      </c>
      <c r="M258" s="832"/>
      <c r="N258" s="832"/>
      <c r="O258" s="48">
        <f>IF(t&lt;Tnet,'2021'!Resal+('2021'!Salim-'2021'!Resal)*(1-EXP(('2021'!Tnet-t)/('2021'!Tau_j))),Resal+(Salim-Resal)*(1-EXP((Tnet-t)/(Tau_j))))*Salcycl</f>
        <v>2.0001131716548642E-2</v>
      </c>
      <c r="P258" s="169">
        <f>(INDEX(Models!$BJ258:$BT258,,T258)*(1-R258)+INDEX(Models!$BJ258:$BT258,,T258+1)*R258-ERP_i)*Q258*Ramure*Pc/MaxiM</f>
        <v>5.0360248023287833E-4</v>
      </c>
      <c r="Q258" s="304">
        <f t="shared" si="80"/>
        <v>0.6</v>
      </c>
      <c r="R258" s="177">
        <f t="shared" si="81"/>
        <v>0.48327300782192151</v>
      </c>
      <c r="S258" s="799">
        <f t="shared" si="82"/>
        <v>0</v>
      </c>
      <c r="T258" s="176">
        <f t="shared" si="83"/>
        <v>6</v>
      </c>
      <c r="U258" s="250">
        <f t="shared" si="84"/>
        <v>0.48327300782192151</v>
      </c>
      <c r="V258" s="382">
        <f t="shared" si="85"/>
        <v>51.555159222875908</v>
      </c>
      <c r="W258" s="400">
        <f t="shared" si="86"/>
        <v>0</v>
      </c>
      <c r="X258" s="157">
        <f t="shared" si="87"/>
        <v>44805</v>
      </c>
      <c r="Y258" s="383">
        <f t="shared" si="88"/>
        <v>39.076090511983161</v>
      </c>
      <c r="Z258" s="383">
        <f t="shared" si="89"/>
        <v>40.080309755981901</v>
      </c>
      <c r="AA258" s="384">
        <f t="shared" si="90"/>
        <v>43.942882905923888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8.7899857599494868E-2</v>
      </c>
      <c r="AD258" s="230">
        <f>(INDEX(Models!$BJ258:$BT258,,AH258)*(1-AF258)+INDEX(Models!$BJ258:$BT258,,AH258+1)*AF258-ERP_i)*AE258*Ramure*Pc/MaxiM</f>
        <v>5.0360248023287833E-4</v>
      </c>
      <c r="AE258" s="304">
        <f t="shared" si="92"/>
        <v>0.6</v>
      </c>
      <c r="AF258" s="177">
        <f t="shared" si="93"/>
        <v>0.48327300782192151</v>
      </c>
      <c r="AG258" s="799">
        <f t="shared" si="99"/>
        <v>0</v>
      </c>
      <c r="AH258" s="176">
        <f t="shared" si="94"/>
        <v>6</v>
      </c>
      <c r="AI258" s="224">
        <f t="shared" si="95"/>
        <v>0.48327300782192151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44806</v>
      </c>
      <c r="B259" s="1153">
        <v>40.407000000000004</v>
      </c>
      <c r="C259" s="388"/>
      <c r="D259" s="391">
        <f t="shared" si="77"/>
        <v>41.446216689378453</v>
      </c>
      <c r="E259" s="383">
        <f t="shared" si="100"/>
        <v>42.295784677467061</v>
      </c>
      <c r="F259" s="383">
        <f t="shared" si="78"/>
        <v>42.311022424653956</v>
      </c>
      <c r="G259" s="110">
        <f t="shared" si="101"/>
        <v>0.78715764863716287</v>
      </c>
      <c r="H259" s="412" t="b">
        <f>Wh_hp&gt;='2021'!Maxi_hp</f>
        <v>0</v>
      </c>
      <c r="I259" s="379">
        <f>IF(H259,Wh_hp,'2021'!Maxi_hp)</f>
        <v>52.448101483562709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2.5073861316870727E-2</v>
      </c>
      <c r="M259" s="832"/>
      <c r="N259" s="832"/>
      <c r="O259" s="48">
        <f>IF(t&lt;Tnet,'2021'!Resal+('2021'!Salim-'2021'!Resal)*(1-EXP(('2021'!Tnet-t)/('2021'!Tau_j))),Resal+(Salim-Resal)*(1-EXP((Tnet-t)/(Tau_j))))*Salcycl</f>
        <v>2.0086351265666876E-2</v>
      </c>
      <c r="P259" s="169">
        <f>(INDEX(Models!$BJ259:$BT259,,T259)*(1-R259)+INDEX(Models!$BJ259:$BT259,,T259+1)*R259-ERP_i)*Q259*Ramure*Pc/MaxiM</f>
        <v>5.1735111734656279E-4</v>
      </c>
      <c r="Q259" s="304">
        <f t="shared" si="80"/>
        <v>0.6</v>
      </c>
      <c r="R259" s="177">
        <f t="shared" si="81"/>
        <v>0.48389762343612813</v>
      </c>
      <c r="S259" s="799">
        <f t="shared" si="82"/>
        <v>0</v>
      </c>
      <c r="T259" s="176">
        <f t="shared" si="83"/>
        <v>6</v>
      </c>
      <c r="U259" s="250">
        <f t="shared" si="84"/>
        <v>0.48389762343612813</v>
      </c>
      <c r="V259" s="382">
        <f t="shared" si="85"/>
        <v>51.324719023924487</v>
      </c>
      <c r="W259" s="400">
        <f t="shared" si="86"/>
        <v>0</v>
      </c>
      <c r="X259" s="157">
        <f t="shared" si="87"/>
        <v>44806</v>
      </c>
      <c r="Y259" s="383">
        <f t="shared" si="88"/>
        <v>37.611316173767541</v>
      </c>
      <c r="Z259" s="383">
        <f t="shared" si="89"/>
        <v>38.578631427987574</v>
      </c>
      <c r="AA259" s="384">
        <f t="shared" si="90"/>
        <v>42.295784677467061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8.7884721322117609E-2</v>
      </c>
      <c r="AD259" s="230">
        <f>(INDEX(Models!$BJ259:$BT259,,AH259)*(1-AF259)+INDEX(Models!$BJ259:$BT259,,AH259+1)*AF259-ERP_i)*AE259*Ramure*Pc/MaxiM</f>
        <v>5.1735111734656279E-4</v>
      </c>
      <c r="AE259" s="304">
        <f t="shared" si="92"/>
        <v>0.6</v>
      </c>
      <c r="AF259" s="177">
        <f t="shared" si="93"/>
        <v>0.48389762343612813</v>
      </c>
      <c r="AG259" s="799">
        <f t="shared" si="99"/>
        <v>0</v>
      </c>
      <c r="AH259" s="176">
        <f t="shared" si="94"/>
        <v>6</v>
      </c>
      <c r="AI259" s="224">
        <f t="shared" si="95"/>
        <v>0.48389762343612813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44807</v>
      </c>
      <c r="B260" s="1153">
        <v>39.450000000000003</v>
      </c>
      <c r="C260" s="388"/>
      <c r="D260" s="391">
        <f t="shared" si="77"/>
        <v>40.465379375331445</v>
      </c>
      <c r="E260" s="383">
        <f t="shared" si="100"/>
        <v>41.298423522337117</v>
      </c>
      <c r="F260" s="383">
        <f t="shared" si="78"/>
        <v>41.313230223201586</v>
      </c>
      <c r="G260" s="110">
        <f t="shared" si="101"/>
        <v>0.7720194311652453</v>
      </c>
      <c r="H260" s="412" t="b">
        <f>Wh_hp&gt;='2021'!Maxi_hp</f>
        <v>0</v>
      </c>
      <c r="I260" s="379">
        <f>IF(H260,Wh_hp,'2021'!Maxi_hp)</f>
        <v>55.043508007448153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2.5092545553902279E-2</v>
      </c>
      <c r="M260" s="832"/>
      <c r="N260" s="832"/>
      <c r="O260" s="48">
        <f>IF(t&lt;Tnet,'2021'!Resal+('2021'!Salim-'2021'!Resal)*(1-EXP(('2021'!Tnet-t)/('2021'!Tau_j))),Resal+(Salim-Resal)*(1-EXP((Tnet-t)/(Tau_j))))*Salcycl</f>
        <v>2.0171330427542968E-2</v>
      </c>
      <c r="P260" s="169">
        <f>(INDEX(Models!$BJ260:$BT260,,T260)*(1-R260)+INDEX(Models!$BJ260:$BT260,,T260+1)*R260-ERP_i)*Q260*Ramure*Pc/MaxiM</f>
        <v>5.3135456034887868E-4</v>
      </c>
      <c r="Q260" s="304">
        <f t="shared" si="80"/>
        <v>0.6</v>
      </c>
      <c r="R260" s="177">
        <f t="shared" si="81"/>
        <v>0.4844986055147536</v>
      </c>
      <c r="S260" s="799">
        <f t="shared" si="82"/>
        <v>0</v>
      </c>
      <c r="T260" s="176">
        <f t="shared" si="83"/>
        <v>6</v>
      </c>
      <c r="U260" s="250">
        <f t="shared" si="84"/>
        <v>0.4844986055147536</v>
      </c>
      <c r="V260" s="382">
        <f t="shared" si="85"/>
        <v>51.090909038641563</v>
      </c>
      <c r="W260" s="400">
        <f t="shared" si="86"/>
        <v>0</v>
      </c>
      <c r="X260" s="157">
        <f t="shared" si="87"/>
        <v>44807</v>
      </c>
      <c r="Y260" s="383">
        <f t="shared" si="88"/>
        <v>36.724340805220649</v>
      </c>
      <c r="Z260" s="383">
        <f t="shared" si="89"/>
        <v>37.669566108801483</v>
      </c>
      <c r="AA260" s="384">
        <f t="shared" si="90"/>
        <v>41.298423522337117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8.7869151023958453E-2</v>
      </c>
      <c r="AD260" s="230">
        <f>(INDEX(Models!$BJ260:$BT260,,AH260)*(1-AF260)+INDEX(Models!$BJ260:$BT260,,AH260+1)*AF260-ERP_i)*AE260*Ramure*Pc/MaxiM</f>
        <v>5.3135456034887868E-4</v>
      </c>
      <c r="AE260" s="304">
        <f t="shared" si="92"/>
        <v>0.6</v>
      </c>
      <c r="AF260" s="177">
        <f t="shared" si="93"/>
        <v>0.4844986055147536</v>
      </c>
      <c r="AG260" s="799">
        <f t="shared" si="99"/>
        <v>0</v>
      </c>
      <c r="AH260" s="176">
        <f t="shared" si="94"/>
        <v>6</v>
      </c>
      <c r="AI260" s="224">
        <f t="shared" si="95"/>
        <v>0.4844986055147536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44808</v>
      </c>
      <c r="B261" s="1153">
        <v>47.679000000000002</v>
      </c>
      <c r="C261" s="388"/>
      <c r="D261" s="391">
        <f t="shared" si="77"/>
        <v>48.907117857417269</v>
      </c>
      <c r="E261" s="383">
        <f t="shared" si="100"/>
        <v>49.918265443854551</v>
      </c>
      <c r="F261" s="383">
        <f t="shared" si="78"/>
        <v>49.943084946688813</v>
      </c>
      <c r="G261" s="110">
        <f t="shared" si="101"/>
        <v>0.93752568800121583</v>
      </c>
      <c r="H261" s="412" t="b">
        <f>Wh_hp&gt;='2021'!Maxi_hp</f>
        <v>0</v>
      </c>
      <c r="I261" s="379">
        <f>IF(H261,Wh_hp,'2021'!Maxi_hp)</f>
        <v>53.392231312994895</v>
      </c>
      <c r="J261" s="85">
        <f>IF(H261,An,'2021'!An_max)</f>
        <v>2018</v>
      </c>
      <c r="K261" s="197">
        <f t="shared" si="79"/>
        <v>44808</v>
      </c>
      <c r="L261" s="147">
        <f>IF(t&lt;Tvie,1-EXP((T0-t)*PertePVj)+'2021'!Pspv,1-EXP((T0-t)*PertePVj)+Pspv)</f>
        <v>2.5111229432854598E-2</v>
      </c>
      <c r="M261" s="832"/>
      <c r="N261" s="832"/>
      <c r="O261" s="48">
        <f>IF(t&lt;Tnet,'2021'!Resal+('2021'!Salim-'2021'!Resal)*(1-EXP(('2021'!Tnet-t)/('2021'!Tau_j))),Resal+(Salim-Resal)*(1-EXP((Tnet-t)/(Tau_j))))*Salcycl</f>
        <v>2.0256064136975477E-2</v>
      </c>
      <c r="P261" s="169">
        <f>(INDEX(Models!$BJ261:$BT261,,T261)*(1-R261)+INDEX(Models!$BJ261:$BT261,,T261+1)*R261-ERP_i)*Q261*Ramure*Pc/MaxiM</f>
        <v>5.4561584147599614E-4</v>
      </c>
      <c r="Q261" s="304">
        <f t="shared" si="80"/>
        <v>0.6</v>
      </c>
      <c r="R261" s="177">
        <f t="shared" si="81"/>
        <v>0.48507679124051784</v>
      </c>
      <c r="S261" s="799">
        <f t="shared" si="82"/>
        <v>0</v>
      </c>
      <c r="T261" s="176">
        <f t="shared" si="83"/>
        <v>6</v>
      </c>
      <c r="U261" s="250">
        <f t="shared" si="84"/>
        <v>0.48507679124051784</v>
      </c>
      <c r="V261" s="382">
        <f t="shared" si="85"/>
        <v>50.853730614269189</v>
      </c>
      <c r="W261" s="400">
        <f t="shared" si="86"/>
        <v>0</v>
      </c>
      <c r="X261" s="157">
        <f t="shared" si="87"/>
        <v>44808</v>
      </c>
      <c r="Y261" s="383">
        <f t="shared" si="88"/>
        <v>44.389405272013477</v>
      </c>
      <c r="Z261" s="383">
        <f t="shared" si="89"/>
        <v>45.532789598335164</v>
      </c>
      <c r="AA261" s="384">
        <f t="shared" si="90"/>
        <v>49.918265443854551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8.7853129641532579E-2</v>
      </c>
      <c r="AD261" s="230">
        <f>(INDEX(Models!$BJ261:$BT261,,AH261)*(1-AF261)+INDEX(Models!$BJ261:$BT261,,AH261+1)*AF261-ERP_i)*AE261*Ramure*Pc/MaxiM</f>
        <v>5.4561584147599614E-4</v>
      </c>
      <c r="AE261" s="304">
        <f t="shared" si="92"/>
        <v>0.6</v>
      </c>
      <c r="AF261" s="177">
        <f t="shared" si="93"/>
        <v>0.48507679124051784</v>
      </c>
      <c r="AG261" s="799">
        <f t="shared" si="99"/>
        <v>0</v>
      </c>
      <c r="AH261" s="176">
        <f t="shared" si="94"/>
        <v>6</v>
      </c>
      <c r="AI261" s="224">
        <f t="shared" si="95"/>
        <v>0.48507679124051784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44809</v>
      </c>
      <c r="B262" s="1153">
        <v>41.675000000000004</v>
      </c>
      <c r="C262" s="388"/>
      <c r="D262" s="391">
        <f t="shared" si="77"/>
        <v>42.749285831787134</v>
      </c>
      <c r="E262" s="383">
        <f t="shared" si="100"/>
        <v>43.636883924638546</v>
      </c>
      <c r="F262" s="383">
        <f t="shared" si="78"/>
        <v>43.655177978761529</v>
      </c>
      <c r="G262" s="110">
        <f t="shared" si="101"/>
        <v>0.82328582843806031</v>
      </c>
      <c r="H262" s="412" t="b">
        <f>Wh_hp&gt;='2021'!Maxi_hp</f>
        <v>0</v>
      </c>
      <c r="I262" s="379">
        <f>IF(H262,Wh_hp,'2021'!Maxi_hp)</f>
        <v>53.427461866974461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2.5129912953734568E-2</v>
      </c>
      <c r="M262" s="832"/>
      <c r="N262" s="832"/>
      <c r="O262" s="48">
        <f>IF(t&lt;Tnet,'2021'!Resal+('2021'!Salim-'2021'!Resal)*(1-EXP(('2021'!Tnet-t)/('2021'!Tau_j))),Resal+(Salim-Resal)*(1-EXP((Tnet-t)/(Tau_j))))*Salcycl</f>
        <v>2.0340547101949602E-2</v>
      </c>
      <c r="P262" s="169">
        <f>(INDEX(Models!$BJ262:$BT262,,T262)*(1-R262)+INDEX(Models!$BJ262:$BT262,,T262+1)*R262-ERP_i)*Q262*Ramure*Pc/MaxiM</f>
        <v>5.6044966024940785E-4</v>
      </c>
      <c r="Q262" s="304">
        <f t="shared" si="80"/>
        <v>0.6</v>
      </c>
      <c r="R262" s="177">
        <f t="shared" si="81"/>
        <v>0.48563299253328973</v>
      </c>
      <c r="S262" s="799">
        <f t="shared" si="82"/>
        <v>0</v>
      </c>
      <c r="T262" s="176">
        <f t="shared" si="83"/>
        <v>6</v>
      </c>
      <c r="U262" s="250">
        <f t="shared" si="84"/>
        <v>0.48563299253328973</v>
      </c>
      <c r="V262" s="382">
        <f t="shared" si="85"/>
        <v>50.613169321419036</v>
      </c>
      <c r="W262" s="400">
        <f t="shared" si="86"/>
        <v>0</v>
      </c>
      <c r="X262" s="157">
        <f t="shared" si="87"/>
        <v>44809</v>
      </c>
      <c r="Y262" s="383">
        <f t="shared" si="88"/>
        <v>38.803696468125082</v>
      </c>
      <c r="Z262" s="383">
        <f t="shared" si="89"/>
        <v>39.803966686161672</v>
      </c>
      <c r="AA262" s="384">
        <f t="shared" si="90"/>
        <v>43.636883924638546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8.7836639414866774E-2</v>
      </c>
      <c r="AD262" s="230">
        <f>(INDEX(Models!$BJ262:$BT262,,AH262)*(1-AF262)+INDEX(Models!$BJ262:$BT262,,AH262+1)*AF262-ERP_i)*AE262*Ramure*Pc/MaxiM</f>
        <v>5.6044966024940785E-4</v>
      </c>
      <c r="AE262" s="304">
        <f t="shared" si="92"/>
        <v>0.6</v>
      </c>
      <c r="AF262" s="177">
        <f t="shared" si="93"/>
        <v>0.48563299253328973</v>
      </c>
      <c r="AG262" s="799">
        <f t="shared" si="99"/>
        <v>0</v>
      </c>
      <c r="AH262" s="176">
        <f t="shared" si="94"/>
        <v>6</v>
      </c>
      <c r="AI262" s="224">
        <f t="shared" si="95"/>
        <v>0.48563299253328973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44810</v>
      </c>
      <c r="B263" s="1153">
        <v>47.161000000000001</v>
      </c>
      <c r="C263" s="388"/>
      <c r="D263" s="391">
        <f t="shared" si="77"/>
        <v>48.377629464478233</v>
      </c>
      <c r="E263" s="383">
        <f t="shared" si="100"/>
        <v>49.386334168241483</v>
      </c>
      <c r="F263" s="383">
        <f t="shared" si="78"/>
        <v>49.412197032871006</v>
      </c>
      <c r="G263" s="110">
        <f t="shared" si="101"/>
        <v>0.93625668330744571</v>
      </c>
      <c r="H263" s="412" t="b">
        <f>Wh_hp&gt;='2021'!Maxi_hp</f>
        <v>0</v>
      </c>
      <c r="I263" s="379">
        <f>IF(H263,Wh_hp,'2021'!Maxi_hp)</f>
        <v>54.427802265876565</v>
      </c>
      <c r="J263" s="85">
        <f>IF(H263,An,'2021'!An_max)</f>
        <v>2018</v>
      </c>
      <c r="K263" s="197">
        <f t="shared" si="79"/>
        <v>44810</v>
      </c>
      <c r="L263" s="147">
        <f>IF(t&lt;Tvie,1-EXP((T0-t)*PertePVj)+'2021'!Pspv,1-EXP((T0-t)*PertePVj)+Pspv)</f>
        <v>2.5148596116549182E-2</v>
      </c>
      <c r="M263" s="832"/>
      <c r="N263" s="832"/>
      <c r="O263" s="48">
        <f>IF(t&lt;Tnet,'2021'!Resal+('2021'!Salim-'2021'!Resal)*(1-EXP(('2021'!Tnet-t)/('2021'!Tau_j))),Resal+(Salim-Resal)*(1-EXP((Tnet-t)/(Tau_j))))*Salcycl</f>
        <v>2.0424773791206188E-2</v>
      </c>
      <c r="P263" s="169">
        <f>(INDEX(Models!$BJ263:$BT263,,T263)*(1-R263)+INDEX(Models!$BJ263:$BT263,,T263+1)*R263-ERP_i)*Q263*Ramure*Pc/MaxiM</f>
        <v>5.7580395551947198E-4</v>
      </c>
      <c r="Q263" s="304">
        <f t="shared" si="80"/>
        <v>0.6</v>
      </c>
      <c r="R263" s="177">
        <f t="shared" si="81"/>
        <v>0.48616799646492137</v>
      </c>
      <c r="S263" s="799">
        <f t="shared" si="82"/>
        <v>0</v>
      </c>
      <c r="T263" s="176">
        <f t="shared" si="83"/>
        <v>6</v>
      </c>
      <c r="U263" s="250">
        <f t="shared" si="84"/>
        <v>0.48616799646492137</v>
      </c>
      <c r="V263" s="382">
        <f t="shared" si="85"/>
        <v>50.369229529506612</v>
      </c>
      <c r="W263" s="400">
        <f t="shared" si="86"/>
        <v>0</v>
      </c>
      <c r="X263" s="157">
        <f t="shared" si="87"/>
        <v>44810</v>
      </c>
      <c r="Y263" s="383">
        <f t="shared" si="88"/>
        <v>43.91631778405965</v>
      </c>
      <c r="Z263" s="383">
        <f t="shared" si="89"/>
        <v>45.049243001664799</v>
      </c>
      <c r="AA263" s="384">
        <f t="shared" si="90"/>
        <v>49.386334168241483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8.7819661848190123E-2</v>
      </c>
      <c r="AD263" s="230">
        <f>(INDEX(Models!$BJ263:$BT263,,AH263)*(1-AF263)+INDEX(Models!$BJ263:$BT263,,AH263+1)*AF263-ERP_i)*AE263*Ramure*Pc/MaxiM</f>
        <v>5.7580395551947198E-4</v>
      </c>
      <c r="AE263" s="304">
        <f t="shared" si="92"/>
        <v>0.6</v>
      </c>
      <c r="AF263" s="177">
        <f t="shared" si="93"/>
        <v>0.48616799646492137</v>
      </c>
      <c r="AG263" s="799">
        <f t="shared" si="99"/>
        <v>0</v>
      </c>
      <c r="AH263" s="176">
        <f t="shared" si="94"/>
        <v>6</v>
      </c>
      <c r="AI263" s="224">
        <f t="shared" si="95"/>
        <v>0.48616799646492137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44811</v>
      </c>
      <c r="B264" s="1153">
        <v>37.542999999999999</v>
      </c>
      <c r="C264" s="388"/>
      <c r="D264" s="391">
        <f t="shared" si="77"/>
        <v>38.512248499883185</v>
      </c>
      <c r="E264" s="383">
        <f t="shared" si="100"/>
        <v>39.318623871999243</v>
      </c>
      <c r="F264" s="383">
        <f t="shared" si="78"/>
        <v>39.3335529933427</v>
      </c>
      <c r="G264" s="110">
        <f t="shared" si="101"/>
        <v>0.74887471129934091</v>
      </c>
      <c r="H264" s="412" t="b">
        <f>Wh_hp&gt;='2021'!Maxi_hp</f>
        <v>0</v>
      </c>
      <c r="I264" s="379">
        <f>IF(H264,Wh_hp,'2021'!Maxi_hp)</f>
        <v>49.351657913110358</v>
      </c>
      <c r="J264" s="85">
        <f>IF(H264,An,'2021'!An_max)</f>
        <v>2018</v>
      </c>
      <c r="K264" s="197">
        <f t="shared" si="79"/>
        <v>44811</v>
      </c>
      <c r="L264" s="147">
        <f>IF(t&lt;Tvie,1-EXP((T0-t)*PertePVj)+'2021'!Pspv,1-EXP((T0-t)*PertePVj)+Pspv)</f>
        <v>2.5167278921305325E-2</v>
      </c>
      <c r="M264" s="832"/>
      <c r="N264" s="832"/>
      <c r="O264" s="48">
        <f>IF(t&lt;Tnet,'2021'!Resal+('2021'!Salim-'2021'!Resal)*(1-EXP(('2021'!Tnet-t)/('2021'!Tau_j))),Resal+(Salim-Resal)*(1-EXP((Tnet-t)/(Tau_j))))*Salcycl</f>
        <v>2.0508738422310775E-2</v>
      </c>
      <c r="P264" s="169">
        <f>(INDEX(Models!$BJ264:$BT264,,T264)*(1-R264)+INDEX(Models!$BJ264:$BT264,,T264+1)*R264-ERP_i)*Q264*Ramure*Pc/MaxiM</f>
        <v>5.9168451943346031E-4</v>
      </c>
      <c r="Q264" s="304">
        <f t="shared" si="80"/>
        <v>0.6</v>
      </c>
      <c r="R264" s="177">
        <f t="shared" si="81"/>
        <v>0.48668256569795898</v>
      </c>
      <c r="S264" s="799">
        <f t="shared" si="82"/>
        <v>0</v>
      </c>
      <c r="T264" s="176">
        <f t="shared" si="83"/>
        <v>6</v>
      </c>
      <c r="U264" s="250">
        <f t="shared" si="84"/>
        <v>0.48668256569795898</v>
      </c>
      <c r="V264" s="382">
        <f t="shared" si="85"/>
        <v>50.121912666452154</v>
      </c>
      <c r="W264" s="400">
        <f t="shared" si="86"/>
        <v>0</v>
      </c>
      <c r="X264" s="157">
        <f t="shared" si="87"/>
        <v>44811</v>
      </c>
      <c r="Y264" s="383">
        <f t="shared" si="88"/>
        <v>34.963704309555091</v>
      </c>
      <c r="Z264" s="383">
        <f t="shared" si="89"/>
        <v>35.86636307290366</v>
      </c>
      <c r="AA264" s="384">
        <f t="shared" si="90"/>
        <v>39.318623871999243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8.7802177673723544E-2</v>
      </c>
      <c r="AD264" s="230">
        <f>(INDEX(Models!$BJ264:$BT264,,AH264)*(1-AF264)+INDEX(Models!$BJ264:$BT264,,AH264+1)*AF264-ERP_i)*AE264*Ramure*Pc/MaxiM</f>
        <v>5.9168451943346031E-4</v>
      </c>
      <c r="AE264" s="304">
        <f t="shared" si="92"/>
        <v>0.6</v>
      </c>
      <c r="AF264" s="177">
        <f t="shared" si="93"/>
        <v>0.48668256569795898</v>
      </c>
      <c r="AG264" s="799">
        <f t="shared" si="99"/>
        <v>0</v>
      </c>
      <c r="AH264" s="176">
        <f t="shared" si="94"/>
        <v>6</v>
      </c>
      <c r="AI264" s="224">
        <f t="shared" si="95"/>
        <v>0.48668256569795898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44812</v>
      </c>
      <c r="B265" s="1153">
        <v>36.487000000000002</v>
      </c>
      <c r="C265" s="388"/>
      <c r="D265" s="391">
        <f t="shared" si="77"/>
        <v>37.429703055163422</v>
      </c>
      <c r="E265" s="383">
        <f t="shared" si="100"/>
        <v>38.216677500622126</v>
      </c>
      <c r="F265" s="383">
        <f t="shared" si="78"/>
        <v>38.231012466686899</v>
      </c>
      <c r="G265" s="110">
        <f t="shared" si="101"/>
        <v>0.73145373370307165</v>
      </c>
      <c r="H265" s="412" t="b">
        <f>Wh_hp&gt;='2021'!Maxi_hp</f>
        <v>0</v>
      </c>
      <c r="I265" s="379">
        <f>IF(H265,Wh_hp,'2021'!Maxi_hp)</f>
        <v>48.219770599083176</v>
      </c>
      <c r="J265" s="85">
        <f>IF(H265,An,'2021'!An_max)</f>
        <v>2020</v>
      </c>
      <c r="K265" s="197">
        <f t="shared" si="79"/>
        <v>44812</v>
      </c>
      <c r="L265" s="147">
        <f>IF(t&lt;Tvie,1-EXP((T0-t)*PertePVj)+'2021'!Pspv,1-EXP((T0-t)*PertePVj)+Pspv)</f>
        <v>2.5185961368009657E-2</v>
      </c>
      <c r="M265" s="832"/>
      <c r="N265" s="832"/>
      <c r="O265" s="48">
        <f>IF(t&lt;Tnet,'2021'!Resal+('2021'!Salim-'2021'!Resal)*(1-EXP(('2021'!Tnet-t)/('2021'!Tau_j))),Resal+(Salim-Resal)*(1-EXP((Tnet-t)/(Tau_j))))*Salcycl</f>
        <v>2.0592434950575982E-2</v>
      </c>
      <c r="P265" s="169">
        <f>(INDEX(Models!$BJ265:$BT265,,T265)*(1-R265)+INDEX(Models!$BJ265:$BT265,,T265+1)*R265-ERP_i)*Q265*Ramure*Pc/MaxiM</f>
        <v>6.0809712921451467E-4</v>
      </c>
      <c r="Q265" s="304">
        <f t="shared" si="80"/>
        <v>0.6</v>
      </c>
      <c r="R265" s="177">
        <f t="shared" si="81"/>
        <v>0.48717743894480481</v>
      </c>
      <c r="S265" s="799">
        <f t="shared" si="82"/>
        <v>0</v>
      </c>
      <c r="T265" s="176">
        <f t="shared" si="83"/>
        <v>6</v>
      </c>
      <c r="U265" s="250">
        <f t="shared" si="84"/>
        <v>0.48717743894480481</v>
      </c>
      <c r="V265" s="382">
        <f t="shared" si="85"/>
        <v>49.871220182098611</v>
      </c>
      <c r="W265" s="400">
        <f t="shared" si="86"/>
        <v>0</v>
      </c>
      <c r="X265" s="157">
        <f t="shared" si="87"/>
        <v>44812</v>
      </c>
      <c r="Y265" s="383">
        <f t="shared" si="88"/>
        <v>33.983828891049903</v>
      </c>
      <c r="Z265" s="383">
        <f t="shared" si="89"/>
        <v>34.861858307602198</v>
      </c>
      <c r="AA265" s="384">
        <f t="shared" si="90"/>
        <v>38.216677500622126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8.7784166819978318E-2</v>
      </c>
      <c r="AD265" s="230">
        <f>(INDEX(Models!$BJ265:$BT265,,AH265)*(1-AF265)+INDEX(Models!$BJ265:$BT265,,AH265+1)*AF265-ERP_i)*AE265*Ramure*Pc/MaxiM</f>
        <v>6.0809712921451467E-4</v>
      </c>
      <c r="AE265" s="304">
        <f t="shared" si="92"/>
        <v>0.6</v>
      </c>
      <c r="AF265" s="177">
        <f t="shared" si="93"/>
        <v>0.48717743894480481</v>
      </c>
      <c r="AG265" s="799">
        <f t="shared" si="99"/>
        <v>0</v>
      </c>
      <c r="AH265" s="176">
        <f t="shared" si="94"/>
        <v>6</v>
      </c>
      <c r="AI265" s="224">
        <f t="shared" si="95"/>
        <v>0.48717743894480481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44813</v>
      </c>
      <c r="B266" s="1153">
        <v>24.437000000000001</v>
      </c>
      <c r="C266" s="388"/>
      <c r="D266" s="391">
        <f t="shared" si="77"/>
        <v>25.068851462992939</v>
      </c>
      <c r="E266" s="383">
        <f t="shared" si="100"/>
        <v>25.598114417677827</v>
      </c>
      <c r="F266" s="383">
        <f t="shared" si="78"/>
        <v>25.602515438962971</v>
      </c>
      <c r="G266" s="110">
        <f t="shared" si="101"/>
        <v>0.49228790319639493</v>
      </c>
      <c r="H266" s="412" t="b">
        <f>Wh_hp&gt;='2021'!Maxi_hp</f>
        <v>0</v>
      </c>
      <c r="I266" s="379">
        <f>IF(H266,Wh_hp,'2021'!Maxi_hp)</f>
        <v>50.375328728188094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2.5204643456669285E-2</v>
      </c>
      <c r="M266" s="832"/>
      <c r="N266" s="832"/>
      <c r="O266" s="48">
        <f>IF(t&lt;Tnet,'2021'!Resal+('2021'!Salim-'2021'!Resal)*(1-EXP(('2021'!Tnet-t)/('2021'!Tau_j))),Resal+(Salim-Resal)*(1-EXP((Tnet-t)/(Tau_j))))*Salcycl</f>
        <v>2.0675857059197451E-2</v>
      </c>
      <c r="P266" s="169">
        <f>(INDEX(Models!$BJ266:$BT266,,T266)*(1-R266)+INDEX(Models!$BJ266:$BT266,,T266+1)*R266-ERP_i)*Q266*Ramure*Pc/MaxiM</f>
        <v>6.2504753303469136E-4</v>
      </c>
      <c r="Q266" s="304">
        <f t="shared" si="80"/>
        <v>0.6</v>
      </c>
      <c r="R266" s="177">
        <f t="shared" si="81"/>
        <v>0.48765333144416001</v>
      </c>
      <c r="S266" s="799">
        <f t="shared" si="82"/>
        <v>0</v>
      </c>
      <c r="T266" s="176">
        <f t="shared" si="83"/>
        <v>6</v>
      </c>
      <c r="U266" s="250">
        <f t="shared" si="84"/>
        <v>0.48765333144416001</v>
      </c>
      <c r="V266" s="382">
        <f t="shared" si="85"/>
        <v>49.617153544679681</v>
      </c>
      <c r="W266" s="400">
        <f t="shared" si="86"/>
        <v>0</v>
      </c>
      <c r="X266" s="157">
        <f t="shared" si="87"/>
        <v>44813</v>
      </c>
      <c r="Y266" s="383">
        <f t="shared" si="88"/>
        <v>22.762914596316595</v>
      </c>
      <c r="Z266" s="383">
        <f t="shared" si="89"/>
        <v>23.351480332277063</v>
      </c>
      <c r="AA266" s="384">
        <f t="shared" si="90"/>
        <v>25.598114417677827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8.7765608385954361E-2</v>
      </c>
      <c r="AD266" s="230">
        <f>(INDEX(Models!$BJ266:$BT266,,AH266)*(1-AF266)+INDEX(Models!$BJ266:$BT266,,AH266+1)*AF266-ERP_i)*AE266*Ramure*Pc/MaxiM</f>
        <v>6.2504753303469136E-4</v>
      </c>
      <c r="AE266" s="304">
        <f t="shared" si="92"/>
        <v>0.6</v>
      </c>
      <c r="AF266" s="177">
        <f t="shared" si="93"/>
        <v>0.48765333144416001</v>
      </c>
      <c r="AG266" s="799">
        <f t="shared" si="99"/>
        <v>0</v>
      </c>
      <c r="AH266" s="176">
        <f t="shared" si="94"/>
        <v>6</v>
      </c>
      <c r="AI266" s="224">
        <f t="shared" si="95"/>
        <v>0.48765333144416001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44814</v>
      </c>
      <c r="B267" s="1153">
        <v>48.338000000000001</v>
      </c>
      <c r="C267" s="388"/>
      <c r="D267" s="391">
        <f t="shared" si="77"/>
        <v>49.588794283867664</v>
      </c>
      <c r="E267" s="383">
        <f t="shared" si="100"/>
        <v>50.640030585149653</v>
      </c>
      <c r="F267" s="383">
        <f t="shared" si="78"/>
        <v>50.671626429813287</v>
      </c>
      <c r="G267" s="110">
        <f t="shared" si="101"/>
        <v>0.9792820264974843</v>
      </c>
      <c r="H267" s="412" t="b">
        <f>Wh_hp&gt;='2021'!Maxi_hp</f>
        <v>1</v>
      </c>
      <c r="I267" s="379">
        <f>IF(H267,Wh_hp,'2021'!Maxi_hp)</f>
        <v>50.671626429813287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2.5223325187290868E-2</v>
      </c>
      <c r="M267" s="832"/>
      <c r="N267" s="832"/>
      <c r="O267" s="48">
        <f>IF(t&lt;Tnet,'2021'!Resal+('2021'!Salim-'2021'!Resal)*(1-EXP(('2021'!Tnet-t)/('2021'!Tau_j))),Resal+(Salim-Resal)*(1-EXP((Tnet-t)/(Tau_j))))*Salcycl</f>
        <v>2.0758998150966174E-2</v>
      </c>
      <c r="P267" s="169">
        <f>(INDEX(Models!$BJ267:$BT267,,T267)*(1-R267)+INDEX(Models!$BJ267:$BT267,,T267+1)*R267-ERP_i)*Q267*Ramure*Pc/MaxiM</f>
        <v>6.4254143483191272E-4</v>
      </c>
      <c r="Q267" s="304">
        <f t="shared" si="80"/>
        <v>0.6</v>
      </c>
      <c r="R267" s="177">
        <f t="shared" si="81"/>
        <v>0.48811093545182488</v>
      </c>
      <c r="S267" s="799">
        <f t="shared" si="82"/>
        <v>0</v>
      </c>
      <c r="T267" s="176">
        <f t="shared" si="83"/>
        <v>6</v>
      </c>
      <c r="U267" s="250">
        <f t="shared" si="84"/>
        <v>0.48811093545182488</v>
      </c>
      <c r="V267" s="382">
        <f t="shared" si="85"/>
        <v>49.359714243405485</v>
      </c>
      <c r="W267" s="400">
        <f t="shared" si="86"/>
        <v>0</v>
      </c>
      <c r="X267" s="157">
        <f t="shared" si="87"/>
        <v>44814</v>
      </c>
      <c r="Y267" s="383">
        <f t="shared" si="88"/>
        <v>45.031315617300173</v>
      </c>
      <c r="Z267" s="383">
        <f t="shared" si="89"/>
        <v>46.196546122682271</v>
      </c>
      <c r="AA267" s="384">
        <f t="shared" si="90"/>
        <v>50.640030585149653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8.7746480622593589E-2</v>
      </c>
      <c r="AD267" s="230">
        <f>(INDEX(Models!$BJ267:$BT267,,AH267)*(1-AF267)+INDEX(Models!$BJ267:$BT267,,AH267+1)*AF267-ERP_i)*AE267*Ramure*Pc/MaxiM</f>
        <v>6.4254143483191272E-4</v>
      </c>
      <c r="AE267" s="304">
        <f t="shared" si="92"/>
        <v>0.6</v>
      </c>
      <c r="AF267" s="177">
        <f t="shared" si="93"/>
        <v>0.48811093545182488</v>
      </c>
      <c r="AG267" s="799">
        <f t="shared" si="99"/>
        <v>0</v>
      </c>
      <c r="AH267" s="176">
        <f t="shared" si="94"/>
        <v>6</v>
      </c>
      <c r="AI267" s="224">
        <f t="shared" si="95"/>
        <v>0.48811093545182488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44815</v>
      </c>
      <c r="B268" s="1153">
        <v>47.743000000000002</v>
      </c>
      <c r="C268" s="388"/>
      <c r="D268" s="391">
        <f t="shared" si="77"/>
        <v>48.979336739271332</v>
      </c>
      <c r="E268" s="383">
        <f t="shared" si="100"/>
        <v>50.021885439442613</v>
      </c>
      <c r="F268" s="383">
        <f t="shared" si="78"/>
        <v>50.053661459050645</v>
      </c>
      <c r="G268" s="110">
        <f t="shared" si="101"/>
        <v>0.97235918464800486</v>
      </c>
      <c r="H268" s="412" t="b">
        <f>Wh_hp&gt;='2021'!Maxi_hp</f>
        <v>1</v>
      </c>
      <c r="I268" s="379">
        <f>IF(H268,Wh_hp,'2021'!Maxi_hp)</f>
        <v>50.053661459050645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2.5242006559881403E-2</v>
      </c>
      <c r="M268" s="832"/>
      <c r="N268" s="832"/>
      <c r="O268" s="48">
        <f>IF(t&lt;Tnet,'2021'!Resal+('2021'!Salim-'2021'!Resal)*(1-EXP(('2021'!Tnet-t)/('2021'!Tau_j))),Resal+(Salim-Resal)*(1-EXP((Tnet-t)/(Tau_j))))*Salcycl</f>
        <v>2.0841851341917291E-2</v>
      </c>
      <c r="P268" s="169">
        <f>(INDEX(Models!$BJ268:$BT268,,T268)*(1-R268)+INDEX(Models!$BJ268:$BT268,,T268+1)*R268-ERP_i)*Q268*Ramure*Pc/MaxiM</f>
        <v>6.6091248275709335E-4</v>
      </c>
      <c r="Q268" s="304">
        <f t="shared" si="80"/>
        <v>0.6</v>
      </c>
      <c r="R268" s="177">
        <f t="shared" si="81"/>
        <v>0.48855092074316159</v>
      </c>
      <c r="S268" s="799">
        <f t="shared" si="82"/>
        <v>0</v>
      </c>
      <c r="T268" s="176">
        <f t="shared" si="83"/>
        <v>6</v>
      </c>
      <c r="U268" s="250">
        <f t="shared" si="84"/>
        <v>0.48855092074316159</v>
      </c>
      <c r="V268" s="382">
        <f t="shared" si="85"/>
        <v>49.098887674211888</v>
      </c>
      <c r="W268" s="400">
        <f t="shared" si="86"/>
        <v>0</v>
      </c>
      <c r="X268" s="157">
        <f t="shared" si="87"/>
        <v>44815</v>
      </c>
      <c r="Y268" s="383">
        <f t="shared" si="88"/>
        <v>44.481743131029525</v>
      </c>
      <c r="Z268" s="383">
        <f t="shared" si="89"/>
        <v>45.633627454589458</v>
      </c>
      <c r="AA268" s="384">
        <f t="shared" si="90"/>
        <v>50.021885439442613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8.7726760922789623E-2</v>
      </c>
      <c r="AD268" s="230">
        <f>(INDEX(Models!$BJ268:$BT268,,AH268)*(1-AF268)+INDEX(Models!$BJ268:$BT268,,AH268+1)*AF268-ERP_i)*AE268*Ramure*Pc/MaxiM</f>
        <v>6.6091248275709335E-4</v>
      </c>
      <c r="AE268" s="304">
        <f t="shared" si="92"/>
        <v>0.6</v>
      </c>
      <c r="AF268" s="177">
        <f t="shared" si="93"/>
        <v>0.48855092074316159</v>
      </c>
      <c r="AG268" s="799">
        <f t="shared" si="99"/>
        <v>0</v>
      </c>
      <c r="AH268" s="176">
        <f t="shared" si="94"/>
        <v>6</v>
      </c>
      <c r="AI268" s="224">
        <f t="shared" si="95"/>
        <v>0.48855092074316159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44816</v>
      </c>
      <c r="B269" s="1153">
        <v>34.654000000000003</v>
      </c>
      <c r="C269" s="388"/>
      <c r="D269" s="391">
        <f t="shared" si="77"/>
        <v>35.552069725972778</v>
      </c>
      <c r="E269" s="383">
        <f t="shared" si="100"/>
        <v>36.311874250960749</v>
      </c>
      <c r="F269" s="383">
        <f t="shared" si="78"/>
        <v>36.326330721111219</v>
      </c>
      <c r="G269" s="110">
        <f t="shared" si="101"/>
        <v>0.70941838207200769</v>
      </c>
      <c r="H269" s="412" t="b">
        <f>Wh_hp&gt;='2021'!Maxi_hp</f>
        <v>0</v>
      </c>
      <c r="I269" s="379">
        <f>IF(H269,Wh_hp,'2021'!Maxi_hp)</f>
        <v>50.716513586551613</v>
      </c>
      <c r="J269" s="85">
        <f>IF(H269,An,'2021'!An_max)</f>
        <v>2018</v>
      </c>
      <c r="K269" s="197">
        <f t="shared" si="79"/>
        <v>44816</v>
      </c>
      <c r="L269" s="147">
        <f>IF(t&lt;Tvie,1-EXP((T0-t)*PertePVj)+'2021'!Pspv,1-EXP((T0-t)*PertePVj)+Pspv)</f>
        <v>2.5260687574447549E-2</v>
      </c>
      <c r="M269" s="832"/>
      <c r="N269" s="832"/>
      <c r="O269" s="48">
        <f>IF(t&lt;Tnet,'2021'!Resal+('2021'!Salim-'2021'!Resal)*(1-EXP(('2021'!Tnet-t)/('2021'!Tau_j))),Resal+(Salim-Resal)*(1-EXP((Tnet-t)/(Tau_j))))*Salcycl</f>
        <v>2.0924409457269182E-2</v>
      </c>
      <c r="P269" s="169">
        <f>(INDEX(Models!$BJ269:$BT269,,T269)*(1-R269)+INDEX(Models!$BJ269:$BT269,,T269+1)*R269-ERP_i)*Q269*Ramure*Pc/MaxiM</f>
        <v>6.800784940651811E-4</v>
      </c>
      <c r="Q269" s="304">
        <f t="shared" si="80"/>
        <v>0.6</v>
      </c>
      <c r="R269" s="177">
        <f t="shared" si="81"/>
        <v>0.48897393512474857</v>
      </c>
      <c r="S269" s="799">
        <f t="shared" si="82"/>
        <v>0</v>
      </c>
      <c r="T269" s="176">
        <f t="shared" si="83"/>
        <v>6</v>
      </c>
      <c r="U269" s="250">
        <f t="shared" si="84"/>
        <v>0.48897393512474857</v>
      </c>
      <c r="V269" s="382">
        <f t="shared" si="85"/>
        <v>48.83467991607111</v>
      </c>
      <c r="W269" s="400">
        <f t="shared" si="86"/>
        <v>0</v>
      </c>
      <c r="X269" s="157">
        <f t="shared" si="87"/>
        <v>44816</v>
      </c>
      <c r="Y269" s="383">
        <f t="shared" si="88"/>
        <v>32.290276486280078</v>
      </c>
      <c r="Z269" s="383">
        <f t="shared" si="89"/>
        <v>33.127089545540727</v>
      </c>
      <c r="AA269" s="384">
        <f t="shared" si="90"/>
        <v>36.311874250960749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8.7706425821183112E-2</v>
      </c>
      <c r="AD269" s="230">
        <f>(INDEX(Models!$BJ269:$BT269,,AH269)*(1-AF269)+INDEX(Models!$BJ269:$BT269,,AH269+1)*AF269-ERP_i)*AE269*Ramure*Pc/MaxiM</f>
        <v>6.800784940651811E-4</v>
      </c>
      <c r="AE269" s="304">
        <f t="shared" si="92"/>
        <v>0.6</v>
      </c>
      <c r="AF269" s="177">
        <f t="shared" si="93"/>
        <v>0.48897393512474857</v>
      </c>
      <c r="AG269" s="799">
        <f t="shared" si="99"/>
        <v>0</v>
      </c>
      <c r="AH269" s="176">
        <f t="shared" si="94"/>
        <v>6</v>
      </c>
      <c r="AI269" s="224">
        <f t="shared" si="95"/>
        <v>0.48897393512474857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44817</v>
      </c>
      <c r="B270" s="1153">
        <v>14.71</v>
      </c>
      <c r="C270" s="388"/>
      <c r="D270" s="391">
        <f t="shared" si="77"/>
        <v>15.091503678652083</v>
      </c>
      <c r="E270" s="383">
        <f t="shared" si="100"/>
        <v>15.415328316933289</v>
      </c>
      <c r="F270" s="383">
        <f t="shared" si="78"/>
        <v>15.415372715914881</v>
      </c>
      <c r="G270" s="110">
        <f t="shared" si="101"/>
        <v>0.30266882066894812</v>
      </c>
      <c r="H270" s="412" t="b">
        <f>Wh_hp&gt;='2021'!Maxi_hp</f>
        <v>0</v>
      </c>
      <c r="I270" s="379">
        <f>IF(H270,Wh_hp,'2021'!Maxi_hp)</f>
        <v>48.946025733501244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2.5279368230996413E-2</v>
      </c>
      <c r="M270" s="832"/>
      <c r="N270" s="832"/>
      <c r="O270" s="48">
        <f>IF(t&lt;Tnet,'2021'!Resal+('2021'!Salim-'2021'!Resal)*(1-EXP(('2021'!Tnet-t)/('2021'!Tau_j))),Resal+(Salim-Resal)*(1-EXP((Tnet-t)/(Tau_j))))*Salcycl</f>
        <v>2.1006665029994442E-2</v>
      </c>
      <c r="P270" s="169">
        <f>(INDEX(Models!$BJ270:$BT270,,T270)*(1-R270)+INDEX(Models!$BJ270:$BT270,,T270+1)*R270-ERP_i)*Q270*Ramure*Pc/MaxiM</f>
        <v>7.0004771523360973E-4</v>
      </c>
      <c r="Q270" s="304">
        <f t="shared" si="80"/>
        <v>0.6</v>
      </c>
      <c r="R270" s="177">
        <f t="shared" si="81"/>
        <v>0.48938060495295865</v>
      </c>
      <c r="S270" s="799">
        <f t="shared" si="82"/>
        <v>0</v>
      </c>
      <c r="T270" s="176">
        <f t="shared" si="83"/>
        <v>6</v>
      </c>
      <c r="U270" s="250">
        <f t="shared" si="84"/>
        <v>0.48938060495295865</v>
      </c>
      <c r="V270" s="382">
        <f t="shared" si="85"/>
        <v>48.567092584783104</v>
      </c>
      <c r="W270" s="400">
        <f t="shared" si="86"/>
        <v>0</v>
      </c>
      <c r="X270" s="157">
        <f t="shared" si="87"/>
        <v>44817</v>
      </c>
      <c r="Y270" s="383">
        <f t="shared" si="88"/>
        <v>13.7081086625879</v>
      </c>
      <c r="Z270" s="383">
        <f t="shared" si="89"/>
        <v>14.063628301074628</v>
      </c>
      <c r="AA270" s="384">
        <f t="shared" si="90"/>
        <v>15.415328316933289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8.768545100488441E-2</v>
      </c>
      <c r="AD270" s="230">
        <f>(INDEX(Models!$BJ270:$BT270,,AH270)*(1-AF270)+INDEX(Models!$BJ270:$BT270,,AH270+1)*AF270-ERP_i)*AE270*Ramure*Pc/MaxiM</f>
        <v>7.0004771523360973E-4</v>
      </c>
      <c r="AE270" s="304">
        <f t="shared" si="92"/>
        <v>0.6</v>
      </c>
      <c r="AF270" s="177">
        <f t="shared" si="93"/>
        <v>0.48938060495295865</v>
      </c>
      <c r="AG270" s="799">
        <f t="shared" si="99"/>
        <v>0</v>
      </c>
      <c r="AH270" s="176">
        <f t="shared" si="94"/>
        <v>6</v>
      </c>
      <c r="AI270" s="224">
        <f t="shared" si="95"/>
        <v>0.48938060495295865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44818</v>
      </c>
      <c r="B271" s="1153">
        <v>36.887</v>
      </c>
      <c r="C271" s="388"/>
      <c r="D271" s="391">
        <f t="shared" ref="D271:D334" si="102">Wh/(1-Ppv)</f>
        <v>37.844389194410809</v>
      </c>
      <c r="E271" s="383">
        <f t="shared" si="100"/>
        <v>38.65966786442182</v>
      </c>
      <c r="F271" s="383">
        <f t="shared" ref="F271:F334" si="103">Wh_sa/(1-Pvg*MEDIAN((-Sdif+Wh/Env_an)/Csdif,0,1))</f>
        <v>38.67813924878017</v>
      </c>
      <c r="G271" s="110">
        <f t="shared" si="101"/>
        <v>0.76358135854478304</v>
      </c>
      <c r="H271" s="412" t="b">
        <f>Wh_hp&gt;='2021'!Maxi_hp</f>
        <v>0</v>
      </c>
      <c r="I271" s="379">
        <f>IF(H271,Wh_hp,'2021'!Maxi_hp)</f>
        <v>48.424336454195235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2.5298048529534767E-2</v>
      </c>
      <c r="M271" s="832"/>
      <c r="N271" s="832"/>
      <c r="O271" s="48">
        <f>IF(t&lt;Tnet,'2021'!Resal+('2021'!Salim-'2021'!Resal)*(1-EXP(('2021'!Tnet-t)/('2021'!Tau_j))),Resal+(Salim-Resal)*(1-EXP((Tnet-t)/(Tau_j))))*Salcycl</f>
        <v>2.1088610302348366E-2</v>
      </c>
      <c r="P271" s="169">
        <f>(INDEX(Models!$BJ271:$BT271,,T271)*(1-R271)+INDEX(Models!$BJ271:$BT271,,T271+1)*R271-ERP_i)*Q271*Ramure*Pc/MaxiM</f>
        <v>7.2082832326379319E-4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0.48977153565739423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0.48977153565739423</v>
      </c>
      <c r="V271" s="382">
        <f t="shared" ref="V271:V334" si="110">MaxiM*(1-Ppv)*(1-Pvg)*(1-Psa)</f>
        <v>48.296127324002796</v>
      </c>
      <c r="W271" s="400">
        <f t="shared" ref="W271:W334" si="111">Wh*(A271&gt;Tmaj)</f>
        <v>0</v>
      </c>
      <c r="X271" s="157">
        <f t="shared" ref="X271:X334" si="112">t</f>
        <v>44818</v>
      </c>
      <c r="Y271" s="383">
        <f t="shared" ref="Y271:Y334" si="113">Wh_pvt_s*(1-Ppv)</f>
        <v>34.378336328926842</v>
      </c>
      <c r="Z271" s="383">
        <f t="shared" ref="Z271:Z334" si="114">Wh_sa_s*(1-Psa_s)</f>
        <v>35.270614034436505</v>
      </c>
      <c r="AA271" s="384">
        <f t="shared" ref="AA271:AA334" si="115">Wh_hp*(1-Pvg_s*MEDIAN((-Sdif+Wh/Env_an)/Csdif,0,1))</f>
        <v>38.65966786442182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8.7663811336160816E-2</v>
      </c>
      <c r="AD271" s="230">
        <f>(INDEX(Models!$BJ271:$BT271,,AH271)*(1-AF271)+INDEX(Models!$BJ271:$BT271,,AH271+1)*AF271-ERP_i)*AE271*Ramure*Pc/MaxiM</f>
        <v>7.2082832326379319E-4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0.48977153565739423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0.48977153565739423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44819</v>
      </c>
      <c r="B272" s="1153">
        <v>42.246000000000002</v>
      </c>
      <c r="C272" s="388"/>
      <c r="D272" s="391">
        <f t="shared" si="102"/>
        <v>43.343310831310099</v>
      </c>
      <c r="E272" s="383">
        <f t="shared" si="100"/>
        <v>44.28074470138877</v>
      </c>
      <c r="F272" s="383">
        <f t="shared" si="103"/>
        <v>44.307988090684162</v>
      </c>
      <c r="G272" s="110">
        <f t="shared" si="101"/>
        <v>0.8796134273689763</v>
      </c>
      <c r="H272" s="412" t="b">
        <f>Wh_hp&gt;='2021'!Maxi_hp</f>
        <v>0</v>
      </c>
      <c r="I272" s="379">
        <f>IF(H272,Wh_hp,'2021'!Maxi_hp)</f>
        <v>49.537413864977964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2.5316728470069494E-2</v>
      </c>
      <c r="M272" s="832"/>
      <c r="N272" s="832"/>
      <c r="O272" s="48">
        <f>IF(t&lt;Tnet,'2021'!Resal+('2021'!Salim-'2021'!Resal)*(1-EXP(('2021'!Tnet-t)/('2021'!Tau_j))),Resal+(Salim-Resal)*(1-EXP((Tnet-t)/(Tau_j))))*Salcycl</f>
        <v>2.1170237230659531E-2</v>
      </c>
      <c r="P272" s="169">
        <f>(INDEX(Models!$BJ272:$BT272,,T272)*(1-R272)+INDEX(Models!$BJ272:$BT272,,T272+1)*R272-ERP_i)*Q272*Ramure*Pc/MaxiM</f>
        <v>7.4242840396851798E-4</v>
      </c>
      <c r="Q272" s="304">
        <f t="shared" si="105"/>
        <v>0.6</v>
      </c>
      <c r="R272" s="177">
        <f t="shared" si="106"/>
        <v>0.4901473122672923</v>
      </c>
      <c r="S272" s="799">
        <f t="shared" si="107"/>
        <v>0</v>
      </c>
      <c r="T272" s="176">
        <f t="shared" si="108"/>
        <v>6</v>
      </c>
      <c r="U272" s="250">
        <f t="shared" si="109"/>
        <v>0.4901473122672923</v>
      </c>
      <c r="V272" s="382">
        <f t="shared" si="110"/>
        <v>48.021785805764068</v>
      </c>
      <c r="W272" s="400">
        <f t="shared" si="111"/>
        <v>0</v>
      </c>
      <c r="X272" s="157">
        <f t="shared" si="112"/>
        <v>44819</v>
      </c>
      <c r="Y272" s="383">
        <f t="shared" si="113"/>
        <v>39.37712099125045</v>
      </c>
      <c r="Z272" s="383">
        <f t="shared" si="114"/>
        <v>40.39991466093533</v>
      </c>
      <c r="AA272" s="384">
        <f t="shared" si="115"/>
        <v>44.28074470138877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8.7641480888006093E-2</v>
      </c>
      <c r="AD272" s="230">
        <f>(INDEX(Models!$BJ272:$BT272,,AH272)*(1-AF272)+INDEX(Models!$BJ272:$BT272,,AH272+1)*AF272-ERP_i)*AE272*Ramure*Pc/MaxiM</f>
        <v>7.4242840396851798E-4</v>
      </c>
      <c r="AE272" s="304">
        <f t="shared" si="117"/>
        <v>0.6</v>
      </c>
      <c r="AF272" s="177">
        <f t="shared" si="118"/>
        <v>0.4901473122672923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0.4901473122672923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44820</v>
      </c>
      <c r="B273" s="1153">
        <v>33.753999999999998</v>
      </c>
      <c r="C273" s="388"/>
      <c r="D273" s="391">
        <f t="shared" si="102"/>
        <v>34.631400667340408</v>
      </c>
      <c r="E273" s="383">
        <f t="shared" si="100"/>
        <v>35.38335128379947</v>
      </c>
      <c r="F273" s="383">
        <f t="shared" si="103"/>
        <v>35.399092725589448</v>
      </c>
      <c r="G273" s="110">
        <f t="shared" si="101"/>
        <v>0.7067514003359423</v>
      </c>
      <c r="H273" s="412" t="b">
        <f>Wh_hp&gt;='2021'!Maxi_hp</f>
        <v>0</v>
      </c>
      <c r="I273" s="379">
        <f>IF(H273,Wh_hp,'2021'!Maxi_hp)</f>
        <v>43.865326468567289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2.5335408052607367E-2</v>
      </c>
      <c r="M273" s="832"/>
      <c r="N273" s="832"/>
      <c r="O273" s="48">
        <f>IF(t&lt;Tnet,'2021'!Resal+('2021'!Salim-'2021'!Resal)*(1-EXP(('2021'!Tnet-t)/('2021'!Tau_j))),Resal+(Salim-Resal)*(1-EXP((Tnet-t)/(Tau_j))))*Salcycl</f>
        <v>2.1251537493661484E-2</v>
      </c>
      <c r="P273" s="169">
        <f>(INDEX(Models!$BJ273:$BT273,,T273)*(1-R273)+INDEX(Models!$BJ273:$BT273,,T273+1)*R273-ERP_i)*Q273*Ramure*Pc/MaxiM</f>
        <v>7.6485592999541883E-4</v>
      </c>
      <c r="Q273" s="304">
        <f t="shared" si="105"/>
        <v>0.6</v>
      </c>
      <c r="R273" s="177">
        <f t="shared" si="106"/>
        <v>0.49050849993918794</v>
      </c>
      <c r="S273" s="799">
        <f t="shared" si="107"/>
        <v>0</v>
      </c>
      <c r="T273" s="176">
        <f t="shared" si="108"/>
        <v>6</v>
      </c>
      <c r="U273" s="250">
        <f t="shared" si="109"/>
        <v>0.49050849993918794</v>
      </c>
      <c r="V273" s="382">
        <f t="shared" si="110"/>
        <v>47.744069729376392</v>
      </c>
      <c r="W273" s="400">
        <f t="shared" si="111"/>
        <v>0</v>
      </c>
      <c r="X273" s="157">
        <f t="shared" si="112"/>
        <v>44820</v>
      </c>
      <c r="Y273" s="383">
        <f t="shared" si="113"/>
        <v>31.465211535432768</v>
      </c>
      <c r="Z273" s="383">
        <f t="shared" si="114"/>
        <v>32.283117490258739</v>
      </c>
      <c r="AA273" s="384">
        <f t="shared" si="115"/>
        <v>35.38335128379947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8.7618432993377654E-2</v>
      </c>
      <c r="AD273" s="230">
        <f>(INDEX(Models!$BJ273:$BT273,,AH273)*(1-AF273)+INDEX(Models!$BJ273:$BT273,,AH273+1)*AF273-ERP_i)*AE273*Ramure*Pc/MaxiM</f>
        <v>7.6485592999541883E-4</v>
      </c>
      <c r="AE273" s="304">
        <f t="shared" si="117"/>
        <v>0.6</v>
      </c>
      <c r="AF273" s="177">
        <f t="shared" si="118"/>
        <v>0.49050849993918794</v>
      </c>
      <c r="AG273" s="799">
        <f t="shared" si="124"/>
        <v>0</v>
      </c>
      <c r="AH273" s="176">
        <f t="shared" si="119"/>
        <v>6</v>
      </c>
      <c r="AI273" s="224">
        <f t="shared" si="120"/>
        <v>0.49050849993918794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44821</v>
      </c>
      <c r="B274" s="1199">
        <f>49.65*0.95</f>
        <v>47.167499999999997</v>
      </c>
      <c r="C274" s="388"/>
      <c r="D274" s="391">
        <f t="shared" si="102"/>
        <v>48.39449833450724</v>
      </c>
      <c r="E274" s="383">
        <f t="shared" si="100"/>
        <v>49.449377299602681</v>
      </c>
      <c r="F274" s="383">
        <f t="shared" si="103"/>
        <v>49.488032874572205</v>
      </c>
      <c r="G274" s="110">
        <f t="shared" si="101"/>
        <v>0.99376752818510727</v>
      </c>
      <c r="H274" s="412" t="b">
        <f>Wh_hp&gt;='2021'!Maxi_hp</f>
        <v>1</v>
      </c>
      <c r="I274" s="379">
        <f>IF(H274,Wh_hp,'2021'!Maxi_hp)</f>
        <v>49.488032874572205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2.5354087277155268E-2</v>
      </c>
      <c r="M274" s="832"/>
      <c r="N274" s="832"/>
      <c r="O274" s="48">
        <f>IF(t&lt;Tnet,'2021'!Resal+('2021'!Salim-'2021'!Resal)*(1-EXP(('2021'!Tnet-t)/('2021'!Tau_j))),Resal+(Salim-Resal)*(1-EXP((Tnet-t)/(Tau_j))))*Salcycl</f>
        <v>2.1332502504615249E-2</v>
      </c>
      <c r="P274" s="169">
        <f>(INDEX(Models!$BJ274:$BT274,,T274)*(1-R274)+INDEX(Models!$BJ274:$BT274,,T274+1)*R274-ERP_i)*Q274*Ramure*Pc/MaxiM</f>
        <v>7.8811873879940238E-4</v>
      </c>
      <c r="Q274" s="304">
        <f t="shared" si="105"/>
        <v>0.6</v>
      </c>
      <c r="R274" s="177">
        <f t="shared" si="106"/>
        <v>0.49085564448428626</v>
      </c>
      <c r="S274" s="799">
        <f t="shared" si="107"/>
        <v>0</v>
      </c>
      <c r="T274" s="176">
        <f t="shared" si="108"/>
        <v>6</v>
      </c>
      <c r="U274" s="250">
        <f t="shared" si="109"/>
        <v>0.49085564448428626</v>
      </c>
      <c r="V274" s="382">
        <f t="shared" si="110"/>
        <v>47.462980825779454</v>
      </c>
      <c r="W274" s="400">
        <f t="shared" si="111"/>
        <v>0</v>
      </c>
      <c r="X274" s="157">
        <f t="shared" si="112"/>
        <v>44821</v>
      </c>
      <c r="Y274" s="383">
        <f t="shared" si="113"/>
        <v>43.973954293337947</v>
      </c>
      <c r="Z274" s="383">
        <f t="shared" si="114"/>
        <v>45.117876881552782</v>
      </c>
      <c r="AA274" s="384">
        <f t="shared" si="115"/>
        <v>49.449377299602681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8.7594640308740493E-2</v>
      </c>
      <c r="AD274" s="230">
        <f>(INDEX(Models!$BJ274:$BT274,,AH274)*(1-AF274)+INDEX(Models!$BJ274:$BT274,,AH274+1)*AF274-ERP_i)*AE274*Ramure*Pc/MaxiM</f>
        <v>7.8811873879940238E-4</v>
      </c>
      <c r="AE274" s="304">
        <f t="shared" si="117"/>
        <v>0.6</v>
      </c>
      <c r="AF274" s="177">
        <f t="shared" si="118"/>
        <v>0.49085564448428626</v>
      </c>
      <c r="AG274" s="799">
        <f t="shared" si="124"/>
        <v>0</v>
      </c>
      <c r="AH274" s="176">
        <f t="shared" si="119"/>
        <v>6</v>
      </c>
      <c r="AI274" s="224">
        <f t="shared" si="120"/>
        <v>0.49085564448428626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44822</v>
      </c>
      <c r="B275" s="1153">
        <v>47.160000000000004</v>
      </c>
      <c r="C275" s="388"/>
      <c r="D275" s="391">
        <f t="shared" si="102"/>
        <v>48.387730572029447</v>
      </c>
      <c r="E275" s="383">
        <f t="shared" si="100"/>
        <v>49.446535336243613</v>
      </c>
      <c r="F275" s="383">
        <f t="shared" si="103"/>
        <v>49.486707580546806</v>
      </c>
      <c r="G275" s="110">
        <f t="shared" si="101"/>
        <v>0.99961178635239689</v>
      </c>
      <c r="H275" s="412" t="b">
        <f>Wh_hp&gt;='2021'!Maxi_hp</f>
        <v>1</v>
      </c>
      <c r="I275" s="379">
        <f>IF(H275,Wh_hp,'2021'!Maxi_hp)</f>
        <v>49.486707580546806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2.5372766143720193E-2</v>
      </c>
      <c r="M275" s="832"/>
      <c r="N275" s="832"/>
      <c r="O275" s="48">
        <f>IF(t&lt;Tnet,'2021'!Resal+('2021'!Salim-'2021'!Resal)*(1-EXP(('2021'!Tnet-t)/('2021'!Tau_j))),Resal+(Salim-Resal)*(1-EXP((Tnet-t)/(Tau_j))))*Salcycl</f>
        <v>2.1413123427438202E-2</v>
      </c>
      <c r="P275" s="169">
        <f>(INDEX(Models!$BJ275:$BT275,,T275)*(1-R275)+INDEX(Models!$BJ275:$BT275,,T275+1)*R275-ERP_i)*Q275*Ramure*Pc/MaxiM</f>
        <v>8.1222841309133991E-4</v>
      </c>
      <c r="Q275" s="304">
        <f t="shared" si="105"/>
        <v>0.6</v>
      </c>
      <c r="R275" s="177">
        <f t="shared" si="106"/>
        <v>0.4911892728941441</v>
      </c>
      <c r="S275" s="799">
        <f t="shared" si="107"/>
        <v>0</v>
      </c>
      <c r="T275" s="176">
        <f t="shared" si="108"/>
        <v>6</v>
      </c>
      <c r="U275" s="250">
        <f t="shared" si="109"/>
        <v>0.4911892728941441</v>
      </c>
      <c r="V275" s="382">
        <f t="shared" si="110"/>
        <v>47.178294021567481</v>
      </c>
      <c r="W275" s="400">
        <f t="shared" si="111"/>
        <v>0</v>
      </c>
      <c r="X275" s="157">
        <f t="shared" si="112"/>
        <v>44822</v>
      </c>
      <c r="Y275" s="383">
        <f t="shared" si="113"/>
        <v>43.971768167160498</v>
      </c>
      <c r="Z275" s="383">
        <f t="shared" si="114"/>
        <v>45.116498533679028</v>
      </c>
      <c r="AA275" s="384">
        <f t="shared" si="115"/>
        <v>49.446535336243613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8.7570074892400498E-2</v>
      </c>
      <c r="AD275" s="230">
        <f>(INDEX(Models!$BJ275:$BT275,,AH275)*(1-AF275)+INDEX(Models!$BJ275:$BT275,,AH275+1)*AF275-ERP_i)*AE275*Ramure*Pc/MaxiM</f>
        <v>8.1222841309133991E-4</v>
      </c>
      <c r="AE275" s="304">
        <f t="shared" si="117"/>
        <v>0.6</v>
      </c>
      <c r="AF275" s="177">
        <f t="shared" si="118"/>
        <v>0.4911892728941441</v>
      </c>
      <c r="AG275" s="799">
        <f t="shared" si="124"/>
        <v>0</v>
      </c>
      <c r="AH275" s="176">
        <f t="shared" si="119"/>
        <v>6</v>
      </c>
      <c r="AI275" s="224">
        <f t="shared" si="120"/>
        <v>0.4911892728941441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44823</v>
      </c>
      <c r="B276" s="1153">
        <v>46.52</v>
      </c>
      <c r="C276" s="388"/>
      <c r="D276" s="391">
        <f t="shared" si="102"/>
        <v>47.731984030659376</v>
      </c>
      <c r="E276" s="383">
        <f t="shared" si="100"/>
        <v>48.780441134731255</v>
      </c>
      <c r="F276" s="383">
        <f t="shared" si="103"/>
        <v>48.820863149439049</v>
      </c>
      <c r="G276" s="110">
        <f t="shared" si="101"/>
        <v>0.99210311318662803</v>
      </c>
      <c r="H276" s="412" t="b">
        <f>Wh_hp&gt;='2021'!Maxi_hp</f>
        <v>1</v>
      </c>
      <c r="I276" s="379">
        <f>IF(H276,Wh_hp,'2021'!Maxi_hp)</f>
        <v>48.820863149439049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2.5391444652308803E-2</v>
      </c>
      <c r="M276" s="832"/>
      <c r="N276" s="832"/>
      <c r="O276" s="48">
        <f>IF(t&lt;Tnet,'2021'!Resal+('2021'!Salim-'2021'!Resal)*(1-EXP(('2021'!Tnet-t)/('2021'!Tau_j))),Resal+(Salim-Resal)*(1-EXP((Tnet-t)/(Tau_j))))*Salcycl</f>
        <v>2.1493391197017774E-2</v>
      </c>
      <c r="P276" s="169">
        <f>(INDEX(Models!$BJ276:$BT276,,T276)*(1-R276)+INDEX(Models!$BJ276:$BT276,,T276+1)*R276-ERP_i)*Q276*Ramure*Pc/MaxiM</f>
        <v>8.3740174298281426E-4</v>
      </c>
      <c r="Q276" s="304">
        <f t="shared" si="105"/>
        <v>0.6</v>
      </c>
      <c r="R276" s="177">
        <f t="shared" si="106"/>
        <v>0.49150989386340571</v>
      </c>
      <c r="S276" s="799">
        <f t="shared" si="107"/>
        <v>0</v>
      </c>
      <c r="T276" s="176">
        <f t="shared" si="108"/>
        <v>6</v>
      </c>
      <c r="U276" s="250">
        <f t="shared" si="109"/>
        <v>0.49150989386340571</v>
      </c>
      <c r="V276" s="382">
        <f t="shared" si="110"/>
        <v>46.889844479986714</v>
      </c>
      <c r="W276" s="400">
        <f t="shared" si="111"/>
        <v>0</v>
      </c>
      <c r="X276" s="157">
        <f t="shared" si="112"/>
        <v>44823</v>
      </c>
      <c r="Y276" s="383">
        <f t="shared" si="113"/>
        <v>43.379799163447686</v>
      </c>
      <c r="Z276" s="383">
        <f t="shared" si="114"/>
        <v>44.50997164494617</v>
      </c>
      <c r="AA276" s="384">
        <f t="shared" si="115"/>
        <v>48.780441134731255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8.7544708297944154E-2</v>
      </c>
      <c r="AD276" s="230">
        <f>(INDEX(Models!$BJ276:$BT276,,AH276)*(1-AF276)+INDEX(Models!$BJ276:$BT276,,AH276+1)*AF276-ERP_i)*AE276*Ramure*Pc/MaxiM</f>
        <v>8.3740174298281426E-4</v>
      </c>
      <c r="AE276" s="304">
        <f t="shared" si="117"/>
        <v>0.6</v>
      </c>
      <c r="AF276" s="177">
        <f t="shared" si="118"/>
        <v>0.49150989386340571</v>
      </c>
      <c r="AG276" s="799">
        <f t="shared" si="124"/>
        <v>0</v>
      </c>
      <c r="AH276" s="176">
        <f t="shared" si="119"/>
        <v>6</v>
      </c>
      <c r="AI276" s="224">
        <f t="shared" si="120"/>
        <v>0.49150989386340571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44824</v>
      </c>
      <c r="B277" s="1153">
        <v>48.291000000000004</v>
      </c>
      <c r="C277" s="388"/>
      <c r="D277" s="391">
        <f t="shared" si="102"/>
        <v>49.550073451291425</v>
      </c>
      <c r="E277" s="383">
        <f t="shared" si="100"/>
        <v>50.642601307040032</v>
      </c>
      <c r="F277" s="383">
        <f t="shared" si="103"/>
        <v>50.686359696372008</v>
      </c>
      <c r="G277" s="110">
        <f t="shared" si="101"/>
        <v>1.0363374963227205</v>
      </c>
      <c r="H277" s="412" t="b">
        <f>Wh_hp&gt;='2021'!Maxi_hp</f>
        <v>1</v>
      </c>
      <c r="I277" s="379">
        <f>IF(H277,Wh_hp,'2021'!Maxi_hp)</f>
        <v>50.686359696372008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2.5410122802928092E-2</v>
      </c>
      <c r="M277" s="832"/>
      <c r="N277" s="832"/>
      <c r="O277" s="48">
        <f>IF(t&lt;Tnet,'2021'!Resal+('2021'!Salim-'2021'!Resal)*(1-EXP(('2021'!Tnet-t)/('2021'!Tau_j))),Resal+(Salim-Resal)*(1-EXP((Tnet-t)/(Tau_j))))*Salcycl</f>
        <v>2.157329654384732E-2</v>
      </c>
      <c r="P277" s="169">
        <f>(INDEX(Models!$BJ277:$BT277,,T277)*(1-R277)+INDEX(Models!$BJ277:$BT277,,T277+1)*R277-ERP_i)*Q277*Ramure*Pc/MaxiM</f>
        <v>8.6331686856394314E-4</v>
      </c>
      <c r="Q277" s="304">
        <f t="shared" si="105"/>
        <v>0.6</v>
      </c>
      <c r="R277" s="177">
        <f t="shared" si="106"/>
        <v>0.49181799830846445</v>
      </c>
      <c r="S277" s="799">
        <f t="shared" si="107"/>
        <v>0</v>
      </c>
      <c r="T277" s="176">
        <f t="shared" si="108"/>
        <v>6</v>
      </c>
      <c r="U277" s="250">
        <f t="shared" si="109"/>
        <v>0.49181799830846445</v>
      </c>
      <c r="V277" s="382">
        <f t="shared" si="110"/>
        <v>46.597754275371656</v>
      </c>
      <c r="W277" s="400">
        <f t="shared" si="111"/>
        <v>0</v>
      </c>
      <c r="X277" s="157">
        <f t="shared" si="112"/>
        <v>44824</v>
      </c>
      <c r="Y277" s="383">
        <f t="shared" si="113"/>
        <v>45.036223353949481</v>
      </c>
      <c r="Z277" s="383">
        <f t="shared" si="114"/>
        <v>46.210436212896042</v>
      </c>
      <c r="AA277" s="384">
        <f t="shared" si="115"/>
        <v>50.642601307040032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8.7518511682926847E-2</v>
      </c>
      <c r="AD277" s="230">
        <f>(INDEX(Models!$BJ277:$BT277,,AH277)*(1-AF277)+INDEX(Models!$BJ277:$BT277,,AH277+1)*AF277-ERP_i)*AE277*Ramure*Pc/MaxiM</f>
        <v>8.6331686856394314E-4</v>
      </c>
      <c r="AE277" s="304">
        <f t="shared" si="117"/>
        <v>0.6</v>
      </c>
      <c r="AF277" s="177">
        <f t="shared" si="118"/>
        <v>0.49181799830846445</v>
      </c>
      <c r="AG277" s="799">
        <f t="shared" si="124"/>
        <v>0</v>
      </c>
      <c r="AH277" s="176">
        <f t="shared" si="119"/>
        <v>6</v>
      </c>
      <c r="AI277" s="224">
        <f t="shared" si="120"/>
        <v>0.49181799830846445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44825</v>
      </c>
      <c r="B278" s="1153">
        <v>47.048000000000002</v>
      </c>
      <c r="C278" s="388"/>
      <c r="D278" s="391">
        <f t="shared" si="102"/>
        <v>48.275590360922031</v>
      </c>
      <c r="E278" s="383">
        <f t="shared" si="100"/>
        <v>49.344028216548907</v>
      </c>
      <c r="F278" s="383">
        <f t="shared" si="103"/>
        <v>49.387982440515245</v>
      </c>
      <c r="G278" s="110">
        <f t="shared" si="101"/>
        <v>1.0161087633722283</v>
      </c>
      <c r="H278" s="412" t="b">
        <f>Wh_hp&gt;='2021'!Maxi_hp</f>
        <v>1</v>
      </c>
      <c r="I278" s="379">
        <f>IF(H278,Wh_hp,'2021'!Maxi_hp)</f>
        <v>49.387982440515245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2.5428800595584944E-2</v>
      </c>
      <c r="M278" s="832"/>
      <c r="N278" s="832"/>
      <c r="O278" s="48">
        <f>IF(t&lt;Tnet,'2021'!Resal+('2021'!Salim-'2021'!Resal)*(1-EXP(('2021'!Tnet-t)/('2021'!Tau_j))),Resal+(Salim-Resal)*(1-EXP((Tnet-t)/(Tau_j))))*Salcycl</f>
        <v>2.1652830023077663E-2</v>
      </c>
      <c r="P278" s="169">
        <f>(INDEX(Models!$BJ278:$BT278,,T278)*(1-R278)+INDEX(Models!$BJ278:$BT278,,T278+1)*R278-ERP_i)*Q278*Ramure*Pc/MaxiM</f>
        <v>8.8997812411719442E-4</v>
      </c>
      <c r="Q278" s="304">
        <f t="shared" si="105"/>
        <v>0.6</v>
      </c>
      <c r="R278" s="177">
        <f t="shared" si="106"/>
        <v>0.49211405988105211</v>
      </c>
      <c r="S278" s="799">
        <f t="shared" si="107"/>
        <v>0</v>
      </c>
      <c r="T278" s="176">
        <f t="shared" si="108"/>
        <v>6</v>
      </c>
      <c r="U278" s="250">
        <f t="shared" si="109"/>
        <v>0.49211405988105211</v>
      </c>
      <c r="V278" s="382">
        <f t="shared" si="110"/>
        <v>46.302129945084459</v>
      </c>
      <c r="W278" s="400">
        <f t="shared" si="111"/>
        <v>0</v>
      </c>
      <c r="X278" s="157">
        <f t="shared" si="112"/>
        <v>44825</v>
      </c>
      <c r="Y278" s="383">
        <f t="shared" si="113"/>
        <v>43.88186862367845</v>
      </c>
      <c r="Z278" s="383">
        <f t="shared" si="114"/>
        <v>45.026847346295234</v>
      </c>
      <c r="AA278" s="384">
        <f t="shared" si="115"/>
        <v>49.344028216548907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8.7491455932772522E-2</v>
      </c>
      <c r="AD278" s="230">
        <f>(INDEX(Models!$BJ278:$BT278,,AH278)*(1-AF278)+INDEX(Models!$BJ278:$BT278,,AH278+1)*AF278-ERP_i)*AE278*Ramure*Pc/MaxiM</f>
        <v>8.8997812411719442E-4</v>
      </c>
      <c r="AE278" s="304">
        <f t="shared" si="117"/>
        <v>0.6</v>
      </c>
      <c r="AF278" s="177">
        <f t="shared" si="118"/>
        <v>0.49211405988105211</v>
      </c>
      <c r="AG278" s="799">
        <f t="shared" si="124"/>
        <v>0</v>
      </c>
      <c r="AH278" s="176">
        <f t="shared" si="119"/>
        <v>6</v>
      </c>
      <c r="AI278" s="224">
        <f t="shared" si="120"/>
        <v>0.49211405988105211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44826</v>
      </c>
      <c r="B279" s="1153">
        <v>45.527000000000001</v>
      </c>
      <c r="C279" s="388"/>
      <c r="D279" s="391">
        <f t="shared" si="102"/>
        <v>46.715799275736565</v>
      </c>
      <c r="E279" s="383">
        <f t="shared" si="100"/>
        <v>47.753579201676644</v>
      </c>
      <c r="F279" s="383">
        <f t="shared" si="103"/>
        <v>47.796779205155985</v>
      </c>
      <c r="G279" s="110">
        <f t="shared" si="101"/>
        <v>0.98963773615370987</v>
      </c>
      <c r="H279" s="412" t="b">
        <f>Wh_hp&gt;='2021'!Maxi_hp</f>
        <v>1</v>
      </c>
      <c r="I279" s="379">
        <f>IF(H279,Wh_hp,'2021'!Maxi_hp)</f>
        <v>47.796779205155985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2.544747803028613E-2</v>
      </c>
      <c r="M279" s="832"/>
      <c r="N279" s="832"/>
      <c r="O279" s="48">
        <f>IF(t&lt;Tnet,'2021'!Resal+('2021'!Salim-'2021'!Resal)*(1-EXP(('2021'!Tnet-t)/('2021'!Tau_j))),Resal+(Salim-Resal)*(1-EXP((Tnet-t)/(Tau_j))))*Salcycl</f>
        <v>2.1731982048031406E-2</v>
      </c>
      <c r="P279" s="169">
        <f>(INDEX(Models!$BJ279:$BT279,,T279)*(1-R279)+INDEX(Models!$BJ279:$BT279,,T279+1)*R279-ERP_i)*Q279*Ramure*Pc/MaxiM</f>
        <v>9.1738938673383442E-4</v>
      </c>
      <c r="Q279" s="304">
        <f t="shared" si="105"/>
        <v>0.6</v>
      </c>
      <c r="R279" s="177">
        <f t="shared" si="106"/>
        <v>0.49239853547586226</v>
      </c>
      <c r="S279" s="799">
        <f t="shared" si="107"/>
        <v>0</v>
      </c>
      <c r="T279" s="176">
        <f t="shared" si="108"/>
        <v>6</v>
      </c>
      <c r="U279" s="250">
        <f t="shared" si="109"/>
        <v>0.49239853547586226</v>
      </c>
      <c r="V279" s="382">
        <f t="shared" si="110"/>
        <v>46.003078003324539</v>
      </c>
      <c r="W279" s="400">
        <f t="shared" si="111"/>
        <v>0</v>
      </c>
      <c r="X279" s="157">
        <f t="shared" si="112"/>
        <v>44826</v>
      </c>
      <c r="Y279" s="383">
        <f t="shared" si="113"/>
        <v>42.467961679123889</v>
      </c>
      <c r="Z279" s="383">
        <f t="shared" si="114"/>
        <v>43.576883463694593</v>
      </c>
      <c r="AA279" s="384">
        <f t="shared" si="115"/>
        <v>47.753579201676644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8.7463511799664273E-2</v>
      </c>
      <c r="AD279" s="230">
        <f>(INDEX(Models!$BJ279:$BT279,,AH279)*(1-AF279)+INDEX(Models!$BJ279:$BT279,,AH279+1)*AF279-ERP_i)*AE279*Ramure*Pc/MaxiM</f>
        <v>9.1738938673383442E-4</v>
      </c>
      <c r="AE279" s="304">
        <f t="shared" si="117"/>
        <v>0.6</v>
      </c>
      <c r="AF279" s="177">
        <f t="shared" si="118"/>
        <v>0.49239853547586226</v>
      </c>
      <c r="AG279" s="799">
        <f t="shared" si="124"/>
        <v>0</v>
      </c>
      <c r="AH279" s="176">
        <f t="shared" si="119"/>
        <v>6</v>
      </c>
      <c r="AI279" s="224">
        <f t="shared" si="120"/>
        <v>0.49239853547586226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44827</v>
      </c>
      <c r="B280" s="1153">
        <v>28.896000000000001</v>
      </c>
      <c r="C280" s="388"/>
      <c r="D280" s="391">
        <f t="shared" si="102"/>
        <v>29.651099498934087</v>
      </c>
      <c r="E280" s="383">
        <f t="shared" si="100"/>
        <v>30.312231794176217</v>
      </c>
      <c r="F280" s="383">
        <f t="shared" si="103"/>
        <v>30.32584366969073</v>
      </c>
      <c r="G280" s="110">
        <f t="shared" si="101"/>
        <v>0.63197364131972755</v>
      </c>
      <c r="H280" s="412" t="b">
        <f>Wh_hp&gt;='2021'!Maxi_hp</f>
        <v>0</v>
      </c>
      <c r="I280" s="379">
        <f>IF(H280,Wh_hp,'2021'!Maxi_hp)</f>
        <v>41.863369362780062</v>
      </c>
      <c r="J280" s="85">
        <f>IF(H280,An,'2021'!An_max)</f>
        <v>2018</v>
      </c>
      <c r="K280" s="197">
        <f t="shared" si="104"/>
        <v>44827</v>
      </c>
      <c r="L280" s="147">
        <f>IF(t&lt;Tvie,1-EXP((T0-t)*PertePVj)+'2021'!Pspv,1-EXP((T0-t)*PertePVj)+Pspv)</f>
        <v>2.5466155107038535E-2</v>
      </c>
      <c r="M280" s="832"/>
      <c r="N280" s="832"/>
      <c r="O280" s="48">
        <f>IF(t&lt;Tnet,'2021'!Resal+('2021'!Salim-'2021'!Resal)*(1-EXP(('2021'!Tnet-t)/('2021'!Tau_j))),Resal+(Salim-Resal)*(1-EXP((Tnet-t)/(Tau_j))))*Salcycl</f>
        <v>2.1810742928178358E-2</v>
      </c>
      <c r="P280" s="169">
        <f>(INDEX(Models!$BJ280:$BT280,,T280)*(1-R280)+INDEX(Models!$BJ280:$BT280,,T280+1)*R280-ERP_i)*Q280*Ramure*Pc/MaxiM</f>
        <v>9.4555906890445853E-4</v>
      </c>
      <c r="Q280" s="304">
        <f t="shared" si="105"/>
        <v>0.6</v>
      </c>
      <c r="R280" s="177">
        <f t="shared" si="106"/>
        <v>0.49267186573142752</v>
      </c>
      <c r="S280" s="799">
        <f t="shared" si="107"/>
        <v>0</v>
      </c>
      <c r="T280" s="176">
        <f t="shared" si="108"/>
        <v>6</v>
      </c>
      <c r="U280" s="250">
        <f t="shared" si="109"/>
        <v>0.49267186573142752</v>
      </c>
      <c r="V280" s="382">
        <f t="shared" si="110"/>
        <v>45.700704706814079</v>
      </c>
      <c r="W280" s="400">
        <f t="shared" si="111"/>
        <v>0</v>
      </c>
      <c r="X280" s="157">
        <f t="shared" si="112"/>
        <v>44827</v>
      </c>
      <c r="Y280" s="383">
        <f t="shared" si="113"/>
        <v>26.957450372045109</v>
      </c>
      <c r="Z280" s="383">
        <f t="shared" si="114"/>
        <v>27.661892414835524</v>
      </c>
      <c r="AA280" s="384">
        <f t="shared" si="115"/>
        <v>30.312231794176217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8.7434650056017832E-2</v>
      </c>
      <c r="AD280" s="230">
        <f>(INDEX(Models!$BJ280:$BT280,,AH280)*(1-AF280)+INDEX(Models!$BJ280:$BT280,,AH280+1)*AF280-ERP_i)*AE280*Ramure*Pc/MaxiM</f>
        <v>9.4555906890445853E-4</v>
      </c>
      <c r="AE280" s="304">
        <f t="shared" si="117"/>
        <v>0.6</v>
      </c>
      <c r="AF280" s="177">
        <f t="shared" si="118"/>
        <v>0.49267186573142752</v>
      </c>
      <c r="AG280" s="799">
        <f t="shared" si="124"/>
        <v>0</v>
      </c>
      <c r="AH280" s="176">
        <f t="shared" si="119"/>
        <v>6</v>
      </c>
      <c r="AI280" s="224">
        <f t="shared" si="120"/>
        <v>0.49267186573142752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44828</v>
      </c>
      <c r="B281" s="1153">
        <v>17.504000000000001</v>
      </c>
      <c r="C281" s="388"/>
      <c r="D281" s="391">
        <f t="shared" si="102"/>
        <v>17.961752235006713</v>
      </c>
      <c r="E281" s="383">
        <f t="shared" si="100"/>
        <v>18.363717538034845</v>
      </c>
      <c r="F281" s="383">
        <f t="shared" si="103"/>
        <v>18.365905939263879</v>
      </c>
      <c r="G281" s="110">
        <f t="shared" si="101"/>
        <v>0.38526228773516419</v>
      </c>
      <c r="H281" s="412" t="b">
        <f>Wh_hp&gt;='2021'!Maxi_hp</f>
        <v>0</v>
      </c>
      <c r="I281" s="379">
        <f>IF(H281,Wh_hp,'2021'!Maxi_hp)</f>
        <v>40.4343470381435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2.548483182584893E-2</v>
      </c>
      <c r="M281" s="832"/>
      <c r="N281" s="832"/>
      <c r="O281" s="48">
        <f>IF(t&lt;Tnet,'2021'!Resal+('2021'!Salim-'2021'!Resal)*(1-EXP(('2021'!Tnet-t)/('2021'!Tau_j))),Resal+(Salim-Resal)*(1-EXP((Tnet-t)/(Tau_j))))*Salcycl</f>
        <v>2.1889102911520048E-2</v>
      </c>
      <c r="P281" s="169">
        <f>(INDEX(Models!$BJ281:$BT281,,T281)*(1-R281)+INDEX(Models!$BJ281:$BT281,,T281+1)*R281-ERP_i)*Q281*Ramure*Pc/MaxiM</f>
        <v>9.744930752433479E-4</v>
      </c>
      <c r="Q281" s="304">
        <f t="shared" si="105"/>
        <v>0.6</v>
      </c>
      <c r="R281" s="177">
        <f t="shared" si="106"/>
        <v>0.49293447552356356</v>
      </c>
      <c r="S281" s="799">
        <f t="shared" si="107"/>
        <v>0</v>
      </c>
      <c r="T281" s="176">
        <f t="shared" si="108"/>
        <v>6</v>
      </c>
      <c r="U281" s="250">
        <f t="shared" si="109"/>
        <v>0.49293447552356356</v>
      </c>
      <c r="V281" s="382">
        <f t="shared" si="110"/>
        <v>45.395116381908913</v>
      </c>
      <c r="W281" s="400">
        <f t="shared" si="111"/>
        <v>0</v>
      </c>
      <c r="X281" s="157">
        <f t="shared" si="112"/>
        <v>44828</v>
      </c>
      <c r="Y281" s="383">
        <f t="shared" si="113"/>
        <v>16.331548599549333</v>
      </c>
      <c r="Z281" s="383">
        <f t="shared" si="114"/>
        <v>16.758639714298216</v>
      </c>
      <c r="AA281" s="384">
        <f t="shared" si="115"/>
        <v>18.363717538034845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8.7404841661945523E-2</v>
      </c>
      <c r="AD281" s="230">
        <f>(INDEX(Models!$BJ281:$BT281,,AH281)*(1-AF281)+INDEX(Models!$BJ281:$BT281,,AH281+1)*AF281-ERP_i)*AE281*Ramure*Pc/MaxiM</f>
        <v>9.744930752433479E-4</v>
      </c>
      <c r="AE281" s="304">
        <f t="shared" si="117"/>
        <v>0.6</v>
      </c>
      <c r="AF281" s="177">
        <f t="shared" si="118"/>
        <v>0.49293447552356356</v>
      </c>
      <c r="AG281" s="799">
        <f t="shared" si="124"/>
        <v>0</v>
      </c>
      <c r="AH281" s="176">
        <f t="shared" si="119"/>
        <v>6</v>
      </c>
      <c r="AI281" s="224">
        <f t="shared" si="120"/>
        <v>0.49293447552356356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44829</v>
      </c>
      <c r="B282" s="1153">
        <v>36.862000000000002</v>
      </c>
      <c r="C282" s="388"/>
      <c r="D282" s="391">
        <f t="shared" si="102"/>
        <v>37.826713907825102</v>
      </c>
      <c r="E282" s="383">
        <f t="shared" si="100"/>
        <v>38.676318619043251</v>
      </c>
      <c r="F282" s="383">
        <f t="shared" si="103"/>
        <v>38.705104282673666</v>
      </c>
      <c r="G282" s="110">
        <f t="shared" si="101"/>
        <v>0.81737231775506525</v>
      </c>
      <c r="H282" s="412" t="b">
        <f>Wh_hp&gt;='2021'!Maxi_hp</f>
        <v>1</v>
      </c>
      <c r="I282" s="379">
        <f>IF(H282,Wh_hp,'2021'!Maxi_hp)</f>
        <v>38.705104282673666</v>
      </c>
      <c r="J282" s="85">
        <f>IF(H282,An,'2021'!An_max)</f>
        <v>2022</v>
      </c>
      <c r="K282" s="197">
        <f t="shared" si="104"/>
        <v>44829</v>
      </c>
      <c r="L282" s="147">
        <f>IF(t&lt;Tvie,1-EXP((T0-t)*PertePVj)+'2021'!Pspv,1-EXP((T0-t)*PertePVj)+Pspv)</f>
        <v>2.5503508186724422E-2</v>
      </c>
      <c r="M282" s="832"/>
      <c r="N282" s="832"/>
      <c r="O282" s="48">
        <f>IF(t&lt;Tnet,'2021'!Resal+('2021'!Salim-'2021'!Resal)*(1-EXP(('2021'!Tnet-t)/('2021'!Tau_j))),Resal+(Salim-Resal)*(1-EXP((Tnet-t)/(Tau_j))))*Salcycl</f>
        <v>2.1967052231280041E-2</v>
      </c>
      <c r="P282" s="169">
        <f>(INDEX(Models!$BJ282:$BT282,,T282)*(1-R282)+INDEX(Models!$BJ282:$BT282,,T282+1)*R282-ERP_i)*Q282*Ramure*Pc/MaxiM</f>
        <v>1.0058260386533856E-3</v>
      </c>
      <c r="Q282" s="304">
        <f t="shared" si="105"/>
        <v>0.6</v>
      </c>
      <c r="R282" s="177">
        <f t="shared" si="106"/>
        <v>0.49318677445078185</v>
      </c>
      <c r="S282" s="799">
        <f t="shared" si="107"/>
        <v>0</v>
      </c>
      <c r="T282" s="176">
        <f t="shared" si="108"/>
        <v>6</v>
      </c>
      <c r="U282" s="250">
        <f t="shared" si="109"/>
        <v>0.49318677445078185</v>
      </c>
      <c r="V282" s="382">
        <f t="shared" si="110"/>
        <v>45.086345798274309</v>
      </c>
      <c r="W282" s="400">
        <f t="shared" si="111"/>
        <v>0</v>
      </c>
      <c r="X282" s="157">
        <f t="shared" si="112"/>
        <v>44829</v>
      </c>
      <c r="Y282" s="383">
        <f t="shared" si="113"/>
        <v>34.396814087650071</v>
      </c>
      <c r="Z282" s="383">
        <f t="shared" si="114"/>
        <v>35.297011714887617</v>
      </c>
      <c r="AA282" s="384">
        <f t="shared" si="115"/>
        <v>38.676318619043251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8.737405794593249E-2</v>
      </c>
      <c r="AD282" s="230">
        <f>(INDEX(Models!$BJ282:$BT282,,AH282)*(1-AF282)+INDEX(Models!$BJ282:$BT282,,AH282+1)*AF282-ERP_i)*AE282*Ramure*Pc/MaxiM</f>
        <v>1.0058260386533856E-3</v>
      </c>
      <c r="AE282" s="304">
        <f t="shared" si="117"/>
        <v>0.6</v>
      </c>
      <c r="AF282" s="177">
        <f t="shared" si="118"/>
        <v>0.49318677445078185</v>
      </c>
      <c r="AG282" s="799">
        <f t="shared" si="124"/>
        <v>0</v>
      </c>
      <c r="AH282" s="176">
        <f t="shared" si="119"/>
        <v>6</v>
      </c>
      <c r="AI282" s="224">
        <f t="shared" si="120"/>
        <v>0.49318677445078185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44830</v>
      </c>
      <c r="B283" s="1153">
        <v>33.750999999999998</v>
      </c>
      <c r="C283" s="388"/>
      <c r="D283" s="391">
        <f t="shared" si="102"/>
        <v>34.634959824030787</v>
      </c>
      <c r="E283" s="383">
        <f t="shared" si="100"/>
        <v>35.415683738424065</v>
      </c>
      <c r="F283" s="383">
        <f t="shared" si="103"/>
        <v>35.439559980863756</v>
      </c>
      <c r="G283" s="110">
        <f t="shared" si="101"/>
        <v>0.75352362313279064</v>
      </c>
      <c r="H283" s="412" t="b">
        <f>Wh_hp&gt;='2021'!Maxi_hp</f>
        <v>0</v>
      </c>
      <c r="I283" s="379">
        <f>IF(H283,Wh_hp,'2021'!Maxi_hp)</f>
        <v>39.693686966189702</v>
      </c>
      <c r="J283" s="85">
        <f>IF(H283,An,'2021'!An_max)</f>
        <v>2021</v>
      </c>
      <c r="K283" s="197">
        <f t="shared" si="104"/>
        <v>44830</v>
      </c>
      <c r="L283" s="147">
        <f>IF(t&lt;Tvie,1-EXP((T0-t)*PertePVj)+'2021'!Pspv,1-EXP((T0-t)*PertePVj)+Pspv)</f>
        <v>2.552218418967156E-2</v>
      </c>
      <c r="M283" s="832"/>
      <c r="N283" s="832"/>
      <c r="O283" s="48">
        <f>IF(t&lt;Tnet,'2021'!Resal+('2021'!Salim-'2021'!Resal)*(1-EXP(('2021'!Tnet-t)/('2021'!Tau_j))),Resal+(Salim-Resal)*(1-EXP((Tnet-t)/(Tau_j))))*Salcycl</f>
        <v>2.2044581156744392E-2</v>
      </c>
      <c r="P283" s="169">
        <f>(INDEX(Models!$BJ283:$BT283,,T283)*(1-R283)+INDEX(Models!$BJ283:$BT283,,T283+1)*R283-ERP_i)*Q283*Ramure*Pc/MaxiM</f>
        <v>1.0392304094203289E-3</v>
      </c>
      <c r="Q283" s="304">
        <f t="shared" si="105"/>
        <v>0.6</v>
      </c>
      <c r="R283" s="177">
        <f t="shared" si="106"/>
        <v>0.49342915731115977</v>
      </c>
      <c r="S283" s="799">
        <f t="shared" si="107"/>
        <v>0</v>
      </c>
      <c r="T283" s="176">
        <f t="shared" si="108"/>
        <v>6</v>
      </c>
      <c r="U283" s="250">
        <f t="shared" si="109"/>
        <v>0.49342915731115977</v>
      </c>
      <c r="V283" s="382">
        <f t="shared" si="110"/>
        <v>44.774515638653419</v>
      </c>
      <c r="W283" s="400">
        <f t="shared" si="111"/>
        <v>0</v>
      </c>
      <c r="X283" s="157">
        <f t="shared" si="112"/>
        <v>44830</v>
      </c>
      <c r="Y283" s="383">
        <f t="shared" si="113"/>
        <v>31.497459316436977</v>
      </c>
      <c r="Z283" s="383">
        <f t="shared" si="114"/>
        <v>32.322397498854521</v>
      </c>
      <c r="AA283" s="384">
        <f t="shared" si="115"/>
        <v>35.415683738424065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8.734227079776799E-2</v>
      </c>
      <c r="AD283" s="230">
        <f>(INDEX(Models!$BJ283:$BT283,,AH283)*(1-AF283)+INDEX(Models!$BJ283:$BT283,,AH283+1)*AF283-ERP_i)*AE283*Ramure*Pc/MaxiM</f>
        <v>1.0392304094203289E-3</v>
      </c>
      <c r="AE283" s="304">
        <f t="shared" si="117"/>
        <v>0.6</v>
      </c>
      <c r="AF283" s="177">
        <f t="shared" si="118"/>
        <v>0.49342915731115977</v>
      </c>
      <c r="AG283" s="799">
        <f t="shared" si="124"/>
        <v>0</v>
      </c>
      <c r="AH283" s="176">
        <f t="shared" si="119"/>
        <v>6</v>
      </c>
      <c r="AI283" s="224">
        <f t="shared" si="120"/>
        <v>0.49342915731115977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44831</v>
      </c>
      <c r="B284" s="1153">
        <v>17.897000000000002</v>
      </c>
      <c r="C284" s="388"/>
      <c r="D284" s="391">
        <f t="shared" si="102"/>
        <v>18.366085618494012</v>
      </c>
      <c r="E284" s="383">
        <f t="shared" si="100"/>
        <v>18.781565399053299</v>
      </c>
      <c r="F284" s="383">
        <f t="shared" si="103"/>
        <v>18.7845227891676</v>
      </c>
      <c r="G284" s="110">
        <f t="shared" si="101"/>
        <v>0.40217472363814871</v>
      </c>
      <c r="H284" s="412" t="b">
        <f>Wh_hp&gt;='2021'!Maxi_hp</f>
        <v>0</v>
      </c>
      <c r="I284" s="379">
        <f>IF(H284,Wh_hp,'2021'!Maxi_hp)</f>
        <v>37.960845399345402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2.5540859834697449E-2</v>
      </c>
      <c r="M284" s="832"/>
      <c r="N284" s="832"/>
      <c r="O284" s="48">
        <f>IF(t&lt;Tnet,'2021'!Resal+('2021'!Salim-'2021'!Resal)*(1-EXP(('2021'!Tnet-t)/('2021'!Tau_j))),Resal+(Salim-Resal)*(1-EXP((Tnet-t)/(Tau_j))))*Salcycl</f>
        <v>2.2121680048044955E-2</v>
      </c>
      <c r="P284" s="169">
        <f>(INDEX(Models!$BJ284:$BT284,,T284)*(1-R284)+INDEX(Models!$BJ284:$BT284,,T284+1)*R284-ERP_i)*Q284*Ramure*Pc/MaxiM</f>
        <v>1.0747219347118583E-3</v>
      </c>
      <c r="Q284" s="304">
        <f t="shared" si="105"/>
        <v>0.6</v>
      </c>
      <c r="R284" s="177">
        <f t="shared" si="106"/>
        <v>0.49366200457022902</v>
      </c>
      <c r="S284" s="799">
        <f t="shared" si="107"/>
        <v>0</v>
      </c>
      <c r="T284" s="176">
        <f t="shared" si="108"/>
        <v>6</v>
      </c>
      <c r="U284" s="250">
        <f t="shared" si="109"/>
        <v>0.49366200457022902</v>
      </c>
      <c r="V284" s="382">
        <f t="shared" si="110"/>
        <v>44.459732862970966</v>
      </c>
      <c r="W284" s="400">
        <f t="shared" si="111"/>
        <v>0</v>
      </c>
      <c r="X284" s="157">
        <f t="shared" si="112"/>
        <v>44831</v>
      </c>
      <c r="Y284" s="383">
        <f t="shared" si="113"/>
        <v>16.703941982006135</v>
      </c>
      <c r="Z284" s="383">
        <f t="shared" si="114"/>
        <v>17.141757199971011</v>
      </c>
      <c r="AA284" s="384">
        <f t="shared" si="115"/>
        <v>18.781565399053299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8.7309452872599488E-2</v>
      </c>
      <c r="AD284" s="230">
        <f>(INDEX(Models!$BJ284:$BT284,,AH284)*(1-AF284)+INDEX(Models!$BJ284:$BT284,,AH284+1)*AF284-ERP_i)*AE284*Ramure*Pc/MaxiM</f>
        <v>1.0747219347118583E-3</v>
      </c>
      <c r="AE284" s="304">
        <f t="shared" si="117"/>
        <v>0.6</v>
      </c>
      <c r="AF284" s="177">
        <f t="shared" si="118"/>
        <v>0.49366200457022902</v>
      </c>
      <c r="AG284" s="799">
        <f t="shared" si="124"/>
        <v>0</v>
      </c>
      <c r="AH284" s="176">
        <f t="shared" si="119"/>
        <v>6</v>
      </c>
      <c r="AI284" s="224">
        <f t="shared" si="120"/>
        <v>0.49366200457022902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44832</v>
      </c>
      <c r="B285" s="1153">
        <v>20.285</v>
      </c>
      <c r="C285" s="388"/>
      <c r="D285" s="391">
        <f t="shared" si="102"/>
        <v>20.817074753290036</v>
      </c>
      <c r="E285" s="383">
        <f t="shared" si="100"/>
        <v>21.289670075654829</v>
      </c>
      <c r="F285" s="383">
        <f t="shared" si="103"/>
        <v>21.295068595124537</v>
      </c>
      <c r="G285" s="110">
        <f t="shared" si="101"/>
        <v>0.45914382597825804</v>
      </c>
      <c r="H285" s="412" t="b">
        <f>Wh_hp&gt;='2021'!Maxi_hp</f>
        <v>0</v>
      </c>
      <c r="I285" s="379">
        <f>IF(H285,Wh_hp,'2021'!Maxi_hp)</f>
        <v>38.326040675068562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2.5559535121808863E-2</v>
      </c>
      <c r="M285" s="832"/>
      <c r="N285" s="832"/>
      <c r="O285" s="48">
        <f>IF(t&lt;Tnet,'2021'!Resal+('2021'!Salim-'2021'!Resal)*(1-EXP(('2021'!Tnet-t)/('2021'!Tau_j))),Resal+(Salim-Resal)*(1-EXP((Tnet-t)/(Tau_j))))*Salcycl</f>
        <v>2.2198339414626012E-2</v>
      </c>
      <c r="P285" s="169">
        <f>(INDEX(Models!$BJ285:$BT285,,T285)*(1-R285)+INDEX(Models!$BJ285:$BT285,,T285+1)*R285-ERP_i)*Q285*Ramure*Pc/MaxiM</f>
        <v>1.1123153898621092E-3</v>
      </c>
      <c r="Q285" s="304">
        <f t="shared" si="105"/>
        <v>0.6</v>
      </c>
      <c r="R285" s="177">
        <f t="shared" si="106"/>
        <v>0.49388568281951567</v>
      </c>
      <c r="S285" s="799">
        <f t="shared" si="107"/>
        <v>0</v>
      </c>
      <c r="T285" s="176">
        <f t="shared" si="108"/>
        <v>6</v>
      </c>
      <c r="U285" s="250">
        <f t="shared" si="109"/>
        <v>0.49388568281951567</v>
      </c>
      <c r="V285" s="382">
        <f t="shared" si="110"/>
        <v>44.142104444750345</v>
      </c>
      <c r="W285" s="400">
        <f t="shared" si="111"/>
        <v>0</v>
      </c>
      <c r="X285" s="157">
        <f t="shared" si="112"/>
        <v>44832</v>
      </c>
      <c r="Y285" s="383">
        <f t="shared" si="113"/>
        <v>18.934939109374596</v>
      </c>
      <c r="Z285" s="383">
        <f t="shared" si="114"/>
        <v>19.431601818528275</v>
      </c>
      <c r="AA285" s="384">
        <f t="shared" si="115"/>
        <v>21.289670075654829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8.7275577804810323E-2</v>
      </c>
      <c r="AD285" s="230">
        <f>(INDEX(Models!$BJ285:$BT285,,AH285)*(1-AF285)+INDEX(Models!$BJ285:$BT285,,AH285+1)*AF285-ERP_i)*AE285*Ramure*Pc/MaxiM</f>
        <v>1.1123153898621092E-3</v>
      </c>
      <c r="AE285" s="304">
        <f t="shared" si="117"/>
        <v>0.6</v>
      </c>
      <c r="AF285" s="177">
        <f t="shared" si="118"/>
        <v>0.49388568281951567</v>
      </c>
      <c r="AG285" s="799">
        <f t="shared" si="124"/>
        <v>0</v>
      </c>
      <c r="AH285" s="176">
        <f t="shared" si="119"/>
        <v>6</v>
      </c>
      <c r="AI285" s="224">
        <f t="shared" si="120"/>
        <v>0.49388568281951567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44833</v>
      </c>
      <c r="B286" s="1153">
        <v>24.373000000000001</v>
      </c>
      <c r="C286" s="388"/>
      <c r="D286" s="391">
        <f t="shared" si="102"/>
        <v>25.012782196994969</v>
      </c>
      <c r="E286" s="383">
        <f t="shared" si="100"/>
        <v>25.582623625485802</v>
      </c>
      <c r="F286" s="383">
        <f t="shared" si="103"/>
        <v>25.593414232070792</v>
      </c>
      <c r="G286" s="110">
        <f t="shared" si="101"/>
        <v>0.55577874627949431</v>
      </c>
      <c r="H286" s="412" t="b">
        <f>Wh_hp&gt;='2021'!Maxi_hp</f>
        <v>0</v>
      </c>
      <c r="I286" s="379">
        <f>IF(H286,Wh_hp,'2021'!Maxi_hp)</f>
        <v>44.025423023353014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2.5578210051012684E-2</v>
      </c>
      <c r="M286" s="832"/>
      <c r="N286" s="832"/>
      <c r="O286" s="48">
        <f>IF(t&lt;Tnet,'2021'!Resal+('2021'!Salim-'2021'!Resal)*(1-EXP(('2021'!Tnet-t)/('2021'!Tau_j))),Resal+(Salim-Resal)*(1-EXP((Tnet-t)/(Tau_j))))*Salcycl</f>
        <v>2.2274549977084737E-2</v>
      </c>
      <c r="P286" s="169">
        <f>(INDEX(Models!$BJ286:$BT286,,T286)*(1-R286)+INDEX(Models!$BJ286:$BT286,,T286+1)*R286-ERP_i)*Q286*Ramure*Pc/MaxiM</f>
        <v>1.1520244720774338E-3</v>
      </c>
      <c r="Q286" s="304">
        <f t="shared" si="105"/>
        <v>0.6</v>
      </c>
      <c r="R286" s="177">
        <f t="shared" si="106"/>
        <v>0.4941005452254259</v>
      </c>
      <c r="S286" s="799">
        <f t="shared" si="107"/>
        <v>0</v>
      </c>
      <c r="T286" s="176">
        <f t="shared" si="108"/>
        <v>6</v>
      </c>
      <c r="U286" s="250">
        <f t="shared" si="109"/>
        <v>0.4941005452254259</v>
      </c>
      <c r="V286" s="382">
        <f t="shared" si="110"/>
        <v>43.821737375649569</v>
      </c>
      <c r="W286" s="400">
        <f t="shared" si="111"/>
        <v>0</v>
      </c>
      <c r="X286" s="157">
        <f t="shared" si="112"/>
        <v>44833</v>
      </c>
      <c r="Y286" s="383">
        <f t="shared" si="113"/>
        <v>22.753508520957201</v>
      </c>
      <c r="Z286" s="383">
        <f t="shared" si="114"/>
        <v>23.350779668164428</v>
      </c>
      <c r="AA286" s="384">
        <f t="shared" si="115"/>
        <v>25.582623625485802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8.7240620430266508E-2</v>
      </c>
      <c r="AD286" s="230">
        <f>(INDEX(Models!$BJ286:$BT286,,AH286)*(1-AF286)+INDEX(Models!$BJ286:$BT286,,AH286+1)*AF286-ERP_i)*AE286*Ramure*Pc/MaxiM</f>
        <v>1.1520244720774338E-3</v>
      </c>
      <c r="AE286" s="304">
        <f t="shared" si="117"/>
        <v>0.6</v>
      </c>
      <c r="AF286" s="177">
        <f t="shared" si="118"/>
        <v>0.4941005452254259</v>
      </c>
      <c r="AG286" s="799">
        <f t="shared" si="124"/>
        <v>0</v>
      </c>
      <c r="AH286" s="176">
        <f t="shared" si="119"/>
        <v>6</v>
      </c>
      <c r="AI286" s="224">
        <f t="shared" si="120"/>
        <v>0.4941005452254259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44834</v>
      </c>
      <c r="B287" s="1153">
        <v>28.923000000000002</v>
      </c>
      <c r="C287" s="388"/>
      <c r="D287" s="391">
        <f t="shared" si="102"/>
        <v>29.682786870800673</v>
      </c>
      <c r="E287" s="383">
        <f t="shared" si="100"/>
        <v>30.361372742965866</v>
      </c>
      <c r="F287" s="383">
        <f t="shared" si="103"/>
        <v>30.380280519677452</v>
      </c>
      <c r="G287" s="110">
        <f t="shared" si="101"/>
        <v>0.66453560136739465</v>
      </c>
      <c r="H287" s="412" t="b">
        <f>Wh_hp&gt;='2021'!Maxi_hp</f>
        <v>0</v>
      </c>
      <c r="I287" s="379">
        <f>IF(H287,Wh_hp,'2021'!Maxi_hp)</f>
        <v>36.159220038545989</v>
      </c>
      <c r="J287" s="85">
        <f>IF(H287,An,'2021'!An_max)</f>
        <v>2020</v>
      </c>
      <c r="K287" s="197">
        <f t="shared" si="104"/>
        <v>44834</v>
      </c>
      <c r="L287" s="147">
        <f>IF(t&lt;Tvie,1-EXP((T0-t)*PertePVj)+'2021'!Pspv,1-EXP((T0-t)*PertePVj)+Pspv)</f>
        <v>2.5596884622315685E-2</v>
      </c>
      <c r="M287" s="832"/>
      <c r="N287" s="832"/>
      <c r="O287" s="48">
        <f>IF(t&lt;Tnet,'2021'!Resal+('2021'!Salim-'2021'!Resal)*(1-EXP(('2021'!Tnet-t)/('2021'!Tau_j))),Resal+(Salim-Resal)*(1-EXP((Tnet-t)/(Tau_j))))*Salcycl</f>
        <v>2.2350302732026806E-2</v>
      </c>
      <c r="P287" s="169">
        <f>(INDEX(Models!$BJ287:$BT287,,T287)*(1-R287)+INDEX(Models!$BJ287:$BT287,,T287+1)*R287-ERP_i)*Q287*Ramure*Pc/MaxiM</f>
        <v>1.1938616993156497E-3</v>
      </c>
      <c r="Q287" s="304">
        <f t="shared" si="105"/>
        <v>0.6</v>
      </c>
      <c r="R287" s="177">
        <f t="shared" si="106"/>
        <v>0.49430693196823489</v>
      </c>
      <c r="S287" s="799">
        <f t="shared" si="107"/>
        <v>0</v>
      </c>
      <c r="T287" s="176">
        <f t="shared" si="108"/>
        <v>6</v>
      </c>
      <c r="U287" s="250">
        <f t="shared" si="109"/>
        <v>0.49430693196823489</v>
      </c>
      <c r="V287" s="382">
        <f t="shared" si="110"/>
        <v>43.498738658747058</v>
      </c>
      <c r="W287" s="400">
        <f t="shared" si="111"/>
        <v>0</v>
      </c>
      <c r="X287" s="157">
        <f t="shared" si="112"/>
        <v>44834</v>
      </c>
      <c r="Y287" s="383">
        <f t="shared" si="113"/>
        <v>27.004337720578398</v>
      </c>
      <c r="Z287" s="383">
        <f t="shared" si="114"/>
        <v>27.713722682538179</v>
      </c>
      <c r="AA287" s="384">
        <f t="shared" si="115"/>
        <v>30.361372742965866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8.7204557015331099E-2</v>
      </c>
      <c r="AD287" s="230">
        <f>(INDEX(Models!$BJ287:$BT287,,AH287)*(1-AF287)+INDEX(Models!$BJ287:$BT287,,AH287+1)*AF287-ERP_i)*AE287*Ramure*Pc/MaxiM</f>
        <v>1.1938616993156497E-3</v>
      </c>
      <c r="AE287" s="304">
        <f t="shared" si="117"/>
        <v>0.6</v>
      </c>
      <c r="AF287" s="177">
        <f t="shared" si="118"/>
        <v>0.49430693196823489</v>
      </c>
      <c r="AG287" s="799">
        <f t="shared" si="124"/>
        <v>0</v>
      </c>
      <c r="AH287" s="176">
        <f t="shared" si="119"/>
        <v>6</v>
      </c>
      <c r="AI287" s="224">
        <f t="shared" si="120"/>
        <v>0.49430693196823489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44835</v>
      </c>
      <c r="B288" s="1153">
        <v>37.792000000000002</v>
      </c>
      <c r="C288" s="388"/>
      <c r="D288" s="391">
        <f t="shared" si="102"/>
        <v>38.785512579452721</v>
      </c>
      <c r="E288" s="383">
        <f t="shared" si="100"/>
        <v>39.675253508888808</v>
      </c>
      <c r="F288" s="383">
        <f t="shared" si="103"/>
        <v>39.715661335957115</v>
      </c>
      <c r="G288" s="110">
        <f t="shared" si="101"/>
        <v>0.87516441614302021</v>
      </c>
      <c r="H288" s="412" t="b">
        <f>Wh_hp&gt;='2021'!Maxi_hp</f>
        <v>0</v>
      </c>
      <c r="I288" s="379">
        <f>IF(H288,Wh_hp,'2021'!Maxi_hp)</f>
        <v>44.503895100671492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2.5615558835724861E-2</v>
      </c>
      <c r="M288" s="832"/>
      <c r="N288" s="832"/>
      <c r="O288" s="48">
        <f>IF(t&lt;Tnet,'2021'!Resal+('2021'!Salim-'2021'!Resal)*(1-EXP(('2021'!Tnet-t)/('2021'!Tau_j))),Resal+(Salim-Resal)*(1-EXP((Tnet-t)/(Tau_j))))*Salcycl</f>
        <v>2.2425589019531959E-2</v>
      </c>
      <c r="P288" s="169">
        <f>(INDEX(Models!$BJ288:$BT288,,T288)*(1-R288)+INDEX(Models!$BJ288:$BT288,,T288+1)*R288-ERP_i)*Q288*Ramure*Pc/MaxiM</f>
        <v>1.2378383152458672E-3</v>
      </c>
      <c r="Q288" s="304">
        <f t="shared" si="105"/>
        <v>0.6</v>
      </c>
      <c r="R288" s="177">
        <f t="shared" si="106"/>
        <v>0.49450517067098315</v>
      </c>
      <c r="S288" s="799">
        <f t="shared" si="107"/>
        <v>0</v>
      </c>
      <c r="T288" s="176">
        <f t="shared" si="108"/>
        <v>6</v>
      </c>
      <c r="U288" s="250">
        <f t="shared" si="109"/>
        <v>0.49450517067098315</v>
      </c>
      <c r="V288" s="382">
        <f t="shared" si="110"/>
        <v>43.173215311318998</v>
      </c>
      <c r="W288" s="400">
        <f t="shared" si="111"/>
        <v>0</v>
      </c>
      <c r="X288" s="157">
        <f t="shared" si="112"/>
        <v>44835</v>
      </c>
      <c r="Y288" s="383">
        <f t="shared" si="113"/>
        <v>35.289150918718803</v>
      </c>
      <c r="Z288" s="383">
        <f t="shared" si="114"/>
        <v>36.216866185334823</v>
      </c>
      <c r="AA288" s="384">
        <f t="shared" si="115"/>
        <v>39.675253508888808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8.7167365490914139E-2</v>
      </c>
      <c r="AD288" s="230">
        <f>(INDEX(Models!$BJ288:$BT288,,AH288)*(1-AF288)+INDEX(Models!$BJ288:$BT288,,AH288+1)*AF288-ERP_i)*AE288*Ramure*Pc/MaxiM</f>
        <v>1.2378383152458672E-3</v>
      </c>
      <c r="AE288" s="304">
        <f t="shared" si="117"/>
        <v>0.6</v>
      </c>
      <c r="AF288" s="177">
        <f t="shared" si="118"/>
        <v>0.49450517067098315</v>
      </c>
      <c r="AG288" s="799">
        <f t="shared" si="124"/>
        <v>0</v>
      </c>
      <c r="AH288" s="176">
        <f t="shared" si="119"/>
        <v>6</v>
      </c>
      <c r="AI288" s="224">
        <f t="shared" si="120"/>
        <v>0.49450517067098315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44836</v>
      </c>
      <c r="B289" s="1153">
        <v>40.298000000000002</v>
      </c>
      <c r="C289" s="388"/>
      <c r="D289" s="391">
        <f t="shared" si="102"/>
        <v>41.358185346869369</v>
      </c>
      <c r="E289" s="383">
        <f t="shared" si="100"/>
        <v>42.310181377005179</v>
      </c>
      <c r="F289" s="383">
        <f t="shared" si="103"/>
        <v>42.359955312979814</v>
      </c>
      <c r="G289" s="110">
        <f t="shared" si="101"/>
        <v>0.9404800740250594</v>
      </c>
      <c r="H289" s="412" t="b">
        <f>Wh_hp&gt;='2021'!Maxi_hp</f>
        <v>1</v>
      </c>
      <c r="I289" s="379">
        <f>IF(H289,Wh_hp,'2021'!Maxi_hp)</f>
        <v>42.359955312979814</v>
      </c>
      <c r="J289" s="85">
        <f>IF(H289,An,'2021'!An_max)</f>
        <v>2022</v>
      </c>
      <c r="K289" s="197">
        <f t="shared" si="104"/>
        <v>44836</v>
      </c>
      <c r="L289" s="147">
        <f>IF(t&lt;Tvie,1-EXP((T0-t)*PertePVj)+'2021'!Pspv,1-EXP((T0-t)*PertePVj)+Pspv)</f>
        <v>2.5634232691246983E-2</v>
      </c>
      <c r="M289" s="832"/>
      <c r="N289" s="832"/>
      <c r="O289" s="48">
        <f>IF(t&lt;Tnet,'2021'!Resal+('2021'!Salim-'2021'!Resal)*(1-EXP(('2021'!Tnet-t)/('2021'!Tau_j))),Resal+(Salim-Resal)*(1-EXP((Tnet-t)/(Tau_j))))*Salcycl</f>
        <v>2.2500400592780266E-2</v>
      </c>
      <c r="P289" s="169">
        <f>(INDEX(Models!$BJ289:$BT289,,T289)*(1-R289)+INDEX(Models!$BJ289:$BT289,,T289+1)*R289-ERP_i)*Q289*Ramure*Pc/MaxiM</f>
        <v>1.2840127032079866E-3</v>
      </c>
      <c r="Q289" s="304">
        <f t="shared" si="105"/>
        <v>0.6</v>
      </c>
      <c r="R289" s="177">
        <f t="shared" si="106"/>
        <v>0.49469557681813953</v>
      </c>
      <c r="S289" s="799">
        <f t="shared" si="107"/>
        <v>0</v>
      </c>
      <c r="T289" s="176">
        <f t="shared" si="108"/>
        <v>6</v>
      </c>
      <c r="U289" s="250">
        <f t="shared" si="109"/>
        <v>0.49469557681813953</v>
      </c>
      <c r="V289" s="382">
        <f t="shared" si="110"/>
        <v>42.843653887494789</v>
      </c>
      <c r="W289" s="400">
        <f t="shared" si="111"/>
        <v>0</v>
      </c>
      <c r="X289" s="157">
        <f t="shared" si="112"/>
        <v>44836</v>
      </c>
      <c r="Y289" s="383">
        <f t="shared" si="113"/>
        <v>37.633646648105646</v>
      </c>
      <c r="Z289" s="383">
        <f t="shared" si="114"/>
        <v>38.623736496871871</v>
      </c>
      <c r="AA289" s="384">
        <f t="shared" si="115"/>
        <v>42.310181377005179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8.7129025689708456E-2</v>
      </c>
      <c r="AD289" s="230">
        <f>(INDEX(Models!$BJ289:$BT289,,AH289)*(1-AF289)+INDEX(Models!$BJ289:$BT289,,AH289+1)*AF289-ERP_i)*AE289*Ramure*Pc/MaxiM</f>
        <v>1.2840127032079866E-3</v>
      </c>
      <c r="AE289" s="304">
        <f t="shared" si="117"/>
        <v>0.6</v>
      </c>
      <c r="AF289" s="177">
        <f t="shared" si="118"/>
        <v>0.49469557681813953</v>
      </c>
      <c r="AG289" s="799">
        <f t="shared" si="124"/>
        <v>0</v>
      </c>
      <c r="AH289" s="176">
        <f t="shared" si="119"/>
        <v>6</v>
      </c>
      <c r="AI289" s="224">
        <f t="shared" si="120"/>
        <v>0.49469557681813953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44837</v>
      </c>
      <c r="B290" s="1153">
        <v>38.902000000000001</v>
      </c>
      <c r="C290" s="388"/>
      <c r="D290" s="391">
        <f t="shared" si="102"/>
        <v>39.926223670290561</v>
      </c>
      <c r="E290" s="383">
        <f t="shared" si="100"/>
        <v>40.848364456139947</v>
      </c>
      <c r="F290" s="383">
        <f t="shared" si="103"/>
        <v>40.896316490611177</v>
      </c>
      <c r="G290" s="110">
        <f t="shared" si="101"/>
        <v>0.91500323226911884</v>
      </c>
      <c r="H290" s="412" t="b">
        <f>Wh_hp&gt;='2021'!Maxi_hp</f>
        <v>1</v>
      </c>
      <c r="I290" s="379">
        <f>IF(H290,Wh_hp,'2021'!Maxi_hp)</f>
        <v>40.896316490611177</v>
      </c>
      <c r="J290" s="85">
        <f>IF(H290,An,'2021'!An_max)</f>
        <v>2022</v>
      </c>
      <c r="K290" s="197">
        <f t="shared" si="104"/>
        <v>44837</v>
      </c>
      <c r="L290" s="147">
        <f>IF(t&lt;Tvie,1-EXP((T0-t)*PertePVj)+'2021'!Pspv,1-EXP((T0-t)*PertePVj)+Pspv)</f>
        <v>2.5652906188888935E-2</v>
      </c>
      <c r="M290" s="832"/>
      <c r="N290" s="832"/>
      <c r="O290" s="48">
        <f>IF(t&lt;Tnet,'2021'!Resal+('2021'!Salim-'2021'!Resal)*(1-EXP(('2021'!Tnet-t)/('2021'!Tau_j))),Resal+(Salim-Resal)*(1-EXP((Tnet-t)/(Tau_j))))*Salcycl</f>
        <v>2.2574729689349329E-2</v>
      </c>
      <c r="P290" s="169">
        <f>(INDEX(Models!$BJ290:$BT290,,T290)*(1-R290)+INDEX(Models!$BJ290:$BT290,,T290+1)*R290-ERP_i)*Q290*Ramure*Pc/MaxiM</f>
        <v>1.3342550637942066E-3</v>
      </c>
      <c r="Q290" s="304">
        <f t="shared" si="105"/>
        <v>0.6</v>
      </c>
      <c r="R290" s="177">
        <f t="shared" si="106"/>
        <v>0.49487845416392762</v>
      </c>
      <c r="S290" s="799">
        <f t="shared" si="107"/>
        <v>0</v>
      </c>
      <c r="T290" s="176">
        <f t="shared" si="108"/>
        <v>6</v>
      </c>
      <c r="U290" s="250">
        <f t="shared" si="109"/>
        <v>0.49487845416392762</v>
      </c>
      <c r="V290" s="382">
        <f t="shared" si="110"/>
        <v>42.508812752456265</v>
      </c>
      <c r="W290" s="400">
        <f t="shared" si="111"/>
        <v>0</v>
      </c>
      <c r="X290" s="157">
        <f t="shared" si="112"/>
        <v>44837</v>
      </c>
      <c r="Y290" s="383">
        <f t="shared" si="113"/>
        <v>36.334280059927501</v>
      </c>
      <c r="Z290" s="383">
        <f t="shared" si="114"/>
        <v>37.290900019835583</v>
      </c>
      <c r="AA290" s="384">
        <f t="shared" si="115"/>
        <v>40.848364456139947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8.708951958466081E-2</v>
      </c>
      <c r="AD290" s="230">
        <f>(INDEX(Models!$BJ290:$BT290,,AH290)*(1-AF290)+INDEX(Models!$BJ290:$BT290,,AH290+1)*AF290-ERP_i)*AE290*Ramure*Pc/MaxiM</f>
        <v>1.3342550637942066E-3</v>
      </c>
      <c r="AE290" s="304">
        <f t="shared" si="117"/>
        <v>0.6</v>
      </c>
      <c r="AF290" s="177">
        <f t="shared" si="118"/>
        <v>0.49487845416392762</v>
      </c>
      <c r="AG290" s="799">
        <f t="shared" si="124"/>
        <v>0</v>
      </c>
      <c r="AH290" s="176">
        <f t="shared" si="119"/>
        <v>6</v>
      </c>
      <c r="AI290" s="224">
        <f t="shared" si="120"/>
        <v>0.49487845416392762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44838</v>
      </c>
      <c r="B291" s="1153">
        <v>42.853000000000002</v>
      </c>
      <c r="C291" s="388"/>
      <c r="D291" s="391">
        <f t="shared" si="102"/>
        <v>43.982089704899458</v>
      </c>
      <c r="E291" s="383">
        <f t="shared" si="100"/>
        <v>45.001304867956044</v>
      </c>
      <c r="F291" s="383">
        <f t="shared" si="103"/>
        <v>45.063870180118194</v>
      </c>
      <c r="G291" s="110">
        <f t="shared" si="101"/>
        <v>1.0162124309112455</v>
      </c>
      <c r="H291" s="412" t="b">
        <f>Wh_hp&gt;='2021'!Maxi_hp</f>
        <v>1</v>
      </c>
      <c r="I291" s="379">
        <f>IF(H291,Wh_hp,'2021'!Maxi_hp)</f>
        <v>45.063870180118194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2.567157932865749E-2</v>
      </c>
      <c r="M291" s="832"/>
      <c r="N291" s="832"/>
      <c r="O291" s="48">
        <f>IF(t&lt;Tnet,'2021'!Resal+('2021'!Salim-'2021'!Resal)*(1-EXP(('2021'!Tnet-t)/('2021'!Tau_j))),Resal+(Salim-Resal)*(1-EXP((Tnet-t)/(Tau_j))))*Salcycl</f>
        <v>2.2648569103655723E-2</v>
      </c>
      <c r="P291" s="169">
        <f>(INDEX(Models!$BJ291:$BT291,,T291)*(1-R291)+INDEX(Models!$BJ291:$BT291,,T291+1)*R291-ERP_i)*Q291*Ramure*Pc/MaxiM</f>
        <v>1.3883697053110624E-3</v>
      </c>
      <c r="Q291" s="304">
        <f t="shared" si="105"/>
        <v>0.6</v>
      </c>
      <c r="R291" s="177">
        <f t="shared" si="106"/>
        <v>0.49505409513025805</v>
      </c>
      <c r="S291" s="799">
        <f t="shared" si="107"/>
        <v>0</v>
      </c>
      <c r="T291" s="176">
        <f t="shared" si="108"/>
        <v>6</v>
      </c>
      <c r="U291" s="250">
        <f t="shared" si="109"/>
        <v>0.49505409513025805</v>
      </c>
      <c r="V291" s="382">
        <f t="shared" si="110"/>
        <v>42.169332608511183</v>
      </c>
      <c r="W291" s="400">
        <f t="shared" si="111"/>
        <v>0</v>
      </c>
      <c r="X291" s="157">
        <f t="shared" si="112"/>
        <v>44838</v>
      </c>
      <c r="Y291" s="383">
        <f t="shared" si="113"/>
        <v>40.029302854459083</v>
      </c>
      <c r="Z291" s="383">
        <f t="shared" si="114"/>
        <v>41.083993862026162</v>
      </c>
      <c r="AA291" s="384">
        <f t="shared" si="115"/>
        <v>45.001304867956044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8.7048831526644818E-2</v>
      </c>
      <c r="AD291" s="230">
        <f>(INDEX(Models!$BJ291:$BT291,,AH291)*(1-AF291)+INDEX(Models!$BJ291:$BT291,,AH291+1)*AF291-ERP_i)*AE291*Ramure*Pc/MaxiM</f>
        <v>1.3883697053110624E-3</v>
      </c>
      <c r="AE291" s="304">
        <f t="shared" si="117"/>
        <v>0.6</v>
      </c>
      <c r="AF291" s="177">
        <f t="shared" si="118"/>
        <v>0.49505409513025805</v>
      </c>
      <c r="AG291" s="799">
        <f t="shared" si="124"/>
        <v>0</v>
      </c>
      <c r="AH291" s="176">
        <f t="shared" si="119"/>
        <v>6</v>
      </c>
      <c r="AI291" s="224">
        <f t="shared" si="120"/>
        <v>0.49505409513025805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44839</v>
      </c>
      <c r="B292" s="1153">
        <v>43.69</v>
      </c>
      <c r="C292" s="388"/>
      <c r="D292" s="391">
        <f t="shared" si="102"/>
        <v>44.842002345395514</v>
      </c>
      <c r="E292" s="383">
        <f t="shared" si="100"/>
        <v>45.884587926343286</v>
      </c>
      <c r="F292" s="383">
        <f t="shared" si="103"/>
        <v>45.951050325579978</v>
      </c>
      <c r="G292" s="110">
        <f t="shared" si="101"/>
        <v>1.0445694605831346</v>
      </c>
      <c r="H292" s="412" t="b">
        <f>Wh_hp&gt;='2021'!Maxi_hp</f>
        <v>1</v>
      </c>
      <c r="I292" s="379">
        <f>IF(H292,Wh_hp,'2021'!Maxi_hp)</f>
        <v>45.951050325579978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2.5690252110559642E-2</v>
      </c>
      <c r="M292" s="832"/>
      <c r="N292" s="832"/>
      <c r="O292" s="48">
        <f>IF(t&lt;Tnet,'2021'!Resal+('2021'!Salim-'2021'!Resal)*(1-EXP(('2021'!Tnet-t)/('2021'!Tau_j))),Resal+(Salim-Resal)*(1-EXP((Tnet-t)/(Tau_j))))*Salcycl</f>
        <v>2.2721912259981446E-2</v>
      </c>
      <c r="P292" s="169">
        <f>(INDEX(Models!$BJ292:$BT292,,T292)*(1-R292)+INDEX(Models!$BJ292:$BT292,,T292+1)*R292-ERP_i)*Q292*Ramure*Pc/MaxiM</f>
        <v>1.4463738862503712E-3</v>
      </c>
      <c r="Q292" s="304">
        <f t="shared" si="105"/>
        <v>0.6</v>
      </c>
      <c r="R292" s="177">
        <f t="shared" si="106"/>
        <v>0.49522278119423974</v>
      </c>
      <c r="S292" s="799">
        <f t="shared" si="107"/>
        <v>0</v>
      </c>
      <c r="T292" s="176">
        <f t="shared" si="108"/>
        <v>6</v>
      </c>
      <c r="U292" s="250">
        <f t="shared" si="109"/>
        <v>0.49522278119423974</v>
      </c>
      <c r="V292" s="382">
        <f t="shared" si="110"/>
        <v>41.825844664853499</v>
      </c>
      <c r="W292" s="400">
        <f t="shared" si="111"/>
        <v>0</v>
      </c>
      <c r="X292" s="157">
        <f t="shared" si="112"/>
        <v>44839</v>
      </c>
      <c r="Y292" s="383">
        <f t="shared" si="113"/>
        <v>40.816085944570489</v>
      </c>
      <c r="Z292" s="383">
        <f t="shared" si="114"/>
        <v>41.892309948644879</v>
      </c>
      <c r="AA292" s="384">
        <f t="shared" si="115"/>
        <v>45.884587926343286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8.7006948479237844E-2</v>
      </c>
      <c r="AD292" s="230">
        <f>(INDEX(Models!$BJ292:$BT292,,AH292)*(1-AF292)+INDEX(Models!$BJ292:$BT292,,AH292+1)*AF292-ERP_i)*AE292*Ramure*Pc/MaxiM</f>
        <v>1.4463738862503712E-3</v>
      </c>
      <c r="AE292" s="304">
        <f t="shared" si="117"/>
        <v>0.6</v>
      </c>
      <c r="AF292" s="177">
        <f t="shared" si="118"/>
        <v>0.49522278119423974</v>
      </c>
      <c r="AG292" s="799">
        <f t="shared" si="124"/>
        <v>0</v>
      </c>
      <c r="AH292" s="176">
        <f t="shared" si="119"/>
        <v>6</v>
      </c>
      <c r="AI292" s="224">
        <f t="shared" si="120"/>
        <v>0.49522278119423974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44840</v>
      </c>
      <c r="B293" s="1153">
        <v>12.069000000000001</v>
      </c>
      <c r="C293" s="388"/>
      <c r="D293" s="391">
        <f t="shared" si="102"/>
        <v>12.387468492652362</v>
      </c>
      <c r="E293" s="383">
        <f t="shared" si="100"/>
        <v>12.676424460778049</v>
      </c>
      <c r="F293" s="383">
        <f t="shared" si="103"/>
        <v>12.676424460778049</v>
      </c>
      <c r="G293" s="110">
        <f t="shared" si="101"/>
        <v>0.29052779417810293</v>
      </c>
      <c r="H293" s="412" t="b">
        <f>Wh_hp&gt;='2021'!Maxi_hp</f>
        <v>0</v>
      </c>
      <c r="I293" s="379">
        <f>IF(H293,Wh_hp,'2021'!Maxi_hp)</f>
        <v>29.938480404074163</v>
      </c>
      <c r="J293" s="85">
        <f>IF(H293,An,'2021'!An_max)</f>
        <v>2020</v>
      </c>
      <c r="K293" s="197">
        <f t="shared" si="104"/>
        <v>44840</v>
      </c>
      <c r="L293" s="147">
        <f>IF(t&lt;Tvie,1-EXP((T0-t)*PertePVj)+'2021'!Pspv,1-EXP((T0-t)*PertePVj)+Pspv)</f>
        <v>2.5708924534602162E-2</v>
      </c>
      <c r="M293" s="832"/>
      <c r="N293" s="832"/>
      <c r="O293" s="48">
        <f>IF(t&lt;Tnet,'2021'!Resal+('2021'!Salim-'2021'!Resal)*(1-EXP(('2021'!Tnet-t)/('2021'!Tau_j))),Resal+(Salim-Resal)*(1-EXP((Tnet-t)/(Tau_j))))*Salcycl</f>
        <v>2.2794753285497991E-2</v>
      </c>
      <c r="P293" s="169">
        <f>(INDEX(Models!$BJ293:$BT293,,T293)*(1-R293)+INDEX(Models!$BJ293:$BT293,,T293+1)*R293-ERP_i)*Q293*Ramure*Pc/MaxiM</f>
        <v>1.5082807405081495E-3</v>
      </c>
      <c r="Q293" s="304">
        <f t="shared" si="105"/>
        <v>0.6</v>
      </c>
      <c r="R293" s="177">
        <f t="shared" si="106"/>
        <v>0.49538478326527891</v>
      </c>
      <c r="S293" s="799">
        <f t="shared" si="107"/>
        <v>0</v>
      </c>
      <c r="T293" s="176">
        <f t="shared" si="108"/>
        <v>6</v>
      </c>
      <c r="U293" s="250">
        <f t="shared" si="109"/>
        <v>0.49538478326527891</v>
      </c>
      <c r="V293" s="382">
        <f t="shared" si="110"/>
        <v>41.478979984804077</v>
      </c>
      <c r="W293" s="400">
        <f t="shared" si="111"/>
        <v>0</v>
      </c>
      <c r="X293" s="157">
        <f t="shared" si="112"/>
        <v>44840</v>
      </c>
      <c r="Y293" s="383">
        <f t="shared" si="113"/>
        <v>11.276477697710076</v>
      </c>
      <c r="Z293" s="383">
        <f t="shared" si="114"/>
        <v>11.574033655520806</v>
      </c>
      <c r="AA293" s="384">
        <f t="shared" si="115"/>
        <v>12.676424460778049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8.6963860248458508E-2</v>
      </c>
      <c r="AD293" s="230">
        <f>(INDEX(Models!$BJ293:$BT293,,AH293)*(1-AF293)+INDEX(Models!$BJ293:$BT293,,AH293+1)*AF293-ERP_i)*AE293*Ramure*Pc/MaxiM</f>
        <v>1.5082807405081495E-3</v>
      </c>
      <c r="AE293" s="304">
        <f t="shared" si="117"/>
        <v>0.6</v>
      </c>
      <c r="AF293" s="177">
        <f t="shared" si="118"/>
        <v>0.49538478326527891</v>
      </c>
      <c r="AG293" s="799">
        <f t="shared" si="124"/>
        <v>0</v>
      </c>
      <c r="AH293" s="176">
        <f t="shared" si="119"/>
        <v>6</v>
      </c>
      <c r="AI293" s="224">
        <f t="shared" si="120"/>
        <v>0.49538478326527891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44841</v>
      </c>
      <c r="B294" s="1153">
        <v>30.315999999999999</v>
      </c>
      <c r="C294" s="388"/>
      <c r="D294" s="391">
        <f t="shared" si="102"/>
        <v>31.116554152851254</v>
      </c>
      <c r="E294" s="383">
        <f t="shared" si="100"/>
        <v>31.844750843516131</v>
      </c>
      <c r="F294" s="383">
        <f t="shared" si="103"/>
        <v>31.876081432039449</v>
      </c>
      <c r="G294" s="110">
        <f t="shared" si="101"/>
        <v>0.73665265415905457</v>
      </c>
      <c r="H294" s="412" t="b">
        <f>Wh_hp&gt;='2021'!Maxi_hp</f>
        <v>0</v>
      </c>
      <c r="I294" s="379">
        <f>IF(H294,Wh_hp,'2021'!Maxi_hp)</f>
        <v>43.826307821277801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2.5727596600791935E-2</v>
      </c>
      <c r="M294" s="832"/>
      <c r="N294" s="832"/>
      <c r="O294" s="48">
        <f>IF(t&lt;Tnet,'2021'!Resal+('2021'!Salim-'2021'!Resal)*(1-EXP(('2021'!Tnet-t)/('2021'!Tau_j))),Resal+(Salim-Resal)*(1-EXP((Tnet-t)/(Tau_j))))*Salcycl</f>
        <v>2.2867087082678261E-2</v>
      </c>
      <c r="P294" s="169">
        <f>(INDEX(Models!$BJ294:$BT294,,T294)*(1-R294)+INDEX(Models!$BJ294:$BT294,,T294+1)*R294-ERP_i)*Q294*Ramure*Pc/MaxiM</f>
        <v>1.5740985870827801E-3</v>
      </c>
      <c r="Q294" s="304">
        <f t="shared" si="105"/>
        <v>0.6</v>
      </c>
      <c r="R294" s="177">
        <f t="shared" si="106"/>
        <v>0.49554036205180174</v>
      </c>
      <c r="S294" s="799">
        <f t="shared" si="107"/>
        <v>0</v>
      </c>
      <c r="T294" s="176">
        <f t="shared" si="108"/>
        <v>6</v>
      </c>
      <c r="U294" s="250">
        <f t="shared" si="109"/>
        <v>0.49554036205180174</v>
      </c>
      <c r="V294" s="382">
        <f t="shared" si="110"/>
        <v>41.129369489183475</v>
      </c>
      <c r="W294" s="400">
        <f t="shared" si="111"/>
        <v>0</v>
      </c>
      <c r="X294" s="157">
        <f t="shared" si="112"/>
        <v>44841</v>
      </c>
      <c r="Y294" s="383">
        <f t="shared" si="113"/>
        <v>28.328742448486487</v>
      </c>
      <c r="Z294" s="383">
        <f t="shared" si="114"/>
        <v>29.076819121272788</v>
      </c>
      <c r="AA294" s="384">
        <f t="shared" si="115"/>
        <v>31.844750843516131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8.6919559705298105E-2</v>
      </c>
      <c r="AD294" s="230">
        <f>(INDEX(Models!$BJ294:$BT294,,AH294)*(1-AF294)+INDEX(Models!$BJ294:$BT294,,AH294+1)*AF294-ERP_i)*AE294*Ramure*Pc/MaxiM</f>
        <v>1.5740985870827801E-3</v>
      </c>
      <c r="AE294" s="304">
        <f t="shared" si="117"/>
        <v>0.6</v>
      </c>
      <c r="AF294" s="177">
        <f t="shared" si="118"/>
        <v>0.49554036205180174</v>
      </c>
      <c r="AG294" s="799">
        <f t="shared" si="124"/>
        <v>0</v>
      </c>
      <c r="AH294" s="176">
        <f t="shared" si="119"/>
        <v>6</v>
      </c>
      <c r="AI294" s="224">
        <f t="shared" si="120"/>
        <v>0.49554036205180174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44842</v>
      </c>
      <c r="B295" s="1153">
        <v>17.495999999999999</v>
      </c>
      <c r="C295" s="388"/>
      <c r="D295" s="391">
        <f t="shared" si="102"/>
        <v>17.958360774902911</v>
      </c>
      <c r="E295" s="383">
        <f t="shared" si="100"/>
        <v>18.379977411528621</v>
      </c>
      <c r="F295" s="383">
        <f t="shared" si="103"/>
        <v>18.385549558781324</v>
      </c>
      <c r="G295" s="110">
        <f t="shared" si="101"/>
        <v>0.42848319058084627</v>
      </c>
      <c r="H295" s="412" t="b">
        <f>Wh_hp&gt;='2021'!Maxi_hp</f>
        <v>0</v>
      </c>
      <c r="I295" s="379">
        <f>IF(H295,Wh_hp,'2021'!Maxi_hp)</f>
        <v>40.63677888339361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2.5746268309135845E-2</v>
      </c>
      <c r="M295" s="832"/>
      <c r="N295" s="832"/>
      <c r="O295" s="48">
        <f>IF(t&lt;Tnet,'2021'!Resal+('2021'!Salim-'2021'!Resal)*(1-EXP(('2021'!Tnet-t)/('2021'!Tau_j))),Resal+(Salim-Resal)*(1-EXP((Tnet-t)/(Tau_j))))*Salcycl</f>
        <v>2.2938909400468343E-2</v>
      </c>
      <c r="P295" s="169">
        <f>(INDEX(Models!$BJ295:$BT295,,T295)*(1-R295)+INDEX(Models!$BJ295:$BT295,,T295+1)*R295-ERP_i)*Q295*Ramure*Pc/MaxiM</f>
        <v>1.6438302281872753E-3</v>
      </c>
      <c r="Q295" s="304">
        <f t="shared" si="105"/>
        <v>0.6</v>
      </c>
      <c r="R295" s="177">
        <f t="shared" si="106"/>
        <v>0.49568976841766293</v>
      </c>
      <c r="S295" s="799">
        <f t="shared" si="107"/>
        <v>0</v>
      </c>
      <c r="T295" s="176">
        <f t="shared" si="108"/>
        <v>6</v>
      </c>
      <c r="U295" s="250">
        <f t="shared" si="109"/>
        <v>0.49568976841766293</v>
      </c>
      <c r="V295" s="382">
        <f t="shared" si="110"/>
        <v>40.777643950614546</v>
      </c>
      <c r="W295" s="400">
        <f t="shared" si="111"/>
        <v>0</v>
      </c>
      <c r="X295" s="157">
        <f t="shared" si="112"/>
        <v>44842</v>
      </c>
      <c r="Y295" s="383">
        <f t="shared" si="113"/>
        <v>16.351128805967164</v>
      </c>
      <c r="Z295" s="383">
        <f t="shared" si="114"/>
        <v>16.783234463561143</v>
      </c>
      <c r="AA295" s="384">
        <f t="shared" si="115"/>
        <v>18.379977411528621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8.6874042998874385E-2</v>
      </c>
      <c r="AD295" s="230">
        <f>(INDEX(Models!$BJ295:$BT295,,AH295)*(1-AF295)+INDEX(Models!$BJ295:$BT295,,AH295+1)*AF295-ERP_i)*AE295*Ramure*Pc/MaxiM</f>
        <v>1.6438302281872753E-3</v>
      </c>
      <c r="AE295" s="304">
        <f t="shared" si="117"/>
        <v>0.6</v>
      </c>
      <c r="AF295" s="177">
        <f t="shared" si="118"/>
        <v>0.49568976841766293</v>
      </c>
      <c r="AG295" s="799">
        <f t="shared" si="124"/>
        <v>0</v>
      </c>
      <c r="AH295" s="176">
        <f t="shared" si="119"/>
        <v>6</v>
      </c>
      <c r="AI295" s="224">
        <f t="shared" si="120"/>
        <v>0.49568976841766293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44843</v>
      </c>
      <c r="B296" s="1153">
        <v>39.948</v>
      </c>
      <c r="C296" s="388"/>
      <c r="D296" s="391">
        <f t="shared" si="102"/>
        <v>41.004477898838644</v>
      </c>
      <c r="E296" s="383">
        <f t="shared" si="100"/>
        <v>41.970221806088112</v>
      </c>
      <c r="F296" s="383">
        <f t="shared" si="103"/>
        <v>42.04123090982015</v>
      </c>
      <c r="G296" s="110">
        <f t="shared" si="101"/>
        <v>0.98818605765128931</v>
      </c>
      <c r="H296" s="412" t="b">
        <f>Wh_hp&gt;='2021'!Maxi_hp</f>
        <v>1</v>
      </c>
      <c r="I296" s="379">
        <f>IF(H296,Wh_hp,'2021'!Maxi_hp)</f>
        <v>42.04123090982015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2.5764939659640662E-2</v>
      </c>
      <c r="M296" s="832"/>
      <c r="N296" s="832"/>
      <c r="O296" s="48">
        <f>IF(t&lt;Tnet,'2021'!Resal+('2021'!Salim-'2021'!Resal)*(1-EXP(('2021'!Tnet-t)/('2021'!Tau_j))),Resal+(Salim-Resal)*(1-EXP((Tnet-t)/(Tau_j))))*Salcycl</f>
        <v>2.301021690358037E-2</v>
      </c>
      <c r="P296" s="169">
        <f>(INDEX(Models!$BJ296:$BT296,,T296)*(1-R296)+INDEX(Models!$BJ296:$BT296,,T296+1)*R296-ERP_i)*Q296*Ramure*Pc/MaxiM</f>
        <v>1.7179586648117867E-3</v>
      </c>
      <c r="Q296" s="304">
        <f t="shared" si="105"/>
        <v>0.6</v>
      </c>
      <c r="R296" s="177">
        <f t="shared" si="106"/>
        <v>0.49583324372832549</v>
      </c>
      <c r="S296" s="799">
        <f t="shared" si="107"/>
        <v>0</v>
      </c>
      <c r="T296" s="176">
        <f t="shared" si="108"/>
        <v>6</v>
      </c>
      <c r="U296" s="250">
        <f t="shared" si="109"/>
        <v>0.49583324372832549</v>
      </c>
      <c r="V296" s="382">
        <f t="shared" si="110"/>
        <v>40.424414296134358</v>
      </c>
      <c r="W296" s="400">
        <f t="shared" si="111"/>
        <v>0</v>
      </c>
      <c r="X296" s="157">
        <f t="shared" si="112"/>
        <v>44843</v>
      </c>
      <c r="Y296" s="383">
        <f t="shared" si="113"/>
        <v>37.33859172423405</v>
      </c>
      <c r="Z296" s="383">
        <f t="shared" si="114"/>
        <v>38.326060356716596</v>
      </c>
      <c r="AA296" s="384">
        <f t="shared" si="115"/>
        <v>41.970221806088112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8.6827309758055707E-2</v>
      </c>
      <c r="AD296" s="230">
        <f>(INDEX(Models!$BJ296:$BT296,,AH296)*(1-AF296)+INDEX(Models!$BJ296:$BT296,,AH296+1)*AF296-ERP_i)*AE296*Ramure*Pc/MaxiM</f>
        <v>1.7179586648117867E-3</v>
      </c>
      <c r="AE296" s="304">
        <f t="shared" si="117"/>
        <v>0.6</v>
      </c>
      <c r="AF296" s="177">
        <f t="shared" si="118"/>
        <v>0.49583324372832549</v>
      </c>
      <c r="AG296" s="799">
        <f t="shared" si="124"/>
        <v>0</v>
      </c>
      <c r="AH296" s="176">
        <f t="shared" si="119"/>
        <v>6</v>
      </c>
      <c r="AI296" s="224">
        <f t="shared" si="120"/>
        <v>0.49583324372832549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44844</v>
      </c>
      <c r="B297" s="1153">
        <v>32.070999999999998</v>
      </c>
      <c r="C297" s="388"/>
      <c r="D297" s="391">
        <f t="shared" si="102"/>
        <v>32.91979107585535</v>
      </c>
      <c r="E297" s="383">
        <f t="shared" ref="E297:E360" si="125">Wh_pvt/(1-Psa)</f>
        <v>33.697564813255561</v>
      </c>
      <c r="F297" s="383">
        <f t="shared" si="103"/>
        <v>33.740851067404463</v>
      </c>
      <c r="G297" s="110">
        <f t="shared" ref="G297:G360" si="126">+Wh_hp/MaxiM</f>
        <v>0.79995654965099716</v>
      </c>
      <c r="H297" s="412" t="b">
        <f>Wh_hp&gt;='2021'!Maxi_hp</f>
        <v>1</v>
      </c>
      <c r="I297" s="379">
        <f>IF(H297,Wh_hp,'2021'!Maxi_hp)</f>
        <v>33.740851067404463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2.5783610652313382E-2</v>
      </c>
      <c r="M297" s="832"/>
      <c r="N297" s="832"/>
      <c r="O297" s="48">
        <f>IF(t&lt;Tnet,'2021'!Resal+('2021'!Salim-'2021'!Resal)*(1-EXP(('2021'!Tnet-t)/('2021'!Tau_j))),Resal+(Salim-Resal)*(1-EXP((Tnet-t)/(Tau_j))))*Salcycl</f>
        <v>2.308100723926081E-2</v>
      </c>
      <c r="P297" s="169">
        <f>(INDEX(Models!$BJ297:$BT297,,T297)*(1-R297)+INDEX(Models!$BJ297:$BT297,,T297+1)*R297-ERP_i)*Q297*Ramure*Pc/MaxiM</f>
        <v>1.794748415669938E-3</v>
      </c>
      <c r="Q297" s="304">
        <f t="shared" si="105"/>
        <v>0.6</v>
      </c>
      <c r="R297" s="177">
        <f t="shared" si="106"/>
        <v>0.49597102018691658</v>
      </c>
      <c r="S297" s="799">
        <f t="shared" si="107"/>
        <v>0</v>
      </c>
      <c r="T297" s="176">
        <f t="shared" si="108"/>
        <v>6</v>
      </c>
      <c r="U297" s="250">
        <f t="shared" si="109"/>
        <v>0.49597102018691658</v>
      </c>
      <c r="V297" s="382">
        <f t="shared" si="110"/>
        <v>40.07038075706037</v>
      </c>
      <c r="W297" s="400">
        <f t="shared" si="111"/>
        <v>0</v>
      </c>
      <c r="X297" s="157">
        <f t="shared" si="112"/>
        <v>44844</v>
      </c>
      <c r="Y297" s="383">
        <f t="shared" si="113"/>
        <v>29.979864510053659</v>
      </c>
      <c r="Z297" s="383">
        <f t="shared" si="114"/>
        <v>30.77331159469356</v>
      </c>
      <c r="AA297" s="384">
        <f t="shared" si="115"/>
        <v>33.697564813255561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8.6779363279440705E-2</v>
      </c>
      <c r="AD297" s="230">
        <f>(INDEX(Models!$BJ297:$BT297,,AH297)*(1-AF297)+INDEX(Models!$BJ297:$BT297,,AH297+1)*AF297-ERP_i)*AE297*Ramure*Pc/MaxiM</f>
        <v>1.794748415669938E-3</v>
      </c>
      <c r="AE297" s="304">
        <f t="shared" si="117"/>
        <v>0.6</v>
      </c>
      <c r="AF297" s="177">
        <f t="shared" si="118"/>
        <v>0.49597102018691658</v>
      </c>
      <c r="AG297" s="799">
        <f t="shared" si="124"/>
        <v>0</v>
      </c>
      <c r="AH297" s="176">
        <f t="shared" si="119"/>
        <v>6</v>
      </c>
      <c r="AI297" s="224">
        <f t="shared" si="120"/>
        <v>0.49597102018691658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44845</v>
      </c>
      <c r="B298" s="1153">
        <v>23.327000000000002</v>
      </c>
      <c r="C298" s="388"/>
      <c r="D298" s="391">
        <f t="shared" si="102"/>
        <v>23.944831271849875</v>
      </c>
      <c r="E298" s="383">
        <f t="shared" si="125"/>
        <v>24.512322900735949</v>
      </c>
      <c r="F298" s="383">
        <f t="shared" si="103"/>
        <v>24.531195394559298</v>
      </c>
      <c r="G298" s="110">
        <f t="shared" si="126"/>
        <v>0.58669317384393171</v>
      </c>
      <c r="H298" s="412" t="b">
        <f>Wh_hp&gt;='2021'!Maxi_hp</f>
        <v>0</v>
      </c>
      <c r="I298" s="379">
        <f>IF(H298,Wh_hp,'2021'!Maxi_hp)</f>
        <v>42.372842429013986</v>
      </c>
      <c r="J298" s="85">
        <f>IF(H298,An,'2021'!An_max)</f>
        <v>2021</v>
      </c>
      <c r="K298" s="197">
        <f t="shared" si="104"/>
        <v>44845</v>
      </c>
      <c r="L298" s="147">
        <f>IF(t&lt;Tvie,1-EXP((T0-t)*PertePVj)+'2021'!Pspv,1-EXP((T0-t)*PertePVj)+Pspv)</f>
        <v>2.5802281287160778E-2</v>
      </c>
      <c r="M298" s="832"/>
      <c r="N298" s="832"/>
      <c r="O298" s="48">
        <f>IF(t&lt;Tnet,'2021'!Resal+('2021'!Salim-'2021'!Resal)*(1-EXP(('2021'!Tnet-t)/('2021'!Tau_j))),Resal+(Salim-Resal)*(1-EXP((Tnet-t)/(Tau_j))))*Salcycl</f>
        <v>2.315127910088997E-2</v>
      </c>
      <c r="P298" s="169">
        <f>(INDEX(Models!$BJ298:$BT298,,T298)*(1-R298)+INDEX(Models!$BJ298:$BT298,,T298+1)*R298-ERP_i)*Q298*Ramure*Pc/MaxiM</f>
        <v>1.8741684029175084E-3</v>
      </c>
      <c r="Q298" s="304">
        <f t="shared" si="105"/>
        <v>0.6</v>
      </c>
      <c r="R298" s="177">
        <f t="shared" si="106"/>
        <v>0.49610332116028288</v>
      </c>
      <c r="S298" s="799">
        <f t="shared" si="107"/>
        <v>0</v>
      </c>
      <c r="T298" s="176">
        <f t="shared" si="108"/>
        <v>6</v>
      </c>
      <c r="U298" s="250">
        <f t="shared" si="109"/>
        <v>0.49610332116028288</v>
      </c>
      <c r="V298" s="382">
        <f t="shared" si="110"/>
        <v>39.7161728553763</v>
      </c>
      <c r="W298" s="400">
        <f t="shared" si="111"/>
        <v>0</v>
      </c>
      <c r="X298" s="157">
        <f t="shared" si="112"/>
        <v>44845</v>
      </c>
      <c r="Y298" s="383">
        <f t="shared" si="113"/>
        <v>21.80874471064568</v>
      </c>
      <c r="Z298" s="383">
        <f t="shared" si="114"/>
        <v>22.386363970817474</v>
      </c>
      <c r="AA298" s="384">
        <f t="shared" si="115"/>
        <v>24.512322900735949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8.673021069964143E-2</v>
      </c>
      <c r="AD298" s="230">
        <f>(INDEX(Models!$BJ298:$BT298,,AH298)*(1-AF298)+INDEX(Models!$BJ298:$BT298,,AH298+1)*AF298-ERP_i)*AE298*Ramure*Pc/MaxiM</f>
        <v>1.8741684029175084E-3</v>
      </c>
      <c r="AE298" s="304">
        <f t="shared" si="117"/>
        <v>0.6</v>
      </c>
      <c r="AF298" s="177">
        <f t="shared" si="118"/>
        <v>0.49610332116028288</v>
      </c>
      <c r="AG298" s="799">
        <f t="shared" si="124"/>
        <v>0</v>
      </c>
      <c r="AH298" s="176">
        <f t="shared" si="119"/>
        <v>6</v>
      </c>
      <c r="AI298" s="224">
        <f t="shared" si="120"/>
        <v>0.49610332116028288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44846</v>
      </c>
      <c r="B299" s="1153">
        <v>28.952999999999999</v>
      </c>
      <c r="C299" s="388"/>
      <c r="D299" s="391">
        <f t="shared" si="102"/>
        <v>29.720409247651503</v>
      </c>
      <c r="E299" s="383">
        <f t="shared" si="125"/>
        <v>30.426954541477791</v>
      </c>
      <c r="F299" s="383">
        <f t="shared" si="103"/>
        <v>30.464034183389014</v>
      </c>
      <c r="G299" s="110">
        <f t="shared" si="126"/>
        <v>0.7350050426560788</v>
      </c>
      <c r="H299" s="412" t="b">
        <f>Wh_hp&gt;='2021'!Maxi_hp</f>
        <v>0</v>
      </c>
      <c r="I299" s="379">
        <f>IF(H299,Wh_hp,'2021'!Maxi_hp)</f>
        <v>40.061070375868503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2.582095156418962E-2</v>
      </c>
      <c r="M299" s="832"/>
      <c r="N299" s="832"/>
      <c r="O299" s="48">
        <f>IF(t&lt;Tnet,'2021'!Resal+('2021'!Salim-'2021'!Resal)*(1-EXP(('2021'!Tnet-t)/('2021'!Tau_j))),Resal+(Salim-Resal)*(1-EXP((Tnet-t)/(Tau_j))))*Salcycl</f>
        <v>2.3221032287774081E-2</v>
      </c>
      <c r="P299" s="169">
        <f>(INDEX(Models!$BJ299:$BT299,,T299)*(1-R299)+INDEX(Models!$BJ299:$BT299,,T299+1)*R299-ERP_i)*Q299*Ramure*Pc/MaxiM</f>
        <v>1.9561801485258922E-3</v>
      </c>
      <c r="Q299" s="304">
        <f t="shared" si="105"/>
        <v>0.6</v>
      </c>
      <c r="R299" s="177">
        <f t="shared" si="106"/>
        <v>0.49623036149518435</v>
      </c>
      <c r="S299" s="799">
        <f t="shared" si="107"/>
        <v>0</v>
      </c>
      <c r="T299" s="176">
        <f t="shared" si="108"/>
        <v>6</v>
      </c>
      <c r="U299" s="250">
        <f t="shared" si="109"/>
        <v>0.49623036149518435</v>
      </c>
      <c r="V299" s="382">
        <f t="shared" si="110"/>
        <v>39.362419890557319</v>
      </c>
      <c r="W299" s="400">
        <f t="shared" si="111"/>
        <v>0</v>
      </c>
      <c r="X299" s="157">
        <f t="shared" si="112"/>
        <v>44846</v>
      </c>
      <c r="Y299" s="383">
        <f t="shared" si="113"/>
        <v>27.071997653835268</v>
      </c>
      <c r="Z299" s="383">
        <f t="shared" si="114"/>
        <v>27.789550285754341</v>
      </c>
      <c r="AA299" s="384">
        <f t="shared" si="115"/>
        <v>30.426954541477791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8.6679863149897618E-2</v>
      </c>
      <c r="AD299" s="230">
        <f>(INDEX(Models!$BJ299:$BT299,,AH299)*(1-AF299)+INDEX(Models!$BJ299:$BT299,,AH299+1)*AF299-ERP_i)*AE299*Ramure*Pc/MaxiM</f>
        <v>1.9561801485258922E-3</v>
      </c>
      <c r="AE299" s="304">
        <f t="shared" si="117"/>
        <v>0.6</v>
      </c>
      <c r="AF299" s="177">
        <f t="shared" si="118"/>
        <v>0.49623036149518435</v>
      </c>
      <c r="AG299" s="799">
        <f t="shared" si="124"/>
        <v>0</v>
      </c>
      <c r="AH299" s="176">
        <f t="shared" si="119"/>
        <v>6</v>
      </c>
      <c r="AI299" s="224">
        <f t="shared" si="120"/>
        <v>0.49623036149518435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44847</v>
      </c>
      <c r="B300" s="1153">
        <v>24.242000000000001</v>
      </c>
      <c r="C300" s="388"/>
      <c r="D300" s="391">
        <f t="shared" si="102"/>
        <v>24.885019484075727</v>
      </c>
      <c r="E300" s="383">
        <f t="shared" si="125"/>
        <v>25.478418677181534</v>
      </c>
      <c r="F300" s="383">
        <f t="shared" si="103"/>
        <v>25.502316646947968</v>
      </c>
      <c r="G300" s="110">
        <f t="shared" si="126"/>
        <v>0.62074788253996294</v>
      </c>
      <c r="H300" s="412" t="b">
        <f>Wh_hp&gt;='2021'!Maxi_hp</f>
        <v>0</v>
      </c>
      <c r="I300" s="379">
        <f>IF(H300,Wh_hp,'2021'!Maxi_hp)</f>
        <v>39.39832701671196</v>
      </c>
      <c r="J300" s="85">
        <f>IF(H300,An,'2021'!An_max)</f>
        <v>2018</v>
      </c>
      <c r="K300" s="197">
        <f t="shared" si="104"/>
        <v>44847</v>
      </c>
      <c r="L300" s="147">
        <f>IF(t&lt;Tvie,1-EXP((T0-t)*PertePVj)+'2021'!Pspv,1-EXP((T0-t)*PertePVj)+Pspv)</f>
        <v>2.5839621483407016E-2</v>
      </c>
      <c r="M300" s="832"/>
      <c r="N300" s="832"/>
      <c r="O300" s="48">
        <f>IF(t&lt;Tnet,'2021'!Resal+('2021'!Salim-'2021'!Resal)*(1-EXP(('2021'!Tnet-t)/('2021'!Tau_j))),Resal+(Salim-Resal)*(1-EXP((Tnet-t)/(Tau_j))))*Salcycl</f>
        <v>2.3290267760504926E-2</v>
      </c>
      <c r="P300" s="169">
        <f>(INDEX(Models!$BJ300:$BT300,,T300)*(1-R300)+INDEX(Models!$BJ300:$BT300,,T300+1)*R300-ERP_i)*Q300*Ramure*Pc/MaxiM</f>
        <v>2.0407372918064934E-3</v>
      </c>
      <c r="Q300" s="304">
        <f t="shared" si="105"/>
        <v>0.6</v>
      </c>
      <c r="R300" s="177">
        <f t="shared" si="106"/>
        <v>0.49635234782477849</v>
      </c>
      <c r="S300" s="799">
        <f t="shared" si="107"/>
        <v>0</v>
      </c>
      <c r="T300" s="176">
        <f t="shared" si="108"/>
        <v>6</v>
      </c>
      <c r="U300" s="250">
        <f t="shared" si="109"/>
        <v>0.49635234782477849</v>
      </c>
      <c r="V300" s="382">
        <f t="shared" si="110"/>
        <v>39.009750934527816</v>
      </c>
      <c r="W300" s="400">
        <f t="shared" si="111"/>
        <v>0</v>
      </c>
      <c r="X300" s="157">
        <f t="shared" si="112"/>
        <v>44847</v>
      </c>
      <c r="Y300" s="383">
        <f t="shared" si="113"/>
        <v>22.669944969788965</v>
      </c>
      <c r="Z300" s="383">
        <f t="shared" si="114"/>
        <v>23.271265666039223</v>
      </c>
      <c r="AA300" s="384">
        <f t="shared" si="115"/>
        <v>25.478418677181534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8.662833589115311E-2</v>
      </c>
      <c r="AD300" s="230">
        <f>(INDEX(Models!$BJ300:$BT300,,AH300)*(1-AF300)+INDEX(Models!$BJ300:$BT300,,AH300+1)*AF300-ERP_i)*AE300*Ramure*Pc/MaxiM</f>
        <v>2.0407372918064934E-3</v>
      </c>
      <c r="AE300" s="304">
        <f t="shared" si="117"/>
        <v>0.6</v>
      </c>
      <c r="AF300" s="177">
        <f t="shared" si="118"/>
        <v>0.49635234782477849</v>
      </c>
      <c r="AG300" s="799">
        <f t="shared" si="124"/>
        <v>0</v>
      </c>
      <c r="AH300" s="176">
        <f t="shared" si="119"/>
        <v>6</v>
      </c>
      <c r="AI300" s="224">
        <f t="shared" si="120"/>
        <v>0.49635234782477849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44848</v>
      </c>
      <c r="B301" s="1153">
        <v>18.844000000000001</v>
      </c>
      <c r="C301" s="388"/>
      <c r="D301" s="391">
        <f t="shared" si="102"/>
        <v>19.34420816475583</v>
      </c>
      <c r="E301" s="383">
        <f t="shared" si="125"/>
        <v>19.80687675508047</v>
      </c>
      <c r="F301" s="383">
        <f t="shared" si="103"/>
        <v>19.818168600777238</v>
      </c>
      <c r="G301" s="110">
        <f t="shared" si="126"/>
        <v>0.48668418550680093</v>
      </c>
      <c r="H301" s="412" t="b">
        <f>Wh_hp&gt;='2021'!Maxi_hp</f>
        <v>0</v>
      </c>
      <c r="I301" s="379">
        <f>IF(H301,Wh_hp,'2021'!Maxi_hp)</f>
        <v>42.332847154201126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2.5858291044819515E-2</v>
      </c>
      <c r="M301" s="832"/>
      <c r="N301" s="832"/>
      <c r="O301" s="48">
        <f>IF(t&lt;Tnet,'2021'!Resal+('2021'!Salim-'2021'!Resal)*(1-EXP(('2021'!Tnet-t)/('2021'!Tau_j))),Resal+(Salim-Resal)*(1-EXP((Tnet-t)/(Tau_j))))*Salcycl</f>
        <v>2.3358987691280725E-2</v>
      </c>
      <c r="P301" s="169">
        <f>(INDEX(Models!$BJ301:$BT301,,T301)*(1-R301)+INDEX(Models!$BJ301:$BT301,,T301+1)*R301-ERP_i)*Q301*Ramure*Pc/MaxiM</f>
        <v>2.1277851219222012E-3</v>
      </c>
      <c r="Q301" s="304">
        <f t="shared" si="105"/>
        <v>0.6</v>
      </c>
      <c r="R301" s="177">
        <f t="shared" si="106"/>
        <v>0.49646947886555931</v>
      </c>
      <c r="S301" s="799">
        <f t="shared" si="107"/>
        <v>0</v>
      </c>
      <c r="T301" s="176">
        <f t="shared" si="108"/>
        <v>6</v>
      </c>
      <c r="U301" s="250">
        <f t="shared" si="109"/>
        <v>0.49646947886555931</v>
      </c>
      <c r="V301" s="382">
        <f t="shared" si="110"/>
        <v>38.658794822521372</v>
      </c>
      <c r="W301" s="400">
        <f t="shared" si="111"/>
        <v>0</v>
      </c>
      <c r="X301" s="157">
        <f t="shared" si="112"/>
        <v>44848</v>
      </c>
      <c r="Y301" s="383">
        <f t="shared" si="113"/>
        <v>17.624253194463133</v>
      </c>
      <c r="Z301" s="383">
        <f t="shared" si="114"/>
        <v>18.092083556678929</v>
      </c>
      <c r="AA301" s="384">
        <f t="shared" si="115"/>
        <v>19.80687675508047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8.6575648427846888E-2</v>
      </c>
      <c r="AD301" s="230">
        <f>(INDEX(Models!$BJ301:$BT301,,AH301)*(1-AF301)+INDEX(Models!$BJ301:$BT301,,AH301+1)*AF301-ERP_i)*AE301*Ramure*Pc/MaxiM</f>
        <v>2.1277851219222012E-3</v>
      </c>
      <c r="AE301" s="304">
        <f t="shared" si="117"/>
        <v>0.6</v>
      </c>
      <c r="AF301" s="177">
        <f t="shared" si="118"/>
        <v>0.49646947886555931</v>
      </c>
      <c r="AG301" s="799">
        <f t="shared" si="124"/>
        <v>0</v>
      </c>
      <c r="AH301" s="176">
        <f t="shared" si="119"/>
        <v>6</v>
      </c>
      <c r="AI301" s="224">
        <f t="shared" si="120"/>
        <v>0.49646947886555931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44849</v>
      </c>
      <c r="B302" s="1153">
        <v>38.721000000000004</v>
      </c>
      <c r="C302" s="388"/>
      <c r="D302" s="391">
        <f t="shared" si="102"/>
        <v>39.749598787721069</v>
      </c>
      <c r="E302" s="383">
        <f t="shared" si="125"/>
        <v>40.703159667059339</v>
      </c>
      <c r="F302" s="383">
        <f t="shared" si="103"/>
        <v>40.793609711418071</v>
      </c>
      <c r="G302" s="110">
        <f t="shared" si="126"/>
        <v>1.0107235166651864</v>
      </c>
      <c r="H302" s="412" t="b">
        <f>Wh_hp&gt;='2021'!Maxi_hp</f>
        <v>1</v>
      </c>
      <c r="I302" s="379">
        <f>IF(H302,Wh_hp,'2021'!Maxi_hp)</f>
        <v>40.793609711418071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2.5876960248434222E-2</v>
      </c>
      <c r="M302" s="832"/>
      <c r="N302" s="832"/>
      <c r="O302" s="48">
        <f>IF(t&lt;Tnet,'2021'!Resal+('2021'!Salim-'2021'!Resal)*(1-EXP(('2021'!Tnet-t)/('2021'!Tau_j))),Resal+(Salim-Resal)*(1-EXP((Tnet-t)/(Tau_j))))*Salcycl</f>
        <v>2.342719550860764E-2</v>
      </c>
      <c r="P302" s="169">
        <f>(INDEX(Models!$BJ302:$BT302,,T302)*(1-R302)+INDEX(Models!$BJ302:$BT302,,T302+1)*R302-ERP_i)*Q302*Ramure*Pc/MaxiM</f>
        <v>2.217260129676899E-3</v>
      </c>
      <c r="Q302" s="304">
        <f t="shared" si="105"/>
        <v>0.6</v>
      </c>
      <c r="R302" s="177">
        <f t="shared" si="106"/>
        <v>0.49658194570492531</v>
      </c>
      <c r="S302" s="799">
        <f t="shared" si="107"/>
        <v>0</v>
      </c>
      <c r="T302" s="176">
        <f t="shared" si="108"/>
        <v>6</v>
      </c>
      <c r="U302" s="250">
        <f t="shared" si="109"/>
        <v>0.49658194570492531</v>
      </c>
      <c r="V302" s="382">
        <f t="shared" si="110"/>
        <v>38.310180144771252</v>
      </c>
      <c r="W302" s="400">
        <f t="shared" si="111"/>
        <v>0</v>
      </c>
      <c r="X302" s="157">
        <f t="shared" si="112"/>
        <v>44849</v>
      </c>
      <c r="Y302" s="383">
        <f t="shared" si="113"/>
        <v>36.219305173187593</v>
      </c>
      <c r="Z302" s="383">
        <f t="shared" si="114"/>
        <v>37.181448025728592</v>
      </c>
      <c r="AA302" s="384">
        <f t="shared" si="115"/>
        <v>40.703159667059339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8.6521824598811914E-2</v>
      </c>
      <c r="AD302" s="230">
        <f>(INDEX(Models!$BJ302:$BT302,,AH302)*(1-AF302)+INDEX(Models!$BJ302:$BT302,,AH302+1)*AF302-ERP_i)*AE302*Ramure*Pc/MaxiM</f>
        <v>2.217260129676899E-3</v>
      </c>
      <c r="AE302" s="304">
        <f t="shared" si="117"/>
        <v>0.6</v>
      </c>
      <c r="AF302" s="177">
        <f t="shared" si="118"/>
        <v>0.49658194570492531</v>
      </c>
      <c r="AG302" s="799">
        <f t="shared" si="124"/>
        <v>0</v>
      </c>
      <c r="AH302" s="176">
        <f t="shared" si="119"/>
        <v>6</v>
      </c>
      <c r="AI302" s="224">
        <f t="shared" si="120"/>
        <v>0.49658194570492531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44850</v>
      </c>
      <c r="B303" s="1153">
        <v>34.176000000000002</v>
      </c>
      <c r="C303" s="388"/>
      <c r="D303" s="391">
        <f t="shared" si="102"/>
        <v>35.084536134687973</v>
      </c>
      <c r="E303" s="383">
        <f t="shared" si="125"/>
        <v>35.928676653780734</v>
      </c>
      <c r="F303" s="383">
        <f t="shared" si="103"/>
        <v>35.999965910915925</v>
      </c>
      <c r="G303" s="110">
        <f t="shared" si="126"/>
        <v>0.89997576119481615</v>
      </c>
      <c r="H303" s="412" t="b">
        <f>Wh_hp&gt;='2021'!Maxi_hp</f>
        <v>0</v>
      </c>
      <c r="I303" s="379">
        <f>IF(H303,Wh_hp,'2021'!Maxi_hp)</f>
        <v>38.803370286376357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2.589562909425791E-2</v>
      </c>
      <c r="M303" s="832"/>
      <c r="N303" s="832"/>
      <c r="O303" s="48">
        <f>IF(t&lt;Tnet,'2021'!Resal+('2021'!Salim-'2021'!Resal)*(1-EXP(('2021'!Tnet-t)/('2021'!Tau_j))),Resal+(Salim-Resal)*(1-EXP((Tnet-t)/(Tau_j))))*Salcycl</f>
        <v>2.3494895935832743E-2</v>
      </c>
      <c r="P303" s="169">
        <f>(INDEX(Models!$BJ303:$BT303,,T303)*(1-R303)+INDEX(Models!$BJ303:$BT303,,T303+1)*R303-ERP_i)*Q303*Ramure*Pc/MaxiM</f>
        <v>2.3092532731172032E-3</v>
      </c>
      <c r="Q303" s="304">
        <f t="shared" si="105"/>
        <v>0.6</v>
      </c>
      <c r="R303" s="177">
        <f t="shared" si="106"/>
        <v>0.49668993207955831</v>
      </c>
      <c r="S303" s="799">
        <f t="shared" si="107"/>
        <v>0</v>
      </c>
      <c r="T303" s="176">
        <f t="shared" si="108"/>
        <v>6</v>
      </c>
      <c r="U303" s="250">
        <f t="shared" si="109"/>
        <v>0.49668993207955831</v>
      </c>
      <c r="V303" s="382">
        <f t="shared" si="110"/>
        <v>37.961837924768261</v>
      </c>
      <c r="W303" s="400">
        <f t="shared" si="111"/>
        <v>0</v>
      </c>
      <c r="X303" s="157">
        <f t="shared" si="112"/>
        <v>44850</v>
      </c>
      <c r="Y303" s="383">
        <f t="shared" si="113"/>
        <v>31.972088366015118</v>
      </c>
      <c r="Z303" s="383">
        <f t="shared" si="114"/>
        <v>32.822035626723263</v>
      </c>
      <c r="AA303" s="384">
        <f t="shared" si="115"/>
        <v>35.928676653780734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8.6466892643833726E-2</v>
      </c>
      <c r="AD303" s="230">
        <f>(INDEX(Models!$BJ303:$BT303,,AH303)*(1-AF303)+INDEX(Models!$BJ303:$BT303,,AH303+1)*AF303-ERP_i)*AE303*Ramure*Pc/MaxiM</f>
        <v>2.3092532731172032E-3</v>
      </c>
      <c r="AE303" s="304">
        <f t="shared" si="117"/>
        <v>0.6</v>
      </c>
      <c r="AF303" s="177">
        <f t="shared" si="118"/>
        <v>0.49668993207955831</v>
      </c>
      <c r="AG303" s="799">
        <f t="shared" si="124"/>
        <v>0</v>
      </c>
      <c r="AH303" s="176">
        <f t="shared" si="119"/>
        <v>6</v>
      </c>
      <c r="AI303" s="224">
        <f t="shared" si="120"/>
        <v>0.49668993207955831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44851</v>
      </c>
      <c r="B304" s="1153">
        <v>20.289000000000001</v>
      </c>
      <c r="C304" s="388"/>
      <c r="D304" s="391">
        <f t="shared" si="102"/>
        <v>20.82876275633884</v>
      </c>
      <c r="E304" s="383">
        <f t="shared" si="125"/>
        <v>21.331374632398553</v>
      </c>
      <c r="F304" s="383">
        <f t="shared" si="103"/>
        <v>21.348919467398879</v>
      </c>
      <c r="G304" s="110">
        <f t="shared" si="126"/>
        <v>0.53858008402561108</v>
      </c>
      <c r="H304" s="412" t="b">
        <f>Wh_hp&gt;='2021'!Maxi_hp</f>
        <v>0</v>
      </c>
      <c r="I304" s="379">
        <f>IF(H304,Wh_hp,'2021'!Maxi_hp)</f>
        <v>35.6425652403491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2.5914297582297352E-2</v>
      </c>
      <c r="M304" s="832"/>
      <c r="N304" s="832"/>
      <c r="O304" s="48">
        <f>IF(t&lt;Tnet,'2021'!Resal+('2021'!Salim-'2021'!Resal)*(1-EXP(('2021'!Tnet-t)/('2021'!Tau_j))),Resal+(Salim-Resal)*(1-EXP((Tnet-t)/(Tau_j))))*Salcycl</f>
        <v>2.3562095022996554E-2</v>
      </c>
      <c r="P304" s="169">
        <f>(INDEX(Models!$BJ304:$BT304,,T304)*(1-R304)+INDEX(Models!$BJ304:$BT304,,T304+1)*R304-ERP_i)*Q304*Ramure*Pc/MaxiM</f>
        <v>2.4026276013880458E-3</v>
      </c>
      <c r="Q304" s="304">
        <f t="shared" si="105"/>
        <v>0.6</v>
      </c>
      <c r="R304" s="177">
        <f t="shared" si="106"/>
        <v>0.49679361464480315</v>
      </c>
      <c r="S304" s="799">
        <f t="shared" si="107"/>
        <v>0</v>
      </c>
      <c r="T304" s="176">
        <f t="shared" si="108"/>
        <v>6</v>
      </c>
      <c r="U304" s="250">
        <f t="shared" si="109"/>
        <v>0.49679361464480315</v>
      </c>
      <c r="V304" s="382">
        <f t="shared" si="110"/>
        <v>37.611677609765479</v>
      </c>
      <c r="W304" s="400">
        <f t="shared" si="111"/>
        <v>0</v>
      </c>
      <c r="X304" s="157">
        <f t="shared" si="112"/>
        <v>44851</v>
      </c>
      <c r="Y304" s="383">
        <f t="shared" si="113"/>
        <v>18.983090941875048</v>
      </c>
      <c r="Z304" s="383">
        <f t="shared" si="114"/>
        <v>19.488111666928884</v>
      </c>
      <c r="AA304" s="384">
        <f t="shared" si="115"/>
        <v>21.331374632398553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8.6410885244595656E-2</v>
      </c>
      <c r="AD304" s="230">
        <f>(INDEX(Models!$BJ304:$BT304,,AH304)*(1-AF304)+INDEX(Models!$BJ304:$BT304,,AH304+1)*AF304-ERP_i)*AE304*Ramure*Pc/MaxiM</f>
        <v>2.4026276013880458E-3</v>
      </c>
      <c r="AE304" s="304">
        <f t="shared" si="117"/>
        <v>0.6</v>
      </c>
      <c r="AF304" s="177">
        <f t="shared" si="118"/>
        <v>0.49679361464480315</v>
      </c>
      <c r="AG304" s="799">
        <f t="shared" si="124"/>
        <v>0</v>
      </c>
      <c r="AH304" s="176">
        <f t="shared" si="119"/>
        <v>6</v>
      </c>
      <c r="AI304" s="224">
        <f t="shared" si="120"/>
        <v>0.49679361464480315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44852</v>
      </c>
      <c r="B305" s="1153">
        <v>35.789000000000001</v>
      </c>
      <c r="C305" s="388"/>
      <c r="D305" s="391">
        <f t="shared" si="102"/>
        <v>36.741824474309141</v>
      </c>
      <c r="E305" s="383">
        <f t="shared" si="125"/>
        <v>37.630999850020395</v>
      </c>
      <c r="F305" s="383">
        <f t="shared" si="103"/>
        <v>37.719817636146708</v>
      </c>
      <c r="G305" s="110">
        <f t="shared" si="126"/>
        <v>0.96037755542292724</v>
      </c>
      <c r="H305" s="412" t="b">
        <f>Wh_hp&gt;='2021'!Maxi_hp</f>
        <v>0</v>
      </c>
      <c r="I305" s="379">
        <f>IF(H305,Wh_hp,'2021'!Maxi_hp)</f>
        <v>38.775386152374139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2.5932965712559541E-2</v>
      </c>
      <c r="M305" s="832"/>
      <c r="N305" s="832"/>
      <c r="O305" s="48">
        <f>IF(t&lt;Tnet,'2021'!Resal+('2021'!Salim-'2021'!Resal)*(1-EXP(('2021'!Tnet-t)/('2021'!Tau_j))),Resal+(Salim-Resal)*(1-EXP((Tnet-t)/(Tau_j))))*Salcycl</f>
        <v>2.3628800171536582E-2</v>
      </c>
      <c r="P305" s="169">
        <f>(INDEX(Models!$BJ305:$BT305,,T305)*(1-R305)+INDEX(Models!$BJ305:$BT305,,T305+1)*R305-ERP_i)*Q305*Ramure*Pc/MaxiM</f>
        <v>2.4954390954492786E-3</v>
      </c>
      <c r="Q305" s="304">
        <f t="shared" si="105"/>
        <v>0.6</v>
      </c>
      <c r="R305" s="177">
        <f t="shared" si="106"/>
        <v>0.49689316323524363</v>
      </c>
      <c r="S305" s="799">
        <f t="shared" si="107"/>
        <v>0</v>
      </c>
      <c r="T305" s="176">
        <f t="shared" si="108"/>
        <v>6</v>
      </c>
      <c r="U305" s="250">
        <f t="shared" si="109"/>
        <v>0.49689316323524363</v>
      </c>
      <c r="V305" s="382">
        <f t="shared" si="110"/>
        <v>37.260294122895665</v>
      </c>
      <c r="W305" s="400">
        <f t="shared" si="111"/>
        <v>0</v>
      </c>
      <c r="X305" s="157">
        <f t="shared" si="112"/>
        <v>44852</v>
      </c>
      <c r="Y305" s="383">
        <f t="shared" si="113"/>
        <v>33.489806379465179</v>
      </c>
      <c r="Z305" s="383">
        <f t="shared" si="114"/>
        <v>34.381418527282349</v>
      </c>
      <c r="AA305" s="384">
        <f t="shared" si="115"/>
        <v>37.630999850020395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8.635383953892696E-2</v>
      </c>
      <c r="AD305" s="230">
        <f>(INDEX(Models!$BJ305:$BT305,,AH305)*(1-AF305)+INDEX(Models!$BJ305:$BT305,,AH305+1)*AF305-ERP_i)*AE305*Ramure*Pc/MaxiM</f>
        <v>2.4954390954492786E-3</v>
      </c>
      <c r="AE305" s="304">
        <f t="shared" si="117"/>
        <v>0.6</v>
      </c>
      <c r="AF305" s="177">
        <f t="shared" si="118"/>
        <v>0.49689316323524363</v>
      </c>
      <c r="AG305" s="799">
        <f t="shared" si="124"/>
        <v>0</v>
      </c>
      <c r="AH305" s="176">
        <f t="shared" si="119"/>
        <v>6</v>
      </c>
      <c r="AI305" s="224">
        <f t="shared" si="120"/>
        <v>0.49689316323524363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44853</v>
      </c>
      <c r="B306" s="1153">
        <v>16.635000000000002</v>
      </c>
      <c r="C306" s="388"/>
      <c r="D306" s="391">
        <f t="shared" si="102"/>
        <v>17.078207378467692</v>
      </c>
      <c r="E306" s="383">
        <f t="shared" si="125"/>
        <v>17.492697190908995</v>
      </c>
      <c r="F306" s="383">
        <f t="shared" si="103"/>
        <v>17.502448274393359</v>
      </c>
      <c r="G306" s="110">
        <f t="shared" si="126"/>
        <v>0.44979705044816093</v>
      </c>
      <c r="H306" s="412" t="b">
        <f>Wh_hp&gt;='2021'!Maxi_hp</f>
        <v>0</v>
      </c>
      <c r="I306" s="379">
        <f>IF(H306,Wh_hp,'2021'!Maxi_hp)</f>
        <v>38.555741543850147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2.5951633485051251E-2</v>
      </c>
      <c r="M306" s="832"/>
      <c r="N306" s="832"/>
      <c r="O306" s="48">
        <f>IF(t&lt;Tnet,'2021'!Resal+('2021'!Salim-'2021'!Resal)*(1-EXP(('2021'!Tnet-t)/('2021'!Tau_j))),Resal+(Salim-Resal)*(1-EXP((Tnet-t)/(Tau_j))))*Salcycl</f>
        <v>2.3695020151421581E-2</v>
      </c>
      <c r="P306" s="169">
        <f>(INDEX(Models!$BJ306:$BT306,,T306)*(1-R306)+INDEX(Models!$BJ306:$BT306,,T306+1)*R306-ERP_i)*Q306*Ramure*Pc/MaxiM</f>
        <v>2.5876299137986081E-3</v>
      </c>
      <c r="Q306" s="304">
        <f t="shared" si="105"/>
        <v>0.6</v>
      </c>
      <c r="R306" s="177">
        <f t="shared" si="106"/>
        <v>0.49698874111667374</v>
      </c>
      <c r="S306" s="799">
        <f t="shared" si="107"/>
        <v>0</v>
      </c>
      <c r="T306" s="176">
        <f t="shared" si="108"/>
        <v>6</v>
      </c>
      <c r="U306" s="250">
        <f t="shared" si="109"/>
        <v>0.49698874111667374</v>
      </c>
      <c r="V306" s="382">
        <f t="shared" si="110"/>
        <v>36.908209459857403</v>
      </c>
      <c r="W306" s="400">
        <f t="shared" si="111"/>
        <v>0</v>
      </c>
      <c r="X306" s="157">
        <f t="shared" si="112"/>
        <v>44853</v>
      </c>
      <c r="Y306" s="383">
        <f t="shared" si="113"/>
        <v>15.568362068044097</v>
      </c>
      <c r="Z306" s="383">
        <f t="shared" si="114"/>
        <v>15.983150943259828</v>
      </c>
      <c r="AA306" s="384">
        <f t="shared" si="115"/>
        <v>17.492697190908995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8.6295797107474287E-2</v>
      </c>
      <c r="AD306" s="230">
        <f>(INDEX(Models!$BJ306:$BT306,,AH306)*(1-AF306)+INDEX(Models!$BJ306:$BT306,,AH306+1)*AF306-ERP_i)*AE306*Ramure*Pc/MaxiM</f>
        <v>2.5876299137986081E-3</v>
      </c>
      <c r="AE306" s="304">
        <f t="shared" si="117"/>
        <v>0.6</v>
      </c>
      <c r="AF306" s="177">
        <f t="shared" si="118"/>
        <v>0.49698874111667374</v>
      </c>
      <c r="AG306" s="799">
        <f t="shared" si="124"/>
        <v>0</v>
      </c>
      <c r="AH306" s="176">
        <f t="shared" si="119"/>
        <v>6</v>
      </c>
      <c r="AI306" s="224">
        <f t="shared" si="120"/>
        <v>0.49698874111667374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44854</v>
      </c>
      <c r="B307" s="1153">
        <v>7.0049999999999999</v>
      </c>
      <c r="C307" s="388"/>
      <c r="D307" s="391">
        <f t="shared" si="102"/>
        <v>7.1917724957165152</v>
      </c>
      <c r="E307" s="383">
        <f t="shared" si="125"/>
        <v>7.3668136238444042</v>
      </c>
      <c r="F307" s="383">
        <f t="shared" si="103"/>
        <v>7.3668136238444042</v>
      </c>
      <c r="G307" s="110">
        <f t="shared" si="126"/>
        <v>0.19111070953134468</v>
      </c>
      <c r="H307" s="412" t="b">
        <f>Wh_hp&gt;='2021'!Maxi_hp</f>
        <v>0</v>
      </c>
      <c r="I307" s="379">
        <f>IF(H307,Wh_hp,'2021'!Maxi_hp)</f>
        <v>31.702695928532638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2.5970300899779364E-2</v>
      </c>
      <c r="M307" s="832"/>
      <c r="N307" s="832"/>
      <c r="O307" s="48">
        <f>IF(t&lt;Tnet,'2021'!Resal+('2021'!Salim-'2021'!Resal)*(1-EXP(('2021'!Tnet-t)/('2021'!Tau_j))),Resal+(Salim-Resal)*(1-EXP((Tnet-t)/(Tau_j))))*Salcycl</f>
        <v>2.3760765110349413E-2</v>
      </c>
      <c r="P307" s="169">
        <f>(INDEX(Models!$BJ307:$BT307,,T307)*(1-R307)+INDEX(Models!$BJ307:$BT307,,T307+1)*R307-ERP_i)*Q307*Ramure*Pc/MaxiM</f>
        <v>2.6791390862699479E-3</v>
      </c>
      <c r="Q307" s="304">
        <f t="shared" si="105"/>
        <v>0.6</v>
      </c>
      <c r="R307" s="177">
        <f t="shared" si="106"/>
        <v>0.49708050522966712</v>
      </c>
      <c r="S307" s="799">
        <f t="shared" si="107"/>
        <v>0</v>
      </c>
      <c r="T307" s="176">
        <f t="shared" si="108"/>
        <v>6</v>
      </c>
      <c r="U307" s="250">
        <f t="shared" si="109"/>
        <v>0.49708050522966712</v>
      </c>
      <c r="V307" s="382">
        <f t="shared" si="110"/>
        <v>36.555945231080031</v>
      </c>
      <c r="W307" s="400">
        <f t="shared" si="111"/>
        <v>0</v>
      </c>
      <c r="X307" s="157">
        <f t="shared" si="112"/>
        <v>44854</v>
      </c>
      <c r="Y307" s="383">
        <f t="shared" si="113"/>
        <v>6.5567034797356376</v>
      </c>
      <c r="Z307" s="383">
        <f t="shared" si="114"/>
        <v>6.7315231617603892</v>
      </c>
      <c r="AA307" s="384">
        <f t="shared" si="115"/>
        <v>7.3668136238444042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8.6236803932130221E-2</v>
      </c>
      <c r="AD307" s="230">
        <f>(INDEX(Models!$BJ307:$BT307,,AH307)*(1-AF307)+INDEX(Models!$BJ307:$BT307,,AH307+1)*AF307-ERP_i)*AE307*Ramure*Pc/MaxiM</f>
        <v>2.6791390862699479E-3</v>
      </c>
      <c r="AE307" s="304">
        <f t="shared" si="117"/>
        <v>0.6</v>
      </c>
      <c r="AF307" s="177">
        <f t="shared" si="118"/>
        <v>0.49708050522966712</v>
      </c>
      <c r="AG307" s="799">
        <f t="shared" si="124"/>
        <v>0</v>
      </c>
      <c r="AH307" s="176">
        <f t="shared" si="119"/>
        <v>6</v>
      </c>
      <c r="AI307" s="224">
        <f t="shared" si="120"/>
        <v>0.49708050522966712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44855</v>
      </c>
      <c r="B308" s="1153">
        <v>17.048000000000002</v>
      </c>
      <c r="C308" s="388"/>
      <c r="D308" s="391">
        <f t="shared" si="102"/>
        <v>17.502881835164896</v>
      </c>
      <c r="E308" s="383">
        <f t="shared" si="125"/>
        <v>17.930084872423578</v>
      </c>
      <c r="F308" s="383">
        <f t="shared" si="103"/>
        <v>17.942217401980884</v>
      </c>
      <c r="G308" s="110">
        <f t="shared" si="126"/>
        <v>0.46990033586214502</v>
      </c>
      <c r="H308" s="412" t="b">
        <f>Wh_hp&gt;='2021'!Maxi_hp</f>
        <v>0</v>
      </c>
      <c r="I308" s="379">
        <f>IF(H308,Wh_hp,'2021'!Maxi_hp)</f>
        <v>24.418087613545492</v>
      </c>
      <c r="J308" s="85">
        <f>IF(H308,An,'2021'!An_max)</f>
        <v>2018</v>
      </c>
      <c r="K308" s="197">
        <f t="shared" si="104"/>
        <v>44855</v>
      </c>
      <c r="L308" s="147">
        <f>IF(t&lt;Tvie,1-EXP((T0-t)*PertePVj)+'2021'!Pspv,1-EXP((T0-t)*PertePVj)+Pspv)</f>
        <v>2.5988967956750764E-2</v>
      </c>
      <c r="M308" s="832"/>
      <c r="N308" s="832"/>
      <c r="O308" s="48">
        <f>IF(t&lt;Tnet,'2021'!Resal+('2021'!Salim-'2021'!Resal)*(1-EXP(('2021'!Tnet-t)/('2021'!Tau_j))),Resal+(Salim-Resal)*(1-EXP((Tnet-t)/(Tau_j))))*Salcycl</f>
        <v>2.3826046574699666E-2</v>
      </c>
      <c r="P308" s="169">
        <f>(INDEX(Models!$BJ308:$BT308,,T308)*(1-R308)+INDEX(Models!$BJ308:$BT308,,T308+1)*R308-ERP_i)*Q308*Ramure*Pc/MaxiM</f>
        <v>2.769902687902232E-3</v>
      </c>
      <c r="Q308" s="304">
        <f t="shared" si="105"/>
        <v>0.6</v>
      </c>
      <c r="R308" s="177">
        <f t="shared" si="106"/>
        <v>0.49716860642495242</v>
      </c>
      <c r="S308" s="799">
        <f t="shared" si="107"/>
        <v>0</v>
      </c>
      <c r="T308" s="176">
        <f t="shared" si="108"/>
        <v>6</v>
      </c>
      <c r="U308" s="250">
        <f t="shared" si="109"/>
        <v>0.49716860642495242</v>
      </c>
      <c r="V308" s="382">
        <f t="shared" si="110"/>
        <v>36.204022657624556</v>
      </c>
      <c r="W308" s="400">
        <f t="shared" si="111"/>
        <v>0</v>
      </c>
      <c r="X308" s="157">
        <f t="shared" si="112"/>
        <v>44855</v>
      </c>
      <c r="Y308" s="383">
        <f t="shared" si="113"/>
        <v>15.95909825098429</v>
      </c>
      <c r="Z308" s="383">
        <f t="shared" si="114"/>
        <v>16.384925556239136</v>
      </c>
      <c r="AA308" s="384">
        <f t="shared" si="115"/>
        <v>17.930084872423578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8.6176910325778414E-2</v>
      </c>
      <c r="AD308" s="230">
        <f>(INDEX(Models!$BJ308:$BT308,,AH308)*(1-AF308)+INDEX(Models!$BJ308:$BT308,,AH308+1)*AF308-ERP_i)*AE308*Ramure*Pc/MaxiM</f>
        <v>2.769902687902232E-3</v>
      </c>
      <c r="AE308" s="304">
        <f t="shared" si="117"/>
        <v>0.6</v>
      </c>
      <c r="AF308" s="177">
        <f t="shared" si="118"/>
        <v>0.49716860642495242</v>
      </c>
      <c r="AG308" s="799">
        <f t="shared" si="124"/>
        <v>0</v>
      </c>
      <c r="AH308" s="176">
        <f t="shared" si="119"/>
        <v>6</v>
      </c>
      <c r="AI308" s="224">
        <f t="shared" si="120"/>
        <v>0.49716860642495242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44856</v>
      </c>
      <c r="B309" s="1153">
        <v>34.442999999999998</v>
      </c>
      <c r="C309" s="388"/>
      <c r="D309" s="391">
        <f t="shared" si="102"/>
        <v>35.362700186909827</v>
      </c>
      <c r="E309" s="383">
        <f t="shared" si="125"/>
        <v>36.228224252466568</v>
      </c>
      <c r="F309" s="383">
        <f t="shared" si="103"/>
        <v>36.326275641473238</v>
      </c>
      <c r="G309" s="110">
        <f t="shared" si="126"/>
        <v>0.96051898307959205</v>
      </c>
      <c r="H309" s="412" t="b">
        <f>Wh_hp&gt;='2021'!Maxi_hp</f>
        <v>1</v>
      </c>
      <c r="I309" s="379">
        <f>IF(H309,Wh_hp,'2021'!Maxi_hp)</f>
        <v>36.326275641473238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2.6007634655972223E-2</v>
      </c>
      <c r="M309" s="832"/>
      <c r="N309" s="832"/>
      <c r="O309" s="48">
        <f>IF(t&lt;Tnet,'2021'!Resal+('2021'!Salim-'2021'!Resal)*(1-EXP(('2021'!Tnet-t)/('2021'!Tau_j))),Resal+(Salim-Resal)*(1-EXP((Tnet-t)/(Tau_j))))*Salcycl</f>
        <v>2.3890877441993693E-2</v>
      </c>
      <c r="P309" s="169">
        <f>(INDEX(Models!$BJ309:$BT309,,T309)*(1-R309)+INDEX(Models!$BJ309:$BT309,,T309+1)*R309-ERP_i)*Q309*Ramure*Pc/MaxiM</f>
        <v>2.8598540153953887E-3</v>
      </c>
      <c r="Q309" s="304">
        <f t="shared" si="105"/>
        <v>0.6</v>
      </c>
      <c r="R309" s="177">
        <f t="shared" si="106"/>
        <v>0.49725318969079835</v>
      </c>
      <c r="S309" s="799">
        <f t="shared" si="107"/>
        <v>0</v>
      </c>
      <c r="T309" s="176">
        <f t="shared" si="108"/>
        <v>6</v>
      </c>
      <c r="U309" s="250">
        <f t="shared" si="109"/>
        <v>0.49725318969079835</v>
      </c>
      <c r="V309" s="382">
        <f t="shared" si="110"/>
        <v>35.852962569636304</v>
      </c>
      <c r="W309" s="400">
        <f t="shared" si="111"/>
        <v>0</v>
      </c>
      <c r="X309" s="157">
        <f t="shared" si="112"/>
        <v>44856</v>
      </c>
      <c r="Y309" s="383">
        <f t="shared" si="113"/>
        <v>32.247317436707412</v>
      </c>
      <c r="Z309" s="383">
        <f t="shared" si="114"/>
        <v>33.108388303759661</v>
      </c>
      <c r="AA309" s="384">
        <f t="shared" si="115"/>
        <v>36.228224252466568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8.6116170833145211E-2</v>
      </c>
      <c r="AD309" s="230">
        <f>(INDEX(Models!$BJ309:$BT309,,AH309)*(1-AF309)+INDEX(Models!$BJ309:$BT309,,AH309+1)*AF309-ERP_i)*AE309*Ramure*Pc/MaxiM</f>
        <v>2.8598540153953887E-3</v>
      </c>
      <c r="AE309" s="304">
        <f t="shared" si="117"/>
        <v>0.6</v>
      </c>
      <c r="AF309" s="177">
        <f t="shared" si="118"/>
        <v>0.49725318969079835</v>
      </c>
      <c r="AG309" s="799">
        <f t="shared" si="124"/>
        <v>0</v>
      </c>
      <c r="AH309" s="176">
        <f t="shared" si="119"/>
        <v>6</v>
      </c>
      <c r="AI309" s="224">
        <f t="shared" si="120"/>
        <v>0.49725318969079835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44857</v>
      </c>
      <c r="B310" s="1153">
        <v>17.702000000000002</v>
      </c>
      <c r="C310" s="388"/>
      <c r="D310" s="391">
        <f t="shared" si="102"/>
        <v>18.17502876938946</v>
      </c>
      <c r="E310" s="383">
        <f t="shared" si="125"/>
        <v>18.621102340231857</v>
      </c>
      <c r="F310" s="383">
        <f t="shared" si="103"/>
        <v>18.636684064663974</v>
      </c>
      <c r="G310" s="110">
        <f t="shared" si="126"/>
        <v>0.49754739338925291</v>
      </c>
      <c r="H310" s="412" t="b">
        <f>Wh_hp&gt;='2021'!Maxi_hp</f>
        <v>0</v>
      </c>
      <c r="I310" s="379">
        <f>IF(H310,Wh_hp,'2021'!Maxi_hp)</f>
        <v>37.404529448025627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2.6026300997450735E-2</v>
      </c>
      <c r="M310" s="832"/>
      <c r="N310" s="832"/>
      <c r="O310" s="48">
        <f>IF(t&lt;Tnet,'2021'!Resal+('2021'!Salim-'2021'!Resal)*(1-EXP(('2021'!Tnet-t)/('2021'!Tau_j))),Resal+(Salim-Resal)*(1-EXP((Tnet-t)/(Tau_j))))*Salcycl</f>
        <v>2.3955271964680312E-2</v>
      </c>
      <c r="P310" s="169">
        <f>(INDEX(Models!$BJ310:$BT310,,T310)*(1-R310)+INDEX(Models!$BJ310:$BT310,,T310+1)*R310-ERP_i)*Q310*Ramure*Pc/MaxiM</f>
        <v>2.9468910700903711E-3</v>
      </c>
      <c r="Q310" s="304">
        <f t="shared" si="105"/>
        <v>0.6</v>
      </c>
      <c r="R310" s="177">
        <f t="shared" si="106"/>
        <v>0.49733439437262011</v>
      </c>
      <c r="S310" s="799">
        <f t="shared" si="107"/>
        <v>0</v>
      </c>
      <c r="T310" s="176">
        <f t="shared" si="108"/>
        <v>6</v>
      </c>
      <c r="U310" s="250">
        <f t="shared" si="109"/>
        <v>0.49733439437262011</v>
      </c>
      <c r="V310" s="382">
        <f t="shared" si="110"/>
        <v>35.503357786158119</v>
      </c>
      <c r="W310" s="400">
        <f t="shared" si="111"/>
        <v>0</v>
      </c>
      <c r="X310" s="157">
        <f t="shared" si="112"/>
        <v>44857</v>
      </c>
      <c r="Y310" s="383">
        <f t="shared" si="113"/>
        <v>16.575736977401139</v>
      </c>
      <c r="Z310" s="383">
        <f t="shared" si="114"/>
        <v>17.018670005541651</v>
      </c>
      <c r="AA310" s="384">
        <f t="shared" si="115"/>
        <v>18.621102340231857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8.6054644102785849E-2</v>
      </c>
      <c r="AD310" s="230">
        <f>(INDEX(Models!$BJ310:$BT310,,AH310)*(1-AF310)+INDEX(Models!$BJ310:$BT310,,AH310+1)*AF310-ERP_i)*AE310*Ramure*Pc/MaxiM</f>
        <v>2.9468910700903711E-3</v>
      </c>
      <c r="AE310" s="304">
        <f t="shared" si="117"/>
        <v>0.6</v>
      </c>
      <c r="AF310" s="177">
        <f t="shared" si="118"/>
        <v>0.49733439437262011</v>
      </c>
      <c r="AG310" s="799">
        <f t="shared" si="124"/>
        <v>0</v>
      </c>
      <c r="AH310" s="176">
        <f t="shared" si="119"/>
        <v>6</v>
      </c>
      <c r="AI310" s="224">
        <f t="shared" si="120"/>
        <v>0.49733439437262011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44858</v>
      </c>
      <c r="B311" s="1153">
        <v>26.190999999999999</v>
      </c>
      <c r="C311" s="388"/>
      <c r="D311" s="391">
        <f t="shared" si="102"/>
        <v>26.891385240671838</v>
      </c>
      <c r="E311" s="383">
        <f t="shared" si="125"/>
        <v>27.553192133026833</v>
      </c>
      <c r="F311" s="383">
        <f t="shared" si="103"/>
        <v>27.606376025952819</v>
      </c>
      <c r="G311" s="110">
        <f t="shared" si="126"/>
        <v>0.74417515201084539</v>
      </c>
      <c r="H311" s="412" t="b">
        <f>Wh_hp&gt;='2021'!Maxi_hp</f>
        <v>0</v>
      </c>
      <c r="I311" s="379">
        <f>IF(H311,Wh_hp,'2021'!Maxi_hp)</f>
        <v>38.420312161688102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2.6044966981192963E-2</v>
      </c>
      <c r="M311" s="832"/>
      <c r="N311" s="832"/>
      <c r="O311" s="48">
        <f>IF(t&lt;Tnet,'2021'!Resal+('2021'!Salim-'2021'!Resal)*(1-EXP(('2021'!Tnet-t)/('2021'!Tau_j))),Resal+(Salim-Resal)*(1-EXP((Tnet-t)/(Tau_j))))*Salcycl</f>
        <v>2.4019245725133771E-2</v>
      </c>
      <c r="P311" s="169">
        <f>(INDEX(Models!$BJ311:$BT311,,T311)*(1-R311)+INDEX(Models!$BJ311:$BT311,,T311+1)*R311-ERP_i)*Q311*Ramure*Pc/MaxiM</f>
        <v>3.0304669039612872E-3</v>
      </c>
      <c r="Q311" s="304">
        <f t="shared" si="105"/>
        <v>0.6</v>
      </c>
      <c r="R311" s="177">
        <f t="shared" si="106"/>
        <v>0.4974123543850128</v>
      </c>
      <c r="S311" s="799">
        <f t="shared" si="107"/>
        <v>0</v>
      </c>
      <c r="T311" s="176">
        <f t="shared" si="108"/>
        <v>6</v>
      </c>
      <c r="U311" s="250">
        <f t="shared" si="109"/>
        <v>0.4974123543850128</v>
      </c>
      <c r="V311" s="382">
        <f t="shared" si="110"/>
        <v>35.155743000455104</v>
      </c>
      <c r="W311" s="400">
        <f t="shared" si="111"/>
        <v>0</v>
      </c>
      <c r="X311" s="157">
        <f t="shared" si="112"/>
        <v>44858</v>
      </c>
      <c r="Y311" s="383">
        <f t="shared" si="113"/>
        <v>24.527915265892918</v>
      </c>
      <c r="Z311" s="383">
        <f t="shared" si="114"/>
        <v>25.183827214145403</v>
      </c>
      <c r="AA311" s="384">
        <f t="shared" si="115"/>
        <v>27.553192133026833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8.5992392730473363E-2</v>
      </c>
      <c r="AD311" s="230">
        <f>(INDEX(Models!$BJ311:$BT311,,AH311)*(1-AF311)+INDEX(Models!$BJ311:$BT311,,AH311+1)*AF311-ERP_i)*AE311*Ramure*Pc/MaxiM</f>
        <v>3.0304669039612872E-3</v>
      </c>
      <c r="AE311" s="304">
        <f t="shared" si="117"/>
        <v>0.6</v>
      </c>
      <c r="AF311" s="177">
        <f t="shared" si="118"/>
        <v>0.4974123543850128</v>
      </c>
      <c r="AG311" s="799">
        <f t="shared" si="124"/>
        <v>0</v>
      </c>
      <c r="AH311" s="176">
        <f t="shared" si="119"/>
        <v>6</v>
      </c>
      <c r="AI311" s="224">
        <f t="shared" si="120"/>
        <v>0.4974123543850128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44859</v>
      </c>
      <c r="B312" s="1153">
        <v>23.157</v>
      </c>
      <c r="C312" s="388"/>
      <c r="D312" s="391">
        <f t="shared" si="102"/>
        <v>23.776707365380318</v>
      </c>
      <c r="E312" s="383">
        <f t="shared" si="125"/>
        <v>24.363447785831085</v>
      </c>
      <c r="F312" s="383">
        <f t="shared" si="103"/>
        <v>24.403052233675169</v>
      </c>
      <c r="G312" s="110">
        <f t="shared" si="126"/>
        <v>0.66423654651157416</v>
      </c>
      <c r="H312" s="412" t="b">
        <f>Wh_hp&gt;='2021'!Maxi_hp</f>
        <v>0</v>
      </c>
      <c r="I312" s="379">
        <f>IF(H312,Wh_hp,'2021'!Maxi_hp)</f>
        <v>35.228620832517834</v>
      </c>
      <c r="J312" s="85">
        <f>IF(H312,An,'2021'!An_max)</f>
        <v>2021</v>
      </c>
      <c r="K312" s="197">
        <f t="shared" si="104"/>
        <v>44859</v>
      </c>
      <c r="L312" s="147">
        <f>IF(t&lt;Tvie,1-EXP((T0-t)*PertePVj)+'2021'!Pspv,1-EXP((T0-t)*PertePVj)+Pspv)</f>
        <v>2.60636326072059E-2</v>
      </c>
      <c r="M312" s="832"/>
      <c r="N312" s="832"/>
      <c r="O312" s="48">
        <f>IF(t&lt;Tnet,'2021'!Resal+('2021'!Salim-'2021'!Resal)*(1-EXP(('2021'!Tnet-t)/('2021'!Tau_j))),Resal+(Salim-Resal)*(1-EXP((Tnet-t)/(Tau_j))))*Salcycl</f>
        <v>2.4082815601821118E-2</v>
      </c>
      <c r="P312" s="169">
        <f>(INDEX(Models!$BJ312:$BT312,,T312)*(1-R312)+INDEX(Models!$BJ312:$BT312,,T312+1)*R312-ERP_i)*Q312*Ramure*Pc/MaxiM</f>
        <v>3.1105278187102199E-3</v>
      </c>
      <c r="Q312" s="304">
        <f t="shared" si="105"/>
        <v>0.6</v>
      </c>
      <c r="R312" s="177">
        <f t="shared" si="106"/>
        <v>0.49748719841642103</v>
      </c>
      <c r="S312" s="799">
        <f t="shared" si="107"/>
        <v>0</v>
      </c>
      <c r="T312" s="176">
        <f t="shared" si="108"/>
        <v>6</v>
      </c>
      <c r="U312" s="250">
        <f t="shared" si="109"/>
        <v>0.49748719841642103</v>
      </c>
      <c r="V312" s="382">
        <f t="shared" si="110"/>
        <v>34.810634589210501</v>
      </c>
      <c r="W312" s="400">
        <f t="shared" si="111"/>
        <v>0</v>
      </c>
      <c r="X312" s="157">
        <f t="shared" si="112"/>
        <v>44859</v>
      </c>
      <c r="Y312" s="383">
        <f t="shared" si="113"/>
        <v>21.689474577186573</v>
      </c>
      <c r="Z312" s="383">
        <f t="shared" si="114"/>
        <v>22.269909311682046</v>
      </c>
      <c r="AA312" s="384">
        <f t="shared" si="115"/>
        <v>24.363447785831085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8.5929483074500088E-2</v>
      </c>
      <c r="AD312" s="230">
        <f>(INDEX(Models!$BJ312:$BT312,,AH312)*(1-AF312)+INDEX(Models!$BJ312:$BT312,,AH312+1)*AF312-ERP_i)*AE312*Ramure*Pc/MaxiM</f>
        <v>3.1105278187102199E-3</v>
      </c>
      <c r="AE312" s="304">
        <f t="shared" si="117"/>
        <v>0.6</v>
      </c>
      <c r="AF312" s="177">
        <f t="shared" si="118"/>
        <v>0.49748719841642103</v>
      </c>
      <c r="AG312" s="799">
        <f t="shared" si="124"/>
        <v>0</v>
      </c>
      <c r="AH312" s="176">
        <f t="shared" si="119"/>
        <v>6</v>
      </c>
      <c r="AI312" s="224">
        <f t="shared" si="120"/>
        <v>0.49748719841642103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44860</v>
      </c>
      <c r="B313" s="1153">
        <v>12.909000000000001</v>
      </c>
      <c r="C313" s="388"/>
      <c r="D313" s="391">
        <f t="shared" si="102"/>
        <v>13.254713382701961</v>
      </c>
      <c r="E313" s="383">
        <f t="shared" si="125"/>
        <v>13.582680789328515</v>
      </c>
      <c r="F313" s="383">
        <f t="shared" si="103"/>
        <v>13.587290376492797</v>
      </c>
      <c r="G313" s="110">
        <f t="shared" si="126"/>
        <v>0.37344844205583883</v>
      </c>
      <c r="H313" s="412" t="b">
        <f>Wh_hp&gt;='2021'!Maxi_hp</f>
        <v>0</v>
      </c>
      <c r="I313" s="379">
        <f>IF(H313,Wh_hp,'2021'!Maxi_hp)</f>
        <v>35.899581400046522</v>
      </c>
      <c r="J313" s="85">
        <f>IF(H313,An,'2021'!An_max)</f>
        <v>2018</v>
      </c>
      <c r="K313" s="197">
        <f t="shared" si="104"/>
        <v>44860</v>
      </c>
      <c r="L313" s="147">
        <f>IF(t&lt;Tvie,1-EXP((T0-t)*PertePVj)+'2021'!Pspv,1-EXP((T0-t)*PertePVj)+Pspv)</f>
        <v>2.608229787549643E-2</v>
      </c>
      <c r="M313" s="832"/>
      <c r="N313" s="832"/>
      <c r="O313" s="48">
        <f>IF(t&lt;Tnet,'2021'!Resal+('2021'!Salim-'2021'!Resal)*(1-EXP(('2021'!Tnet-t)/('2021'!Tau_j))),Resal+(Salim-Resal)*(1-EXP((Tnet-t)/(Tau_j))))*Salcycl</f>
        <v>2.4145999726668595E-2</v>
      </c>
      <c r="P313" s="169">
        <f>(INDEX(Models!$BJ313:$BT313,,T313)*(1-R313)+INDEX(Models!$BJ313:$BT313,,T313+1)*R313-ERP_i)*Q313*Ramure*Pc/MaxiM</f>
        <v>3.1869966624051291E-3</v>
      </c>
      <c r="Q313" s="304">
        <f t="shared" si="105"/>
        <v>0.6</v>
      </c>
      <c r="R313" s="177">
        <f t="shared" si="106"/>
        <v>0.49755905012665053</v>
      </c>
      <c r="S313" s="799">
        <f t="shared" si="107"/>
        <v>0</v>
      </c>
      <c r="T313" s="176">
        <f t="shared" si="108"/>
        <v>6</v>
      </c>
      <c r="U313" s="250">
        <f t="shared" si="109"/>
        <v>0.49755905012665053</v>
      </c>
      <c r="V313" s="382">
        <f t="shared" si="110"/>
        <v>34.468549354796821</v>
      </c>
      <c r="W313" s="400">
        <f t="shared" si="111"/>
        <v>0</v>
      </c>
      <c r="X313" s="157">
        <f t="shared" si="112"/>
        <v>44860</v>
      </c>
      <c r="Y313" s="383">
        <f t="shared" si="113"/>
        <v>12.092542527638727</v>
      </c>
      <c r="Z313" s="383">
        <f t="shared" si="114"/>
        <v>12.416390523819478</v>
      </c>
      <c r="AA313" s="384">
        <f t="shared" si="115"/>
        <v>13.582680789328515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8.5865985043641332E-2</v>
      </c>
      <c r="AD313" s="230">
        <f>(INDEX(Models!$BJ313:$BT313,,AH313)*(1-AF313)+INDEX(Models!$BJ313:$BT313,,AH313+1)*AF313-ERP_i)*AE313*Ramure*Pc/MaxiM</f>
        <v>3.1869966624051291E-3</v>
      </c>
      <c r="AE313" s="304">
        <f t="shared" si="117"/>
        <v>0.6</v>
      </c>
      <c r="AF313" s="177">
        <f t="shared" si="118"/>
        <v>0.49755905012665053</v>
      </c>
      <c r="AG313" s="799">
        <f t="shared" si="124"/>
        <v>0</v>
      </c>
      <c r="AH313" s="176">
        <f t="shared" si="119"/>
        <v>6</v>
      </c>
      <c r="AI313" s="224">
        <f t="shared" si="120"/>
        <v>0.49755905012665053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44861</v>
      </c>
      <c r="B314" s="1153">
        <v>14.934000000000001</v>
      </c>
      <c r="C314" s="388"/>
      <c r="D314" s="391">
        <f t="shared" si="102"/>
        <v>15.334238385451416</v>
      </c>
      <c r="E314" s="383">
        <f t="shared" si="125"/>
        <v>15.714672011201539</v>
      </c>
      <c r="F314" s="383">
        <f t="shared" si="103"/>
        <v>15.724745392748865</v>
      </c>
      <c r="G314" s="110">
        <f t="shared" si="126"/>
        <v>0.4364154215107392</v>
      </c>
      <c r="H314" s="412" t="b">
        <f>Wh_hp&gt;='2021'!Maxi_hp</f>
        <v>0</v>
      </c>
      <c r="I314" s="379">
        <f>IF(H314,Wh_hp,'2021'!Maxi_hp)</f>
        <v>30.879725572368368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2.6100962786071324E-2</v>
      </c>
      <c r="M314" s="832"/>
      <c r="N314" s="832"/>
      <c r="O314" s="48">
        <f>IF(t&lt;Tnet,'2021'!Resal+('2021'!Salim-'2021'!Resal)*(1-EXP(('2021'!Tnet-t)/('2021'!Tau_j))),Resal+(Salim-Resal)*(1-EXP((Tnet-t)/(Tau_j))))*Salcycl</f>
        <v>2.4208817433729903E-2</v>
      </c>
      <c r="P314" s="169">
        <f>(INDEX(Models!$BJ314:$BT314,,T314)*(1-R314)+INDEX(Models!$BJ314:$BT314,,T314+1)*R314-ERP_i)*Q314*Ramure*Pc/MaxiM</f>
        <v>3.2597969004938255E-3</v>
      </c>
      <c r="Q314" s="304">
        <f t="shared" si="105"/>
        <v>0.6</v>
      </c>
      <c r="R314" s="177">
        <f t="shared" si="106"/>
        <v>0.49762802833742781</v>
      </c>
      <c r="S314" s="799">
        <f t="shared" si="107"/>
        <v>0</v>
      </c>
      <c r="T314" s="176">
        <f t="shared" si="108"/>
        <v>6</v>
      </c>
      <c r="U314" s="250">
        <f t="shared" si="109"/>
        <v>0.49762802833742781</v>
      </c>
      <c r="V314" s="382">
        <f t="shared" si="110"/>
        <v>34.130003684720172</v>
      </c>
      <c r="W314" s="400">
        <f t="shared" si="111"/>
        <v>0</v>
      </c>
      <c r="X314" s="157">
        <f t="shared" si="112"/>
        <v>44861</v>
      </c>
      <c r="Y314" s="383">
        <f t="shared" si="113"/>
        <v>13.991347325311528</v>
      </c>
      <c r="Z314" s="383">
        <f t="shared" si="114"/>
        <v>14.36632216552665</v>
      </c>
      <c r="AA314" s="384">
        <f t="shared" si="115"/>
        <v>15.714672011201539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8.5801971858768394E-2</v>
      </c>
      <c r="AD314" s="230">
        <f>(INDEX(Models!$BJ314:$BT314,,AH314)*(1-AF314)+INDEX(Models!$BJ314:$BT314,,AH314+1)*AF314-ERP_i)*AE314*Ramure*Pc/MaxiM</f>
        <v>3.2597969004938255E-3</v>
      </c>
      <c r="AE314" s="304">
        <f t="shared" si="117"/>
        <v>0.6</v>
      </c>
      <c r="AF314" s="177">
        <f t="shared" si="118"/>
        <v>0.49762802833742781</v>
      </c>
      <c r="AG314" s="799">
        <f t="shared" si="124"/>
        <v>0</v>
      </c>
      <c r="AH314" s="176">
        <f t="shared" si="119"/>
        <v>6</v>
      </c>
      <c r="AI314" s="224">
        <f t="shared" si="120"/>
        <v>0.49762802833742781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44862</v>
      </c>
      <c r="B315" s="1153">
        <v>17.965</v>
      </c>
      <c r="C315" s="388"/>
      <c r="D315" s="391">
        <f t="shared" si="102"/>
        <v>18.446824172985277</v>
      </c>
      <c r="E315" s="383">
        <f t="shared" si="125"/>
        <v>18.905689633595099</v>
      </c>
      <c r="F315" s="383">
        <f t="shared" si="103"/>
        <v>18.926532989017087</v>
      </c>
      <c r="G315" s="110">
        <f t="shared" si="126"/>
        <v>0.53039399564894973</v>
      </c>
      <c r="H315" s="412" t="b">
        <f>Wh_hp&gt;='2021'!Maxi_hp</f>
        <v>0</v>
      </c>
      <c r="I315" s="379">
        <f>IF(H315,Wh_hp,'2021'!Maxi_hp)</f>
        <v>35.461193234664123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2.6119627338937468E-2</v>
      </c>
      <c r="M315" s="832"/>
      <c r="N315" s="832"/>
      <c r="O315" s="48">
        <f>IF(t&lt;Tnet,'2021'!Resal+('2021'!Salim-'2021'!Resal)*(1-EXP(('2021'!Tnet-t)/('2021'!Tau_j))),Resal+(Salim-Resal)*(1-EXP((Tnet-t)/(Tau_j))))*Salcycl</f>
        <v>2.4271289199333031E-2</v>
      </c>
      <c r="P315" s="169">
        <f>(INDEX(Models!$BJ315:$BT315,,T315)*(1-R315)+INDEX(Models!$BJ315:$BT315,,T315+1)*R315-ERP_i)*Q315*Ramure*Pc/MaxiM</f>
        <v>3.3288530091622652E-3</v>
      </c>
      <c r="Q315" s="304">
        <f t="shared" si="105"/>
        <v>0.6</v>
      </c>
      <c r="R315" s="177">
        <f t="shared" si="106"/>
        <v>0.49769424721620992</v>
      </c>
      <c r="S315" s="799">
        <f t="shared" si="107"/>
        <v>0</v>
      </c>
      <c r="T315" s="176">
        <f t="shared" si="108"/>
        <v>6</v>
      </c>
      <c r="U315" s="250">
        <f t="shared" si="109"/>
        <v>0.49769424721620992</v>
      </c>
      <c r="V315" s="382">
        <f t="shared" si="110"/>
        <v>33.795513569271648</v>
      </c>
      <c r="W315" s="400">
        <f t="shared" si="111"/>
        <v>0</v>
      </c>
      <c r="X315" s="157">
        <f t="shared" si="112"/>
        <v>44862</v>
      </c>
      <c r="Y315" s="383">
        <f t="shared" si="113"/>
        <v>16.833291134281424</v>
      </c>
      <c r="Z315" s="383">
        <f t="shared" si="114"/>
        <v>17.284762694503833</v>
      </c>
      <c r="AA315" s="384">
        <f t="shared" si="115"/>
        <v>18.905689633595099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8.5737519789328684E-2</v>
      </c>
      <c r="AD315" s="230">
        <f>(INDEX(Models!$BJ315:$BT315,,AH315)*(1-AF315)+INDEX(Models!$BJ315:$BT315,,AH315+1)*AF315-ERP_i)*AE315*Ramure*Pc/MaxiM</f>
        <v>3.3288530091622652E-3</v>
      </c>
      <c r="AE315" s="304">
        <f t="shared" si="117"/>
        <v>0.6</v>
      </c>
      <c r="AF315" s="177">
        <f t="shared" si="118"/>
        <v>0.49769424721620992</v>
      </c>
      <c r="AG315" s="799">
        <f t="shared" si="124"/>
        <v>0</v>
      </c>
      <c r="AH315" s="176">
        <f t="shared" si="119"/>
        <v>6</v>
      </c>
      <c r="AI315" s="224">
        <f t="shared" si="120"/>
        <v>0.49769424721620992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44863</v>
      </c>
      <c r="B316" s="1153">
        <v>27.901</v>
      </c>
      <c r="C316" s="388"/>
      <c r="D316" s="391">
        <f t="shared" si="102"/>
        <v>28.649858349962024</v>
      </c>
      <c r="E316" s="383">
        <f t="shared" si="125"/>
        <v>29.364394993058184</v>
      </c>
      <c r="F316" s="383">
        <f t="shared" si="103"/>
        <v>29.440583046020212</v>
      </c>
      <c r="G316" s="110">
        <f t="shared" si="126"/>
        <v>0.83304800813889635</v>
      </c>
      <c r="H316" s="412" t="b">
        <f>Wh_hp&gt;='2021'!Maxi_hp</f>
        <v>0</v>
      </c>
      <c r="I316" s="379">
        <f>IF(H316,Wh_hp,'2021'!Maxi_hp)</f>
        <v>29.777598995663187</v>
      </c>
      <c r="J316" s="85">
        <f>IF(H316,An,'2021'!An_max)</f>
        <v>2018</v>
      </c>
      <c r="K316" s="197">
        <f t="shared" si="104"/>
        <v>44863</v>
      </c>
      <c r="L316" s="147">
        <f>IF(t&lt;Tvie,1-EXP((T0-t)*PertePVj)+'2021'!Pspv,1-EXP((T0-t)*PertePVj)+Pspv)</f>
        <v>2.6138291534101632E-2</v>
      </c>
      <c r="M316" s="832"/>
      <c r="N316" s="832"/>
      <c r="O316" s="48">
        <f>IF(t&lt;Tnet,'2021'!Resal+('2021'!Salim-'2021'!Resal)*(1-EXP(('2021'!Tnet-t)/('2021'!Tau_j))),Resal+(Salim-Resal)*(1-EXP((Tnet-t)/(Tau_j))))*Salcycl</f>
        <v>2.4333436573955584E-2</v>
      </c>
      <c r="P316" s="169">
        <f>(INDEX(Models!$BJ316:$BT316,,T316)*(1-R316)+INDEX(Models!$BJ316:$BT316,,T316+1)*R316-ERP_i)*Q316*Ramure*Pc/MaxiM</f>
        <v>3.3940908572221255E-3</v>
      </c>
      <c r="Q316" s="304">
        <f t="shared" si="105"/>
        <v>0.6</v>
      </c>
      <c r="R316" s="177">
        <f t="shared" si="106"/>
        <v>0.49775781645344608</v>
      </c>
      <c r="S316" s="799">
        <f t="shared" si="107"/>
        <v>0</v>
      </c>
      <c r="T316" s="176">
        <f t="shared" si="108"/>
        <v>6</v>
      </c>
      <c r="U316" s="250">
        <f t="shared" si="109"/>
        <v>0.49775781645344608</v>
      </c>
      <c r="V316" s="382">
        <f t="shared" si="110"/>
        <v>33.465594617490737</v>
      </c>
      <c r="W316" s="400">
        <f t="shared" si="111"/>
        <v>0</v>
      </c>
      <c r="X316" s="157">
        <f t="shared" si="112"/>
        <v>44863</v>
      </c>
      <c r="Y316" s="383">
        <f t="shared" si="113"/>
        <v>26.146889453961215</v>
      </c>
      <c r="Z316" s="383">
        <f t="shared" si="114"/>
        <v>26.848667759152171</v>
      </c>
      <c r="AA316" s="384">
        <f t="shared" si="115"/>
        <v>29.364394993058184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8.5672707866132972E-2</v>
      </c>
      <c r="AD316" s="230">
        <f>(INDEX(Models!$BJ316:$BT316,,AH316)*(1-AF316)+INDEX(Models!$BJ316:$BT316,,AH316+1)*AF316-ERP_i)*AE316*Ramure*Pc/MaxiM</f>
        <v>3.3940908572221255E-3</v>
      </c>
      <c r="AE316" s="304">
        <f t="shared" si="117"/>
        <v>0.6</v>
      </c>
      <c r="AF316" s="177">
        <f t="shared" si="118"/>
        <v>0.49775781645344608</v>
      </c>
      <c r="AG316" s="799">
        <f t="shared" si="124"/>
        <v>0</v>
      </c>
      <c r="AH316" s="176">
        <f t="shared" si="119"/>
        <v>6</v>
      </c>
      <c r="AI316" s="224">
        <f t="shared" si="120"/>
        <v>0.49775781645344608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44864</v>
      </c>
      <c r="B317" s="1153">
        <v>23.988</v>
      </c>
      <c r="C317" s="388"/>
      <c r="D317" s="391">
        <f t="shared" si="102"/>
        <v>24.632306132198792</v>
      </c>
      <c r="E317" s="383">
        <f t="shared" si="125"/>
        <v>25.248244171446203</v>
      </c>
      <c r="F317" s="383">
        <f t="shared" si="103"/>
        <v>25.301186042130773</v>
      </c>
      <c r="G317" s="110">
        <f t="shared" si="126"/>
        <v>0.72287607097031437</v>
      </c>
      <c r="H317" s="412" t="b">
        <f>Wh_hp&gt;='2021'!Maxi_hp</f>
        <v>0</v>
      </c>
      <c r="I317" s="379">
        <f>IF(H317,Wh_hp,'2021'!Maxi_hp)</f>
        <v>28.491037803008169</v>
      </c>
      <c r="J317" s="85">
        <f>IF(H317,An,'2021'!An_max)</f>
        <v>2020</v>
      </c>
      <c r="K317" s="197">
        <f t="shared" si="104"/>
        <v>44864</v>
      </c>
      <c r="L317" s="147">
        <f>IF(t&lt;Tvie,1-EXP((T0-t)*PertePVj)+'2021'!Pspv,1-EXP((T0-t)*PertePVj)+Pspv)</f>
        <v>2.6156955371570811E-2</v>
      </c>
      <c r="M317" s="832"/>
      <c r="N317" s="832"/>
      <c r="O317" s="48">
        <f>IF(t&lt;Tnet,'2021'!Resal+('2021'!Salim-'2021'!Resal)*(1-EXP(('2021'!Tnet-t)/('2021'!Tau_j))),Resal+(Salim-Resal)*(1-EXP((Tnet-t)/(Tau_j))))*Salcycl</f>
        <v>2.4395282106150887E-2</v>
      </c>
      <c r="P317" s="169">
        <f>(INDEX(Models!$BJ317:$BT317,,T317)*(1-R317)+INDEX(Models!$BJ317:$BT317,,T317+1)*R317-ERP_i)*Q317*Ramure*Pc/MaxiM</f>
        <v>3.4556439732710493E-3</v>
      </c>
      <c r="Q317" s="304">
        <f t="shared" si="105"/>
        <v>0.6</v>
      </c>
      <c r="R317" s="177">
        <f t="shared" si="106"/>
        <v>0.49781884143348876</v>
      </c>
      <c r="S317" s="799">
        <f t="shared" si="107"/>
        <v>0</v>
      </c>
      <c r="T317" s="176">
        <f t="shared" si="108"/>
        <v>6</v>
      </c>
      <c r="U317" s="250">
        <f t="shared" si="109"/>
        <v>0.49781884143348876</v>
      </c>
      <c r="V317" s="382">
        <f t="shared" si="110"/>
        <v>33.138780602970783</v>
      </c>
      <c r="W317" s="400">
        <f t="shared" si="111"/>
        <v>0</v>
      </c>
      <c r="X317" s="157">
        <f t="shared" si="112"/>
        <v>44864</v>
      </c>
      <c r="Y317" s="383">
        <f t="shared" si="113"/>
        <v>22.482921686800346</v>
      </c>
      <c r="Z317" s="383">
        <f t="shared" si="114"/>
        <v>23.086802140049915</v>
      </c>
      <c r="AA317" s="384">
        <f t="shared" si="115"/>
        <v>25.248244171446203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8.5607617572104638E-2</v>
      </c>
      <c r="AD317" s="230">
        <f>(INDEX(Models!$BJ317:$BT317,,AH317)*(1-AF317)+INDEX(Models!$BJ317:$BT317,,AH317+1)*AF317-ERP_i)*AE317*Ramure*Pc/MaxiM</f>
        <v>3.4556439732710493E-3</v>
      </c>
      <c r="AE317" s="304">
        <f t="shared" si="117"/>
        <v>0.6</v>
      </c>
      <c r="AF317" s="177">
        <f t="shared" si="118"/>
        <v>0.49781884143348876</v>
      </c>
      <c r="AG317" s="799">
        <f t="shared" si="124"/>
        <v>0</v>
      </c>
      <c r="AH317" s="176">
        <f t="shared" si="119"/>
        <v>6</v>
      </c>
      <c r="AI317" s="224">
        <f t="shared" si="120"/>
        <v>0.49781884143348876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44865</v>
      </c>
      <c r="B318" s="1153">
        <v>22.815999999999999</v>
      </c>
      <c r="C318" s="388"/>
      <c r="D318" s="391">
        <f t="shared" si="102"/>
        <v>23.429275793124017</v>
      </c>
      <c r="E318" s="383">
        <f t="shared" si="125"/>
        <v>24.016647316241936</v>
      </c>
      <c r="F318" s="383">
        <f t="shared" si="103"/>
        <v>24.064435727638351</v>
      </c>
      <c r="G318" s="110">
        <f t="shared" si="126"/>
        <v>0.69425982655287577</v>
      </c>
      <c r="H318" s="412" t="b">
        <f>Wh_hp&gt;='2021'!Maxi_hp</f>
        <v>0</v>
      </c>
      <c r="I318" s="379">
        <f>IF(H318,Wh_hp,'2021'!Maxi_hp)</f>
        <v>34.120858369867321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2.6175618851351889E-2</v>
      </c>
      <c r="M318" s="832"/>
      <c r="N318" s="832"/>
      <c r="O318" s="48">
        <f>IF(t&lt;Tnet,'2021'!Resal+('2021'!Salim-'2021'!Resal)*(1-EXP(('2021'!Tnet-t)/('2021'!Tau_j))),Resal+(Salim-Resal)*(1-EXP((Tnet-t)/(Tau_j))))*Salcycl</f>
        <v>2.4456849258917786E-2</v>
      </c>
      <c r="P318" s="169">
        <f>(INDEX(Models!$BJ318:$BT318,,T318)*(1-R318)+INDEX(Models!$BJ318:$BT318,,T318+1)*R318-ERP_i)*Q318*Ramure*Pc/MaxiM</f>
        <v>3.5163284662409816E-3</v>
      </c>
      <c r="Q318" s="304">
        <f t="shared" si="105"/>
        <v>0.6</v>
      </c>
      <c r="R318" s="177">
        <f t="shared" si="106"/>
        <v>0.49787742339934965</v>
      </c>
      <c r="S318" s="799">
        <f t="shared" si="107"/>
        <v>0</v>
      </c>
      <c r="T318" s="176">
        <f t="shared" si="108"/>
        <v>6</v>
      </c>
      <c r="U318" s="250">
        <f t="shared" si="109"/>
        <v>0.49787742339934965</v>
      </c>
      <c r="V318" s="382">
        <f t="shared" si="110"/>
        <v>32.813379513555319</v>
      </c>
      <c r="W318" s="400">
        <f t="shared" si="111"/>
        <v>0</v>
      </c>
      <c r="X318" s="157">
        <f t="shared" si="112"/>
        <v>44865</v>
      </c>
      <c r="Y318" s="383">
        <f t="shared" si="113"/>
        <v>21.387332918628111</v>
      </c>
      <c r="Z318" s="383">
        <f t="shared" si="114"/>
        <v>21.962207285672253</v>
      </c>
      <c r="AA318" s="384">
        <f t="shared" si="115"/>
        <v>24.016647316241936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8.5542332512844446E-2</v>
      </c>
      <c r="AD318" s="230">
        <f>(INDEX(Models!$BJ318:$BT318,,AH318)*(1-AF318)+INDEX(Models!$BJ318:$BT318,,AH318+1)*AF318-ERP_i)*AE318*Ramure*Pc/MaxiM</f>
        <v>3.5163284662409816E-3</v>
      </c>
      <c r="AE318" s="304">
        <f t="shared" si="117"/>
        <v>0.6</v>
      </c>
      <c r="AF318" s="177">
        <f t="shared" si="118"/>
        <v>0.49787742339934965</v>
      </c>
      <c r="AG318" s="799">
        <f t="shared" si="124"/>
        <v>0</v>
      </c>
      <c r="AH318" s="176">
        <f t="shared" si="119"/>
        <v>6</v>
      </c>
      <c r="AI318" s="224">
        <f t="shared" si="120"/>
        <v>0.49787742339934965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44866</v>
      </c>
      <c r="B319" s="1153">
        <v>20.225999999999999</v>
      </c>
      <c r="C319" s="388"/>
      <c r="D319" s="391">
        <f t="shared" si="102"/>
        <v>20.770056722390887</v>
      </c>
      <c r="E319" s="383">
        <f t="shared" si="125"/>
        <v>21.292099883445022</v>
      </c>
      <c r="F319" s="383">
        <f t="shared" si="103"/>
        <v>21.327254743742834</v>
      </c>
      <c r="G319" s="110">
        <f t="shared" si="126"/>
        <v>0.62133364697558879</v>
      </c>
      <c r="H319" s="412" t="b">
        <f>Wh_hp&gt;='2021'!Maxi_hp</f>
        <v>0</v>
      </c>
      <c r="I319" s="379">
        <f>IF(H319,Wh_hp,'2021'!Maxi_hp)</f>
        <v>32.848992554762482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2.6194281973451528E-2</v>
      </c>
      <c r="M319" s="832"/>
      <c r="N319" s="832"/>
      <c r="O319" s="48">
        <f>IF(t&lt;Tnet,'2021'!Resal+('2021'!Salim-'2021'!Resal)*(1-EXP(('2021'!Tnet-t)/('2021'!Tau_j))),Resal+(Salim-Resal)*(1-EXP((Tnet-t)/(Tau_j))))*Salcycl</f>
        <v>2.4518162318975127E-2</v>
      </c>
      <c r="P319" s="169">
        <f>(INDEX(Models!$BJ319:$BT319,,T319)*(1-R319)+INDEX(Models!$BJ319:$BT319,,T319+1)*R319-ERP_i)*Q319*Ramure*Pc/MaxiM</f>
        <v>3.5774167377927058E-3</v>
      </c>
      <c r="Q319" s="304">
        <f t="shared" si="105"/>
        <v>0.6</v>
      </c>
      <c r="R319" s="177">
        <f t="shared" si="106"/>
        <v>0.49793365961149133</v>
      </c>
      <c r="S319" s="799">
        <f t="shared" si="107"/>
        <v>0</v>
      </c>
      <c r="T319" s="176">
        <f t="shared" si="108"/>
        <v>6</v>
      </c>
      <c r="U319" s="250">
        <f t="shared" si="109"/>
        <v>0.49793365961149133</v>
      </c>
      <c r="V319" s="382">
        <f t="shared" si="110"/>
        <v>32.489659058148511</v>
      </c>
      <c r="W319" s="400">
        <f t="shared" si="111"/>
        <v>0</v>
      </c>
      <c r="X319" s="157">
        <f t="shared" si="112"/>
        <v>44866</v>
      </c>
      <c r="Y319" s="383">
        <f t="shared" si="113"/>
        <v>18.962058273261015</v>
      </c>
      <c r="Z319" s="383">
        <f t="shared" si="114"/>
        <v>19.472116380347707</v>
      </c>
      <c r="AA319" s="384">
        <f t="shared" si="115"/>
        <v>21.292099883445022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8.5476938069052766E-2</v>
      </c>
      <c r="AD319" s="230">
        <f>(INDEX(Models!$BJ319:$BT319,,AH319)*(1-AF319)+INDEX(Models!$BJ319:$BT319,,AH319+1)*AF319-ERP_i)*AE319*Ramure*Pc/MaxiM</f>
        <v>3.5774167377927058E-3</v>
      </c>
      <c r="AE319" s="304">
        <f t="shared" si="117"/>
        <v>0.6</v>
      </c>
      <c r="AF319" s="177">
        <f t="shared" si="118"/>
        <v>0.49793365961149133</v>
      </c>
      <c r="AG319" s="799">
        <f t="shared" si="124"/>
        <v>0</v>
      </c>
      <c r="AH319" s="176">
        <f t="shared" si="119"/>
        <v>6</v>
      </c>
      <c r="AI319" s="224">
        <f t="shared" si="120"/>
        <v>0.49793365961149133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44867</v>
      </c>
      <c r="B320" s="1153">
        <v>30.006</v>
      </c>
      <c r="C320" s="388"/>
      <c r="D320" s="391">
        <f t="shared" si="102"/>
        <v>30.813718294830903</v>
      </c>
      <c r="E320" s="383">
        <f t="shared" si="125"/>
        <v>31.590181137658178</v>
      </c>
      <c r="F320" s="383">
        <f t="shared" si="103"/>
        <v>31.694440919259218</v>
      </c>
      <c r="G320" s="110">
        <f t="shared" si="126"/>
        <v>0.93246542042474068</v>
      </c>
      <c r="H320" s="412" t="b">
        <f>Wh_hp&gt;='2021'!Maxi_hp</f>
        <v>1</v>
      </c>
      <c r="I320" s="379">
        <f>IF(H320,Wh_hp,'2021'!Maxi_hp)</f>
        <v>31.694440919259218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2.621294473787672E-2</v>
      </c>
      <c r="M320" s="832"/>
      <c r="N320" s="832"/>
      <c r="O320" s="48">
        <f>IF(t&lt;Tnet,'2021'!Resal+('2021'!Salim-'2021'!Resal)*(1-EXP(('2021'!Tnet-t)/('2021'!Tau_j))),Resal+(Salim-Resal)*(1-EXP((Tnet-t)/(Tau_j))))*Salcycl</f>
        <v>2.4579246299466954E-2</v>
      </c>
      <c r="P320" s="169">
        <f>(INDEX(Models!$BJ320:$BT320,,T320)*(1-R320)+INDEX(Models!$BJ320:$BT320,,T320+1)*R320-ERP_i)*Q320*Ramure*Pc/MaxiM</f>
        <v>3.6389032434953569E-3</v>
      </c>
      <c r="Q320" s="304">
        <f t="shared" si="105"/>
        <v>0.6</v>
      </c>
      <c r="R320" s="177">
        <f t="shared" si="106"/>
        <v>0.49798764350084546</v>
      </c>
      <c r="S320" s="799">
        <f t="shared" si="107"/>
        <v>0</v>
      </c>
      <c r="T320" s="176">
        <f t="shared" si="108"/>
        <v>6</v>
      </c>
      <c r="U320" s="250">
        <f t="shared" si="109"/>
        <v>0.49798764350084546</v>
      </c>
      <c r="V320" s="382">
        <f t="shared" si="110"/>
        <v>32.167929683527831</v>
      </c>
      <c r="W320" s="400">
        <f t="shared" si="111"/>
        <v>0</v>
      </c>
      <c r="X320" s="157">
        <f t="shared" si="112"/>
        <v>44867</v>
      </c>
      <c r="Y320" s="383">
        <f t="shared" si="113"/>
        <v>28.134670905627029</v>
      </c>
      <c r="Z320" s="383">
        <f t="shared" si="114"/>
        <v>28.892015716982147</v>
      </c>
      <c r="AA320" s="384">
        <f t="shared" si="115"/>
        <v>31.590181137658178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8.5411521033020868E-2</v>
      </c>
      <c r="AD320" s="230">
        <f>(INDEX(Models!$BJ320:$BT320,,AH320)*(1-AF320)+INDEX(Models!$BJ320:$BT320,,AH320+1)*AF320-ERP_i)*AE320*Ramure*Pc/MaxiM</f>
        <v>3.6389032434953569E-3</v>
      </c>
      <c r="AE320" s="304">
        <f t="shared" si="117"/>
        <v>0.6</v>
      </c>
      <c r="AF320" s="177">
        <f t="shared" si="118"/>
        <v>0.49798764350084546</v>
      </c>
      <c r="AG320" s="799">
        <f t="shared" si="124"/>
        <v>0</v>
      </c>
      <c r="AH320" s="176">
        <f t="shared" si="119"/>
        <v>6</v>
      </c>
      <c r="AI320" s="224">
        <f t="shared" si="120"/>
        <v>0.49798764350084546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44868</v>
      </c>
      <c r="B321" s="1153">
        <v>10.532999999999999</v>
      </c>
      <c r="C321" s="388"/>
      <c r="D321" s="391">
        <f t="shared" si="102"/>
        <v>10.816740487041534</v>
      </c>
      <c r="E321" s="383">
        <f t="shared" si="125"/>
        <v>11.089999480868924</v>
      </c>
      <c r="F321" s="383">
        <f t="shared" si="103"/>
        <v>11.091801034326224</v>
      </c>
      <c r="G321" s="110">
        <f t="shared" si="126"/>
        <v>0.32955159110484122</v>
      </c>
      <c r="H321" s="412" t="b">
        <f>Wh_hp&gt;='2021'!Maxi_hp</f>
        <v>0</v>
      </c>
      <c r="I321" s="379">
        <f>IF(H321,Wh_hp,'2021'!Maxi_hp)</f>
        <v>29.614967506581426</v>
      </c>
      <c r="J321" s="85">
        <f>IF(H321,An,'2021'!An_max)</f>
        <v>2020</v>
      </c>
      <c r="K321" s="197">
        <f t="shared" si="104"/>
        <v>44868</v>
      </c>
      <c r="L321" s="147">
        <f>IF(t&lt;Tvie,1-EXP((T0-t)*PertePVj)+'2021'!Pspv,1-EXP((T0-t)*PertePVj)+Pspv)</f>
        <v>2.623160714463435E-2</v>
      </c>
      <c r="M321" s="832"/>
      <c r="N321" s="832"/>
      <c r="O321" s="48">
        <f>IF(t&lt;Tnet,'2021'!Resal+('2021'!Salim-'2021'!Resal)*(1-EXP(('2021'!Tnet-t)/('2021'!Tau_j))),Resal+(Salim-Resal)*(1-EXP((Tnet-t)/(Tau_j))))*Salcycl</f>
        <v>2.464012683668583E-2</v>
      </c>
      <c r="P321" s="169">
        <f>(INDEX(Models!$BJ321:$BT321,,T321)*(1-R321)+INDEX(Models!$BJ321:$BT321,,T321+1)*R321-ERP_i)*Q321*Ramure*Pc/MaxiM</f>
        <v>3.7007837251671178E-3</v>
      </c>
      <c r="Q321" s="304">
        <f t="shared" si="105"/>
        <v>0.6</v>
      </c>
      <c r="R321" s="177">
        <f t="shared" si="106"/>
        <v>0.49803946481623868</v>
      </c>
      <c r="S321" s="799">
        <f t="shared" si="107"/>
        <v>0</v>
      </c>
      <c r="T321" s="176">
        <f t="shared" si="108"/>
        <v>6</v>
      </c>
      <c r="U321" s="250">
        <f t="shared" si="109"/>
        <v>0.49803946481623868</v>
      </c>
      <c r="V321" s="382">
        <f t="shared" si="110"/>
        <v>31.84850161784864</v>
      </c>
      <c r="W321" s="400">
        <f t="shared" si="111"/>
        <v>0</v>
      </c>
      <c r="X321" s="157">
        <f t="shared" si="112"/>
        <v>44868</v>
      </c>
      <c r="Y321" s="383">
        <f t="shared" si="113"/>
        <v>9.8774299256730735</v>
      </c>
      <c r="Z321" s="383">
        <f t="shared" si="114"/>
        <v>10.143510508396808</v>
      </c>
      <c r="AA321" s="384">
        <f t="shared" si="115"/>
        <v>11.089999480868924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8.5346169231556801E-2</v>
      </c>
      <c r="AD321" s="230">
        <f>(INDEX(Models!$BJ321:$BT321,,AH321)*(1-AF321)+INDEX(Models!$BJ321:$BT321,,AH321+1)*AF321-ERP_i)*AE321*Ramure*Pc/MaxiM</f>
        <v>3.7007837251671178E-3</v>
      </c>
      <c r="AE321" s="304">
        <f t="shared" si="117"/>
        <v>0.6</v>
      </c>
      <c r="AF321" s="177">
        <f t="shared" si="118"/>
        <v>0.49803946481623868</v>
      </c>
      <c r="AG321" s="799">
        <f t="shared" si="124"/>
        <v>0</v>
      </c>
      <c r="AH321" s="176">
        <f t="shared" si="119"/>
        <v>6</v>
      </c>
      <c r="AI321" s="224">
        <f t="shared" si="120"/>
        <v>0.49803946481623868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44869</v>
      </c>
      <c r="B322" s="1153">
        <v>18.190999999999999</v>
      </c>
      <c r="C322" s="388"/>
      <c r="D322" s="391">
        <f t="shared" si="102"/>
        <v>18.681391557292422</v>
      </c>
      <c r="E322" s="383">
        <f t="shared" si="125"/>
        <v>19.154524204970588</v>
      </c>
      <c r="F322" s="383">
        <f t="shared" si="103"/>
        <v>19.183080529065357</v>
      </c>
      <c r="G322" s="110">
        <f t="shared" si="126"/>
        <v>0.5755976613073438</v>
      </c>
      <c r="H322" s="412" t="b">
        <f>Wh_hp&gt;='2021'!Maxi_hp</f>
        <v>1</v>
      </c>
      <c r="I322" s="379">
        <f>IF(H322,Wh_hp,'2021'!Maxi_hp)</f>
        <v>19.183080529065357</v>
      </c>
      <c r="J322" s="85">
        <f>IF(H322,An,'2021'!An_max)</f>
        <v>2022</v>
      </c>
      <c r="K322" s="197">
        <f t="shared" si="104"/>
        <v>44869</v>
      </c>
      <c r="L322" s="147">
        <f>IF(t&lt;Tvie,1-EXP((T0-t)*PertePVj)+'2021'!Pspv,1-EXP((T0-t)*PertePVj)+Pspv)</f>
        <v>2.6250269193731079E-2</v>
      </c>
      <c r="M322" s="832"/>
      <c r="N322" s="832"/>
      <c r="O322" s="48">
        <f>IF(t&lt;Tnet,'2021'!Resal+('2021'!Salim-'2021'!Resal)*(1-EXP(('2021'!Tnet-t)/('2021'!Tau_j))),Resal+(Salim-Resal)*(1-EXP((Tnet-t)/(Tau_j))))*Salcycl</f>
        <v>2.470083008145869E-2</v>
      </c>
      <c r="P322" s="169">
        <f>(INDEX(Models!$BJ322:$BT322,,T322)*(1-R322)+INDEX(Models!$BJ322:$BT322,,T322+1)*R322-ERP_i)*Q322*Ramure*Pc/MaxiM</f>
        <v>3.7630551519916692E-3</v>
      </c>
      <c r="Q322" s="304">
        <f t="shared" si="105"/>
        <v>0.6</v>
      </c>
      <c r="R322" s="177">
        <f t="shared" si="106"/>
        <v>0.49808920976641102</v>
      </c>
      <c r="S322" s="799">
        <f t="shared" si="107"/>
        <v>0</v>
      </c>
      <c r="T322" s="176">
        <f t="shared" si="108"/>
        <v>6</v>
      </c>
      <c r="U322" s="250">
        <f t="shared" si="109"/>
        <v>0.49808920976641102</v>
      </c>
      <c r="V322" s="382">
        <f t="shared" si="110"/>
        <v>31.531684880325972</v>
      </c>
      <c r="W322" s="400">
        <f t="shared" si="111"/>
        <v>0</v>
      </c>
      <c r="X322" s="157">
        <f t="shared" si="112"/>
        <v>44869</v>
      </c>
      <c r="Y322" s="383">
        <f t="shared" si="113"/>
        <v>17.061076608340837</v>
      </c>
      <c r="Z322" s="383">
        <f t="shared" si="114"/>
        <v>17.521007779087338</v>
      </c>
      <c r="AA322" s="384">
        <f t="shared" si="115"/>
        <v>19.154524204970588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8.5280971137844941E-2</v>
      </c>
      <c r="AD322" s="230">
        <f>(INDEX(Models!$BJ322:$BT322,,AH322)*(1-AF322)+INDEX(Models!$BJ322:$BT322,,AH322+1)*AF322-ERP_i)*AE322*Ramure*Pc/MaxiM</f>
        <v>3.7630551519916692E-3</v>
      </c>
      <c r="AE322" s="304">
        <f t="shared" si="117"/>
        <v>0.6</v>
      </c>
      <c r="AF322" s="177">
        <f t="shared" si="118"/>
        <v>0.49808920976641102</v>
      </c>
      <c r="AG322" s="799">
        <f t="shared" si="124"/>
        <v>0</v>
      </c>
      <c r="AH322" s="176">
        <f t="shared" si="119"/>
        <v>6</v>
      </c>
      <c r="AI322" s="224">
        <f t="shared" si="120"/>
        <v>0.49808920976641102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44870</v>
      </c>
      <c r="B323" s="1153">
        <v>30.987000000000002</v>
      </c>
      <c r="C323" s="388"/>
      <c r="D323" s="391">
        <f t="shared" si="102"/>
        <v>31.822955005604221</v>
      </c>
      <c r="E323" s="383">
        <f t="shared" si="125"/>
        <v>32.630942250814776</v>
      </c>
      <c r="F323" s="383">
        <f t="shared" si="103"/>
        <v>32.754929856109037</v>
      </c>
      <c r="G323" s="110">
        <f t="shared" si="126"/>
        <v>0.99256686448824061</v>
      </c>
      <c r="H323" s="412" t="b">
        <f>Wh_hp&gt;='2021'!Maxi_hp</f>
        <v>1</v>
      </c>
      <c r="I323" s="379">
        <f>IF(H323,Wh_hp,'2021'!Maxi_hp)</f>
        <v>32.754929856109037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2.6268930885174013E-2</v>
      </c>
      <c r="M323" s="832"/>
      <c r="N323" s="832"/>
      <c r="O323" s="48">
        <f>IF(t&lt;Tnet,'2021'!Resal+('2021'!Salim-'2021'!Resal)*(1-EXP(('2021'!Tnet-t)/('2021'!Tau_j))),Resal+(Salim-Resal)*(1-EXP((Tnet-t)/(Tau_j))))*Salcycl</f>
        <v>2.4761382585891435E-2</v>
      </c>
      <c r="P323" s="169">
        <f>(INDEX(Models!$BJ323:$BT323,,T323)*(1-R323)+INDEX(Models!$BJ323:$BT323,,T323+1)*R323-ERP_i)*Q323*Ramure*Pc/MaxiM</f>
        <v>3.8257156276371362E-3</v>
      </c>
      <c r="Q323" s="304">
        <f t="shared" si="105"/>
        <v>0.6</v>
      </c>
      <c r="R323" s="177">
        <f t="shared" si="106"/>
        <v>0.49813696115680045</v>
      </c>
      <c r="S323" s="799">
        <f t="shared" si="107"/>
        <v>0</v>
      </c>
      <c r="T323" s="176">
        <f t="shared" si="108"/>
        <v>6</v>
      </c>
      <c r="U323" s="250">
        <f t="shared" si="109"/>
        <v>0.49813696115680045</v>
      </c>
      <c r="V323" s="382">
        <f t="shared" si="110"/>
        <v>31.217789291248401</v>
      </c>
      <c r="W323" s="400">
        <f t="shared" si="111"/>
        <v>0</v>
      </c>
      <c r="X323" s="157">
        <f t="shared" si="112"/>
        <v>44870</v>
      </c>
      <c r="Y323" s="383">
        <f t="shared" si="113"/>
        <v>29.066128865613027</v>
      </c>
      <c r="Z323" s="383">
        <f t="shared" si="114"/>
        <v>29.850263371010339</v>
      </c>
      <c r="AA323" s="384">
        <f t="shared" si="115"/>
        <v>32.630942250814776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8.5216015474852122E-2</v>
      </c>
      <c r="AD323" s="230">
        <f>(INDEX(Models!$BJ323:$BT323,,AH323)*(1-AF323)+INDEX(Models!$BJ323:$BT323,,AH323+1)*AF323-ERP_i)*AE323*Ramure*Pc/MaxiM</f>
        <v>3.8257156276371362E-3</v>
      </c>
      <c r="AE323" s="304">
        <f t="shared" si="117"/>
        <v>0.6</v>
      </c>
      <c r="AF323" s="177">
        <f t="shared" si="118"/>
        <v>0.49813696115680045</v>
      </c>
      <c r="AG323" s="799">
        <f t="shared" si="124"/>
        <v>0</v>
      </c>
      <c r="AH323" s="176">
        <f t="shared" si="119"/>
        <v>6</v>
      </c>
      <c r="AI323" s="224">
        <f t="shared" si="120"/>
        <v>0.49813696115680045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44871</v>
      </c>
      <c r="B324" s="1153">
        <v>30.943000000000001</v>
      </c>
      <c r="C324" s="388"/>
      <c r="D324" s="391">
        <f t="shared" si="102"/>
        <v>31.778377016387477</v>
      </c>
      <c r="E324" s="383">
        <f t="shared" si="125"/>
        <v>32.587251623257671</v>
      </c>
      <c r="F324" s="383">
        <f t="shared" si="103"/>
        <v>32.714436469052195</v>
      </c>
      <c r="G324" s="110">
        <f t="shared" si="126"/>
        <v>1.0011597115070361</v>
      </c>
      <c r="H324" s="412" t="b">
        <f>Wh_hp&gt;='2021'!Maxi_hp</f>
        <v>1</v>
      </c>
      <c r="I324" s="379">
        <f>IF(H324,Wh_hp,'2021'!Maxi_hp)</f>
        <v>32.714436469052195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2.6287592218969813E-2</v>
      </c>
      <c r="M324" s="832"/>
      <c r="N324" s="832"/>
      <c r="O324" s="48">
        <f>IF(t&lt;Tnet,'2021'!Resal+('2021'!Salim-'2021'!Resal)*(1-EXP(('2021'!Tnet-t)/('2021'!Tau_j))),Resal+(Salim-Resal)*(1-EXP((Tnet-t)/(Tau_j))))*Salcycl</f>
        <v>2.4821811186215507E-2</v>
      </c>
      <c r="P324" s="169">
        <f>(INDEX(Models!$BJ324:$BT324,,T324)*(1-R324)+INDEX(Models!$BJ324:$BT324,,T324+1)*R324-ERP_i)*Q324*Ramure*Pc/MaxiM</f>
        <v>3.8877284624737689E-3</v>
      </c>
      <c r="Q324" s="304">
        <f t="shared" si="105"/>
        <v>0.6</v>
      </c>
      <c r="R324" s="177">
        <f t="shared" si="106"/>
        <v>0.49818279852126962</v>
      </c>
      <c r="S324" s="799">
        <f t="shared" si="107"/>
        <v>0</v>
      </c>
      <c r="T324" s="176">
        <f t="shared" si="108"/>
        <v>6</v>
      </c>
      <c r="U324" s="250">
        <f t="shared" si="109"/>
        <v>0.49818279852126962</v>
      </c>
      <c r="V324" s="382">
        <f t="shared" si="110"/>
        <v>30.907156614824018</v>
      </c>
      <c r="W324" s="400">
        <f t="shared" si="111"/>
        <v>0</v>
      </c>
      <c r="X324" s="157">
        <f t="shared" si="112"/>
        <v>44871</v>
      </c>
      <c r="Y324" s="383">
        <f t="shared" si="113"/>
        <v>29.028705562527087</v>
      </c>
      <c r="Z324" s="383">
        <f t="shared" si="114"/>
        <v>29.812401824764571</v>
      </c>
      <c r="AA324" s="384">
        <f t="shared" si="115"/>
        <v>32.587251623257671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8.5151390812985187E-2</v>
      </c>
      <c r="AD324" s="230">
        <f>(INDEX(Models!$BJ324:$BT324,,AH324)*(1-AF324)+INDEX(Models!$BJ324:$BT324,,AH324+1)*AF324-ERP_i)*AE324*Ramure*Pc/MaxiM</f>
        <v>3.8877284624737689E-3</v>
      </c>
      <c r="AE324" s="304">
        <f t="shared" si="117"/>
        <v>0.6</v>
      </c>
      <c r="AF324" s="177">
        <f t="shared" si="118"/>
        <v>0.49818279852126962</v>
      </c>
      <c r="AG324" s="799">
        <f t="shared" si="124"/>
        <v>0</v>
      </c>
      <c r="AH324" s="176">
        <f t="shared" si="119"/>
        <v>6</v>
      </c>
      <c r="AI324" s="224">
        <f t="shared" si="120"/>
        <v>0.49818279852126962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44872</v>
      </c>
      <c r="B325" s="1153">
        <v>29.025000000000002</v>
      </c>
      <c r="C325" s="388"/>
      <c r="D325" s="391">
        <f t="shared" si="102"/>
        <v>29.809167508001394</v>
      </c>
      <c r="E325" s="383">
        <f t="shared" si="125"/>
        <v>30.569809885462945</v>
      </c>
      <c r="F325" s="383">
        <f t="shared" si="103"/>
        <v>30.682125298124948</v>
      </c>
      <c r="G325" s="110">
        <f t="shared" si="126"/>
        <v>0.94825182030154276</v>
      </c>
      <c r="H325" s="412" t="b">
        <f>Wh_hp&gt;='2021'!Maxi_hp</f>
        <v>1</v>
      </c>
      <c r="I325" s="379">
        <f>IF(H325,Wh_hp,'2021'!Maxi_hp)</f>
        <v>30.682125298124948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2.6306253195125473E-2</v>
      </c>
      <c r="M325" s="832"/>
      <c r="N325" s="832"/>
      <c r="O325" s="48">
        <f>IF(t&lt;Tnet,'2021'!Resal+('2021'!Salim-'2021'!Resal)*(1-EXP(('2021'!Tnet-t)/('2021'!Tau_j))),Resal+(Salim-Resal)*(1-EXP((Tnet-t)/(Tau_j))))*Salcycl</f>
        <v>2.4882142882519706E-2</v>
      </c>
      <c r="P325" s="169">
        <f>(INDEX(Models!$BJ325:$BT325,,T325)*(1-R325)+INDEX(Models!$BJ325:$BT325,,T325+1)*R325-ERP_i)*Q325*Ramure*Pc/MaxiM</f>
        <v>3.9511448583867577E-3</v>
      </c>
      <c r="Q325" s="304">
        <f t="shared" si="105"/>
        <v>0.6</v>
      </c>
      <c r="R325" s="177">
        <f t="shared" si="106"/>
        <v>0.49822679824894073</v>
      </c>
      <c r="S325" s="799">
        <f t="shared" si="107"/>
        <v>0</v>
      </c>
      <c r="T325" s="176">
        <f t="shared" si="108"/>
        <v>6</v>
      </c>
      <c r="U325" s="250">
        <f t="shared" si="109"/>
        <v>0.49822679824894073</v>
      </c>
      <c r="V325" s="382">
        <f t="shared" si="110"/>
        <v>30.600032326830107</v>
      </c>
      <c r="W325" s="400">
        <f t="shared" si="111"/>
        <v>0</v>
      </c>
      <c r="X325" s="157">
        <f t="shared" si="112"/>
        <v>44872</v>
      </c>
      <c r="Y325" s="383">
        <f t="shared" si="113"/>
        <v>27.232958823143676</v>
      </c>
      <c r="Z325" s="383">
        <f t="shared" si="114"/>
        <v>27.968710811286623</v>
      </c>
      <c r="AA325" s="384">
        <f t="shared" si="115"/>
        <v>30.569809885462945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8.5087185164773815E-2</v>
      </c>
      <c r="AD325" s="230">
        <f>(INDEX(Models!$BJ325:$BT325,,AH325)*(1-AF325)+INDEX(Models!$BJ325:$BT325,,AH325+1)*AF325-ERP_i)*AE325*Ramure*Pc/MaxiM</f>
        <v>3.9511448583867577E-3</v>
      </c>
      <c r="AE325" s="304">
        <f t="shared" si="117"/>
        <v>0.6</v>
      </c>
      <c r="AF325" s="177">
        <f t="shared" si="118"/>
        <v>0.49822679824894073</v>
      </c>
      <c r="AG325" s="799">
        <f t="shared" si="124"/>
        <v>0</v>
      </c>
      <c r="AH325" s="176">
        <f t="shared" si="119"/>
        <v>6</v>
      </c>
      <c r="AI325" s="224">
        <f t="shared" si="120"/>
        <v>0.49822679824894073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44873</v>
      </c>
      <c r="B326" s="1153">
        <v>20.931000000000001</v>
      </c>
      <c r="C326" s="388"/>
      <c r="D326" s="391">
        <f t="shared" si="102"/>
        <v>21.496904148982203</v>
      </c>
      <c r="E326" s="383">
        <f t="shared" si="125"/>
        <v>22.046804468740124</v>
      </c>
      <c r="F326" s="383">
        <f t="shared" si="103"/>
        <v>22.096354190106076</v>
      </c>
      <c r="G326" s="110">
        <f t="shared" si="126"/>
        <v>0.68963869057480831</v>
      </c>
      <c r="H326" s="412" t="b">
        <f>Wh_hp&gt;='2021'!Maxi_hp</f>
        <v>0</v>
      </c>
      <c r="I326" s="379">
        <f>IF(H326,Wh_hp,'2021'!Maxi_hp)</f>
        <v>24.301685975957074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2.6324913813647766E-2</v>
      </c>
      <c r="M326" s="832"/>
      <c r="N326" s="832"/>
      <c r="O326" s="48">
        <f>IF(t&lt;Tnet,'2021'!Resal+('2021'!Salim-'2021'!Resal)*(1-EXP(('2021'!Tnet-t)/('2021'!Tau_j))),Resal+(Salim-Resal)*(1-EXP((Tnet-t)/(Tau_j))))*Salcycl</f>
        <v>2.4942404716185348E-2</v>
      </c>
      <c r="P326" s="169">
        <f>(INDEX(Models!$BJ326:$BT326,,T326)*(1-R326)+INDEX(Models!$BJ326:$BT326,,T326+1)*R326-ERP_i)*Q326*Ramure*Pc/MaxiM</f>
        <v>4.0159652420899434E-3</v>
      </c>
      <c r="Q326" s="304">
        <f t="shared" si="105"/>
        <v>0.6</v>
      </c>
      <c r="R326" s="177">
        <f t="shared" si="106"/>
        <v>0.49826903370630676</v>
      </c>
      <c r="S326" s="799">
        <f t="shared" si="107"/>
        <v>0</v>
      </c>
      <c r="T326" s="176">
        <f t="shared" si="108"/>
        <v>6</v>
      </c>
      <c r="U326" s="250">
        <f t="shared" si="109"/>
        <v>0.49826903370630676</v>
      </c>
      <c r="V326" s="382">
        <f t="shared" si="110"/>
        <v>30.296726637918344</v>
      </c>
      <c r="W326" s="400">
        <f t="shared" si="111"/>
        <v>0</v>
      </c>
      <c r="X326" s="157">
        <f t="shared" si="112"/>
        <v>44873</v>
      </c>
      <c r="Y326" s="383">
        <f t="shared" si="113"/>
        <v>19.64127402931836</v>
      </c>
      <c r="Z326" s="383">
        <f t="shared" si="114"/>
        <v>20.172308306920371</v>
      </c>
      <c r="AA326" s="384">
        <f t="shared" si="115"/>
        <v>22.046804468740124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8.5023485579398872E-2</v>
      </c>
      <c r="AD326" s="230">
        <f>(INDEX(Models!$BJ326:$BT326,,AH326)*(1-AF326)+INDEX(Models!$BJ326:$BT326,,AH326+1)*AF326-ERP_i)*AE326*Ramure*Pc/MaxiM</f>
        <v>4.0159652420899434E-3</v>
      </c>
      <c r="AE326" s="304">
        <f t="shared" si="117"/>
        <v>0.6</v>
      </c>
      <c r="AF326" s="177">
        <f t="shared" si="118"/>
        <v>0.49826903370630676</v>
      </c>
      <c r="AG326" s="799">
        <f t="shared" si="124"/>
        <v>0</v>
      </c>
      <c r="AH326" s="176">
        <f t="shared" si="119"/>
        <v>6</v>
      </c>
      <c r="AI326" s="224">
        <f t="shared" si="120"/>
        <v>0.49826903370630676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44874</v>
      </c>
      <c r="B327" s="1153">
        <v>10.31</v>
      </c>
      <c r="C327" s="388"/>
      <c r="D327" s="391">
        <f t="shared" si="102"/>
        <v>10.588950810035877</v>
      </c>
      <c r="E327" s="383">
        <f t="shared" si="125"/>
        <v>10.860491593969018</v>
      </c>
      <c r="F327" s="383">
        <f t="shared" si="103"/>
        <v>10.863259711386105</v>
      </c>
      <c r="G327" s="110">
        <f t="shared" si="126"/>
        <v>0.34237895576290583</v>
      </c>
      <c r="H327" s="412" t="b">
        <f>Wh_hp&gt;='2021'!Maxi_hp</f>
        <v>0</v>
      </c>
      <c r="I327" s="379">
        <f>IF(H327,Wh_hp,'2021'!Maxi_hp)</f>
        <v>24.305673600704964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2.6343574074543463E-2</v>
      </c>
      <c r="M327" s="832"/>
      <c r="N327" s="832"/>
      <c r="O327" s="48">
        <f>IF(t&lt;Tnet,'2021'!Resal+('2021'!Salim-'2021'!Resal)*(1-EXP(('2021'!Tnet-t)/('2021'!Tau_j))),Resal+(Salim-Resal)*(1-EXP((Tnet-t)/(Tau_j))))*Salcycl</f>
        <v>2.5002623645869821E-2</v>
      </c>
      <c r="P327" s="169">
        <f>(INDEX(Models!$BJ327:$BT327,,T327)*(1-R327)+INDEX(Models!$BJ327:$BT327,,T327+1)*R327-ERP_i)*Q327*Ramure*Pc/MaxiM</f>
        <v>4.0821901202013145E-3</v>
      </c>
      <c r="Q327" s="304">
        <f t="shared" si="105"/>
        <v>0.6</v>
      </c>
      <c r="R327" s="177">
        <f t="shared" si="106"/>
        <v>0.49830957535477627</v>
      </c>
      <c r="S327" s="799">
        <f t="shared" si="107"/>
        <v>0</v>
      </c>
      <c r="T327" s="176">
        <f t="shared" si="108"/>
        <v>6</v>
      </c>
      <c r="U327" s="250">
        <f t="shared" si="109"/>
        <v>0.49830957535477627</v>
      </c>
      <c r="V327" s="382">
        <f t="shared" si="110"/>
        <v>29.997549581045249</v>
      </c>
      <c r="W327" s="400">
        <f t="shared" si="111"/>
        <v>0</v>
      </c>
      <c r="X327" s="157">
        <f t="shared" si="112"/>
        <v>44874</v>
      </c>
      <c r="Y327" s="383">
        <f t="shared" si="113"/>
        <v>9.6759834788262928</v>
      </c>
      <c r="Z327" s="383">
        <f t="shared" si="114"/>
        <v>9.937780125704311</v>
      </c>
      <c r="AA327" s="384">
        <f t="shared" si="115"/>
        <v>10.860491593969018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8.496037773990843E-2</v>
      </c>
      <c r="AD327" s="230">
        <f>(INDEX(Models!$BJ327:$BT327,,AH327)*(1-AF327)+INDEX(Models!$BJ327:$BT327,,AH327+1)*AF327-ERP_i)*AE327*Ramure*Pc/MaxiM</f>
        <v>4.0821901202013145E-3</v>
      </c>
      <c r="AE327" s="304">
        <f t="shared" si="117"/>
        <v>0.6</v>
      </c>
      <c r="AF327" s="177">
        <f t="shared" si="118"/>
        <v>0.49830957535477627</v>
      </c>
      <c r="AG327" s="799">
        <f t="shared" si="124"/>
        <v>0</v>
      </c>
      <c r="AH327" s="176">
        <f t="shared" si="119"/>
        <v>6</v>
      </c>
      <c r="AI327" s="224">
        <f t="shared" si="120"/>
        <v>0.49830957535477627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44875</v>
      </c>
      <c r="B328" s="1153">
        <v>20.817</v>
      </c>
      <c r="C328" s="388"/>
      <c r="D328" s="391">
        <f t="shared" si="102"/>
        <v>21.38064147311</v>
      </c>
      <c r="E328" s="383">
        <f t="shared" si="125"/>
        <v>21.930276178374967</v>
      </c>
      <c r="F328" s="383">
        <f t="shared" si="103"/>
        <v>21.982513703587411</v>
      </c>
      <c r="G328" s="110">
        <f t="shared" si="126"/>
        <v>0.69959685421224815</v>
      </c>
      <c r="H328" s="412" t="b">
        <f>Wh_hp&gt;='2021'!Maxi_hp</f>
        <v>1</v>
      </c>
      <c r="I328" s="379">
        <f>IF(H328,Wh_hp,'2021'!Maxi_hp)</f>
        <v>21.982513703587411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2.6362233977819671E-2</v>
      </c>
      <c r="M328" s="832"/>
      <c r="N328" s="832"/>
      <c r="O328" s="48">
        <f>IF(t&lt;Tnet,'2021'!Resal+('2021'!Salim-'2021'!Resal)*(1-EXP(('2021'!Tnet-t)/('2021'!Tau_j))),Resal+(Salim-Resal)*(1-EXP((Tnet-t)/(Tau_j))))*Salcycl</f>
        <v>2.506282642290434E-2</v>
      </c>
      <c r="P328" s="169">
        <f>(INDEX(Models!$BJ328:$BT328,,T328)*(1-R328)+INDEX(Models!$BJ328:$BT328,,T328+1)*R328-ERP_i)*Q328*Ramure*Pc/MaxiM</f>
        <v>4.1498198086467007E-3</v>
      </c>
      <c r="Q328" s="304">
        <f t="shared" si="105"/>
        <v>0.6</v>
      </c>
      <c r="R328" s="177">
        <f t="shared" si="106"/>
        <v>0.49834849086381144</v>
      </c>
      <c r="S328" s="799">
        <f t="shared" si="107"/>
        <v>0</v>
      </c>
      <c r="T328" s="176">
        <f t="shared" si="108"/>
        <v>6</v>
      </c>
      <c r="U328" s="250">
        <f t="shared" si="109"/>
        <v>0.49834849086381144</v>
      </c>
      <c r="V328" s="382">
        <f t="shared" si="110"/>
        <v>29.702811019528262</v>
      </c>
      <c r="W328" s="400">
        <f t="shared" si="111"/>
        <v>0</v>
      </c>
      <c r="X328" s="157">
        <f t="shared" si="112"/>
        <v>44875</v>
      </c>
      <c r="Y328" s="383">
        <f t="shared" si="113"/>
        <v>19.539391853589002</v>
      </c>
      <c r="Z328" s="383">
        <f t="shared" si="114"/>
        <v>20.068440785136797</v>
      </c>
      <c r="AA328" s="384">
        <f t="shared" si="115"/>
        <v>21.930276178374967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8.4897945565960961E-2</v>
      </c>
      <c r="AD328" s="230">
        <f>(INDEX(Models!$BJ328:$BT328,,AH328)*(1-AF328)+INDEX(Models!$BJ328:$BT328,,AH328+1)*AF328-ERP_i)*AE328*Ramure*Pc/MaxiM</f>
        <v>4.1498198086467007E-3</v>
      </c>
      <c r="AE328" s="304">
        <f t="shared" si="117"/>
        <v>0.6</v>
      </c>
      <c r="AF328" s="177">
        <f t="shared" si="118"/>
        <v>0.49834849086381144</v>
      </c>
      <c r="AG328" s="799">
        <f t="shared" si="124"/>
        <v>0</v>
      </c>
      <c r="AH328" s="176">
        <f t="shared" si="119"/>
        <v>6</v>
      </c>
      <c r="AI328" s="224">
        <f t="shared" si="120"/>
        <v>0.49834849086381144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44876</v>
      </c>
      <c r="B329" s="1153">
        <v>28.475999999999999</v>
      </c>
      <c r="C329" s="388"/>
      <c r="D329" s="391">
        <f t="shared" si="102"/>
        <v>29.247577220473147</v>
      </c>
      <c r="E329" s="383">
        <f t="shared" si="125"/>
        <v>30.001301091864956</v>
      </c>
      <c r="F329" s="383">
        <f t="shared" si="103"/>
        <v>30.122601545435955</v>
      </c>
      <c r="G329" s="110">
        <f t="shared" si="126"/>
        <v>0.96796264165575951</v>
      </c>
      <c r="H329" s="412" t="b">
        <f>Wh_hp&gt;='2021'!Maxi_hp</f>
        <v>1</v>
      </c>
      <c r="I329" s="379">
        <f>IF(H329,Wh_hp,'2021'!Maxi_hp)</f>
        <v>30.122601545435955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2.638089352348294E-2</v>
      </c>
      <c r="M329" s="832"/>
      <c r="N329" s="832"/>
      <c r="O329" s="48">
        <f>IF(t&lt;Tnet,'2021'!Resal+('2021'!Salim-'2021'!Resal)*(1-EXP(('2021'!Tnet-t)/('2021'!Tau_j))),Resal+(Salim-Resal)*(1-EXP((Tnet-t)/(Tau_j))))*Salcycl</f>
        <v>2.5123039466984624E-2</v>
      </c>
      <c r="P329" s="169">
        <f>(INDEX(Models!$BJ329:$BT329,,T329)*(1-R329)+INDEX(Models!$BJ329:$BT329,,T329+1)*R329-ERP_i)*Q329*Ramure*Pc/MaxiM</f>
        <v>4.218854115460015E-3</v>
      </c>
      <c r="Q329" s="304">
        <f t="shared" si="105"/>
        <v>0.6</v>
      </c>
      <c r="R329" s="177">
        <f t="shared" si="106"/>
        <v>0.49838584521980855</v>
      </c>
      <c r="S329" s="799">
        <f t="shared" si="107"/>
        <v>0</v>
      </c>
      <c r="T329" s="176">
        <f t="shared" si="108"/>
        <v>6</v>
      </c>
      <c r="U329" s="250">
        <f t="shared" si="109"/>
        <v>0.49838584521980855</v>
      </c>
      <c r="V329" s="382">
        <f t="shared" si="110"/>
        <v>29.412820651555588</v>
      </c>
      <c r="W329" s="400">
        <f t="shared" si="111"/>
        <v>0</v>
      </c>
      <c r="X329" s="157">
        <f t="shared" si="112"/>
        <v>44876</v>
      </c>
      <c r="Y329" s="383">
        <f t="shared" si="113"/>
        <v>26.731786068409502</v>
      </c>
      <c r="Z329" s="383">
        <f t="shared" si="114"/>
        <v>27.456102587335831</v>
      </c>
      <c r="AA329" s="384">
        <f t="shared" si="115"/>
        <v>30.001301091864956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8.4836270824910048E-2</v>
      </c>
      <c r="AD329" s="230">
        <f>(INDEX(Models!$BJ329:$BT329,,AH329)*(1-AF329)+INDEX(Models!$BJ329:$BT329,,AH329+1)*AF329-ERP_i)*AE329*Ramure*Pc/MaxiM</f>
        <v>4.218854115460015E-3</v>
      </c>
      <c r="AE329" s="304">
        <f t="shared" si="117"/>
        <v>0.6</v>
      </c>
      <c r="AF329" s="177">
        <f t="shared" si="118"/>
        <v>0.49838584521980855</v>
      </c>
      <c r="AG329" s="799">
        <f t="shared" si="124"/>
        <v>0</v>
      </c>
      <c r="AH329" s="176">
        <f t="shared" si="119"/>
        <v>6</v>
      </c>
      <c r="AI329" s="224">
        <f t="shared" si="120"/>
        <v>0.49838584521980855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44877</v>
      </c>
      <c r="B330" s="1153">
        <v>28.042000000000002</v>
      </c>
      <c r="C330" s="388"/>
      <c r="D330" s="391">
        <f t="shared" si="102"/>
        <v>28.802369676491818</v>
      </c>
      <c r="E330" s="383">
        <f t="shared" si="125"/>
        <v>29.546446366674488</v>
      </c>
      <c r="F330" s="383">
        <f t="shared" si="103"/>
        <v>29.666919468360309</v>
      </c>
      <c r="G330" s="110">
        <f t="shared" si="126"/>
        <v>0.96249917168673682</v>
      </c>
      <c r="H330" s="412" t="b">
        <f>Wh_hp&gt;='2021'!Maxi_hp</f>
        <v>1</v>
      </c>
      <c r="I330" s="379">
        <f>IF(H330,Wh_hp,'2021'!Maxi_hp)</f>
        <v>29.666919468360309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2.6399552711540375E-2</v>
      </c>
      <c r="M330" s="832"/>
      <c r="N330" s="832"/>
      <c r="O330" s="48">
        <f>IF(t&lt;Tnet,'2021'!Resal+('2021'!Salim-'2021'!Resal)*(1-EXP(('2021'!Tnet-t)/('2021'!Tau_j))),Resal+(Salim-Resal)*(1-EXP((Tnet-t)/(Tau_j))))*Salcycl</f>
        <v>2.5183288743038653E-2</v>
      </c>
      <c r="P330" s="169">
        <f>(INDEX(Models!$BJ330:$BT330,,T330)*(1-R330)+INDEX(Models!$BJ330:$BT330,,T330+1)*R330-ERP_i)*Q330*Ramure*Pc/MaxiM</f>
        <v>4.2892919738957659E-3</v>
      </c>
      <c r="Q330" s="304">
        <f t="shared" si="105"/>
        <v>0.6</v>
      </c>
      <c r="R330" s="177">
        <f t="shared" si="106"/>
        <v>0.49842170083087178</v>
      </c>
      <c r="S330" s="799">
        <f t="shared" si="107"/>
        <v>0</v>
      </c>
      <c r="T330" s="176">
        <f t="shared" si="108"/>
        <v>6</v>
      </c>
      <c r="U330" s="250">
        <f t="shared" si="109"/>
        <v>0.49842170083087178</v>
      </c>
      <c r="V330" s="382">
        <f t="shared" si="110"/>
        <v>29.127888020145264</v>
      </c>
      <c r="W330" s="400">
        <f t="shared" si="111"/>
        <v>0</v>
      </c>
      <c r="X330" s="157">
        <f t="shared" si="112"/>
        <v>44877</v>
      </c>
      <c r="Y330" s="383">
        <f t="shared" si="113"/>
        <v>26.327746558242293</v>
      </c>
      <c r="Z330" s="383">
        <f t="shared" si="114"/>
        <v>27.041633589597019</v>
      </c>
      <c r="AA330" s="384">
        <f t="shared" si="115"/>
        <v>29.546446366674488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8.4775432753992824E-2</v>
      </c>
      <c r="AD330" s="230">
        <f>(INDEX(Models!$BJ330:$BT330,,AH330)*(1-AF330)+INDEX(Models!$BJ330:$BT330,,AH330+1)*AF330-ERP_i)*AE330*Ramure*Pc/MaxiM</f>
        <v>4.2892919738957659E-3</v>
      </c>
      <c r="AE330" s="304">
        <f t="shared" si="117"/>
        <v>0.6</v>
      </c>
      <c r="AF330" s="177">
        <f t="shared" si="118"/>
        <v>0.49842170083087178</v>
      </c>
      <c r="AG330" s="799">
        <f t="shared" si="124"/>
        <v>0</v>
      </c>
      <c r="AH330" s="176">
        <f t="shared" si="119"/>
        <v>6</v>
      </c>
      <c r="AI330" s="224">
        <f t="shared" si="120"/>
        <v>0.49842170083087178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44878</v>
      </c>
      <c r="B331" s="1153">
        <v>26.969000000000001</v>
      </c>
      <c r="C331" s="388"/>
      <c r="D331" s="391">
        <f t="shared" si="102"/>
        <v>27.700805746083859</v>
      </c>
      <c r="E331" s="383">
        <f t="shared" si="125"/>
        <v>28.418182979724662</v>
      </c>
      <c r="F331" s="383">
        <f t="shared" si="103"/>
        <v>28.531049303814331</v>
      </c>
      <c r="G331" s="110">
        <f t="shared" si="126"/>
        <v>0.93453632154910715</v>
      </c>
      <c r="H331" s="412" t="b">
        <f>Wh_hp&gt;='2021'!Maxi_hp</f>
        <v>0</v>
      </c>
      <c r="I331" s="379">
        <f>IF(H331,Wh_hp,'2021'!Maxi_hp)</f>
        <v>29.071978311267806</v>
      </c>
      <c r="J331" s="85">
        <f>IF(H331,An,'2021'!An_max)</f>
        <v>2020</v>
      </c>
      <c r="K331" s="197">
        <f t="shared" si="104"/>
        <v>44878</v>
      </c>
      <c r="L331" s="147">
        <f>IF(t&lt;Tvie,1-EXP((T0-t)*PertePVj)+'2021'!Pspv,1-EXP((T0-t)*PertePVj)+Pspv)</f>
        <v>2.6418211541998748E-2</v>
      </c>
      <c r="M331" s="832"/>
      <c r="N331" s="832"/>
      <c r="O331" s="48">
        <f>IF(t&lt;Tnet,'2021'!Resal+('2021'!Salim-'2021'!Resal)*(1-EXP(('2021'!Tnet-t)/('2021'!Tau_j))),Resal+(Salim-Resal)*(1-EXP((Tnet-t)/(Tau_j))))*Salcycl</f>
        <v>2.5243599640153901E-2</v>
      </c>
      <c r="P331" s="169">
        <f>(INDEX(Models!$BJ331:$BT331,,T331)*(1-R331)+INDEX(Models!$BJ331:$BT331,,T331+1)*R331-ERP_i)*Q331*Ramure*Pc/MaxiM</f>
        <v>4.3614184933353523E-3</v>
      </c>
      <c r="Q331" s="304">
        <f t="shared" si="105"/>
        <v>0.6</v>
      </c>
      <c r="R331" s="177">
        <f t="shared" si="106"/>
        <v>0.49845611762762249</v>
      </c>
      <c r="S331" s="799">
        <f t="shared" si="107"/>
        <v>0</v>
      </c>
      <c r="T331" s="176">
        <f t="shared" si="108"/>
        <v>6</v>
      </c>
      <c r="U331" s="250">
        <f t="shared" si="109"/>
        <v>0.49845611762762249</v>
      </c>
      <c r="V331" s="382">
        <f t="shared" si="110"/>
        <v>28.846412753854469</v>
      </c>
      <c r="W331" s="400">
        <f t="shared" si="111"/>
        <v>0</v>
      </c>
      <c r="X331" s="157">
        <f t="shared" si="112"/>
        <v>44878</v>
      </c>
      <c r="Y331" s="383">
        <f t="shared" si="113"/>
        <v>25.32356541985833</v>
      </c>
      <c r="Z331" s="383">
        <f t="shared" si="114"/>
        <v>26.010722180790616</v>
      </c>
      <c r="AA331" s="384">
        <f t="shared" si="115"/>
        <v>28.418182979724662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8.4715507696311296E-2</v>
      </c>
      <c r="AD331" s="230">
        <f>(INDEX(Models!$BJ331:$BT331,,AH331)*(1-AF331)+INDEX(Models!$BJ331:$BT331,,AH331+1)*AF331-ERP_i)*AE331*Ramure*Pc/MaxiM</f>
        <v>4.3614184933353523E-3</v>
      </c>
      <c r="AE331" s="304">
        <f t="shared" si="117"/>
        <v>0.6</v>
      </c>
      <c r="AF331" s="177">
        <f t="shared" si="118"/>
        <v>0.49845611762762249</v>
      </c>
      <c r="AG331" s="799">
        <f t="shared" si="124"/>
        <v>0</v>
      </c>
      <c r="AH331" s="176">
        <f t="shared" si="119"/>
        <v>6</v>
      </c>
      <c r="AI331" s="224">
        <f t="shared" si="120"/>
        <v>0.49845611762762249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44879</v>
      </c>
      <c r="B332" s="1153">
        <v>9.9860000000000007</v>
      </c>
      <c r="C332" s="388"/>
      <c r="D332" s="391">
        <f t="shared" si="102"/>
        <v>10.257167401309118</v>
      </c>
      <c r="E332" s="383">
        <f t="shared" si="125"/>
        <v>10.523452818310945</v>
      </c>
      <c r="F332" s="383">
        <f t="shared" si="103"/>
        <v>10.526754779596269</v>
      </c>
      <c r="G332" s="110">
        <f t="shared" si="126"/>
        <v>0.34812368447128944</v>
      </c>
      <c r="H332" s="412" t="b">
        <f>Wh_hp&gt;='2021'!Maxi_hp</f>
        <v>0</v>
      </c>
      <c r="I332" s="379">
        <f>IF(H332,Wh_hp,'2021'!Maxi_hp)</f>
        <v>19.875209801097167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2.6436870014864833E-2</v>
      </c>
      <c r="M332" s="832"/>
      <c r="N332" s="832"/>
      <c r="O332" s="48">
        <f>IF(t&lt;Tnet,'2021'!Resal+('2021'!Salim-'2021'!Resal)*(1-EXP(('2021'!Tnet-t)/('2021'!Tau_j))),Resal+(Salim-Resal)*(1-EXP((Tnet-t)/(Tau_j))))*Salcycl</f>
        <v>2.5303996853436456E-2</v>
      </c>
      <c r="P332" s="169">
        <f>(INDEX(Models!$BJ332:$BT332,,T332)*(1-R332)+INDEX(Models!$BJ332:$BT332,,T332+1)*R332-ERP_i)*Q332*Ramure*Pc/MaxiM</f>
        <v>4.4301359467696809E-3</v>
      </c>
      <c r="Q332" s="304">
        <f t="shared" si="105"/>
        <v>0.6</v>
      </c>
      <c r="R332" s="177">
        <f t="shared" si="106"/>
        <v>0.49848915316018416</v>
      </c>
      <c r="S332" s="799">
        <f t="shared" si="107"/>
        <v>0</v>
      </c>
      <c r="T332" s="176">
        <f t="shared" si="108"/>
        <v>6</v>
      </c>
      <c r="U332" s="250">
        <f t="shared" si="109"/>
        <v>0.49848915316018416</v>
      </c>
      <c r="V332" s="382">
        <f t="shared" si="110"/>
        <v>28.567088505655196</v>
      </c>
      <c r="W332" s="400">
        <f t="shared" si="111"/>
        <v>0</v>
      </c>
      <c r="X332" s="157">
        <f t="shared" si="112"/>
        <v>44879</v>
      </c>
      <c r="Y332" s="383">
        <f t="shared" si="113"/>
        <v>9.3779183200940111</v>
      </c>
      <c r="Z332" s="383">
        <f t="shared" si="114"/>
        <v>9.6325734112765726</v>
      </c>
      <c r="AA332" s="384">
        <f t="shared" si="115"/>
        <v>10.523452818310945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8.4656568753197672E-2</v>
      </c>
      <c r="AD332" s="230">
        <f>(INDEX(Models!$BJ332:$BT332,,AH332)*(1-AF332)+INDEX(Models!$BJ332:$BT332,,AH332+1)*AF332-ERP_i)*AE332*Ramure*Pc/MaxiM</f>
        <v>4.4301359467696809E-3</v>
      </c>
      <c r="AE332" s="304">
        <f t="shared" si="117"/>
        <v>0.6</v>
      </c>
      <c r="AF332" s="177">
        <f t="shared" si="118"/>
        <v>0.49848915316018416</v>
      </c>
      <c r="AG332" s="799">
        <f t="shared" si="124"/>
        <v>0</v>
      </c>
      <c r="AH332" s="176">
        <f t="shared" si="119"/>
        <v>6</v>
      </c>
      <c r="AI332" s="224">
        <f t="shared" si="120"/>
        <v>0.49848915316018416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44880</v>
      </c>
      <c r="B333" s="1153">
        <v>12.814</v>
      </c>
      <c r="C333" s="388"/>
      <c r="D333" s="391">
        <f t="shared" si="102"/>
        <v>13.162213304327615</v>
      </c>
      <c r="E333" s="383">
        <f t="shared" si="125"/>
        <v>13.504754712903733</v>
      </c>
      <c r="F333" s="383">
        <f t="shared" si="103"/>
        <v>13.51802449109854</v>
      </c>
      <c r="G333" s="110">
        <f t="shared" si="126"/>
        <v>0.45135157435789619</v>
      </c>
      <c r="H333" s="412" t="b">
        <f>Wh_hp&gt;='2021'!Maxi_hp</f>
        <v>0</v>
      </c>
      <c r="I333" s="379">
        <f>IF(H333,Wh_hp,'2021'!Maxi_hp)</f>
        <v>26.911873928380832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2.6455528130145511E-2</v>
      </c>
      <c r="M333" s="832"/>
      <c r="N333" s="832"/>
      <c r="O333" s="48">
        <f>IF(t&lt;Tnet,'2021'!Resal+('2021'!Salim-'2021'!Resal)*(1-EXP(('2021'!Tnet-t)/('2021'!Tau_j))),Resal+(Salim-Resal)*(1-EXP((Tnet-t)/(Tau_j))))*Salcycl</f>
        <v>2.5364504269657084E-2</v>
      </c>
      <c r="P333" s="169">
        <f>(INDEX(Models!$BJ333:$BT333,,T333)*(1-R333)+INDEX(Models!$BJ333:$BT333,,T333+1)*R333-ERP_i)*Q333*Ramure*Pc/MaxiM</f>
        <v>4.4928038338547501E-3</v>
      </c>
      <c r="Q333" s="304">
        <f t="shared" si="105"/>
        <v>0.6</v>
      </c>
      <c r="R333" s="177">
        <f t="shared" si="106"/>
        <v>0.49852086269147927</v>
      </c>
      <c r="S333" s="799">
        <f t="shared" si="107"/>
        <v>0</v>
      </c>
      <c r="T333" s="176">
        <f t="shared" si="108"/>
        <v>6</v>
      </c>
      <c r="U333" s="250">
        <f t="shared" si="109"/>
        <v>0.49852086269147927</v>
      </c>
      <c r="V333" s="382">
        <f t="shared" si="110"/>
        <v>28.290504365807074</v>
      </c>
      <c r="W333" s="400">
        <f t="shared" si="111"/>
        <v>0</v>
      </c>
      <c r="X333" s="157">
        <f t="shared" si="112"/>
        <v>44880</v>
      </c>
      <c r="Y333" s="383">
        <f t="shared" si="113"/>
        <v>12.035219829321134</v>
      </c>
      <c r="Z333" s="383">
        <f t="shared" si="114"/>
        <v>12.362270216793988</v>
      </c>
      <c r="AA333" s="384">
        <f t="shared" si="115"/>
        <v>13.504754712903733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8.4598685455434933E-2</v>
      </c>
      <c r="AD333" s="230">
        <f>(INDEX(Models!$BJ333:$BT333,,AH333)*(1-AF333)+INDEX(Models!$BJ333:$BT333,,AH333+1)*AF333-ERP_i)*AE333*Ramure*Pc/MaxiM</f>
        <v>4.4928038338547501E-3</v>
      </c>
      <c r="AE333" s="304">
        <f t="shared" si="117"/>
        <v>0.6</v>
      </c>
      <c r="AF333" s="177">
        <f t="shared" si="118"/>
        <v>0.49852086269147927</v>
      </c>
      <c r="AG333" s="799">
        <f t="shared" si="124"/>
        <v>0</v>
      </c>
      <c r="AH333" s="176">
        <f t="shared" si="119"/>
        <v>6</v>
      </c>
      <c r="AI333" s="224">
        <f t="shared" si="120"/>
        <v>0.49852086269147927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44881</v>
      </c>
      <c r="B334" s="1153">
        <v>27.589000000000002</v>
      </c>
      <c r="C334" s="388"/>
      <c r="D334" s="391">
        <f t="shared" si="102"/>
        <v>28.339258805541743</v>
      </c>
      <c r="E334" s="383">
        <f t="shared" si="125"/>
        <v>29.078586068587288</v>
      </c>
      <c r="F334" s="383">
        <f t="shared" si="103"/>
        <v>29.2085670452397</v>
      </c>
      <c r="G334" s="110">
        <f t="shared" si="126"/>
        <v>0.98461927084834966</v>
      </c>
      <c r="H334" s="412" t="b">
        <f>Wh_hp&gt;='2021'!Maxi_hp</f>
        <v>1</v>
      </c>
      <c r="I334" s="379">
        <f>IF(H334,Wh_hp,'2021'!Maxi_hp)</f>
        <v>29.2085670452397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2.6474185887847779E-2</v>
      </c>
      <c r="M334" s="832"/>
      <c r="N334" s="832"/>
      <c r="O334" s="48">
        <f>IF(t&lt;Tnet,'2021'!Resal+('2021'!Salim-'2021'!Resal)*(1-EXP(('2021'!Tnet-t)/('2021'!Tau_j))),Resal+(Salim-Resal)*(1-EXP((Tnet-t)/(Tau_j))))*Salcycl</f>
        <v>2.5425144857514875E-2</v>
      </c>
      <c r="P334" s="169">
        <f>(INDEX(Models!$BJ334:$BT334,,T334)*(1-R334)+INDEX(Models!$BJ334:$BT334,,T334+1)*R334-ERP_i)*Q334*Ramure*Pc/MaxiM</f>
        <v>4.5494212122189999E-3</v>
      </c>
      <c r="Q334" s="304">
        <f t="shared" si="105"/>
        <v>0.6</v>
      </c>
      <c r="R334" s="177">
        <f t="shared" si="106"/>
        <v>0.49855129928696884</v>
      </c>
      <c r="S334" s="799">
        <f t="shared" si="107"/>
        <v>0</v>
      </c>
      <c r="T334" s="176">
        <f t="shared" si="108"/>
        <v>6</v>
      </c>
      <c r="U334" s="250">
        <f t="shared" si="109"/>
        <v>0.49855129928696884</v>
      </c>
      <c r="V334" s="382">
        <f t="shared" si="110"/>
        <v>28.017172049322507</v>
      </c>
      <c r="W334" s="400">
        <f t="shared" si="111"/>
        <v>0</v>
      </c>
      <c r="X334" s="157">
        <f t="shared" si="112"/>
        <v>44881</v>
      </c>
      <c r="Y334" s="383">
        <f t="shared" si="113"/>
        <v>25.915477647008601</v>
      </c>
      <c r="Z334" s="383">
        <f t="shared" si="114"/>
        <v>26.620226470977876</v>
      </c>
      <c r="AA334" s="384">
        <f t="shared" si="115"/>
        <v>29.078586068587288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8.4541923455662957E-2</v>
      </c>
      <c r="AD334" s="230">
        <f>(INDEX(Models!$BJ334:$BT334,,AH334)*(1-AF334)+INDEX(Models!$BJ334:$BT334,,AH334+1)*AF334-ERP_i)*AE334*Ramure*Pc/MaxiM</f>
        <v>4.5494212122189999E-3</v>
      </c>
      <c r="AE334" s="304">
        <f t="shared" si="117"/>
        <v>0.6</v>
      </c>
      <c r="AF334" s="177">
        <f t="shared" si="118"/>
        <v>0.49855129928696884</v>
      </c>
      <c r="AG334" s="799">
        <f t="shared" si="124"/>
        <v>0</v>
      </c>
      <c r="AH334" s="176">
        <f t="shared" si="119"/>
        <v>6</v>
      </c>
      <c r="AI334" s="224">
        <f t="shared" si="120"/>
        <v>0.49855129928696884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44882</v>
      </c>
      <c r="B335" s="1153">
        <v>14.124000000000001</v>
      </c>
      <c r="C335" s="388"/>
      <c r="D335" s="391">
        <f t="shared" ref="D335:D379" si="127">Wh/(1-Ppv)</f>
        <v>14.508367917605455</v>
      </c>
      <c r="E335" s="383">
        <f t="shared" si="125"/>
        <v>14.887797438235003</v>
      </c>
      <c r="F335" s="383">
        <f t="shared" ref="F335:F379" si="128">Wh_sa/(1-Pvg*MEDIAN((-Sdif+Wh/Env_an)/Csdif,0,1))</f>
        <v>14.908274452398844</v>
      </c>
      <c r="G335" s="110">
        <f t="shared" si="126"/>
        <v>0.50737236007301545</v>
      </c>
      <c r="H335" s="412" t="b">
        <f>Wh_hp&gt;='2021'!Maxi_hp</f>
        <v>0</v>
      </c>
      <c r="I335" s="379">
        <f>IF(H335,Wh_hp,'2021'!Maxi_hp)</f>
        <v>23.200751935750731</v>
      </c>
      <c r="J335" s="85">
        <f>IF(H335,An,'2021'!An_max)</f>
        <v>2020</v>
      </c>
      <c r="K335" s="197">
        <f t="shared" ref="K335:K379" si="129">t</f>
        <v>44882</v>
      </c>
      <c r="L335" s="147">
        <f>IF(t&lt;Tvie,1-EXP((T0-t)*PertePVj)+'2021'!Pspv,1-EXP((T0-t)*PertePVj)+Pspv)</f>
        <v>2.6492843287978296E-2</v>
      </c>
      <c r="M335" s="832"/>
      <c r="N335" s="832"/>
      <c r="O335" s="48">
        <f>IF(t&lt;Tnet,'2021'!Resal+('2021'!Salim-'2021'!Resal)*(1-EXP(('2021'!Tnet-t)/('2021'!Tau_j))),Resal+(Salim-Resal)*(1-EXP((Tnet-t)/(Tau_j))))*Salcycl</f>
        <v>2.5485940563316191E-2</v>
      </c>
      <c r="P335" s="169">
        <f>(INDEX(Models!$BJ335:$BT335,,T335)*(1-R335)+INDEX(Models!$BJ335:$BT335,,T335+1)*R335-ERP_i)*Q335*Ramure*Pc/MaxiM</f>
        <v>4.5999786726791123E-3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0.49858051390096308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0.49858051390096308</v>
      </c>
      <c r="V335" s="382">
        <f t="shared" ref="V335:V379" si="135">MaxiM*(1-Ppv)*(1-Pvg)*(1-Psa)</f>
        <v>27.747603372999993</v>
      </c>
      <c r="W335" s="400">
        <f t="shared" ref="W335:W379" si="136">Wh*(A335&gt;Tmaj)</f>
        <v>0</v>
      </c>
      <c r="X335" s="157">
        <f t="shared" ref="X335:X379" si="137">t</f>
        <v>44882</v>
      </c>
      <c r="Y335" s="383">
        <f t="shared" ref="Y335:Y379" si="138">Wh_pvt_s*(1-Ppv)</f>
        <v>13.268884885427266</v>
      </c>
      <c r="Z335" s="383">
        <f t="shared" ref="Z335:Z379" si="139">Wh_sa_s*(1-Psa_s)</f>
        <v>13.62998185883127</v>
      </c>
      <c r="AA335" s="384">
        <f t="shared" ref="AA335:AA379" si="140">Wh_hp*(1-Pvg_s*MEDIAN((-Sdif+Wh/Env_an)/Csdif,0,1))</f>
        <v>14.887797438235003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8.4486344244139075E-2</v>
      </c>
      <c r="AD335" s="230">
        <f>(INDEX(Models!$BJ335:$BT335,,AH335)*(1-AF335)+INDEX(Models!$BJ335:$BT335,,AH335+1)*AF335-ERP_i)*AE335*Ramure*Pc/MaxiM</f>
        <v>4.5999786726791123E-3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0.49858051390096308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0.49858051390096308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44883</v>
      </c>
      <c r="B336" s="1153">
        <v>16.167999999999999</v>
      </c>
      <c r="C336" s="388"/>
      <c r="D336" s="391">
        <f t="shared" si="127"/>
        <v>16.608311249172203</v>
      </c>
      <c r="E336" s="383">
        <f t="shared" si="125"/>
        <v>17.04372581638285</v>
      </c>
      <c r="F336" s="383">
        <f t="shared" si="128"/>
        <v>17.07639109130124</v>
      </c>
      <c r="G336" s="110">
        <f t="shared" si="126"/>
        <v>0.58669563112070444</v>
      </c>
      <c r="H336" s="412" t="b">
        <f>Wh_hp&gt;='2021'!Maxi_hp</f>
        <v>0</v>
      </c>
      <c r="I336" s="379">
        <f>IF(H336,Wh_hp,'2021'!Maxi_hp)</f>
        <v>27.250192771666942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2.6511500330543947E-2</v>
      </c>
      <c r="M336" s="832"/>
      <c r="N336" s="832"/>
      <c r="O336" s="48">
        <f>IF(t&lt;Tnet,'2021'!Resal+('2021'!Salim-'2021'!Resal)*(1-EXP(('2021'!Tnet-t)/('2021'!Tau_j))),Resal+(Salim-Resal)*(1-EXP((Tnet-t)/(Tau_j))))*Salcycl</f>
        <v>2.5546912212828149E-2</v>
      </c>
      <c r="P336" s="169">
        <f>(INDEX(Models!$BJ336:$BT336,,T336)*(1-R336)+INDEX(Models!$BJ336:$BT336,,T336+1)*R336-ERP_i)*Q336*Ramure*Pc/MaxiM</f>
        <v>4.6444578421391521E-3</v>
      </c>
      <c r="Q336" s="304">
        <f t="shared" si="130"/>
        <v>0.6</v>
      </c>
      <c r="R336" s="177">
        <f t="shared" si="131"/>
        <v>0.49860855545962646</v>
      </c>
      <c r="S336" s="799">
        <f t="shared" si="132"/>
        <v>0</v>
      </c>
      <c r="T336" s="176">
        <f t="shared" si="133"/>
        <v>6</v>
      </c>
      <c r="U336" s="250">
        <f t="shared" si="134"/>
        <v>0.49860855545962646</v>
      </c>
      <c r="V336" s="382">
        <f t="shared" si="135"/>
        <v>27.482310297421293</v>
      </c>
      <c r="W336" s="400">
        <f t="shared" si="136"/>
        <v>0</v>
      </c>
      <c r="X336" s="157">
        <f t="shared" si="137"/>
        <v>44883</v>
      </c>
      <c r="Y336" s="383">
        <f t="shared" si="138"/>
        <v>15.190986134136095</v>
      </c>
      <c r="Z336" s="383">
        <f t="shared" si="139"/>
        <v>15.604689874912884</v>
      </c>
      <c r="AA336" s="384">
        <f t="shared" si="140"/>
        <v>17.04372581638285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8.4432004889842205E-2</v>
      </c>
      <c r="AD336" s="230">
        <f>(INDEX(Models!$BJ336:$BT336,,AH336)*(1-AF336)+INDEX(Models!$BJ336:$BT336,,AH336+1)*AF336-ERP_i)*AE336*Ramure*Pc/MaxiM</f>
        <v>4.6444578421391521E-3</v>
      </c>
      <c r="AE336" s="304">
        <f t="shared" si="142"/>
        <v>0.6</v>
      </c>
      <c r="AF336" s="177">
        <f t="shared" si="143"/>
        <v>0.49860855545962646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0.49860855545962646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44884</v>
      </c>
      <c r="B337" s="1153">
        <v>7.3890000000000002</v>
      </c>
      <c r="C337" s="388"/>
      <c r="D337" s="391">
        <f t="shared" si="127"/>
        <v>7.5903738089583976</v>
      </c>
      <c r="E337" s="383">
        <f t="shared" si="125"/>
        <v>7.7898570879368867</v>
      </c>
      <c r="F337" s="383">
        <f t="shared" si="128"/>
        <v>7.7898570879368867</v>
      </c>
      <c r="G337" s="110">
        <f t="shared" si="126"/>
        <v>0.27016572103041442</v>
      </c>
      <c r="H337" s="412" t="b">
        <f>Wh_hp&gt;='2021'!Maxi_hp</f>
        <v>0</v>
      </c>
      <c r="I337" s="379">
        <f>IF(H337,Wh_hp,'2021'!Maxi_hp)</f>
        <v>28.562272949049884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2.6530157015551725E-2</v>
      </c>
      <c r="M337" s="832"/>
      <c r="N337" s="832"/>
      <c r="O337" s="48">
        <f>IF(t&lt;Tnet,'2021'!Resal+('2021'!Salim-'2021'!Resal)*(1-EXP(('2021'!Tnet-t)/('2021'!Tau_j))),Resal+(Salim-Resal)*(1-EXP((Tnet-t)/(Tau_j))))*Salcycl</f>
        <v>2.5608079420019372E-2</v>
      </c>
      <c r="P337" s="169">
        <f>(INDEX(Models!$BJ337:$BT337,,T337)*(1-R337)+INDEX(Models!$BJ337:$BT337,,T337+1)*R337-ERP_i)*Q337*Ramure*Pc/MaxiM</f>
        <v>4.6828309695136766E-3</v>
      </c>
      <c r="Q337" s="304">
        <f t="shared" si="130"/>
        <v>0.6</v>
      </c>
      <c r="R337" s="177">
        <f t="shared" si="131"/>
        <v>0.49863547094079697</v>
      </c>
      <c r="S337" s="799">
        <f t="shared" si="132"/>
        <v>0</v>
      </c>
      <c r="T337" s="176">
        <f t="shared" si="133"/>
        <v>6</v>
      </c>
      <c r="U337" s="250">
        <f t="shared" si="134"/>
        <v>0.49863547094079697</v>
      </c>
      <c r="V337" s="382">
        <f t="shared" si="135"/>
        <v>27.221804949630631</v>
      </c>
      <c r="W337" s="400">
        <f t="shared" si="136"/>
        <v>0</v>
      </c>
      <c r="X337" s="157">
        <f t="shared" si="137"/>
        <v>44884</v>
      </c>
      <c r="Y337" s="383">
        <f t="shared" si="138"/>
        <v>6.943329206511101</v>
      </c>
      <c r="Z337" s="383">
        <f t="shared" si="139"/>
        <v>7.1325570653779611</v>
      </c>
      <c r="AA337" s="384">
        <f t="shared" si="140"/>
        <v>7.7898570879368867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8.4378957808712379E-2</v>
      </c>
      <c r="AD337" s="230">
        <f>(INDEX(Models!$BJ337:$BT337,,AH337)*(1-AF337)+INDEX(Models!$BJ337:$BT337,,AH337+1)*AF337-ERP_i)*AE337*Ramure*Pc/MaxiM</f>
        <v>4.6828309695136766E-3</v>
      </c>
      <c r="AE337" s="304">
        <f t="shared" si="142"/>
        <v>0.6</v>
      </c>
      <c r="AF337" s="177">
        <f t="shared" si="143"/>
        <v>0.49863547094079697</v>
      </c>
      <c r="AG337" s="799">
        <f t="shared" si="149"/>
        <v>0</v>
      </c>
      <c r="AH337" s="176">
        <f t="shared" si="144"/>
        <v>6</v>
      </c>
      <c r="AI337" s="224">
        <f t="shared" si="145"/>
        <v>0.49863547094079697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44885</v>
      </c>
      <c r="B338" s="1153">
        <v>16.260000000000002</v>
      </c>
      <c r="C338" s="388"/>
      <c r="D338" s="391">
        <f t="shared" si="127"/>
        <v>16.70345696104167</v>
      </c>
      <c r="E338" s="383">
        <f t="shared" si="125"/>
        <v>17.14352191985159</v>
      </c>
      <c r="F338" s="383">
        <f t="shared" si="128"/>
        <v>17.178612255498464</v>
      </c>
      <c r="G338" s="110">
        <f t="shared" si="126"/>
        <v>0.60135346267274381</v>
      </c>
      <c r="H338" s="412" t="b">
        <f>Wh_hp&gt;='2021'!Maxi_hp</f>
        <v>0</v>
      </c>
      <c r="I338" s="379">
        <f>IF(H338,Wh_hp,'2021'!Maxi_hp)</f>
        <v>28.66422438766487</v>
      </c>
      <c r="J338" s="85">
        <f>IF(H338,An,'2021'!An_max)</f>
        <v>2018</v>
      </c>
      <c r="K338" s="197">
        <f t="shared" si="129"/>
        <v>44885</v>
      </c>
      <c r="L338" s="147">
        <f>IF(t&lt;Tvie,1-EXP((T0-t)*PertePVj)+'2021'!Pspv,1-EXP((T0-t)*PertePVj)+Pspv)</f>
        <v>2.6548813343008404E-2</v>
      </c>
      <c r="M338" s="832"/>
      <c r="N338" s="832"/>
      <c r="O338" s="48">
        <f>IF(t&lt;Tnet,'2021'!Resal+('2021'!Salim-'2021'!Resal)*(1-EXP(('2021'!Tnet-t)/('2021'!Tau_j))),Resal+(Salim-Resal)*(1-EXP((Tnet-t)/(Tau_j))))*Salcycl</f>
        <v>2.5669460503348455E-2</v>
      </c>
      <c r="P338" s="169">
        <f>(INDEX(Models!$BJ338:$BT338,,T338)*(1-R338)+INDEX(Models!$BJ338:$BT338,,T338+1)*R338-ERP_i)*Q338*Ramure*Pc/MaxiM</f>
        <v>4.7195075581906113E-3</v>
      </c>
      <c r="Q338" s="304">
        <f t="shared" si="130"/>
        <v>0.6</v>
      </c>
      <c r="R338" s="177">
        <f t="shared" si="131"/>
        <v>0.498661305450736</v>
      </c>
      <c r="S338" s="799">
        <f t="shared" si="132"/>
        <v>0</v>
      </c>
      <c r="T338" s="176">
        <f t="shared" si="133"/>
        <v>6</v>
      </c>
      <c r="U338" s="250">
        <f t="shared" si="134"/>
        <v>0.498661305450736</v>
      </c>
      <c r="V338" s="382">
        <f t="shared" si="135"/>
        <v>26.966479171199826</v>
      </c>
      <c r="W338" s="400">
        <f t="shared" si="136"/>
        <v>0</v>
      </c>
      <c r="X338" s="157">
        <f t="shared" si="137"/>
        <v>44885</v>
      </c>
      <c r="Y338" s="383">
        <f t="shared" si="138"/>
        <v>15.281096406540101</v>
      </c>
      <c r="Z338" s="383">
        <f t="shared" si="139"/>
        <v>15.697855851425036</v>
      </c>
      <c r="AA338" s="384">
        <f t="shared" si="140"/>
        <v>17.14352191985159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8.4327250560605305E-2</v>
      </c>
      <c r="AD338" s="230">
        <f>(INDEX(Models!$BJ338:$BT338,,AH338)*(1-AF338)+INDEX(Models!$BJ338:$BT338,,AH338+1)*AF338-ERP_i)*AE338*Ramure*Pc/MaxiM</f>
        <v>4.7195075581906113E-3</v>
      </c>
      <c r="AE338" s="304">
        <f t="shared" si="142"/>
        <v>0.6</v>
      </c>
      <c r="AF338" s="177">
        <f t="shared" si="143"/>
        <v>0.498661305450736</v>
      </c>
      <c r="AG338" s="799">
        <f t="shared" si="149"/>
        <v>0</v>
      </c>
      <c r="AH338" s="176">
        <f t="shared" si="144"/>
        <v>6</v>
      </c>
      <c r="AI338" s="224">
        <f t="shared" si="145"/>
        <v>0.498661305450736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44886</v>
      </c>
      <c r="B339" s="1153">
        <v>3.266</v>
      </c>
      <c r="C339" s="388"/>
      <c r="D339" s="391">
        <f t="shared" si="127"/>
        <v>3.3551375129149985</v>
      </c>
      <c r="E339" s="383">
        <f t="shared" si="125"/>
        <v>3.4437488643049829</v>
      </c>
      <c r="F339" s="383">
        <f t="shared" si="128"/>
        <v>3.4437488643049829</v>
      </c>
      <c r="G339" s="110">
        <f t="shared" si="126"/>
        <v>0.12166374922998287</v>
      </c>
      <c r="H339" s="412" t="b">
        <f>Wh_hp&gt;='2021'!Maxi_hp</f>
        <v>0</v>
      </c>
      <c r="I339" s="379">
        <f>IF(H339,Wh_hp,'2021'!Maxi_hp)</f>
        <v>27.981917732937102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2.6567469312920755E-2</v>
      </c>
      <c r="M339" s="832"/>
      <c r="N339" s="832"/>
      <c r="O339" s="48">
        <f>IF(t&lt;Tnet,'2021'!Resal+('2021'!Salim-'2021'!Resal)*(1-EXP(('2021'!Tnet-t)/('2021'!Tau_j))),Resal+(Salim-Resal)*(1-EXP((Tnet-t)/(Tau_j))))*Salcycl</f>
        <v>2.5731072410202557E-2</v>
      </c>
      <c r="P339" s="169">
        <f>(INDEX(Models!$BJ339:$BT339,,T339)*(1-R339)+INDEX(Models!$BJ339:$BT339,,T339+1)*R339-ERP_i)*Q339*Ramure*Pc/MaxiM</f>
        <v>4.755483497869889E-3</v>
      </c>
      <c r="Q339" s="304">
        <f t="shared" si="130"/>
        <v>0.6</v>
      </c>
      <c r="R339" s="177">
        <f t="shared" si="131"/>
        <v>0.4986861022979211</v>
      </c>
      <c r="S339" s="799">
        <f t="shared" si="132"/>
        <v>0</v>
      </c>
      <c r="T339" s="176">
        <f t="shared" si="133"/>
        <v>6</v>
      </c>
      <c r="U339" s="250">
        <f t="shared" si="134"/>
        <v>0.4986861022979211</v>
      </c>
      <c r="V339" s="382">
        <f t="shared" si="135"/>
        <v>26.716820839965614</v>
      </c>
      <c r="W339" s="400">
        <f t="shared" si="136"/>
        <v>0</v>
      </c>
      <c r="X339" s="157">
        <f t="shared" si="137"/>
        <v>44886</v>
      </c>
      <c r="Y339" s="383">
        <f t="shared" si="138"/>
        <v>3.0697392434959876</v>
      </c>
      <c r="Z339" s="383">
        <f t="shared" si="139"/>
        <v>3.1535202972200542</v>
      </c>
      <c r="AA339" s="384">
        <f t="shared" si="140"/>
        <v>3.4437488643049829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8.4276925676316033E-2</v>
      </c>
      <c r="AD339" s="230">
        <f>(INDEX(Models!$BJ339:$BT339,,AH339)*(1-AF339)+INDEX(Models!$BJ339:$BT339,,AH339+1)*AF339-ERP_i)*AE339*Ramure*Pc/MaxiM</f>
        <v>4.755483497869889E-3</v>
      </c>
      <c r="AE339" s="304">
        <f t="shared" si="142"/>
        <v>0.6</v>
      </c>
      <c r="AF339" s="177">
        <f t="shared" si="143"/>
        <v>0.4986861022979211</v>
      </c>
      <c r="AG339" s="799">
        <f t="shared" si="149"/>
        <v>0</v>
      </c>
      <c r="AH339" s="176">
        <f t="shared" si="144"/>
        <v>6</v>
      </c>
      <c r="AI339" s="224">
        <f t="shared" si="145"/>
        <v>0.4986861022979211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44887</v>
      </c>
      <c r="B340" s="1153">
        <v>8.08</v>
      </c>
      <c r="C340" s="388"/>
      <c r="D340" s="391">
        <f t="shared" si="127"/>
        <v>8.3006829950722683</v>
      </c>
      <c r="E340" s="383">
        <f t="shared" si="125"/>
        <v>8.5204503808525729</v>
      </c>
      <c r="F340" s="383">
        <f t="shared" si="128"/>
        <v>8.5207543557066323</v>
      </c>
      <c r="G340" s="110">
        <f t="shared" si="126"/>
        <v>0.30376129275652763</v>
      </c>
      <c r="H340" s="412" t="b">
        <f>Wh_hp&gt;='2021'!Maxi_hp</f>
        <v>0</v>
      </c>
      <c r="I340" s="379">
        <f>IF(H340,Wh_hp,'2021'!Maxi_hp)</f>
        <v>29.203443370360098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2.6586124925295662E-2</v>
      </c>
      <c r="M340" s="832"/>
      <c r="N340" s="832"/>
      <c r="O340" s="48">
        <f>IF(t&lt;Tnet,'2021'!Resal+('2021'!Salim-'2021'!Resal)*(1-EXP(('2021'!Tnet-t)/('2021'!Tau_j))),Resal+(Salim-Resal)*(1-EXP((Tnet-t)/(Tau_j))))*Salcycl</f>
        <v>2.5792930650024394E-2</v>
      </c>
      <c r="P340" s="169">
        <f>(INDEX(Models!$BJ340:$BT340,,T340)*(1-R340)+INDEX(Models!$BJ340:$BT340,,T340+1)*R340-ERP_i)*Q340*Ramure*Pc/MaxiM</f>
        <v>4.7907093062127962E-3</v>
      </c>
      <c r="Q340" s="304">
        <f t="shared" si="130"/>
        <v>0.6</v>
      </c>
      <c r="R340" s="177">
        <f t="shared" si="131"/>
        <v>0.49870990306398971</v>
      </c>
      <c r="S340" s="799">
        <f t="shared" si="132"/>
        <v>0</v>
      </c>
      <c r="T340" s="176">
        <f t="shared" si="133"/>
        <v>6</v>
      </c>
      <c r="U340" s="250">
        <f t="shared" si="134"/>
        <v>0.49870990306398971</v>
      </c>
      <c r="V340" s="382">
        <f t="shared" si="135"/>
        <v>26.47334647623795</v>
      </c>
      <c r="W340" s="400">
        <f t="shared" si="136"/>
        <v>0</v>
      </c>
      <c r="X340" s="157">
        <f t="shared" si="137"/>
        <v>44887</v>
      </c>
      <c r="Y340" s="383">
        <f t="shared" si="138"/>
        <v>7.595343769338065</v>
      </c>
      <c r="Z340" s="383">
        <f t="shared" si="139"/>
        <v>7.8027897113703695</v>
      </c>
      <c r="AA340" s="384">
        <f t="shared" si="140"/>
        <v>8.5204503808525729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8.4228020515787969E-2</v>
      </c>
      <c r="AD340" s="230">
        <f>(INDEX(Models!$BJ340:$BT340,,AH340)*(1-AF340)+INDEX(Models!$BJ340:$BT340,,AH340+1)*AF340-ERP_i)*AE340*Ramure*Pc/MaxiM</f>
        <v>4.7907093062127962E-3</v>
      </c>
      <c r="AE340" s="304">
        <f t="shared" si="142"/>
        <v>0.6</v>
      </c>
      <c r="AF340" s="177">
        <f t="shared" si="143"/>
        <v>0.49870990306398971</v>
      </c>
      <c r="AG340" s="799">
        <f t="shared" si="149"/>
        <v>0</v>
      </c>
      <c r="AH340" s="176">
        <f t="shared" si="144"/>
        <v>6</v>
      </c>
      <c r="AI340" s="224">
        <f t="shared" si="145"/>
        <v>0.49870990306398971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44888</v>
      </c>
      <c r="B341" s="1153">
        <v>13.551</v>
      </c>
      <c r="C341" s="388"/>
      <c r="D341" s="391">
        <f t="shared" si="127"/>
        <v>13.921375125006056</v>
      </c>
      <c r="E341" s="383">
        <f t="shared" si="125"/>
        <v>14.290866173557003</v>
      </c>
      <c r="F341" s="383">
        <f t="shared" si="128"/>
        <v>14.312224067688057</v>
      </c>
      <c r="G341" s="110">
        <f t="shared" si="126"/>
        <v>0.51476880550049675</v>
      </c>
      <c r="H341" s="412" t="b">
        <f>Wh_hp&gt;='2021'!Maxi_hp</f>
        <v>0</v>
      </c>
      <c r="I341" s="379">
        <f>IF(H341,Wh_hp,'2021'!Maxi_hp)</f>
        <v>29.107219927904186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2.660478018014012E-2</v>
      </c>
      <c r="M341" s="832"/>
      <c r="N341" s="832"/>
      <c r="O341" s="48">
        <f>IF(t&lt;Tnet,'2021'!Resal+('2021'!Salim-'2021'!Resal)*(1-EXP(('2021'!Tnet-t)/('2021'!Tau_j))),Resal+(Salim-Resal)*(1-EXP((Tnet-t)/(Tau_j))))*Salcycl</f>
        <v>2.585504923659776E-2</v>
      </c>
      <c r="P341" s="169">
        <f>(INDEX(Models!$BJ341:$BT341,,T341)*(1-R341)+INDEX(Models!$BJ341:$BT341,,T341+1)*R341-ERP_i)*Q341*Ramure*Pc/MaxiM</f>
        <v>4.8250962604122387E-3</v>
      </c>
      <c r="Q341" s="304">
        <f t="shared" si="130"/>
        <v>0.6</v>
      </c>
      <c r="R341" s="177">
        <f t="shared" si="131"/>
        <v>0.49873274767193942</v>
      </c>
      <c r="S341" s="799">
        <f t="shared" si="132"/>
        <v>0</v>
      </c>
      <c r="T341" s="176">
        <f t="shared" si="133"/>
        <v>6</v>
      </c>
      <c r="U341" s="250">
        <f t="shared" si="134"/>
        <v>0.49873274767193942</v>
      </c>
      <c r="V341" s="382">
        <f t="shared" si="135"/>
        <v>26.236573412619823</v>
      </c>
      <c r="W341" s="400">
        <f t="shared" si="136"/>
        <v>0</v>
      </c>
      <c r="X341" s="157">
        <f t="shared" si="137"/>
        <v>44888</v>
      </c>
      <c r="Y341" s="383">
        <f t="shared" si="138"/>
        <v>12.739653503014457</v>
      </c>
      <c r="Z341" s="383">
        <f t="shared" si="139"/>
        <v>13.087852953882498</v>
      </c>
      <c r="AA341" s="384">
        <f t="shared" si="140"/>
        <v>14.290866173557003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8.4180567158377781E-2</v>
      </c>
      <c r="AD341" s="230">
        <f>(INDEX(Models!$BJ341:$BT341,,AH341)*(1-AF341)+INDEX(Models!$BJ341:$BT341,,AH341+1)*AF341-ERP_i)*AE341*Ramure*Pc/MaxiM</f>
        <v>4.8250962604122387E-3</v>
      </c>
      <c r="AE341" s="304">
        <f t="shared" si="142"/>
        <v>0.6</v>
      </c>
      <c r="AF341" s="177">
        <f t="shared" si="143"/>
        <v>0.49873274767193942</v>
      </c>
      <c r="AG341" s="799">
        <f t="shared" si="149"/>
        <v>0</v>
      </c>
      <c r="AH341" s="176">
        <f t="shared" si="144"/>
        <v>6</v>
      </c>
      <c r="AI341" s="224">
        <f t="shared" si="145"/>
        <v>0.49873274767193942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44889</v>
      </c>
      <c r="B342" s="1153">
        <v>14.221</v>
      </c>
      <c r="C342" s="388"/>
      <c r="D342" s="391">
        <f t="shared" si="127"/>
        <v>14.609967521800465</v>
      </c>
      <c r="E342" s="383">
        <f t="shared" si="125"/>
        <v>14.998695317364025</v>
      </c>
      <c r="F342" s="383">
        <f t="shared" si="128"/>
        <v>15.024433493848175</v>
      </c>
      <c r="G342" s="110">
        <f t="shared" si="126"/>
        <v>0.54509098829284774</v>
      </c>
      <c r="H342" s="412" t="b">
        <f>Wh_hp&gt;='2021'!Maxi_hp</f>
        <v>0</v>
      </c>
      <c r="I342" s="379">
        <f>IF(H342,Wh_hp,'2021'!Maxi_hp)</f>
        <v>27.112988230859333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2.6623435077460789E-2</v>
      </c>
      <c r="M342" s="832"/>
      <c r="N342" s="832"/>
      <c r="O342" s="48">
        <f>IF(t&lt;Tnet,'2021'!Resal+('2021'!Salim-'2021'!Resal)*(1-EXP(('2021'!Tnet-t)/('2021'!Tau_j))),Resal+(Salim-Resal)*(1-EXP((Tnet-t)/(Tau_j))))*Salcycl</f>
        <v>2.5917440639888711E-2</v>
      </c>
      <c r="P342" s="169">
        <f>(INDEX(Models!$BJ342:$BT342,,T342)*(1-R342)+INDEX(Models!$BJ342:$BT342,,T342+1)*R342-ERP_i)*Q342*Ramure*Pc/MaxiM</f>
        <v>4.8585652587697812E-3</v>
      </c>
      <c r="Q342" s="304">
        <f t="shared" si="130"/>
        <v>0.6</v>
      </c>
      <c r="R342" s="177">
        <f t="shared" si="131"/>
        <v>0.49875467445168742</v>
      </c>
      <c r="S342" s="799">
        <f t="shared" si="132"/>
        <v>0</v>
      </c>
      <c r="T342" s="176">
        <f t="shared" si="133"/>
        <v>6</v>
      </c>
      <c r="U342" s="250">
        <f t="shared" si="134"/>
        <v>0.49875467445168742</v>
      </c>
      <c r="V342" s="382">
        <f t="shared" si="135"/>
        <v>26.007018481464879</v>
      </c>
      <c r="W342" s="400">
        <f t="shared" si="136"/>
        <v>0</v>
      </c>
      <c r="X342" s="157">
        <f t="shared" si="137"/>
        <v>44889</v>
      </c>
      <c r="Y342" s="383">
        <f t="shared" si="138"/>
        <v>13.371065765812396</v>
      </c>
      <c r="Z342" s="383">
        <f t="shared" si="139"/>
        <v>13.73678620141883</v>
      </c>
      <c r="AA342" s="384">
        <f t="shared" si="140"/>
        <v>14.998695317364025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8.4134592325792415E-2</v>
      </c>
      <c r="AD342" s="230">
        <f>(INDEX(Models!$BJ342:$BT342,,AH342)*(1-AF342)+INDEX(Models!$BJ342:$BT342,,AH342+1)*AF342-ERP_i)*AE342*Ramure*Pc/MaxiM</f>
        <v>4.8585652587697812E-3</v>
      </c>
      <c r="AE342" s="304">
        <f t="shared" si="142"/>
        <v>0.6</v>
      </c>
      <c r="AF342" s="177">
        <f t="shared" si="143"/>
        <v>0.49875467445168742</v>
      </c>
      <c r="AG342" s="799">
        <f t="shared" si="149"/>
        <v>0</v>
      </c>
      <c r="AH342" s="176">
        <f t="shared" si="144"/>
        <v>6</v>
      </c>
      <c r="AI342" s="224">
        <f t="shared" si="145"/>
        <v>0.49875467445168742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44890</v>
      </c>
      <c r="B343" s="1153">
        <v>4.9279999999999999</v>
      </c>
      <c r="C343" s="388"/>
      <c r="D343" s="391">
        <f t="shared" si="127"/>
        <v>5.0628858587713683</v>
      </c>
      <c r="E343" s="383">
        <f t="shared" si="125"/>
        <v>5.1979286466602144</v>
      </c>
      <c r="F343" s="383">
        <f t="shared" si="128"/>
        <v>5.1979286466602144</v>
      </c>
      <c r="G343" s="110">
        <f t="shared" si="126"/>
        <v>0.19018263561469823</v>
      </c>
      <c r="H343" s="412" t="b">
        <f>Wh_hp&gt;='2021'!Maxi_hp</f>
        <v>0</v>
      </c>
      <c r="I343" s="379">
        <f>IF(H343,Wh_hp,'2021'!Maxi_hp)</f>
        <v>25.709723482797013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2.6642089617264664E-2</v>
      </c>
      <c r="M343" s="832"/>
      <c r="N343" s="832"/>
      <c r="O343" s="48">
        <f>IF(t&lt;Tnet,'2021'!Resal+('2021'!Salim-'2021'!Resal)*(1-EXP(('2021'!Tnet-t)/('2021'!Tau_j))),Resal+(Salim-Resal)*(1-EXP((Tnet-t)/(Tau_j))))*Salcycl</f>
        <v>2.5980115747763131E-2</v>
      </c>
      <c r="P343" s="169">
        <f>(INDEX(Models!$BJ343:$BT343,,T343)*(1-R343)+INDEX(Models!$BJ343:$BT343,,T343+1)*R343-ERP_i)*Q343*Ramure*Pc/MaxiM</f>
        <v>4.8910519536287797E-3</v>
      </c>
      <c r="Q343" s="304">
        <f t="shared" si="130"/>
        <v>0.6</v>
      </c>
      <c r="R343" s="177">
        <f t="shared" si="131"/>
        <v>0.49877572020308475</v>
      </c>
      <c r="S343" s="799">
        <f t="shared" si="132"/>
        <v>0</v>
      </c>
      <c r="T343" s="176">
        <f t="shared" si="133"/>
        <v>6</v>
      </c>
      <c r="U343" s="250">
        <f t="shared" si="134"/>
        <v>0.49877572020308475</v>
      </c>
      <c r="V343" s="382">
        <f t="shared" si="135"/>
        <v>25.785197897391637</v>
      </c>
      <c r="W343" s="400">
        <f t="shared" si="136"/>
        <v>0</v>
      </c>
      <c r="X343" s="157">
        <f t="shared" si="137"/>
        <v>44890</v>
      </c>
      <c r="Y343" s="383">
        <f t="shared" si="138"/>
        <v>4.6339956449895139</v>
      </c>
      <c r="Z343" s="383">
        <f t="shared" si="139"/>
        <v>4.7608342168477105</v>
      </c>
      <c r="AA343" s="384">
        <f t="shared" si="140"/>
        <v>5.1979286466602144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8.4090117338056672E-2</v>
      </c>
      <c r="AD343" s="230">
        <f>(INDEX(Models!$BJ343:$BT343,,AH343)*(1-AF343)+INDEX(Models!$BJ343:$BT343,,AH343+1)*AF343-ERP_i)*AE343*Ramure*Pc/MaxiM</f>
        <v>4.8910519536287797E-3</v>
      </c>
      <c r="AE343" s="304">
        <f t="shared" si="142"/>
        <v>0.6</v>
      </c>
      <c r="AF343" s="177">
        <f t="shared" si="143"/>
        <v>0.49877572020308475</v>
      </c>
      <c r="AG343" s="799">
        <f t="shared" si="149"/>
        <v>0</v>
      </c>
      <c r="AH343" s="176">
        <f t="shared" si="144"/>
        <v>6</v>
      </c>
      <c r="AI343" s="224">
        <f t="shared" si="145"/>
        <v>0.49877572020308475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44891</v>
      </c>
      <c r="B344" s="1153">
        <v>11.324</v>
      </c>
      <c r="C344" s="388"/>
      <c r="D344" s="391">
        <f t="shared" si="127"/>
        <v>11.634175779783845</v>
      </c>
      <c r="E344" s="383">
        <f t="shared" si="125"/>
        <v>11.945267379616398</v>
      </c>
      <c r="F344" s="383">
        <f t="shared" si="128"/>
        <v>11.957277618440671</v>
      </c>
      <c r="G344" s="110">
        <f t="shared" si="126"/>
        <v>0.44109774303493071</v>
      </c>
      <c r="H344" s="412" t="b">
        <f>Wh_hp&gt;='2021'!Maxi_hp</f>
        <v>0</v>
      </c>
      <c r="I344" s="379">
        <f>IF(H344,Wh_hp,'2021'!Maxi_hp)</f>
        <v>26.915508219914461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2.6660743799558517E-2</v>
      </c>
      <c r="M344" s="832"/>
      <c r="N344" s="832"/>
      <c r="O344" s="48">
        <f>IF(t&lt;Tnet,'2021'!Resal+('2021'!Salim-'2021'!Resal)*(1-EXP(('2021'!Tnet-t)/('2021'!Tau_j))),Resal+(Salim-Resal)*(1-EXP((Tnet-t)/(Tau_j))))*Salcycl</f>
        <v>2.604308383782231E-2</v>
      </c>
      <c r="P344" s="169">
        <f>(INDEX(Models!$BJ344:$BT344,,T344)*(1-R344)+INDEX(Models!$BJ344:$BT344,,T344+1)*R344-ERP_i)*Q344*Ramure*Pc/MaxiM</f>
        <v>4.9224820440673511E-3</v>
      </c>
      <c r="Q344" s="304">
        <f t="shared" si="130"/>
        <v>0.6</v>
      </c>
      <c r="R344" s="177">
        <f t="shared" si="131"/>
        <v>0.49879592025648312</v>
      </c>
      <c r="S344" s="799">
        <f t="shared" si="132"/>
        <v>0</v>
      </c>
      <c r="T344" s="176">
        <f t="shared" si="133"/>
        <v>6</v>
      </c>
      <c r="U344" s="250">
        <f t="shared" si="134"/>
        <v>0.49879592025648312</v>
      </c>
      <c r="V344" s="382">
        <f t="shared" si="135"/>
        <v>25.571627917802232</v>
      </c>
      <c r="W344" s="400">
        <f t="shared" si="136"/>
        <v>0</v>
      </c>
      <c r="X344" s="157">
        <f t="shared" si="137"/>
        <v>44891</v>
      </c>
      <c r="Y344" s="383">
        <f t="shared" si="138"/>
        <v>10.649598364696994</v>
      </c>
      <c r="Z344" s="383">
        <f t="shared" si="139"/>
        <v>10.941301603583842</v>
      </c>
      <c r="AA344" s="384">
        <f t="shared" si="140"/>
        <v>11.945267379616398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8.4047158102608849E-2</v>
      </c>
      <c r="AD344" s="230">
        <f>(INDEX(Models!$BJ344:$BT344,,AH344)*(1-AF344)+INDEX(Models!$BJ344:$BT344,,AH344+1)*AF344-ERP_i)*AE344*Ramure*Pc/MaxiM</f>
        <v>4.9224820440673511E-3</v>
      </c>
      <c r="AE344" s="304">
        <f t="shared" si="142"/>
        <v>0.6</v>
      </c>
      <c r="AF344" s="177">
        <f t="shared" si="143"/>
        <v>0.49879592025648312</v>
      </c>
      <c r="AG344" s="799">
        <f t="shared" si="149"/>
        <v>0</v>
      </c>
      <c r="AH344" s="176">
        <f t="shared" si="144"/>
        <v>6</v>
      </c>
      <c r="AI344" s="224">
        <f t="shared" si="145"/>
        <v>0.49879592025648312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44892</v>
      </c>
      <c r="B345" s="1153">
        <v>14.907</v>
      </c>
      <c r="C345" s="388"/>
      <c r="D345" s="391">
        <f t="shared" si="127"/>
        <v>15.315611283286778</v>
      </c>
      <c r="E345" s="383">
        <f t="shared" si="125"/>
        <v>15.72616406682409</v>
      </c>
      <c r="F345" s="383">
        <f t="shared" si="128"/>
        <v>15.75824681241698</v>
      </c>
      <c r="G345" s="110">
        <f t="shared" si="126"/>
        <v>0.58600069979268277</v>
      </c>
      <c r="H345" s="412" t="b">
        <f>Wh_hp&gt;='2021'!Maxi_hp</f>
        <v>0</v>
      </c>
      <c r="I345" s="379">
        <f>IF(H345,Wh_hp,'2021'!Maxi_hp)</f>
        <v>23.300191289146664</v>
      </c>
      <c r="J345" s="85">
        <f>IF(H345,An,'2021'!An_max)</f>
        <v>2020</v>
      </c>
      <c r="K345" s="197">
        <f t="shared" si="129"/>
        <v>44892</v>
      </c>
      <c r="L345" s="147">
        <f>IF(t&lt;Tvie,1-EXP((T0-t)*PertePVj)+'2021'!Pspv,1-EXP((T0-t)*PertePVj)+Pspv)</f>
        <v>2.6679397624349233E-2</v>
      </c>
      <c r="M345" s="832"/>
      <c r="N345" s="832"/>
      <c r="O345" s="48">
        <f>IF(t&lt;Tnet,'2021'!Resal+('2021'!Salim-'2021'!Resal)*(1-EXP(('2021'!Tnet-t)/('2021'!Tau_j))),Resal+(Salim-Resal)*(1-EXP((Tnet-t)/(Tau_j))))*Salcycl</f>
        <v>2.6106352559516606E-2</v>
      </c>
      <c r="P345" s="169">
        <f>(INDEX(Models!$BJ345:$BT345,,T345)*(1-R345)+INDEX(Models!$BJ345:$BT345,,T345+1)*R345-ERP_i)*Q345*Ramure*Pc/MaxiM</f>
        <v>4.9532866072301476E-3</v>
      </c>
      <c r="Q345" s="304">
        <f t="shared" si="130"/>
        <v>0.6</v>
      </c>
      <c r="R345" s="177">
        <f t="shared" si="131"/>
        <v>0.49881530853094369</v>
      </c>
      <c r="S345" s="799">
        <f t="shared" si="132"/>
        <v>0</v>
      </c>
      <c r="T345" s="176">
        <f t="shared" si="133"/>
        <v>6</v>
      </c>
      <c r="U345" s="250">
        <f t="shared" si="134"/>
        <v>0.49881530853094369</v>
      </c>
      <c r="V345" s="382">
        <f t="shared" si="135"/>
        <v>25.364171585499243</v>
      </c>
      <c r="W345" s="400">
        <f t="shared" si="136"/>
        <v>0</v>
      </c>
      <c r="X345" s="157">
        <f t="shared" si="137"/>
        <v>44892</v>
      </c>
      <c r="Y345" s="383">
        <f t="shared" si="138"/>
        <v>14.020757493673603</v>
      </c>
      <c r="Z345" s="383">
        <f t="shared" si="139"/>
        <v>14.405076250777157</v>
      </c>
      <c r="AA345" s="384">
        <f t="shared" si="140"/>
        <v>15.72616406682409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8.4005725136360551E-2</v>
      </c>
      <c r="AD345" s="230">
        <f>(INDEX(Models!$BJ345:$BT345,,AH345)*(1-AF345)+INDEX(Models!$BJ345:$BT345,,AH345+1)*AF345-ERP_i)*AE345*Ramure*Pc/MaxiM</f>
        <v>4.9532866072301476E-3</v>
      </c>
      <c r="AE345" s="304">
        <f t="shared" si="142"/>
        <v>0.6</v>
      </c>
      <c r="AF345" s="177">
        <f t="shared" si="143"/>
        <v>0.49881530853094369</v>
      </c>
      <c r="AG345" s="799">
        <f t="shared" si="149"/>
        <v>0</v>
      </c>
      <c r="AH345" s="176">
        <f t="shared" si="144"/>
        <v>6</v>
      </c>
      <c r="AI345" s="224">
        <f t="shared" si="145"/>
        <v>0.49881530853094369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44893</v>
      </c>
      <c r="B346" s="1153">
        <v>10.815</v>
      </c>
      <c r="C346" s="388"/>
      <c r="D346" s="391">
        <f t="shared" si="127"/>
        <v>11.111659657242003</v>
      </c>
      <c r="E346" s="383">
        <f t="shared" si="125"/>
        <v>11.410265482543705</v>
      </c>
      <c r="F346" s="383">
        <f t="shared" si="128"/>
        <v>11.420832442522366</v>
      </c>
      <c r="G346" s="110">
        <f t="shared" si="126"/>
        <v>0.42808976812073674</v>
      </c>
      <c r="H346" s="412" t="b">
        <f>Wh_hp&gt;='2021'!Maxi_hp</f>
        <v>0</v>
      </c>
      <c r="I346" s="379">
        <f>IF(H346,Wh_hp,'2021'!Maxi_hp)</f>
        <v>16.384266753107251</v>
      </c>
      <c r="J346" s="85">
        <f>IF(H346,An,'2021'!An_max)</f>
        <v>2020</v>
      </c>
      <c r="K346" s="197">
        <f t="shared" si="129"/>
        <v>44893</v>
      </c>
      <c r="L346" s="147">
        <f>IF(t&lt;Tvie,1-EXP((T0-t)*PertePVj)+'2021'!Pspv,1-EXP((T0-t)*PertePVj)+Pspv)</f>
        <v>2.6698051091643693E-2</v>
      </c>
      <c r="M346" s="832"/>
      <c r="N346" s="832"/>
      <c r="O346" s="48">
        <f>IF(t&lt;Tnet,'2021'!Resal+('2021'!Salim-'2021'!Resal)*(1-EXP(('2021'!Tnet-t)/('2021'!Tau_j))),Resal+(Salim-Resal)*(1-EXP((Tnet-t)/(Tau_j))))*Salcycl</f>
        <v>2.6169927926614208E-2</v>
      </c>
      <c r="P346" s="169">
        <f>(INDEX(Models!$BJ346:$BT346,,T346)*(1-R346)+INDEX(Models!$BJ346:$BT346,,T346+1)*R346-ERP_i)*Q346*Ramure*Pc/MaxiM</f>
        <v>4.9882602490832111E-3</v>
      </c>
      <c r="Q346" s="304">
        <f t="shared" si="130"/>
        <v>0.6</v>
      </c>
      <c r="R346" s="177">
        <f t="shared" si="131"/>
        <v>0.49883391759017842</v>
      </c>
      <c r="S346" s="799">
        <f t="shared" si="132"/>
        <v>0</v>
      </c>
      <c r="T346" s="176">
        <f t="shared" si="133"/>
        <v>6</v>
      </c>
      <c r="U346" s="250">
        <f t="shared" si="134"/>
        <v>0.49883391759017842</v>
      </c>
      <c r="V346" s="382">
        <f t="shared" si="135"/>
        <v>25.160652030936411</v>
      </c>
      <c r="W346" s="400">
        <f t="shared" si="136"/>
        <v>0</v>
      </c>
      <c r="X346" s="157">
        <f t="shared" si="137"/>
        <v>44893</v>
      </c>
      <c r="Y346" s="383">
        <f t="shared" si="138"/>
        <v>10.173139957008747</v>
      </c>
      <c r="Z346" s="383">
        <f t="shared" si="139"/>
        <v>10.452193143575657</v>
      </c>
      <c r="AA346" s="384">
        <f t="shared" si="140"/>
        <v>11.410265482543705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8.3965823620298766E-2</v>
      </c>
      <c r="AD346" s="230">
        <f>(INDEX(Models!$BJ346:$BT346,,AH346)*(1-AF346)+INDEX(Models!$BJ346:$BT346,,AH346+1)*AF346-ERP_i)*AE346*Ramure*Pc/MaxiM</f>
        <v>4.9882602490832111E-3</v>
      </c>
      <c r="AE346" s="304">
        <f t="shared" si="142"/>
        <v>0.6</v>
      </c>
      <c r="AF346" s="177">
        <f t="shared" si="143"/>
        <v>0.49883391759017842</v>
      </c>
      <c r="AG346" s="799">
        <f t="shared" si="149"/>
        <v>0</v>
      </c>
      <c r="AH346" s="176">
        <f t="shared" si="144"/>
        <v>6</v>
      </c>
      <c r="AI346" s="224">
        <f t="shared" si="145"/>
        <v>0.49883391759017842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44894</v>
      </c>
      <c r="B347" s="1153">
        <v>15.750999999999999</v>
      </c>
      <c r="C347" s="388"/>
      <c r="D347" s="391">
        <f t="shared" si="127"/>
        <v>16.183366207961836</v>
      </c>
      <c r="E347" s="383">
        <f t="shared" si="125"/>
        <v>16.619355288724663</v>
      </c>
      <c r="F347" s="383">
        <f t="shared" si="128"/>
        <v>16.659001140689998</v>
      </c>
      <c r="G347" s="110">
        <f t="shared" si="126"/>
        <v>0.62933230519257732</v>
      </c>
      <c r="H347" s="412" t="b">
        <f>Wh_hp&gt;='2021'!Maxi_hp</f>
        <v>1</v>
      </c>
      <c r="I347" s="379">
        <f>IF(H347,Wh_hp,'2021'!Maxi_hp)</f>
        <v>16.659001140689998</v>
      </c>
      <c r="J347" s="85">
        <f>IF(H347,An,'2021'!An_max)</f>
        <v>2022</v>
      </c>
      <c r="K347" s="197">
        <f t="shared" si="129"/>
        <v>44894</v>
      </c>
      <c r="L347" s="147">
        <f>IF(t&lt;Tvie,1-EXP((T0-t)*PertePVj)+'2021'!Pspv,1-EXP((T0-t)*PertePVj)+Pspv)</f>
        <v>2.6716704201448671E-2</v>
      </c>
      <c r="M347" s="832"/>
      <c r="N347" s="832"/>
      <c r="O347" s="48">
        <f>IF(t&lt;Tnet,'2021'!Resal+('2021'!Salim-'2021'!Resal)*(1-EXP(('2021'!Tnet-t)/('2021'!Tau_j))),Resal+(Salim-Resal)*(1-EXP((Tnet-t)/(Tau_j))))*Salcycl</f>
        <v>2.6233814320018964E-2</v>
      </c>
      <c r="P347" s="169">
        <f>(INDEX(Models!$BJ347:$BT347,,T347)*(1-R347)+INDEX(Models!$BJ347:$BT347,,T347+1)*R347-ERP_i)*Q347*Ramure*Pc/MaxiM</f>
        <v>5.032749546592735E-3</v>
      </c>
      <c r="Q347" s="304">
        <f t="shared" si="130"/>
        <v>0.6</v>
      </c>
      <c r="R347" s="177">
        <f t="shared" si="131"/>
        <v>0.49885177869630759</v>
      </c>
      <c r="S347" s="799">
        <f t="shared" si="132"/>
        <v>0</v>
      </c>
      <c r="T347" s="176">
        <f t="shared" si="133"/>
        <v>6</v>
      </c>
      <c r="U347" s="250">
        <f t="shared" si="134"/>
        <v>0.49885177869630759</v>
      </c>
      <c r="V347" s="382">
        <f t="shared" si="135"/>
        <v>24.961557352854005</v>
      </c>
      <c r="W347" s="400">
        <f t="shared" si="136"/>
        <v>0</v>
      </c>
      <c r="X347" s="157">
        <f t="shared" si="137"/>
        <v>44894</v>
      </c>
      <c r="Y347" s="383">
        <f t="shared" si="138"/>
        <v>14.817785719337676</v>
      </c>
      <c r="Z347" s="383">
        <f t="shared" si="139"/>
        <v>15.224535120763687</v>
      </c>
      <c r="AA347" s="384">
        <f t="shared" si="140"/>
        <v>16.619355288724663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8.3927453485953499E-2</v>
      </c>
      <c r="AD347" s="230">
        <f>(INDEX(Models!$BJ347:$BT347,,AH347)*(1-AF347)+INDEX(Models!$BJ347:$BT347,,AH347+1)*AF347-ERP_i)*AE347*Ramure*Pc/MaxiM</f>
        <v>5.032749546592735E-3</v>
      </c>
      <c r="AE347" s="304">
        <f t="shared" si="142"/>
        <v>0.6</v>
      </c>
      <c r="AF347" s="177">
        <f t="shared" si="143"/>
        <v>0.49885177869630759</v>
      </c>
      <c r="AG347" s="799">
        <f t="shared" si="149"/>
        <v>0</v>
      </c>
      <c r="AH347" s="176">
        <f t="shared" si="144"/>
        <v>6</v>
      </c>
      <c r="AI347" s="224">
        <f t="shared" si="145"/>
        <v>0.49885177869630759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44895</v>
      </c>
      <c r="B348" s="1153">
        <v>4.1159999999999997</v>
      </c>
      <c r="C348" s="388"/>
      <c r="D348" s="391">
        <f t="shared" si="127"/>
        <v>4.2290655778034818</v>
      </c>
      <c r="E348" s="383">
        <f t="shared" si="125"/>
        <v>4.3432853591599878</v>
      </c>
      <c r="F348" s="383">
        <f t="shared" si="128"/>
        <v>4.3432853591599878</v>
      </c>
      <c r="G348" s="110">
        <f t="shared" si="126"/>
        <v>0.16534009690511764</v>
      </c>
      <c r="H348" s="412" t="b">
        <f>Wh_hp&gt;='2021'!Maxi_hp</f>
        <v>0</v>
      </c>
      <c r="I348" s="379">
        <f>IF(H348,Wh_hp,'2021'!Maxi_hp)</f>
        <v>25.310170680267795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2.673535695377105E-2</v>
      </c>
      <c r="M348" s="832"/>
      <c r="N348" s="832"/>
      <c r="O348" s="48">
        <f>IF(t&lt;Tnet,'2021'!Resal+('2021'!Salim-'2021'!Resal)*(1-EXP(('2021'!Tnet-t)/('2021'!Tau_j))),Resal+(Salim-Resal)*(1-EXP((Tnet-t)/(Tau_j))))*Salcycl</f>
        <v>2.6298014500847101E-2</v>
      </c>
      <c r="P348" s="169">
        <f>(INDEX(Models!$BJ348:$BT348,,T348)*(1-R348)+INDEX(Models!$BJ348:$BT348,,T348+1)*R348-ERP_i)*Q348*Ramure*Pc/MaxiM</f>
        <v>5.0866839523744743E-3</v>
      </c>
      <c r="Q348" s="304">
        <f t="shared" si="130"/>
        <v>0.6</v>
      </c>
      <c r="R348" s="177">
        <f t="shared" si="131"/>
        <v>0.49886892186151666</v>
      </c>
      <c r="S348" s="799">
        <f t="shared" si="132"/>
        <v>0</v>
      </c>
      <c r="T348" s="176">
        <f t="shared" si="133"/>
        <v>6</v>
      </c>
      <c r="U348" s="250">
        <f t="shared" si="134"/>
        <v>0.49886892186151666</v>
      </c>
      <c r="V348" s="382">
        <f t="shared" si="135"/>
        <v>24.767514266076823</v>
      </c>
      <c r="W348" s="400">
        <f t="shared" si="136"/>
        <v>0</v>
      </c>
      <c r="X348" s="157">
        <f t="shared" si="137"/>
        <v>44895</v>
      </c>
      <c r="Y348" s="383">
        <f t="shared" si="138"/>
        <v>3.8725465361251907</v>
      </c>
      <c r="Z348" s="383">
        <f t="shared" si="139"/>
        <v>3.978924503005139</v>
      </c>
      <c r="AA348" s="384">
        <f t="shared" si="140"/>
        <v>4.3432853591599878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8.3890609532807248E-2</v>
      </c>
      <c r="AD348" s="230">
        <f>(INDEX(Models!$BJ348:$BT348,,AH348)*(1-AF348)+INDEX(Models!$BJ348:$BT348,,AH348+1)*AF348-ERP_i)*AE348*Ramure*Pc/MaxiM</f>
        <v>5.0866839523744743E-3</v>
      </c>
      <c r="AE348" s="304">
        <f t="shared" si="142"/>
        <v>0.6</v>
      </c>
      <c r="AF348" s="177">
        <f t="shared" si="143"/>
        <v>0.49886892186151666</v>
      </c>
      <c r="AG348" s="799">
        <f t="shared" si="149"/>
        <v>0</v>
      </c>
      <c r="AH348" s="176">
        <f t="shared" si="144"/>
        <v>6</v>
      </c>
      <c r="AI348" s="224">
        <f t="shared" si="145"/>
        <v>0.49886892186151666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44896</v>
      </c>
      <c r="B349" s="1153">
        <v>3.8959999999999999</v>
      </c>
      <c r="C349" s="388"/>
      <c r="D349" s="391">
        <f t="shared" si="127"/>
        <v>4.0030989466418987</v>
      </c>
      <c r="E349" s="383">
        <f t="shared" si="125"/>
        <v>4.1114881755068549</v>
      </c>
      <c r="F349" s="383">
        <f t="shared" si="128"/>
        <v>4.1114881755068549</v>
      </c>
      <c r="G349" s="110">
        <f t="shared" si="126"/>
        <v>0.15769201996871407</v>
      </c>
      <c r="H349" s="412" t="b">
        <f>Wh_hp&gt;='2021'!Maxi_hp</f>
        <v>0</v>
      </c>
      <c r="I349" s="379">
        <f>IF(H349,Wh_hp,'2021'!Maxi_hp)</f>
        <v>26.146261330818092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2.6754009348617713E-2</v>
      </c>
      <c r="M349" s="832"/>
      <c r="N349" s="832"/>
      <c r="O349" s="48">
        <f>IF(t&lt;Tnet,'2021'!Resal+('2021'!Salim-'2021'!Resal)*(1-EXP(('2021'!Tnet-t)/('2021'!Tau_j))),Resal+(Salim-Resal)*(1-EXP((Tnet-t)/(Tau_j))))*Salcycl</f>
        <v>2.6362529633590523E-2</v>
      </c>
      <c r="P349" s="169">
        <f>(INDEX(Models!$BJ349:$BT349,,T349)*(1-R349)+INDEX(Models!$BJ349:$BT349,,T349+1)*R349-ERP_i)*Q349*Ramure*Pc/MaxiM</f>
        <v>5.1499843185524845E-3</v>
      </c>
      <c r="Q349" s="304">
        <f t="shared" si="130"/>
        <v>0.6</v>
      </c>
      <c r="R349" s="177">
        <f t="shared" si="131"/>
        <v>0.49888537589769216</v>
      </c>
      <c r="S349" s="799">
        <f t="shared" si="132"/>
        <v>0</v>
      </c>
      <c r="T349" s="176">
        <f t="shared" si="133"/>
        <v>6</v>
      </c>
      <c r="U349" s="250">
        <f t="shared" si="134"/>
        <v>0.49888537589769216</v>
      </c>
      <c r="V349" s="382">
        <f t="shared" si="135"/>
        <v>24.57914903914542</v>
      </c>
      <c r="W349" s="400">
        <f t="shared" si="136"/>
        <v>0</v>
      </c>
      <c r="X349" s="157">
        <f t="shared" si="137"/>
        <v>44896</v>
      </c>
      <c r="Y349" s="383">
        <f t="shared" si="138"/>
        <v>3.6659433635382568</v>
      </c>
      <c r="Z349" s="383">
        <f t="shared" si="139"/>
        <v>3.7667181768554561</v>
      </c>
      <c r="AA349" s="384">
        <f t="shared" si="140"/>
        <v>4.1114881755068549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8.3855281575483664E-2</v>
      </c>
      <c r="AD349" s="230">
        <f>(INDEX(Models!$BJ349:$BT349,,AH349)*(1-AF349)+INDEX(Models!$BJ349:$BT349,,AH349+1)*AF349-ERP_i)*AE349*Ramure*Pc/MaxiM</f>
        <v>5.1499843185524845E-3</v>
      </c>
      <c r="AE349" s="304">
        <f t="shared" si="142"/>
        <v>0.6</v>
      </c>
      <c r="AF349" s="177">
        <f t="shared" si="143"/>
        <v>0.49888537589769216</v>
      </c>
      <c r="AG349" s="799">
        <f t="shared" si="149"/>
        <v>0</v>
      </c>
      <c r="AH349" s="176">
        <f t="shared" si="144"/>
        <v>6</v>
      </c>
      <c r="AI349" s="224">
        <f t="shared" si="145"/>
        <v>0.49888537589769216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44897</v>
      </c>
      <c r="B350" s="1153">
        <v>5.8529999999999998</v>
      </c>
      <c r="C350" s="388"/>
      <c r="D350" s="391">
        <f t="shared" si="127"/>
        <v>6.0140110822774373</v>
      </c>
      <c r="E350" s="383">
        <f t="shared" si="125"/>
        <v>6.1772597451705522</v>
      </c>
      <c r="F350" s="383">
        <f t="shared" si="128"/>
        <v>6.1772597451705522</v>
      </c>
      <c r="G350" s="110">
        <f t="shared" si="126"/>
        <v>0.2386527636044847</v>
      </c>
      <c r="H350" s="412" t="b">
        <f>Wh_hp&gt;='2021'!Maxi_hp</f>
        <v>0</v>
      </c>
      <c r="I350" s="379">
        <f>IF(H350,Wh_hp,'2021'!Maxi_hp)</f>
        <v>9.9498204075695913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2.6772661385995433E-2</v>
      </c>
      <c r="M350" s="832"/>
      <c r="N350" s="832"/>
      <c r="O350" s="48">
        <f>IF(t&lt;Tnet,'2021'!Resal+('2021'!Salim-'2021'!Resal)*(1-EXP(('2021'!Tnet-t)/('2021'!Tau_j))),Resal+(Salim-Resal)*(1-EXP((Tnet-t)/(Tau_j))))*Salcycl</f>
        <v>2.6427359319113126E-2</v>
      </c>
      <c r="P350" s="169">
        <f>(INDEX(Models!$BJ350:$BT350,,T350)*(1-R350)+INDEX(Models!$BJ350:$BT350,,T350+1)*R350-ERP_i)*Q350*Ramure*Pc/MaxiM</f>
        <v>5.2225603218685459E-3</v>
      </c>
      <c r="Q350" s="304">
        <f t="shared" si="130"/>
        <v>0.6</v>
      </c>
      <c r="R350" s="177">
        <f t="shared" si="131"/>
        <v>0.49890116846411409</v>
      </c>
      <c r="S350" s="799">
        <f t="shared" si="132"/>
        <v>0</v>
      </c>
      <c r="T350" s="176">
        <f t="shared" si="133"/>
        <v>6</v>
      </c>
      <c r="U350" s="250">
        <f t="shared" si="134"/>
        <v>0.49890116846411409</v>
      </c>
      <c r="V350" s="382">
        <f t="shared" si="135"/>
        <v>24.397087494387975</v>
      </c>
      <c r="W350" s="400">
        <f t="shared" si="136"/>
        <v>0</v>
      </c>
      <c r="X350" s="157">
        <f t="shared" si="137"/>
        <v>44897</v>
      </c>
      <c r="Y350" s="383">
        <f t="shared" si="138"/>
        <v>5.5079536975923968</v>
      </c>
      <c r="Z350" s="383">
        <f t="shared" si="139"/>
        <v>5.6594728477689502</v>
      </c>
      <c r="AA350" s="384">
        <f t="shared" si="140"/>
        <v>6.1772597451705522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8.3821454619325927E-2</v>
      </c>
      <c r="AD350" s="230">
        <f>(INDEX(Models!$BJ350:$BT350,,AH350)*(1-AF350)+INDEX(Models!$BJ350:$BT350,,AH350+1)*AF350-ERP_i)*AE350*Ramure*Pc/MaxiM</f>
        <v>5.2225603218685459E-3</v>
      </c>
      <c r="AE350" s="304">
        <f t="shared" si="142"/>
        <v>0.6</v>
      </c>
      <c r="AF350" s="177">
        <f t="shared" si="143"/>
        <v>0.49890116846411409</v>
      </c>
      <c r="AG350" s="799">
        <f t="shared" si="149"/>
        <v>0</v>
      </c>
      <c r="AH350" s="176">
        <f t="shared" si="144"/>
        <v>6</v>
      </c>
      <c r="AI350" s="224">
        <f t="shared" si="145"/>
        <v>0.49890116846411409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44898</v>
      </c>
      <c r="B351" s="1153">
        <v>9.8090000000000011</v>
      </c>
      <c r="C351" s="388"/>
      <c r="D351" s="391">
        <f t="shared" si="127"/>
        <v>10.079030460467234</v>
      </c>
      <c r="E351" s="383">
        <f t="shared" si="125"/>
        <v>10.353315693425211</v>
      </c>
      <c r="F351" s="383">
        <f t="shared" si="128"/>
        <v>10.361556935735656</v>
      </c>
      <c r="G351" s="110">
        <f t="shared" si="126"/>
        <v>0.40313577468550432</v>
      </c>
      <c r="H351" s="412" t="b">
        <f>Wh_hp&gt;='2021'!Maxi_hp</f>
        <v>0</v>
      </c>
      <c r="I351" s="379">
        <f>IF(H351,Wh_hp,'2021'!Maxi_hp)</f>
        <v>16.647333469246274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2.6791313065911093E-2</v>
      </c>
      <c r="M351" s="832"/>
      <c r="N351" s="832"/>
      <c r="O351" s="48">
        <f>IF(t&lt;Tnet,'2021'!Resal+('2021'!Salim-'2021'!Resal)*(1-EXP(('2021'!Tnet-t)/('2021'!Tau_j))),Resal+(Salim-Resal)*(1-EXP((Tnet-t)/(Tau_j))))*Salcycl</f>
        <v>2.649250163714801E-2</v>
      </c>
      <c r="P351" s="169">
        <f>(INDEX(Models!$BJ351:$BT351,,T351)*(1-R351)+INDEX(Models!$BJ351:$BT351,,T351+1)*R351-ERP_i)*Q351*Ramure*Pc/MaxiM</f>
        <v>5.3043077490166441E-3</v>
      </c>
      <c r="Q351" s="304">
        <f t="shared" si="130"/>
        <v>0.6</v>
      </c>
      <c r="R351" s="177">
        <f t="shared" si="131"/>
        <v>0.49891632611327669</v>
      </c>
      <c r="S351" s="799">
        <f t="shared" si="132"/>
        <v>0</v>
      </c>
      <c r="T351" s="176">
        <f t="shared" si="133"/>
        <v>6</v>
      </c>
      <c r="U351" s="250">
        <f t="shared" si="134"/>
        <v>0.49891632611327669</v>
      </c>
      <c r="V351" s="382">
        <f t="shared" si="135"/>
        <v>24.221955007362631</v>
      </c>
      <c r="W351" s="400">
        <f t="shared" si="136"/>
        <v>0</v>
      </c>
      <c r="X351" s="157">
        <f t="shared" si="137"/>
        <v>44898</v>
      </c>
      <c r="Y351" s="383">
        <f t="shared" si="138"/>
        <v>9.2316830063630864</v>
      </c>
      <c r="Z351" s="383">
        <f t="shared" si="139"/>
        <v>9.4858205956276134</v>
      </c>
      <c r="AA351" s="384">
        <f t="shared" si="140"/>
        <v>10.353315693425211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8.3789109062760797E-2</v>
      </c>
      <c r="AD351" s="230">
        <f>(INDEX(Models!$BJ351:$BT351,,AH351)*(1-AF351)+INDEX(Models!$BJ351:$BT351,,AH351+1)*AF351-ERP_i)*AE351*Ramure*Pc/MaxiM</f>
        <v>5.3043077490166441E-3</v>
      </c>
      <c r="AE351" s="304">
        <f t="shared" si="142"/>
        <v>0.6</v>
      </c>
      <c r="AF351" s="177">
        <f t="shared" si="143"/>
        <v>0.49891632611327669</v>
      </c>
      <c r="AG351" s="799">
        <f t="shared" si="149"/>
        <v>0</v>
      </c>
      <c r="AH351" s="176">
        <f t="shared" si="144"/>
        <v>6</v>
      </c>
      <c r="AI351" s="224">
        <f t="shared" si="145"/>
        <v>0.49891632611327669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44899</v>
      </c>
      <c r="B352" s="1153">
        <v>17.988</v>
      </c>
      <c r="C352" s="388"/>
      <c r="D352" s="391">
        <f t="shared" si="127"/>
        <v>18.483543133171249</v>
      </c>
      <c r="E352" s="383">
        <f t="shared" si="125"/>
        <v>18.987820789015807</v>
      </c>
      <c r="F352" s="383">
        <f t="shared" si="128"/>
        <v>19.053523549254066</v>
      </c>
      <c r="G352" s="110">
        <f t="shared" si="126"/>
        <v>0.74634485557228858</v>
      </c>
      <c r="H352" s="412" t="b">
        <f>Wh_hp&gt;='2021'!Maxi_hp</f>
        <v>1</v>
      </c>
      <c r="I352" s="379">
        <f>IF(H352,Wh_hp,'2021'!Maxi_hp)</f>
        <v>19.053523549254066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2.6809964388371577E-2</v>
      </c>
      <c r="M352" s="832"/>
      <c r="N352" s="832"/>
      <c r="O352" s="48">
        <f>IF(t&lt;Tnet,'2021'!Resal+('2021'!Salim-'2021'!Resal)*(1-EXP(('2021'!Tnet-t)/('2021'!Tau_j))),Resal+(Salim-Resal)*(1-EXP((Tnet-t)/(Tau_j))))*Salcycl</f>
        <v>2.655795319788757E-2</v>
      </c>
      <c r="P352" s="169">
        <f>(INDEX(Models!$BJ352:$BT352,,T352)*(1-R352)+INDEX(Models!$BJ352:$BT352,,T352+1)*R352-ERP_i)*Q352*Ramure*Pc/MaxiM</f>
        <v>5.3903897721232072E-3</v>
      </c>
      <c r="Q352" s="304">
        <f t="shared" si="130"/>
        <v>0.6</v>
      </c>
      <c r="R352" s="177">
        <f t="shared" si="131"/>
        <v>0.49893087433491168</v>
      </c>
      <c r="S352" s="799">
        <f t="shared" si="132"/>
        <v>0</v>
      </c>
      <c r="T352" s="176">
        <f t="shared" si="133"/>
        <v>6</v>
      </c>
      <c r="U352" s="250">
        <f t="shared" si="134"/>
        <v>0.49893087433491168</v>
      </c>
      <c r="V352" s="382">
        <f t="shared" si="135"/>
        <v>24.05449055128992</v>
      </c>
      <c r="W352" s="400">
        <f t="shared" si="136"/>
        <v>0</v>
      </c>
      <c r="X352" s="157">
        <f t="shared" si="137"/>
        <v>44899</v>
      </c>
      <c r="Y352" s="383">
        <f t="shared" si="138"/>
        <v>16.931010095722648</v>
      </c>
      <c r="Z352" s="383">
        <f t="shared" si="139"/>
        <v>17.397434700491853</v>
      </c>
      <c r="AA352" s="384">
        <f t="shared" si="140"/>
        <v>18.987820789015807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8.3758220924644924E-2</v>
      </c>
      <c r="AD352" s="230">
        <f>(INDEX(Models!$BJ352:$BT352,,AH352)*(1-AF352)+INDEX(Models!$BJ352:$BT352,,AH352+1)*AF352-ERP_i)*AE352*Ramure*Pc/MaxiM</f>
        <v>5.3903897721232072E-3</v>
      </c>
      <c r="AE352" s="304">
        <f t="shared" si="142"/>
        <v>0.6</v>
      </c>
      <c r="AF352" s="177">
        <f t="shared" si="143"/>
        <v>0.49893087433491168</v>
      </c>
      <c r="AG352" s="799">
        <f t="shared" si="149"/>
        <v>0</v>
      </c>
      <c r="AH352" s="176">
        <f t="shared" si="144"/>
        <v>6</v>
      </c>
      <c r="AI352" s="224">
        <f t="shared" si="145"/>
        <v>0.49893087433491168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44900</v>
      </c>
      <c r="B353" s="1153">
        <v>23.846</v>
      </c>
      <c r="C353" s="388"/>
      <c r="D353" s="391">
        <f t="shared" si="127"/>
        <v>24.503392080994143</v>
      </c>
      <c r="E353" s="383">
        <f t="shared" si="125"/>
        <v>25.17360686986768</v>
      </c>
      <c r="F353" s="383">
        <f t="shared" si="128"/>
        <v>25.311808746595222</v>
      </c>
      <c r="G353" s="110">
        <f t="shared" si="126"/>
        <v>0.9979153885063744</v>
      </c>
      <c r="H353" s="412" t="b">
        <f>Wh_hp&gt;='2021'!Maxi_hp</f>
        <v>1</v>
      </c>
      <c r="I353" s="379">
        <f>IF(H353,Wh_hp,'2021'!Maxi_hp)</f>
        <v>25.311808746595222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2.6828615353383767E-2</v>
      </c>
      <c r="M353" s="832"/>
      <c r="N353" s="832"/>
      <c r="O353" s="48">
        <f>IF(t&lt;Tnet,'2021'!Resal+('2021'!Salim-'2021'!Resal)*(1-EXP(('2021'!Tnet-t)/('2021'!Tau_j))),Resal+(Salim-Resal)*(1-EXP((Tnet-t)/(Tau_j))))*Salcycl</f>
        <v>2.6623709202187134E-2</v>
      </c>
      <c r="P353" s="169">
        <f>(INDEX(Models!$BJ353:$BT353,,T353)*(1-R353)+INDEX(Models!$BJ353:$BT353,,T353+1)*R353-ERP_i)*Q353*Ramure*Pc/MaxiM</f>
        <v>5.4761574031614579E-3</v>
      </c>
      <c r="Q353" s="304">
        <f t="shared" si="130"/>
        <v>0.6</v>
      </c>
      <c r="R353" s="177">
        <f t="shared" si="131"/>
        <v>0.49894483759828062</v>
      </c>
      <c r="S353" s="799">
        <f t="shared" si="132"/>
        <v>0</v>
      </c>
      <c r="T353" s="176">
        <f t="shared" si="133"/>
        <v>6</v>
      </c>
      <c r="U353" s="250">
        <f t="shared" si="134"/>
        <v>0.49894483759828062</v>
      </c>
      <c r="V353" s="382">
        <f t="shared" si="135"/>
        <v>23.895424704891585</v>
      </c>
      <c r="W353" s="400">
        <f t="shared" si="136"/>
        <v>0</v>
      </c>
      <c r="X353" s="157">
        <f t="shared" si="137"/>
        <v>44900</v>
      </c>
      <c r="Y353" s="383">
        <f t="shared" si="138"/>
        <v>22.447027059990805</v>
      </c>
      <c r="Z353" s="383">
        <f t="shared" si="139"/>
        <v>23.065851929197347</v>
      </c>
      <c r="AA353" s="384">
        <f t="shared" si="140"/>
        <v>25.17360686986768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8.3728762094607612E-2</v>
      </c>
      <c r="AD353" s="230">
        <f>(INDEX(Models!$BJ353:$BT353,,AH353)*(1-AF353)+INDEX(Models!$BJ353:$BT353,,AH353+1)*AF353-ERP_i)*AE353*Ramure*Pc/MaxiM</f>
        <v>5.4761574031614579E-3</v>
      </c>
      <c r="AE353" s="304">
        <f t="shared" si="142"/>
        <v>0.6</v>
      </c>
      <c r="AF353" s="177">
        <f t="shared" si="143"/>
        <v>0.49894483759828062</v>
      </c>
      <c r="AG353" s="799">
        <f t="shared" si="149"/>
        <v>0</v>
      </c>
      <c r="AH353" s="176">
        <f t="shared" si="144"/>
        <v>6</v>
      </c>
      <c r="AI353" s="224">
        <f t="shared" si="145"/>
        <v>0.49894483759828062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44901</v>
      </c>
      <c r="B354" s="1153">
        <v>11.722</v>
      </c>
      <c r="C354" s="388"/>
      <c r="D354" s="391">
        <f t="shared" si="127"/>
        <v>12.045385672758826</v>
      </c>
      <c r="E354" s="383">
        <f t="shared" si="125"/>
        <v>12.375689909720311</v>
      </c>
      <c r="F354" s="383">
        <f t="shared" si="128"/>
        <v>12.394759980733856</v>
      </c>
      <c r="G354" s="110">
        <f t="shared" si="126"/>
        <v>0.4916650001685936</v>
      </c>
      <c r="H354" s="412" t="b">
        <f>Wh_hp&gt;='2021'!Maxi_hp</f>
        <v>0</v>
      </c>
      <c r="I354" s="379">
        <f>IF(H354,Wh_hp,'2021'!Maxi_hp)</f>
        <v>18.881092862283797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2.6847265960954436E-2</v>
      </c>
      <c r="M354" s="832"/>
      <c r="N354" s="832"/>
      <c r="O354" s="48">
        <f>IF(t&lt;Tnet,'2021'!Resal+('2021'!Salim-'2021'!Resal)*(1-EXP(('2021'!Tnet-t)/('2021'!Tau_j))),Resal+(Salim-Resal)*(1-EXP((Tnet-t)/(Tau_j))))*Salcycl</f>
        <v>2.6689763509834832E-2</v>
      </c>
      <c r="P354" s="169">
        <f>(INDEX(Models!$BJ354:$BT354,,T354)*(1-R354)+INDEX(Models!$BJ354:$BT354,,T354+1)*R354-ERP_i)*Q354*Ramure*Pc/MaxiM</f>
        <v>5.5614218819522755E-3</v>
      </c>
      <c r="Q354" s="304">
        <f t="shared" si="130"/>
        <v>0.6</v>
      </c>
      <c r="R354" s="177">
        <f t="shared" si="131"/>
        <v>0.49895823939280359</v>
      </c>
      <c r="S354" s="799">
        <f t="shared" si="132"/>
        <v>0</v>
      </c>
      <c r="T354" s="176">
        <f t="shared" si="133"/>
        <v>6</v>
      </c>
      <c r="U354" s="250">
        <f t="shared" si="134"/>
        <v>0.49895823939280359</v>
      </c>
      <c r="V354" s="382">
        <f t="shared" si="135"/>
        <v>23.74537812253887</v>
      </c>
      <c r="W354" s="400">
        <f t="shared" si="136"/>
        <v>0</v>
      </c>
      <c r="X354" s="157">
        <f t="shared" si="137"/>
        <v>44901</v>
      </c>
      <c r="Y354" s="383">
        <f t="shared" si="138"/>
        <v>11.03539240093632</v>
      </c>
      <c r="Z354" s="383">
        <f t="shared" si="139"/>
        <v>11.3398359938159</v>
      </c>
      <c r="AA354" s="384">
        <f t="shared" si="140"/>
        <v>12.375689909720311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8.3700700604239786E-2</v>
      </c>
      <c r="AD354" s="230">
        <f>(INDEX(Models!$BJ354:$BT354,,AH354)*(1-AF354)+INDEX(Models!$BJ354:$BT354,,AH354+1)*AF354-ERP_i)*AE354*Ramure*Pc/MaxiM</f>
        <v>5.5614218819522755E-3</v>
      </c>
      <c r="AE354" s="304">
        <f t="shared" si="142"/>
        <v>0.6</v>
      </c>
      <c r="AF354" s="177">
        <f t="shared" si="143"/>
        <v>0.49895823939280359</v>
      </c>
      <c r="AG354" s="799">
        <f t="shared" si="149"/>
        <v>0</v>
      </c>
      <c r="AH354" s="176">
        <f t="shared" si="144"/>
        <v>6</v>
      </c>
      <c r="AI354" s="224">
        <f t="shared" si="145"/>
        <v>0.49895823939280359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44902</v>
      </c>
      <c r="B355" s="1153">
        <v>21.122</v>
      </c>
      <c r="C355" s="388"/>
      <c r="D355" s="391">
        <f t="shared" si="127"/>
        <v>21.70512815434563</v>
      </c>
      <c r="E355" s="383">
        <f t="shared" si="125"/>
        <v>22.301838571721191</v>
      </c>
      <c r="F355" s="383">
        <f t="shared" si="128"/>
        <v>22.409348727529608</v>
      </c>
      <c r="G355" s="110">
        <f t="shared" si="126"/>
        <v>0.89404867186542214</v>
      </c>
      <c r="H355" s="412" t="b">
        <f>Wh_hp&gt;='2021'!Maxi_hp</f>
        <v>1</v>
      </c>
      <c r="I355" s="379">
        <f>IF(H355,Wh_hp,'2021'!Maxi_hp)</f>
        <v>22.409348727529608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2.6865916211090468E-2</v>
      </c>
      <c r="M355" s="832"/>
      <c r="N355" s="832"/>
      <c r="O355" s="48">
        <f>IF(t&lt;Tnet,'2021'!Resal+('2021'!Salim-'2021'!Resal)*(1-EXP(('2021'!Tnet-t)/('2021'!Tau_j))),Resal+(Salim-Resal)*(1-EXP((Tnet-t)/(Tau_j))))*Salcycl</f>
        <v>2.6756108715278282E-2</v>
      </c>
      <c r="P355" s="169">
        <f>(INDEX(Models!$BJ355:$BT355,,T355)*(1-R355)+INDEX(Models!$BJ355:$BT355,,T355+1)*R355-ERP_i)*Q355*Ramure*Pc/MaxiM</f>
        <v>5.6459748135504169E-3</v>
      </c>
      <c r="Q355" s="304">
        <f t="shared" si="130"/>
        <v>0.6</v>
      </c>
      <c r="R355" s="177">
        <f t="shared" si="131"/>
        <v>0.49897110226708863</v>
      </c>
      <c r="S355" s="799">
        <f t="shared" si="132"/>
        <v>0</v>
      </c>
      <c r="T355" s="176">
        <f t="shared" si="133"/>
        <v>6</v>
      </c>
      <c r="U355" s="250">
        <f t="shared" si="134"/>
        <v>0.49897110226708863</v>
      </c>
      <c r="V355" s="382">
        <f t="shared" si="135"/>
        <v>23.604971431075882</v>
      </c>
      <c r="W355" s="400">
        <f t="shared" si="136"/>
        <v>0</v>
      </c>
      <c r="X355" s="157">
        <f t="shared" si="137"/>
        <v>44902</v>
      </c>
      <c r="Y355" s="383">
        <f t="shared" si="138"/>
        <v>19.886729242231084</v>
      </c>
      <c r="Z355" s="383">
        <f t="shared" si="139"/>
        <v>20.435754510623919</v>
      </c>
      <c r="AA355" s="384">
        <f t="shared" si="140"/>
        <v>22.301838571721191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8.367400091683358E-2</v>
      </c>
      <c r="AD355" s="230">
        <f>(INDEX(Models!$BJ355:$BT355,,AH355)*(1-AF355)+INDEX(Models!$BJ355:$BT355,,AH355+1)*AF355-ERP_i)*AE355*Ramure*Pc/MaxiM</f>
        <v>5.6459748135504169E-3</v>
      </c>
      <c r="AE355" s="304">
        <f t="shared" si="142"/>
        <v>0.6</v>
      </c>
      <c r="AF355" s="177">
        <f t="shared" si="143"/>
        <v>0.49897110226708863</v>
      </c>
      <c r="AG355" s="799">
        <f t="shared" si="149"/>
        <v>0</v>
      </c>
      <c r="AH355" s="176">
        <f t="shared" si="144"/>
        <v>6</v>
      </c>
      <c r="AI355" s="224">
        <f t="shared" si="145"/>
        <v>0.49897110226708863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44903</v>
      </c>
      <c r="B356" s="1153">
        <v>4.242</v>
      </c>
      <c r="C356" s="388"/>
      <c r="D356" s="391">
        <f t="shared" si="127"/>
        <v>4.3591950679640323</v>
      </c>
      <c r="E356" s="383">
        <f t="shared" si="125"/>
        <v>4.4793433121089823</v>
      </c>
      <c r="F356" s="383">
        <f t="shared" si="128"/>
        <v>4.4793433121089823</v>
      </c>
      <c r="G356" s="110">
        <f t="shared" si="126"/>
        <v>0.17966886004610769</v>
      </c>
      <c r="H356" s="412" t="b">
        <f>Wh_hp&gt;='2021'!Maxi_hp</f>
        <v>0</v>
      </c>
      <c r="I356" s="379">
        <f>IF(H356,Wh_hp,'2021'!Maxi_hp)</f>
        <v>17.076709643331426</v>
      </c>
      <c r="J356" s="85">
        <f>IF(H356,An,'2021'!An_max)</f>
        <v>2018</v>
      </c>
      <c r="K356" s="197">
        <f t="shared" si="129"/>
        <v>44903</v>
      </c>
      <c r="L356" s="147">
        <f>IF(t&lt;Tvie,1-EXP((T0-t)*PertePVj)+'2021'!Pspv,1-EXP((T0-t)*PertePVj)+Pspv)</f>
        <v>2.6884566103798746E-2</v>
      </c>
      <c r="M356" s="832"/>
      <c r="N356" s="832"/>
      <c r="O356" s="48">
        <f>IF(t&lt;Tnet,'2021'!Resal+('2021'!Salim-'2021'!Resal)*(1-EXP(('2021'!Tnet-t)/('2021'!Tau_j))),Resal+(Salim-Resal)*(1-EXP((Tnet-t)/(Tau_j))))*Salcycl</f>
        <v>2.6822736230141937E-2</v>
      </c>
      <c r="P356" s="169">
        <f>(INDEX(Models!$BJ356:$BT356,,T356)*(1-R356)+INDEX(Models!$BJ356:$BT356,,T356+1)*R356-ERP_i)*Q356*Ramure*Pc/MaxiM</f>
        <v>5.7295886515338129E-3</v>
      </c>
      <c r="Q356" s="304">
        <f t="shared" si="130"/>
        <v>0.6</v>
      </c>
      <c r="R356" s="177">
        <f t="shared" si="131"/>
        <v>0.49898344786642268</v>
      </c>
      <c r="S356" s="799">
        <f t="shared" si="132"/>
        <v>0</v>
      </c>
      <c r="T356" s="176">
        <f t="shared" si="133"/>
        <v>6</v>
      </c>
      <c r="U356" s="250">
        <f t="shared" si="134"/>
        <v>0.49898344786642268</v>
      </c>
      <c r="V356" s="382">
        <f t="shared" si="135"/>
        <v>23.474825208207054</v>
      </c>
      <c r="W356" s="400">
        <f t="shared" si="136"/>
        <v>0</v>
      </c>
      <c r="X356" s="157">
        <f t="shared" si="137"/>
        <v>44903</v>
      </c>
      <c r="Y356" s="383">
        <f t="shared" si="138"/>
        <v>3.9943006076247491</v>
      </c>
      <c r="Z356" s="383">
        <f t="shared" si="139"/>
        <v>4.1046524065826366</v>
      </c>
      <c r="AA356" s="384">
        <f t="shared" si="140"/>
        <v>4.4793433121089823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8.3648624233254323E-2</v>
      </c>
      <c r="AD356" s="230">
        <f>(INDEX(Models!$BJ356:$BT356,,AH356)*(1-AF356)+INDEX(Models!$BJ356:$BT356,,AH356+1)*AF356-ERP_i)*AE356*Ramure*Pc/MaxiM</f>
        <v>5.7295886515338129E-3</v>
      </c>
      <c r="AE356" s="304">
        <f t="shared" si="142"/>
        <v>0.6</v>
      </c>
      <c r="AF356" s="177">
        <f t="shared" si="143"/>
        <v>0.49898344786642268</v>
      </c>
      <c r="AG356" s="799">
        <f t="shared" si="149"/>
        <v>0</v>
      </c>
      <c r="AH356" s="176">
        <f t="shared" si="144"/>
        <v>6</v>
      </c>
      <c r="AI356" s="224">
        <f t="shared" si="145"/>
        <v>0.49898344786642268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44904</v>
      </c>
      <c r="B357" s="1153">
        <v>5.1770000000000005</v>
      </c>
      <c r="C357" s="388"/>
      <c r="D357" s="391">
        <f t="shared" si="127"/>
        <v>5.3201285660398314</v>
      </c>
      <c r="E357" s="383">
        <f t="shared" si="125"/>
        <v>5.4671379166121099</v>
      </c>
      <c r="F357" s="383">
        <f t="shared" si="128"/>
        <v>5.4671379166121099</v>
      </c>
      <c r="G357" s="110">
        <f t="shared" si="126"/>
        <v>0.22037198815600889</v>
      </c>
      <c r="H357" s="412" t="b">
        <f>Wh_hp&gt;='2021'!Maxi_hp</f>
        <v>0</v>
      </c>
      <c r="I357" s="379">
        <f>IF(H357,Wh_hp,'2021'!Maxi_hp)</f>
        <v>11.827516861952027</v>
      </c>
      <c r="J357" s="85">
        <f>IF(H357,An,'2021'!An_max)</f>
        <v>2018</v>
      </c>
      <c r="K357" s="197">
        <f t="shared" si="129"/>
        <v>44904</v>
      </c>
      <c r="L357" s="147">
        <f>IF(t&lt;Tvie,1-EXP((T0-t)*PertePVj)+'2021'!Pspv,1-EXP((T0-t)*PertePVj)+Pspv)</f>
        <v>2.6903215639086042E-2</v>
      </c>
      <c r="M357" s="832"/>
      <c r="N357" s="832"/>
      <c r="O357" s="48">
        <f>IF(t&lt;Tnet,'2021'!Resal+('2021'!Salim-'2021'!Resal)*(1-EXP(('2021'!Tnet-t)/('2021'!Tau_j))),Resal+(Salim-Resal)*(1-EXP((Tnet-t)/(Tau_j))))*Salcycl</f>
        <v>2.6889636371817974E-2</v>
      </c>
      <c r="P357" s="169">
        <f>(INDEX(Models!$BJ357:$BT357,,T357)*(1-R357)+INDEX(Models!$BJ357:$BT357,,T357+1)*R357-ERP_i)*Q357*Ramure*Pc/MaxiM</f>
        <v>5.812017486139083E-3</v>
      </c>
      <c r="Q357" s="304">
        <f t="shared" si="130"/>
        <v>0.6</v>
      </c>
      <c r="R357" s="177">
        <f t="shared" si="131"/>
        <v>0.49899529696878275</v>
      </c>
      <c r="S357" s="799">
        <f t="shared" si="132"/>
        <v>0</v>
      </c>
      <c r="T357" s="176">
        <f t="shared" si="133"/>
        <v>6</v>
      </c>
      <c r="U357" s="250">
        <f t="shared" si="134"/>
        <v>0.49899529696878275</v>
      </c>
      <c r="V357" s="382">
        <f t="shared" si="135"/>
        <v>23.355559971762759</v>
      </c>
      <c r="W357" s="400">
        <f t="shared" si="136"/>
        <v>0</v>
      </c>
      <c r="X357" s="157">
        <f t="shared" si="137"/>
        <v>44904</v>
      </c>
      <c r="Y357" s="383">
        <f t="shared" si="138"/>
        <v>4.8751672900237857</v>
      </c>
      <c r="Z357" s="383">
        <f t="shared" si="139"/>
        <v>5.0099510843883586</v>
      </c>
      <c r="AA357" s="384">
        <f t="shared" si="140"/>
        <v>5.4671379166121099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8.3624528811422752E-2</v>
      </c>
      <c r="AD357" s="230">
        <f>(INDEX(Models!$BJ357:$BT357,,AH357)*(1-AF357)+INDEX(Models!$BJ357:$BT357,,AH357+1)*AF357-ERP_i)*AE357*Ramure*Pc/MaxiM</f>
        <v>5.812017486139083E-3</v>
      </c>
      <c r="AE357" s="304">
        <f t="shared" si="142"/>
        <v>0.6</v>
      </c>
      <c r="AF357" s="177">
        <f t="shared" si="143"/>
        <v>0.49899529696878275</v>
      </c>
      <c r="AG357" s="799">
        <f t="shared" si="149"/>
        <v>0</v>
      </c>
      <c r="AH357" s="176">
        <f t="shared" si="144"/>
        <v>6</v>
      </c>
      <c r="AI357" s="224">
        <f t="shared" si="145"/>
        <v>0.49899529696878275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44905</v>
      </c>
      <c r="B358" s="1153">
        <v>12.532</v>
      </c>
      <c r="C358" s="388"/>
      <c r="D358" s="391">
        <f t="shared" si="127"/>
        <v>12.878719135583774</v>
      </c>
      <c r="E358" s="383">
        <f t="shared" si="125"/>
        <v>13.235506003398701</v>
      </c>
      <c r="F358" s="383">
        <f t="shared" si="128"/>
        <v>13.262196952235247</v>
      </c>
      <c r="G358" s="110">
        <f t="shared" si="126"/>
        <v>0.53696583388300168</v>
      </c>
      <c r="H358" s="412" t="b">
        <f>Wh_hp&gt;='2021'!Maxi_hp</f>
        <v>0</v>
      </c>
      <c r="I358" s="379">
        <f>IF(H358,Wh_hp,'2021'!Maxi_hp)</f>
        <v>21.581579026303849</v>
      </c>
      <c r="J358" s="85">
        <f>IF(H358,An,'2021'!An_max)</f>
        <v>2018</v>
      </c>
      <c r="K358" s="197">
        <f t="shared" si="129"/>
        <v>44905</v>
      </c>
      <c r="L358" s="147">
        <f>IF(t&lt;Tvie,1-EXP((T0-t)*PertePVj)+'2021'!Pspv,1-EXP((T0-t)*PertePVj)+Pspv)</f>
        <v>2.6921864816959351E-2</v>
      </c>
      <c r="M358" s="832"/>
      <c r="N358" s="832"/>
      <c r="O358" s="48">
        <f>IF(t&lt;Tnet,'2021'!Resal+('2021'!Salim-'2021'!Resal)*(1-EXP(('2021'!Tnet-t)/('2021'!Tau_j))),Resal+(Salim-Resal)*(1-EXP((Tnet-t)/(Tau_j))))*Salcycl</f>
        <v>2.6956798457369816E-2</v>
      </c>
      <c r="P358" s="169">
        <f>(INDEX(Models!$BJ358:$BT358,,T358)*(1-R358)+INDEX(Models!$BJ358:$BT358,,T358+1)*R358-ERP_i)*Q358*Ramure*Pc/MaxiM</f>
        <v>5.892998155708656E-3</v>
      </c>
      <c r="Q358" s="304">
        <f t="shared" si="130"/>
        <v>0.6</v>
      </c>
      <c r="R358" s="177">
        <f t="shared" si="131"/>
        <v>0.49900666951942729</v>
      </c>
      <c r="S358" s="799">
        <f t="shared" si="132"/>
        <v>0</v>
      </c>
      <c r="T358" s="176">
        <f t="shared" si="133"/>
        <v>6</v>
      </c>
      <c r="U358" s="250">
        <f t="shared" si="134"/>
        <v>0.49900666951942729</v>
      </c>
      <c r="V358" s="382">
        <f t="shared" si="135"/>
        <v>23.247796184872101</v>
      </c>
      <c r="W358" s="400">
        <f t="shared" si="136"/>
        <v>0</v>
      </c>
      <c r="X358" s="157">
        <f t="shared" si="137"/>
        <v>44905</v>
      </c>
      <c r="Y358" s="383">
        <f t="shared" si="138"/>
        <v>11.802460414536146</v>
      </c>
      <c r="Z358" s="383">
        <f t="shared" si="139"/>
        <v>12.128995594291148</v>
      </c>
      <c r="AA358" s="384">
        <f t="shared" si="140"/>
        <v>13.235506003398701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8.3601670296807415E-2</v>
      </c>
      <c r="AD358" s="230">
        <f>(INDEX(Models!$BJ358:$BT358,,AH358)*(1-AF358)+INDEX(Models!$BJ358:$BT358,,AH358+1)*AF358-ERP_i)*AE358*Ramure*Pc/MaxiM</f>
        <v>5.892998155708656E-3</v>
      </c>
      <c r="AE358" s="304">
        <f t="shared" si="142"/>
        <v>0.6</v>
      </c>
      <c r="AF358" s="177">
        <f t="shared" si="143"/>
        <v>0.49900666951942729</v>
      </c>
      <c r="AG358" s="799">
        <f t="shared" si="149"/>
        <v>0</v>
      </c>
      <c r="AH358" s="176">
        <f t="shared" si="144"/>
        <v>6</v>
      </c>
      <c r="AI358" s="224">
        <f t="shared" si="145"/>
        <v>0.49900666951942729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44906</v>
      </c>
      <c r="B359" s="1153">
        <v>17.931000000000001</v>
      </c>
      <c r="C359" s="388"/>
      <c r="D359" s="391">
        <f t="shared" si="127"/>
        <v>18.427444828710787</v>
      </c>
      <c r="E359" s="383">
        <f t="shared" si="125"/>
        <v>18.939263479303072</v>
      </c>
      <c r="F359" s="383">
        <f t="shared" si="128"/>
        <v>19.016268227893452</v>
      </c>
      <c r="G359" s="110">
        <f t="shared" si="126"/>
        <v>0.77307715517117648</v>
      </c>
      <c r="H359" s="412" t="b">
        <f>Wh_hp&gt;='2021'!Maxi_hp</f>
        <v>1</v>
      </c>
      <c r="I359" s="379">
        <f>IF(H359,Wh_hp,'2021'!Maxi_hp)</f>
        <v>19.016268227893452</v>
      </c>
      <c r="J359" s="85">
        <f>IF(H359,An,'2021'!An_max)</f>
        <v>2022</v>
      </c>
      <c r="K359" s="197">
        <f t="shared" si="129"/>
        <v>44906</v>
      </c>
      <c r="L359" s="147">
        <f>IF(t&lt;Tvie,1-EXP((T0-t)*PertePVj)+'2021'!Pspv,1-EXP((T0-t)*PertePVj)+Pspv)</f>
        <v>2.6940513637425334E-2</v>
      </c>
      <c r="M359" s="832"/>
      <c r="N359" s="832"/>
      <c r="O359" s="48">
        <f>IF(t&lt;Tnet,'2021'!Resal+('2021'!Salim-'2021'!Resal)*(1-EXP(('2021'!Tnet-t)/('2021'!Tau_j))),Resal+(Salim-Resal)*(1-EXP((Tnet-t)/(Tau_j))))*Salcycl</f>
        <v>2.702421090194998E-2</v>
      </c>
      <c r="P359" s="169">
        <f>(INDEX(Models!$BJ359:$BT359,,T359)*(1-R359)+INDEX(Models!$BJ359:$BT359,,T359+1)*R359-ERP_i)*Q359*Ramure*Pc/MaxiM</f>
        <v>5.9729258451409282E-3</v>
      </c>
      <c r="Q359" s="304">
        <f t="shared" si="130"/>
        <v>0.6</v>
      </c>
      <c r="R359" s="177">
        <f t="shared" si="131"/>
        <v>0.49901758466411861</v>
      </c>
      <c r="S359" s="799">
        <f t="shared" si="132"/>
        <v>0</v>
      </c>
      <c r="T359" s="176">
        <f t="shared" si="133"/>
        <v>6</v>
      </c>
      <c r="U359" s="250">
        <f t="shared" si="134"/>
        <v>0.49901758466411861</v>
      </c>
      <c r="V359" s="382">
        <f t="shared" si="135"/>
        <v>23.149525452579837</v>
      </c>
      <c r="W359" s="400">
        <f t="shared" si="136"/>
        <v>0</v>
      </c>
      <c r="X359" s="157">
        <f t="shared" si="137"/>
        <v>44906</v>
      </c>
      <c r="Y359" s="383">
        <f t="shared" si="138"/>
        <v>16.888731628432566</v>
      </c>
      <c r="Z359" s="383">
        <f t="shared" si="139"/>
        <v>17.356319798663989</v>
      </c>
      <c r="AA359" s="384">
        <f t="shared" si="140"/>
        <v>18.939263479303072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8.3580002061269754E-2</v>
      </c>
      <c r="AD359" s="230">
        <f>(INDEX(Models!$BJ359:$BT359,,AH359)*(1-AF359)+INDEX(Models!$BJ359:$BT359,,AH359+1)*AF359-ERP_i)*AE359*Ramure*Pc/MaxiM</f>
        <v>5.9729258451409282E-3</v>
      </c>
      <c r="AE359" s="304">
        <f t="shared" si="142"/>
        <v>0.6</v>
      </c>
      <c r="AF359" s="177">
        <f t="shared" si="143"/>
        <v>0.49901758466411861</v>
      </c>
      <c r="AG359" s="799">
        <f t="shared" si="149"/>
        <v>0</v>
      </c>
      <c r="AH359" s="176">
        <f t="shared" si="144"/>
        <v>6</v>
      </c>
      <c r="AI359" s="224">
        <f t="shared" si="145"/>
        <v>0.49901758466411861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44907</v>
      </c>
      <c r="B360" s="1153">
        <v>5.48</v>
      </c>
      <c r="C360" s="388"/>
      <c r="D360" s="391">
        <f t="shared" si="127"/>
        <v>5.6318294017644792</v>
      </c>
      <c r="E360" s="383">
        <f t="shared" si="125"/>
        <v>5.7886548358108474</v>
      </c>
      <c r="F360" s="383">
        <f t="shared" si="128"/>
        <v>5.7886548358108474</v>
      </c>
      <c r="G360" s="110">
        <f t="shared" si="126"/>
        <v>0.23621646481230285</v>
      </c>
      <c r="H360" s="412" t="b">
        <f>Wh_hp&gt;='2021'!Maxi_hp</f>
        <v>0</v>
      </c>
      <c r="I360" s="379">
        <f>IF(H360,Wh_hp,'2021'!Maxi_hp)</f>
        <v>23.902821263615333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2.6959162100490874E-2</v>
      </c>
      <c r="M360" s="832"/>
      <c r="N360" s="832"/>
      <c r="O360" s="48">
        <f>IF(t&lt;Tnet,'2021'!Resal+('2021'!Salim-'2021'!Resal)*(1-EXP(('2021'!Tnet-t)/('2021'!Tau_j))),Resal+(Salim-Resal)*(1-EXP((Tnet-t)/(Tau_j))))*Salcycl</f>
        <v>2.7091861320904187E-2</v>
      </c>
      <c r="P360" s="169">
        <f>(INDEX(Models!$BJ360:$BT360,,T360)*(1-R360)+INDEX(Models!$BJ360:$BT360,,T360+1)*R360-ERP_i)*Q360*Ramure*Pc/MaxiM</f>
        <v>6.0522494805465088E-3</v>
      </c>
      <c r="Q360" s="304">
        <f t="shared" si="130"/>
        <v>0.6</v>
      </c>
      <c r="R360" s="177">
        <f t="shared" si="131"/>
        <v>0.49902806078103334</v>
      </c>
      <c r="S360" s="799">
        <f t="shared" si="132"/>
        <v>0</v>
      </c>
      <c r="T360" s="176">
        <f t="shared" si="133"/>
        <v>6</v>
      </c>
      <c r="U360" s="250">
        <f t="shared" si="134"/>
        <v>0.49902806078103334</v>
      </c>
      <c r="V360" s="382">
        <f t="shared" si="135"/>
        <v>23.058653752923821</v>
      </c>
      <c r="W360" s="400">
        <f t="shared" si="136"/>
        <v>0</v>
      </c>
      <c r="X360" s="157">
        <f t="shared" si="137"/>
        <v>44907</v>
      </c>
      <c r="Y360" s="383">
        <f t="shared" si="138"/>
        <v>5.1619406543537973</v>
      </c>
      <c r="Z360" s="383">
        <f t="shared" si="139"/>
        <v>5.3049578736045788</v>
      </c>
      <c r="AA360" s="384">
        <f t="shared" si="140"/>
        <v>5.7886548358108474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8.3559475547571635E-2</v>
      </c>
      <c r="AD360" s="230">
        <f>(INDEX(Models!$BJ360:$BT360,,AH360)*(1-AF360)+INDEX(Models!$BJ360:$BT360,,AH360+1)*AF360-ERP_i)*AE360*Ramure*Pc/MaxiM</f>
        <v>6.0522494805465088E-3</v>
      </c>
      <c r="AE360" s="304">
        <f t="shared" si="142"/>
        <v>0.6</v>
      </c>
      <c r="AF360" s="177">
        <f t="shared" si="143"/>
        <v>0.49902806078103334</v>
      </c>
      <c r="AG360" s="799">
        <f t="shared" si="149"/>
        <v>0</v>
      </c>
      <c r="AH360" s="176">
        <f t="shared" si="144"/>
        <v>6</v>
      </c>
      <c r="AI360" s="224">
        <f t="shared" si="145"/>
        <v>0.49902806078103334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44908</v>
      </c>
      <c r="B361" s="1153">
        <v>5.548</v>
      </c>
      <c r="C361" s="388"/>
      <c r="D361" s="391">
        <f t="shared" si="127"/>
        <v>5.7018226903699949</v>
      </c>
      <c r="E361" s="383">
        <f t="shared" ref="E361:E379" si="150">Wh_pvt/(1-Psa)</f>
        <v>5.8610060716915813</v>
      </c>
      <c r="F361" s="383">
        <f t="shared" si="128"/>
        <v>5.8610060716915813</v>
      </c>
      <c r="G361" s="110">
        <f t="shared" ref="G361:G379" si="151">+Wh_hp/MaxiM</f>
        <v>0.23999238308742638</v>
      </c>
      <c r="H361" s="412" t="b">
        <f>Wh_hp&gt;='2021'!Maxi_hp</f>
        <v>0</v>
      </c>
      <c r="I361" s="379">
        <f>IF(H361,Wh_hp,'2021'!Maxi_hp)</f>
        <v>25.0294040728553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2.6977810206162967E-2</v>
      </c>
      <c r="M361" s="832"/>
      <c r="N361" s="832"/>
      <c r="O361" s="48">
        <f>IF(t&lt;Tnet,'2021'!Resal+('2021'!Salim-'2021'!Resal)*(1-EXP(('2021'!Tnet-t)/('2021'!Tau_j))),Resal+(Salim-Resal)*(1-EXP((Tnet-t)/(Tau_j))))*Salcycl</f>
        <v>2.7159736634711207E-2</v>
      </c>
      <c r="P361" s="169">
        <f>(INDEX(Models!$BJ361:$BT361,,T361)*(1-R361)+INDEX(Models!$BJ361:$BT361,,T361+1)*R361-ERP_i)*Q361*Ramure*Pc/MaxiM</f>
        <v>6.1230388286249429E-3</v>
      </c>
      <c r="Q361" s="304">
        <f t="shared" si="130"/>
        <v>0.6</v>
      </c>
      <c r="R361" s="177">
        <f t="shared" si="131"/>
        <v>0.49903811551140925</v>
      </c>
      <c r="S361" s="799">
        <f t="shared" si="132"/>
        <v>0</v>
      </c>
      <c r="T361" s="176">
        <f t="shared" si="133"/>
        <v>6</v>
      </c>
      <c r="U361" s="250">
        <f t="shared" si="134"/>
        <v>0.49903811551140925</v>
      </c>
      <c r="V361" s="382">
        <f t="shared" si="135"/>
        <v>22.97585160679909</v>
      </c>
      <c r="W361" s="400">
        <f t="shared" si="136"/>
        <v>0</v>
      </c>
      <c r="X361" s="157">
        <f t="shared" si="137"/>
        <v>44908</v>
      </c>
      <c r="Y361" s="383">
        <f t="shared" si="138"/>
        <v>5.2264693867307228</v>
      </c>
      <c r="Z361" s="383">
        <f t="shared" si="139"/>
        <v>5.3713773864068832</v>
      </c>
      <c r="AA361" s="384">
        <f t="shared" si="140"/>
        <v>5.8610060716915813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8.3540040616846403E-2</v>
      </c>
      <c r="AD361" s="230">
        <f>(INDEX(Models!$BJ361:$BT361,,AH361)*(1-AF361)+INDEX(Models!$BJ361:$BT361,,AH361+1)*AF361-ERP_i)*AE361*Ramure*Pc/MaxiM</f>
        <v>6.1230388286249429E-3</v>
      </c>
      <c r="AE361" s="304">
        <f t="shared" si="142"/>
        <v>0.6</v>
      </c>
      <c r="AF361" s="177">
        <f t="shared" si="143"/>
        <v>0.49903811551140925</v>
      </c>
      <c r="AG361" s="799">
        <f t="shared" si="149"/>
        <v>0</v>
      </c>
      <c r="AH361" s="176">
        <f t="shared" si="144"/>
        <v>6</v>
      </c>
      <c r="AI361" s="224">
        <f t="shared" si="145"/>
        <v>0.49903811551140925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44909</v>
      </c>
      <c r="B362" s="1153">
        <v>17.715</v>
      </c>
      <c r="C362" s="388"/>
      <c r="D362" s="391">
        <f t="shared" si="127"/>
        <v>18.206511317273975</v>
      </c>
      <c r="E362" s="383">
        <f t="shared" si="150"/>
        <v>18.716110257917066</v>
      </c>
      <c r="F362" s="383">
        <f t="shared" si="128"/>
        <v>18.794747395511784</v>
      </c>
      <c r="G362" s="110">
        <f t="shared" si="151"/>
        <v>0.77197203844956164</v>
      </c>
      <c r="H362" s="412" t="b">
        <f>Wh_hp&gt;='2021'!Maxi_hp</f>
        <v>0</v>
      </c>
      <c r="I362" s="379">
        <f>IF(H362,Wh_hp,'2021'!Maxi_hp)</f>
        <v>24.68921870882129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2.6996457954448272E-2</v>
      </c>
      <c r="M362" s="832"/>
      <c r="N362" s="832"/>
      <c r="O362" s="48">
        <f>IF(t&lt;Tnet,'2021'!Resal+('2021'!Salim-'2021'!Resal)*(1-EXP(('2021'!Tnet-t)/('2021'!Tau_j))),Resal+(Salim-Resal)*(1-EXP((Tnet-t)/(Tau_j))))*Salcycl</f>
        <v>2.7227823175893364E-2</v>
      </c>
      <c r="P362" s="169">
        <f>(INDEX(Models!$BJ362:$BT362,,T362)*(1-R362)+INDEX(Models!$BJ362:$BT362,,T362+1)*R362-ERP_i)*Q362*Ramure*Pc/MaxiM</f>
        <v>6.1850756933524847E-3</v>
      </c>
      <c r="Q362" s="304">
        <f t="shared" si="130"/>
        <v>0.6</v>
      </c>
      <c r="R362" s="177">
        <f t="shared" si="131"/>
        <v>0.49904776578897858</v>
      </c>
      <c r="S362" s="799">
        <f t="shared" si="132"/>
        <v>0</v>
      </c>
      <c r="T362" s="176">
        <f t="shared" si="133"/>
        <v>6</v>
      </c>
      <c r="U362" s="250">
        <f t="shared" si="134"/>
        <v>0.49904776578897858</v>
      </c>
      <c r="V362" s="382">
        <f t="shared" si="135"/>
        <v>22.901609178494017</v>
      </c>
      <c r="W362" s="400">
        <f t="shared" si="136"/>
        <v>0</v>
      </c>
      <c r="X362" s="157">
        <f t="shared" si="137"/>
        <v>44909</v>
      </c>
      <c r="Y362" s="383">
        <f t="shared" si="138"/>
        <v>16.689842112827851</v>
      </c>
      <c r="Z362" s="383">
        <f t="shared" si="139"/>
        <v>17.152909924398308</v>
      </c>
      <c r="AA362" s="384">
        <f t="shared" si="140"/>
        <v>18.716110257917066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8.3521645896348057E-2</v>
      </c>
      <c r="AD362" s="230">
        <f>(INDEX(Models!$BJ362:$BT362,,AH362)*(1-AF362)+INDEX(Models!$BJ362:$BT362,,AH362+1)*AF362-ERP_i)*AE362*Ramure*Pc/MaxiM</f>
        <v>6.1850756933524847E-3</v>
      </c>
      <c r="AE362" s="304">
        <f t="shared" si="142"/>
        <v>0.6</v>
      </c>
      <c r="AF362" s="177">
        <f t="shared" si="143"/>
        <v>0.49904776578897858</v>
      </c>
      <c r="AG362" s="799">
        <f t="shared" si="149"/>
        <v>0</v>
      </c>
      <c r="AH362" s="176">
        <f t="shared" si="144"/>
        <v>6</v>
      </c>
      <c r="AI362" s="224">
        <f t="shared" si="145"/>
        <v>0.49904776578897858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44910</v>
      </c>
      <c r="B363" s="1153">
        <v>6.0540000000000003</v>
      </c>
      <c r="C363" s="388"/>
      <c r="D363" s="391">
        <f t="shared" si="127"/>
        <v>6.2220904283913088</v>
      </c>
      <c r="E363" s="383">
        <f t="shared" si="150"/>
        <v>6.3966953066290895</v>
      </c>
      <c r="F363" s="383">
        <f t="shared" si="128"/>
        <v>6.3966953066290895</v>
      </c>
      <c r="G363" s="110">
        <f t="shared" si="151"/>
        <v>0.26344913774225864</v>
      </c>
      <c r="H363" s="412" t="b">
        <f>Wh_hp&gt;='2021'!Maxi_hp</f>
        <v>0</v>
      </c>
      <c r="I363" s="379">
        <f>IF(H363,Wh_hp,'2021'!Maxi_hp)</f>
        <v>24.850474320764231</v>
      </c>
      <c r="J363" s="85">
        <f>IF(H363,An,'2021'!An_max)</f>
        <v>2018</v>
      </c>
      <c r="K363" s="197">
        <f t="shared" si="129"/>
        <v>44910</v>
      </c>
      <c r="L363" s="147">
        <f>IF(t&lt;Tvie,1-EXP((T0-t)*PertePVj)+'2021'!Pspv,1-EXP((T0-t)*PertePVj)+Pspv)</f>
        <v>2.7015105345353785E-2</v>
      </c>
      <c r="M363" s="832"/>
      <c r="N363" s="832"/>
      <c r="O363" s="48">
        <f>IF(t&lt;Tnet,'2021'!Resal+('2021'!Salim-'2021'!Resal)*(1-EXP(('2021'!Tnet-t)/('2021'!Tau_j))),Resal+(Salim-Resal)*(1-EXP((Tnet-t)/(Tau_j))))*Salcycl</f>
        <v>2.729610679702581E-2</v>
      </c>
      <c r="P363" s="169">
        <f>(INDEX(Models!$BJ363:$BT363,,T363)*(1-R363)+INDEX(Models!$BJ363:$BT363,,T363+1)*R363-ERP_i)*Q363*Ramure*Pc/MaxiM</f>
        <v>6.2381364097027778E-3</v>
      </c>
      <c r="Q363" s="304">
        <f t="shared" si="130"/>
        <v>0.6</v>
      </c>
      <c r="R363" s="177">
        <f t="shared" si="131"/>
        <v>0.49905702786823508</v>
      </c>
      <c r="S363" s="799">
        <f t="shared" si="132"/>
        <v>0</v>
      </c>
      <c r="T363" s="176">
        <f t="shared" si="133"/>
        <v>6</v>
      </c>
      <c r="U363" s="250">
        <f t="shared" si="134"/>
        <v>0.49905702786823508</v>
      </c>
      <c r="V363" s="382">
        <f t="shared" si="135"/>
        <v>22.83641682692296</v>
      </c>
      <c r="W363" s="400">
        <f t="shared" si="136"/>
        <v>0</v>
      </c>
      <c r="X363" s="157">
        <f t="shared" si="137"/>
        <v>44910</v>
      </c>
      <c r="Y363" s="383">
        <f t="shared" si="138"/>
        <v>5.7041668848142182</v>
      </c>
      <c r="Z363" s="383">
        <f t="shared" si="139"/>
        <v>5.8625441321356488</v>
      </c>
      <c r="AA363" s="384">
        <f t="shared" si="140"/>
        <v>6.3966953066290895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8.3504239124831195E-2</v>
      </c>
      <c r="AD363" s="230">
        <f>(INDEX(Models!$BJ363:$BT363,,AH363)*(1-AF363)+INDEX(Models!$BJ363:$BT363,,AH363+1)*AF363-ERP_i)*AE363*Ramure*Pc/MaxiM</f>
        <v>6.2381364097027778E-3</v>
      </c>
      <c r="AE363" s="304">
        <f t="shared" si="142"/>
        <v>0.6</v>
      </c>
      <c r="AF363" s="177">
        <f t="shared" si="143"/>
        <v>0.49905702786823508</v>
      </c>
      <c r="AG363" s="799">
        <f t="shared" si="149"/>
        <v>0</v>
      </c>
      <c r="AH363" s="176">
        <f t="shared" si="144"/>
        <v>6</v>
      </c>
      <c r="AI363" s="224">
        <f t="shared" si="145"/>
        <v>0.49905702786823508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44911</v>
      </c>
      <c r="B364" s="1153">
        <v>5.3470000000000004</v>
      </c>
      <c r="C364" s="388"/>
      <c r="D364" s="391">
        <f t="shared" si="127"/>
        <v>5.4955657640471367</v>
      </c>
      <c r="E364" s="383">
        <f t="shared" si="150"/>
        <v>5.6501805418283757</v>
      </c>
      <c r="F364" s="383">
        <f t="shared" si="128"/>
        <v>5.6501805418283757</v>
      </c>
      <c r="G364" s="110">
        <f t="shared" si="151"/>
        <v>0.23324107643973635</v>
      </c>
      <c r="H364" s="412" t="b">
        <f>Wh_hp&gt;='2021'!Maxi_hp</f>
        <v>0</v>
      </c>
      <c r="I364" s="379">
        <f>IF(H364,Wh_hp,'2021'!Maxi_hp)</f>
        <v>24.489416018785828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2.7033752378886389E-2</v>
      </c>
      <c r="M364" s="832"/>
      <c r="N364" s="832"/>
      <c r="O364" s="48">
        <f>IF(t&lt;Tnet,'2021'!Resal+('2021'!Salim-'2021'!Resal)*(1-EXP(('2021'!Tnet-t)/('2021'!Tau_j))),Resal+(Salim-Resal)*(1-EXP((Tnet-t)/(Tau_j))))*Salcycl</f>
        <v>2.7364572978973527E-2</v>
      </c>
      <c r="P364" s="169">
        <f>(INDEX(Models!$BJ364:$BT364,,T364)*(1-R364)+INDEX(Models!$BJ364:$BT364,,T364+1)*R364-ERP_i)*Q364*Ramure*Pc/MaxiM</f>
        <v>6.2819957645058704E-3</v>
      </c>
      <c r="Q364" s="304">
        <f t="shared" si="130"/>
        <v>0.6</v>
      </c>
      <c r="R364" s="177">
        <f t="shared" si="131"/>
        <v>0.49906591735158029</v>
      </c>
      <c r="S364" s="799">
        <f t="shared" si="132"/>
        <v>0</v>
      </c>
      <c r="T364" s="176">
        <f t="shared" si="133"/>
        <v>6</v>
      </c>
      <c r="U364" s="250">
        <f t="shared" si="134"/>
        <v>0.49906591735158029</v>
      </c>
      <c r="V364" s="382">
        <f t="shared" si="135"/>
        <v>22.780765076858319</v>
      </c>
      <c r="W364" s="400">
        <f t="shared" si="136"/>
        <v>0</v>
      </c>
      <c r="X364" s="157">
        <f t="shared" si="137"/>
        <v>44911</v>
      </c>
      <c r="Y364" s="383">
        <f t="shared" si="138"/>
        <v>5.0384663884026164</v>
      </c>
      <c r="Z364" s="383">
        <f t="shared" si="139"/>
        <v>5.1784595824588813</v>
      </c>
      <c r="AA364" s="384">
        <f t="shared" si="140"/>
        <v>5.6501805418283757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8.3487767492974221E-2</v>
      </c>
      <c r="AD364" s="230">
        <f>(INDEX(Models!$BJ364:$BT364,,AH364)*(1-AF364)+INDEX(Models!$BJ364:$BT364,,AH364+1)*AF364-ERP_i)*AE364*Ramure*Pc/MaxiM</f>
        <v>6.2819957645058704E-3</v>
      </c>
      <c r="AE364" s="304">
        <f t="shared" si="142"/>
        <v>0.6</v>
      </c>
      <c r="AF364" s="177">
        <f t="shared" si="143"/>
        <v>0.49906591735158029</v>
      </c>
      <c r="AG364" s="799">
        <f t="shared" si="149"/>
        <v>0</v>
      </c>
      <c r="AH364" s="176">
        <f t="shared" si="144"/>
        <v>6</v>
      </c>
      <c r="AI364" s="224">
        <f t="shared" si="145"/>
        <v>0.49906591735158029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44912</v>
      </c>
      <c r="B365" s="1153">
        <v>3.625</v>
      </c>
      <c r="C365" s="388"/>
      <c r="D365" s="391">
        <f t="shared" si="127"/>
        <v>3.7257916011913936</v>
      </c>
      <c r="E365" s="383">
        <f t="shared" si="150"/>
        <v>3.8308850639071443</v>
      </c>
      <c r="F365" s="383">
        <f t="shared" si="128"/>
        <v>3.8308850639071443</v>
      </c>
      <c r="G365" s="110">
        <f t="shared" si="151"/>
        <v>0.15843765261275852</v>
      </c>
      <c r="H365" s="412" t="b">
        <f>Wh_hp&gt;='2021'!Maxi_hp</f>
        <v>0</v>
      </c>
      <c r="I365" s="379">
        <f>IF(H365,Wh_hp,'2021'!Maxi_hp)</f>
        <v>24.995973707121568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2.7052399055052745E-2</v>
      </c>
      <c r="M365" s="832"/>
      <c r="N365" s="832"/>
      <c r="O365" s="48">
        <f>IF(t&lt;Tnet,'2021'!Resal+('2021'!Salim-'2021'!Resal)*(1-EXP(('2021'!Tnet-t)/('2021'!Tau_j))),Resal+(Salim-Resal)*(1-EXP((Tnet-t)/(Tau_j))))*Salcycl</f>
        <v>2.743320693849401E-2</v>
      </c>
      <c r="P365" s="169">
        <f>(INDEX(Models!$BJ365:$BT365,,T365)*(1-R365)+INDEX(Models!$BJ365:$BT365,,T365+1)*R365-ERP_i)*Q365*Ramure*Pc/MaxiM</f>
        <v>6.3164311288039952E-3</v>
      </c>
      <c r="Q365" s="304">
        <f t="shared" si="130"/>
        <v>0.6</v>
      </c>
      <c r="R365" s="177">
        <f t="shared" si="131"/>
        <v>0.49907444921539273</v>
      </c>
      <c r="S365" s="799">
        <f t="shared" si="132"/>
        <v>0</v>
      </c>
      <c r="T365" s="176">
        <f t="shared" si="133"/>
        <v>6</v>
      </c>
      <c r="U365" s="250">
        <f t="shared" si="134"/>
        <v>0.49907444921539273</v>
      </c>
      <c r="V365" s="382">
        <f t="shared" si="135"/>
        <v>22.735144567952393</v>
      </c>
      <c r="W365" s="400">
        <f t="shared" si="136"/>
        <v>0</v>
      </c>
      <c r="X365" s="157">
        <f t="shared" si="137"/>
        <v>44912</v>
      </c>
      <c r="Y365" s="383">
        <f t="shared" si="138"/>
        <v>3.4161287209665741</v>
      </c>
      <c r="Z365" s="383">
        <f t="shared" si="139"/>
        <v>3.5111127440457817</v>
      </c>
      <c r="AA365" s="384">
        <f t="shared" si="140"/>
        <v>3.8308850639071443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8.3472177976340795E-2</v>
      </c>
      <c r="AD365" s="230">
        <f>(INDEX(Models!$BJ365:$BT365,,AH365)*(1-AF365)+INDEX(Models!$BJ365:$BT365,,AH365+1)*AF365-ERP_i)*AE365*Ramure*Pc/MaxiM</f>
        <v>6.3164311288039952E-3</v>
      </c>
      <c r="AE365" s="304">
        <f t="shared" si="142"/>
        <v>0.6</v>
      </c>
      <c r="AF365" s="177">
        <f t="shared" si="143"/>
        <v>0.49907444921539273</v>
      </c>
      <c r="AG365" s="799">
        <f t="shared" si="149"/>
        <v>0</v>
      </c>
      <c r="AH365" s="176">
        <f t="shared" si="144"/>
        <v>6</v>
      </c>
      <c r="AI365" s="224">
        <f t="shared" si="145"/>
        <v>0.49907444921539273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44913</v>
      </c>
      <c r="B366" s="1153">
        <v>21.623000000000001</v>
      </c>
      <c r="C366" s="388"/>
      <c r="D366" s="391">
        <f t="shared" si="127"/>
        <v>22.22464435577303</v>
      </c>
      <c r="E366" s="383">
        <f t="shared" si="150"/>
        <v>22.853151587544044</v>
      </c>
      <c r="F366" s="383">
        <f t="shared" si="128"/>
        <v>22.988977192237716</v>
      </c>
      <c r="G366" s="110">
        <f t="shared" si="151"/>
        <v>0.95213829028243036</v>
      </c>
      <c r="H366" s="412" t="b">
        <f>Wh_hp&gt;='2021'!Maxi_hp</f>
        <v>0</v>
      </c>
      <c r="I366" s="379">
        <f>IF(H366,Wh_hp,'2021'!Maxi_hp)</f>
        <v>25.161787004742354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2.7071045373859848E-2</v>
      </c>
      <c r="M366" s="832"/>
      <c r="N366" s="832"/>
      <c r="O366" s="48">
        <f>IF(t&lt;Tnet,'2021'!Resal+('2021'!Salim-'2021'!Resal)*(1-EXP(('2021'!Tnet-t)/('2021'!Tau_j))),Resal+(Salim-Resal)*(1-EXP((Tnet-t)/(Tau_j))))*Salcycl</f>
        <v>2.750199373435995E-2</v>
      </c>
      <c r="P366" s="169">
        <f>(INDEX(Models!$BJ366:$BT366,,T366)*(1-R366)+INDEX(Models!$BJ366:$BT366,,T366+1)*R366-ERP_i)*Q366*Ramure*Pc/MaxiM</f>
        <v>6.337912982257895E-3</v>
      </c>
      <c r="Q366" s="304">
        <f t="shared" si="130"/>
        <v>0.6</v>
      </c>
      <c r="R366" s="177">
        <f t="shared" si="131"/>
        <v>0.49908263783506202</v>
      </c>
      <c r="S366" s="799">
        <f t="shared" si="132"/>
        <v>0</v>
      </c>
      <c r="T366" s="176">
        <f t="shared" si="133"/>
        <v>6</v>
      </c>
      <c r="U366" s="250">
        <f t="shared" si="134"/>
        <v>0.49908263783506202</v>
      </c>
      <c r="V366" s="382">
        <f t="shared" si="135"/>
        <v>22.700121744411693</v>
      </c>
      <c r="W366" s="400">
        <f t="shared" si="136"/>
        <v>0</v>
      </c>
      <c r="X366" s="157">
        <f t="shared" si="137"/>
        <v>44913</v>
      </c>
      <c r="Y366" s="383">
        <f t="shared" si="138"/>
        <v>20.378859524939021</v>
      </c>
      <c r="Z366" s="383">
        <f t="shared" si="139"/>
        <v>20.94588657068989</v>
      </c>
      <c r="AA366" s="384">
        <f t="shared" si="140"/>
        <v>22.853151587544044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8.3457417658477265E-2</v>
      </c>
      <c r="AD366" s="230">
        <f>(INDEX(Models!$BJ366:$BT366,,AH366)*(1-AF366)+INDEX(Models!$BJ366:$BT366,,AH366+1)*AF366-ERP_i)*AE366*Ramure*Pc/MaxiM</f>
        <v>6.337912982257895E-3</v>
      </c>
      <c r="AE366" s="304">
        <f t="shared" si="142"/>
        <v>0.6</v>
      </c>
      <c r="AF366" s="177">
        <f t="shared" si="143"/>
        <v>0.49908263783506202</v>
      </c>
      <c r="AG366" s="799">
        <f t="shared" si="149"/>
        <v>0</v>
      </c>
      <c r="AH366" s="176">
        <f t="shared" si="144"/>
        <v>6</v>
      </c>
      <c r="AI366" s="224">
        <f t="shared" si="145"/>
        <v>0.49908263783506202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44914</v>
      </c>
      <c r="B367" s="1153">
        <v>18.400000000000002</v>
      </c>
      <c r="C367" s="388"/>
      <c r="D367" s="391">
        <f t="shared" si="127"/>
        <v>18.912329159358901</v>
      </c>
      <c r="E367" s="383">
        <f t="shared" si="150"/>
        <v>19.448543360797817</v>
      </c>
      <c r="F367" s="383">
        <f t="shared" si="128"/>
        <v>19.539207067999847</v>
      </c>
      <c r="G367" s="110">
        <f t="shared" si="151"/>
        <v>0.81003302878664907</v>
      </c>
      <c r="H367" s="412" t="b">
        <f>Wh_hp&gt;='2021'!Maxi_hp</f>
        <v>0</v>
      </c>
      <c r="I367" s="379">
        <f>IF(H367,Wh_hp,'2021'!Maxi_hp)</f>
        <v>24.884744497458982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2.708969133531447E-2</v>
      </c>
      <c r="M367" s="832"/>
      <c r="N367" s="832"/>
      <c r="O367" s="48">
        <f>IF(t&lt;Tnet,'2021'!Resal+('2021'!Salim-'2021'!Resal)*(1-EXP(('2021'!Tnet-t)/('2021'!Tau_j))),Resal+(Salim-Resal)*(1-EXP((Tnet-t)/(Tau_j))))*Salcycl</f>
        <v>2.7570918371180284E-2</v>
      </c>
      <c r="P367" s="169">
        <f>(INDEX(Models!$BJ367:$BT367,,T367)*(1-R367)+INDEX(Models!$BJ367:$BT367,,T367+1)*R367-ERP_i)*Q367*Ramure*Pc/MaxiM</f>
        <v>6.3509732341732548E-3</v>
      </c>
      <c r="Q367" s="304">
        <f t="shared" si="130"/>
        <v>0.6</v>
      </c>
      <c r="R367" s="177">
        <f t="shared" si="131"/>
        <v>0.49909049700902824</v>
      </c>
      <c r="S367" s="799">
        <f t="shared" si="132"/>
        <v>0</v>
      </c>
      <c r="T367" s="176">
        <f t="shared" si="133"/>
        <v>6</v>
      </c>
      <c r="U367" s="250">
        <f t="shared" si="134"/>
        <v>0.49909049700902824</v>
      </c>
      <c r="V367" s="382">
        <f t="shared" si="135"/>
        <v>22.676079085554594</v>
      </c>
      <c r="W367" s="400">
        <f t="shared" si="136"/>
        <v>0</v>
      </c>
      <c r="X367" s="157">
        <f t="shared" si="137"/>
        <v>44914</v>
      </c>
      <c r="Y367" s="383">
        <f t="shared" si="138"/>
        <v>17.342797672588475</v>
      </c>
      <c r="Z367" s="383">
        <f t="shared" si="139"/>
        <v>17.825690115660688</v>
      </c>
      <c r="AA367" s="384">
        <f t="shared" si="140"/>
        <v>19.448543360797817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8.3443434041867215E-2</v>
      </c>
      <c r="AD367" s="230">
        <f>(INDEX(Models!$BJ367:$BT367,,AH367)*(1-AF367)+INDEX(Models!$BJ367:$BT367,,AH367+1)*AF367-ERP_i)*AE367*Ramure*Pc/MaxiM</f>
        <v>6.3509732341732548E-3</v>
      </c>
      <c r="AE367" s="304">
        <f t="shared" si="142"/>
        <v>0.6</v>
      </c>
      <c r="AF367" s="177">
        <f t="shared" si="143"/>
        <v>0.49909049700902824</v>
      </c>
      <c r="AG367" s="799">
        <f t="shared" si="149"/>
        <v>0</v>
      </c>
      <c r="AH367" s="176">
        <f t="shared" si="144"/>
        <v>6</v>
      </c>
      <c r="AI367" s="224">
        <f t="shared" si="145"/>
        <v>0.49909049700902824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44915</v>
      </c>
      <c r="B368" s="1153">
        <v>4.6900000000000004</v>
      </c>
      <c r="C368" s="388"/>
      <c r="D368" s="391">
        <f t="shared" si="127"/>
        <v>4.8206806349290101</v>
      </c>
      <c r="E368" s="383">
        <f t="shared" si="150"/>
        <v>4.9577116149077334</v>
      </c>
      <c r="F368" s="383">
        <f t="shared" si="128"/>
        <v>4.9577116149077334</v>
      </c>
      <c r="G368" s="110">
        <f t="shared" si="151"/>
        <v>0.20562541110397586</v>
      </c>
      <c r="H368" s="412" t="b">
        <f>Wh_hp&gt;='2021'!Maxi_hp</f>
        <v>0</v>
      </c>
      <c r="I368" s="379">
        <f>IF(H368,Wh_hp,'2021'!Maxi_hp)</f>
        <v>24.174700505084488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2.7108336939423494E-2</v>
      </c>
      <c r="M368" s="832"/>
      <c r="N368" s="832"/>
      <c r="O368" s="48">
        <f>IF(t&lt;Tnet,'2021'!Resal+('2021'!Salim-'2021'!Resal)*(1-EXP(('2021'!Tnet-t)/('2021'!Tau_j))),Resal+(Salim-Resal)*(1-EXP((Tnet-t)/(Tau_j))))*Salcycl</f>
        <v>2.7639965900129095E-2</v>
      </c>
      <c r="P368" s="169">
        <f>(INDEX(Models!$BJ368:$BT368,,T368)*(1-R368)+INDEX(Models!$BJ368:$BT368,,T368+1)*R368-ERP_i)*Q368*Ramure*Pc/MaxiM</f>
        <v>6.3554202808493469E-3</v>
      </c>
      <c r="Q368" s="304">
        <f t="shared" si="130"/>
        <v>0.6</v>
      </c>
      <c r="R368" s="177">
        <f t="shared" si="131"/>
        <v>0.49909803998186658</v>
      </c>
      <c r="S368" s="799">
        <f t="shared" si="132"/>
        <v>0</v>
      </c>
      <c r="T368" s="176">
        <f t="shared" si="133"/>
        <v>6</v>
      </c>
      <c r="U368" s="250">
        <f t="shared" si="134"/>
        <v>0.49909803998186658</v>
      </c>
      <c r="V368" s="382">
        <f t="shared" si="135"/>
        <v>22.663507656290395</v>
      </c>
      <c r="W368" s="400">
        <f t="shared" si="136"/>
        <v>0</v>
      </c>
      <c r="X368" s="157">
        <f t="shared" si="137"/>
        <v>44915</v>
      </c>
      <c r="Y368" s="383">
        <f t="shared" si="138"/>
        <v>4.420906173517495</v>
      </c>
      <c r="Z368" s="383">
        <f t="shared" si="139"/>
        <v>4.5440888655679945</v>
      </c>
      <c r="AA368" s="384">
        <f t="shared" si="140"/>
        <v>4.9577116149077334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8.3430175344605451E-2</v>
      </c>
      <c r="AD368" s="230">
        <f>(INDEX(Models!$BJ368:$BT368,,AH368)*(1-AF368)+INDEX(Models!$BJ368:$BT368,,AH368+1)*AF368-ERP_i)*AE368*Ramure*Pc/MaxiM</f>
        <v>6.3554202808493469E-3</v>
      </c>
      <c r="AE368" s="304">
        <f t="shared" si="142"/>
        <v>0.6</v>
      </c>
      <c r="AF368" s="177">
        <f t="shared" si="143"/>
        <v>0.49909803998186658</v>
      </c>
      <c r="AG368" s="799">
        <f t="shared" si="149"/>
        <v>0</v>
      </c>
      <c r="AH368" s="176">
        <f t="shared" si="144"/>
        <v>6</v>
      </c>
      <c r="AI368" s="224">
        <f t="shared" si="145"/>
        <v>0.49909803998186658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44916</v>
      </c>
      <c r="B369" s="1153">
        <v>21.472999999999999</v>
      </c>
      <c r="C369" s="388"/>
      <c r="D369" s="391">
        <f t="shared" si="127"/>
        <v>22.071739689371896</v>
      </c>
      <c r="E369" s="383">
        <f t="shared" si="150"/>
        <v>22.700757744207561</v>
      </c>
      <c r="F369" s="383">
        <f t="shared" si="128"/>
        <v>22.834906208285311</v>
      </c>
      <c r="G369" s="110">
        <f t="shared" si="151"/>
        <v>0.94704172470314263</v>
      </c>
      <c r="H369" s="412" t="b">
        <f>Wh_hp&gt;='2021'!Maxi_hp</f>
        <v>1</v>
      </c>
      <c r="I369" s="379">
        <f>IF(H369,Wh_hp,'2021'!Maxi_hp)</f>
        <v>22.834906208285311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2.7126982186193804E-2</v>
      </c>
      <c r="M369" s="832"/>
      <c r="N369" s="832"/>
      <c r="O369" s="48">
        <f>IF(t&lt;Tnet,'2021'!Resal+('2021'!Salim-'2021'!Resal)*(1-EXP(('2021'!Tnet-t)/('2021'!Tau_j))),Resal+(Salim-Resal)*(1-EXP((Tnet-t)/(Tau_j))))*Salcycl</f>
        <v>2.7709121515829927E-2</v>
      </c>
      <c r="P369" s="169">
        <f>(INDEX(Models!$BJ369:$BT369,,T369)*(1-R369)+INDEX(Models!$BJ369:$BT369,,T369+1)*R369-ERP_i)*Q369*Ramure*Pc/MaxiM</f>
        <v>6.3510801022363785E-3</v>
      </c>
      <c r="Q369" s="304">
        <f t="shared" si="130"/>
        <v>0.6</v>
      </c>
      <c r="R369" s="177">
        <f t="shared" si="131"/>
        <v>0.4991052794664535</v>
      </c>
      <c r="S369" s="799">
        <f t="shared" si="132"/>
        <v>0</v>
      </c>
      <c r="T369" s="176">
        <f t="shared" si="133"/>
        <v>6</v>
      </c>
      <c r="U369" s="250">
        <f t="shared" si="134"/>
        <v>0.4991052794664535</v>
      </c>
      <c r="V369" s="382">
        <f t="shared" si="135"/>
        <v>22.662898485280071</v>
      </c>
      <c r="W369" s="400">
        <f t="shared" si="136"/>
        <v>0</v>
      </c>
      <c r="X369" s="157">
        <f t="shared" si="137"/>
        <v>44916</v>
      </c>
      <c r="Y369" s="383">
        <f t="shared" si="138"/>
        <v>20.242680980251574</v>
      </c>
      <c r="Z369" s="383">
        <f t="shared" si="139"/>
        <v>20.807115224286886</v>
      </c>
      <c r="AA369" s="384">
        <f t="shared" si="140"/>
        <v>22.700757744207561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8.3417590780812872E-2</v>
      </c>
      <c r="AD369" s="230">
        <f>(INDEX(Models!$BJ369:$BT369,,AH369)*(1-AF369)+INDEX(Models!$BJ369:$BT369,,AH369+1)*AF369-ERP_i)*AE369*Ramure*Pc/MaxiM</f>
        <v>6.3510801022363785E-3</v>
      </c>
      <c r="AE369" s="304">
        <f t="shared" si="142"/>
        <v>0.6</v>
      </c>
      <c r="AF369" s="177">
        <f t="shared" si="143"/>
        <v>0.4991052794664535</v>
      </c>
      <c r="AG369" s="799">
        <f t="shared" si="149"/>
        <v>0</v>
      </c>
      <c r="AH369" s="176">
        <f t="shared" si="144"/>
        <v>6</v>
      </c>
      <c r="AI369" s="224">
        <f t="shared" si="145"/>
        <v>0.4991052794664535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44917</v>
      </c>
      <c r="B370" s="1153">
        <v>18.155000000000001</v>
      </c>
      <c r="C370" s="388"/>
      <c r="D370" s="391">
        <f t="shared" si="127"/>
        <v>18.661580299450861</v>
      </c>
      <c r="E370" s="383">
        <f t="shared" si="150"/>
        <v>19.194780013176914</v>
      </c>
      <c r="F370" s="383">
        <f t="shared" si="128"/>
        <v>19.282187554048701</v>
      </c>
      <c r="G370" s="110">
        <f t="shared" si="151"/>
        <v>0.79921903937928707</v>
      </c>
      <c r="H370" s="412" t="b">
        <f>Wh_hp&gt;='2021'!Maxi_hp</f>
        <v>0</v>
      </c>
      <c r="I370" s="379">
        <f>IF(H370,Wh_hp,'2021'!Maxi_hp)</f>
        <v>24.5370383220707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2.7145627075632284E-2</v>
      </c>
      <c r="M370" s="832"/>
      <c r="N370" s="832"/>
      <c r="O370" s="48">
        <f>IF(t&lt;Tnet,'2021'!Resal+('2021'!Salim-'2021'!Resal)*(1-EXP(('2021'!Tnet-t)/('2021'!Tau_j))),Resal+(Salim-Resal)*(1-EXP((Tnet-t)/(Tau_j))))*Salcycl</f>
        <v>2.7778370648687694E-2</v>
      </c>
      <c r="P370" s="169">
        <f>(INDEX(Models!$BJ370:$BT370,,T370)*(1-R370)+INDEX(Models!$BJ370:$BT370,,T370+1)*R370-ERP_i)*Q370*Ramure*Pc/MaxiM</f>
        <v>6.3378001220551674E-3</v>
      </c>
      <c r="Q370" s="304">
        <f t="shared" si="130"/>
        <v>0.6</v>
      </c>
      <c r="R370" s="177">
        <f t="shared" si="131"/>
        <v>0.49911222766525076</v>
      </c>
      <c r="S370" s="799">
        <f t="shared" si="132"/>
        <v>0</v>
      </c>
      <c r="T370" s="176">
        <f t="shared" si="133"/>
        <v>6</v>
      </c>
      <c r="U370" s="250">
        <f t="shared" si="134"/>
        <v>0.49911222766525076</v>
      </c>
      <c r="V370" s="382">
        <f t="shared" si="135"/>
        <v>22.674742546019054</v>
      </c>
      <c r="W370" s="400">
        <f t="shared" si="136"/>
        <v>0</v>
      </c>
      <c r="X370" s="157">
        <f t="shared" si="137"/>
        <v>44917</v>
      </c>
      <c r="Y370" s="383">
        <f t="shared" si="138"/>
        <v>17.11623180355673</v>
      </c>
      <c r="Z370" s="383">
        <f t="shared" si="139"/>
        <v>17.59382727766943</v>
      </c>
      <c r="AA370" s="384">
        <f t="shared" si="140"/>
        <v>19.194780013176914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8.3405630822986992E-2</v>
      </c>
      <c r="AD370" s="230">
        <f>(INDEX(Models!$BJ370:$BT370,,AH370)*(1-AF370)+INDEX(Models!$BJ370:$BT370,,AH370+1)*AF370-ERP_i)*AE370*Ramure*Pc/MaxiM</f>
        <v>6.3378001220551674E-3</v>
      </c>
      <c r="AE370" s="304">
        <f t="shared" si="142"/>
        <v>0.6</v>
      </c>
      <c r="AF370" s="177">
        <f t="shared" si="143"/>
        <v>0.49911222766525076</v>
      </c>
      <c r="AG370" s="799">
        <f t="shared" si="149"/>
        <v>0</v>
      </c>
      <c r="AH370" s="176">
        <f t="shared" si="144"/>
        <v>6</v>
      </c>
      <c r="AI370" s="224">
        <f t="shared" si="145"/>
        <v>0.49911222766525076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44918</v>
      </c>
      <c r="B371" s="1153">
        <v>18.399000000000001</v>
      </c>
      <c r="C371" s="388"/>
      <c r="D371" s="391">
        <f t="shared" si="127"/>
        <v>18.912751107945937</v>
      </c>
      <c r="E371" s="383">
        <f t="shared" si="150"/>
        <v>19.454514575034455</v>
      </c>
      <c r="F371" s="383">
        <f t="shared" si="128"/>
        <v>19.544539882856025</v>
      </c>
      <c r="G371" s="110">
        <f t="shared" si="151"/>
        <v>0.80915352123952011</v>
      </c>
      <c r="H371" s="412" t="b">
        <f>Wh_hp&gt;='2021'!Maxi_hp</f>
        <v>0</v>
      </c>
      <c r="I371" s="379">
        <f>IF(H371,Wh_hp,'2021'!Maxi_hp)</f>
        <v>20.621523847427799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2.7164271607745594E-2</v>
      </c>
      <c r="M371" s="832"/>
      <c r="N371" s="832"/>
      <c r="O371" s="48">
        <f>IF(t&lt;Tnet,'2021'!Resal+('2021'!Salim-'2021'!Resal)*(1-EXP(('2021'!Tnet-t)/('2021'!Tau_j))),Resal+(Salim-Resal)*(1-EXP((Tnet-t)/(Tau_j))))*Salcycl</f>
        <v>2.7847699052010774E-2</v>
      </c>
      <c r="P371" s="169">
        <f>(INDEX(Models!$BJ371:$BT371,,T371)*(1-R371)+INDEX(Models!$BJ371:$BT371,,T371+1)*R371-ERP_i)*Q371*Ramure*Pc/MaxiM</f>
        <v>6.3154290610035997E-3</v>
      </c>
      <c r="Q371" s="304">
        <f t="shared" si="130"/>
        <v>0.6</v>
      </c>
      <c r="R371" s="177">
        <f t="shared" si="131"/>
        <v>0.49911222766525076</v>
      </c>
      <c r="S371" s="799">
        <f t="shared" si="132"/>
        <v>0</v>
      </c>
      <c r="T371" s="176">
        <f t="shared" si="133"/>
        <v>6</v>
      </c>
      <c r="U371" s="250">
        <f t="shared" si="134"/>
        <v>0.49911222766525076</v>
      </c>
      <c r="V371" s="382">
        <f t="shared" si="135"/>
        <v>22.699531270659982</v>
      </c>
      <c r="W371" s="400">
        <f t="shared" si="136"/>
        <v>0</v>
      </c>
      <c r="X371" s="157">
        <f t="shared" si="137"/>
        <v>44918</v>
      </c>
      <c r="Y371" s="383">
        <f t="shared" si="138"/>
        <v>17.347723422369146</v>
      </c>
      <c r="Z371" s="383">
        <f t="shared" si="139"/>
        <v>17.832119972648062</v>
      </c>
      <c r="AA371" s="384">
        <f t="shared" si="140"/>
        <v>19.454514575034455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8.3394247444671638E-2</v>
      </c>
      <c r="AD371" s="230">
        <f>(INDEX(Models!$BJ371:$BT371,,AH371)*(1-AF371)+INDEX(Models!$BJ371:$BT371,,AH371+1)*AF371-ERP_i)*AE371*Ramure*Pc/MaxiM</f>
        <v>6.3154290610035997E-3</v>
      </c>
      <c r="AE371" s="304">
        <f t="shared" si="142"/>
        <v>0.6</v>
      </c>
      <c r="AF371" s="177">
        <f t="shared" si="143"/>
        <v>0.49911222766525076</v>
      </c>
      <c r="AG371" s="799">
        <f t="shared" si="149"/>
        <v>0</v>
      </c>
      <c r="AH371" s="176">
        <f t="shared" si="144"/>
        <v>6</v>
      </c>
      <c r="AI371" s="224">
        <f t="shared" si="145"/>
        <v>0.49911222766525076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44919</v>
      </c>
      <c r="B372" s="1153">
        <v>21.867000000000001</v>
      </c>
      <c r="C372" s="388"/>
      <c r="D372" s="391">
        <f t="shared" si="127"/>
        <v>22.478018072215463</v>
      </c>
      <c r="E372" s="383">
        <f t="shared" si="150"/>
        <v>23.123560663038646</v>
      </c>
      <c r="F372" s="383">
        <f t="shared" si="128"/>
        <v>23.261737833249224</v>
      </c>
      <c r="G372" s="110">
        <f t="shared" si="151"/>
        <v>0.96137185013195325</v>
      </c>
      <c r="H372" s="412" t="b">
        <f>Wh_hp&gt;='2021'!Maxi_hp</f>
        <v>1</v>
      </c>
      <c r="I372" s="379">
        <f>IF(H372,Wh_hp,'2021'!Maxi_hp)</f>
        <v>23.261737833249224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2.7182915782540729E-2</v>
      </c>
      <c r="M372" s="832"/>
      <c r="N372" s="832"/>
      <c r="O372" s="48">
        <f>IF(t&lt;Tnet,'2021'!Resal+('2021'!Salim-'2021'!Resal)*(1-EXP(('2021'!Tnet-t)/('2021'!Tau_j))),Resal+(Salim-Resal)*(1-EXP((Tnet-t)/(Tau_j))))*Salcycl</f>
        <v>2.7917092883322153E-2</v>
      </c>
      <c r="P372" s="169">
        <f>(INDEX(Models!$BJ372:$BT372,,T372)*(1-R372)+INDEX(Models!$BJ372:$BT372,,T372+1)*R372-ERP_i)*Q372*Ramure*Pc/MaxiM</f>
        <v>6.2838835677975508E-3</v>
      </c>
      <c r="Q372" s="304">
        <f t="shared" si="130"/>
        <v>0.6</v>
      </c>
      <c r="R372" s="177">
        <f t="shared" si="131"/>
        <v>0.49911222766525076</v>
      </c>
      <c r="S372" s="799">
        <f t="shared" si="132"/>
        <v>0</v>
      </c>
      <c r="T372" s="176">
        <f t="shared" si="133"/>
        <v>6</v>
      </c>
      <c r="U372" s="250">
        <f t="shared" si="134"/>
        <v>0.49911222766525076</v>
      </c>
      <c r="V372" s="382">
        <f t="shared" si="135"/>
        <v>22.737755089008289</v>
      </c>
      <c r="W372" s="400">
        <f t="shared" si="136"/>
        <v>0</v>
      </c>
      <c r="X372" s="157">
        <f t="shared" si="137"/>
        <v>44919</v>
      </c>
      <c r="Y372" s="383">
        <f t="shared" si="138"/>
        <v>20.619285833730906</v>
      </c>
      <c r="Z372" s="383">
        <f t="shared" si="139"/>
        <v>21.195439685680686</v>
      </c>
      <c r="AA372" s="384">
        <f t="shared" si="140"/>
        <v>23.123560663038646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8.3383394342027975E-2</v>
      </c>
      <c r="AD372" s="230">
        <f>(INDEX(Models!$BJ372:$BT372,,AH372)*(1-AF372)+INDEX(Models!$BJ372:$BT372,,AH372+1)*AF372-ERP_i)*AE372*Ramure*Pc/MaxiM</f>
        <v>6.2838835677975508E-3</v>
      </c>
      <c r="AE372" s="304">
        <f t="shared" si="142"/>
        <v>0.6</v>
      </c>
      <c r="AF372" s="177">
        <f t="shared" si="143"/>
        <v>0.49911222766525076</v>
      </c>
      <c r="AG372" s="799">
        <f t="shared" si="149"/>
        <v>0</v>
      </c>
      <c r="AH372" s="176">
        <f t="shared" si="144"/>
        <v>6</v>
      </c>
      <c r="AI372" s="224">
        <f t="shared" si="145"/>
        <v>0.49911222766525076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44920</v>
      </c>
      <c r="B373" s="1153">
        <v>12.354000000000001</v>
      </c>
      <c r="C373" s="388"/>
      <c r="D373" s="391">
        <f t="shared" si="127"/>
        <v>12.699444701947234</v>
      </c>
      <c r="E373" s="383">
        <f t="shared" si="150"/>
        <v>13.065091388753947</v>
      </c>
      <c r="F373" s="383">
        <f t="shared" si="128"/>
        <v>13.093361004637606</v>
      </c>
      <c r="G373" s="110">
        <f t="shared" si="151"/>
        <v>0.53986577452200313</v>
      </c>
      <c r="H373" s="412" t="b">
        <f>Wh_hp&gt;='2021'!Maxi_hp</f>
        <v>1</v>
      </c>
      <c r="I373" s="379">
        <f>IF(H373,Wh_hp,'2021'!Maxi_hp)</f>
        <v>13.093361004637606</v>
      </c>
      <c r="J373" s="85">
        <f>IF(H373,An,'2021'!An_max)</f>
        <v>2022</v>
      </c>
      <c r="K373" s="197">
        <f t="shared" si="129"/>
        <v>44920</v>
      </c>
      <c r="L373" s="147">
        <f>IF(t&lt;Tvie,1-EXP((T0-t)*PertePVj)+'2021'!Pspv,1-EXP((T0-t)*PertePVj)+Pspv)</f>
        <v>2.7201559600024461E-2</v>
      </c>
      <c r="M373" s="832"/>
      <c r="N373" s="832"/>
      <c r="O373" s="48">
        <f>IF(t&lt;Tnet,'2021'!Resal+('2021'!Salim-'2021'!Resal)*(1-EXP(('2021'!Tnet-t)/('2021'!Tau_j))),Resal+(Salim-Resal)*(1-EXP((Tnet-t)/(Tau_j))))*Salcycl</f>
        <v>2.7986538779319246E-2</v>
      </c>
      <c r="P373" s="169">
        <f>(INDEX(Models!$BJ373:$BT373,,T373)*(1-R373)+INDEX(Models!$BJ373:$BT373,,T373+1)*R373-ERP_i)*Q373*Ramure*Pc/MaxiM</f>
        <v>6.2430946516479034E-3</v>
      </c>
      <c r="Q373" s="304">
        <f t="shared" si="130"/>
        <v>0.6</v>
      </c>
      <c r="R373" s="177">
        <f t="shared" si="131"/>
        <v>0.49911222766525076</v>
      </c>
      <c r="S373" s="799">
        <f t="shared" si="132"/>
        <v>0</v>
      </c>
      <c r="T373" s="176">
        <f t="shared" si="133"/>
        <v>6</v>
      </c>
      <c r="U373" s="250">
        <f t="shared" si="134"/>
        <v>0.49911222766525076</v>
      </c>
      <c r="V373" s="382">
        <f t="shared" si="135"/>
        <v>22.789807199810888</v>
      </c>
      <c r="W373" s="400">
        <f t="shared" si="136"/>
        <v>0</v>
      </c>
      <c r="X373" s="157">
        <f t="shared" si="137"/>
        <v>44920</v>
      </c>
      <c r="Y373" s="383">
        <f t="shared" si="138"/>
        <v>11.650054319799954</v>
      </c>
      <c r="Z373" s="383">
        <f t="shared" si="139"/>
        <v>11.975815169902946</v>
      </c>
      <c r="AA373" s="384">
        <f t="shared" si="140"/>
        <v>13.065091388753947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8.337302713309902E-2</v>
      </c>
      <c r="AD373" s="230">
        <f>(INDEX(Models!$BJ373:$BT373,,AH373)*(1-AF373)+INDEX(Models!$BJ373:$BT373,,AH373+1)*AF373-ERP_i)*AE373*Ramure*Pc/MaxiM</f>
        <v>6.2430946516479034E-3</v>
      </c>
      <c r="AE373" s="304">
        <f t="shared" si="142"/>
        <v>0.6</v>
      </c>
      <c r="AF373" s="177">
        <f t="shared" si="143"/>
        <v>0.49911222766525076</v>
      </c>
      <c r="AG373" s="799">
        <f t="shared" si="149"/>
        <v>0</v>
      </c>
      <c r="AH373" s="176">
        <f t="shared" si="144"/>
        <v>6</v>
      </c>
      <c r="AI373" s="224">
        <f t="shared" si="145"/>
        <v>0.49911222766525076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44921</v>
      </c>
      <c r="B374" s="1153">
        <v>21.358000000000001</v>
      </c>
      <c r="C374" s="388"/>
      <c r="D374" s="391">
        <f t="shared" si="127"/>
        <v>21.955636894586753</v>
      </c>
      <c r="E374" s="383">
        <f t="shared" si="150"/>
        <v>22.589405804260192</v>
      </c>
      <c r="F374" s="383">
        <f t="shared" si="128"/>
        <v>22.716928260345419</v>
      </c>
      <c r="G374" s="110">
        <f t="shared" si="151"/>
        <v>0.93393788131924138</v>
      </c>
      <c r="H374" s="412" t="b">
        <f>Wh_hp&gt;='2021'!Maxi_hp</f>
        <v>1</v>
      </c>
      <c r="I374" s="379">
        <f>IF(H374,Wh_hp,'2021'!Maxi_hp)</f>
        <v>22.716928260345419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2.7220203060203785E-2</v>
      </c>
      <c r="M374" s="832"/>
      <c r="N374" s="832"/>
      <c r="O374" s="48">
        <f>IF(t&lt;Tnet,'2021'!Resal+('2021'!Salim-'2021'!Resal)*(1-EXP(('2021'!Tnet-t)/('2021'!Tau_j))),Resal+(Salim-Resal)*(1-EXP((Tnet-t)/(Tau_j))))*Salcycl</f>
        <v>2.8056023924007526E-2</v>
      </c>
      <c r="P374" s="169">
        <f>(INDEX(Models!$BJ374:$BT374,,T374)*(1-R374)+INDEX(Models!$BJ374:$BT374,,T374+1)*R374-ERP_i)*Q374*Ramure*Pc/MaxiM</f>
        <v>6.1932037842208562E-3</v>
      </c>
      <c r="Q374" s="304">
        <f t="shared" si="130"/>
        <v>0.6</v>
      </c>
      <c r="R374" s="177">
        <f t="shared" si="131"/>
        <v>0.49911222766525076</v>
      </c>
      <c r="S374" s="799">
        <f t="shared" si="132"/>
        <v>0</v>
      </c>
      <c r="T374" s="176">
        <f t="shared" si="133"/>
        <v>6</v>
      </c>
      <c r="U374" s="250">
        <f t="shared" si="134"/>
        <v>0.49911222766525076</v>
      </c>
      <c r="V374" s="382">
        <f t="shared" si="135"/>
        <v>22.855427693905291</v>
      </c>
      <c r="W374" s="400">
        <f t="shared" si="136"/>
        <v>0</v>
      </c>
      <c r="X374" s="157">
        <f t="shared" si="137"/>
        <v>44921</v>
      </c>
      <c r="Y374" s="383">
        <f t="shared" si="138"/>
        <v>20.142653606193974</v>
      </c>
      <c r="Z374" s="383">
        <f t="shared" si="139"/>
        <v>20.706282829433157</v>
      </c>
      <c r="AA374" s="384">
        <f t="shared" si="140"/>
        <v>22.589405804260192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8.3363103533776559E-2</v>
      </c>
      <c r="AD374" s="230">
        <f>(INDEX(Models!$BJ374:$BT374,,AH374)*(1-AF374)+INDEX(Models!$BJ374:$BT374,,AH374+1)*AF374-ERP_i)*AE374*Ramure*Pc/MaxiM</f>
        <v>6.1932037842208562E-3</v>
      </c>
      <c r="AE374" s="304">
        <f t="shared" si="142"/>
        <v>0.6</v>
      </c>
      <c r="AF374" s="177">
        <f t="shared" si="143"/>
        <v>0.49911222766525076</v>
      </c>
      <c r="AG374" s="799">
        <f t="shared" si="149"/>
        <v>0</v>
      </c>
      <c r="AH374" s="176">
        <f t="shared" si="144"/>
        <v>6</v>
      </c>
      <c r="AI374" s="224">
        <f t="shared" si="145"/>
        <v>0.49911222766525076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44922</v>
      </c>
      <c r="B375" s="1153">
        <v>7.2370000000000001</v>
      </c>
      <c r="C375" s="388"/>
      <c r="D375" s="391">
        <f t="shared" si="127"/>
        <v>7.4396474113452289</v>
      </c>
      <c r="E375" s="383">
        <f t="shared" si="150"/>
        <v>7.6549468967056082</v>
      </c>
      <c r="F375" s="383">
        <f t="shared" si="128"/>
        <v>7.6559897078560777</v>
      </c>
      <c r="G375" s="110">
        <f t="shared" si="151"/>
        <v>0.31366288508629719</v>
      </c>
      <c r="H375" s="412" t="b">
        <f>Wh_hp&gt;='2021'!Maxi_hp</f>
        <v>0</v>
      </c>
      <c r="I375" s="379">
        <f>IF(H375,Wh_hp,'2021'!Maxi_hp)</f>
        <v>21.290446008401918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2.7238846163085362E-2</v>
      </c>
      <c r="M375" s="832"/>
      <c r="N375" s="832"/>
      <c r="O375" s="48">
        <f>IF(t&lt;Tnet,'2021'!Resal+('2021'!Salim-'2021'!Resal)*(1-EXP(('2021'!Tnet-t)/('2021'!Tau_j))),Resal+(Salim-Resal)*(1-EXP((Tnet-t)/(Tau_j))))*Salcycl</f>
        <v>2.8125536109602021E-2</v>
      </c>
      <c r="P375" s="169">
        <f>(INDEX(Models!$BJ375:$BT375,,T375)*(1-R375)+INDEX(Models!$BJ375:$BT375,,T375+1)*R375-ERP_i)*Q375*Ramure*Pc/MaxiM</f>
        <v>6.1298185694968208E-3</v>
      </c>
      <c r="Q375" s="304">
        <f t="shared" si="130"/>
        <v>0.6</v>
      </c>
      <c r="R375" s="177">
        <f t="shared" si="131"/>
        <v>0.49911222766525076</v>
      </c>
      <c r="S375" s="799">
        <f t="shared" si="132"/>
        <v>0</v>
      </c>
      <c r="T375" s="176">
        <f t="shared" si="133"/>
        <v>6</v>
      </c>
      <c r="U375" s="250">
        <f t="shared" si="134"/>
        <v>0.49911222766525076</v>
      </c>
      <c r="V375" s="382">
        <f t="shared" si="135"/>
        <v>22.93423505702966</v>
      </c>
      <c r="W375" s="400">
        <f t="shared" si="136"/>
        <v>0</v>
      </c>
      <c r="X375" s="157">
        <f t="shared" si="137"/>
        <v>44922</v>
      </c>
      <c r="Y375" s="383">
        <f t="shared" si="138"/>
        <v>6.8257479361947686</v>
      </c>
      <c r="Z375" s="383">
        <f t="shared" si="139"/>
        <v>7.0168796412887176</v>
      </c>
      <c r="AA375" s="384">
        <f t="shared" si="140"/>
        <v>7.6549468967056082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8.3353583509702733E-2</v>
      </c>
      <c r="AD375" s="230">
        <f>(INDEX(Models!$BJ375:$BT375,,AH375)*(1-AF375)+INDEX(Models!$BJ375:$BT375,,AH375+1)*AF375-ERP_i)*AE375*Ramure*Pc/MaxiM</f>
        <v>6.1298185694968208E-3</v>
      </c>
      <c r="AE375" s="304">
        <f t="shared" si="142"/>
        <v>0.6</v>
      </c>
      <c r="AF375" s="177">
        <f t="shared" si="143"/>
        <v>0.49911222766525076</v>
      </c>
      <c r="AG375" s="799">
        <f t="shared" si="149"/>
        <v>0</v>
      </c>
      <c r="AH375" s="176">
        <f t="shared" si="144"/>
        <v>6</v>
      </c>
      <c r="AI375" s="224">
        <f t="shared" si="145"/>
        <v>0.49911222766525076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44923</v>
      </c>
      <c r="B376" s="1153">
        <v>22.466999999999999</v>
      </c>
      <c r="C376" s="388"/>
      <c r="D376" s="391">
        <f t="shared" si="127"/>
        <v>23.096554066290555</v>
      </c>
      <c r="E376" s="383">
        <f t="shared" si="150"/>
        <v>23.766656461288331</v>
      </c>
      <c r="F376" s="383">
        <f t="shared" si="128"/>
        <v>23.906426698641567</v>
      </c>
      <c r="G376" s="110">
        <f t="shared" si="151"/>
        <v>0.97553119834640423</v>
      </c>
      <c r="H376" s="412" t="b">
        <f>Wh_hp&gt;='2021'!Maxi_hp</f>
        <v>1</v>
      </c>
      <c r="I376" s="379">
        <f>IF(H376,Wh_hp,'2021'!Maxi_hp)</f>
        <v>23.906426698641567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2.7257488908676186E-2</v>
      </c>
      <c r="M376" s="832"/>
      <c r="N376" s="832"/>
      <c r="O376" s="48">
        <f>IF(t&lt;Tnet,'2021'!Resal+('2021'!Salim-'2021'!Resal)*(1-EXP(('2021'!Tnet-t)/('2021'!Tau_j))),Resal+(Salim-Resal)*(1-EXP((Tnet-t)/(Tau_j))))*Salcycl</f>
        <v>2.8195063789862654E-2</v>
      </c>
      <c r="P376" s="169">
        <f>(INDEX(Models!$BJ376:$BT376,,T376)*(1-R376)+INDEX(Models!$BJ376:$BT376,,T376+1)*R376-ERP_i)*Q376*Ramure*Pc/MaxiM</f>
        <v>6.0564791465405974E-3</v>
      </c>
      <c r="Q376" s="304">
        <f t="shared" si="130"/>
        <v>0.6</v>
      </c>
      <c r="R376" s="177">
        <f t="shared" si="131"/>
        <v>0.49911222766525076</v>
      </c>
      <c r="S376" s="799">
        <f t="shared" si="132"/>
        <v>0</v>
      </c>
      <c r="T376" s="176">
        <f t="shared" si="133"/>
        <v>6</v>
      </c>
      <c r="U376" s="250">
        <f t="shared" si="134"/>
        <v>0.49911222766525076</v>
      </c>
      <c r="V376" s="382">
        <f t="shared" si="135"/>
        <v>23.025666359508097</v>
      </c>
      <c r="W376" s="400">
        <f t="shared" si="136"/>
        <v>0</v>
      </c>
      <c r="X376" s="157">
        <f t="shared" si="137"/>
        <v>44923</v>
      </c>
      <c r="Y376" s="383">
        <f t="shared" si="138"/>
        <v>21.192010800958606</v>
      </c>
      <c r="Z376" s="383">
        <f t="shared" si="139"/>
        <v>21.785838039691718</v>
      </c>
      <c r="AA376" s="384">
        <f t="shared" si="140"/>
        <v>23.766656461288331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8.334442940356436E-2</v>
      </c>
      <c r="AD376" s="230">
        <f>(INDEX(Models!$BJ376:$BT376,,AH376)*(1-AF376)+INDEX(Models!$BJ376:$BT376,,AH376+1)*AF376-ERP_i)*AE376*Ramure*Pc/MaxiM</f>
        <v>6.0564791465405974E-3</v>
      </c>
      <c r="AE376" s="304">
        <f t="shared" si="142"/>
        <v>0.6</v>
      </c>
      <c r="AF376" s="177">
        <f t="shared" si="143"/>
        <v>0.49911222766525076</v>
      </c>
      <c r="AG376" s="799">
        <f t="shared" si="149"/>
        <v>0</v>
      </c>
      <c r="AH376" s="176">
        <f t="shared" si="144"/>
        <v>6</v>
      </c>
      <c r="AI376" s="224">
        <f t="shared" si="145"/>
        <v>0.49911222766525076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44924</v>
      </c>
      <c r="B377" s="1153">
        <v>10.670999999999999</v>
      </c>
      <c r="C377" s="388"/>
      <c r="D377" s="391">
        <f t="shared" si="127"/>
        <v>10.970225305798444</v>
      </c>
      <c r="E377" s="383">
        <f t="shared" si="150"/>
        <v>11.28931318346452</v>
      </c>
      <c r="F377" s="383">
        <f t="shared" si="128"/>
        <v>11.304880106859175</v>
      </c>
      <c r="G377" s="110">
        <f t="shared" si="151"/>
        <v>0.45924060977466385</v>
      </c>
      <c r="H377" s="412" t="b">
        <f>Wh_hp&gt;='2021'!Maxi_hp</f>
        <v>0</v>
      </c>
      <c r="I377" s="379">
        <f>IF(H377,Wh_hp,'2021'!Maxi_hp)</f>
        <v>25.022994124609578</v>
      </c>
      <c r="J377" s="85">
        <f>IF(H377,An,'2021'!An_max)</f>
        <v>2018</v>
      </c>
      <c r="K377" s="197">
        <f t="shared" si="129"/>
        <v>44924</v>
      </c>
      <c r="L377" s="147">
        <f>IF(t&lt;Tvie,1-EXP((T0-t)*PertePVj)+'2021'!Pspv,1-EXP((T0-t)*PertePVj)+Pspv)</f>
        <v>2.7276131296983031E-2</v>
      </c>
      <c r="M377" s="832"/>
      <c r="N377" s="832"/>
      <c r="O377" s="48">
        <f>IF(t&lt;Tnet,'2021'!Resal+('2021'!Salim-'2021'!Resal)*(1-EXP(('2021'!Tnet-t)/('2021'!Tau_j))),Resal+(Salim-Resal)*(1-EXP((Tnet-t)/(Tau_j))))*Salcycl</f>
        <v>2.8264596125603596E-2</v>
      </c>
      <c r="P377" s="169">
        <f>(INDEX(Models!$BJ377:$BT377,,T377)*(1-R377)+INDEX(Models!$BJ377:$BT377,,T377+1)*R377-ERP_i)*Q377*Ramure*Pc/MaxiM</f>
        <v>5.9734842665061048E-3</v>
      </c>
      <c r="Q377" s="304">
        <f t="shared" si="130"/>
        <v>0.6</v>
      </c>
      <c r="R377" s="177">
        <f t="shared" si="131"/>
        <v>0.49911222766525076</v>
      </c>
      <c r="S377" s="799">
        <f t="shared" si="132"/>
        <v>0</v>
      </c>
      <c r="T377" s="176">
        <f t="shared" si="133"/>
        <v>6</v>
      </c>
      <c r="U377" s="250">
        <f t="shared" si="134"/>
        <v>0.49911222766525076</v>
      </c>
      <c r="V377" s="382">
        <f t="shared" si="135"/>
        <v>23.129233682651627</v>
      </c>
      <c r="W377" s="400">
        <f t="shared" si="136"/>
        <v>0</v>
      </c>
      <c r="X377" s="157">
        <f t="shared" si="137"/>
        <v>44924</v>
      </c>
      <c r="Y377" s="383">
        <f t="shared" si="138"/>
        <v>10.066244071146919</v>
      </c>
      <c r="Z377" s="383">
        <f t="shared" si="139"/>
        <v>10.348511427573749</v>
      </c>
      <c r="AA377" s="384">
        <f t="shared" si="140"/>
        <v>11.28931318346452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8.3335606037466051E-2</v>
      </c>
      <c r="AD377" s="230">
        <f>(INDEX(Models!$BJ377:$BT377,,AH377)*(1-AF377)+INDEX(Models!$BJ377:$BT377,,AH377+1)*AF377-ERP_i)*AE377*Ramure*Pc/MaxiM</f>
        <v>5.9734842665061048E-3</v>
      </c>
      <c r="AE377" s="304">
        <f t="shared" si="142"/>
        <v>0.6</v>
      </c>
      <c r="AF377" s="177">
        <f t="shared" si="143"/>
        <v>0.49911222766525076</v>
      </c>
      <c r="AG377" s="799">
        <f t="shared" si="149"/>
        <v>0</v>
      </c>
      <c r="AH377" s="176">
        <f t="shared" si="144"/>
        <v>6</v>
      </c>
      <c r="AI377" s="224">
        <f t="shared" si="145"/>
        <v>0.49911222766525076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44925</v>
      </c>
      <c r="B378" s="1153">
        <v>14.458</v>
      </c>
      <c r="C378" s="388"/>
      <c r="D378" s="391">
        <f t="shared" si="127"/>
        <v>14.863701359420663</v>
      </c>
      <c r="E378" s="383">
        <f t="shared" si="150"/>
        <v>15.297132184626619</v>
      </c>
      <c r="F378" s="383">
        <f t="shared" si="128"/>
        <v>15.338627971865069</v>
      </c>
      <c r="G378" s="110">
        <f t="shared" si="151"/>
        <v>0.6200172358132815</v>
      </c>
      <c r="H378" s="412" t="b">
        <f>Wh_hp&gt;='2021'!Maxi_hp</f>
        <v>0</v>
      </c>
      <c r="I378" s="379">
        <f>IF(H378,Wh_hp,'2021'!Maxi_hp)</f>
        <v>25.027651179472095</v>
      </c>
      <c r="J378" s="85">
        <f>IF(H378,An,'2021'!An_max)</f>
        <v>2018</v>
      </c>
      <c r="K378" s="197">
        <f t="shared" si="129"/>
        <v>44925</v>
      </c>
      <c r="L378" s="147">
        <f>IF(t&lt;Tvie,1-EXP((T0-t)*PertePVj)+'2021'!Pspv,1-EXP((T0-t)*PertePVj)+Pspv)</f>
        <v>2.7294773328012778E-2</v>
      </c>
      <c r="M378" s="832"/>
      <c r="N378" s="832"/>
      <c r="O378" s="48">
        <f>IF(t&lt;Tnet,'2021'!Resal+('2021'!Salim-'2021'!Resal)*(1-EXP(('2021'!Tnet-t)/('2021'!Tau_j))),Resal+(Salim-Resal)*(1-EXP((Tnet-t)/(Tau_j))))*Salcycl</f>
        <v>2.8334123022192848E-2</v>
      </c>
      <c r="P378" s="169">
        <f>(INDEX(Models!$BJ378:$BT378,,T378)*(1-R378)+INDEX(Models!$BJ378:$BT378,,T378+1)*R378-ERP_i)*Q378*Ramure*Pc/MaxiM</f>
        <v>5.8811521371243524E-3</v>
      </c>
      <c r="Q378" s="304">
        <f t="shared" si="130"/>
        <v>0.6</v>
      </c>
      <c r="R378" s="177">
        <f t="shared" si="131"/>
        <v>0.49911222766525076</v>
      </c>
      <c r="S378" s="799">
        <f t="shared" si="132"/>
        <v>0</v>
      </c>
      <c r="T378" s="176">
        <f t="shared" si="133"/>
        <v>6</v>
      </c>
      <c r="U378" s="250">
        <f t="shared" si="134"/>
        <v>0.49911222766525076</v>
      </c>
      <c r="V378" s="382">
        <f t="shared" si="135"/>
        <v>23.244449231640775</v>
      </c>
      <c r="W378" s="400">
        <f t="shared" si="136"/>
        <v>0</v>
      </c>
      <c r="X378" s="157">
        <f t="shared" si="137"/>
        <v>44925</v>
      </c>
      <c r="Y378" s="383">
        <f t="shared" si="138"/>
        <v>13.639726761997437</v>
      </c>
      <c r="Z378" s="383">
        <f t="shared" si="139"/>
        <v>14.022466815218404</v>
      </c>
      <c r="AA378" s="384">
        <f t="shared" si="140"/>
        <v>15.297132184626619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8.3327080790295716E-2</v>
      </c>
      <c r="AD378" s="230">
        <f>(INDEX(Models!$BJ378:$BT378,,AH378)*(1-AF378)+INDEX(Models!$BJ378:$BT378,,AH378+1)*AF378-ERP_i)*AE378*Ramure*Pc/MaxiM</f>
        <v>5.8811521371243524E-3</v>
      </c>
      <c r="AE378" s="304">
        <f t="shared" si="142"/>
        <v>0.6</v>
      </c>
      <c r="AF378" s="177">
        <f t="shared" si="143"/>
        <v>0.49911222766525076</v>
      </c>
      <c r="AG378" s="799">
        <f t="shared" si="149"/>
        <v>0</v>
      </c>
      <c r="AH378" s="176">
        <f t="shared" si="144"/>
        <v>6</v>
      </c>
      <c r="AI378" s="224">
        <f t="shared" si="145"/>
        <v>0.49911222766525076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44926</v>
      </c>
      <c r="B379" s="1153">
        <v>11.962</v>
      </c>
      <c r="C379" s="388"/>
      <c r="D379" s="391">
        <f t="shared" si="127"/>
        <v>12.297897580258901</v>
      </c>
      <c r="E379" s="383">
        <f t="shared" si="150"/>
        <v>12.65741415394303</v>
      </c>
      <c r="F379" s="383">
        <f t="shared" si="128"/>
        <v>12.67959195544846</v>
      </c>
      <c r="G379" s="110">
        <f t="shared" si="151"/>
        <v>0.50976804798970898</v>
      </c>
      <c r="H379" s="412" t="b">
        <f>Wh_hp&gt;='2021'!Maxi_hp</f>
        <v>0</v>
      </c>
      <c r="I379" s="379">
        <f>IF(H379,Wh_hp,'2021'!Maxi_hp)</f>
        <v>25.278911318099443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2.7313415001772201E-2</v>
      </c>
      <c r="M379" s="832"/>
      <c r="N379" s="832"/>
      <c r="O379" s="48">
        <f>IF(t&lt;Tnet,'2021'!Resal+('2021'!Salim-'2021'!Resal)*(1-EXP(('2021'!Tnet-t)/('2021'!Tau_j))),Resal+(Salim-Resal)*(1-EXP((Tnet-t)/(Tau_j))))*Salcycl</f>
        <v>2.8403635158934293E-2</v>
      </c>
      <c r="P379" s="169">
        <f>(INDEX(Models!$BJ379:$BT379,,T379)*(1-R379)+INDEX(Models!$BJ379:$BT379,,T379+1)*R379-ERP_i)*Q379*Ramure*Pc/MaxiM</f>
        <v>5.7798171275246042E-3</v>
      </c>
      <c r="Q379" s="305">
        <f t="shared" si="130"/>
        <v>0.6</v>
      </c>
      <c r="R379" s="177">
        <f t="shared" si="131"/>
        <v>0.49911222766525076</v>
      </c>
      <c r="S379" s="799">
        <f t="shared" si="132"/>
        <v>0</v>
      </c>
      <c r="T379" s="176">
        <f t="shared" si="133"/>
        <v>6</v>
      </c>
      <c r="U379" s="306">
        <f t="shared" si="134"/>
        <v>0.49911222766525076</v>
      </c>
      <c r="V379" s="382">
        <f t="shared" si="135"/>
        <v>23.370825336750599</v>
      </c>
      <c r="W379" s="400">
        <f t="shared" si="136"/>
        <v>0</v>
      </c>
      <c r="X379" s="157">
        <f t="shared" si="137"/>
        <v>44926</v>
      </c>
      <c r="Y379" s="383">
        <f t="shared" si="138"/>
        <v>11.285900841436144</v>
      </c>
      <c r="Z379" s="383">
        <f t="shared" si="139"/>
        <v>11.602813296182866</v>
      </c>
      <c r="AA379" s="384">
        <f t="shared" si="140"/>
        <v>12.65741415394303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8.3318823650218865E-2</v>
      </c>
      <c r="AD379" s="230">
        <f>(INDEX(Models!$BJ379:$BT379,,AH379)*(1-AF379)+INDEX(Models!$BJ379:$BT379,,AH379+1)*AF379-ERP_i)*AE379*Ramure*Pc/MaxiM</f>
        <v>5.7798171275246042E-3</v>
      </c>
      <c r="AE379" s="305">
        <f t="shared" si="142"/>
        <v>0.6</v>
      </c>
      <c r="AF379" s="177">
        <f t="shared" si="143"/>
        <v>0.49911222766525076</v>
      </c>
      <c r="AG379" s="799">
        <f t="shared" si="149"/>
        <v>0</v>
      </c>
      <c r="AH379" s="176">
        <f t="shared" si="144"/>
        <v>6</v>
      </c>
      <c r="AI379" s="221">
        <f t="shared" si="145"/>
        <v>0.49911222766525076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1200">
        <f>(41.141+49.65)*0.05</f>
        <v>4.5395500000000002</v>
      </c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14.71093936617153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1.7590000000000001</v>
      </c>
      <c r="C381" s="374"/>
      <c r="D381" s="372">
        <f>MIN(D15:D380)</f>
        <v>1.7961316469213198</v>
      </c>
      <c r="E381" s="372">
        <f>MIN(E15:E380)</f>
        <v>1.9470934516474292</v>
      </c>
      <c r="F381" s="373">
        <f>MIN(F15:F380)</f>
        <v>1.9470934516474292</v>
      </c>
      <c r="G381" s="125">
        <f>+MIN(G15:G380)</f>
        <v>7.2772702206217454E-2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2.0504187655907113E-2</v>
      </c>
      <c r="M381" s="833"/>
      <c r="N381" s="833"/>
      <c r="O381" s="47">
        <f t="shared" si="152"/>
        <v>8.0969278839997105E-3</v>
      </c>
      <c r="P381" s="168">
        <f t="shared" si="152"/>
        <v>9.1581623588596128E-5</v>
      </c>
      <c r="Q381" s="309">
        <f t="shared" si="152"/>
        <v>0.6</v>
      </c>
      <c r="R381" s="310">
        <f t="shared" si="152"/>
        <v>6.5986264957097036E-5</v>
      </c>
      <c r="S381" s="799">
        <f t="shared" si="152"/>
        <v>-1</v>
      </c>
      <c r="T381" s="176">
        <f t="shared" si="152"/>
        <v>5</v>
      </c>
      <c r="U381" s="251">
        <f>+MIN(U15:U380)</f>
        <v>-8.8649929857817749E-4</v>
      </c>
      <c r="V381" s="57">
        <f>MIN(V15:V380)</f>
        <v>22.537704513700483</v>
      </c>
      <c r="W381" s="58"/>
      <c r="X381" s="112" t="s">
        <v>7</v>
      </c>
      <c r="Y381" s="372">
        <f>MIN(Y15:Y380)</f>
        <v>1.7590000000000001</v>
      </c>
      <c r="Z381" s="372">
        <f>MIN(Z15:Z380)</f>
        <v>1.7961316469213198</v>
      </c>
      <c r="AA381" s="372">
        <f>MIN(AA15:AA380)</f>
        <v>1.9470934516474292</v>
      </c>
      <c r="AB381" s="200" t="s">
        <v>7</v>
      </c>
      <c r="AC381" s="47">
        <f t="shared" ref="AC381:AH381" si="153">MIN(AC15:AC380)</f>
        <v>7.6956138403865532E-2</v>
      </c>
      <c r="AD381" s="168">
        <f t="shared" si="153"/>
        <v>9.1581623588596128E-5</v>
      </c>
      <c r="AE381" s="309">
        <f t="shared" si="153"/>
        <v>0.6</v>
      </c>
      <c r="AF381" s="310">
        <f t="shared" si="153"/>
        <v>6.5986264957097036E-5</v>
      </c>
      <c r="AG381" s="799">
        <f t="shared" si="153"/>
        <v>-1</v>
      </c>
      <c r="AH381" s="176">
        <f t="shared" si="153"/>
        <v>5</v>
      </c>
      <c r="AI381" s="225">
        <f>MIN(AI15:AI380)</f>
        <v>-8.8649929857817749E-4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31.553016393442583</v>
      </c>
      <c r="C382" s="374"/>
      <c r="D382" s="374">
        <f>AVERAGE(D15:D380)</f>
        <v>32.40024912073968</v>
      </c>
      <c r="E382" s="374">
        <f>AVERAGE(E15:E380)</f>
        <v>33.559885054931513</v>
      </c>
      <c r="F382" s="375">
        <f>AVERAGE(F15:F380)</f>
        <v>33.580507809132833</v>
      </c>
      <c r="G382" s="126">
        <f>AVERAGE(G15:G380)</f>
        <v>0.68793818803153295</v>
      </c>
      <c r="H382" s="94"/>
      <c r="I382" s="375">
        <f>AVERAGE(I15:I380)</f>
        <v>43.517694273799925</v>
      </c>
      <c r="J382" s="59">
        <f>AVERAGE(J15:J380)</f>
        <v>2020.4371584699454</v>
      </c>
      <c r="K382" s="200" t="s">
        <v>8</v>
      </c>
      <c r="L382" s="147">
        <f t="shared" ref="L382:V382" si="154">AVERAGE(L15:L380)</f>
        <v>2.3912748906446821E-2</v>
      </c>
      <c r="M382" s="832"/>
      <c r="N382" s="832"/>
      <c r="O382" s="48">
        <f t="shared" si="154"/>
        <v>3.9732293750766055E-2</v>
      </c>
      <c r="P382" s="169">
        <f t="shared" si="154"/>
        <v>1.5611432236758056E-3</v>
      </c>
      <c r="Q382" s="311">
        <f t="shared" si="154"/>
        <v>0.59999999999999631</v>
      </c>
      <c r="R382" s="177">
        <f t="shared" si="154"/>
        <v>0.33653134427590808</v>
      </c>
      <c r="S382" s="799">
        <f t="shared" si="154"/>
        <v>-5.7534246575342465E-2</v>
      </c>
      <c r="T382" s="176">
        <f t="shared" si="154"/>
        <v>5.9424657534246572</v>
      </c>
      <c r="U382" s="250">
        <f t="shared" si="154"/>
        <v>0.27899709770056558</v>
      </c>
      <c r="V382" s="59">
        <f t="shared" si="154"/>
        <v>44.399328864873269</v>
      </c>
      <c r="X382" s="112" t="s">
        <v>8</v>
      </c>
      <c r="Y382" s="374">
        <f>AVERAGE(Y15:Y380)</f>
        <v>29.954226711228973</v>
      </c>
      <c r="Z382" s="374">
        <f>AVERAGE(Z15:Z380)</f>
        <v>30.685473613954777</v>
      </c>
      <c r="AA382" s="374">
        <f>AVERAGE(AA15:AA380)</f>
        <v>33.559885054931513</v>
      </c>
      <c r="AB382" s="200" t="s">
        <v>8</v>
      </c>
      <c r="AC382" s="48">
        <f t="shared" ref="AC382:AH382" si="155">AVERAGE(AC15:AC380)</f>
        <v>8.4692042769190456E-2</v>
      </c>
      <c r="AD382" s="169">
        <f t="shared" si="155"/>
        <v>1.5611432236758056E-3</v>
      </c>
      <c r="AE382" s="311">
        <f t="shared" si="155"/>
        <v>0.59999999999999631</v>
      </c>
      <c r="AF382" s="177">
        <f t="shared" si="155"/>
        <v>0.33653134427590808</v>
      </c>
      <c r="AG382" s="799">
        <f t="shared" si="155"/>
        <v>-5.7534246575342465E-2</v>
      </c>
      <c r="AH382" s="176">
        <f t="shared" si="155"/>
        <v>5.9424657534246572</v>
      </c>
      <c r="AI382" s="224">
        <f>AVERAGE(AI15:AI380)</f>
        <v>0.27899709770056558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62.643999999999998</v>
      </c>
      <c r="C383" s="376"/>
      <c r="D383" s="376">
        <f>MAX(D15:D380)</f>
        <v>64.137013881781982</v>
      </c>
      <c r="E383" s="376">
        <f>MAX(E15:E380)</f>
        <v>64.845998564032485</v>
      </c>
      <c r="F383" s="377">
        <f>MAX(F15:F380)</f>
        <v>64.852505396426309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2022</v>
      </c>
      <c r="K383" s="200" t="s">
        <v>9</v>
      </c>
      <c r="L383" s="148">
        <f t="shared" ref="L383:T383" si="156">MAX(L15:L380)</f>
        <v>2.7313415001772201E-2</v>
      </c>
      <c r="M383" s="834"/>
      <c r="N383" s="834"/>
      <c r="O383" s="49">
        <f t="shared" si="156"/>
        <v>8.5477229088591067E-2</v>
      </c>
      <c r="P383" s="170">
        <f t="shared" si="156"/>
        <v>6.3554202808493469E-3</v>
      </c>
      <c r="Q383" s="312">
        <f t="shared" si="156"/>
        <v>0.6</v>
      </c>
      <c r="R383" s="313">
        <f t="shared" si="156"/>
        <v>0.99999976738617502</v>
      </c>
      <c r="S383" s="800">
        <f t="shared" si="156"/>
        <v>0</v>
      </c>
      <c r="T383" s="232">
        <f t="shared" si="156"/>
        <v>6</v>
      </c>
      <c r="U383" s="252">
        <f>+MAX(U15:U380)</f>
        <v>0.49911222766525076</v>
      </c>
      <c r="V383" s="60">
        <f>MAX(V15:V380)</f>
        <v>61.904306771769456</v>
      </c>
      <c r="X383" s="112" t="s">
        <v>9</v>
      </c>
      <c r="Y383" s="376">
        <f>MAX(Y15:Y380)</f>
        <v>57.830703768005499</v>
      </c>
      <c r="Z383" s="376">
        <f>MAX(Z15:Z380)</f>
        <v>59.209000867789264</v>
      </c>
      <c r="AA383" s="376">
        <f>MAX(AA15:AA380)</f>
        <v>64.845998564032485</v>
      </c>
      <c r="AB383" s="200" t="s">
        <v>9</v>
      </c>
      <c r="AC383" s="49">
        <f t="shared" ref="AC383:AH383" si="157">MAX(AC15:AC380)</f>
        <v>8.8285893231033655E-2</v>
      </c>
      <c r="AD383" s="170">
        <f t="shared" si="157"/>
        <v>6.3554202808493469E-3</v>
      </c>
      <c r="AE383" s="312">
        <f t="shared" si="157"/>
        <v>0.6</v>
      </c>
      <c r="AF383" s="313">
        <f t="shared" si="157"/>
        <v>0.99999976738617502</v>
      </c>
      <c r="AG383" s="800">
        <f t="shared" si="157"/>
        <v>0</v>
      </c>
      <c r="AH383" s="232">
        <f t="shared" si="157"/>
        <v>6</v>
      </c>
      <c r="AI383" s="226">
        <f>MAX(AI15:AI380)</f>
        <v>0.49911222766525076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O11" sqref="O1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8">
        <f>'2022'!An+1</f>
        <v>2023</v>
      </c>
      <c r="K1" s="1279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8">
        <f>Tmaj</f>
        <v>44926</v>
      </c>
      <c r="F3" s="1288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154.89455894157643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MdS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232.80395585199844</v>
      </c>
      <c r="AK4" s="822">
        <f>AM12-AK12</f>
        <v>-0.34307640673979911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9">
        <f>T0</f>
        <v>43481</v>
      </c>
      <c r="F5" s="1289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387.53391521775529</v>
      </c>
      <c r="AA5" s="236">
        <f>Wh_Pvg_s-Wh_Pvg</f>
        <v>-0.34307640673979911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2991.1750674603777</v>
      </c>
      <c r="AK5" s="514">
        <f>SUMIF(AK15:AK380,"VRAI",Wh)</f>
        <v>0</v>
      </c>
      <c r="AL5" s="514">
        <f>SUMIF(AJ15:AJ380,"VRAI",Wh_s)</f>
        <v>2836.2760546706354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90">
        <f>Tservice</f>
        <v>43476</v>
      </c>
      <c r="F6" s="1290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8616.4807332935561</v>
      </c>
      <c r="AK6" s="514">
        <f>SUMIF(AK15:AK380,"FAUX",Wh)</f>
        <v>11607.655800753933</v>
      </c>
      <c r="AL6" s="514">
        <f>SUMIF(AJ15:AJ380,"FAUX",Wh_s)</f>
        <v>8383.6600902967675</v>
      </c>
      <c r="AM6" s="514">
        <f>SUMIF(AK15:AK380,"FAUX",Wh_s)</f>
        <v>11219.936144967403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3079.2438340728672</v>
      </c>
      <c r="AK7" s="514">
        <f>SUMIF(AK15:AK380,"VRAI",Wh_sa)</f>
        <v>0</v>
      </c>
      <c r="AL7" s="514">
        <f>SUMIF(AJ15:AJ380,"VRAI",Wh_pvt_s)</f>
        <v>2919.7883541512674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6" t="s">
        <v>102</v>
      </c>
      <c r="Y8" s="1277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8895.320441814818</v>
      </c>
      <c r="AK8" s="514">
        <f>SUMIF(AK15:AK380,"FAUX",Wh_sa)</f>
        <v>12244.328717814407</v>
      </c>
      <c r="AL8" s="514">
        <f>SUMIF(AJ15:AJ380,"FAUX",Wh_pvt_s)</f>
        <v>8654.9818995217811</v>
      </c>
      <c r="AM8" s="514">
        <f>SUMIF(AK15:AK380,"FAUX",Wh_sa_s)</f>
        <v>12244.328717814407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11974.564275887691</v>
      </c>
      <c r="E9" s="184">
        <f>SUM(E$15:E$380)</f>
        <v>12244.328717814407</v>
      </c>
      <c r="F9" s="184">
        <f>SUM(F$15:F$380)</f>
        <v>12255.163196378377</v>
      </c>
      <c r="H9" s="1280">
        <f>+SUM(Wh)</f>
        <v>11607.655800753933</v>
      </c>
      <c r="I9" s="1281"/>
      <c r="J9" s="1282"/>
      <c r="K9" s="191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4">
        <f>+SUM(Wh_s)</f>
        <v>11219.936144967403</v>
      </c>
      <c r="Y9" s="1275"/>
      <c r="Z9" s="514">
        <f>SUM(Z$15:Z$380)</f>
        <v>11574.770253673054</v>
      </c>
      <c r="AA9" s="514">
        <f>SUM(AA$15:AA$380)</f>
        <v>12244.328717814407</v>
      </c>
      <c r="AB9" s="514">
        <f>F9</f>
        <v>12255.163196378377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3184.5866774838314</v>
      </c>
      <c r="AK9" s="514">
        <f>SUMIF(AK15:AK380,"VRAI",Wh_hp)</f>
        <v>0</v>
      </c>
      <c r="AL9" s="514">
        <f>SUMIF(AJ15:AJ380,"VRAI",Wh_sa_s)</f>
        <v>3184.5866774838314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8.0000000000000002E-3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3.6209984050359023E-2</v>
      </c>
      <c r="AD10" s="426"/>
      <c r="AE10" s="426"/>
      <c r="AF10" s="259"/>
      <c r="AG10" s="260"/>
      <c r="AH10" s="261"/>
      <c r="AI10" s="471"/>
      <c r="AJ10" s="514">
        <f>SUMIF(AJ15:AJ380,"FAUX",Wh_sa)</f>
        <v>9059.7420403305623</v>
      </c>
      <c r="AK10" s="514">
        <f>SUMIF(AK15:AK380,"FAUX",Wh_hp)</f>
        <v>12255.163196378377</v>
      </c>
      <c r="AL10" s="514">
        <f>SUMIF(AJ15:AJ380,"FAUX",Wh_sa_s)</f>
        <v>9059.7420403305623</v>
      </c>
      <c r="AM10" s="514">
        <f>SUMIF(AK15:AK380,"FAUX",Wh_hp)</f>
        <v>12255.163196378377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366.90847513375775</v>
      </c>
      <c r="E11" s="51">
        <f>(E$9-D$9)*Prod_an/D$9</f>
        <v>261.49868312729609</v>
      </c>
      <c r="F11" s="186">
        <f>(F$9-E$9)*Prod_an/E$9</f>
        <v>10.271114150033224</v>
      </c>
      <c r="G11" s="185" t="s">
        <v>6</v>
      </c>
      <c r="K11" s="194"/>
      <c r="L11" s="211">
        <f>Tvie_2023</f>
        <v>43481</v>
      </c>
      <c r="M11" s="831"/>
      <c r="N11" s="831"/>
      <c r="O11" s="202">
        <f>IF(An_Tnet,Salim_2023,'2022'!Salim)</f>
        <v>0.10999999999999999</v>
      </c>
      <c r="P11" s="255">
        <f>Ttai_2023</f>
        <v>43466</v>
      </c>
      <c r="Q11" s="271">
        <f>Dens_2023</f>
        <v>0.6</v>
      </c>
      <c r="R11" s="276"/>
      <c r="S11" s="229"/>
      <c r="T11" s="229"/>
      <c r="U11" s="265">
        <f>Htf_2023</f>
        <v>0.99911222766525076</v>
      </c>
      <c r="V11" s="19"/>
      <c r="W11" s="824"/>
      <c r="X11" s="234" t="s">
        <v>43</v>
      </c>
      <c r="Y11" s="50">
        <f>Z$9-Prod_an_s</f>
        <v>354.83410870565058</v>
      </c>
      <c r="Z11" s="51">
        <f>(AA$9-Z$9)*Prod_an_s/Z$9</f>
        <v>649.03259834505138</v>
      </c>
      <c r="AA11" s="186">
        <f>(AB$9-AA$9)*Prod_an_s/AA$9</f>
        <v>9.9280377432934248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102.32995622483148</v>
      </c>
      <c r="AK11" s="822">
        <f>IF($AK7=0,0,($AK9-$AK7)*$AK5/$AK7)</f>
        <v>0</v>
      </c>
      <c r="AL11" s="821">
        <f>IF($AL7=0,0,($AL9-$AL7)*$AL5/$AL7)</f>
        <v>257.22451516640791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Pspv_2023</f>
        <v>0</v>
      </c>
      <c r="M12" s="212"/>
      <c r="N12" s="212"/>
      <c r="O12" s="205">
        <f>IF(An_Tnet,Tau_2023*365,'2022'!Tau_j)</f>
        <v>973.33333333333326</v>
      </c>
      <c r="P12" s="280">
        <f>INDEX(Croivg,MIN(MAX(Ttai-$A$15,0)+1,366))</f>
        <v>2.3909964587625958E-6</v>
      </c>
      <c r="Q12" s="279">
        <f>'2022'!Df</f>
        <v>0.6</v>
      </c>
      <c r="R12" s="277"/>
      <c r="S12" s="278"/>
      <c r="T12" s="278"/>
      <c r="U12" s="266">
        <f>'2022'!Hdf</f>
        <v>0.49911222766525076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0.6</v>
      </c>
      <c r="AF12" s="203"/>
      <c r="AG12" s="203"/>
      <c r="AH12" s="203"/>
      <c r="AI12" s="296">
        <f>'2022'!Hdf_s</f>
        <v>0.49911222766525076</v>
      </c>
      <c r="AJ12" s="821">
        <f>IF($AJ8=0,0,($AJ10-$AJ8)*$AJ6/$AJ8)</f>
        <v>159.26750981206899</v>
      </c>
      <c r="AK12" s="822">
        <f>IF($AK8=0,0,($AK10-$AK8)*$AK6/$AK8)</f>
        <v>10.271114150033224</v>
      </c>
      <c r="AL12" s="821">
        <f>IF($AL8=0,0,($AL10-$AL8)*$AL6/$AL8)</f>
        <v>392.07146566406743</v>
      </c>
      <c r="AM12" s="822">
        <f>IF($AM8=0,0,($AM10-$AM8)*$AM6/$AM8)</f>
        <v>9.9280377432934248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261.59746603690047</v>
      </c>
      <c r="AK13" s="73">
        <f>+AK11+AK12</f>
        <v>10.271114150033224</v>
      </c>
      <c r="AL13" s="73">
        <f>+AL11+AL12</f>
        <v>649.2959808304754</v>
      </c>
      <c r="AM13" s="73">
        <f>+AM11+AM12</f>
        <v>9.9280377432934248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408">
        <f>'2022'!Wh/'2022'!Env_an*'2023'!Env_an</f>
        <v>23.917056750128953</v>
      </c>
      <c r="C15" s="829"/>
      <c r="D15" s="391">
        <f t="shared" ref="D15:D78" si="0">Wh/(1-Ppv)</f>
        <v>24.589128186540595</v>
      </c>
      <c r="E15" s="398">
        <f t="shared" ref="E15:E79" si="1">Wh_pvt/(1-Psa)</f>
        <v>25.309776594179713</v>
      </c>
      <c r="F15" s="398">
        <f t="shared" ref="F15:F78" si="2">Wh_sa/(1-Pvg*MEDIAN((-Sdif+Wh/Env_an)/Csdif,0,1))</f>
        <v>25.454097031999812</v>
      </c>
      <c r="G15" s="123">
        <f>+Wh_hp/MaxiM</f>
        <v>1.0174061864224482</v>
      </c>
      <c r="H15" s="412" t="b">
        <f>Wh_hp&gt;='2022'!Maxi_hp</f>
        <v>1</v>
      </c>
      <c r="I15" s="378">
        <f>IF(H15,Wh_hp,'2022'!Maxi_hp)</f>
        <v>25.454097031999812</v>
      </c>
      <c r="J15" s="84">
        <f>IF(H15,An,'2022'!An_max)</f>
        <v>2023</v>
      </c>
      <c r="K15" s="197">
        <f t="shared" ref="K15:K78" si="3">t</f>
        <v>44927</v>
      </c>
      <c r="L15" s="146">
        <f>IF(t&lt;Tvie,1-EXP((T0-t)*PertePVj)+'2022'!Pspv,1-EXP((T0-t)*PertePVj)+Pspv)</f>
        <v>2.7332056318268183E-2</v>
      </c>
      <c r="M15" s="832"/>
      <c r="N15" s="832"/>
      <c r="O15" s="48">
        <f>IF(t&lt;Tnet,'2022'!Resal+('2022'!Salim-'2022'!Resal)*(1-EXP(('2022'!Tnet-t)/('2022'!Tau_j))),Resal+(Salim-Resal)*(1-EXP((Tnet-t)/(Tau_j))))*Salcycl</f>
        <v>2.8473124010301942E-2</v>
      </c>
      <c r="P15" s="337">
        <f>(INDEX(Models!$BJ15:$BT15,,T15)*(1-R15)+INDEX(Models!$BJ15:$BT15,,T15+1)*R15-ERP_i)*Q15*Ramure*Pc/MaxiM</f>
        <v>5.6698313689409405E-3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0.49911342316348012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0.49911342316348012</v>
      </c>
      <c r="V15" s="381">
        <f t="shared" ref="V15:V78" si="8">MaxiM*(1-Ppv)*(1-Pvg)*(1-Psa)</f>
        <v>23.507874307536497</v>
      </c>
      <c r="W15" s="400">
        <f t="shared" ref="W15:W78" si="9">Wh*(A15&gt;Tmaj)</f>
        <v>23.917056750128953</v>
      </c>
      <c r="X15" s="156">
        <f t="shared" ref="X15:X78" si="10">t</f>
        <v>44927</v>
      </c>
      <c r="Y15" s="383">
        <f t="shared" ref="Y15:Y78" si="11">Wh_pvt_s*(1-Ppv)</f>
        <v>22.56706220615116</v>
      </c>
      <c r="Z15" s="383">
        <f>Wh_sa_s*(1-Psa_s)</f>
        <v>23.201198674987239</v>
      </c>
      <c r="AA15" s="384">
        <f t="shared" ref="AA15:AA78" si="12">Wh_hp*(1-Pvg_s*MEDIAN((-Sdif+Wh/Env_an)/Csdif,0,1))</f>
        <v>25.309776594179713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8.3310807242659185E-2</v>
      </c>
      <c r="AD15" s="230">
        <f>(INDEX(Models!$BJ15:$BT15,,AH15)*(1-AF15)+INDEX(Models!$BJ15:$BT15,,AH15+1)*AF15-ERP_i)*AE15*Ramure*Pc/MaxiM</f>
        <v>5.6698313689409405E-3</v>
      </c>
      <c r="AE15" s="302">
        <f t="shared" ref="AE15:AE78" si="14">IF(OR(t&lt;Ttai,Notai),Dd_s+PousD*Croivg,Dens_s+PousD*(Croivg-Croi_tai))</f>
        <v>0.6</v>
      </c>
      <c r="AF15" s="303">
        <f>(Hp_vg_s-AG15)/(INDEX(Echel_vg,AH15+1)-AG15)</f>
        <v>0.49911342316348012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0.49911342316348012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409">
        <f>'2022'!Wh/'2022'!Env_an*'2023'!Env_an</f>
        <v>16.494976642899317</v>
      </c>
      <c r="C16" s="829"/>
      <c r="D16" s="391">
        <f t="shared" si="0"/>
        <v>16.958811975425348</v>
      </c>
      <c r="E16" s="383">
        <f t="shared" si="1"/>
        <v>17.457082172350184</v>
      </c>
      <c r="F16" s="383">
        <f t="shared" si="2"/>
        <v>17.512337602859308</v>
      </c>
      <c r="G16" s="110">
        <f t="shared" ref="G16:G79" si="19">+Wh_hp/MaxiM</f>
        <v>0.69563511496339081</v>
      </c>
      <c r="H16" s="412" t="b">
        <f>Wh_hp&gt;='2022'!Maxi_hp</f>
        <v>0</v>
      </c>
      <c r="I16" s="379">
        <f>IF(H16,Wh_hp,'2022'!Maxi_hp)</f>
        <v>24.084283353934023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2.7350697277507607E-2</v>
      </c>
      <c r="M16" s="832"/>
      <c r="N16" s="832"/>
      <c r="O16" s="48">
        <f>IF(t&lt;Tnet,'2022'!Resal+('2022'!Salim-'2022'!Resal)*(1-EXP(('2022'!Tnet-t)/('2022'!Tau_j))),Resal+(Salim-Resal)*(1-EXP((Tnet-t)/(Tau_j))))*Salcycl</f>
        <v>2.8542581859070978E-2</v>
      </c>
      <c r="P16" s="338">
        <f>(INDEX(Models!$BJ16:$BT16,,T16)*(1-R16)+INDEX(Models!$BJ16:$BT16,,T16+1)*R16-ERP_i)*Q16*Ramure*Pc/MaxiM</f>
        <v>5.5589428396285003E-3</v>
      </c>
      <c r="Q16" s="304">
        <f t="shared" si="4"/>
        <v>0.6</v>
      </c>
      <c r="R16" s="177">
        <f t="shared" si="5"/>
        <v>0.49914263777747436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0.49914263777747436</v>
      </c>
      <c r="V16" s="382">
        <f t="shared" si="8"/>
        <v>23.654932855369832</v>
      </c>
      <c r="W16" s="400">
        <f t="shared" si="9"/>
        <v>16.494976642899317</v>
      </c>
      <c r="X16" s="157">
        <f t="shared" si="10"/>
        <v>44928</v>
      </c>
      <c r="Y16" s="383">
        <f t="shared" si="11"/>
        <v>15.565165501356166</v>
      </c>
      <c r="Z16" s="383">
        <f t="shared" ref="Z16:Z78" si="21">Wh_sa_s*(1-Psa_s)</f>
        <v>16.002854736839389</v>
      </c>
      <c r="AA16" s="384">
        <f t="shared" si="12"/>
        <v>17.457082172350184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8.3303006834332796E-2</v>
      </c>
      <c r="AD16" s="230">
        <f>(INDEX(Models!$BJ16:$BT16,,AH16)*(1-AF16)+INDEX(Models!$BJ16:$BT16,,AH16+1)*AF16-ERP_i)*AE16*Ramure*Pc/MaxiM</f>
        <v>5.5589428396285003E-3</v>
      </c>
      <c r="AE16" s="304">
        <f>IF(OR(t&lt;Ttai,Notai),Dd_s+PousD*Croivg,Dens_s+PousD*(Croivg-Croi_tai))</f>
        <v>0.6</v>
      </c>
      <c r="AF16" s="177">
        <f t="shared" ref="AF16:AF78" si="22">(Hp_vg_s-AG16)/(INDEX(Echel_vg,AH16+1)-AG16)</f>
        <v>0.49914263777747436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0.49914263777747436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409">
        <f>'2022'!Wh/'2022'!Env_an*'2023'!Env_an</f>
        <v>17.810582584867259</v>
      </c>
      <c r="C17" s="829"/>
      <c r="D17" s="391">
        <f t="shared" si="0"/>
        <v>18.311763425221571</v>
      </c>
      <c r="E17" s="383">
        <f t="shared" si="1"/>
        <v>18.851132049378045</v>
      </c>
      <c r="F17" s="383">
        <f t="shared" si="2"/>
        <v>18.917078919131495</v>
      </c>
      <c r="G17" s="110">
        <f t="shared" si="19"/>
        <v>0.746509833490271</v>
      </c>
      <c r="H17" s="412" t="b">
        <f>Wh_hp&gt;='2022'!Maxi_hp</f>
        <v>0</v>
      </c>
      <c r="I17" s="379">
        <f>IF(H17,Wh_hp,'2022'!Maxi_hp)</f>
        <v>25.872417420672249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2.7369337879497357E-2</v>
      </c>
      <c r="M17" s="832"/>
      <c r="N17" s="832"/>
      <c r="O17" s="48">
        <f>IF(t&lt;Tnet,'2022'!Resal+('2022'!Salim-'2022'!Resal)*(1-EXP(('2022'!Tnet-t)/('2022'!Tau_j))),Resal+(Salim-Resal)*(1-EXP((Tnet-t)/(Tau_j))))*Salcycl</f>
        <v>2.8612001801465777E-2</v>
      </c>
      <c r="P17" s="338">
        <f>(INDEX(Models!$BJ17:$BT17,,T17)*(1-R17)+INDEX(Models!$BJ17:$BT17,,T17+1)*R17-ERP_i)*Q17*Ramure*Pc/MaxiM</f>
        <v>5.4472550505920364E-3</v>
      </c>
      <c r="Q17" s="304">
        <f t="shared" si="4"/>
        <v>0.6</v>
      </c>
      <c r="R17" s="177">
        <f t="shared" si="5"/>
        <v>0.49917307437296399</v>
      </c>
      <c r="S17" s="799">
        <f t="shared" si="6"/>
        <v>0</v>
      </c>
      <c r="T17" s="176">
        <f t="shared" si="7"/>
        <v>6</v>
      </c>
      <c r="U17" s="250">
        <f t="shared" si="20"/>
        <v>0.49917307437296399</v>
      </c>
      <c r="V17" s="382">
        <f t="shared" si="8"/>
        <v>23.811516364503188</v>
      </c>
      <c r="W17" s="400">
        <f t="shared" si="9"/>
        <v>17.810582584867259</v>
      </c>
      <c r="X17" s="157">
        <f t="shared" si="10"/>
        <v>44929</v>
      </c>
      <c r="Y17" s="383">
        <f t="shared" si="11"/>
        <v>16.807952135410552</v>
      </c>
      <c r="Z17" s="383">
        <f t="shared" si="21"/>
        <v>17.280919458950962</v>
      </c>
      <c r="AA17" s="384">
        <f t="shared" si="12"/>
        <v>18.851132049378045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8.3295400314109577E-2</v>
      </c>
      <c r="AD17" s="230">
        <f>(INDEX(Models!$BJ17:$BT17,,AH17)*(1-AF17)+INDEX(Models!$BJ17:$BT17,,AH17+1)*AF17-ERP_i)*AE17*Ramure*Pc/MaxiM</f>
        <v>5.4472550505920364E-3</v>
      </c>
      <c r="AE17" s="304">
        <f t="shared" si="14"/>
        <v>0.6</v>
      </c>
      <c r="AF17" s="177">
        <f>(Hp_vg_s-AG17)/(INDEX(Echel_vg,AH17+1)-AG17)</f>
        <v>0.49917307437296399</v>
      </c>
      <c r="AG17" s="799">
        <f>INDEX(Echel_vg,AH17)</f>
        <v>0</v>
      </c>
      <c r="AH17" s="176">
        <f t="shared" si="15"/>
        <v>6</v>
      </c>
      <c r="AI17" s="224">
        <f t="shared" si="24"/>
        <v>0.49917307437296399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409">
        <f>'2022'!Wh/'2022'!Env_an*'2023'!Env_an</f>
        <v>18.926006975420616</v>
      </c>
      <c r="C18" s="829"/>
      <c r="D18" s="391">
        <f t="shared" si="0"/>
        <v>19.458948223691891</v>
      </c>
      <c r="E18" s="383">
        <f t="shared" si="1"/>
        <v>20.033537685611943</v>
      </c>
      <c r="F18" s="383">
        <f t="shared" si="2"/>
        <v>20.108530809295008</v>
      </c>
      <c r="G18" s="110">
        <f t="shared" si="19"/>
        <v>0.78806347605820026</v>
      </c>
      <c r="H18" s="412" t="b">
        <f>Wh_hp&gt;='2022'!Maxi_hp</f>
        <v>0</v>
      </c>
      <c r="I18" s="379">
        <f>IF(H18,Wh_hp,'2022'!Maxi_hp)</f>
        <v>21.824345162432092</v>
      </c>
      <c r="J18" s="85">
        <f>IF(H18,An,'2022'!An_max)</f>
        <v>2021</v>
      </c>
      <c r="K18" s="197">
        <f t="shared" si="3"/>
        <v>44930</v>
      </c>
      <c r="L18" s="147">
        <f>IF(t&lt;Tvie,1-EXP((T0-t)*PertePVj)+'2022'!Pspv,1-EXP((T0-t)*PertePVj)+Pspv)</f>
        <v>2.7387978124244206E-2</v>
      </c>
      <c r="M18" s="832"/>
      <c r="N18" s="832"/>
      <c r="O18" s="48">
        <f>IF(t&lt;Tnet,'2022'!Resal+('2022'!Salim-'2022'!Resal)*(1-EXP(('2022'!Tnet-t)/('2022'!Tau_j))),Resal+(Salim-Resal)*(1-EXP((Tnet-t)/(Tau_j))))*Salcycl</f>
        <v>2.8681377744516966E-2</v>
      </c>
      <c r="P18" s="338">
        <f>(INDEX(Models!$BJ18:$BT18,,T18)*(1-R18)+INDEX(Models!$BJ18:$BT18,,T18+1)*R18-ERP_i)*Q18*Ramure*Pc/MaxiM</f>
        <v>5.3349749034915291E-3</v>
      </c>
      <c r="Q18" s="304">
        <f t="shared" si="4"/>
        <v>0.6</v>
      </c>
      <c r="R18" s="177">
        <f t="shared" si="5"/>
        <v>0.4992047839042591</v>
      </c>
      <c r="S18" s="799">
        <f t="shared" si="6"/>
        <v>0</v>
      </c>
      <c r="T18" s="176">
        <f t="shared" si="7"/>
        <v>6</v>
      </c>
      <c r="U18" s="250">
        <f t="shared" si="20"/>
        <v>0.4992047839042591</v>
      </c>
      <c r="V18" s="382">
        <f t="shared" si="8"/>
        <v>23.97713766166078</v>
      </c>
      <c r="W18" s="400">
        <f t="shared" si="9"/>
        <v>18.926006975420616</v>
      </c>
      <c r="X18" s="157">
        <f t="shared" si="10"/>
        <v>44930</v>
      </c>
      <c r="Y18" s="383">
        <f t="shared" si="11"/>
        <v>17.862005228445163</v>
      </c>
      <c r="Z18" s="383">
        <f>Wh_sa_s*(1-Psa_s)</f>
        <v>18.364985036887511</v>
      </c>
      <c r="AA18" s="384">
        <f t="shared" si="12"/>
        <v>20.033537685611943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8.3287968151665309E-2</v>
      </c>
      <c r="AD18" s="230">
        <f>(INDEX(Models!$BJ18:$BT18,,AH18)*(1-AF18)+INDEX(Models!$BJ18:$BT18,,AH18+1)*AF18-ERP_i)*AE18*Ramure*Pc/MaxiM</f>
        <v>5.3349749034915291E-3</v>
      </c>
      <c r="AE18" s="304">
        <f t="shared" si="14"/>
        <v>0.6</v>
      </c>
      <c r="AF18" s="177">
        <f t="shared" si="22"/>
        <v>0.4992047839042591</v>
      </c>
      <c r="AG18" s="799">
        <f t="shared" si="23"/>
        <v>0</v>
      </c>
      <c r="AH18" s="176">
        <f t="shared" si="15"/>
        <v>6</v>
      </c>
      <c r="AI18" s="224">
        <f t="shared" si="24"/>
        <v>0.4992047839042591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409">
        <f>'2022'!Wh/'2022'!Env_an*'2023'!Env_an</f>
        <v>14.966730069077949</v>
      </c>
      <c r="C19" s="829"/>
      <c r="D19" s="391">
        <f t="shared" si="0"/>
        <v>15.388476156892914</v>
      </c>
      <c r="E19" s="383">
        <f t="shared" si="1"/>
        <v>15.844002385938802</v>
      </c>
      <c r="F19" s="383">
        <f t="shared" si="2"/>
        <v>15.881883060910752</v>
      </c>
      <c r="G19" s="110">
        <f t="shared" si="19"/>
        <v>0.61794436443924461</v>
      </c>
      <c r="H19" s="412" t="b">
        <f>Wh_hp&gt;='2022'!Maxi_hp</f>
        <v>0</v>
      </c>
      <c r="I19" s="379">
        <f>IF(H19,Wh_hp,'2022'!Maxi_hp)</f>
        <v>15.89891096179743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2.7406618011755035E-2</v>
      </c>
      <c r="M19" s="832"/>
      <c r="N19" s="832"/>
      <c r="O19" s="48">
        <f>IF(t&lt;Tnet,'2022'!Resal+('2022'!Salim-'2022'!Resal)*(1-EXP(('2022'!Tnet-t)/('2022'!Tau_j))),Resal+(Salim-Resal)*(1-EXP((Tnet-t)/(Tau_j))))*Salcycl</f>
        <v>2.875070439588915E-2</v>
      </c>
      <c r="P19" s="338">
        <f>(INDEX(Models!$BJ19:$BT19,,T19)*(1-R19)+INDEX(Models!$BJ19:$BT19,,T19+1)*R19-ERP_i)*Q19*Ramure*Pc/MaxiM</f>
        <v>5.2223012698353445E-3</v>
      </c>
      <c r="Q19" s="304">
        <f t="shared" si="4"/>
        <v>0.6</v>
      </c>
      <c r="R19" s="177">
        <f t="shared" si="5"/>
        <v>0.49923781943682077</v>
      </c>
      <c r="S19" s="799">
        <f t="shared" si="6"/>
        <v>0</v>
      </c>
      <c r="T19" s="176">
        <f t="shared" si="7"/>
        <v>6</v>
      </c>
      <c r="U19" s="250">
        <f t="shared" si="20"/>
        <v>0.49923781943682077</v>
      </c>
      <c r="V19" s="382">
        <f t="shared" si="8"/>
        <v>24.151309615743759</v>
      </c>
      <c r="W19" s="400">
        <f t="shared" si="9"/>
        <v>14.966730069077949</v>
      </c>
      <c r="X19" s="157">
        <f t="shared" si="10"/>
        <v>44931</v>
      </c>
      <c r="Y19" s="383">
        <f t="shared" si="11"/>
        <v>14.126435379736732</v>
      </c>
      <c r="Z19" s="383">
        <f t="shared" si="21"/>
        <v>14.524502882035309</v>
      </c>
      <c r="AA19" s="384">
        <f t="shared" si="12"/>
        <v>15.844002385938802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8.3280693335070419E-2</v>
      </c>
      <c r="AD19" s="230">
        <f>(INDEX(Models!$BJ19:$BT19,,AH19)*(1-AF19)+INDEX(Models!$BJ19:$BT19,,AH19+1)*AF19-ERP_i)*AE19*Ramure*Pc/MaxiM</f>
        <v>5.2223012698353445E-3</v>
      </c>
      <c r="AE19" s="304">
        <f t="shared" si="14"/>
        <v>0.6</v>
      </c>
      <c r="AF19" s="177">
        <f t="shared" si="22"/>
        <v>0.49923781943682077</v>
      </c>
      <c r="AG19" s="799">
        <f t="shared" si="23"/>
        <v>0</v>
      </c>
      <c r="AH19" s="176">
        <f t="shared" si="15"/>
        <v>6</v>
      </c>
      <c r="AI19" s="224">
        <f t="shared" si="24"/>
        <v>0.49923781943682077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409">
        <f>'2022'!Wh/'2022'!Env_an*'2023'!Env_an</f>
        <v>21.477385701229135</v>
      </c>
      <c r="C20" s="829"/>
      <c r="D20" s="391">
        <f t="shared" si="0"/>
        <v>22.083018161616952</v>
      </c>
      <c r="E20" s="383">
        <f t="shared" si="1"/>
        <v>22.738336502234795</v>
      </c>
      <c r="F20" s="383">
        <f t="shared" si="2"/>
        <v>22.835448364524826</v>
      </c>
      <c r="G20" s="110">
        <f t="shared" si="19"/>
        <v>0.88186519385891682</v>
      </c>
      <c r="H20" s="412" t="b">
        <f>Wh_hp&gt;='2022'!Maxi_hp</f>
        <v>0</v>
      </c>
      <c r="I20" s="379">
        <f>IF(H20,Wh_hp,'2022'!Maxi_hp)</f>
        <v>25.97684931198668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2.7425257542036618E-2</v>
      </c>
      <c r="M20" s="832"/>
      <c r="N20" s="832"/>
      <c r="O20" s="48">
        <f>IF(t&lt;Tnet,'2022'!Resal+('2022'!Salim-'2022'!Resal)*(1-EXP(('2022'!Tnet-t)/('2022'!Tau_j))),Resal+(Salim-Resal)*(1-EXP((Tnet-t)/(Tau_j))))*Salcycl</f>
        <v>2.8819977246507686E-2</v>
      </c>
      <c r="P20" s="338">
        <f>(INDEX(Models!$BJ20:$BT20,,T20)*(1-R20)+INDEX(Models!$BJ20:$BT20,,T20+1)*R20-ERP_i)*Q20*Ramure*Pc/MaxiM</f>
        <v>5.1094241535032531E-3</v>
      </c>
      <c r="Q20" s="304">
        <f t="shared" si="4"/>
        <v>0.6</v>
      </c>
      <c r="R20" s="177">
        <f t="shared" si="5"/>
        <v>0.49927223623357148</v>
      </c>
      <c r="S20" s="799">
        <f t="shared" si="6"/>
        <v>0</v>
      </c>
      <c r="T20" s="176">
        <f t="shared" si="7"/>
        <v>6</v>
      </c>
      <c r="U20" s="250">
        <f t="shared" si="20"/>
        <v>0.49927223623357148</v>
      </c>
      <c r="V20" s="382">
        <f t="shared" si="8"/>
        <v>24.333545134976326</v>
      </c>
      <c r="W20" s="400">
        <f t="shared" si="9"/>
        <v>21.477385701229135</v>
      </c>
      <c r="X20" s="157">
        <f t="shared" si="10"/>
        <v>44932</v>
      </c>
      <c r="Y20" s="383">
        <f t="shared" si="11"/>
        <v>20.273159296354098</v>
      </c>
      <c r="Z20" s="383">
        <f t="shared" si="21"/>
        <v>20.844834243914519</v>
      </c>
      <c r="AA20" s="384">
        <f t="shared" si="12"/>
        <v>22.738336502234795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8.3273561288627021E-2</v>
      </c>
      <c r="AD20" s="230">
        <f>(INDEX(Models!$BJ20:$BT20,,AH20)*(1-AF20)+INDEX(Models!$BJ20:$BT20,,AH20+1)*AF20-ERP_i)*AE20*Ramure*Pc/MaxiM</f>
        <v>5.1094241535032531E-3</v>
      </c>
      <c r="AE20" s="304">
        <f t="shared" si="14"/>
        <v>0.6</v>
      </c>
      <c r="AF20" s="177">
        <f t="shared" si="22"/>
        <v>0.49927223623357148</v>
      </c>
      <c r="AG20" s="799">
        <f t="shared" si="23"/>
        <v>0</v>
      </c>
      <c r="AH20" s="176">
        <f t="shared" si="15"/>
        <v>6</v>
      </c>
      <c r="AI20" s="224">
        <f t="shared" si="24"/>
        <v>0.49927223623357148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409">
        <f>'2022'!Wh/'2022'!Env_an*'2023'!Env_an</f>
        <v>10.531908246351188</v>
      </c>
      <c r="C21" s="829"/>
      <c r="D21" s="391">
        <f t="shared" si="0"/>
        <v>10.829100975027178</v>
      </c>
      <c r="E21" s="383">
        <f t="shared" si="1"/>
        <v>11.151251630514173</v>
      </c>
      <c r="F21" s="383">
        <f t="shared" si="2"/>
        <v>11.161566063241999</v>
      </c>
      <c r="G21" s="110">
        <f t="shared" si="19"/>
        <v>0.42771379663808673</v>
      </c>
      <c r="H21" s="412" t="b">
        <f>Wh_hp&gt;='2022'!Maxi_hp</f>
        <v>0</v>
      </c>
      <c r="I21" s="379">
        <f>IF(H21,Wh_hp,'2022'!Maxi_hp)</f>
        <v>15.082360291680677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2.7443896715095839E-2</v>
      </c>
      <c r="M21" s="832"/>
      <c r="N21" s="832"/>
      <c r="O21" s="48">
        <f>IF(t&lt;Tnet,'2022'!Resal+('2022'!Salim-'2022'!Resal)*(1-EXP(('2022'!Tnet-t)/('2022'!Tau_j))),Resal+(Salim-Resal)*(1-EXP((Tnet-t)/(Tau_j))))*Salcycl</f>
        <v>2.8889192546374388E-2</v>
      </c>
      <c r="P21" s="338">
        <f>(INDEX(Models!$BJ21:$BT21,,T21)*(1-R21)+INDEX(Models!$BJ21:$BT21,,T21+1)*R21-ERP_i)*Q21*Ramure*Pc/MaxiM</f>
        <v>4.9965239914023718E-3</v>
      </c>
      <c r="Q21" s="304">
        <f t="shared" si="4"/>
        <v>0.6</v>
      </c>
      <c r="R21" s="177">
        <f t="shared" si="5"/>
        <v>0.49930809184463465</v>
      </c>
      <c r="S21" s="799">
        <f t="shared" si="6"/>
        <v>0</v>
      </c>
      <c r="T21" s="176">
        <f t="shared" si="7"/>
        <v>6</v>
      </c>
      <c r="U21" s="250">
        <f t="shared" si="20"/>
        <v>0.49930809184463465</v>
      </c>
      <c r="V21" s="382">
        <f t="shared" si="8"/>
        <v>24.523357182018902</v>
      </c>
      <c r="W21" s="400">
        <f t="shared" si="9"/>
        <v>10.531908246351188</v>
      </c>
      <c r="X21" s="157">
        <f t="shared" si="10"/>
        <v>44933</v>
      </c>
      <c r="Y21" s="383">
        <f t="shared" si="11"/>
        <v>9.9421738536256949</v>
      </c>
      <c r="Z21" s="383">
        <f t="shared" si="21"/>
        <v>10.2227252700847</v>
      </c>
      <c r="AA21" s="384">
        <f t="shared" si="12"/>
        <v>11.151251630514173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8.3266559772417134E-2</v>
      </c>
      <c r="AD21" s="230">
        <f>(INDEX(Models!$BJ21:$BT21,,AH21)*(1-AF21)+INDEX(Models!$BJ21:$BT21,,AH21+1)*AF21-ERP_i)*AE21*Ramure*Pc/MaxiM</f>
        <v>4.9965239914023718E-3</v>
      </c>
      <c r="AE21" s="304">
        <f t="shared" si="14"/>
        <v>0.6</v>
      </c>
      <c r="AF21" s="177">
        <f t="shared" si="22"/>
        <v>0.49930809184463465</v>
      </c>
      <c r="AG21" s="799">
        <f t="shared" si="23"/>
        <v>0</v>
      </c>
      <c r="AH21" s="176">
        <f t="shared" si="15"/>
        <v>6</v>
      </c>
      <c r="AI21" s="224">
        <f t="shared" si="24"/>
        <v>0.49930809184463465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409">
        <f>'2022'!Wh/'2022'!Env_an*'2023'!Env_an</f>
        <v>7.4954371974962779</v>
      </c>
      <c r="C22" s="829"/>
      <c r="D22" s="391">
        <f t="shared" si="0"/>
        <v>7.7070935273308763</v>
      </c>
      <c r="E22" s="383">
        <f t="shared" si="1"/>
        <v>7.9369340189423943</v>
      </c>
      <c r="F22" s="383">
        <f t="shared" si="2"/>
        <v>7.9371117920277543</v>
      </c>
      <c r="G22" s="110">
        <f t="shared" si="19"/>
        <v>0.30173625316444053</v>
      </c>
      <c r="H22" s="412" t="b">
        <f>Wh_hp&gt;='2022'!Maxi_hp</f>
        <v>0</v>
      </c>
      <c r="I22" s="379">
        <f>IF(H22,Wh_hp,'2022'!Maxi_hp)</f>
        <v>20.347217475948305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2.746253553093958E-2</v>
      </c>
      <c r="M22" s="832"/>
      <c r="N22" s="832"/>
      <c r="O22" s="48">
        <f>IF(t&lt;Tnet,'2022'!Resal+('2022'!Salim-'2022'!Resal)*(1-EXP(('2022'!Tnet-t)/('2022'!Tau_j))),Resal+(Salim-Resal)*(1-EXP((Tnet-t)/(Tau_j))))*Salcycl</f>
        <v>2.8958347274020135E-2</v>
      </c>
      <c r="P22" s="338">
        <f>(INDEX(Models!$BJ22:$BT22,,T22)*(1-R22)+INDEX(Models!$BJ22:$BT22,,T22+1)*R22-ERP_i)*Q22*Ramure*Pc/MaxiM</f>
        <v>4.8837710930142528E-3</v>
      </c>
      <c r="Q22" s="304">
        <f t="shared" si="4"/>
        <v>0.6</v>
      </c>
      <c r="R22" s="177">
        <f t="shared" si="5"/>
        <v>0.49934544620063182</v>
      </c>
      <c r="S22" s="799">
        <f t="shared" si="6"/>
        <v>0</v>
      </c>
      <c r="T22" s="176">
        <f t="shared" si="7"/>
        <v>6</v>
      </c>
      <c r="U22" s="250">
        <f t="shared" si="20"/>
        <v>0.49934544620063182</v>
      </c>
      <c r="V22" s="382">
        <f t="shared" si="8"/>
        <v>24.720258782945724</v>
      </c>
      <c r="W22" s="400">
        <f t="shared" si="9"/>
        <v>7.4954371974962779</v>
      </c>
      <c r="X22" s="157">
        <f t="shared" si="10"/>
        <v>44934</v>
      </c>
      <c r="Y22" s="383">
        <f t="shared" si="11"/>
        <v>7.0762870829881388</v>
      </c>
      <c r="Z22" s="383">
        <f t="shared" si="21"/>
        <v>7.276107442144979</v>
      </c>
      <c r="AA22" s="384">
        <f t="shared" si="12"/>
        <v>7.9369340189423943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8.3259678765160203E-2</v>
      </c>
      <c r="AD22" s="230">
        <f>(INDEX(Models!$BJ22:$BT22,,AH22)*(1-AF22)+INDEX(Models!$BJ22:$BT22,,AH22+1)*AF22-ERP_i)*AE22*Ramure*Pc/MaxiM</f>
        <v>4.8837710930142528E-3</v>
      </c>
      <c r="AE22" s="304">
        <f t="shared" si="14"/>
        <v>0.6</v>
      </c>
      <c r="AF22" s="177">
        <f t="shared" si="22"/>
        <v>0.49934544620063182</v>
      </c>
      <c r="AG22" s="799">
        <f t="shared" si="23"/>
        <v>0</v>
      </c>
      <c r="AH22" s="176">
        <f t="shared" si="15"/>
        <v>6</v>
      </c>
      <c r="AI22" s="224">
        <f t="shared" si="24"/>
        <v>0.49934544620063182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409">
        <f>'2022'!Wh/'2022'!Env_an*'2023'!Env_an</f>
        <v>2.2377467111651441</v>
      </c>
      <c r="C23" s="829"/>
      <c r="D23" s="391">
        <f t="shared" si="0"/>
        <v>2.300980352581016</v>
      </c>
      <c r="E23" s="383">
        <f t="shared" si="1"/>
        <v>2.3697686682808499</v>
      </c>
      <c r="F23" s="383">
        <f t="shared" si="2"/>
        <v>2.3697686682808499</v>
      </c>
      <c r="G23" s="110">
        <f t="shared" si="19"/>
        <v>8.9344459737401197E-2</v>
      </c>
      <c r="H23" s="412" t="b">
        <f>Wh_hp&gt;='2022'!Maxi_hp</f>
        <v>0</v>
      </c>
      <c r="I23" s="379">
        <f>IF(H23,Wh_hp,'2022'!Maxi_hp)</f>
        <v>25.649292652260151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2.7481173989574725E-2</v>
      </c>
      <c r="M23" s="832"/>
      <c r="N23" s="832"/>
      <c r="O23" s="48">
        <f>IF(t&lt;Tnet,'2022'!Resal+('2022'!Salim-'2022'!Resal)*(1-EXP(('2022'!Tnet-t)/('2022'!Tau_j))),Resal+(Salim-Resal)*(1-EXP((Tnet-t)/(Tau_j))))*Salcycl</f>
        <v>2.9027439100094331E-2</v>
      </c>
      <c r="P23" s="338">
        <f>(INDEX(Models!$BJ23:$BT23,,T23)*(1-R23)+INDEX(Models!$BJ23:$BT23,,T23+1)*R23-ERP_i)*Q23*Ramure*Pc/MaxiM</f>
        <v>4.7707477196017971E-3</v>
      </c>
      <c r="Q23" s="304">
        <f t="shared" si="4"/>
        <v>0.6</v>
      </c>
      <c r="R23" s="177">
        <f t="shared" si="5"/>
        <v>0.49938436170966694</v>
      </c>
      <c r="S23" s="799">
        <f t="shared" si="6"/>
        <v>0</v>
      </c>
      <c r="T23" s="176">
        <f t="shared" si="7"/>
        <v>6</v>
      </c>
      <c r="U23" s="250">
        <f t="shared" si="20"/>
        <v>0.49938436170966694</v>
      </c>
      <c r="V23" s="382">
        <f t="shared" si="8"/>
        <v>24.926794483861144</v>
      </c>
      <c r="W23" s="400">
        <f t="shared" si="9"/>
        <v>2.2377467111651441</v>
      </c>
      <c r="X23" s="157">
        <f t="shared" si="10"/>
        <v>44935</v>
      </c>
      <c r="Y23" s="383">
        <f t="shared" si="11"/>
        <v>2.1127762693657091</v>
      </c>
      <c r="Z23" s="383">
        <f t="shared" si="21"/>
        <v>2.1724785298326559</v>
      </c>
      <c r="AA23" s="384">
        <f t="shared" si="12"/>
        <v>2.3697686682808499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8.3252910332095018E-2</v>
      </c>
      <c r="AD23" s="230">
        <f>(INDEX(Models!$BJ23:$BT23,,AH23)*(1-AF23)+INDEX(Models!$BJ23:$BT23,,AH23+1)*AF23-ERP_i)*AE23*Ramure*Pc/MaxiM</f>
        <v>4.7707477196017971E-3</v>
      </c>
      <c r="AE23" s="304">
        <f t="shared" si="14"/>
        <v>0.6</v>
      </c>
      <c r="AF23" s="177">
        <f t="shared" si="22"/>
        <v>0.49938436170966694</v>
      </c>
      <c r="AG23" s="799">
        <f t="shared" si="23"/>
        <v>0</v>
      </c>
      <c r="AH23" s="176">
        <f t="shared" si="15"/>
        <v>6</v>
      </c>
      <c r="AI23" s="224">
        <f t="shared" si="24"/>
        <v>0.49938436170966694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409">
        <f>'2022'!Wh/'2022'!Env_an*'2023'!Env_an</f>
        <v>1.8351150824479727</v>
      </c>
      <c r="C24" s="829"/>
      <c r="D24" s="391">
        <f t="shared" si="0"/>
        <v>1.8870074322491601</v>
      </c>
      <c r="E24" s="383">
        <f t="shared" si="1"/>
        <v>1.9435581052493403</v>
      </c>
      <c r="F24" s="383">
        <f t="shared" si="2"/>
        <v>1.9435581052493403</v>
      </c>
      <c r="G24" s="110">
        <f t="shared" si="19"/>
        <v>7.2640568481251014E-2</v>
      </c>
      <c r="H24" s="412" t="b">
        <f>Wh_hp&gt;='2022'!Maxi_hp</f>
        <v>0</v>
      </c>
      <c r="I24" s="379">
        <f>IF(H24,Wh_hp,'2022'!Maxi_hp)</f>
        <v>9.0351524420219071</v>
      </c>
      <c r="J24" s="85">
        <f>IF(H24,An,'2022'!An_max)</f>
        <v>2020</v>
      </c>
      <c r="K24" s="197">
        <f t="shared" si="3"/>
        <v>44936</v>
      </c>
      <c r="L24" s="147">
        <f>IF(t&lt;Tvie,1-EXP((T0-t)*PertePVj)+'2022'!Pspv,1-EXP((T0-t)*PertePVj)+Pspv)</f>
        <v>2.7499812091007936E-2</v>
      </c>
      <c r="M24" s="832"/>
      <c r="N24" s="832"/>
      <c r="O24" s="48">
        <f>IF(t&lt;Tnet,'2022'!Resal+('2022'!Salim-'2022'!Resal)*(1-EXP(('2022'!Tnet-t)/('2022'!Tau_j))),Resal+(Salim-Resal)*(1-EXP((Tnet-t)/(Tau_j))))*Salcycl</f>
        <v>2.9096466345638356E-2</v>
      </c>
      <c r="P24" s="338">
        <f>(INDEX(Models!$BJ24:$BT24,,T24)*(1-R24)+INDEX(Models!$BJ24:$BT24,,T24+1)*R24-ERP_i)*Q24*Ramure*Pc/MaxiM</f>
        <v>4.6611360914719721E-3</v>
      </c>
      <c r="Q24" s="304">
        <f t="shared" si="4"/>
        <v>0.6</v>
      </c>
      <c r="R24" s="177">
        <f t="shared" si="5"/>
        <v>0.4994249033581365</v>
      </c>
      <c r="S24" s="799">
        <f t="shared" si="6"/>
        <v>0</v>
      </c>
      <c r="T24" s="176">
        <f t="shared" si="7"/>
        <v>6</v>
      </c>
      <c r="U24" s="250">
        <f t="shared" si="20"/>
        <v>0.4994249033581365</v>
      </c>
      <c r="V24" s="382">
        <f t="shared" si="8"/>
        <v>25.145196403255255</v>
      </c>
      <c r="W24" s="400">
        <f t="shared" si="9"/>
        <v>1.8351150824479727</v>
      </c>
      <c r="X24" s="157">
        <f t="shared" si="10"/>
        <v>44936</v>
      </c>
      <c r="Y24" s="383">
        <f t="shared" si="11"/>
        <v>1.732766004026693</v>
      </c>
      <c r="Z24" s="383">
        <f t="shared" si="21"/>
        <v>1.7817641842850191</v>
      </c>
      <c r="AA24" s="384">
        <f t="shared" si="12"/>
        <v>1.9435581052493403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8.3246248479699789E-2</v>
      </c>
      <c r="AD24" s="230">
        <f>(INDEX(Models!$BJ24:$BT24,,AH24)*(1-AF24)+INDEX(Models!$BJ24:$BT24,,AH24+1)*AF24-ERP_i)*AE24*Ramure*Pc/MaxiM</f>
        <v>4.6611360914719721E-3</v>
      </c>
      <c r="AE24" s="304">
        <f t="shared" si="14"/>
        <v>0.6</v>
      </c>
      <c r="AF24" s="177">
        <f t="shared" si="22"/>
        <v>0.4994249033581365</v>
      </c>
      <c r="AG24" s="799">
        <f t="shared" si="23"/>
        <v>0</v>
      </c>
      <c r="AH24" s="176">
        <f t="shared" si="15"/>
        <v>6</v>
      </c>
      <c r="AI24" s="224">
        <f t="shared" si="24"/>
        <v>0.4994249033581365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409">
        <f>'2022'!Wh/'2022'!Env_an*'2023'!Env_an</f>
        <v>25.724760729643503</v>
      </c>
      <c r="C25" s="829"/>
      <c r="D25" s="391">
        <f t="shared" si="0"/>
        <v>26.452697971787046</v>
      </c>
      <c r="E25" s="383">
        <f t="shared" si="1"/>
        <v>27.247379453678079</v>
      </c>
      <c r="F25" s="383">
        <f t="shared" si="2"/>
        <v>27.372177107233071</v>
      </c>
      <c r="G25" s="110">
        <f t="shared" si="19"/>
        <v>1.0138014686256269</v>
      </c>
      <c r="H25" s="412" t="b">
        <f>Wh_hp&gt;='2022'!Maxi_hp</f>
        <v>1</v>
      </c>
      <c r="I25" s="379">
        <f>IF(H25,Wh_hp,'2022'!Maxi_hp)</f>
        <v>27.372177107233071</v>
      </c>
      <c r="J25" s="85">
        <f>IF(H25,An,'2022'!An_max)</f>
        <v>2023</v>
      </c>
      <c r="K25" s="197">
        <f t="shared" si="3"/>
        <v>44937</v>
      </c>
      <c r="L25" s="147">
        <f>IF(t&lt;Tvie,1-EXP((T0-t)*PertePVj)+'2022'!Pspv,1-EXP((T0-t)*PertePVj)+Pspv)</f>
        <v>2.7518449835246317E-2</v>
      </c>
      <c r="M25" s="832"/>
      <c r="N25" s="832"/>
      <c r="O25" s="48">
        <f>IF(t&lt;Tnet,'2022'!Resal+('2022'!Salim-'2022'!Resal)*(1-EXP(('2022'!Tnet-t)/('2022'!Tau_j))),Resal+(Salim-Resal)*(1-EXP((Tnet-t)/(Tau_j))))*Salcycl</f>
        <v>2.9165427935630723E-2</v>
      </c>
      <c r="P25" s="338">
        <f>(INDEX(Models!$BJ25:$BT25,,T25)*(1-R25)+INDEX(Models!$BJ25:$BT25,,T25+1)*R25-ERP_i)*Q25*Ramure*Pc/MaxiM</f>
        <v>4.5592885456675163E-3</v>
      </c>
      <c r="Q25" s="304">
        <f t="shared" si="4"/>
        <v>0.6</v>
      </c>
      <c r="R25" s="177">
        <f t="shared" si="5"/>
        <v>0.49946713881550248</v>
      </c>
      <c r="S25" s="799">
        <f t="shared" si="6"/>
        <v>0</v>
      </c>
      <c r="T25" s="176">
        <f t="shared" si="7"/>
        <v>6</v>
      </c>
      <c r="U25" s="250">
        <f t="shared" si="20"/>
        <v>0.49946713881550248</v>
      </c>
      <c r="V25" s="382">
        <f t="shared" si="8"/>
        <v>25.374554610300184</v>
      </c>
      <c r="W25" s="400">
        <f t="shared" si="9"/>
        <v>25.724760729643503</v>
      </c>
      <c r="X25" s="157">
        <f t="shared" si="10"/>
        <v>44937</v>
      </c>
      <c r="Y25" s="383">
        <f t="shared" si="11"/>
        <v>24.291924005943731</v>
      </c>
      <c r="Z25" s="383">
        <f t="shared" si="21"/>
        <v>24.979316061912225</v>
      </c>
      <c r="AA25" s="384">
        <f t="shared" si="12"/>
        <v>27.247379453678079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8.3239688999144884E-2</v>
      </c>
      <c r="AD25" s="230">
        <f>(INDEX(Models!$BJ25:$BT25,,AH25)*(1-AF25)+INDEX(Models!$BJ25:$BT25,,AH25+1)*AF25-ERP_i)*AE25*Ramure*Pc/MaxiM</f>
        <v>4.5592885456675163E-3</v>
      </c>
      <c r="AE25" s="304">
        <f t="shared" si="14"/>
        <v>0.6</v>
      </c>
      <c r="AF25" s="177">
        <f t="shared" si="22"/>
        <v>0.49946713881550248</v>
      </c>
      <c r="AG25" s="799">
        <f t="shared" si="23"/>
        <v>0</v>
      </c>
      <c r="AH25" s="176">
        <f t="shared" si="15"/>
        <v>6</v>
      </c>
      <c r="AI25" s="224">
        <f t="shared" si="24"/>
        <v>0.49946713881550248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409">
        <f>'2022'!Wh/'2022'!Env_an*'2023'!Env_an</f>
        <v>22.36183775760647</v>
      </c>
      <c r="C26" s="829"/>
      <c r="D26" s="391">
        <f t="shared" si="0"/>
        <v>22.995054581293005</v>
      </c>
      <c r="E26" s="383">
        <f t="shared" si="1"/>
        <v>23.687543898965401</v>
      </c>
      <c r="F26" s="383">
        <f t="shared" si="2"/>
        <v>23.774447027301729</v>
      </c>
      <c r="G26" s="110">
        <f t="shared" si="19"/>
        <v>0.87231992342741838</v>
      </c>
      <c r="H26" s="412" t="b">
        <f>Wh_hp&gt;='2022'!Maxi_hp</f>
        <v>0</v>
      </c>
      <c r="I26" s="379">
        <f>IF(H26,Wh_hp,'2022'!Maxi_hp)</f>
        <v>27.37093962937724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2.753708722229653E-2</v>
      </c>
      <c r="M26" s="832"/>
      <c r="N26" s="832"/>
      <c r="O26" s="48">
        <f>IF(t&lt;Tnet,'2022'!Resal+('2022'!Salim-'2022'!Resal)*(1-EXP(('2022'!Tnet-t)/('2022'!Tau_j))),Resal+(Salim-Resal)*(1-EXP((Tnet-t)/(Tau_j))))*Salcycl</f>
        <v>2.923432334842626E-2</v>
      </c>
      <c r="P26" s="338">
        <f>(INDEX(Models!$BJ26:$BT26,,T26)*(1-R26)+INDEX(Models!$BJ26:$BT26,,T26+1)*R26-ERP_i)*Q26*Ramure*Pc/MaxiM</f>
        <v>4.46525184342428E-3</v>
      </c>
      <c r="Q26" s="304">
        <f t="shared" si="4"/>
        <v>0.6</v>
      </c>
      <c r="R26" s="177">
        <f t="shared" si="5"/>
        <v>0.49951113854317358</v>
      </c>
      <c r="S26" s="799">
        <f t="shared" si="6"/>
        <v>0</v>
      </c>
      <c r="T26" s="176">
        <f t="shared" si="7"/>
        <v>6</v>
      </c>
      <c r="U26" s="250">
        <f t="shared" si="20"/>
        <v>0.49951113854317358</v>
      </c>
      <c r="V26" s="382">
        <f t="shared" si="8"/>
        <v>25.614065514233086</v>
      </c>
      <c r="W26" s="400">
        <f t="shared" si="9"/>
        <v>22.36183775760647</v>
      </c>
      <c r="X26" s="157">
        <f t="shared" si="10"/>
        <v>44938</v>
      </c>
      <c r="Y26" s="383">
        <f t="shared" si="11"/>
        <v>21.117959030711191</v>
      </c>
      <c r="Z26" s="383">
        <f t="shared" si="21"/>
        <v>21.715953126058775</v>
      </c>
      <c r="AA26" s="384">
        <f t="shared" si="12"/>
        <v>23.687543898965401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8.3233229300431533E-2</v>
      </c>
      <c r="AD26" s="230">
        <f>(INDEX(Models!$BJ26:$BT26,,AH26)*(1-AF26)+INDEX(Models!$BJ26:$BT26,,AH26+1)*AF26-ERP_i)*AE26*Ramure*Pc/MaxiM</f>
        <v>4.46525184342428E-3</v>
      </c>
      <c r="AE26" s="304">
        <f t="shared" si="14"/>
        <v>0.6</v>
      </c>
      <c r="AF26" s="177">
        <f t="shared" si="22"/>
        <v>0.49951113854317358</v>
      </c>
      <c r="AG26" s="799">
        <f t="shared" si="23"/>
        <v>0</v>
      </c>
      <c r="AH26" s="176">
        <f t="shared" si="15"/>
        <v>6</v>
      </c>
      <c r="AI26" s="224">
        <f t="shared" si="24"/>
        <v>0.49951113854317358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409">
        <f>'2022'!Wh/'2022'!Env_an*'2023'!Env_an</f>
        <v>5.7322661729253266</v>
      </c>
      <c r="C27" s="829"/>
      <c r="D27" s="391">
        <f t="shared" si="0"/>
        <v>5.8946988695234666</v>
      </c>
      <c r="E27" s="383">
        <f t="shared" si="1"/>
        <v>6.0726465580680582</v>
      </c>
      <c r="F27" s="383">
        <f t="shared" si="2"/>
        <v>6.0726465580680582</v>
      </c>
      <c r="G27" s="110">
        <f t="shared" si="19"/>
        <v>0.22066971050227294</v>
      </c>
      <c r="H27" s="412" t="b">
        <f>Wh_hp&gt;='2022'!Maxi_hp</f>
        <v>0</v>
      </c>
      <c r="I27" s="379">
        <f>IF(H27,Wh_hp,'2022'!Maxi_hp)</f>
        <v>16.17097757884445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2.7555724252165459E-2</v>
      </c>
      <c r="M27" s="832"/>
      <c r="N27" s="832"/>
      <c r="O27" s="48">
        <f>IF(t&lt;Tnet,'2022'!Resal+('2022'!Salim-'2022'!Resal)*(1-EXP(('2022'!Tnet-t)/('2022'!Tau_j))),Resal+(Salim-Resal)*(1-EXP((Tnet-t)/(Tau_j))))*Salcycl</f>
        <v>2.9303152561739609E-2</v>
      </c>
      <c r="P27" s="338">
        <f>(INDEX(Models!$BJ27:$BT27,,T27)*(1-R27)+INDEX(Models!$BJ27:$BT27,,T27+1)*R27-ERP_i)*Q27*Ramure*Pc/MaxiM</f>
        <v>4.3790426726891245E-3</v>
      </c>
      <c r="Q27" s="304">
        <f t="shared" si="4"/>
        <v>0.6</v>
      </c>
      <c r="R27" s="177">
        <f t="shared" si="5"/>
        <v>0.4995569759076427</v>
      </c>
      <c r="S27" s="799">
        <f t="shared" si="6"/>
        <v>0</v>
      </c>
      <c r="T27" s="176">
        <f t="shared" si="7"/>
        <v>6</v>
      </c>
      <c r="U27" s="250">
        <f t="shared" si="20"/>
        <v>0.4995569759076427</v>
      </c>
      <c r="V27" s="382">
        <f t="shared" si="8"/>
        <v>25.862925735265737</v>
      </c>
      <c r="W27" s="400">
        <f t="shared" si="9"/>
        <v>5.7322661729253266</v>
      </c>
      <c r="X27" s="157">
        <f t="shared" si="10"/>
        <v>44939</v>
      </c>
      <c r="Y27" s="383">
        <f t="shared" si="11"/>
        <v>5.4138298947895027</v>
      </c>
      <c r="Z27" s="383">
        <f t="shared" si="21"/>
        <v>5.567239203116424</v>
      </c>
      <c r="AA27" s="384">
        <f t="shared" si="12"/>
        <v>6.0726465580680582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8.3226868239211979E-2</v>
      </c>
      <c r="AD27" s="230">
        <f>(INDEX(Models!$BJ27:$BT27,,AH27)*(1-AF27)+INDEX(Models!$BJ27:$BT27,,AH27+1)*AF27-ERP_i)*AE27*Ramure*Pc/MaxiM</f>
        <v>4.3790426726891245E-3</v>
      </c>
      <c r="AE27" s="304">
        <f t="shared" si="14"/>
        <v>0.6</v>
      </c>
      <c r="AF27" s="177">
        <f t="shared" si="22"/>
        <v>0.4995569759076427</v>
      </c>
      <c r="AG27" s="799">
        <f t="shared" si="23"/>
        <v>0</v>
      </c>
      <c r="AH27" s="176">
        <f t="shared" si="15"/>
        <v>6</v>
      </c>
      <c r="AI27" s="224">
        <f t="shared" si="24"/>
        <v>0.4995569759076427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409">
        <f>'2022'!Wh/'2022'!Env_an*'2023'!Env_an</f>
        <v>27.202465410926532</v>
      </c>
      <c r="C28" s="829"/>
      <c r="D28" s="391">
        <f t="shared" si="0"/>
        <v>27.973825779417339</v>
      </c>
      <c r="E28" s="383">
        <f t="shared" si="1"/>
        <v>28.820334214951039</v>
      </c>
      <c r="F28" s="383">
        <f t="shared" si="2"/>
        <v>28.944815761904703</v>
      </c>
      <c r="G28" s="110">
        <f t="shared" si="19"/>
        <v>1.0414287719294832</v>
      </c>
      <c r="H28" s="412" t="b">
        <f>Wh_hp&gt;='2022'!Maxi_hp</f>
        <v>1</v>
      </c>
      <c r="I28" s="379">
        <f>IF(H28,Wh_hp,'2022'!Maxi_hp)</f>
        <v>28.944815761904703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2.7574360924859986E-2</v>
      </c>
      <c r="M28" s="832"/>
      <c r="N28" s="832"/>
      <c r="O28" s="48">
        <f>IF(t&lt;Tnet,'2022'!Resal+('2022'!Salim-'2022'!Resal)*(1-EXP(('2022'!Tnet-t)/('2022'!Tau_j))),Resal+(Salim-Resal)*(1-EXP((Tnet-t)/(Tau_j))))*Salcycl</f>
        <v>2.9371915995844364E-2</v>
      </c>
      <c r="P28" s="338">
        <f>(INDEX(Models!$BJ28:$BT28,,T28)*(1-R28)+INDEX(Models!$BJ28:$BT28,,T28+1)*R28-ERP_i)*Q28*Ramure*Pc/MaxiM</f>
        <v>4.3006508653441666E-3</v>
      </c>
      <c r="Q28" s="304">
        <f t="shared" si="4"/>
        <v>0.6</v>
      </c>
      <c r="R28" s="177">
        <f t="shared" si="5"/>
        <v>0.49960472729803218</v>
      </c>
      <c r="S28" s="799">
        <f t="shared" si="6"/>
        <v>0</v>
      </c>
      <c r="T28" s="176">
        <f t="shared" si="7"/>
        <v>6</v>
      </c>
      <c r="U28" s="250">
        <f t="shared" si="20"/>
        <v>0.49960472729803218</v>
      </c>
      <c r="V28" s="382">
        <f t="shared" si="8"/>
        <v>26.120332128454439</v>
      </c>
      <c r="W28" s="400">
        <f t="shared" si="9"/>
        <v>27.202465410926532</v>
      </c>
      <c r="X28" s="157">
        <f t="shared" si="10"/>
        <v>44940</v>
      </c>
      <c r="Y28" s="383">
        <f t="shared" si="11"/>
        <v>25.693321847368534</v>
      </c>
      <c r="Z28" s="383">
        <f t="shared" si="21"/>
        <v>26.421888538238338</v>
      </c>
      <c r="AA28" s="384">
        <f t="shared" si="12"/>
        <v>28.820334214951039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8.3220605938305436E-2</v>
      </c>
      <c r="AD28" s="230">
        <f>(INDEX(Models!$BJ28:$BT28,,AH28)*(1-AF28)+INDEX(Models!$BJ28:$BT28,,AH28+1)*AF28-ERP_i)*AE28*Ramure*Pc/MaxiM</f>
        <v>4.3006508653441666E-3</v>
      </c>
      <c r="AE28" s="304">
        <f t="shared" si="14"/>
        <v>0.6</v>
      </c>
      <c r="AF28" s="177">
        <f t="shared" si="22"/>
        <v>0.49960472729803218</v>
      </c>
      <c r="AG28" s="799">
        <f t="shared" si="23"/>
        <v>0</v>
      </c>
      <c r="AH28" s="176">
        <f t="shared" si="15"/>
        <v>6</v>
      </c>
      <c r="AI28" s="224">
        <f t="shared" si="24"/>
        <v>0.49960472729803218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409">
        <f>'2022'!Wh/'2022'!Env_an*'2023'!Env_an</f>
        <v>27.521499390252945</v>
      </c>
      <c r="C29" s="829"/>
      <c r="D29" s="391">
        <f t="shared" si="0"/>
        <v>28.302448781373577</v>
      </c>
      <c r="E29" s="383">
        <f t="shared" si="1"/>
        <v>29.160965524506597</v>
      </c>
      <c r="F29" s="383">
        <f t="shared" si="2"/>
        <v>29.2848416531018</v>
      </c>
      <c r="G29" s="110">
        <f t="shared" si="19"/>
        <v>1.0430546469739896</v>
      </c>
      <c r="H29" s="412" t="b">
        <f>Wh_hp&gt;='2022'!Maxi_hp</f>
        <v>1</v>
      </c>
      <c r="I29" s="379">
        <f>IF(H29,Wh_hp,'2022'!Maxi_hp)</f>
        <v>29.2848416531018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2.7592997240386885E-2</v>
      </c>
      <c r="M29" s="832"/>
      <c r="N29" s="832"/>
      <c r="O29" s="48">
        <f>IF(t&lt;Tnet,'2022'!Resal+('2022'!Salim-'2022'!Resal)*(1-EXP(('2022'!Tnet-t)/('2022'!Tau_j))),Resal+(Salim-Resal)*(1-EXP((Tnet-t)/(Tau_j))))*Salcycl</f>
        <v>2.9440614454673417E-2</v>
      </c>
      <c r="P29" s="338">
        <f>(INDEX(Models!$BJ29:$BT29,,T29)*(1-R29)+INDEX(Models!$BJ29:$BT29,,T29+1)*R29-ERP_i)*Q29*Ramure*Pc/MaxiM</f>
        <v>4.2300426296511505E-3</v>
      </c>
      <c r="Q29" s="304">
        <f t="shared" si="4"/>
        <v>0.6</v>
      </c>
      <c r="R29" s="177">
        <f t="shared" si="5"/>
        <v>0.49965447224820453</v>
      </c>
      <c r="S29" s="799">
        <f t="shared" si="6"/>
        <v>0</v>
      </c>
      <c r="T29" s="176">
        <f t="shared" si="7"/>
        <v>6</v>
      </c>
      <c r="U29" s="250">
        <f t="shared" si="20"/>
        <v>0.49965447224820453</v>
      </c>
      <c r="V29" s="382">
        <f t="shared" si="8"/>
        <v>26.385481786688441</v>
      </c>
      <c r="W29" s="400">
        <f t="shared" si="9"/>
        <v>27.521499390252945</v>
      </c>
      <c r="X29" s="157">
        <f t="shared" si="10"/>
        <v>44941</v>
      </c>
      <c r="Y29" s="383">
        <f t="shared" si="11"/>
        <v>25.996671102320576</v>
      </c>
      <c r="Z29" s="383">
        <f t="shared" si="21"/>
        <v>26.734352003373186</v>
      </c>
      <c r="AA29" s="384">
        <f t="shared" si="12"/>
        <v>29.160965524506597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8.3214443605926225E-2</v>
      </c>
      <c r="AD29" s="230">
        <f>(INDEX(Models!$BJ29:$BT29,,AH29)*(1-AF29)+INDEX(Models!$BJ29:$BT29,,AH29+1)*AF29-ERP_i)*AE29*Ramure*Pc/MaxiM</f>
        <v>4.2300426296511505E-3</v>
      </c>
      <c r="AE29" s="304">
        <f t="shared" si="14"/>
        <v>0.6</v>
      </c>
      <c r="AF29" s="177">
        <f t="shared" si="22"/>
        <v>0.49965447224820453</v>
      </c>
      <c r="AG29" s="799">
        <f t="shared" si="23"/>
        <v>0</v>
      </c>
      <c r="AH29" s="176">
        <f t="shared" si="15"/>
        <v>6</v>
      </c>
      <c r="AI29" s="224">
        <f t="shared" si="24"/>
        <v>0.49965447224820453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409">
        <f>'2022'!Wh/'2022'!Env_an*'2023'!Env_an</f>
        <v>26.92544845394956</v>
      </c>
      <c r="C30" s="829"/>
      <c r="D30" s="391">
        <f t="shared" si="0"/>
        <v>27.690014991153259</v>
      </c>
      <c r="E30" s="383">
        <f t="shared" si="1"/>
        <v>28.53197206103254</v>
      </c>
      <c r="F30" s="383">
        <f t="shared" si="2"/>
        <v>28.65123538605047</v>
      </c>
      <c r="G30" s="110">
        <f t="shared" si="19"/>
        <v>1.010044152286218</v>
      </c>
      <c r="H30" s="412" t="b">
        <f>Wh_hp&gt;='2022'!Maxi_hp</f>
        <v>1</v>
      </c>
      <c r="I30" s="379">
        <f>IF(H30,Wh_hp,'2022'!Maxi_hp)</f>
        <v>28.65123538605047</v>
      </c>
      <c r="J30" s="85">
        <f>IF(H30,An,'2022'!An_max)</f>
        <v>2023</v>
      </c>
      <c r="K30" s="197">
        <f t="shared" si="3"/>
        <v>44942</v>
      </c>
      <c r="L30" s="147">
        <f>IF(t&lt;Tvie,1-EXP((T0-t)*PertePVj)+'2022'!Pspv,1-EXP((T0-t)*PertePVj)+Pspv)</f>
        <v>2.7611633198753149E-2</v>
      </c>
      <c r="M30" s="832"/>
      <c r="N30" s="832"/>
      <c r="O30" s="48">
        <f>IF(t&lt;Tnet,'2022'!Resal+('2022'!Salim-'2022'!Resal)*(1-EXP(('2022'!Tnet-t)/('2022'!Tau_j))),Resal+(Salim-Resal)*(1-EXP((Tnet-t)/(Tau_j))))*Salcycl</f>
        <v>2.9509249065513433E-2</v>
      </c>
      <c r="P30" s="338">
        <f>(INDEX(Models!$BJ30:$BT30,,T30)*(1-R30)+INDEX(Models!$BJ30:$BT30,,T30+1)*R30-ERP_i)*Q30*Ramure*Pc/MaxiM</f>
        <v>4.1625892709671632E-3</v>
      </c>
      <c r="Q30" s="304">
        <f t="shared" si="4"/>
        <v>0.6</v>
      </c>
      <c r="R30" s="177">
        <f t="shared" si="5"/>
        <v>0.4997062935635978</v>
      </c>
      <c r="S30" s="799">
        <f t="shared" si="6"/>
        <v>0</v>
      </c>
      <c r="T30" s="176">
        <f t="shared" si="7"/>
        <v>6</v>
      </c>
      <c r="U30" s="250">
        <f t="shared" si="20"/>
        <v>0.4997062935635978</v>
      </c>
      <c r="V30" s="382">
        <f t="shared" si="8"/>
        <v>26.657694510684763</v>
      </c>
      <c r="W30" s="400">
        <f t="shared" si="9"/>
        <v>26.92544845394956</v>
      </c>
      <c r="X30" s="157">
        <f t="shared" si="10"/>
        <v>44942</v>
      </c>
      <c r="Y30" s="383">
        <f t="shared" si="11"/>
        <v>25.435611203180294</v>
      </c>
      <c r="Z30" s="383">
        <f t="shared" si="21"/>
        <v>26.157872791971865</v>
      </c>
      <c r="AA30" s="384">
        <f t="shared" si="12"/>
        <v>28.53197206103254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8.3208383352621235E-2</v>
      </c>
      <c r="AD30" s="230">
        <f>(INDEX(Models!$BJ30:$BT30,,AH30)*(1-AF30)+INDEX(Models!$BJ30:$BT30,,AH30+1)*AF30-ERP_i)*AE30*Ramure*Pc/MaxiM</f>
        <v>4.1625892709671632E-3</v>
      </c>
      <c r="AE30" s="304">
        <f t="shared" si="14"/>
        <v>0.6</v>
      </c>
      <c r="AF30" s="177">
        <f t="shared" si="22"/>
        <v>0.4997062935635978</v>
      </c>
      <c r="AG30" s="799">
        <f t="shared" si="23"/>
        <v>0</v>
      </c>
      <c r="AH30" s="176">
        <f t="shared" si="15"/>
        <v>6</v>
      </c>
      <c r="AI30" s="224">
        <f t="shared" si="24"/>
        <v>0.4997062935635978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409">
        <f>'2022'!Wh/'2022'!Env_an*'2023'!Env_an</f>
        <v>12.433190662590503</v>
      </c>
      <c r="C31" s="829"/>
      <c r="D31" s="391">
        <f t="shared" si="0"/>
        <v>12.786484671058487</v>
      </c>
      <c r="E31" s="383">
        <f t="shared" si="1"/>
        <v>13.176208201575657</v>
      </c>
      <c r="F31" s="383">
        <f t="shared" si="2"/>
        <v>13.188673712092001</v>
      </c>
      <c r="G31" s="110">
        <f t="shared" si="19"/>
        <v>0.46012296076862108</v>
      </c>
      <c r="H31" s="412" t="b">
        <f>Wh_hp&gt;='2022'!Maxi_hp</f>
        <v>0</v>
      </c>
      <c r="I31" s="379">
        <f>IF(H31,Wh_hp,'2022'!Maxi_hp)</f>
        <v>13.20492175837156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2.7630268799965441E-2</v>
      </c>
      <c r="M31" s="832"/>
      <c r="N31" s="832"/>
      <c r="O31" s="48">
        <f>IF(t&lt;Tnet,'2022'!Resal+('2022'!Salim-'2022'!Resal)*(1-EXP(('2022'!Tnet-t)/('2022'!Tau_j))),Resal+(Salim-Resal)*(1-EXP((Tnet-t)/(Tau_j))))*Salcycl</f>
        <v>2.9577821217986341E-2</v>
      </c>
      <c r="P31" s="338">
        <f>(INDEX(Models!$BJ31:$BT31,,T31)*(1-R31)+INDEX(Models!$BJ31:$BT31,,T31+1)*R31-ERP_i)*Q31*Ramure*Pc/MaxiM</f>
        <v>4.0947225880311544E-3</v>
      </c>
      <c r="Q31" s="304">
        <f t="shared" si="4"/>
        <v>0.6</v>
      </c>
      <c r="R31" s="177">
        <f t="shared" si="5"/>
        <v>0.49976027745295193</v>
      </c>
      <c r="S31" s="799">
        <f t="shared" si="6"/>
        <v>0</v>
      </c>
      <c r="T31" s="176">
        <f t="shared" si="7"/>
        <v>6</v>
      </c>
      <c r="U31" s="250">
        <f t="shared" si="20"/>
        <v>0.49976027745295193</v>
      </c>
      <c r="V31" s="382">
        <f t="shared" si="8"/>
        <v>26.936266298470887</v>
      </c>
      <c r="W31" s="400">
        <f t="shared" si="9"/>
        <v>12.433190662590503</v>
      </c>
      <c r="X31" s="157">
        <f t="shared" si="10"/>
        <v>44943</v>
      </c>
      <c r="Y31" s="383">
        <f t="shared" si="11"/>
        <v>11.746144369734347</v>
      </c>
      <c r="Z31" s="383">
        <f t="shared" si="21"/>
        <v>12.079915687254097</v>
      </c>
      <c r="AA31" s="384">
        <f t="shared" si="12"/>
        <v>13.176208201575657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8.320242800887602E-2</v>
      </c>
      <c r="AD31" s="230">
        <f>(INDEX(Models!$BJ31:$BT31,,AH31)*(1-AF31)+INDEX(Models!$BJ31:$BT31,,AH31+1)*AF31-ERP_i)*AE31*Ramure*Pc/MaxiM</f>
        <v>4.0947225880311544E-3</v>
      </c>
      <c r="AE31" s="304">
        <f t="shared" si="14"/>
        <v>0.6</v>
      </c>
      <c r="AF31" s="177">
        <f t="shared" si="22"/>
        <v>0.49976027745295193</v>
      </c>
      <c r="AG31" s="799">
        <f t="shared" si="23"/>
        <v>0</v>
      </c>
      <c r="AH31" s="176">
        <f t="shared" si="15"/>
        <v>6</v>
      </c>
      <c r="AI31" s="224">
        <f t="shared" si="24"/>
        <v>0.49976027745295193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409">
        <f>'2022'!Wh/'2022'!Env_an*'2023'!Env_an</f>
        <v>3.9497255798040927</v>
      </c>
      <c r="C32" s="829"/>
      <c r="D32" s="391">
        <f t="shared" si="0"/>
        <v>4.0620364354306719</v>
      </c>
      <c r="E32" s="383">
        <f t="shared" si="1"/>
        <v>4.1861401378618988</v>
      </c>
      <c r="F32" s="383">
        <f t="shared" si="2"/>
        <v>4.1861401378618988</v>
      </c>
      <c r="G32" s="110">
        <f t="shared" si="19"/>
        <v>0.1445174314691817</v>
      </c>
      <c r="H32" s="412" t="b">
        <f>Wh_hp&gt;='2022'!Maxi_hp</f>
        <v>0</v>
      </c>
      <c r="I32" s="379">
        <f>IF(H32,Wh_hp,'2022'!Maxi_hp)</f>
        <v>29.066008249734857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2.7648904044030642E-2</v>
      </c>
      <c r="M32" s="832"/>
      <c r="N32" s="832"/>
      <c r="O32" s="48">
        <f>IF(t&lt;Tnet,'2022'!Resal+('2022'!Salim-'2022'!Resal)*(1-EXP(('2022'!Tnet-t)/('2022'!Tau_j))),Resal+(Salim-Resal)*(1-EXP((Tnet-t)/(Tau_j))))*Salcycl</f>
        <v>2.9646332503004372E-2</v>
      </c>
      <c r="P32" s="338">
        <f>(INDEX(Models!$BJ32:$BT32,,T32)*(1-R32)+INDEX(Models!$BJ32:$BT32,,T32+1)*R32-ERP_i)*Q32*Ramure*Pc/MaxiM</f>
        <v>4.0266149115399802E-3</v>
      </c>
      <c r="Q32" s="304">
        <f t="shared" si="4"/>
        <v>0.6</v>
      </c>
      <c r="R32" s="177">
        <f t="shared" si="5"/>
        <v>0.49981651366509361</v>
      </c>
      <c r="S32" s="799">
        <f t="shared" si="6"/>
        <v>0</v>
      </c>
      <c r="T32" s="176">
        <f t="shared" si="7"/>
        <v>6</v>
      </c>
      <c r="U32" s="250">
        <f t="shared" si="20"/>
        <v>0.49981651366509361</v>
      </c>
      <c r="V32" s="382">
        <f t="shared" si="8"/>
        <v>27.220394909432429</v>
      </c>
      <c r="W32" s="400">
        <f t="shared" si="9"/>
        <v>3.9497255798040927</v>
      </c>
      <c r="X32" s="157">
        <f t="shared" si="10"/>
        <v>44944</v>
      </c>
      <c r="Y32" s="383">
        <f t="shared" si="11"/>
        <v>3.7317547582757391</v>
      </c>
      <c r="Z32" s="383">
        <f t="shared" si="21"/>
        <v>3.8378675910339313</v>
      </c>
      <c r="AA32" s="384">
        <f t="shared" si="12"/>
        <v>4.1861401378618988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8.319658094529303E-2</v>
      </c>
      <c r="AD32" s="230">
        <f>(INDEX(Models!$BJ32:$BT32,,AH32)*(1-AF32)+INDEX(Models!$BJ32:$BT32,,AH32+1)*AF32-ERP_i)*AE32*Ramure*Pc/MaxiM</f>
        <v>4.0266149115399802E-3</v>
      </c>
      <c r="AE32" s="304">
        <f t="shared" si="14"/>
        <v>0.6</v>
      </c>
      <c r="AF32" s="177">
        <f t="shared" si="22"/>
        <v>0.49981651366509361</v>
      </c>
      <c r="AG32" s="799">
        <f t="shared" si="23"/>
        <v>0</v>
      </c>
      <c r="AH32" s="176">
        <f t="shared" si="15"/>
        <v>6</v>
      </c>
      <c r="AI32" s="224">
        <f t="shared" si="24"/>
        <v>0.49981651366509361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409">
        <f>'2022'!Wh/'2022'!Env_an*'2023'!Env_an</f>
        <v>10.776743477737602</v>
      </c>
      <c r="C33" s="829"/>
      <c r="D33" s="391">
        <f t="shared" si="0"/>
        <v>11.083393704545216</v>
      </c>
      <c r="E33" s="383">
        <f t="shared" si="1"/>
        <v>11.422820351410097</v>
      </c>
      <c r="F33" s="383">
        <f t="shared" si="2"/>
        <v>11.428749963982391</v>
      </c>
      <c r="G33" s="110">
        <f t="shared" si="19"/>
        <v>0.39040124912315999</v>
      </c>
      <c r="H33" s="412" t="b">
        <f>Wh_hp&gt;='2022'!Maxi_hp</f>
        <v>0</v>
      </c>
      <c r="I33" s="379">
        <f>IF(H33,Wh_hp,'2022'!Maxi_hp)</f>
        <v>30.468754573897851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2.7667538930955748E-2</v>
      </c>
      <c r="M33" s="832"/>
      <c r="N33" s="832"/>
      <c r="O33" s="48">
        <f>IF(t&lt;Tnet,'2022'!Resal+('2022'!Salim-'2022'!Resal)*(1-EXP(('2022'!Tnet-t)/('2022'!Tau_j))),Resal+(Salim-Resal)*(1-EXP((Tnet-t)/(Tau_j))))*Salcycl</f>
        <v>2.9714784652371779E-2</v>
      </c>
      <c r="P33" s="338">
        <f>(INDEX(Models!$BJ33:$BT33,,T33)*(1-R33)+INDEX(Models!$BJ33:$BT33,,T33+1)*R33-ERP_i)*Q33*Ramure*Pc/MaxiM</f>
        <v>3.9584244766637027E-3</v>
      </c>
      <c r="Q33" s="304">
        <f t="shared" si="4"/>
        <v>0.6</v>
      </c>
      <c r="R33" s="177">
        <f t="shared" si="5"/>
        <v>0.4998750956309545</v>
      </c>
      <c r="S33" s="799">
        <f t="shared" si="6"/>
        <v>0</v>
      </c>
      <c r="T33" s="176">
        <f t="shared" si="7"/>
        <v>6</v>
      </c>
      <c r="U33" s="250">
        <f t="shared" si="20"/>
        <v>0.4998750956309545</v>
      </c>
      <c r="V33" s="382">
        <f t="shared" si="8"/>
        <v>27.509278376842961</v>
      </c>
      <c r="W33" s="400">
        <f t="shared" si="9"/>
        <v>10.776743477737602</v>
      </c>
      <c r="X33" s="157">
        <f t="shared" si="10"/>
        <v>44945</v>
      </c>
      <c r="Y33" s="383">
        <f t="shared" si="11"/>
        <v>10.182796682383696</v>
      </c>
      <c r="Z33" s="383">
        <f t="shared" si="21"/>
        <v>10.472546263844858</v>
      </c>
      <c r="AA33" s="384">
        <f t="shared" si="12"/>
        <v>11.422820351410097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8.3190845897172239E-2</v>
      </c>
      <c r="AD33" s="230">
        <f>(INDEX(Models!$BJ33:$BT33,,AH33)*(1-AF33)+INDEX(Models!$BJ33:$BT33,,AH33+1)*AF33-ERP_i)*AE33*Ramure*Pc/MaxiM</f>
        <v>3.9584244766637027E-3</v>
      </c>
      <c r="AE33" s="304">
        <f t="shared" si="14"/>
        <v>0.6</v>
      </c>
      <c r="AF33" s="177">
        <f t="shared" si="22"/>
        <v>0.4998750956309545</v>
      </c>
      <c r="AG33" s="799">
        <f t="shared" si="23"/>
        <v>0</v>
      </c>
      <c r="AH33" s="176">
        <f t="shared" si="15"/>
        <v>6</v>
      </c>
      <c r="AI33" s="224">
        <f t="shared" si="24"/>
        <v>0.4998750956309545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409">
        <f>'2022'!Wh/'2022'!Env_an*'2023'!Env_an</f>
        <v>6.7488282460889577</v>
      </c>
      <c r="C34" s="829"/>
      <c r="D34" s="391">
        <f t="shared" si="0"/>
        <v>6.9409979184498471</v>
      </c>
      <c r="E34" s="383">
        <f t="shared" si="1"/>
        <v>7.1540688345595651</v>
      </c>
      <c r="F34" s="383">
        <f t="shared" si="2"/>
        <v>7.1540688345595651</v>
      </c>
      <c r="G34" s="110">
        <f t="shared" si="19"/>
        <v>0.24180078772284702</v>
      </c>
      <c r="H34" s="412" t="b">
        <f>Wh_hp&gt;='2022'!Maxi_hp</f>
        <v>0</v>
      </c>
      <c r="I34" s="379">
        <f>IF(H34,Wh_hp,'2022'!Maxi_hp)</f>
        <v>12.26188245483894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2.7686173460747421E-2</v>
      </c>
      <c r="M34" s="832"/>
      <c r="N34" s="832"/>
      <c r="O34" s="48">
        <f>IF(t&lt;Tnet,'2022'!Resal+('2022'!Salim-'2022'!Resal)*(1-EXP(('2022'!Tnet-t)/('2022'!Tau_j))),Resal+(Salim-Resal)*(1-EXP((Tnet-t)/(Tau_j))))*Salcycl</f>
        <v>2.9783179479686353E-2</v>
      </c>
      <c r="P34" s="338">
        <f>(INDEX(Models!$BJ34:$BT34,,T34)*(1-R34)+INDEX(Models!$BJ34:$BT34,,T34+1)*R34-ERP_i)*Q34*Ramure*Pc/MaxiM</f>
        <v>3.8903173436363671E-3</v>
      </c>
      <c r="Q34" s="304">
        <f t="shared" si="4"/>
        <v>0.6</v>
      </c>
      <c r="R34" s="177">
        <f t="shared" si="5"/>
        <v>0.49993612061099713</v>
      </c>
      <c r="S34" s="799">
        <f t="shared" si="6"/>
        <v>0</v>
      </c>
      <c r="T34" s="176">
        <f t="shared" si="7"/>
        <v>6</v>
      </c>
      <c r="U34" s="250">
        <f t="shared" si="20"/>
        <v>0.49993612061099713</v>
      </c>
      <c r="V34" s="382">
        <f t="shared" si="8"/>
        <v>27.802114400964705</v>
      </c>
      <c r="W34" s="400">
        <f t="shared" si="9"/>
        <v>6.7488282460889577</v>
      </c>
      <c r="X34" s="157">
        <f t="shared" si="10"/>
        <v>44946</v>
      </c>
      <c r="Y34" s="383">
        <f t="shared" si="11"/>
        <v>6.377363602620016</v>
      </c>
      <c r="Z34" s="383">
        <f t="shared" si="21"/>
        <v>6.5589559960480104</v>
      </c>
      <c r="AA34" s="384">
        <f t="shared" si="12"/>
        <v>7.1540688345595651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8.3185226795234185E-2</v>
      </c>
      <c r="AD34" s="230">
        <f>(INDEX(Models!$BJ34:$BT34,,AH34)*(1-AF34)+INDEX(Models!$BJ34:$BT34,,AH34+1)*AF34-ERP_i)*AE34*Ramure*Pc/MaxiM</f>
        <v>3.8903173436363671E-3</v>
      </c>
      <c r="AE34" s="304">
        <f t="shared" si="14"/>
        <v>0.6</v>
      </c>
      <c r="AF34" s="177">
        <f t="shared" si="22"/>
        <v>0.49993612061099713</v>
      </c>
      <c r="AG34" s="799">
        <f t="shared" si="23"/>
        <v>0</v>
      </c>
      <c r="AH34" s="176">
        <f t="shared" si="15"/>
        <v>6</v>
      </c>
      <c r="AI34" s="224">
        <f t="shared" si="24"/>
        <v>0.49993612061099713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409">
        <f>'2022'!Wh/'2022'!Env_an*'2023'!Env_an</f>
        <v>21.517112663953164</v>
      </c>
      <c r="C35" s="829"/>
      <c r="D35" s="391">
        <f t="shared" si="0"/>
        <v>22.130226327233039</v>
      </c>
      <c r="E35" s="383">
        <f t="shared" si="1"/>
        <v>22.811174533189099</v>
      </c>
      <c r="F35" s="383">
        <f t="shared" si="2"/>
        <v>22.869342476463771</v>
      </c>
      <c r="G35" s="110">
        <f t="shared" si="19"/>
        <v>0.76480339727342117</v>
      </c>
      <c r="H35" s="412" t="b">
        <f>Wh_hp&gt;='2022'!Maxi_hp</f>
        <v>0</v>
      </c>
      <c r="I35" s="379">
        <f>IF(H35,Wh_hp,'2022'!Maxi_hp)</f>
        <v>22.880726638611495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2.7704807633412654E-2</v>
      </c>
      <c r="M35" s="832"/>
      <c r="N35" s="832"/>
      <c r="O35" s="48">
        <f>IF(t&lt;Tnet,'2022'!Resal+('2022'!Salim-'2022'!Resal)*(1-EXP(('2022'!Tnet-t)/('2022'!Tau_j))),Resal+(Salim-Resal)*(1-EXP((Tnet-t)/(Tau_j))))*Salcycl</f>
        <v>2.9851518823167889E-2</v>
      </c>
      <c r="P35" s="338">
        <f>(INDEX(Models!$BJ35:$BT35,,T35)*(1-R35)+INDEX(Models!$BJ35:$BT35,,T35+1)*R35-ERP_i)*Q35*Ramure*Pc/MaxiM</f>
        <v>3.8224541549042421E-3</v>
      </c>
      <c r="Q35" s="304">
        <f t="shared" si="4"/>
        <v>0.6</v>
      </c>
      <c r="R35" s="177">
        <f t="shared" si="5"/>
        <v>0.49999968984823334</v>
      </c>
      <c r="S35" s="799">
        <f t="shared" si="6"/>
        <v>0</v>
      </c>
      <c r="T35" s="176">
        <f t="shared" si="7"/>
        <v>6</v>
      </c>
      <c r="U35" s="250">
        <f t="shared" si="20"/>
        <v>0.49999968984823334</v>
      </c>
      <c r="V35" s="382">
        <f t="shared" si="8"/>
        <v>28.098100701187253</v>
      </c>
      <c r="W35" s="400">
        <f t="shared" si="9"/>
        <v>21.517112663953164</v>
      </c>
      <c r="X35" s="157">
        <f t="shared" si="10"/>
        <v>44947</v>
      </c>
      <c r="Y35" s="383">
        <f t="shared" si="11"/>
        <v>20.3343359047558</v>
      </c>
      <c r="Z35" s="383">
        <f t="shared" si="21"/>
        <v>20.913747249188379</v>
      </c>
      <c r="AA35" s="384">
        <f t="shared" si="12"/>
        <v>22.811174533189099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8.3179727604120554E-2</v>
      </c>
      <c r="AD35" s="230">
        <f>(INDEX(Models!$BJ35:$BT35,,AH35)*(1-AF35)+INDEX(Models!$BJ35:$BT35,,AH35+1)*AF35-ERP_i)*AE35*Ramure*Pc/MaxiM</f>
        <v>3.8224541549042421E-3</v>
      </c>
      <c r="AE35" s="304">
        <f t="shared" si="14"/>
        <v>0.6</v>
      </c>
      <c r="AF35" s="177">
        <f t="shared" si="22"/>
        <v>0.49999968984823334</v>
      </c>
      <c r="AG35" s="799">
        <f t="shared" si="23"/>
        <v>0</v>
      </c>
      <c r="AH35" s="176">
        <f t="shared" si="15"/>
        <v>6</v>
      </c>
      <c r="AI35" s="224">
        <f t="shared" si="24"/>
        <v>0.49999968984823334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409">
        <f>'2022'!Wh/'2022'!Env_an*'2023'!Env_an</f>
        <v>28.721917406470393</v>
      </c>
      <c r="C36" s="829"/>
      <c r="D36" s="391">
        <f t="shared" si="0"/>
        <v>29.540892613181903</v>
      </c>
      <c r="E36" s="383">
        <f t="shared" si="1"/>
        <v>30.452010823375375</v>
      </c>
      <c r="F36" s="383">
        <f t="shared" si="2"/>
        <v>30.566788013971934</v>
      </c>
      <c r="G36" s="110">
        <f t="shared" si="19"/>
        <v>1.011462059241816</v>
      </c>
      <c r="H36" s="412" t="b">
        <f>Wh_hp&gt;='2022'!Maxi_hp</f>
        <v>1</v>
      </c>
      <c r="I36" s="379">
        <f>IF(H36,Wh_hp,'2022'!Maxi_hp)</f>
        <v>30.566788013971934</v>
      </c>
      <c r="J36" s="85">
        <f>IF(H36,An,'2022'!An_max)</f>
        <v>2023</v>
      </c>
      <c r="K36" s="197">
        <f t="shared" si="3"/>
        <v>44948</v>
      </c>
      <c r="L36" s="147">
        <f>IF(t&lt;Tvie,1-EXP((T0-t)*PertePVj)+'2022'!Pspv,1-EXP((T0-t)*PertePVj)+Pspv)</f>
        <v>2.7723441448958219E-2</v>
      </c>
      <c r="M36" s="832"/>
      <c r="N36" s="832"/>
      <c r="O36" s="48">
        <f>IF(t&lt;Tnet,'2022'!Resal+('2022'!Salim-'2022'!Resal)*(1-EXP(('2022'!Tnet-t)/('2022'!Tau_j))),Resal+(Salim-Resal)*(1-EXP((Tnet-t)/(Tau_j))))*Salcycl</f>
        <v>2.9919804491008676E-2</v>
      </c>
      <c r="P36" s="338">
        <f>(INDEX(Models!$BJ36:$BT36,,T36)*(1-R36)+INDEX(Models!$BJ36:$BT36,,T36+1)*R36-ERP_i)*Q36*Ramure*Pc/MaxiM</f>
        <v>3.7549640657074399E-3</v>
      </c>
      <c r="Q36" s="304">
        <f t="shared" si="4"/>
        <v>0.6</v>
      </c>
      <c r="R36" s="177">
        <f t="shared" si="5"/>
        <v>0.5000659087270154</v>
      </c>
      <c r="S36" s="799">
        <f t="shared" si="6"/>
        <v>0</v>
      </c>
      <c r="T36" s="176">
        <f t="shared" si="7"/>
        <v>6</v>
      </c>
      <c r="U36" s="250">
        <f t="shared" si="20"/>
        <v>0.5000659087270154</v>
      </c>
      <c r="V36" s="382">
        <f t="shared" si="8"/>
        <v>28.396435777334165</v>
      </c>
      <c r="W36" s="400">
        <f t="shared" si="9"/>
        <v>28.721917406470393</v>
      </c>
      <c r="X36" s="157">
        <f t="shared" si="10"/>
        <v>44948</v>
      </c>
      <c r="Y36" s="383">
        <f t="shared" si="11"/>
        <v>27.145168672663093</v>
      </c>
      <c r="Z36" s="383">
        <f t="shared" si="21"/>
        <v>27.919184550861562</v>
      </c>
      <c r="AA36" s="384">
        <f t="shared" si="12"/>
        <v>30.452010823375375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8.3174352170188412E-2</v>
      </c>
      <c r="AD36" s="230">
        <f>(INDEX(Models!$BJ36:$BT36,,AH36)*(1-AF36)+INDEX(Models!$BJ36:$BT36,,AH36+1)*AF36-ERP_i)*AE36*Ramure*Pc/MaxiM</f>
        <v>3.7549640657074399E-3</v>
      </c>
      <c r="AE36" s="304">
        <f t="shared" si="14"/>
        <v>0.6</v>
      </c>
      <c r="AF36" s="177">
        <f t="shared" si="22"/>
        <v>0.5000659087270154</v>
      </c>
      <c r="AG36" s="799">
        <f t="shared" si="23"/>
        <v>0</v>
      </c>
      <c r="AH36" s="176">
        <f t="shared" si="15"/>
        <v>6</v>
      </c>
      <c r="AI36" s="224">
        <f t="shared" si="24"/>
        <v>0.5000659087270154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409">
        <f>'2022'!Wh/'2022'!Env_an*'2023'!Env_an</f>
        <v>28.848969131293298</v>
      </c>
      <c r="C37" s="829"/>
      <c r="D37" s="391">
        <f t="shared" si="0"/>
        <v>29.672135743758929</v>
      </c>
      <c r="E37" s="383">
        <f t="shared" si="1"/>
        <v>30.589453442406835</v>
      </c>
      <c r="F37" s="383">
        <f t="shared" si="2"/>
        <v>30.702667936607373</v>
      </c>
      <c r="G37" s="110">
        <f t="shared" si="19"/>
        <v>1.0051787273423884</v>
      </c>
      <c r="H37" s="412" t="b">
        <f>Wh_hp&gt;='2022'!Maxi_hp</f>
        <v>1</v>
      </c>
      <c r="I37" s="379">
        <f>IF(H37,Wh_hp,'2022'!Maxi_hp)</f>
        <v>30.702667936607373</v>
      </c>
      <c r="J37" s="85">
        <f>IF(H37,An,'2022'!An_max)</f>
        <v>2023</v>
      </c>
      <c r="K37" s="197">
        <f t="shared" si="3"/>
        <v>44949</v>
      </c>
      <c r="L37" s="147">
        <f>IF(t&lt;Tvie,1-EXP((T0-t)*PertePVj)+'2022'!Pspv,1-EXP((T0-t)*PertePVj)+Pspv)</f>
        <v>2.774207490739089E-2</v>
      </c>
      <c r="M37" s="832"/>
      <c r="N37" s="832"/>
      <c r="O37" s="48">
        <f>IF(t&lt;Tnet,'2022'!Resal+('2022'!Salim-'2022'!Resal)*(1-EXP(('2022'!Tnet-t)/('2022'!Tau_j))),Resal+(Salim-Resal)*(1-EXP((Tnet-t)/(Tau_j))))*Salcycl</f>
        <v>2.9988038209803725E-2</v>
      </c>
      <c r="P37" s="338">
        <f>(INDEX(Models!$BJ37:$BT37,,T37)*(1-R37)+INDEX(Models!$BJ37:$BT37,,T37+1)*R37-ERP_i)*Q37*Ramure*Pc/MaxiM</f>
        <v>3.6874480886903709E-3</v>
      </c>
      <c r="Q37" s="304">
        <f t="shared" si="4"/>
        <v>0.6</v>
      </c>
      <c r="R37" s="177">
        <f t="shared" si="5"/>
        <v>0.50013488693779273</v>
      </c>
      <c r="S37" s="799">
        <f t="shared" si="6"/>
        <v>0</v>
      </c>
      <c r="T37" s="176">
        <f t="shared" si="7"/>
        <v>6</v>
      </c>
      <c r="U37" s="250">
        <f t="shared" si="20"/>
        <v>0.50013488693779273</v>
      </c>
      <c r="V37" s="382">
        <f t="shared" si="8"/>
        <v>28.700337906640392</v>
      </c>
      <c r="W37" s="400">
        <f t="shared" si="9"/>
        <v>28.848969131293298</v>
      </c>
      <c r="X37" s="157">
        <f t="shared" si="10"/>
        <v>44949</v>
      </c>
      <c r="Y37" s="383">
        <f t="shared" si="11"/>
        <v>27.267319638201904</v>
      </c>
      <c r="Z37" s="383">
        <f t="shared" si="21"/>
        <v>28.045356005305536</v>
      </c>
      <c r="AA37" s="384">
        <f t="shared" si="12"/>
        <v>30.589453442406835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8.316910407998214E-2</v>
      </c>
      <c r="AD37" s="230">
        <f>(INDEX(Models!$BJ37:$BT37,,AH37)*(1-AF37)+INDEX(Models!$BJ37:$BT37,,AH37+1)*AF37-ERP_i)*AE37*Ramure*Pc/MaxiM</f>
        <v>3.6874480886903709E-3</v>
      </c>
      <c r="AE37" s="304">
        <f t="shared" si="14"/>
        <v>0.6</v>
      </c>
      <c r="AF37" s="177">
        <f t="shared" si="22"/>
        <v>0.50013488693779273</v>
      </c>
      <c r="AG37" s="799">
        <f t="shared" si="23"/>
        <v>0</v>
      </c>
      <c r="AH37" s="176">
        <f t="shared" si="15"/>
        <v>6</v>
      </c>
      <c r="AI37" s="224">
        <f t="shared" si="24"/>
        <v>0.50013488693779273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409">
        <f>'2022'!Wh/'2022'!Env_an*'2023'!Env_an</f>
        <v>29.408137740440548</v>
      </c>
      <c r="C38" s="829"/>
      <c r="D38" s="391">
        <f t="shared" si="0"/>
        <v>30.247839171577358</v>
      </c>
      <c r="E38" s="383">
        <f t="shared" si="1"/>
        <v>31.18514685536012</v>
      </c>
      <c r="F38" s="383">
        <f t="shared" si="2"/>
        <v>31.29840811546141</v>
      </c>
      <c r="G38" s="110">
        <f t="shared" si="19"/>
        <v>1.0136207234082972</v>
      </c>
      <c r="H38" s="412" t="b">
        <f>Wh_hp&gt;='2022'!Maxi_hp</f>
        <v>1</v>
      </c>
      <c r="I38" s="379">
        <f>IF(H38,Wh_hp,'2022'!Maxi_hp)</f>
        <v>31.29840811546141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2.776070800871755E-2</v>
      </c>
      <c r="M38" s="832"/>
      <c r="N38" s="832"/>
      <c r="O38" s="48">
        <f>IF(t&lt;Tnet,'2022'!Resal+('2022'!Salim-'2022'!Resal)*(1-EXP(('2022'!Tnet-t)/('2022'!Tau_j))),Resal+(Salim-Resal)*(1-EXP((Tnet-t)/(Tau_j))))*Salcycl</f>
        <v>3.0056221576575885E-2</v>
      </c>
      <c r="P38" s="338">
        <f>(INDEX(Models!$BJ38:$BT38,,T38)*(1-R38)+INDEX(Models!$BJ38:$BT38,,T38+1)*R38-ERP_i)*Q38*Ramure*Pc/MaxiM</f>
        <v>3.6187546562580189E-3</v>
      </c>
      <c r="Q38" s="304">
        <f t="shared" si="4"/>
        <v>0.6</v>
      </c>
      <c r="R38" s="177">
        <f t="shared" si="5"/>
        <v>0.50020673864802223</v>
      </c>
      <c r="S38" s="799">
        <f t="shared" si="6"/>
        <v>0</v>
      </c>
      <c r="T38" s="176">
        <f t="shared" si="7"/>
        <v>6</v>
      </c>
      <c r="U38" s="250">
        <f t="shared" si="20"/>
        <v>0.50020673864802223</v>
      </c>
      <c r="V38" s="382">
        <f t="shared" si="8"/>
        <v>29.0129602338395</v>
      </c>
      <c r="W38" s="400">
        <f t="shared" si="9"/>
        <v>29.408137740440548</v>
      </c>
      <c r="X38" s="157">
        <f t="shared" si="10"/>
        <v>44950</v>
      </c>
      <c r="Y38" s="383">
        <f t="shared" si="11"/>
        <v>27.79794083872504</v>
      </c>
      <c r="Z38" s="383">
        <f t="shared" si="21"/>
        <v>28.591665722325374</v>
      </c>
      <c r="AA38" s="384">
        <f t="shared" si="12"/>
        <v>31.18514685536012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8.3163986530625567E-2</v>
      </c>
      <c r="AD38" s="230">
        <f>(INDEX(Models!$BJ38:$BT38,,AH38)*(1-AF38)+INDEX(Models!$BJ38:$BT38,,AH38+1)*AF38-ERP_i)*AE38*Ramure*Pc/MaxiM</f>
        <v>3.6187546562580189E-3</v>
      </c>
      <c r="AE38" s="304">
        <f t="shared" si="14"/>
        <v>0.6</v>
      </c>
      <c r="AF38" s="177">
        <f t="shared" si="22"/>
        <v>0.50020673864802223</v>
      </c>
      <c r="AG38" s="799">
        <f t="shared" si="23"/>
        <v>0</v>
      </c>
      <c r="AH38" s="176">
        <f t="shared" si="15"/>
        <v>6</v>
      </c>
      <c r="AI38" s="224">
        <f t="shared" si="24"/>
        <v>0.50020673864802223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409">
        <f>'2022'!Wh/'2022'!Env_an*'2023'!Env_an</f>
        <v>28.436249001342553</v>
      </c>
      <c r="C39" s="829"/>
      <c r="D39" s="391">
        <f t="shared" si="0"/>
        <v>29.248760279755079</v>
      </c>
      <c r="E39" s="383">
        <f t="shared" si="1"/>
        <v>30.157227332335538</v>
      </c>
      <c r="F39" s="383">
        <f t="shared" si="2"/>
        <v>30.259830755705778</v>
      </c>
      <c r="G39" s="110">
        <f t="shared" si="19"/>
        <v>0.96926237699013973</v>
      </c>
      <c r="H39" s="412" t="b">
        <f>Wh_hp&gt;='2022'!Maxi_hp</f>
        <v>0</v>
      </c>
      <c r="I39" s="379">
        <f>IF(H39,Wh_hp,'2022'!Maxi_hp)</f>
        <v>30.261651120262506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2.7779340752945192E-2</v>
      </c>
      <c r="M39" s="832"/>
      <c r="N39" s="832"/>
      <c r="O39" s="48">
        <f>IF(t&lt;Tnet,'2022'!Resal+('2022'!Salim-'2022'!Resal)*(1-EXP(('2022'!Tnet-t)/('2022'!Tau_j))),Resal+(Salim-Resal)*(1-EXP((Tnet-t)/(Tau_j))))*Salcycl</f>
        <v>3.0124356014863862E-2</v>
      </c>
      <c r="P39" s="338">
        <f>(INDEX(Models!$BJ39:$BT39,,T39)*(1-R39)+INDEX(Models!$BJ39:$BT39,,T39+1)*R39-ERP_i)*Q39*Ramure*Pc/MaxiM</f>
        <v>3.545677266576923E-3</v>
      </c>
      <c r="Q39" s="304">
        <f t="shared" si="4"/>
        <v>0.6</v>
      </c>
      <c r="R39" s="177">
        <f t="shared" si="5"/>
        <v>0.50028158267943046</v>
      </c>
      <c r="S39" s="799">
        <f t="shared" si="6"/>
        <v>0</v>
      </c>
      <c r="T39" s="176">
        <f t="shared" si="7"/>
        <v>6</v>
      </c>
      <c r="U39" s="250">
        <f t="shared" si="20"/>
        <v>0.50028158267943046</v>
      </c>
      <c r="V39" s="382">
        <f t="shared" si="8"/>
        <v>29.333469496864165</v>
      </c>
      <c r="W39" s="400">
        <f t="shared" si="9"/>
        <v>28.436249001342553</v>
      </c>
      <c r="X39" s="157">
        <f t="shared" si="10"/>
        <v>44951</v>
      </c>
      <c r="Y39" s="383">
        <f t="shared" si="11"/>
        <v>26.8813007826225</v>
      </c>
      <c r="Z39" s="383">
        <f t="shared" si="21"/>
        <v>27.649382397861171</v>
      </c>
      <c r="AA39" s="384">
        <f t="shared" si="12"/>
        <v>30.157227332335538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8.3159002213223296E-2</v>
      </c>
      <c r="AD39" s="230">
        <f>(INDEX(Models!$BJ39:$BT39,,AH39)*(1-AF39)+INDEX(Models!$BJ39:$BT39,,AH39+1)*AF39-ERP_i)*AE39*Ramure*Pc/MaxiM</f>
        <v>3.545677266576923E-3</v>
      </c>
      <c r="AE39" s="304">
        <f t="shared" si="14"/>
        <v>0.6</v>
      </c>
      <c r="AF39" s="177">
        <f t="shared" si="22"/>
        <v>0.50028158267943046</v>
      </c>
      <c r="AG39" s="799">
        <f t="shared" si="23"/>
        <v>0</v>
      </c>
      <c r="AH39" s="176">
        <f t="shared" si="15"/>
        <v>6</v>
      </c>
      <c r="AI39" s="224">
        <f t="shared" si="24"/>
        <v>0.50028158267943046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409">
        <f>'2022'!Wh/'2022'!Env_an*'2023'!Env_an</f>
        <v>29.128096769639651</v>
      </c>
      <c r="C40" s="829"/>
      <c r="D40" s="391">
        <f t="shared" si="0"/>
        <v>29.960950465943224</v>
      </c>
      <c r="E40" s="383">
        <f t="shared" si="1"/>
        <v>30.893706943722407</v>
      </c>
      <c r="F40" s="383">
        <f t="shared" si="2"/>
        <v>30.998466770938101</v>
      </c>
      <c r="G40" s="110">
        <f t="shared" si="19"/>
        <v>0.98194807950934826</v>
      </c>
      <c r="H40" s="412" t="b">
        <f>Wh_hp&gt;='2022'!Maxi_hp</f>
        <v>0</v>
      </c>
      <c r="I40" s="379">
        <f>IF(H40,Wh_hp,'2022'!Maxi_hp)</f>
        <v>30.999537323642969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2.7797973140080479E-2</v>
      </c>
      <c r="M40" s="832"/>
      <c r="N40" s="832"/>
      <c r="O40" s="48">
        <f>IF(t&lt;Tnet,'2022'!Resal+('2022'!Salim-'2022'!Resal)*(1-EXP(('2022'!Tnet-t)/('2022'!Tau_j))),Resal+(Salim-Resal)*(1-EXP((Tnet-t)/(Tau_j))))*Salcycl</f>
        <v>3.019244273529037E-2</v>
      </c>
      <c r="P40" s="338">
        <f>(INDEX(Models!$BJ40:$BT40,,T40)*(1-R40)+INDEX(Models!$BJ40:$BT40,,T40+1)*R40-ERP_i)*Q40*Ramure*Pc/MaxiM</f>
        <v>3.4685298373229147E-3</v>
      </c>
      <c r="Q40" s="304">
        <f t="shared" si="4"/>
        <v>0.6</v>
      </c>
      <c r="R40" s="177">
        <f t="shared" si="5"/>
        <v>0.50035954269182314</v>
      </c>
      <c r="S40" s="799">
        <f t="shared" si="6"/>
        <v>0</v>
      </c>
      <c r="T40" s="176">
        <f t="shared" si="7"/>
        <v>6</v>
      </c>
      <c r="U40" s="250">
        <f t="shared" si="20"/>
        <v>0.50035954269182314</v>
      </c>
      <c r="V40" s="382">
        <f t="shared" si="8"/>
        <v>29.660931971522103</v>
      </c>
      <c r="W40" s="400">
        <f t="shared" si="9"/>
        <v>29.128096769639651</v>
      </c>
      <c r="X40" s="157">
        <f t="shared" si="10"/>
        <v>44952</v>
      </c>
      <c r="Y40" s="383">
        <f t="shared" si="11"/>
        <v>27.53739579371625</v>
      </c>
      <c r="Z40" s="383">
        <f t="shared" si="21"/>
        <v>28.324766903293032</v>
      </c>
      <c r="AA40" s="384">
        <f t="shared" si="12"/>
        <v>30.893706943722407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8.3154153210201989E-2</v>
      </c>
      <c r="AD40" s="230">
        <f>(INDEX(Models!$BJ40:$BT40,,AH40)*(1-AF40)+INDEX(Models!$BJ40:$BT40,,AH40+1)*AF40-ERP_i)*AE40*Ramure*Pc/MaxiM</f>
        <v>3.4685298373229147E-3</v>
      </c>
      <c r="AE40" s="304">
        <f t="shared" si="14"/>
        <v>0.6</v>
      </c>
      <c r="AF40" s="177">
        <f t="shared" si="22"/>
        <v>0.50035954269182314</v>
      </c>
      <c r="AG40" s="799">
        <f t="shared" si="23"/>
        <v>0</v>
      </c>
      <c r="AH40" s="176">
        <f t="shared" si="15"/>
        <v>6</v>
      </c>
      <c r="AI40" s="224">
        <f t="shared" si="24"/>
        <v>0.50035954269182314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409">
        <f>'2022'!Wh/'2022'!Env_an*'2023'!Env_an</f>
        <v>27.833702243327163</v>
      </c>
      <c r="C41" s="829"/>
      <c r="D41" s="391">
        <f t="shared" si="0"/>
        <v>28.630094271665698</v>
      </c>
      <c r="E41" s="383">
        <f t="shared" si="1"/>
        <v>29.523489309178455</v>
      </c>
      <c r="F41" s="383">
        <f t="shared" si="2"/>
        <v>29.613484342647602</v>
      </c>
      <c r="G41" s="110">
        <f t="shared" si="19"/>
        <v>0.92763835985590359</v>
      </c>
      <c r="H41" s="412" t="b">
        <f>Wh_hp&gt;='2022'!Maxi_hp</f>
        <v>0</v>
      </c>
      <c r="I41" s="379">
        <f>IF(H41,Wh_hp,'2022'!Maxi_hp)</f>
        <v>29.617485688648788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2.7816605170130293E-2</v>
      </c>
      <c r="M41" s="832"/>
      <c r="N41" s="832"/>
      <c r="O41" s="48">
        <f>IF(t&lt;Tnet,'2022'!Resal+('2022'!Salim-'2022'!Resal)*(1-EXP(('2022'!Tnet-t)/('2022'!Tau_j))),Resal+(Salim-Resal)*(1-EXP((Tnet-t)/(Tau_j))))*Salcycl</f>
        <v>3.0260482700973052E-2</v>
      </c>
      <c r="P41" s="338">
        <f>(INDEX(Models!$BJ41:$BT41,,T41)*(1-R41)+INDEX(Models!$BJ41:$BT41,,T41+1)*R41-ERP_i)*Q41*Ramure*Pc/MaxiM</f>
        <v>3.38760776695154E-3</v>
      </c>
      <c r="Q41" s="304">
        <f t="shared" si="4"/>
        <v>0.6</v>
      </c>
      <c r="R41" s="177">
        <f t="shared" si="5"/>
        <v>0.50044074737364486</v>
      </c>
      <c r="S41" s="799">
        <f t="shared" si="6"/>
        <v>0</v>
      </c>
      <c r="T41" s="176">
        <f t="shared" si="7"/>
        <v>6</v>
      </c>
      <c r="U41" s="250">
        <f t="shared" si="20"/>
        <v>0.50044074737364486</v>
      </c>
      <c r="V41" s="382">
        <f t="shared" si="8"/>
        <v>29.994414310187469</v>
      </c>
      <c r="W41" s="400">
        <f t="shared" si="9"/>
        <v>27.833702243327163</v>
      </c>
      <c r="X41" s="157">
        <f t="shared" si="10"/>
        <v>44953</v>
      </c>
      <c r="Y41" s="383">
        <f t="shared" si="11"/>
        <v>26.315670350828441</v>
      </c>
      <c r="Z41" s="383">
        <f t="shared" si="21"/>
        <v>27.068627679485964</v>
      </c>
      <c r="AA41" s="384">
        <f t="shared" si="12"/>
        <v>29.523489309178455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8.3149440907355959E-2</v>
      </c>
      <c r="AD41" s="230">
        <f>(INDEX(Models!$BJ41:$BT41,,AH41)*(1-AF41)+INDEX(Models!$BJ41:$BT41,,AH41+1)*AF41-ERP_i)*AE41*Ramure*Pc/MaxiM</f>
        <v>3.38760776695154E-3</v>
      </c>
      <c r="AE41" s="304">
        <f t="shared" si="14"/>
        <v>0.6</v>
      </c>
      <c r="AF41" s="177">
        <f t="shared" si="22"/>
        <v>0.50044074737364486</v>
      </c>
      <c r="AG41" s="799">
        <f t="shared" si="23"/>
        <v>0</v>
      </c>
      <c r="AH41" s="176">
        <f t="shared" si="15"/>
        <v>6</v>
      </c>
      <c r="AI41" s="224">
        <f t="shared" si="24"/>
        <v>0.50044074737364486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409">
        <f>'2022'!Wh/'2022'!Env_an*'2023'!Env_an</f>
        <v>4.3986805008157459</v>
      </c>
      <c r="C42" s="829"/>
      <c r="D42" s="391">
        <f t="shared" si="0"/>
        <v>4.5246244952676191</v>
      </c>
      <c r="E42" s="383">
        <f t="shared" si="1"/>
        <v>4.6661414572573969</v>
      </c>
      <c r="F42" s="383">
        <f t="shared" si="2"/>
        <v>4.6661414572573969</v>
      </c>
      <c r="G42" s="110">
        <f t="shared" si="19"/>
        <v>0.14453411182310366</v>
      </c>
      <c r="H42" s="412" t="b">
        <f>Wh_hp&gt;='2022'!Maxi_hp</f>
        <v>0</v>
      </c>
      <c r="I42" s="379">
        <f>IF(H42,Wh_hp,'2022'!Maxi_hp)</f>
        <v>18.471919028830147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2.7835236843101518E-2</v>
      </c>
      <c r="M42" s="832"/>
      <c r="N42" s="832"/>
      <c r="O42" s="48">
        <f>IF(t&lt;Tnet,'2022'!Resal+('2022'!Salim-'2022'!Resal)*(1-EXP(('2022'!Tnet-t)/('2022'!Tau_j))),Resal+(Salim-Resal)*(1-EXP((Tnet-t)/(Tau_j))))*Salcycl</f>
        <v>3.0328476598083492E-2</v>
      </c>
      <c r="P42" s="338">
        <f>(INDEX(Models!$BJ42:$BT42,,T42)*(1-R42)+INDEX(Models!$BJ42:$BT42,,T42+1)*R42-ERP_i)*Q42*Ramure*Pc/MaxiM</f>
        <v>3.3031870034229138E-3</v>
      </c>
      <c r="Q42" s="304">
        <f t="shared" si="4"/>
        <v>0.6</v>
      </c>
      <c r="R42" s="177">
        <f t="shared" si="5"/>
        <v>0.50052533063949078</v>
      </c>
      <c r="S42" s="799">
        <f t="shared" si="6"/>
        <v>0</v>
      </c>
      <c r="T42" s="176">
        <f t="shared" si="7"/>
        <v>6</v>
      </c>
      <c r="U42" s="250">
        <f t="shared" si="20"/>
        <v>0.50052533063949078</v>
      </c>
      <c r="V42" s="382">
        <f t="shared" si="8"/>
        <v>30.332983551447256</v>
      </c>
      <c r="W42" s="400">
        <f t="shared" si="9"/>
        <v>4.3986805008157459</v>
      </c>
      <c r="X42" s="157">
        <f t="shared" si="10"/>
        <v>44954</v>
      </c>
      <c r="Y42" s="383">
        <f t="shared" si="11"/>
        <v>4.1590917161271053</v>
      </c>
      <c r="Z42" s="383">
        <f t="shared" si="21"/>
        <v>4.2781757514244179</v>
      </c>
      <c r="AA42" s="384">
        <f t="shared" si="12"/>
        <v>4.6661414572573969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8.314486592119151E-2</v>
      </c>
      <c r="AD42" s="230">
        <f>(INDEX(Models!$BJ42:$BT42,,AH42)*(1-AF42)+INDEX(Models!$BJ42:$BT42,,AH42+1)*AF42-ERP_i)*AE42*Ramure*Pc/MaxiM</f>
        <v>3.3031870034229138E-3</v>
      </c>
      <c r="AE42" s="304">
        <f t="shared" si="14"/>
        <v>0.6</v>
      </c>
      <c r="AF42" s="177">
        <f t="shared" si="22"/>
        <v>0.50052533063949078</v>
      </c>
      <c r="AG42" s="799">
        <f t="shared" si="23"/>
        <v>0</v>
      </c>
      <c r="AH42" s="176">
        <f t="shared" si="15"/>
        <v>6</v>
      </c>
      <c r="AI42" s="224">
        <f t="shared" si="24"/>
        <v>0.50052533063949078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409">
        <f>'2022'!Wh/'2022'!Env_an*'2023'!Env_an</f>
        <v>9.2841124376471491</v>
      </c>
      <c r="C43" s="829"/>
      <c r="D43" s="391">
        <f t="shared" si="0"/>
        <v>9.5501202273627186</v>
      </c>
      <c r="E43" s="383">
        <f t="shared" si="1"/>
        <v>9.8495101211946814</v>
      </c>
      <c r="F43" s="383">
        <f t="shared" si="2"/>
        <v>9.84963018303689</v>
      </c>
      <c r="G43" s="110">
        <f t="shared" si="19"/>
        <v>0.30168406314937363</v>
      </c>
      <c r="H43" s="412" t="b">
        <f>Wh_hp&gt;='2022'!Maxi_hp</f>
        <v>0</v>
      </c>
      <c r="I43" s="379">
        <f>IF(H43,Wh_hp,'2022'!Maxi_hp)</f>
        <v>19.775703807846384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2.7853868159001038E-2</v>
      </c>
      <c r="M43" s="832"/>
      <c r="N43" s="832"/>
      <c r="O43" s="48">
        <f>IF(t&lt;Tnet,'2022'!Resal+('2022'!Salim-'2022'!Resal)*(1-EXP(('2022'!Tnet-t)/('2022'!Tau_j))),Resal+(Salim-Resal)*(1-EXP((Tnet-t)/(Tau_j))))*Salcycl</f>
        <v>3.0396424811800504E-2</v>
      </c>
      <c r="P43" s="338">
        <f>(INDEX(Models!$BJ43:$BT43,,T43)*(1-R43)+INDEX(Models!$BJ43:$BT43,,T43+1)*R43-ERP_i)*Q43*Ramure*Pc/MaxiM</f>
        <v>3.2155234330462153E-3</v>
      </c>
      <c r="Q43" s="304">
        <f t="shared" si="4"/>
        <v>0.6</v>
      </c>
      <c r="R43" s="177">
        <f t="shared" si="5"/>
        <v>0.50061343183477602</v>
      </c>
      <c r="S43" s="799">
        <f t="shared" si="6"/>
        <v>0</v>
      </c>
      <c r="T43" s="176">
        <f t="shared" si="7"/>
        <v>6</v>
      </c>
      <c r="U43" s="250">
        <f t="shared" si="20"/>
        <v>0.50061343183477602</v>
      </c>
      <c r="V43" s="382">
        <f t="shared" si="8"/>
        <v>30.675707115236108</v>
      </c>
      <c r="W43" s="400">
        <f t="shared" si="9"/>
        <v>9.2841124376471491</v>
      </c>
      <c r="X43" s="157">
        <f t="shared" si="10"/>
        <v>44955</v>
      </c>
      <c r="Y43" s="383">
        <f t="shared" si="11"/>
        <v>8.7790800007507777</v>
      </c>
      <c r="Z43" s="383">
        <f t="shared" si="21"/>
        <v>9.0306176337146145</v>
      </c>
      <c r="AA43" s="384">
        <f t="shared" si="12"/>
        <v>9.8495101211946814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8.3140428041992925E-2</v>
      </c>
      <c r="AD43" s="230">
        <f>(INDEX(Models!$BJ43:$BT43,,AH43)*(1-AF43)+INDEX(Models!$BJ43:$BT43,,AH43+1)*AF43-ERP_i)*AE43*Ramure*Pc/MaxiM</f>
        <v>3.2155234330462153E-3</v>
      </c>
      <c r="AE43" s="304">
        <f t="shared" si="14"/>
        <v>0.6</v>
      </c>
      <c r="AF43" s="177">
        <f t="shared" si="22"/>
        <v>0.50061343183477602</v>
      </c>
      <c r="AG43" s="799">
        <f t="shared" si="23"/>
        <v>0</v>
      </c>
      <c r="AH43" s="176">
        <f t="shared" si="15"/>
        <v>6</v>
      </c>
      <c r="AI43" s="224">
        <f t="shared" si="24"/>
        <v>0.50061343183477602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409">
        <f>'2022'!Wh/'2022'!Env_an*'2023'!Env_an</f>
        <v>4.7946317699137406</v>
      </c>
      <c r="C44" s="829"/>
      <c r="D44" s="391">
        <f t="shared" si="0"/>
        <v>4.9321017722087035</v>
      </c>
      <c r="E44" s="383">
        <f t="shared" si="1"/>
        <v>5.0870761248239598</v>
      </c>
      <c r="F44" s="383">
        <f t="shared" si="2"/>
        <v>5.0870761248239598</v>
      </c>
      <c r="G44" s="110">
        <f t="shared" si="19"/>
        <v>0.1540746162619345</v>
      </c>
      <c r="H44" s="412" t="b">
        <f>Wh_hp&gt;='2022'!Maxi_hp</f>
        <v>0</v>
      </c>
      <c r="I44" s="379">
        <f>IF(H44,Wh_hp,'2022'!Maxi_hp)</f>
        <v>11.80160840972839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2.7872499117835625E-2</v>
      </c>
      <c r="M44" s="832"/>
      <c r="N44" s="832"/>
      <c r="O44" s="48">
        <f>IF(t&lt;Tnet,'2022'!Resal+('2022'!Salim-'2022'!Resal)*(1-EXP(('2022'!Tnet-t)/('2022'!Tau_j))),Resal+(Salim-Resal)*(1-EXP((Tnet-t)/(Tau_j))))*Salcycl</f>
        <v>3.0464327407842669E-2</v>
      </c>
      <c r="P44" s="338">
        <f>(INDEX(Models!$BJ44:$BT44,,T44)*(1-R44)+INDEX(Models!$BJ44:$BT44,,T44+1)*R44-ERP_i)*Q44*Ramure*Pc/MaxiM</f>
        <v>3.1267831450260521E-3</v>
      </c>
      <c r="Q44" s="304">
        <f t="shared" si="4"/>
        <v>0.6</v>
      </c>
      <c r="R44" s="177">
        <f t="shared" si="5"/>
        <v>0.50070519594776952</v>
      </c>
      <c r="S44" s="799">
        <f t="shared" si="6"/>
        <v>0</v>
      </c>
      <c r="T44" s="176">
        <f t="shared" si="7"/>
        <v>6</v>
      </c>
      <c r="U44" s="250">
        <f t="shared" si="20"/>
        <v>0.50070519594776952</v>
      </c>
      <c r="V44" s="382">
        <f t="shared" si="8"/>
        <v>31.021592732597448</v>
      </c>
      <c r="W44" s="400">
        <f t="shared" si="9"/>
        <v>4.7946317699137406</v>
      </c>
      <c r="X44" s="157">
        <f t="shared" si="10"/>
        <v>44956</v>
      </c>
      <c r="Y44" s="383">
        <f t="shared" si="11"/>
        <v>4.5341546291831172</v>
      </c>
      <c r="Z44" s="383">
        <f t="shared" si="21"/>
        <v>4.6641563221579112</v>
      </c>
      <c r="AA44" s="384">
        <f t="shared" si="12"/>
        <v>5.0870761248239598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8.3136126192859691E-2</v>
      </c>
      <c r="AD44" s="230">
        <f>(INDEX(Models!$BJ44:$BT44,,AH44)*(1-AF44)+INDEX(Models!$BJ44:$BT44,,AH44+1)*AF44-ERP_i)*AE44*Ramure*Pc/MaxiM</f>
        <v>3.1267831450260521E-3</v>
      </c>
      <c r="AE44" s="304">
        <f t="shared" si="14"/>
        <v>0.6</v>
      </c>
      <c r="AF44" s="177">
        <f t="shared" si="22"/>
        <v>0.50070519594776952</v>
      </c>
      <c r="AG44" s="799">
        <f t="shared" si="23"/>
        <v>0</v>
      </c>
      <c r="AH44" s="176">
        <f t="shared" si="15"/>
        <v>6</v>
      </c>
      <c r="AI44" s="224">
        <f t="shared" si="24"/>
        <v>0.50070519594776952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409">
        <f>'2022'!Wh/'2022'!Env_an*'2023'!Env_an</f>
        <v>7.9506203433139468</v>
      </c>
      <c r="C45" s="829"/>
      <c r="D45" s="391">
        <f t="shared" si="0"/>
        <v>8.1787344878570316</v>
      </c>
      <c r="E45" s="383">
        <f t="shared" si="1"/>
        <v>8.4363135669754783</v>
      </c>
      <c r="F45" s="383">
        <f t="shared" si="2"/>
        <v>8.4363135669754783</v>
      </c>
      <c r="G45" s="110">
        <f t="shared" si="19"/>
        <v>0.25267921600480603</v>
      </c>
      <c r="H45" s="412" t="b">
        <f>Wh_hp&gt;='2022'!Maxi_hp</f>
        <v>0</v>
      </c>
      <c r="I45" s="379">
        <f>IF(H45,Wh_hp,'2022'!Maxi_hp)</f>
        <v>23.12427848668732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2.7891129719612051E-2</v>
      </c>
      <c r="M45" s="832"/>
      <c r="N45" s="832"/>
      <c r="O45" s="48">
        <f>IF(t&lt;Tnet,'2022'!Resal+('2022'!Salim-'2022'!Resal)*(1-EXP(('2022'!Tnet-t)/('2022'!Tau_j))),Resal+(Salim-Resal)*(1-EXP((Tnet-t)/(Tau_j))))*Salcycl</f>
        <v>3.0532184119703324E-2</v>
      </c>
      <c r="P45" s="338">
        <f>(INDEX(Models!$BJ45:$BT45,,T45)*(1-R45)+INDEX(Models!$BJ45:$BT45,,T45+1)*R45-ERP_i)*Q45*Ramure*Pc/MaxiM</f>
        <v>3.0410018509529979E-3</v>
      </c>
      <c r="Q45" s="304">
        <f t="shared" si="4"/>
        <v>0.6</v>
      </c>
      <c r="R45" s="177">
        <f t="shared" si="5"/>
        <v>0.50080077382919963</v>
      </c>
      <c r="S45" s="799">
        <f t="shared" si="6"/>
        <v>0</v>
      </c>
      <c r="T45" s="176">
        <f t="shared" si="7"/>
        <v>6</v>
      </c>
      <c r="U45" s="250">
        <f t="shared" si="20"/>
        <v>0.50080077382919963</v>
      </c>
      <c r="V45" s="382">
        <f t="shared" si="8"/>
        <v>31.369586376993269</v>
      </c>
      <c r="W45" s="400">
        <f t="shared" si="9"/>
        <v>7.9506203433139468</v>
      </c>
      <c r="X45" s="157">
        <f t="shared" si="10"/>
        <v>44957</v>
      </c>
      <c r="Y45" s="383">
        <f t="shared" si="11"/>
        <v>7.5192487922067839</v>
      </c>
      <c r="Z45" s="383">
        <f t="shared" si="21"/>
        <v>7.7349862984358806</v>
      </c>
      <c r="AA45" s="384">
        <f t="shared" si="12"/>
        <v>8.4363135669754783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8.3131958404793135E-2</v>
      </c>
      <c r="AD45" s="230">
        <f>(INDEX(Models!$BJ45:$BT45,,AH45)*(1-AF45)+INDEX(Models!$BJ45:$BT45,,AH45+1)*AF45-ERP_i)*AE45*Ramure*Pc/MaxiM</f>
        <v>3.0410018509529979E-3</v>
      </c>
      <c r="AE45" s="304">
        <f t="shared" si="14"/>
        <v>0.6</v>
      </c>
      <c r="AF45" s="177">
        <f t="shared" si="22"/>
        <v>0.50080077382919963</v>
      </c>
      <c r="AG45" s="799">
        <f t="shared" si="23"/>
        <v>0</v>
      </c>
      <c r="AH45" s="176">
        <f t="shared" si="15"/>
        <v>6</v>
      </c>
      <c r="AI45" s="224">
        <f t="shared" si="24"/>
        <v>0.50080077382919963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409">
        <f>'2022'!Wh/'2022'!Env_an*'2023'!Env_an</f>
        <v>13.193724483944862</v>
      </c>
      <c r="C46" s="829"/>
      <c r="D46" s="391">
        <f t="shared" si="0"/>
        <v>13.572530553810344</v>
      </c>
      <c r="E46" s="383">
        <f t="shared" si="1"/>
        <v>14.000959845871677</v>
      </c>
      <c r="F46" s="383">
        <f t="shared" si="2"/>
        <v>14.00782428617274</v>
      </c>
      <c r="G46" s="110">
        <f t="shared" si="19"/>
        <v>0.41493254870542712</v>
      </c>
      <c r="H46" s="412" t="b">
        <f>Wh_hp&gt;='2022'!Maxi_hp</f>
        <v>0</v>
      </c>
      <c r="I46" s="379">
        <f>IF(H46,Wh_hp,'2022'!Maxi_hp)</f>
        <v>14.021130827306354</v>
      </c>
      <c r="J46" s="85">
        <f>IF(H46,An,'2022'!An_max)</f>
        <v>2022</v>
      </c>
      <c r="K46" s="197">
        <f t="shared" si="3"/>
        <v>44958</v>
      </c>
      <c r="L46" s="147">
        <f>IF(t&lt;Tvie,1-EXP((T0-t)*PertePVj)+'2022'!Pspv,1-EXP((T0-t)*PertePVj)+Pspv)</f>
        <v>2.7909759964337311E-2</v>
      </c>
      <c r="M46" s="832"/>
      <c r="N46" s="832"/>
      <c r="O46" s="48">
        <f>IF(t&lt;Tnet,'2022'!Resal+('2022'!Salim-'2022'!Resal)*(1-EXP(('2022'!Tnet-t)/('2022'!Tau_j))),Resal+(Salim-Resal)*(1-EXP((Tnet-t)/(Tau_j))))*Salcycl</f>
        <v>3.0599994341649304E-2</v>
      </c>
      <c r="P46" s="338">
        <f>(INDEX(Models!$BJ46:$BT46,,T46)*(1-R46)+INDEX(Models!$BJ46:$BT46,,T46+1)*R46-ERP_i)*Q46*Ramure*Pc/MaxiM</f>
        <v>2.9581855062451403E-3</v>
      </c>
      <c r="Q46" s="304">
        <f t="shared" si="4"/>
        <v>0.6</v>
      </c>
      <c r="R46" s="177">
        <f t="shared" si="5"/>
        <v>0.50090032241964011</v>
      </c>
      <c r="S46" s="799">
        <f t="shared" si="6"/>
        <v>0</v>
      </c>
      <c r="T46" s="176">
        <f t="shared" si="7"/>
        <v>6</v>
      </c>
      <c r="U46" s="250">
        <f t="shared" si="20"/>
        <v>0.50090032241964011</v>
      </c>
      <c r="V46" s="382">
        <f t="shared" si="8"/>
        <v>31.718756629319486</v>
      </c>
      <c r="W46" s="400">
        <f t="shared" si="9"/>
        <v>13.193724483944862</v>
      </c>
      <c r="X46" s="157">
        <f t="shared" si="10"/>
        <v>44958</v>
      </c>
      <c r="Y46" s="383">
        <f t="shared" si="11"/>
        <v>12.478809073737498</v>
      </c>
      <c r="Z46" s="383">
        <f t="shared" si="21"/>
        <v>12.837089150570726</v>
      </c>
      <c r="AA46" s="384">
        <f t="shared" si="12"/>
        <v>14.000959845871677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8.3127921807741548E-2</v>
      </c>
      <c r="AD46" s="230">
        <f>(INDEX(Models!$BJ46:$BT46,,AH46)*(1-AF46)+INDEX(Models!$BJ46:$BT46,,AH46+1)*AF46-ERP_i)*AE46*Ramure*Pc/MaxiM</f>
        <v>2.9581855062451403E-3</v>
      </c>
      <c r="AE46" s="304">
        <f t="shared" si="14"/>
        <v>0.6</v>
      </c>
      <c r="AF46" s="177">
        <f t="shared" si="22"/>
        <v>0.50090032241964011</v>
      </c>
      <c r="AG46" s="799">
        <f t="shared" si="23"/>
        <v>0</v>
      </c>
      <c r="AH46" s="176">
        <f t="shared" si="15"/>
        <v>6</v>
      </c>
      <c r="AI46" s="224">
        <f t="shared" si="24"/>
        <v>0.50090032241964011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409">
        <f>'2022'!Wh/'2022'!Env_an*'2023'!Env_an</f>
        <v>5.5697816532856379</v>
      </c>
      <c r="C47" s="829"/>
      <c r="D47" s="391">
        <f t="shared" si="0"/>
        <v>5.7298059064164324</v>
      </c>
      <c r="E47" s="383">
        <f t="shared" si="1"/>
        <v>5.9110856453477059</v>
      </c>
      <c r="F47" s="383">
        <f t="shared" si="2"/>
        <v>5.9110856453477059</v>
      </c>
      <c r="G47" s="110">
        <f t="shared" si="19"/>
        <v>0.17318573427661157</v>
      </c>
      <c r="H47" s="412" t="b">
        <f>Wh_hp&gt;='2022'!Maxi_hp</f>
        <v>0</v>
      </c>
      <c r="I47" s="379">
        <f>IF(H47,Wh_hp,'2022'!Maxi_hp)</f>
        <v>29.977059055663016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2.7928389852018176E-2</v>
      </c>
      <c r="M47" s="832"/>
      <c r="N47" s="832"/>
      <c r="O47" s="48">
        <f>IF(t&lt;Tnet,'2022'!Resal+('2022'!Salim-'2022'!Resal)*(1-EXP(('2022'!Tnet-t)/('2022'!Tau_j))),Resal+(Salim-Resal)*(1-EXP((Tnet-t)/(Tau_j))))*Salcycl</f>
        <v>3.0667757127482789E-2</v>
      </c>
      <c r="P47" s="338">
        <f>(INDEX(Models!$BJ47:$BT47,,T47)*(1-R47)+INDEX(Models!$BJ47:$BT47,,T47+1)*R47-ERP_i)*Q47*Ramure*Pc/MaxiM</f>
        <v>2.8783287175897067E-3</v>
      </c>
      <c r="Q47" s="304">
        <f t="shared" si="4"/>
        <v>0.6</v>
      </c>
      <c r="R47" s="177">
        <f t="shared" si="5"/>
        <v>0.50100400498488495</v>
      </c>
      <c r="S47" s="799">
        <f t="shared" si="6"/>
        <v>0</v>
      </c>
      <c r="T47" s="176">
        <f t="shared" si="7"/>
        <v>6</v>
      </c>
      <c r="U47" s="250">
        <f t="shared" si="20"/>
        <v>0.50100400498488495</v>
      </c>
      <c r="V47" s="382">
        <f t="shared" si="8"/>
        <v>32.068172439260231</v>
      </c>
      <c r="W47" s="400">
        <f t="shared" si="9"/>
        <v>5.5697816532856379</v>
      </c>
      <c r="X47" s="157">
        <f t="shared" si="10"/>
        <v>44959</v>
      </c>
      <c r="Y47" s="383">
        <f t="shared" si="11"/>
        <v>5.2683680856598416</v>
      </c>
      <c r="Z47" s="383">
        <f t="shared" si="21"/>
        <v>5.4197324874633663</v>
      </c>
      <c r="AA47" s="384">
        <f t="shared" si="12"/>
        <v>5.9110856453477059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8.3124012637349684E-2</v>
      </c>
      <c r="AD47" s="230">
        <f>(INDEX(Models!$BJ47:$BT47,,AH47)*(1-AF47)+INDEX(Models!$BJ47:$BT47,,AH47+1)*AF47-ERP_i)*AE47*Ramure*Pc/MaxiM</f>
        <v>2.8783287175897067E-3</v>
      </c>
      <c r="AE47" s="304">
        <f t="shared" si="14"/>
        <v>0.6</v>
      </c>
      <c r="AF47" s="177">
        <f t="shared" si="22"/>
        <v>0.50100400498488495</v>
      </c>
      <c r="AG47" s="799">
        <f t="shared" si="23"/>
        <v>0</v>
      </c>
      <c r="AH47" s="176">
        <f t="shared" si="15"/>
        <v>6</v>
      </c>
      <c r="AI47" s="224">
        <f t="shared" si="24"/>
        <v>0.50100400498488495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409">
        <f>'2022'!Wh/'2022'!Env_an*'2023'!Env_an</f>
        <v>10.931123946244773</v>
      </c>
      <c r="C48" s="829"/>
      <c r="D48" s="391">
        <f t="shared" si="0"/>
        <v>11.24539933955303</v>
      </c>
      <c r="E48" s="383">
        <f t="shared" si="1"/>
        <v>11.601992031440037</v>
      </c>
      <c r="F48" s="383">
        <f t="shared" si="2"/>
        <v>11.603719744884897</v>
      </c>
      <c r="G48" s="110">
        <f t="shared" si="19"/>
        <v>0.33630987295957793</v>
      </c>
      <c r="H48" s="412" t="b">
        <f>Wh_hp&gt;='2022'!Maxi_hp</f>
        <v>0</v>
      </c>
      <c r="I48" s="379">
        <f>IF(H48,Wh_hp,'2022'!Maxi_hp)</f>
        <v>27.588451395254136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2.7947019382661531E-2</v>
      </c>
      <c r="M48" s="832"/>
      <c r="N48" s="832"/>
      <c r="O48" s="48">
        <f>IF(t&lt;Tnet,'2022'!Resal+('2022'!Salim-'2022'!Resal)*(1-EXP(('2022'!Tnet-t)/('2022'!Tau_j))),Resal+(Salim-Resal)*(1-EXP((Tnet-t)/(Tau_j))))*Salcycl</f>
        <v>3.0735471195005366E-2</v>
      </c>
      <c r="P48" s="338">
        <f>(INDEX(Models!$BJ48:$BT48,,T48)*(1-R48)+INDEX(Models!$BJ48:$BT48,,T48+1)*R48-ERP_i)*Q48*Ramure*Pc/MaxiM</f>
        <v>2.8014162748801114E-3</v>
      </c>
      <c r="Q48" s="304">
        <f t="shared" si="4"/>
        <v>0.6</v>
      </c>
      <c r="R48" s="177">
        <f t="shared" si="5"/>
        <v>0.50111199135951789</v>
      </c>
      <c r="S48" s="799">
        <f t="shared" si="6"/>
        <v>0</v>
      </c>
      <c r="T48" s="176">
        <f t="shared" si="7"/>
        <v>6</v>
      </c>
      <c r="U48" s="250">
        <f t="shared" si="20"/>
        <v>0.50111199135951789</v>
      </c>
      <c r="V48" s="382">
        <f t="shared" si="8"/>
        <v>32.41690311546467</v>
      </c>
      <c r="W48" s="400">
        <f t="shared" si="9"/>
        <v>10.931123946244773</v>
      </c>
      <c r="X48" s="157">
        <f t="shared" si="10"/>
        <v>44960</v>
      </c>
      <c r="Y48" s="383">
        <f t="shared" si="11"/>
        <v>10.34034172585101</v>
      </c>
      <c r="Z48" s="383">
        <f t="shared" si="21"/>
        <v>10.637631828754838</v>
      </c>
      <c r="AA48" s="384">
        <f t="shared" si="12"/>
        <v>11.601992031440037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8.3120226256999288E-2</v>
      </c>
      <c r="AD48" s="230">
        <f>(INDEX(Models!$BJ48:$BT48,,AH48)*(1-AF48)+INDEX(Models!$BJ48:$BT48,,AH48+1)*AF48-ERP_i)*AE48*Ramure*Pc/MaxiM</f>
        <v>2.8014162748801114E-3</v>
      </c>
      <c r="AE48" s="304">
        <f t="shared" si="14"/>
        <v>0.6</v>
      </c>
      <c r="AF48" s="177">
        <f t="shared" si="22"/>
        <v>0.50111199135951789</v>
      </c>
      <c r="AG48" s="799">
        <f t="shared" si="23"/>
        <v>0</v>
      </c>
      <c r="AH48" s="176">
        <f t="shared" si="15"/>
        <v>6</v>
      </c>
      <c r="AI48" s="224">
        <f t="shared" si="24"/>
        <v>0.50111199135951789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409">
        <f>'2022'!Wh/'2022'!Env_an*'2023'!Env_an</f>
        <v>10.766514597500539</v>
      </c>
      <c r="C49" s="829"/>
      <c r="D49" s="391">
        <f t="shared" si="0"/>
        <v>11.076269662187805</v>
      </c>
      <c r="E49" s="383">
        <f t="shared" si="1"/>
        <v>11.428297037936796</v>
      </c>
      <c r="F49" s="383">
        <f t="shared" si="2"/>
        <v>11.429571040539104</v>
      </c>
      <c r="G49" s="110">
        <f t="shared" si="19"/>
        <v>0.3277481592323781</v>
      </c>
      <c r="H49" s="412" t="b">
        <f>Wh_hp&gt;='2022'!Maxi_hp</f>
        <v>0</v>
      </c>
      <c r="I49" s="379">
        <f>IF(H49,Wh_hp,'2022'!Maxi_hp)</f>
        <v>19.347515119040757</v>
      </c>
      <c r="J49" s="85">
        <f>IF(H49,An,'2022'!An_max)</f>
        <v>2020</v>
      </c>
      <c r="K49" s="197">
        <f t="shared" si="3"/>
        <v>44961</v>
      </c>
      <c r="L49" s="147">
        <f>IF(t&lt;Tvie,1-EXP((T0-t)*PertePVj)+'2022'!Pspv,1-EXP((T0-t)*PertePVj)+Pspv)</f>
        <v>2.7965648556274147E-2</v>
      </c>
      <c r="M49" s="832"/>
      <c r="N49" s="832"/>
      <c r="O49" s="48">
        <f>IF(t&lt;Tnet,'2022'!Resal+('2022'!Salim-'2022'!Resal)*(1-EXP(('2022'!Tnet-t)/('2022'!Tau_j))),Resal+(Salim-Resal)*(1-EXP((Tnet-t)/(Tau_j))))*Salcycl</f>
        <v>3.0803134936064198E-2</v>
      </c>
      <c r="P49" s="338">
        <f>(INDEX(Models!$BJ49:$BT49,,T49)*(1-R49)+INDEX(Models!$BJ49:$BT49,,T49+1)*R49-ERP_i)*Q49*Ramure*Pc/MaxiM</f>
        <v>2.7274245845576002E-3</v>
      </c>
      <c r="Q49" s="304">
        <f t="shared" si="4"/>
        <v>0.6</v>
      </c>
      <c r="R49" s="177">
        <f t="shared" si="5"/>
        <v>0.50122445819888395</v>
      </c>
      <c r="S49" s="799">
        <f t="shared" si="6"/>
        <v>0</v>
      </c>
      <c r="T49" s="176">
        <f t="shared" si="7"/>
        <v>6</v>
      </c>
      <c r="U49" s="250">
        <f t="shared" si="20"/>
        <v>0.50122445819888395</v>
      </c>
      <c r="V49" s="382">
        <f t="shared" si="8"/>
        <v>32.764018327357931</v>
      </c>
      <c r="W49" s="400">
        <f t="shared" si="9"/>
        <v>10.766514597500539</v>
      </c>
      <c r="X49" s="157">
        <f t="shared" si="10"/>
        <v>44961</v>
      </c>
      <c r="Y49" s="383">
        <f t="shared" si="11"/>
        <v>10.185380624936213</v>
      </c>
      <c r="Z49" s="383">
        <f t="shared" si="21"/>
        <v>10.478416333546498</v>
      </c>
      <c r="AA49" s="384">
        <f t="shared" si="12"/>
        <v>11.428297037936796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8.3116557194577834E-2</v>
      </c>
      <c r="AD49" s="230">
        <f>(INDEX(Models!$BJ49:$BT49,,AH49)*(1-AF49)+INDEX(Models!$BJ49:$BT49,,AH49+1)*AF49-ERP_i)*AE49*Ramure*Pc/MaxiM</f>
        <v>2.7274245845576002E-3</v>
      </c>
      <c r="AE49" s="304">
        <f t="shared" si="14"/>
        <v>0.6</v>
      </c>
      <c r="AF49" s="177">
        <f t="shared" si="22"/>
        <v>0.50122445819888395</v>
      </c>
      <c r="AG49" s="799">
        <f t="shared" si="23"/>
        <v>0</v>
      </c>
      <c r="AH49" s="176">
        <f t="shared" si="15"/>
        <v>6</v>
      </c>
      <c r="AI49" s="224">
        <f t="shared" si="24"/>
        <v>0.50122445819888395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409">
        <f>'2022'!Wh/'2022'!Env_an*'2023'!Env_an</f>
        <v>9.4606756352582071</v>
      </c>
      <c r="C50" s="829"/>
      <c r="D50" s="391">
        <f t="shared" si="0"/>
        <v>9.7330479487390971</v>
      </c>
      <c r="E50" s="383">
        <f t="shared" si="1"/>
        <v>10.043085494432662</v>
      </c>
      <c r="F50" s="383">
        <f t="shared" si="2"/>
        <v>10.043085494432662</v>
      </c>
      <c r="G50" s="110">
        <f t="shared" si="19"/>
        <v>0.28498784050284454</v>
      </c>
      <c r="H50" s="412" t="b">
        <f>Wh_hp&gt;='2022'!Maxi_hp</f>
        <v>0</v>
      </c>
      <c r="I50" s="379">
        <f>IF(H50,Wh_hp,'2022'!Maxi_hp)</f>
        <v>35.681802082367859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2.7984277372862909E-2</v>
      </c>
      <c r="M50" s="832"/>
      <c r="N50" s="832"/>
      <c r="O50" s="48">
        <f>IF(t&lt;Tnet,'2022'!Resal+('2022'!Salim-'2022'!Resal)*(1-EXP(('2022'!Tnet-t)/('2022'!Tau_j))),Resal+(Salim-Resal)*(1-EXP((Tnet-t)/(Tau_j))))*Salcycl</f>
        <v>3.0870746432003649E-2</v>
      </c>
      <c r="P50" s="338">
        <f>(INDEX(Models!$BJ50:$BT50,,T50)*(1-R50)+INDEX(Models!$BJ50:$BT50,,T50+1)*R50-ERP_i)*Q50*Ramure*Pc/MaxiM</f>
        <v>2.6563230029779394E-3</v>
      </c>
      <c r="Q50" s="304">
        <f t="shared" si="4"/>
        <v>0.6</v>
      </c>
      <c r="R50" s="177">
        <f t="shared" si="5"/>
        <v>0.50134158923966476</v>
      </c>
      <c r="S50" s="799">
        <f t="shared" si="6"/>
        <v>0</v>
      </c>
      <c r="T50" s="176">
        <f t="shared" si="7"/>
        <v>6</v>
      </c>
      <c r="U50" s="250">
        <f t="shared" si="20"/>
        <v>0.50134158923966476</v>
      </c>
      <c r="V50" s="382">
        <f t="shared" si="8"/>
        <v>33.108588100797867</v>
      </c>
      <c r="W50" s="400">
        <f t="shared" si="9"/>
        <v>9.4606756352582071</v>
      </c>
      <c r="X50" s="157">
        <f t="shared" si="10"/>
        <v>44962</v>
      </c>
      <c r="Y50" s="383">
        <f t="shared" si="11"/>
        <v>8.9506848306159181</v>
      </c>
      <c r="Z50" s="383">
        <f t="shared" si="21"/>
        <v>9.2083745378359279</v>
      </c>
      <c r="AA50" s="384">
        <f t="shared" si="12"/>
        <v>10.043085494432662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8.3112999193271031E-2</v>
      </c>
      <c r="AD50" s="230">
        <f>(INDEX(Models!$BJ50:$BT50,,AH50)*(1-AF50)+INDEX(Models!$BJ50:$BT50,,AH50+1)*AF50-ERP_i)*AE50*Ramure*Pc/MaxiM</f>
        <v>2.6563230029779394E-3</v>
      </c>
      <c r="AE50" s="304">
        <f t="shared" si="14"/>
        <v>0.6</v>
      </c>
      <c r="AF50" s="177">
        <f t="shared" si="22"/>
        <v>0.50134158923966476</v>
      </c>
      <c r="AG50" s="799">
        <f t="shared" si="23"/>
        <v>0</v>
      </c>
      <c r="AH50" s="176">
        <f t="shared" si="15"/>
        <v>6</v>
      </c>
      <c r="AI50" s="224">
        <f t="shared" si="24"/>
        <v>0.50134158923966476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409">
        <f>'2022'!Wh/'2022'!Env_an*'2023'!Env_an</f>
        <v>22.040792656183182</v>
      </c>
      <c r="C51" s="829"/>
      <c r="D51" s="391">
        <f t="shared" si="0"/>
        <v>22.675780399384102</v>
      </c>
      <c r="E51" s="383">
        <f t="shared" si="1"/>
        <v>23.399728294577727</v>
      </c>
      <c r="F51" s="383">
        <f t="shared" si="2"/>
        <v>23.430814999244117</v>
      </c>
      <c r="G51" s="110">
        <f t="shared" si="19"/>
        <v>0.6580415495788734</v>
      </c>
      <c r="H51" s="412" t="b">
        <f>Wh_hp&gt;='2022'!Maxi_hp</f>
        <v>0</v>
      </c>
      <c r="I51" s="379">
        <f>IF(H51,Wh_hp,'2022'!Maxi_hp)</f>
        <v>37.076232391062831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2.8002905832434588E-2</v>
      </c>
      <c r="M51" s="832"/>
      <c r="N51" s="832"/>
      <c r="O51" s="48">
        <f>IF(t&lt;Tnet,'2022'!Resal+('2022'!Salim-'2022'!Resal)*(1-EXP(('2022'!Tnet-t)/('2022'!Tau_j))),Resal+(Salim-Resal)*(1-EXP((Tnet-t)/(Tau_j))))*Salcycl</f>
        <v>3.0938303474291998E-2</v>
      </c>
      <c r="P51" s="338">
        <f>(INDEX(Models!$BJ51:$BT51,,T51)*(1-R51)+INDEX(Models!$BJ51:$BT51,,T51+1)*R51-ERP_i)*Q51*Ramure*Pc/MaxiM</f>
        <v>2.5878782689716046E-3</v>
      </c>
      <c r="Q51" s="304">
        <f t="shared" si="4"/>
        <v>0.6</v>
      </c>
      <c r="R51" s="177">
        <f t="shared" si="5"/>
        <v>0.50146357556925891</v>
      </c>
      <c r="S51" s="799">
        <f t="shared" si="6"/>
        <v>0</v>
      </c>
      <c r="T51" s="176">
        <f t="shared" si="7"/>
        <v>6</v>
      </c>
      <c r="U51" s="250">
        <f t="shared" si="20"/>
        <v>0.50146357556925891</v>
      </c>
      <c r="V51" s="382">
        <f t="shared" si="8"/>
        <v>33.452233152162023</v>
      </c>
      <c r="W51" s="400">
        <f t="shared" si="9"/>
        <v>22.040792656183182</v>
      </c>
      <c r="X51" s="157">
        <f t="shared" si="10"/>
        <v>44963</v>
      </c>
      <c r="Y51" s="383">
        <f t="shared" si="11"/>
        <v>20.854185521385055</v>
      </c>
      <c r="Z51" s="383">
        <f t="shared" si="21"/>
        <v>21.454987516444099</v>
      </c>
      <c r="AA51" s="384">
        <f t="shared" si="12"/>
        <v>23.399728294577727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8.3109545275543761E-2</v>
      </c>
      <c r="AD51" s="230">
        <f>(INDEX(Models!$BJ51:$BT51,,AH51)*(1-AF51)+INDEX(Models!$BJ51:$BT51,,AH51+1)*AF51-ERP_i)*AE51*Ramure*Pc/MaxiM</f>
        <v>2.5878782689716046E-3</v>
      </c>
      <c r="AE51" s="304">
        <f t="shared" si="14"/>
        <v>0.6</v>
      </c>
      <c r="AF51" s="177">
        <f t="shared" si="22"/>
        <v>0.50146357556925891</v>
      </c>
      <c r="AG51" s="799">
        <f t="shared" si="23"/>
        <v>0</v>
      </c>
      <c r="AH51" s="176">
        <f t="shared" si="15"/>
        <v>6</v>
      </c>
      <c r="AI51" s="224">
        <f t="shared" si="24"/>
        <v>0.50146357556925891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409">
        <f>'2022'!Wh/'2022'!Env_an*'2023'!Env_an</f>
        <v>9.288972130872315</v>
      </c>
      <c r="C52" s="829"/>
      <c r="D52" s="391">
        <f t="shared" si="0"/>
        <v>9.5567674132516114</v>
      </c>
      <c r="E52" s="383">
        <f t="shared" si="1"/>
        <v>9.8625641398665049</v>
      </c>
      <c r="F52" s="383">
        <f t="shared" si="2"/>
        <v>9.8625641398665049</v>
      </c>
      <c r="G52" s="110">
        <f t="shared" si="19"/>
        <v>0.27415192365507079</v>
      </c>
      <c r="H52" s="412" t="b">
        <f>Wh_hp&gt;='2022'!Maxi_hp</f>
        <v>0</v>
      </c>
      <c r="I52" s="379">
        <f>IF(H52,Wh_hp,'2022'!Maxi_hp)</f>
        <v>24.451684563184926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2.8021533934996179E-2</v>
      </c>
      <c r="M52" s="832"/>
      <c r="N52" s="832"/>
      <c r="O52" s="48">
        <f>IF(t&lt;Tnet,'2022'!Resal+('2022'!Salim-'2022'!Resal)*(1-EXP(('2022'!Tnet-t)/('2022'!Tau_j))),Resal+(Salim-Resal)*(1-EXP((Tnet-t)/(Tau_j))))*Salcycl</f>
        <v>3.1005803590042107E-2</v>
      </c>
      <c r="P52" s="338">
        <f>(INDEX(Models!$BJ52:$BT52,,T52)*(1-R52)+INDEX(Models!$BJ52:$BT52,,T52+1)*R52-ERP_i)*Q52*Ramure*Pc/MaxiM</f>
        <v>2.5204683186201152E-3</v>
      </c>
      <c r="Q52" s="304">
        <f t="shared" si="4"/>
        <v>0.6</v>
      </c>
      <c r="R52" s="177">
        <f t="shared" si="5"/>
        <v>0.50159061590416032</v>
      </c>
      <c r="S52" s="799">
        <f t="shared" si="6"/>
        <v>0</v>
      </c>
      <c r="T52" s="176">
        <f t="shared" si="7"/>
        <v>6</v>
      </c>
      <c r="U52" s="250">
        <f t="shared" si="20"/>
        <v>0.50159061590416032</v>
      </c>
      <c r="V52" s="382">
        <f t="shared" si="8"/>
        <v>33.797171463810479</v>
      </c>
      <c r="W52" s="400">
        <f t="shared" si="9"/>
        <v>9.288972130872315</v>
      </c>
      <c r="X52" s="157">
        <f t="shared" si="10"/>
        <v>44964</v>
      </c>
      <c r="Y52" s="383">
        <f t="shared" si="11"/>
        <v>8.7895274294418524</v>
      </c>
      <c r="Z52" s="383">
        <f t="shared" si="21"/>
        <v>9.0429240320783268</v>
      </c>
      <c r="AA52" s="384">
        <f t="shared" si="12"/>
        <v>9.8625641398665049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8.3106187819354777E-2</v>
      </c>
      <c r="AD52" s="230">
        <f>(INDEX(Models!$BJ52:$BT52,,AH52)*(1-AF52)+INDEX(Models!$BJ52:$BT52,,AH52+1)*AF52-ERP_i)*AE52*Ramure*Pc/MaxiM</f>
        <v>2.5204683186201152E-3</v>
      </c>
      <c r="AE52" s="304">
        <f t="shared" si="14"/>
        <v>0.6</v>
      </c>
      <c r="AF52" s="177">
        <f t="shared" si="22"/>
        <v>0.50159061590416032</v>
      </c>
      <c r="AG52" s="799">
        <f t="shared" si="23"/>
        <v>0</v>
      </c>
      <c r="AH52" s="176">
        <f t="shared" si="15"/>
        <v>6</v>
      </c>
      <c r="AI52" s="224">
        <f t="shared" si="24"/>
        <v>0.50159061590416032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409">
        <f>'2022'!Wh/'2022'!Env_an*'2023'!Env_an</f>
        <v>34.449361610431609</v>
      </c>
      <c r="C53" s="829"/>
      <c r="D53" s="391">
        <f t="shared" si="0"/>
        <v>35.443194515110648</v>
      </c>
      <c r="E53" s="383">
        <f t="shared" si="1"/>
        <v>36.579849094133174</v>
      </c>
      <c r="F53" s="383">
        <f t="shared" si="2"/>
        <v>36.669864928426449</v>
      </c>
      <c r="G53" s="110">
        <f t="shared" si="19"/>
        <v>1.0089647411935274</v>
      </c>
      <c r="H53" s="412" t="b">
        <f>Wh_hp&gt;='2022'!Maxi_hp</f>
        <v>1</v>
      </c>
      <c r="I53" s="379">
        <f>IF(H53,Wh_hp,'2022'!Maxi_hp)</f>
        <v>36.669864928426449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2.8040161680554343E-2</v>
      </c>
      <c r="M53" s="832"/>
      <c r="N53" s="832"/>
      <c r="O53" s="48">
        <f>IF(t&lt;Tnet,'2022'!Resal+('2022'!Salim-'2022'!Resal)*(1-EXP(('2022'!Tnet-t)/('2022'!Tau_j))),Resal+(Salim-Resal)*(1-EXP((Tnet-t)/(Tau_j))))*Salcycl</f>
        <v>3.1073244072098376E-2</v>
      </c>
      <c r="P53" s="338">
        <f>(INDEX(Models!$BJ53:$BT53,,T53)*(1-R53)+INDEX(Models!$BJ53:$BT53,,T53+1)*R53-ERP_i)*Q53*Ramure*Pc/MaxiM</f>
        <v>2.4547631814016545E-3</v>
      </c>
      <c r="Q53" s="304">
        <f t="shared" si="4"/>
        <v>0.6</v>
      </c>
      <c r="R53" s="177">
        <f t="shared" si="5"/>
        <v>0.50172291687752657</v>
      </c>
      <c r="S53" s="799">
        <f t="shared" si="6"/>
        <v>0</v>
      </c>
      <c r="T53" s="176">
        <f t="shared" si="7"/>
        <v>6</v>
      </c>
      <c r="U53" s="250">
        <f t="shared" si="20"/>
        <v>0.50172291687752657</v>
      </c>
      <c r="V53" s="382">
        <f t="shared" si="8"/>
        <v>34.143275977791532</v>
      </c>
      <c r="W53" s="400">
        <f t="shared" si="9"/>
        <v>34.449361610431609</v>
      </c>
      <c r="X53" s="157">
        <f t="shared" si="10"/>
        <v>44965</v>
      </c>
      <c r="Y53" s="383">
        <f t="shared" si="11"/>
        <v>32.599491057381208</v>
      </c>
      <c r="Z53" s="383">
        <f t="shared" si="21"/>
        <v>33.539956870797177</v>
      </c>
      <c r="AA53" s="384">
        <f t="shared" si="12"/>
        <v>36.579849094133174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8.31029186455432E-2</v>
      </c>
      <c r="AD53" s="230">
        <f>(INDEX(Models!$BJ53:$BT53,,AH53)*(1-AF53)+INDEX(Models!$BJ53:$BT53,,AH53+1)*AF53-ERP_i)*AE53*Ramure*Pc/MaxiM</f>
        <v>2.4547631814016545E-3</v>
      </c>
      <c r="AE53" s="304">
        <f t="shared" si="14"/>
        <v>0.6</v>
      </c>
      <c r="AF53" s="177">
        <f t="shared" si="22"/>
        <v>0.50172291687752657</v>
      </c>
      <c r="AG53" s="799">
        <f t="shared" si="23"/>
        <v>0</v>
      </c>
      <c r="AH53" s="176">
        <f t="shared" si="15"/>
        <v>6</v>
      </c>
      <c r="AI53" s="224">
        <f t="shared" si="24"/>
        <v>0.50172291687752657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409">
        <f>'2022'!Wh/'2022'!Env_an*'2023'!Env_an</f>
        <v>34.74376731045308</v>
      </c>
      <c r="C54" s="829"/>
      <c r="D54" s="391">
        <f t="shared" si="0"/>
        <v>35.746778631988427</v>
      </c>
      <c r="E54" s="383">
        <f t="shared" si="1"/>
        <v>36.895734762119297</v>
      </c>
      <c r="F54" s="383">
        <f t="shared" si="2"/>
        <v>36.984153600859251</v>
      </c>
      <c r="G54" s="110">
        <f t="shared" si="19"/>
        <v>1.0073447597282734</v>
      </c>
      <c r="H54" s="412" t="b">
        <f>Wh_hp&gt;='2022'!Maxi_hp</f>
        <v>1</v>
      </c>
      <c r="I54" s="379">
        <f>IF(H54,Wh_hp,'2022'!Maxi_hp)</f>
        <v>36.984153600859251</v>
      </c>
      <c r="J54" s="85">
        <f>IF(H54,An,'2022'!An_max)</f>
        <v>2023</v>
      </c>
      <c r="K54" s="197">
        <f t="shared" si="3"/>
        <v>44966</v>
      </c>
      <c r="L54" s="147">
        <f>IF(t&lt;Tvie,1-EXP((T0-t)*PertePVj)+'2022'!Pspv,1-EXP((T0-t)*PertePVj)+Pspv)</f>
        <v>2.8058789069116075E-2</v>
      </c>
      <c r="M54" s="832"/>
      <c r="N54" s="832"/>
      <c r="O54" s="48">
        <f>IF(t&lt;Tnet,'2022'!Resal+('2022'!Salim-'2022'!Resal)*(1-EXP(('2022'!Tnet-t)/('2022'!Tau_j))),Resal+(Salim-Resal)*(1-EXP((Tnet-t)/(Tau_j))))*Salcycl</f>
        <v>3.1140622013319994E-2</v>
      </c>
      <c r="P54" s="338">
        <f>(INDEX(Models!$BJ54:$BT54,,T54)*(1-R54)+INDEX(Models!$BJ54:$BT54,,T54+1)*R54-ERP_i)*Q54*Ramure*Pc/MaxiM</f>
        <v>2.3907222453754045E-3</v>
      </c>
      <c r="Q54" s="304">
        <f t="shared" si="4"/>
        <v>0.6</v>
      </c>
      <c r="R54" s="177">
        <f t="shared" si="5"/>
        <v>0.50186069333611771</v>
      </c>
      <c r="S54" s="799">
        <f t="shared" si="6"/>
        <v>0</v>
      </c>
      <c r="T54" s="176">
        <f t="shared" si="7"/>
        <v>6</v>
      </c>
      <c r="U54" s="250">
        <f t="shared" si="20"/>
        <v>0.50186069333611771</v>
      </c>
      <c r="V54" s="382">
        <f t="shared" si="8"/>
        <v>34.490443291554968</v>
      </c>
      <c r="W54" s="400">
        <f t="shared" si="9"/>
        <v>34.74376731045308</v>
      </c>
      <c r="X54" s="157">
        <f t="shared" si="10"/>
        <v>44966</v>
      </c>
      <c r="Y54" s="383">
        <f t="shared" si="11"/>
        <v>32.880488523226902</v>
      </c>
      <c r="Z54" s="383">
        <f t="shared" si="21"/>
        <v>33.829709197879744</v>
      </c>
      <c r="AA54" s="384">
        <f t="shared" si="12"/>
        <v>36.895734762119297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8.309972911523171E-2</v>
      </c>
      <c r="AD54" s="230">
        <f>(INDEX(Models!$BJ54:$BT54,,AH54)*(1-AF54)+INDEX(Models!$BJ54:$BT54,,AH54+1)*AF54-ERP_i)*AE54*Ramure*Pc/MaxiM</f>
        <v>2.3907222453754045E-3</v>
      </c>
      <c r="AE54" s="304">
        <f t="shared" si="14"/>
        <v>0.6</v>
      </c>
      <c r="AF54" s="177">
        <f t="shared" si="22"/>
        <v>0.50186069333611771</v>
      </c>
      <c r="AG54" s="799">
        <f t="shared" si="23"/>
        <v>0</v>
      </c>
      <c r="AH54" s="176">
        <f t="shared" si="15"/>
        <v>6</v>
      </c>
      <c r="AI54" s="224">
        <f t="shared" si="24"/>
        <v>0.50186069333611771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409">
        <f>'2022'!Wh/'2022'!Env_an*'2023'!Env_an</f>
        <v>32.40034160670713</v>
      </c>
      <c r="C55" s="829"/>
      <c r="D55" s="391">
        <f t="shared" si="0"/>
        <v>33.336339893161394</v>
      </c>
      <c r="E55" s="383">
        <f t="shared" si="1"/>
        <v>34.410211514904127</v>
      </c>
      <c r="F55" s="383">
        <f t="shared" si="2"/>
        <v>34.482470217356955</v>
      </c>
      <c r="G55" s="110">
        <f t="shared" si="19"/>
        <v>0.92979658441195734</v>
      </c>
      <c r="H55" s="412" t="b">
        <f>Wh_hp&gt;='2022'!Maxi_hp</f>
        <v>0</v>
      </c>
      <c r="I55" s="379">
        <f>IF(H55,Wh_hp,'2022'!Maxi_hp)</f>
        <v>34.485478690767295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2.8077416100688146E-2</v>
      </c>
      <c r="M55" s="832"/>
      <c r="N55" s="832"/>
      <c r="O55" s="48">
        <f>IF(t&lt;Tnet,'2022'!Resal+('2022'!Salim-'2022'!Resal)*(1-EXP(('2022'!Tnet-t)/('2022'!Tau_j))),Resal+(Salim-Resal)*(1-EXP((Tnet-t)/(Tau_j))))*Salcycl</f>
        <v>3.1207934344652462E-2</v>
      </c>
      <c r="P55" s="338">
        <f>(INDEX(Models!$BJ55:$BT55,,T55)*(1-R55)+INDEX(Models!$BJ55:$BT55,,T55+1)*R55-ERP_i)*Q55*Ramure*Pc/MaxiM</f>
        <v>2.3283054283795498E-3</v>
      </c>
      <c r="Q55" s="304">
        <f t="shared" si="4"/>
        <v>0.6</v>
      </c>
      <c r="R55" s="177">
        <f t="shared" si="5"/>
        <v>0.50200416864678021</v>
      </c>
      <c r="S55" s="799">
        <f t="shared" si="6"/>
        <v>0</v>
      </c>
      <c r="T55" s="176">
        <f t="shared" si="7"/>
        <v>6</v>
      </c>
      <c r="U55" s="250">
        <f t="shared" si="20"/>
        <v>0.50200416864678021</v>
      </c>
      <c r="V55" s="382">
        <f t="shared" si="8"/>
        <v>34.838570049357735</v>
      </c>
      <c r="W55" s="400">
        <f t="shared" si="9"/>
        <v>32.40034160670713</v>
      </c>
      <c r="X55" s="157">
        <f t="shared" si="10"/>
        <v>44967</v>
      </c>
      <c r="Y55" s="383">
        <f t="shared" si="11"/>
        <v>30.664973529283333</v>
      </c>
      <c r="Z55" s="383">
        <f t="shared" si="21"/>
        <v>31.550839580511415</v>
      </c>
      <c r="AA55" s="384">
        <f t="shared" si="12"/>
        <v>34.410211514904127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8.3096610236011823E-2</v>
      </c>
      <c r="AD55" s="230">
        <f>(INDEX(Models!$BJ55:$BT55,,AH55)*(1-AF55)+INDEX(Models!$BJ55:$BT55,,AH55+1)*AF55-ERP_i)*AE55*Ramure*Pc/MaxiM</f>
        <v>2.3283054283795498E-3</v>
      </c>
      <c r="AE55" s="304">
        <f t="shared" si="14"/>
        <v>0.6</v>
      </c>
      <c r="AF55" s="177">
        <f t="shared" si="22"/>
        <v>0.50200416864678021</v>
      </c>
      <c r="AG55" s="799">
        <f t="shared" si="23"/>
        <v>0</v>
      </c>
      <c r="AH55" s="176">
        <f t="shared" si="15"/>
        <v>6</v>
      </c>
      <c r="AI55" s="224">
        <f t="shared" si="24"/>
        <v>0.50200416864678021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409">
        <f>'2022'!Wh/'2022'!Env_an*'2023'!Env_an</f>
        <v>17.948212232148926</v>
      </c>
      <c r="C56" s="829"/>
      <c r="D56" s="391">
        <f t="shared" si="0"/>
        <v>18.467063642173194</v>
      </c>
      <c r="E56" s="383">
        <f t="shared" si="1"/>
        <v>19.063270828235026</v>
      </c>
      <c r="F56" s="383">
        <f t="shared" si="2"/>
        <v>19.07625179167157</v>
      </c>
      <c r="G56" s="110">
        <f t="shared" si="19"/>
        <v>0.50926272518759208</v>
      </c>
      <c r="H56" s="412" t="b">
        <f>Wh_hp&gt;='2022'!Maxi_hp</f>
        <v>0</v>
      </c>
      <c r="I56" s="379">
        <f>IF(H56,Wh_hp,'2022'!Maxi_hp)</f>
        <v>31.561088268066062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2.8096042775277441E-2</v>
      </c>
      <c r="M56" s="832"/>
      <c r="N56" s="832"/>
      <c r="O56" s="48">
        <f>IF(t&lt;Tnet,'2022'!Resal+('2022'!Salim-'2022'!Resal)*(1-EXP(('2022'!Tnet-t)/('2022'!Tau_j))),Resal+(Salim-Resal)*(1-EXP((Tnet-t)/(Tau_j))))*Salcycl</f>
        <v>3.1275177876546635E-2</v>
      </c>
      <c r="P56" s="338">
        <f>(INDEX(Models!$BJ56:$BT56,,T56)*(1-R56)+INDEX(Models!$BJ56:$BT56,,T56+1)*R56-ERP_i)*Q56*Ramure*Pc/MaxiM</f>
        <v>2.2674732898315566E-3</v>
      </c>
      <c r="Q56" s="304">
        <f t="shared" si="4"/>
        <v>0.6</v>
      </c>
      <c r="R56" s="177">
        <f t="shared" si="5"/>
        <v>0.50215357501264146</v>
      </c>
      <c r="S56" s="799">
        <f t="shared" si="6"/>
        <v>0</v>
      </c>
      <c r="T56" s="176">
        <f t="shared" si="7"/>
        <v>6</v>
      </c>
      <c r="U56" s="250">
        <f t="shared" si="20"/>
        <v>0.50215357501264146</v>
      </c>
      <c r="V56" s="382">
        <f t="shared" si="8"/>
        <v>35.187552938749747</v>
      </c>
      <c r="W56" s="400">
        <f t="shared" si="9"/>
        <v>17.948212232148926</v>
      </c>
      <c r="X56" s="157">
        <f t="shared" si="10"/>
        <v>44968</v>
      </c>
      <c r="Y56" s="383">
        <f t="shared" si="11"/>
        <v>16.988138567292488</v>
      </c>
      <c r="Z56" s="383">
        <f t="shared" si="21"/>
        <v>17.479235927593315</v>
      </c>
      <c r="AA56" s="384">
        <f t="shared" si="12"/>
        <v>19.063270828235026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8.309355277561091E-2</v>
      </c>
      <c r="AD56" s="230">
        <f>(INDEX(Models!$BJ56:$BT56,,AH56)*(1-AF56)+INDEX(Models!$BJ56:$BT56,,AH56+1)*AF56-ERP_i)*AE56*Ramure*Pc/MaxiM</f>
        <v>2.2674732898315566E-3</v>
      </c>
      <c r="AE56" s="304">
        <f t="shared" si="14"/>
        <v>0.6</v>
      </c>
      <c r="AF56" s="177">
        <f t="shared" si="22"/>
        <v>0.50215357501264146</v>
      </c>
      <c r="AG56" s="799">
        <f t="shared" si="23"/>
        <v>0</v>
      </c>
      <c r="AH56" s="176">
        <f t="shared" si="15"/>
        <v>6</v>
      </c>
      <c r="AI56" s="224">
        <f t="shared" si="24"/>
        <v>0.50215357501264146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409">
        <f>'2022'!Wh/'2022'!Env_an*'2023'!Env_an</f>
        <v>27.503107911633688</v>
      </c>
      <c r="C57" s="829"/>
      <c r="D57" s="391">
        <f t="shared" si="0"/>
        <v>28.298716975143208</v>
      </c>
      <c r="E57" s="383">
        <f t="shared" si="1"/>
        <v>29.214363770272069</v>
      </c>
      <c r="F57" s="383">
        <f t="shared" si="2"/>
        <v>29.258105038680874</v>
      </c>
      <c r="G57" s="110">
        <f t="shared" si="19"/>
        <v>0.77336974976244388</v>
      </c>
      <c r="H57" s="412" t="b">
        <f>Wh_hp&gt;='2022'!Maxi_hp</f>
        <v>0</v>
      </c>
      <c r="I57" s="379">
        <f>IF(H57,Wh_hp,'2022'!Maxi_hp)</f>
        <v>29.265897627745993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2.8114669092890732E-2</v>
      </c>
      <c r="M57" s="832"/>
      <c r="N57" s="832"/>
      <c r="O57" s="48">
        <f>IF(t&lt;Tnet,'2022'!Resal+('2022'!Salim-'2022'!Resal)*(1-EXP(('2022'!Tnet-t)/('2022'!Tau_j))),Resal+(Salim-Resal)*(1-EXP((Tnet-t)/(Tau_j))))*Salcycl</f>
        <v>3.1342349343257032E-2</v>
      </c>
      <c r="P57" s="338">
        <f>(INDEX(Models!$BJ57:$BT57,,T57)*(1-R57)+INDEX(Models!$BJ57:$BT57,,T57+1)*R57-ERP_i)*Q57*Ramure*Pc/MaxiM</f>
        <v>2.2081871299968817E-3</v>
      </c>
      <c r="Q57" s="304">
        <f t="shared" si="4"/>
        <v>0.6</v>
      </c>
      <c r="R57" s="177">
        <f t="shared" si="5"/>
        <v>0.5023091537991643</v>
      </c>
      <c r="S57" s="799">
        <f t="shared" si="6"/>
        <v>0</v>
      </c>
      <c r="T57" s="176">
        <f t="shared" si="7"/>
        <v>6</v>
      </c>
      <c r="U57" s="250">
        <f t="shared" si="20"/>
        <v>0.5023091537991643</v>
      </c>
      <c r="V57" s="382">
        <f t="shared" si="8"/>
        <v>35.537288686231278</v>
      </c>
      <c r="W57" s="400">
        <f t="shared" si="9"/>
        <v>27.503107911633688</v>
      </c>
      <c r="X57" s="157">
        <f t="shared" si="10"/>
        <v>44969</v>
      </c>
      <c r="Y57" s="383">
        <f t="shared" si="11"/>
        <v>26.033820724443533</v>
      </c>
      <c r="Z57" s="383">
        <f t="shared" si="21"/>
        <v>26.786926293192288</v>
      </c>
      <c r="AA57" s="384">
        <f t="shared" si="12"/>
        <v>29.214363770272069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8.3090547381692123E-2</v>
      </c>
      <c r="AD57" s="230">
        <f>(INDEX(Models!$BJ57:$BT57,,AH57)*(1-AF57)+INDEX(Models!$BJ57:$BT57,,AH57+1)*AF57-ERP_i)*AE57*Ramure*Pc/MaxiM</f>
        <v>2.2081871299968817E-3</v>
      </c>
      <c r="AE57" s="304">
        <f t="shared" si="14"/>
        <v>0.6</v>
      </c>
      <c r="AF57" s="177">
        <f t="shared" si="22"/>
        <v>0.5023091537991643</v>
      </c>
      <c r="AG57" s="799">
        <f t="shared" si="23"/>
        <v>0</v>
      </c>
      <c r="AH57" s="176">
        <f t="shared" si="15"/>
        <v>6</v>
      </c>
      <c r="AI57" s="224">
        <f t="shared" si="24"/>
        <v>0.5023091537991643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409">
        <f>'2022'!Wh/'2022'!Env_an*'2023'!Env_an</f>
        <v>33.648674361749329</v>
      </c>
      <c r="C58" s="829"/>
      <c r="D58" s="391">
        <f t="shared" si="0"/>
        <v>34.622725719987343</v>
      </c>
      <c r="E58" s="383">
        <f t="shared" si="1"/>
        <v>35.745471146015838</v>
      </c>
      <c r="F58" s="383">
        <f t="shared" si="2"/>
        <v>35.815598426744927</v>
      </c>
      <c r="G58" s="110">
        <f t="shared" si="19"/>
        <v>0.9374301499566835</v>
      </c>
      <c r="H58" s="412" t="b">
        <f>Wh_hp&gt;='2022'!Maxi_hp</f>
        <v>0</v>
      </c>
      <c r="I58" s="379">
        <f>IF(H58,Wh_hp,'2022'!Maxi_hp)</f>
        <v>35.818160403759038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2.813329505353479E-2</v>
      </c>
      <c r="M58" s="832"/>
      <c r="N58" s="832"/>
      <c r="O58" s="48">
        <f>IF(t&lt;Tnet,'2022'!Resal+('2022'!Salim-'2022'!Resal)*(1-EXP(('2022'!Tnet-t)/('2022'!Tau_j))),Resal+(Salim-Resal)*(1-EXP((Tnet-t)/(Tau_j))))*Salcycl</f>
        <v>3.140944544952879E-2</v>
      </c>
      <c r="P58" s="338">
        <f>(INDEX(Models!$BJ58:$BT58,,T58)*(1-R58)+INDEX(Models!$BJ58:$BT58,,T58+1)*R58-ERP_i)*Q58*Ramure*Pc/MaxiM</f>
        <v>2.1495997962788786E-3</v>
      </c>
      <c r="Q58" s="304">
        <f t="shared" si="4"/>
        <v>0.6</v>
      </c>
      <c r="R58" s="177">
        <f t="shared" si="5"/>
        <v>0.50247115587020352</v>
      </c>
      <c r="S58" s="799">
        <f t="shared" si="6"/>
        <v>0</v>
      </c>
      <c r="T58" s="176">
        <f t="shared" si="7"/>
        <v>6</v>
      </c>
      <c r="U58" s="250">
        <f t="shared" si="20"/>
        <v>0.50247115587020352</v>
      </c>
      <c r="V58" s="382">
        <f t="shared" si="8"/>
        <v>35.887703158541797</v>
      </c>
      <c r="W58" s="400">
        <f t="shared" si="9"/>
        <v>33.648674361749329</v>
      </c>
      <c r="X58" s="157">
        <f t="shared" si="10"/>
        <v>44970</v>
      </c>
      <c r="Y58" s="383">
        <f t="shared" si="11"/>
        <v>31.853384420807561</v>
      </c>
      <c r="Z58" s="383">
        <f t="shared" si="21"/>
        <v>32.775466284300983</v>
      </c>
      <c r="AA58" s="384">
        <f t="shared" si="12"/>
        <v>35.745471146015838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8.3087584706402567E-2</v>
      </c>
      <c r="AD58" s="230">
        <f>(INDEX(Models!$BJ58:$BT58,,AH58)*(1-AF58)+INDEX(Models!$BJ58:$BT58,,AH58+1)*AF58-ERP_i)*AE58*Ramure*Pc/MaxiM</f>
        <v>2.1495997962788786E-3</v>
      </c>
      <c r="AE58" s="304">
        <f t="shared" si="14"/>
        <v>0.6</v>
      </c>
      <c r="AF58" s="177">
        <f t="shared" si="22"/>
        <v>0.50247115587020352</v>
      </c>
      <c r="AG58" s="799">
        <f t="shared" si="23"/>
        <v>0</v>
      </c>
      <c r="AH58" s="176">
        <f t="shared" si="15"/>
        <v>6</v>
      </c>
      <c r="AI58" s="224">
        <f t="shared" si="24"/>
        <v>0.50247115587020352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409">
        <f>'2022'!Wh/'2022'!Env_an*'2023'!Env_an</f>
        <v>15.797084681669565</v>
      </c>
      <c r="C59" s="829"/>
      <c r="D59" s="391">
        <f t="shared" si="0"/>
        <v>16.254685292327189</v>
      </c>
      <c r="E59" s="383">
        <f t="shared" si="1"/>
        <v>16.782953299534068</v>
      </c>
      <c r="F59" s="383">
        <f t="shared" si="2"/>
        <v>16.789766864862877</v>
      </c>
      <c r="G59" s="110">
        <f t="shared" si="19"/>
        <v>0.43518241118618284</v>
      </c>
      <c r="H59" s="412" t="b">
        <f>Wh_hp&gt;='2022'!Maxi_hp</f>
        <v>0</v>
      </c>
      <c r="I59" s="379">
        <f>IF(H59,Wh_hp,'2022'!Maxi_hp)</f>
        <v>38.116109222133424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2.8151920657216722E-2</v>
      </c>
      <c r="M59" s="832"/>
      <c r="N59" s="832"/>
      <c r="O59" s="48">
        <f>IF(t&lt;Tnet,'2022'!Resal+('2022'!Salim-'2022'!Resal)*(1-EXP(('2022'!Tnet-t)/('2022'!Tau_j))),Resal+(Salim-Resal)*(1-EXP((Tnet-t)/(Tau_j))))*Salcycl</f>
        <v>3.1476462919166059E-2</v>
      </c>
      <c r="P59" s="338">
        <f>(INDEX(Models!$BJ59:$BT59,,T59)*(1-R59)+INDEX(Models!$BJ59:$BT59,,T59+1)*R59-ERP_i)*Q59*Ramure*Pc/MaxiM</f>
        <v>2.0900388997343849E-3</v>
      </c>
      <c r="Q59" s="304">
        <f t="shared" si="4"/>
        <v>0.6</v>
      </c>
      <c r="R59" s="177">
        <f t="shared" si="5"/>
        <v>0.50263984193418521</v>
      </c>
      <c r="S59" s="799">
        <f t="shared" si="6"/>
        <v>0</v>
      </c>
      <c r="T59" s="176">
        <f t="shared" si="7"/>
        <v>6</v>
      </c>
      <c r="U59" s="250">
        <f t="shared" si="20"/>
        <v>0.50263984193418521</v>
      </c>
      <c r="V59" s="382">
        <f t="shared" si="8"/>
        <v>36.238753386664129</v>
      </c>
      <c r="W59" s="400">
        <f t="shared" si="9"/>
        <v>15.797084681669565</v>
      </c>
      <c r="X59" s="157">
        <f t="shared" si="10"/>
        <v>44971</v>
      </c>
      <c r="Y59" s="383">
        <f t="shared" si="11"/>
        <v>14.955330240196856</v>
      </c>
      <c r="Z59" s="383">
        <f t="shared" si="21"/>
        <v>15.388547405794604</v>
      </c>
      <c r="AA59" s="384">
        <f t="shared" si="12"/>
        <v>16.782953299534068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8.3084655534266083E-2</v>
      </c>
      <c r="AD59" s="230">
        <f>(INDEX(Models!$BJ59:$BT59,,AH59)*(1-AF59)+INDEX(Models!$BJ59:$BT59,,AH59+1)*AF59-ERP_i)*AE59*Ramure*Pc/MaxiM</f>
        <v>2.0900388997343849E-3</v>
      </c>
      <c r="AE59" s="304">
        <f t="shared" si="14"/>
        <v>0.6</v>
      </c>
      <c r="AF59" s="177">
        <f t="shared" si="22"/>
        <v>0.50263984193418521</v>
      </c>
      <c r="AG59" s="799">
        <f t="shared" si="23"/>
        <v>0</v>
      </c>
      <c r="AH59" s="176">
        <f t="shared" si="15"/>
        <v>6</v>
      </c>
      <c r="AI59" s="224">
        <f t="shared" si="24"/>
        <v>0.50263984193418521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409">
        <f>'2022'!Wh/'2022'!Env_an*'2023'!Env_an</f>
        <v>19.052830186422764</v>
      </c>
      <c r="C60" s="829"/>
      <c r="D60" s="391">
        <f t="shared" si="0"/>
        <v>19.605117035832873</v>
      </c>
      <c r="E60" s="383">
        <f t="shared" si="1"/>
        <v>20.243671225305913</v>
      </c>
      <c r="F60" s="383">
        <f t="shared" si="2"/>
        <v>20.256633505992287</v>
      </c>
      <c r="G60" s="110">
        <f t="shared" si="19"/>
        <v>0.51998256168066392</v>
      </c>
      <c r="H60" s="412" t="b">
        <f>Wh_hp&gt;='2022'!Maxi_hp</f>
        <v>0</v>
      </c>
      <c r="I60" s="379">
        <f>IF(H60,Wh_hp,'2022'!Maxi_hp)</f>
        <v>37.957548920378891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2.8170545903943189E-2</v>
      </c>
      <c r="M60" s="832"/>
      <c r="N60" s="832"/>
      <c r="O60" s="48">
        <f>IF(t&lt;Tnet,'2022'!Resal+('2022'!Salim-'2022'!Resal)*(1-EXP(('2022'!Tnet-t)/('2022'!Tau_j))),Resal+(Salim-Resal)*(1-EXP((Tnet-t)/(Tau_j))))*Salcycl</f>
        <v>3.1543398544963915E-2</v>
      </c>
      <c r="P60" s="338">
        <f>(INDEX(Models!$BJ60:$BT60,,T60)*(1-R60)+INDEX(Models!$BJ60:$BT60,,T60+1)*R60-ERP_i)*Q60*Ramure*Pc/MaxiM</f>
        <v>2.0295363692571702E-3</v>
      </c>
      <c r="Q60" s="304">
        <f t="shared" si="4"/>
        <v>0.6</v>
      </c>
      <c r="R60" s="177">
        <f t="shared" si="5"/>
        <v>0.50281548290051559</v>
      </c>
      <c r="S60" s="799">
        <f t="shared" si="6"/>
        <v>0</v>
      </c>
      <c r="T60" s="176">
        <f t="shared" si="7"/>
        <v>6</v>
      </c>
      <c r="U60" s="250">
        <f t="shared" si="20"/>
        <v>0.50281548290051559</v>
      </c>
      <c r="V60" s="382">
        <f t="shared" si="8"/>
        <v>36.59033626674205</v>
      </c>
      <c r="W60" s="400">
        <f t="shared" si="9"/>
        <v>19.052830186422764</v>
      </c>
      <c r="X60" s="157">
        <f t="shared" si="10"/>
        <v>44972</v>
      </c>
      <c r="Y60" s="383">
        <f t="shared" si="11"/>
        <v>18.038895773396824</v>
      </c>
      <c r="Z60" s="383">
        <f t="shared" si="21"/>
        <v>18.561791575020361</v>
      </c>
      <c r="AA60" s="384">
        <f t="shared" si="12"/>
        <v>20.243671225305913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8.3081750912012933E-2</v>
      </c>
      <c r="AD60" s="230">
        <f>(INDEX(Models!$BJ60:$BT60,,AH60)*(1-AF60)+INDEX(Models!$BJ60:$BT60,,AH60+1)*AF60-ERP_i)*AE60*Ramure*Pc/MaxiM</f>
        <v>2.0295363692571702E-3</v>
      </c>
      <c r="AE60" s="304">
        <f t="shared" si="14"/>
        <v>0.6</v>
      </c>
      <c r="AF60" s="177">
        <f t="shared" si="22"/>
        <v>0.50281548290051559</v>
      </c>
      <c r="AG60" s="799">
        <f t="shared" si="23"/>
        <v>0</v>
      </c>
      <c r="AH60" s="176">
        <f t="shared" si="15"/>
        <v>6</v>
      </c>
      <c r="AI60" s="224">
        <f t="shared" si="24"/>
        <v>0.50281548290051559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409">
        <f>'2022'!Wh/'2022'!Env_an*'2023'!Env_an</f>
        <v>9.3715462860644312</v>
      </c>
      <c r="C61" s="829"/>
      <c r="D61" s="391">
        <f t="shared" si="0"/>
        <v>9.6433853219340939</v>
      </c>
      <c r="E61" s="383">
        <f t="shared" si="1"/>
        <v>9.9581654125941679</v>
      </c>
      <c r="F61" s="383">
        <f t="shared" si="2"/>
        <v>9.9581654125941679</v>
      </c>
      <c r="G61" s="110">
        <f t="shared" si="19"/>
        <v>0.25318103091678901</v>
      </c>
      <c r="H61" s="412" t="b">
        <f>Wh_hp&gt;='2022'!Maxi_hp</f>
        <v>0</v>
      </c>
      <c r="I61" s="379">
        <f>IF(H61,Wh_hp,'2022'!Maxi_hp)</f>
        <v>33.411514000889703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2.8189170793720963E-2</v>
      </c>
      <c r="M61" s="832"/>
      <c r="N61" s="832"/>
      <c r="O61" s="48">
        <f>IF(t&lt;Tnet,'2022'!Resal+('2022'!Salim-'2022'!Resal)*(1-EXP(('2022'!Tnet-t)/('2022'!Tau_j))),Resal+(Salim-Resal)*(1-EXP((Tnet-t)/(Tau_j))))*Salcycl</f>
        <v>3.1610249239480262E-2</v>
      </c>
      <c r="P61" s="338">
        <f>(INDEX(Models!$BJ61:$BT61,,T61)*(1-R61)+INDEX(Models!$BJ61:$BT61,,T61+1)*R61-ERP_i)*Q61*Ramure*Pc/MaxiM</f>
        <v>1.9681224949573339E-3</v>
      </c>
      <c r="Q61" s="304">
        <f t="shared" si="4"/>
        <v>0.6</v>
      </c>
      <c r="R61" s="177">
        <f t="shared" si="5"/>
        <v>0.50299836024630373</v>
      </c>
      <c r="S61" s="799">
        <f t="shared" si="6"/>
        <v>0</v>
      </c>
      <c r="T61" s="176">
        <f t="shared" si="7"/>
        <v>6</v>
      </c>
      <c r="U61" s="250">
        <f t="shared" si="20"/>
        <v>0.50299836024630373</v>
      </c>
      <c r="V61" s="382">
        <f t="shared" si="8"/>
        <v>36.942348726276826</v>
      </c>
      <c r="W61" s="400">
        <f t="shared" si="9"/>
        <v>9.3715462860644312</v>
      </c>
      <c r="X61" s="157">
        <f t="shared" si="10"/>
        <v>44973</v>
      </c>
      <c r="Y61" s="383">
        <f t="shared" si="11"/>
        <v>8.8734612030695814</v>
      </c>
      <c r="Z61" s="383">
        <f t="shared" si="21"/>
        <v>9.1308523597302678</v>
      </c>
      <c r="AA61" s="384">
        <f t="shared" si="12"/>
        <v>9.9581654125941679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8.3078862278948604E-2</v>
      </c>
      <c r="AD61" s="230">
        <f>(INDEX(Models!$BJ61:$BT61,,AH61)*(1-AF61)+INDEX(Models!$BJ61:$BT61,,AH61+1)*AF61-ERP_i)*AE61*Ramure*Pc/MaxiM</f>
        <v>1.9681224949573339E-3</v>
      </c>
      <c r="AE61" s="304">
        <f t="shared" si="14"/>
        <v>0.6</v>
      </c>
      <c r="AF61" s="177">
        <f t="shared" si="22"/>
        <v>0.50299836024630373</v>
      </c>
      <c r="AG61" s="799">
        <f t="shared" si="23"/>
        <v>0</v>
      </c>
      <c r="AH61" s="176">
        <f t="shared" si="15"/>
        <v>6</v>
      </c>
      <c r="AI61" s="224">
        <f t="shared" si="24"/>
        <v>0.50299836024630373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409">
        <f>'2022'!Wh/'2022'!Env_an*'2023'!Env_an</f>
        <v>11.67580543753092</v>
      </c>
      <c r="C62" s="829"/>
      <c r="D62" s="391">
        <f t="shared" si="0"/>
        <v>12.014714031848413</v>
      </c>
      <c r="E62" s="383">
        <f t="shared" si="1"/>
        <v>12.407754625068375</v>
      </c>
      <c r="F62" s="383">
        <f t="shared" si="2"/>
        <v>12.408196126006835</v>
      </c>
      <c r="G62" s="110">
        <f t="shared" si="19"/>
        <v>0.31248332566880921</v>
      </c>
      <c r="H62" s="412" t="b">
        <f>Wh_hp&gt;='2022'!Maxi_hp</f>
        <v>0</v>
      </c>
      <c r="I62" s="379">
        <f>IF(H62,Wh_hp,'2022'!Maxi_hp)</f>
        <v>36.826584894030596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2.8207795326557039E-2</v>
      </c>
      <c r="M62" s="832"/>
      <c r="N62" s="832"/>
      <c r="O62" s="48">
        <f>IF(t&lt;Tnet,'2022'!Resal+('2022'!Salim-'2022'!Resal)*(1-EXP(('2022'!Tnet-t)/('2022'!Tau_j))),Resal+(Salim-Resal)*(1-EXP((Tnet-t)/(Tau_j))))*Salcycl</f>
        <v>3.167701208612473E-2</v>
      </c>
      <c r="P62" s="338">
        <f>(INDEX(Models!$BJ62:$BT62,,T62)*(1-R62)+INDEX(Models!$BJ62:$BT62,,T62+1)*R62-ERP_i)*Q62*Ramure*Pc/MaxiM</f>
        <v>1.9058260295485507E-3</v>
      </c>
      <c r="Q62" s="304">
        <f t="shared" si="4"/>
        <v>0.6</v>
      </c>
      <c r="R62" s="177">
        <f t="shared" si="5"/>
        <v>0.50318876639346</v>
      </c>
      <c r="S62" s="799">
        <f t="shared" si="6"/>
        <v>0</v>
      </c>
      <c r="T62" s="176">
        <f t="shared" si="7"/>
        <v>6</v>
      </c>
      <c r="U62" s="250">
        <f t="shared" si="20"/>
        <v>0.50318876639346</v>
      </c>
      <c r="V62" s="382">
        <f t="shared" si="8"/>
        <v>37.294687718519818</v>
      </c>
      <c r="W62" s="400">
        <f t="shared" si="9"/>
        <v>11.67580543753092</v>
      </c>
      <c r="X62" s="157">
        <f t="shared" si="10"/>
        <v>44974</v>
      </c>
      <c r="Y62" s="383">
        <f t="shared" si="11"/>
        <v>11.056049038908704</v>
      </c>
      <c r="Z62" s="383">
        <f t="shared" si="21"/>
        <v>11.376968230182431</v>
      </c>
      <c r="AA62" s="384">
        <f t="shared" si="12"/>
        <v>12.407754625068375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8.3075981596489976E-2</v>
      </c>
      <c r="AD62" s="230">
        <f>(INDEX(Models!$BJ62:$BT62,,AH62)*(1-AF62)+INDEX(Models!$BJ62:$BT62,,AH62+1)*AF62-ERP_i)*AE62*Ramure*Pc/MaxiM</f>
        <v>1.9058260295485507E-3</v>
      </c>
      <c r="AE62" s="304">
        <f t="shared" si="14"/>
        <v>0.6</v>
      </c>
      <c r="AF62" s="177">
        <f t="shared" si="22"/>
        <v>0.50318876639346</v>
      </c>
      <c r="AG62" s="799">
        <f t="shared" si="23"/>
        <v>0</v>
      </c>
      <c r="AH62" s="176">
        <f t="shared" si="15"/>
        <v>6</v>
      </c>
      <c r="AI62" s="224">
        <f t="shared" si="24"/>
        <v>0.50318876639346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409">
        <f>'2022'!Wh/'2022'!Env_an*'2023'!Env_an</f>
        <v>30.142233860094432</v>
      </c>
      <c r="C63" s="829"/>
      <c r="D63" s="391">
        <f t="shared" si="0"/>
        <v>31.017753996421472</v>
      </c>
      <c r="E63" s="383">
        <f t="shared" si="1"/>
        <v>32.034651875089352</v>
      </c>
      <c r="F63" s="383">
        <f t="shared" si="2"/>
        <v>32.076926196459596</v>
      </c>
      <c r="G63" s="110">
        <f t="shared" si="19"/>
        <v>0.80022830548071699</v>
      </c>
      <c r="H63" s="412" t="b">
        <f>Wh_hp&gt;='2022'!Maxi_hp</f>
        <v>0</v>
      </c>
      <c r="I63" s="379">
        <f>IF(H63,Wh_hp,'2022'!Maxi_hp)</f>
        <v>32.083253619797951</v>
      </c>
      <c r="J63" s="85">
        <f>IF(H63,An,'2022'!An_max)</f>
        <v>2022</v>
      </c>
      <c r="K63" s="197">
        <f t="shared" si="3"/>
        <v>44975</v>
      </c>
      <c r="L63" s="147">
        <f>IF(t&lt;Tvie,1-EXP((T0-t)*PertePVj)+'2022'!Pspv,1-EXP((T0-t)*PertePVj)+Pspv)</f>
        <v>2.8226419502458189E-2</v>
      </c>
      <c r="M63" s="832"/>
      <c r="N63" s="832"/>
      <c r="O63" s="48">
        <f>IF(t&lt;Tnet,'2022'!Resal+('2022'!Salim-'2022'!Resal)*(1-EXP(('2022'!Tnet-t)/('2022'!Tau_j))),Resal+(Salim-Resal)*(1-EXP((Tnet-t)/(Tau_j))))*Salcycl</f>
        <v>3.1743684390047516E-2</v>
      </c>
      <c r="P63" s="338">
        <f>(INDEX(Models!$BJ63:$BT63,,T63)*(1-R63)+INDEX(Models!$BJ63:$BT63,,T63+1)*R63-ERP_i)*Q63*Ramure*Pc/MaxiM</f>
        <v>1.8426742731775696E-3</v>
      </c>
      <c r="Q63" s="304">
        <f t="shared" si="4"/>
        <v>0.6</v>
      </c>
      <c r="R63" s="177">
        <f t="shared" si="5"/>
        <v>0.50338700509620837</v>
      </c>
      <c r="S63" s="799">
        <f t="shared" si="6"/>
        <v>0</v>
      </c>
      <c r="T63" s="176">
        <f t="shared" si="7"/>
        <v>6</v>
      </c>
      <c r="U63" s="250">
        <f t="shared" si="20"/>
        <v>0.50338700509620837</v>
      </c>
      <c r="V63" s="382">
        <f t="shared" si="8"/>
        <v>37.647250219708411</v>
      </c>
      <c r="W63" s="400">
        <f t="shared" si="9"/>
        <v>30.142233860094432</v>
      </c>
      <c r="X63" s="157">
        <f t="shared" si="10"/>
        <v>44975</v>
      </c>
      <c r="Y63" s="383">
        <f t="shared" si="11"/>
        <v>28.544327119131488</v>
      </c>
      <c r="Z63" s="383">
        <f t="shared" si="21"/>
        <v>29.373433989136622</v>
      </c>
      <c r="AA63" s="384">
        <f t="shared" si="12"/>
        <v>32.034651875089352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8.3073101475534872E-2</v>
      </c>
      <c r="AD63" s="230">
        <f>(INDEX(Models!$BJ63:$BT63,,AH63)*(1-AF63)+INDEX(Models!$BJ63:$BT63,,AH63+1)*AF63-ERP_i)*AE63*Ramure*Pc/MaxiM</f>
        <v>1.8426742731775696E-3</v>
      </c>
      <c r="AE63" s="304">
        <f t="shared" si="14"/>
        <v>0.6</v>
      </c>
      <c r="AF63" s="177">
        <f t="shared" si="22"/>
        <v>0.50338700509620837</v>
      </c>
      <c r="AG63" s="799">
        <f t="shared" si="23"/>
        <v>0</v>
      </c>
      <c r="AH63" s="176">
        <f t="shared" si="15"/>
        <v>6</v>
      </c>
      <c r="AI63" s="224">
        <f t="shared" si="24"/>
        <v>0.50338700509620837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409">
        <f>'2022'!Wh/'2022'!Env_an*'2023'!Env_an</f>
        <v>20.452162932186742</v>
      </c>
      <c r="C64" s="829"/>
      <c r="D64" s="391">
        <f t="shared" si="0"/>
        <v>21.046625789377664</v>
      </c>
      <c r="E64" s="383">
        <f t="shared" si="1"/>
        <v>21.738121156318375</v>
      </c>
      <c r="F64" s="383">
        <f t="shared" si="2"/>
        <v>21.751287295599273</v>
      </c>
      <c r="G64" s="110">
        <f t="shared" si="19"/>
        <v>0.53758384070699072</v>
      </c>
      <c r="H64" s="412" t="b">
        <f>Wh_hp&gt;='2022'!Maxi_hp</f>
        <v>0</v>
      </c>
      <c r="I64" s="379">
        <f>IF(H64,Wh_hp,'2022'!Maxi_hp)</f>
        <v>39.436937045771522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2.8245043321431185E-2</v>
      </c>
      <c r="M64" s="832"/>
      <c r="N64" s="832"/>
      <c r="O64" s="48">
        <f>IF(t&lt;Tnet,'2022'!Resal+('2022'!Salim-'2022'!Resal)*(1-EXP(('2022'!Tnet-t)/('2022'!Tau_j))),Resal+(Salim-Resal)*(1-EXP((Tnet-t)/(Tau_j))))*Salcycl</f>
        <v>3.1810263728322324E-2</v>
      </c>
      <c r="P64" s="338">
        <f>(INDEX(Models!$BJ64:$BT64,,T64)*(1-R64)+INDEX(Models!$BJ64:$BT64,,T64+1)*R64-ERP_i)*Q64*Ramure*Pc/MaxiM</f>
        <v>1.7786931412671321E-3</v>
      </c>
      <c r="Q64" s="304">
        <f t="shared" si="4"/>
        <v>0.6</v>
      </c>
      <c r="R64" s="177">
        <f t="shared" si="5"/>
        <v>0.5035933918390173</v>
      </c>
      <c r="S64" s="799">
        <f t="shared" si="6"/>
        <v>0</v>
      </c>
      <c r="T64" s="176">
        <f t="shared" si="7"/>
        <v>6</v>
      </c>
      <c r="U64" s="250">
        <f t="shared" si="20"/>
        <v>0.5035933918390173</v>
      </c>
      <c r="V64" s="382">
        <f t="shared" si="8"/>
        <v>37.999933224406178</v>
      </c>
      <c r="W64" s="400">
        <f t="shared" si="9"/>
        <v>20.452162932186742</v>
      </c>
      <c r="X64" s="157">
        <f t="shared" si="10"/>
        <v>44976</v>
      </c>
      <c r="Y64" s="383">
        <f t="shared" si="11"/>
        <v>19.369341206060092</v>
      </c>
      <c r="Z64" s="383">
        <f t="shared" si="21"/>
        <v>19.932330751637178</v>
      </c>
      <c r="AA64" s="384">
        <f t="shared" si="12"/>
        <v>21.738121156318375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8.3070215300383859E-2</v>
      </c>
      <c r="AD64" s="230">
        <f>(INDEX(Models!$BJ64:$BT64,,AH64)*(1-AF64)+INDEX(Models!$BJ64:$BT64,,AH64+1)*AF64-ERP_i)*AE64*Ramure*Pc/MaxiM</f>
        <v>1.7786931412671321E-3</v>
      </c>
      <c r="AE64" s="304">
        <f t="shared" si="14"/>
        <v>0.6</v>
      </c>
      <c r="AF64" s="177">
        <f t="shared" si="22"/>
        <v>0.5035933918390173</v>
      </c>
      <c r="AG64" s="799">
        <f t="shared" si="23"/>
        <v>0</v>
      </c>
      <c r="AH64" s="176">
        <f t="shared" si="15"/>
        <v>6</v>
      </c>
      <c r="AI64" s="224">
        <f t="shared" si="24"/>
        <v>0.5035933918390173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409">
        <f>'2022'!Wh/'2022'!Env_an*'2023'!Env_an</f>
        <v>20.328344944385616</v>
      </c>
      <c r="C65" s="829"/>
      <c r="D65" s="391">
        <f t="shared" si="0"/>
        <v>20.919609825740832</v>
      </c>
      <c r="E65" s="383">
        <f t="shared" si="1"/>
        <v>21.608415852528033</v>
      </c>
      <c r="F65" s="383">
        <f t="shared" si="2"/>
        <v>21.62059302303803</v>
      </c>
      <c r="G65" s="110">
        <f t="shared" si="19"/>
        <v>0.52942397406446196</v>
      </c>
      <c r="H65" s="412" t="b">
        <f>Wh_hp&gt;='2022'!Maxi_hp</f>
        <v>0</v>
      </c>
      <c r="I65" s="379">
        <f>IF(H65,Wh_hp,'2022'!Maxi_hp)</f>
        <v>41.467946828147284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2.8263666783483021E-2</v>
      </c>
      <c r="M65" s="832"/>
      <c r="N65" s="832"/>
      <c r="O65" s="48">
        <f>IF(t&lt;Tnet,'2022'!Resal+('2022'!Salim-'2022'!Resal)*(1-EXP(('2022'!Tnet-t)/('2022'!Tau_j))),Resal+(Salim-Resal)*(1-EXP((Tnet-t)/(Tau_j))))*Salcycl</f>
        <v>3.1876747998933676E-2</v>
      </c>
      <c r="P65" s="338">
        <f>(INDEX(Models!$BJ65:$BT65,,T65)*(1-R65)+INDEX(Models!$BJ65:$BT65,,T65+1)*R65-ERP_i)*Q65*Ramure*Pc/MaxiM</f>
        <v>1.7138956977402397E-3</v>
      </c>
      <c r="Q65" s="304">
        <f t="shared" si="4"/>
        <v>0.6</v>
      </c>
      <c r="R65" s="177">
        <f t="shared" si="5"/>
        <v>0.50380825424492759</v>
      </c>
      <c r="S65" s="799">
        <f t="shared" si="6"/>
        <v>0</v>
      </c>
      <c r="T65" s="176">
        <f t="shared" si="7"/>
        <v>6</v>
      </c>
      <c r="U65" s="250">
        <f t="shared" si="20"/>
        <v>0.50380825424492759</v>
      </c>
      <c r="V65" s="382">
        <f t="shared" si="8"/>
        <v>38.352891904389949</v>
      </c>
      <c r="W65" s="400">
        <f t="shared" si="9"/>
        <v>20.328344944385616</v>
      </c>
      <c r="X65" s="157">
        <f t="shared" si="10"/>
        <v>44977</v>
      </c>
      <c r="Y65" s="383">
        <f t="shared" si="11"/>
        <v>19.253461607500221</v>
      </c>
      <c r="Z65" s="383">
        <f t="shared" si="21"/>
        <v>19.813462715518604</v>
      </c>
      <c r="AA65" s="384">
        <f t="shared" si="12"/>
        <v>21.608415852528033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8.3067317347996716E-2</v>
      </c>
      <c r="AD65" s="230">
        <f>(INDEX(Models!$BJ65:$BT65,,AH65)*(1-AF65)+INDEX(Models!$BJ65:$BT65,,AH65+1)*AF65-ERP_i)*AE65*Ramure*Pc/MaxiM</f>
        <v>1.7138956977402397E-3</v>
      </c>
      <c r="AE65" s="304">
        <f t="shared" si="14"/>
        <v>0.6</v>
      </c>
      <c r="AF65" s="177">
        <f t="shared" si="22"/>
        <v>0.50380825424492759</v>
      </c>
      <c r="AG65" s="799">
        <f t="shared" si="23"/>
        <v>0</v>
      </c>
      <c r="AH65" s="176">
        <f t="shared" si="15"/>
        <v>6</v>
      </c>
      <c r="AI65" s="224">
        <f t="shared" si="24"/>
        <v>0.50380825424492759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409">
        <f>'2022'!Wh/'2022'!Env_an*'2023'!Env_an</f>
        <v>22.506687811065621</v>
      </c>
      <c r="C66" s="829"/>
      <c r="D66" s="391">
        <f t="shared" si="0"/>
        <v>23.161755288463226</v>
      </c>
      <c r="E66" s="383">
        <f t="shared" si="1"/>
        <v>23.926027630270475</v>
      </c>
      <c r="F66" s="383">
        <f t="shared" si="2"/>
        <v>23.94189880054979</v>
      </c>
      <c r="G66" s="110">
        <f t="shared" si="19"/>
        <v>0.58089939086690734</v>
      </c>
      <c r="H66" s="412" t="b">
        <f>Wh_hp&gt;='2022'!Maxi_hp</f>
        <v>0</v>
      </c>
      <c r="I66" s="379">
        <f>IF(H66,Wh_hp,'2022'!Maxi_hp)</f>
        <v>23.950887388071926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2.8282289888620471E-2</v>
      </c>
      <c r="M66" s="832"/>
      <c r="N66" s="832"/>
      <c r="O66" s="48">
        <f>IF(t&lt;Tnet,'2022'!Resal+('2022'!Salim-'2022'!Resal)*(1-EXP(('2022'!Tnet-t)/('2022'!Tau_j))),Resal+(Salim-Resal)*(1-EXP((Tnet-t)/(Tau_j))))*Salcycl</f>
        <v>3.1943135468100695E-2</v>
      </c>
      <c r="P66" s="338">
        <f>(INDEX(Models!$BJ66:$BT66,,T66)*(1-R66)+INDEX(Models!$BJ66:$BT66,,T66+1)*R66-ERP_i)*Q66*Ramure*Pc/MaxiM</f>
        <v>1.6485866675603838E-3</v>
      </c>
      <c r="Q66" s="304">
        <f t="shared" si="4"/>
        <v>0.6</v>
      </c>
      <c r="R66" s="177">
        <f t="shared" si="5"/>
        <v>0.50403193249421419</v>
      </c>
      <c r="S66" s="799">
        <f t="shared" si="6"/>
        <v>0</v>
      </c>
      <c r="T66" s="176">
        <f t="shared" si="7"/>
        <v>6</v>
      </c>
      <c r="U66" s="250">
        <f t="shared" si="20"/>
        <v>0.50403193249421419</v>
      </c>
      <c r="V66" s="382">
        <f t="shared" si="8"/>
        <v>38.706338803222984</v>
      </c>
      <c r="W66" s="400">
        <f t="shared" si="9"/>
        <v>22.506687811065621</v>
      </c>
      <c r="X66" s="157">
        <f t="shared" si="10"/>
        <v>44978</v>
      </c>
      <c r="Y66" s="383">
        <f t="shared" si="11"/>
        <v>21.318151838868811</v>
      </c>
      <c r="Z66" s="383">
        <f t="shared" si="21"/>
        <v>21.938626431358649</v>
      </c>
      <c r="AA66" s="384">
        <f t="shared" si="12"/>
        <v>23.926027630270475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8.3064402901442208E-2</v>
      </c>
      <c r="AD66" s="230">
        <f>(INDEX(Models!$BJ66:$BT66,,AH66)*(1-AF66)+INDEX(Models!$BJ66:$BT66,,AH66+1)*AF66-ERP_i)*AE66*Ramure*Pc/MaxiM</f>
        <v>1.6485866675603838E-3</v>
      </c>
      <c r="AE66" s="304">
        <f t="shared" si="14"/>
        <v>0.6</v>
      </c>
      <c r="AF66" s="177">
        <f t="shared" si="22"/>
        <v>0.50403193249421419</v>
      </c>
      <c r="AG66" s="799">
        <f t="shared" si="23"/>
        <v>0</v>
      </c>
      <c r="AH66" s="176">
        <f t="shared" si="15"/>
        <v>6</v>
      </c>
      <c r="AI66" s="224">
        <f t="shared" si="24"/>
        <v>0.50403193249421419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409">
        <f>'2022'!Wh/'2022'!Env_an*'2023'!Env_an</f>
        <v>34.393310507989035</v>
      </c>
      <c r="C67" s="829"/>
      <c r="D67" s="391">
        <f t="shared" si="0"/>
        <v>35.395021931450415</v>
      </c>
      <c r="E67" s="383">
        <f t="shared" si="1"/>
        <v>36.56546131629834</v>
      </c>
      <c r="F67" s="383">
        <f t="shared" si="2"/>
        <v>36.613556935016732</v>
      </c>
      <c r="G67" s="110">
        <f t="shared" si="19"/>
        <v>0.88028159651513316</v>
      </c>
      <c r="H67" s="412" t="b">
        <f>Wh_hp&gt;='2022'!Maxi_hp</f>
        <v>0</v>
      </c>
      <c r="I67" s="379">
        <f>IF(H67,Wh_hp,'2022'!Maxi_hp)</f>
        <v>39.949310572645629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2.8300912636850306E-2</v>
      </c>
      <c r="M67" s="832"/>
      <c r="N67" s="832"/>
      <c r="O67" s="48">
        <f>IF(t&lt;Tnet,'2022'!Resal+('2022'!Salim-'2022'!Resal)*(1-EXP(('2022'!Tnet-t)/('2022'!Tau_j))),Resal+(Salim-Resal)*(1-EXP((Tnet-t)/(Tau_j))))*Salcycl</f>
        <v>3.2009424815494514E-2</v>
      </c>
      <c r="P67" s="338">
        <f>(INDEX(Models!$BJ67:$BT67,,T67)*(1-R67)+INDEX(Models!$BJ67:$BT67,,T67+1)*R67-ERP_i)*Q67*Ramure*Pc/MaxiM</f>
        <v>1.5839609574822861E-3</v>
      </c>
      <c r="Q67" s="304">
        <f t="shared" si="4"/>
        <v>0.6</v>
      </c>
      <c r="R67" s="177">
        <f t="shared" si="5"/>
        <v>0.50426477975328343</v>
      </c>
      <c r="S67" s="799">
        <f t="shared" si="6"/>
        <v>0</v>
      </c>
      <c r="T67" s="176">
        <f t="shared" si="7"/>
        <v>6</v>
      </c>
      <c r="U67" s="250">
        <f t="shared" si="20"/>
        <v>0.50426477975328343</v>
      </c>
      <c r="V67" s="382">
        <f t="shared" si="8"/>
        <v>39.060227832044411</v>
      </c>
      <c r="W67" s="400">
        <f t="shared" si="9"/>
        <v>34.393310507989035</v>
      </c>
      <c r="X67" s="157">
        <f t="shared" si="10"/>
        <v>44979</v>
      </c>
      <c r="Y67" s="383">
        <f t="shared" si="11"/>
        <v>32.579399473537094</v>
      </c>
      <c r="Z67" s="383">
        <f t="shared" si="21"/>
        <v>33.528280408234352</v>
      </c>
      <c r="AA67" s="384">
        <f t="shared" si="12"/>
        <v>36.56546131629834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8.3061468356484855E-2</v>
      </c>
      <c r="AD67" s="230">
        <f>(INDEX(Models!$BJ67:$BT67,,AH67)*(1-AF67)+INDEX(Models!$BJ67:$BT67,,AH67+1)*AF67-ERP_i)*AE67*Ramure*Pc/MaxiM</f>
        <v>1.5839609574822861E-3</v>
      </c>
      <c r="AE67" s="304">
        <f t="shared" si="14"/>
        <v>0.6</v>
      </c>
      <c r="AF67" s="177">
        <f t="shared" si="22"/>
        <v>0.50426477975328343</v>
      </c>
      <c r="AG67" s="799">
        <f t="shared" si="23"/>
        <v>0</v>
      </c>
      <c r="AH67" s="176">
        <f t="shared" si="15"/>
        <v>6</v>
      </c>
      <c r="AI67" s="224">
        <f t="shared" si="24"/>
        <v>0.50426477975328343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409">
        <f>'2022'!Wh/'2022'!Env_an*'2023'!Env_an</f>
        <v>36.140673586459421</v>
      </c>
      <c r="C68" s="829"/>
      <c r="D68" s="391">
        <f t="shared" si="0"/>
        <v>37.19399009169905</v>
      </c>
      <c r="E68" s="383">
        <f t="shared" si="1"/>
        <v>38.426545167056751</v>
      </c>
      <c r="F68" s="383">
        <f t="shared" si="2"/>
        <v>38.478091485116842</v>
      </c>
      <c r="G68" s="110">
        <f t="shared" si="19"/>
        <v>0.91677154045955422</v>
      </c>
      <c r="H68" s="412" t="b">
        <f>Wh_hp&gt;='2022'!Maxi_hp</f>
        <v>0</v>
      </c>
      <c r="I68" s="379">
        <f>IF(H68,Wh_hp,'2022'!Maxi_hp)</f>
        <v>41.571938803017574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2.831953502817941E-2</v>
      </c>
      <c r="M68" s="832"/>
      <c r="N68" s="832"/>
      <c r="O68" s="48">
        <f>IF(t&lt;Tnet,'2022'!Resal+('2022'!Salim-'2022'!Resal)*(1-EXP(('2022'!Tnet-t)/('2022'!Tau_j))),Resal+(Salim-Resal)*(1-EXP((Tnet-t)/(Tau_j))))*Salcycl</f>
        <v>3.2075615176937008E-2</v>
      </c>
      <c r="P68" s="338">
        <f>(INDEX(Models!$BJ68:$BT68,,T68)*(1-R68)+INDEX(Models!$BJ68:$BT68,,T68+1)*R68-ERP_i)*Q68*Ramure*Pc/MaxiM</f>
        <v>1.5199918071994768E-3</v>
      </c>
      <c r="Q68" s="304">
        <f t="shared" si="4"/>
        <v>0.6</v>
      </c>
      <c r="R68" s="177">
        <f t="shared" si="5"/>
        <v>0.50450716261366135</v>
      </c>
      <c r="S68" s="799">
        <f t="shared" si="6"/>
        <v>0</v>
      </c>
      <c r="T68" s="176">
        <f t="shared" si="7"/>
        <v>6</v>
      </c>
      <c r="U68" s="250">
        <f t="shared" si="20"/>
        <v>0.50450716261366135</v>
      </c>
      <c r="V68" s="382">
        <f t="shared" si="8"/>
        <v>39.414559427513083</v>
      </c>
      <c r="W68" s="400">
        <f t="shared" si="9"/>
        <v>36.140673586459421</v>
      </c>
      <c r="X68" s="157">
        <f t="shared" si="10"/>
        <v>44980</v>
      </c>
      <c r="Y68" s="383">
        <f t="shared" si="11"/>
        <v>34.237057728751502</v>
      </c>
      <c r="Z68" s="383">
        <f t="shared" si="21"/>
        <v>35.234893530296915</v>
      </c>
      <c r="AA68" s="384">
        <f t="shared" si="12"/>
        <v>38.426545167056751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8.3058511320347722E-2</v>
      </c>
      <c r="AD68" s="230">
        <f>(INDEX(Models!$BJ68:$BT68,,AH68)*(1-AF68)+INDEX(Models!$BJ68:$BT68,,AH68+1)*AF68-ERP_i)*AE68*Ramure*Pc/MaxiM</f>
        <v>1.5199918071994768E-3</v>
      </c>
      <c r="AE68" s="304">
        <f t="shared" si="14"/>
        <v>0.6</v>
      </c>
      <c r="AF68" s="177">
        <f t="shared" si="22"/>
        <v>0.50450716261366135</v>
      </c>
      <c r="AG68" s="799">
        <f t="shared" si="23"/>
        <v>0</v>
      </c>
      <c r="AH68" s="176">
        <f t="shared" si="15"/>
        <v>6</v>
      </c>
      <c r="AI68" s="224">
        <f t="shared" si="24"/>
        <v>0.50450716261366135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409">
        <f>'2022'!Wh/'2022'!Env_an*'2023'!Env_an</f>
        <v>22.496789353154192</v>
      </c>
      <c r="C69" s="829"/>
      <c r="D69" s="391">
        <f t="shared" si="0"/>
        <v>23.152899866012238</v>
      </c>
      <c r="E69" s="383">
        <f t="shared" si="1"/>
        <v>23.921786912350075</v>
      </c>
      <c r="F69" s="383">
        <f t="shared" si="2"/>
        <v>23.93501985504146</v>
      </c>
      <c r="G69" s="110">
        <f t="shared" si="19"/>
        <v>0.56517028590140672</v>
      </c>
      <c r="H69" s="412" t="b">
        <f>Wh_hp&gt;='2022'!Maxi_hp</f>
        <v>0</v>
      </c>
      <c r="I69" s="379">
        <f>IF(H69,Wh_hp,'2022'!Maxi_hp)</f>
        <v>41.52507944394246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2.8338157062614666E-2</v>
      </c>
      <c r="M69" s="832"/>
      <c r="N69" s="832"/>
      <c r="O69" s="48">
        <f>IF(t&lt;Tnet,'2022'!Resal+('2022'!Salim-'2022'!Resal)*(1-EXP(('2022'!Tnet-t)/('2022'!Tau_j))),Resal+(Salim-Resal)*(1-EXP((Tnet-t)/(Tau_j))))*Salcycl</f>
        <v>3.2141706184201799E-2</v>
      </c>
      <c r="P69" s="338">
        <f>(INDEX(Models!$BJ69:$BT69,,T69)*(1-R69)+INDEX(Models!$BJ69:$BT69,,T69+1)*R69-ERP_i)*Q69*Ramure*Pc/MaxiM</f>
        <v>1.4566621285743353E-3</v>
      </c>
      <c r="Q69" s="304">
        <f t="shared" si="4"/>
        <v>0.6</v>
      </c>
      <c r="R69" s="177">
        <f t="shared" si="5"/>
        <v>0.50475946154087958</v>
      </c>
      <c r="S69" s="799">
        <f t="shared" si="6"/>
        <v>0</v>
      </c>
      <c r="T69" s="176">
        <f t="shared" si="7"/>
        <v>6</v>
      </c>
      <c r="U69" s="250">
        <f t="shared" si="20"/>
        <v>0.50475946154087958</v>
      </c>
      <c r="V69" s="382">
        <f t="shared" si="8"/>
        <v>39.769333657977867</v>
      </c>
      <c r="W69" s="400">
        <f t="shared" si="9"/>
        <v>22.496789353154192</v>
      </c>
      <c r="X69" s="157">
        <f t="shared" si="10"/>
        <v>44981</v>
      </c>
      <c r="Y69" s="383">
        <f t="shared" si="11"/>
        <v>21.313354140939452</v>
      </c>
      <c r="Z69" s="383">
        <f t="shared" si="21"/>
        <v>21.934950205009649</v>
      </c>
      <c r="AA69" s="384">
        <f t="shared" si="12"/>
        <v>23.921786912350075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8.3055530701792335E-2</v>
      </c>
      <c r="AD69" s="230">
        <f>(INDEX(Models!$BJ69:$BT69,,AH69)*(1-AF69)+INDEX(Models!$BJ69:$BT69,,AH69+1)*AF69-ERP_i)*AE69*Ramure*Pc/MaxiM</f>
        <v>1.4566621285743353E-3</v>
      </c>
      <c r="AE69" s="304">
        <f t="shared" si="14"/>
        <v>0.6</v>
      </c>
      <c r="AF69" s="177">
        <f t="shared" si="22"/>
        <v>0.50475946154087958</v>
      </c>
      <c r="AG69" s="799">
        <f t="shared" si="23"/>
        <v>0</v>
      </c>
      <c r="AH69" s="176">
        <f t="shared" si="15"/>
        <v>6</v>
      </c>
      <c r="AI69" s="224">
        <f t="shared" si="24"/>
        <v>0.50475946154087958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409">
        <f>'2022'!Wh/'2022'!Env_an*'2023'!Env_an</f>
        <v>32.215586809280914</v>
      </c>
      <c r="C70" s="829"/>
      <c r="D70" s="391">
        <f t="shared" si="0"/>
        <v>33.155777866190469</v>
      </c>
      <c r="E70" s="383">
        <f t="shared" si="1"/>
        <v>34.259187428672533</v>
      </c>
      <c r="F70" s="383">
        <f t="shared" si="2"/>
        <v>34.293530244377429</v>
      </c>
      <c r="G70" s="110">
        <f t="shared" si="19"/>
        <v>0.80257419634486171</v>
      </c>
      <c r="H70" s="412" t="b">
        <f>Wh_hp&gt;='2022'!Maxi_hp</f>
        <v>0</v>
      </c>
      <c r="I70" s="379">
        <f>IF(H70,Wh_hp,'2022'!Maxi_hp)</f>
        <v>36.519009293012743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2.8356778740162847E-2</v>
      </c>
      <c r="M70" s="832"/>
      <c r="N70" s="832"/>
      <c r="O70" s="48">
        <f>IF(t&lt;Tnet,'2022'!Resal+('2022'!Salim-'2022'!Resal)*(1-EXP(('2022'!Tnet-t)/('2022'!Tau_j))),Resal+(Salim-Resal)*(1-EXP((Tnet-t)/(Tau_j))))*Salcycl</f>
        <v>3.2207698001575705E-2</v>
      </c>
      <c r="P70" s="338">
        <f>(INDEX(Models!$BJ70:$BT70,,T70)*(1-R70)+INDEX(Models!$BJ70:$BT70,,T70+1)*R70-ERP_i)*Q70*Ramure*Pc/MaxiM</f>
        <v>1.3939559095006715E-3</v>
      </c>
      <c r="Q70" s="304">
        <f t="shared" si="4"/>
        <v>0.6</v>
      </c>
      <c r="R70" s="177">
        <f t="shared" si="5"/>
        <v>0.50502207133301569</v>
      </c>
      <c r="S70" s="799">
        <f t="shared" si="6"/>
        <v>0</v>
      </c>
      <c r="T70" s="176">
        <f t="shared" si="7"/>
        <v>6</v>
      </c>
      <c r="U70" s="250">
        <f t="shared" si="20"/>
        <v>0.50502207133301569</v>
      </c>
      <c r="V70" s="382">
        <f t="shared" si="8"/>
        <v>40.124550550172025</v>
      </c>
      <c r="W70" s="400">
        <f t="shared" si="9"/>
        <v>32.215586809280914</v>
      </c>
      <c r="X70" s="157">
        <f t="shared" si="10"/>
        <v>44982</v>
      </c>
      <c r="Y70" s="383">
        <f t="shared" si="11"/>
        <v>30.523079034305784</v>
      </c>
      <c r="Z70" s="383">
        <f t="shared" si="21"/>
        <v>31.41387534688856</v>
      </c>
      <c r="AA70" s="384">
        <f t="shared" si="12"/>
        <v>34.259187428672533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8.3052526791766487E-2</v>
      </c>
      <c r="AD70" s="230">
        <f>(INDEX(Models!$BJ70:$BT70,,AH70)*(1-AF70)+INDEX(Models!$BJ70:$BT70,,AH70+1)*AF70-ERP_i)*AE70*Ramure*Pc/MaxiM</f>
        <v>1.3939559095006715E-3</v>
      </c>
      <c r="AE70" s="304">
        <f t="shared" si="14"/>
        <v>0.6</v>
      </c>
      <c r="AF70" s="177">
        <f t="shared" si="22"/>
        <v>0.50502207133301569</v>
      </c>
      <c r="AG70" s="799">
        <f t="shared" si="23"/>
        <v>0</v>
      </c>
      <c r="AH70" s="176">
        <f t="shared" si="15"/>
        <v>6</v>
      </c>
      <c r="AI70" s="224">
        <f t="shared" si="24"/>
        <v>0.50502207133301569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409">
        <f>'2022'!Wh/'2022'!Env_an*'2023'!Env_an</f>
        <v>40.829539140235426</v>
      </c>
      <c r="C71" s="829"/>
      <c r="D71" s="391">
        <f t="shared" si="0"/>
        <v>42.021928163193536</v>
      </c>
      <c r="E71" s="383">
        <f t="shared" si="1"/>
        <v>43.423355803837779</v>
      </c>
      <c r="F71" s="383">
        <f t="shared" si="2"/>
        <v>43.481266681339847</v>
      </c>
      <c r="G71" s="110">
        <f t="shared" si="19"/>
        <v>1.0086296254599769</v>
      </c>
      <c r="H71" s="412" t="b">
        <f>Wh_hp&gt;='2022'!Maxi_hp</f>
        <v>1</v>
      </c>
      <c r="I71" s="379">
        <f>IF(H71,Wh_hp,'2022'!Maxi_hp)</f>
        <v>43.481266681339847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2.8375400060830835E-2</v>
      </c>
      <c r="M71" s="832"/>
      <c r="N71" s="832"/>
      <c r="O71" s="48">
        <f>IF(t&lt;Tnet,'2022'!Resal+('2022'!Salim-'2022'!Resal)*(1-EXP(('2022'!Tnet-t)/('2022'!Tau_j))),Resal+(Salim-Resal)*(1-EXP((Tnet-t)/(Tau_j))))*Salcycl</f>
        <v>3.2273591358878376E-2</v>
      </c>
      <c r="P71" s="338">
        <f>(INDEX(Models!$BJ71:$BT71,,T71)*(1-R71)+INDEX(Models!$BJ71:$BT71,,T71+1)*R71-ERP_i)*Q71*Ramure*Pc/MaxiM</f>
        <v>1.3318581063076042E-3</v>
      </c>
      <c r="Q71" s="304">
        <f t="shared" si="4"/>
        <v>0.6</v>
      </c>
      <c r="R71" s="177">
        <f t="shared" si="5"/>
        <v>0.50529540158858099</v>
      </c>
      <c r="S71" s="799">
        <f t="shared" si="6"/>
        <v>0</v>
      </c>
      <c r="T71" s="176">
        <f t="shared" si="7"/>
        <v>6</v>
      </c>
      <c r="U71" s="250">
        <f t="shared" si="20"/>
        <v>0.50529540158858099</v>
      </c>
      <c r="V71" s="382">
        <f t="shared" si="8"/>
        <v>40.480210088629377</v>
      </c>
      <c r="W71" s="400">
        <f t="shared" si="9"/>
        <v>40.829539140235426</v>
      </c>
      <c r="X71" s="157">
        <f t="shared" si="10"/>
        <v>44983</v>
      </c>
      <c r="Y71" s="383">
        <f t="shared" si="11"/>
        <v>38.687242531196148</v>
      </c>
      <c r="Z71" s="383">
        <f t="shared" si="21"/>
        <v>39.817067758080903</v>
      </c>
      <c r="AA71" s="384">
        <f t="shared" si="12"/>
        <v>43.423355803837779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8.3049501333983741E-2</v>
      </c>
      <c r="AD71" s="230">
        <f>(INDEX(Models!$BJ71:$BT71,,AH71)*(1-AF71)+INDEX(Models!$BJ71:$BT71,,AH71+1)*AF71-ERP_i)*AE71*Ramure*Pc/MaxiM</f>
        <v>1.3318581063076042E-3</v>
      </c>
      <c r="AE71" s="304">
        <f t="shared" si="14"/>
        <v>0.6</v>
      </c>
      <c r="AF71" s="177">
        <f t="shared" si="22"/>
        <v>0.50529540158858099</v>
      </c>
      <c r="AG71" s="799">
        <f t="shared" si="23"/>
        <v>0</v>
      </c>
      <c r="AH71" s="176">
        <f t="shared" si="15"/>
        <v>6</v>
      </c>
      <c r="AI71" s="224">
        <f t="shared" si="24"/>
        <v>0.50529540158858099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409">
        <f>'2022'!Wh/'2022'!Env_an*'2023'!Env_an</f>
        <v>29.185420793522336</v>
      </c>
      <c r="C72" s="829"/>
      <c r="D72" s="391">
        <f t="shared" si="0"/>
        <v>30.038329760280373</v>
      </c>
      <c r="E72" s="383">
        <f t="shared" si="1"/>
        <v>31.042216015364435</v>
      </c>
      <c r="F72" s="383">
        <f t="shared" si="2"/>
        <v>31.065615350126066</v>
      </c>
      <c r="G72" s="110">
        <f t="shared" si="19"/>
        <v>0.7143229917351781</v>
      </c>
      <c r="H72" s="412" t="b">
        <f>Wh_hp&gt;='2022'!Maxi_hp</f>
        <v>0</v>
      </c>
      <c r="I72" s="379">
        <f>IF(H72,Wh_hp,'2022'!Maxi_hp)</f>
        <v>42.979805880549684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2.8394021024625515E-2</v>
      </c>
      <c r="M72" s="832"/>
      <c r="N72" s="832"/>
      <c r="O72" s="48">
        <f>IF(t&lt;Tnet,'2022'!Resal+('2022'!Salim-'2022'!Resal)*(1-EXP(('2022'!Tnet-t)/('2022'!Tau_j))),Resal+(Salim-Resal)*(1-EXP((Tnet-t)/(Tau_j))))*Salcycl</f>
        <v>3.2339387580680008E-2</v>
      </c>
      <c r="P72" s="338">
        <f>(INDEX(Models!$BJ72:$BT72,,T72)*(1-R72)+INDEX(Models!$BJ72:$BT72,,T72+1)*R72-ERP_i)*Q72*Ramure*Pc/MaxiM</f>
        <v>1.2714351734009076E-3</v>
      </c>
      <c r="Q72" s="304">
        <f t="shared" si="4"/>
        <v>0.6</v>
      </c>
      <c r="R72" s="177">
        <f t="shared" si="5"/>
        <v>0.50557987718339115</v>
      </c>
      <c r="S72" s="799">
        <f t="shared" si="6"/>
        <v>0</v>
      </c>
      <c r="T72" s="176">
        <f t="shared" si="7"/>
        <v>6</v>
      </c>
      <c r="U72" s="250">
        <f t="shared" si="20"/>
        <v>0.50557987718339115</v>
      </c>
      <c r="V72" s="382">
        <f t="shared" si="8"/>
        <v>40.836268031433775</v>
      </c>
      <c r="W72" s="400">
        <f t="shared" si="9"/>
        <v>29.185420793522336</v>
      </c>
      <c r="X72" s="157">
        <f t="shared" si="10"/>
        <v>44984</v>
      </c>
      <c r="Y72" s="383">
        <f t="shared" si="11"/>
        <v>27.656054860584089</v>
      </c>
      <c r="Z72" s="383">
        <f t="shared" si="21"/>
        <v>28.464269939702621</v>
      </c>
      <c r="AA72" s="384">
        <f t="shared" si="12"/>
        <v>31.042216015364435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8.3046457584917632E-2</v>
      </c>
      <c r="AD72" s="230">
        <f>(INDEX(Models!$BJ72:$BT72,,AH72)*(1-AF72)+INDEX(Models!$BJ72:$BT72,,AH72+1)*AF72-ERP_i)*AE72*Ramure*Pc/MaxiM</f>
        <v>1.2714351734009076E-3</v>
      </c>
      <c r="AE72" s="304">
        <f t="shared" si="14"/>
        <v>0.6</v>
      </c>
      <c r="AF72" s="177">
        <f t="shared" si="22"/>
        <v>0.50557987718339115</v>
      </c>
      <c r="AG72" s="799">
        <f t="shared" si="23"/>
        <v>0</v>
      </c>
      <c r="AH72" s="176">
        <f t="shared" si="15"/>
        <v>6</v>
      </c>
      <c r="AI72" s="224">
        <f t="shared" si="24"/>
        <v>0.50557987718339115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409">
        <f>'2022'!Wh/'2022'!Env_an*'2023'!Env_an</f>
        <v>35.233923681072724</v>
      </c>
      <c r="C73" s="829"/>
      <c r="D73" s="391">
        <f t="shared" si="0"/>
        <v>36.264287897117001</v>
      </c>
      <c r="E73" s="383">
        <f t="shared" si="1"/>
        <v>37.478791455277225</v>
      </c>
      <c r="F73" s="383">
        <f t="shared" si="2"/>
        <v>37.514903824397905</v>
      </c>
      <c r="G73" s="110">
        <f t="shared" si="19"/>
        <v>0.85512930263389109</v>
      </c>
      <c r="H73" s="412" t="b">
        <f>Wh_hp&gt;='2022'!Maxi_hp</f>
        <v>0</v>
      </c>
      <c r="I73" s="379">
        <f>IF(H73,Wh_hp,'2022'!Maxi_hp)</f>
        <v>37.518611340462861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2.8412641631553659E-2</v>
      </c>
      <c r="M73" s="832"/>
      <c r="N73" s="832"/>
      <c r="O73" s="48">
        <f>IF(t&lt;Tnet,'2022'!Resal+('2022'!Salim-'2022'!Resal)*(1-EXP(('2022'!Tnet-t)/('2022'!Tau_j))),Resal+(Salim-Resal)*(1-EXP((Tnet-t)/(Tau_j))))*Salcycl</f>
        <v>3.2405088611500883E-2</v>
      </c>
      <c r="P73" s="338">
        <f>(INDEX(Models!$BJ73:$BT73,,T73)*(1-R73)+INDEX(Models!$BJ73:$BT73,,T73+1)*R73-ERP_i)*Q73*Ramure*Pc/MaxiM</f>
        <v>1.2133556458868381E-3</v>
      </c>
      <c r="Q73" s="304">
        <f t="shared" si="4"/>
        <v>0.6</v>
      </c>
      <c r="R73" s="177">
        <f t="shared" si="5"/>
        <v>0.5058759387559788</v>
      </c>
      <c r="S73" s="799">
        <f t="shared" si="6"/>
        <v>0</v>
      </c>
      <c r="T73" s="176">
        <f t="shared" si="7"/>
        <v>6</v>
      </c>
      <c r="U73" s="250">
        <f t="shared" si="20"/>
        <v>0.5058759387559788</v>
      </c>
      <c r="V73" s="382">
        <f t="shared" si="8"/>
        <v>41.192695006108302</v>
      </c>
      <c r="W73" s="400">
        <f t="shared" si="9"/>
        <v>35.233923681072724</v>
      </c>
      <c r="X73" s="157">
        <f t="shared" si="10"/>
        <v>44985</v>
      </c>
      <c r="Y73" s="383">
        <f t="shared" si="11"/>
        <v>33.389984248791322</v>
      </c>
      <c r="Z73" s="383">
        <f t="shared" si="21"/>
        <v>34.366425171342279</v>
      </c>
      <c r="AA73" s="384">
        <f t="shared" si="12"/>
        <v>37.478791455277225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8.3043400362812658E-2</v>
      </c>
      <c r="AD73" s="230">
        <f>(INDEX(Models!$BJ73:$BT73,,AH73)*(1-AF73)+INDEX(Models!$BJ73:$BT73,,AH73+1)*AF73-ERP_i)*AE73*Ramure*Pc/MaxiM</f>
        <v>1.2133556458868381E-3</v>
      </c>
      <c r="AE73" s="304">
        <f t="shared" si="14"/>
        <v>0.6</v>
      </c>
      <c r="AF73" s="177">
        <f t="shared" si="22"/>
        <v>0.5058759387559788</v>
      </c>
      <c r="AG73" s="799">
        <f t="shared" si="23"/>
        <v>0</v>
      </c>
      <c r="AH73" s="176">
        <f t="shared" si="15"/>
        <v>6</v>
      </c>
      <c r="AI73" s="224">
        <f t="shared" si="24"/>
        <v>0.5058759387559788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409">
        <f>'2022'!Wh/'2022'!Env_an*'2023'!Env_an</f>
        <v>40.879420456881036</v>
      </c>
      <c r="C74" s="829"/>
      <c r="D74" s="391">
        <f t="shared" si="0"/>
        <v>42.075685284040297</v>
      </c>
      <c r="E74" s="383">
        <f t="shared" si="1"/>
        <v>43.487763269989124</v>
      </c>
      <c r="F74" s="383">
        <f t="shared" si="2"/>
        <v>43.536999027751847</v>
      </c>
      <c r="G74" s="110">
        <f t="shared" si="19"/>
        <v>0.98384669054506402</v>
      </c>
      <c r="H74" s="412" t="b">
        <f>Wh_hp&gt;='2022'!Maxi_hp</f>
        <v>0</v>
      </c>
      <c r="I74" s="379">
        <f>IF(H74,Wh_hp,'2022'!Maxi_hp)</f>
        <v>43.537458266027507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2.8431261881622039E-2</v>
      </c>
      <c r="M74" s="832"/>
      <c r="N74" s="832"/>
      <c r="O74" s="48">
        <f>IF(t&lt;Tnet,'2022'!Resal+('2022'!Salim-'2022'!Resal)*(1-EXP(('2022'!Tnet-t)/('2022'!Tau_j))),Resal+(Salim-Resal)*(1-EXP((Tnet-t)/(Tau_j))))*Salcycl</f>
        <v>3.2470697036821462E-2</v>
      </c>
      <c r="P74" s="338">
        <f>(INDEX(Models!$BJ74:$BT74,,T74)*(1-R74)+INDEX(Models!$BJ74:$BT74,,T74+1)*R74-ERP_i)*Q74*Ramure*Pc/MaxiM</f>
        <v>1.1575632877633291E-3</v>
      </c>
      <c r="Q74" s="304">
        <f t="shared" si="4"/>
        <v>0.6</v>
      </c>
      <c r="R74" s="177">
        <f t="shared" si="5"/>
        <v>0.5061840432010376</v>
      </c>
      <c r="S74" s="799">
        <f t="shared" si="6"/>
        <v>0</v>
      </c>
      <c r="T74" s="176">
        <f t="shared" si="7"/>
        <v>6</v>
      </c>
      <c r="U74" s="250">
        <f t="shared" si="20"/>
        <v>0.5061840432010376</v>
      </c>
      <c r="V74" s="382">
        <f t="shared" si="8"/>
        <v>41.549490805379826</v>
      </c>
      <c r="W74" s="400">
        <f t="shared" si="9"/>
        <v>40.879420456881036</v>
      </c>
      <c r="X74" s="157">
        <f t="shared" si="10"/>
        <v>44986</v>
      </c>
      <c r="Y74" s="383">
        <f t="shared" si="11"/>
        <v>38.742784873142377</v>
      </c>
      <c r="Z74" s="383">
        <f t="shared" si="21"/>
        <v>39.876524792445387</v>
      </c>
      <c r="AA74" s="384">
        <f t="shared" si="12"/>
        <v>43.487763269989124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8.3040336085435165E-2</v>
      </c>
      <c r="AD74" s="230">
        <f>(INDEX(Models!$BJ74:$BT74,,AH74)*(1-AF74)+INDEX(Models!$BJ74:$BT74,,AH74+1)*AF74-ERP_i)*AE74*Ramure*Pc/MaxiM</f>
        <v>1.1575632877633291E-3</v>
      </c>
      <c r="AE74" s="304">
        <f t="shared" si="14"/>
        <v>0.6</v>
      </c>
      <c r="AF74" s="177">
        <f t="shared" si="22"/>
        <v>0.5061840432010376</v>
      </c>
      <c r="AG74" s="799">
        <f t="shared" si="23"/>
        <v>0</v>
      </c>
      <c r="AH74" s="176">
        <f t="shared" si="15"/>
        <v>6</v>
      </c>
      <c r="AI74" s="224">
        <f t="shared" si="24"/>
        <v>0.5061840432010376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409">
        <f>'2022'!Wh/'2022'!Env_an*'2023'!Env_an</f>
        <v>11.91128363677341</v>
      </c>
      <c r="C75" s="829"/>
      <c r="D75" s="391">
        <f t="shared" si="0"/>
        <v>12.260081506173933</v>
      </c>
      <c r="E75" s="383">
        <f t="shared" si="1"/>
        <v>12.672393230833695</v>
      </c>
      <c r="F75" s="383">
        <f t="shared" si="2"/>
        <v>12.672393230833695</v>
      </c>
      <c r="G75" s="110">
        <f t="shared" si="19"/>
        <v>0.28391990442782722</v>
      </c>
      <c r="H75" s="412" t="b">
        <f>Wh_hp&gt;='2022'!Maxi_hp</f>
        <v>0</v>
      </c>
      <c r="I75" s="379">
        <f>IF(H75,Wh_hp,'2022'!Maxi_hp)</f>
        <v>30.966593074683484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2.8449881774837649E-2</v>
      </c>
      <c r="M75" s="832"/>
      <c r="N75" s="832"/>
      <c r="O75" s="48">
        <f>IF(t&lt;Tnet,'2022'!Resal+('2022'!Salim-'2022'!Resal)*(1-EXP(('2022'!Tnet-t)/('2022'!Tau_j))),Resal+(Salim-Resal)*(1-EXP((Tnet-t)/(Tau_j))))*Salcycl</f>
        <v>3.2536216099777554E-2</v>
      </c>
      <c r="P75" s="338">
        <f>(INDEX(Models!$BJ75:$BT75,,T75)*(1-R75)+INDEX(Models!$BJ75:$BT75,,T75+1)*R75-ERP_i)*Q75*Ramure*Pc/MaxiM</f>
        <v>1.1040037908815747E-3</v>
      </c>
      <c r="Q75" s="304">
        <f t="shared" si="4"/>
        <v>0.6</v>
      </c>
      <c r="R75" s="177">
        <f t="shared" si="5"/>
        <v>0.50650466417029916</v>
      </c>
      <c r="S75" s="799">
        <f t="shared" si="6"/>
        <v>0</v>
      </c>
      <c r="T75" s="176">
        <f t="shared" si="7"/>
        <v>6</v>
      </c>
      <c r="U75" s="250">
        <f t="shared" si="20"/>
        <v>0.50650466417029916</v>
      </c>
      <c r="V75" s="382">
        <f t="shared" si="8"/>
        <v>41.906655183129878</v>
      </c>
      <c r="W75" s="400">
        <f t="shared" si="9"/>
        <v>11.91128363677341</v>
      </c>
      <c r="X75" s="157">
        <f t="shared" si="10"/>
        <v>44987</v>
      </c>
      <c r="Y75" s="383">
        <f t="shared" si="11"/>
        <v>11.289521437215575</v>
      </c>
      <c r="Z75" s="383">
        <f t="shared" si="21"/>
        <v>11.620112257141594</v>
      </c>
      <c r="AA75" s="384">
        <f t="shared" si="12"/>
        <v>12.672393230833695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8.3037272796408726E-2</v>
      </c>
      <c r="AD75" s="230">
        <f>(INDEX(Models!$BJ75:$BT75,,AH75)*(1-AF75)+INDEX(Models!$BJ75:$BT75,,AH75+1)*AF75-ERP_i)*AE75*Ramure*Pc/MaxiM</f>
        <v>1.1040037908815747E-3</v>
      </c>
      <c r="AE75" s="304">
        <f t="shared" si="14"/>
        <v>0.6</v>
      </c>
      <c r="AF75" s="177">
        <f t="shared" si="22"/>
        <v>0.50650466417029916</v>
      </c>
      <c r="AG75" s="799">
        <f t="shared" si="23"/>
        <v>0</v>
      </c>
      <c r="AH75" s="176">
        <f t="shared" si="15"/>
        <v>6</v>
      </c>
      <c r="AI75" s="224">
        <f t="shared" si="24"/>
        <v>0.50650466417029916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409">
        <f>'2022'!Wh/'2022'!Env_an*'2023'!Env_an</f>
        <v>36.548514858379534</v>
      </c>
      <c r="C76" s="829"/>
      <c r="D76" s="391">
        <f t="shared" si="0"/>
        <v>37.619485222770933</v>
      </c>
      <c r="E76" s="383">
        <f t="shared" si="1"/>
        <v>38.887274525151099</v>
      </c>
      <c r="F76" s="383">
        <f t="shared" si="2"/>
        <v>38.920328095853478</v>
      </c>
      <c r="G76" s="110">
        <f t="shared" si="19"/>
        <v>0.86458720271415634</v>
      </c>
      <c r="H76" s="412" t="b">
        <f>Wh_hp&gt;='2022'!Maxi_hp</f>
        <v>0</v>
      </c>
      <c r="I76" s="379">
        <f>IF(H76,Wh_hp,'2022'!Maxi_hp)</f>
        <v>38.923472241989082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2.8468501311207262E-2</v>
      </c>
      <c r="M76" s="832"/>
      <c r="N76" s="832"/>
      <c r="O76" s="48">
        <f>IF(t&lt;Tnet,'2022'!Resal+('2022'!Salim-'2022'!Resal)*(1-EXP(('2022'!Tnet-t)/('2022'!Tau_j))),Resal+(Salim-Resal)*(1-EXP((Tnet-t)/(Tau_j))))*Salcycl</f>
        <v>3.2601649713460919E-2</v>
      </c>
      <c r="P76" s="338">
        <f>(INDEX(Models!$BJ76:$BT76,,T76)*(1-R76)+INDEX(Models!$BJ76:$BT76,,T76+1)*R76-ERP_i)*Q76*Ramure*Pc/MaxiM</f>
        <v>1.0526246348212418E-3</v>
      </c>
      <c r="Q76" s="304">
        <f t="shared" si="4"/>
        <v>0.6</v>
      </c>
      <c r="R76" s="177">
        <f t="shared" si="5"/>
        <v>0.506838292580157</v>
      </c>
      <c r="S76" s="799">
        <f t="shared" si="6"/>
        <v>0</v>
      </c>
      <c r="T76" s="176">
        <f t="shared" si="7"/>
        <v>6</v>
      </c>
      <c r="U76" s="250">
        <f t="shared" si="20"/>
        <v>0.506838292580157</v>
      </c>
      <c r="V76" s="382">
        <f t="shared" si="8"/>
        <v>42.264187855096857</v>
      </c>
      <c r="W76" s="400">
        <f t="shared" si="9"/>
        <v>36.548514858379534</v>
      </c>
      <c r="X76" s="157">
        <f t="shared" si="10"/>
        <v>44988</v>
      </c>
      <c r="Y76" s="383">
        <f t="shared" si="11"/>
        <v>34.643161649435029</v>
      </c>
      <c r="Z76" s="383">
        <f t="shared" si="21"/>
        <v>35.658300010025876</v>
      </c>
      <c r="AA76" s="384">
        <f t="shared" si="12"/>
        <v>38.887274525151099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8.3034220180095722E-2</v>
      </c>
      <c r="AD76" s="230">
        <f>(INDEX(Models!$BJ76:$BT76,,AH76)*(1-AF76)+INDEX(Models!$BJ76:$BT76,,AH76+1)*AF76-ERP_i)*AE76*Ramure*Pc/MaxiM</f>
        <v>1.0526246348212418E-3</v>
      </c>
      <c r="AE76" s="304">
        <f t="shared" si="14"/>
        <v>0.6</v>
      </c>
      <c r="AF76" s="177">
        <f t="shared" si="22"/>
        <v>0.506838292580157</v>
      </c>
      <c r="AG76" s="799">
        <f t="shared" si="23"/>
        <v>0</v>
      </c>
      <c r="AH76" s="176">
        <f t="shared" si="15"/>
        <v>6</v>
      </c>
      <c r="AI76" s="224">
        <f t="shared" si="24"/>
        <v>0.506838292580157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409">
        <f>'2022'!Wh/'2022'!Env_an*'2023'!Env_an</f>
        <v>3.9274145797246862</v>
      </c>
      <c r="C77" s="829"/>
      <c r="D77" s="391">
        <f t="shared" si="0"/>
        <v>4.042575927257424</v>
      </c>
      <c r="E77" s="383">
        <f t="shared" si="1"/>
        <v>4.1790944148237843</v>
      </c>
      <c r="F77" s="383">
        <f t="shared" si="2"/>
        <v>4.1790944148237843</v>
      </c>
      <c r="G77" s="110">
        <f t="shared" si="19"/>
        <v>9.2052596396145464E-2</v>
      </c>
      <c r="H77" s="412" t="b">
        <f>Wh_hp&gt;='2022'!Maxi_hp</f>
        <v>0</v>
      </c>
      <c r="I77" s="379">
        <f>IF(H77,Wh_hp,'2022'!Maxi_hp)</f>
        <v>32.038386239307918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2.848712049073765E-2</v>
      </c>
      <c r="M77" s="832"/>
      <c r="N77" s="832"/>
      <c r="O77" s="48">
        <f>IF(t&lt;Tnet,'2022'!Resal+('2022'!Salim-'2022'!Resal)*(1-EXP(('2022'!Tnet-t)/('2022'!Tau_j))),Resal+(Salim-Resal)*(1-EXP((Tnet-t)/(Tau_j))))*Salcycl</f>
        <v>3.2667002468791277E-2</v>
      </c>
      <c r="P77" s="338">
        <f>(INDEX(Models!$BJ77:$BT77,,T77)*(1-R77)+INDEX(Models!$BJ77:$BT77,,T77+1)*R77-ERP_i)*Q77*Ramure*Pc/MaxiM</f>
        <v>1.0033749573360928E-3</v>
      </c>
      <c r="Q77" s="304">
        <f t="shared" si="4"/>
        <v>0.6</v>
      </c>
      <c r="R77" s="177">
        <f t="shared" si="5"/>
        <v>0.50718543712525532</v>
      </c>
      <c r="S77" s="799">
        <f t="shared" si="6"/>
        <v>0</v>
      </c>
      <c r="T77" s="176">
        <f t="shared" si="7"/>
        <v>6</v>
      </c>
      <c r="U77" s="250">
        <f t="shared" si="20"/>
        <v>0.50718543712525532</v>
      </c>
      <c r="V77" s="382">
        <f t="shared" si="8"/>
        <v>42.622088500402178</v>
      </c>
      <c r="W77" s="400">
        <f t="shared" si="9"/>
        <v>3.9274145797246862</v>
      </c>
      <c r="X77" s="157">
        <f t="shared" si="10"/>
        <v>44989</v>
      </c>
      <c r="Y77" s="383">
        <f t="shared" si="11"/>
        <v>3.7229337616373686</v>
      </c>
      <c r="Z77" s="383">
        <f t="shared" si="21"/>
        <v>3.8320992342560851</v>
      </c>
      <c r="AA77" s="384">
        <f t="shared" si="12"/>
        <v>4.1790944148237843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8.3031189565103539E-2</v>
      </c>
      <c r="AD77" s="230">
        <f>(INDEX(Models!$BJ77:$BT77,,AH77)*(1-AF77)+INDEX(Models!$BJ77:$BT77,,AH77+1)*AF77-ERP_i)*AE77*Ramure*Pc/MaxiM</f>
        <v>1.0033749573360928E-3</v>
      </c>
      <c r="AE77" s="304">
        <f t="shared" si="14"/>
        <v>0.6</v>
      </c>
      <c r="AF77" s="177">
        <f t="shared" si="22"/>
        <v>0.50718543712525532</v>
      </c>
      <c r="AG77" s="799">
        <f t="shared" si="23"/>
        <v>0</v>
      </c>
      <c r="AH77" s="176">
        <f t="shared" si="15"/>
        <v>6</v>
      </c>
      <c r="AI77" s="224">
        <f t="shared" si="24"/>
        <v>0.50718543712525532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409">
        <f>'2022'!Wh/'2022'!Env_an*'2023'!Env_an</f>
        <v>13.523171318904797</v>
      </c>
      <c r="C78" s="829"/>
      <c r="D78" s="391">
        <f t="shared" si="0"/>
        <v>13.919970365391396</v>
      </c>
      <c r="E78" s="383">
        <f t="shared" si="1"/>
        <v>14.391021298820368</v>
      </c>
      <c r="F78" s="383">
        <f t="shared" si="2"/>
        <v>14.39130902440667</v>
      </c>
      <c r="G78" s="110">
        <f t="shared" si="19"/>
        <v>0.31434151605060556</v>
      </c>
      <c r="H78" s="412" t="b">
        <f>Wh_hp&gt;='2022'!Maxi_hp</f>
        <v>0</v>
      </c>
      <c r="I78" s="379">
        <f>IF(H78,Wh_hp,'2022'!Maxi_hp)</f>
        <v>38.035034481034316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2.8505739313435807E-2</v>
      </c>
      <c r="M78" s="832"/>
      <c r="N78" s="832"/>
      <c r="O78" s="48">
        <f>IF(t&lt;Tnet,'2022'!Resal+('2022'!Salim-'2022'!Resal)*(1-EXP(('2022'!Tnet-t)/('2022'!Tau_j))),Resal+(Salim-Resal)*(1-EXP((Tnet-t)/(Tau_j))))*Salcycl</f>
        <v>3.2732279637970089E-2</v>
      </c>
      <c r="P78" s="338">
        <f>(INDEX(Models!$BJ78:$BT78,,T78)*(1-R78)+INDEX(Models!$BJ78:$BT78,,T78+1)*R78-ERP_i)*Q78*Ramure*Pc/MaxiM</f>
        <v>9.562054357217766E-4</v>
      </c>
      <c r="Q78" s="304">
        <f t="shared" si="4"/>
        <v>0.6</v>
      </c>
      <c r="R78" s="177">
        <f t="shared" si="5"/>
        <v>0.50754662479715096</v>
      </c>
      <c r="S78" s="799">
        <f t="shared" si="6"/>
        <v>0</v>
      </c>
      <c r="T78" s="176">
        <f t="shared" si="7"/>
        <v>6</v>
      </c>
      <c r="U78" s="250">
        <f t="shared" si="20"/>
        <v>0.50754662479715096</v>
      </c>
      <c r="V78" s="382">
        <f t="shared" si="8"/>
        <v>42.980356761335486</v>
      </c>
      <c r="W78" s="400">
        <f t="shared" si="9"/>
        <v>13.523171318904797</v>
      </c>
      <c r="X78" s="157">
        <f t="shared" si="10"/>
        <v>44990</v>
      </c>
      <c r="Y78" s="383">
        <f t="shared" si="11"/>
        <v>12.819994472295729</v>
      </c>
      <c r="Z78" s="383">
        <f t="shared" si="21"/>
        <v>13.196160791763935</v>
      </c>
      <c r="AA78" s="384">
        <f t="shared" si="12"/>
        <v>14.391021298820368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8.3028193916603821E-2</v>
      </c>
      <c r="AD78" s="230">
        <f>(INDEX(Models!$BJ78:$BT78,,AH78)*(1-AF78)+INDEX(Models!$BJ78:$BT78,,AH78+1)*AF78-ERP_i)*AE78*Ramure*Pc/MaxiM</f>
        <v>9.562054357217766E-4</v>
      </c>
      <c r="AE78" s="304">
        <f t="shared" si="14"/>
        <v>0.6</v>
      </c>
      <c r="AF78" s="177">
        <f t="shared" si="22"/>
        <v>0.50754662479715096</v>
      </c>
      <c r="AG78" s="799">
        <f t="shared" si="23"/>
        <v>0</v>
      </c>
      <c r="AH78" s="176">
        <f t="shared" si="15"/>
        <v>6</v>
      </c>
      <c r="AI78" s="224">
        <f t="shared" si="24"/>
        <v>0.50754662479715096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409">
        <f>'2022'!Wh/'2022'!Env_an*'2023'!Env_an</f>
        <v>16.303790328246457</v>
      </c>
      <c r="C79" s="829"/>
      <c r="D79" s="391">
        <f t="shared" ref="D79:D142" si="25">Wh/(1-Ppv)</f>
        <v>16.782500373326602</v>
      </c>
      <c r="E79" s="383">
        <f t="shared" si="1"/>
        <v>17.351588887298838</v>
      </c>
      <c r="F79" s="383">
        <f t="shared" ref="F79:F142" si="26">Wh_sa/(1-Pvg*MEDIAN((-Sdif+Wh/Env_an)/Csdif,0,1))</f>
        <v>17.353309484159823</v>
      </c>
      <c r="G79" s="110">
        <f t="shared" si="19"/>
        <v>0.37587703926732718</v>
      </c>
      <c r="H79" s="412" t="b">
        <f>Wh_hp&gt;='2022'!Maxi_hp</f>
        <v>0</v>
      </c>
      <c r="I79" s="379">
        <f>IF(H79,Wh_hp,'2022'!Maxi_hp)</f>
        <v>17.358899888574093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2.8524357779308396E-2</v>
      </c>
      <c r="M79" s="832"/>
      <c r="N79" s="832"/>
      <c r="O79" s="48">
        <f>IF(t&lt;Tnet,'2022'!Resal+('2022'!Salim-'2022'!Resal)*(1-EXP(('2022'!Tnet-t)/('2022'!Tau_j))),Resal+(Salim-Resal)*(1-EXP((Tnet-t)/(Tau_j))))*Salcycl</f>
        <v>3.2797487173569694E-2</v>
      </c>
      <c r="P79" s="338">
        <f>(INDEX(Models!$BJ79:$BT79,,T79)*(1-R79)+INDEX(Models!$BJ79:$BT79,,T79+1)*R79-ERP_i)*Q79*Ramure*Pc/MaxiM</f>
        <v>9.1104471271389741E-4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0.50792240140704903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0.50792240140704903</v>
      </c>
      <c r="V79" s="382">
        <f t="shared" ref="V79:V142" si="33">MaxiM*(1-Ppv)*(1-Pvg)*(1-Psa)</f>
        <v>43.340109578106933</v>
      </c>
      <c r="W79" s="400">
        <f t="shared" ref="W79:W142" si="34">Wh*(A79&gt;Tmaj)</f>
        <v>16.303790328246457</v>
      </c>
      <c r="X79" s="157">
        <f t="shared" ref="X79:X142" si="35">t</f>
        <v>44991</v>
      </c>
      <c r="Y79" s="383">
        <f t="shared" ref="Y79:Y142" si="36">Wh_pvt_s*(1-Ppv)</f>
        <v>15.457118749812322</v>
      </c>
      <c r="Z79" s="383">
        <f t="shared" ref="Z79:Z142" si="37">Wh_sa_s*(1-Psa_s)</f>
        <v>15.910968919898977</v>
      </c>
      <c r="AA79" s="384">
        <f t="shared" ref="AA79:AA142" si="38">Wh_hp*(1-Pvg_s*MEDIAN((-Sdif+Wh/Env_an)/Csdif,0,1))</f>
        <v>17.351588887298838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8.3025247817759107E-2</v>
      </c>
      <c r="AD79" s="230">
        <f>(INDEX(Models!$BJ79:$BT79,,AH79)*(1-AF79)+INDEX(Models!$BJ79:$BT79,,AH79+1)*AF79-ERP_i)*AE79*Ramure*Pc/MaxiM</f>
        <v>9.1104471271389741E-4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0.50792240140704903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0.50792240140704903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09">
        <f>'2022'!Wh/'2022'!Env_an*'2023'!Env_an</f>
        <v>40.161583843351863</v>
      </c>
      <c r="C80" s="829"/>
      <c r="D80" s="391">
        <f t="shared" si="25"/>
        <v>41.341596021788177</v>
      </c>
      <c r="E80" s="383">
        <f t="shared" ref="E80:E143" si="47">Wh_pvt/(1-Psa)</f>
        <v>42.746353700095668</v>
      </c>
      <c r="F80" s="383">
        <f t="shared" si="26"/>
        <v>42.779218136751375</v>
      </c>
      <c r="G80" s="110">
        <f t="shared" ref="G80:G143" si="48">+Wh_hp/MaxiM</f>
        <v>0.91889320020405896</v>
      </c>
      <c r="H80" s="412" t="b">
        <f>Wh_hp&gt;='2022'!Maxi_hp</f>
        <v>0</v>
      </c>
      <c r="I80" s="379">
        <f>IF(H80,Wh_hp,'2022'!Maxi_hp)</f>
        <v>42.780921418940942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2.8542975888362299E-2</v>
      </c>
      <c r="M80" s="832"/>
      <c r="N80" s="832"/>
      <c r="O80" s="48">
        <f>IF(t&lt;Tnet,'2022'!Resal+('2022'!Salim-'2022'!Resal)*(1-EXP(('2022'!Tnet-t)/('2022'!Tau_j))),Resal+(Salim-Resal)*(1-EXP((Tnet-t)/(Tau_j))))*Salcycl</f>
        <v>3.2862631703352629E-2</v>
      </c>
      <c r="P80" s="338">
        <f>(INDEX(Models!$BJ80:$BT80,,T80)*(1-R80)+INDEX(Models!$BJ80:$BT80,,T80+1)*R80-ERP_i)*Q80*Ramure*Pc/MaxiM</f>
        <v>8.6878195525655919E-4</v>
      </c>
      <c r="Q80" s="304">
        <f t="shared" si="28"/>
        <v>0.6</v>
      </c>
      <c r="R80" s="177">
        <f t="shared" si="29"/>
        <v>0.50831333211148466</v>
      </c>
      <c r="S80" s="799">
        <f t="shared" si="30"/>
        <v>0</v>
      </c>
      <c r="T80" s="176">
        <f t="shared" si="31"/>
        <v>6</v>
      </c>
      <c r="U80" s="250">
        <f t="shared" si="32"/>
        <v>0.50831333211148466</v>
      </c>
      <c r="V80" s="382">
        <f t="shared" si="33"/>
        <v>43.702078274436666</v>
      </c>
      <c r="W80" s="400">
        <f t="shared" si="34"/>
        <v>40.161583843351863</v>
      </c>
      <c r="X80" s="157">
        <f t="shared" si="35"/>
        <v>44992</v>
      </c>
      <c r="Y80" s="383">
        <f t="shared" si="36"/>
        <v>38.078638340044705</v>
      </c>
      <c r="Z80" s="383">
        <f t="shared" si="37"/>
        <v>39.197450216458357</v>
      </c>
      <c r="AA80" s="384">
        <f t="shared" si="38"/>
        <v>42.746353700095668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8.3022367440649517E-2</v>
      </c>
      <c r="AD80" s="230">
        <f>(INDEX(Models!$BJ80:$BT80,,AH80)*(1-AF80)+INDEX(Models!$BJ80:$BT80,,AH80+1)*AF80-ERP_i)*AE80*Ramure*Pc/MaxiM</f>
        <v>8.6878195525655919E-4</v>
      </c>
      <c r="AE80" s="304">
        <f t="shared" si="40"/>
        <v>0.6</v>
      </c>
      <c r="AF80" s="177">
        <f t="shared" si="41"/>
        <v>0.50831333211148466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0.50831333211148466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09">
        <f>'2022'!Wh/'2022'!Env_an*'2023'!Env_an</f>
        <v>32.731110256542429</v>
      </c>
      <c r="C81" s="829"/>
      <c r="D81" s="391">
        <f t="shared" si="25"/>
        <v>33.693448850974448</v>
      </c>
      <c r="E81" s="383">
        <f t="shared" si="47"/>
        <v>34.840672787275906</v>
      </c>
      <c r="F81" s="383">
        <f t="shared" si="26"/>
        <v>34.858954404141507</v>
      </c>
      <c r="G81" s="110">
        <f t="shared" si="48"/>
        <v>0.74255237767809024</v>
      </c>
      <c r="H81" s="412" t="b">
        <f>Wh_hp&gt;='2022'!Maxi_hp</f>
        <v>0</v>
      </c>
      <c r="I81" s="379">
        <f>IF(H81,Wh_hp,'2022'!Maxi_hp)</f>
        <v>34.863147641201927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2.8561593640604399E-2</v>
      </c>
      <c r="M81" s="832"/>
      <c r="N81" s="832"/>
      <c r="O81" s="48">
        <f>IF(t&lt;Tnet,'2022'!Resal+('2022'!Salim-'2022'!Resal)*(1-EXP(('2022'!Tnet-t)/('2022'!Tau_j))),Resal+(Salim-Resal)*(1-EXP((Tnet-t)/(Tau_j))))*Salcycl</f>
        <v>3.2927720520954815E-2</v>
      </c>
      <c r="P81" s="338">
        <f>(INDEX(Models!$BJ81:$BT81,,T81)*(1-R81)+INDEX(Models!$BJ81:$BT81,,T81+1)*R81-ERP_i)*Q81*Ramure*Pc/MaxiM</f>
        <v>8.2910870290087407E-4</v>
      </c>
      <c r="Q81" s="304">
        <f t="shared" si="28"/>
        <v>0.6</v>
      </c>
      <c r="R81" s="177">
        <f t="shared" si="29"/>
        <v>0.50872000193969469</v>
      </c>
      <c r="S81" s="799">
        <f t="shared" si="30"/>
        <v>0</v>
      </c>
      <c r="T81" s="176">
        <f t="shared" si="31"/>
        <v>6</v>
      </c>
      <c r="U81" s="250">
        <f t="shared" si="32"/>
        <v>0.50872000193969469</v>
      </c>
      <c r="V81" s="382">
        <f t="shared" si="33"/>
        <v>44.065757565641</v>
      </c>
      <c r="W81" s="400">
        <f t="shared" si="34"/>
        <v>32.731110256542429</v>
      </c>
      <c r="X81" s="157">
        <f t="shared" si="35"/>
        <v>44993</v>
      </c>
      <c r="Y81" s="383">
        <f t="shared" si="36"/>
        <v>31.035723159171965</v>
      </c>
      <c r="Z81" s="383">
        <f t="shared" si="37"/>
        <v>31.948215096294966</v>
      </c>
      <c r="AA81" s="384">
        <f t="shared" si="38"/>
        <v>34.840672787275906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8.301957050718288E-2</v>
      </c>
      <c r="AD81" s="230">
        <f>(INDEX(Models!$BJ81:$BT81,,AH81)*(1-AF81)+INDEX(Models!$BJ81:$BT81,,AH81+1)*AF81-ERP_i)*AE81*Ramure*Pc/MaxiM</f>
        <v>8.2910870290087407E-4</v>
      </c>
      <c r="AE81" s="304">
        <f t="shared" si="40"/>
        <v>0.6</v>
      </c>
      <c r="AF81" s="177">
        <f t="shared" si="41"/>
        <v>0.50872000193969469</v>
      </c>
      <c r="AG81" s="799">
        <f t="shared" si="49"/>
        <v>0</v>
      </c>
      <c r="AH81" s="176">
        <f t="shared" si="42"/>
        <v>6</v>
      </c>
      <c r="AI81" s="224">
        <f t="shared" si="43"/>
        <v>0.50872000193969469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09">
        <f>'2022'!Wh/'2022'!Env_an*'2023'!Env_an</f>
        <v>31.911455584019699</v>
      </c>
      <c r="C82" s="829"/>
      <c r="D82" s="391">
        <f t="shared" si="25"/>
        <v>32.850324799388737</v>
      </c>
      <c r="E82" s="383">
        <f t="shared" si="47"/>
        <v>33.971126061901877</v>
      </c>
      <c r="F82" s="383">
        <f t="shared" si="26"/>
        <v>33.987208340286649</v>
      </c>
      <c r="G82" s="110">
        <f t="shared" si="48"/>
        <v>0.71800190393671393</v>
      </c>
      <c r="H82" s="412" t="b">
        <f>Wh_hp&gt;='2022'!Maxi_hp</f>
        <v>0</v>
      </c>
      <c r="I82" s="379">
        <f>IF(H82,Wh_hp,'2022'!Maxi_hp)</f>
        <v>45.223150143497143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2.8580211036041581E-2</v>
      </c>
      <c r="M82" s="832"/>
      <c r="N82" s="832"/>
      <c r="O82" s="48">
        <f>IF(t&lt;Tnet,'2022'!Resal+('2022'!Salim-'2022'!Resal)*(1-EXP(('2022'!Tnet-t)/('2022'!Tau_j))),Resal+(Salim-Resal)*(1-EXP((Tnet-t)/(Tau_j))))*Salcycl</f>
        <v>3.2992761572602211E-2</v>
      </c>
      <c r="P82" s="338">
        <f>(INDEX(Models!$BJ82:$BT82,,T82)*(1-R82)+INDEX(Models!$BJ82:$BT82,,T82+1)*R82-ERP_i)*Q82*Ramure*Pc/MaxiM</f>
        <v>7.9197946804534949E-4</v>
      </c>
      <c r="Q82" s="304">
        <f t="shared" si="28"/>
        <v>0.6</v>
      </c>
      <c r="R82" s="177">
        <f t="shared" si="29"/>
        <v>0.50914301632128167</v>
      </c>
      <c r="S82" s="799">
        <f t="shared" si="30"/>
        <v>0</v>
      </c>
      <c r="T82" s="176">
        <f t="shared" si="31"/>
        <v>6</v>
      </c>
      <c r="U82" s="250">
        <f t="shared" si="32"/>
        <v>0.50914301632128167</v>
      </c>
      <c r="V82" s="382">
        <f t="shared" si="33"/>
        <v>44.430630944311886</v>
      </c>
      <c r="W82" s="400">
        <f t="shared" si="34"/>
        <v>31.911455584019699</v>
      </c>
      <c r="X82" s="157">
        <f t="shared" si="35"/>
        <v>44994</v>
      </c>
      <c r="Y82" s="383">
        <f t="shared" si="36"/>
        <v>30.260648589076897</v>
      </c>
      <c r="Z82" s="383">
        <f t="shared" si="37"/>
        <v>31.150949293868695</v>
      </c>
      <c r="AA82" s="384">
        <f t="shared" si="38"/>
        <v>33.971126061901877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8.3016876240554427E-2</v>
      </c>
      <c r="AD82" s="230">
        <f>(INDEX(Models!$BJ82:$BT82,,AH82)*(1-AF82)+INDEX(Models!$BJ82:$BT82,,AH82+1)*AF82-ERP_i)*AE82*Ramure*Pc/MaxiM</f>
        <v>7.9197946804534949E-4</v>
      </c>
      <c r="AE82" s="304">
        <f t="shared" si="40"/>
        <v>0.6</v>
      </c>
      <c r="AF82" s="177">
        <f t="shared" si="41"/>
        <v>0.50914301632128167</v>
      </c>
      <c r="AG82" s="799">
        <f t="shared" si="49"/>
        <v>0</v>
      </c>
      <c r="AH82" s="176">
        <f t="shared" si="42"/>
        <v>6</v>
      </c>
      <c r="AI82" s="224">
        <f t="shared" si="43"/>
        <v>0.50914301632128167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09">
        <f>'2022'!Wh/'2022'!Env_an*'2023'!Env_an</f>
        <v>25.403172501454225</v>
      </c>
      <c r="C83" s="829"/>
      <c r="D83" s="391">
        <f t="shared" si="25"/>
        <v>26.151062234262163</v>
      </c>
      <c r="E83" s="383">
        <f t="shared" si="47"/>
        <v>27.045113188249047</v>
      </c>
      <c r="F83" s="383">
        <f t="shared" si="26"/>
        <v>27.052930523830106</v>
      </c>
      <c r="G83" s="110">
        <f t="shared" si="48"/>
        <v>0.56681773931163382</v>
      </c>
      <c r="H83" s="412" t="b">
        <f>Wh_hp&gt;='2022'!Maxi_hp</f>
        <v>0</v>
      </c>
      <c r="I83" s="379">
        <f>IF(H83,Wh_hp,'2022'!Maxi_hp)</f>
        <v>44.941946667610743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2.8598828074680616E-2</v>
      </c>
      <c r="M83" s="832"/>
      <c r="N83" s="832"/>
      <c r="O83" s="48">
        <f>IF(t&lt;Tnet,'2022'!Resal+('2022'!Salim-'2022'!Resal)*(1-EXP(('2022'!Tnet-t)/('2022'!Tau_j))),Resal+(Salim-Resal)*(1-EXP((Tnet-t)/(Tau_j))))*Salcycl</f>
        <v>3.3057763440063698E-2</v>
      </c>
      <c r="P83" s="338">
        <f>(INDEX(Models!$BJ83:$BT83,,T83)*(1-R83)+INDEX(Models!$BJ83:$BT83,,T83+1)*R83-ERP_i)*Q83*Ramure*Pc/MaxiM</f>
        <v>7.5734809204027636E-4</v>
      </c>
      <c r="Q83" s="304">
        <f t="shared" si="28"/>
        <v>0.6</v>
      </c>
      <c r="R83" s="177">
        <f t="shared" si="29"/>
        <v>0.50958300161261838</v>
      </c>
      <c r="S83" s="799">
        <f t="shared" si="30"/>
        <v>0</v>
      </c>
      <c r="T83" s="176">
        <f t="shared" si="31"/>
        <v>6</v>
      </c>
      <c r="U83" s="250">
        <f t="shared" si="32"/>
        <v>0.50958300161261838</v>
      </c>
      <c r="V83" s="382">
        <f t="shared" si="33"/>
        <v>44.796182037254141</v>
      </c>
      <c r="W83" s="400">
        <f t="shared" si="34"/>
        <v>25.403172501454225</v>
      </c>
      <c r="X83" s="157">
        <f t="shared" si="35"/>
        <v>44995</v>
      </c>
      <c r="Y83" s="383">
        <f t="shared" si="36"/>
        <v>24.090731486198234</v>
      </c>
      <c r="Z83" s="383">
        <f t="shared" si="37"/>
        <v>24.799981904953178</v>
      </c>
      <c r="AA83" s="384">
        <f t="shared" si="38"/>
        <v>27.045113188249047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8.3014305307894443E-2</v>
      </c>
      <c r="AD83" s="230">
        <f>(INDEX(Models!$BJ83:$BT83,,AH83)*(1-AF83)+INDEX(Models!$BJ83:$BT83,,AH83+1)*AF83-ERP_i)*AE83*Ramure*Pc/MaxiM</f>
        <v>7.5734809204027636E-4</v>
      </c>
      <c r="AE83" s="304">
        <f t="shared" si="40"/>
        <v>0.6</v>
      </c>
      <c r="AF83" s="177">
        <f t="shared" si="41"/>
        <v>0.50958300161261838</v>
      </c>
      <c r="AG83" s="799">
        <f t="shared" si="49"/>
        <v>0</v>
      </c>
      <c r="AH83" s="176">
        <f t="shared" si="42"/>
        <v>6</v>
      </c>
      <c r="AI83" s="224">
        <f t="shared" si="43"/>
        <v>0.50958300161261838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09">
        <f>'2022'!Wh/'2022'!Env_an*'2023'!Env_an</f>
        <v>15.754595749417037</v>
      </c>
      <c r="C84" s="829"/>
      <c r="D84" s="391">
        <f t="shared" si="25"/>
        <v>16.218734487637814</v>
      </c>
      <c r="E84" s="383">
        <f t="shared" si="47"/>
        <v>16.774346734698344</v>
      </c>
      <c r="F84" s="383">
        <f t="shared" si="26"/>
        <v>16.775195616040321</v>
      </c>
      <c r="G84" s="110">
        <f t="shared" si="48"/>
        <v>0.34861176341028194</v>
      </c>
      <c r="H84" s="412" t="b">
        <f>Wh_hp&gt;='2022'!Maxi_hp</f>
        <v>0</v>
      </c>
      <c r="I84" s="379">
        <f>IF(H84,Wh_hp,'2022'!Maxi_hp)</f>
        <v>33.644561072825525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2.8617444756528387E-2</v>
      </c>
      <c r="M84" s="832"/>
      <c r="N84" s="832"/>
      <c r="O84" s="48">
        <f>IF(t&lt;Tnet,'2022'!Resal+('2022'!Salim-'2022'!Resal)*(1-EXP(('2022'!Tnet-t)/('2022'!Tau_j))),Resal+(Salim-Resal)*(1-EXP((Tnet-t)/(Tau_j))))*Salcycl</f>
        <v>3.3122735320072177E-2</v>
      </c>
      <c r="P84" s="338">
        <f>(INDEX(Models!$BJ84:$BT84,,T84)*(1-R84)+INDEX(Models!$BJ84:$BT84,,T84+1)*R84-ERP_i)*Q84*Ramure*Pc/MaxiM</f>
        <v>7.2516810075608001E-4</v>
      </c>
      <c r="Q84" s="304">
        <f t="shared" si="28"/>
        <v>0.6</v>
      </c>
      <c r="R84" s="177">
        <f t="shared" si="29"/>
        <v>0.51004060562028319</v>
      </c>
      <c r="S84" s="799">
        <f t="shared" si="30"/>
        <v>0</v>
      </c>
      <c r="T84" s="176">
        <f t="shared" si="31"/>
        <v>6</v>
      </c>
      <c r="U84" s="250">
        <f t="shared" si="32"/>
        <v>0.51004060562028319</v>
      </c>
      <c r="V84" s="382">
        <f t="shared" si="33"/>
        <v>45.161894604086065</v>
      </c>
      <c r="W84" s="400">
        <f t="shared" si="34"/>
        <v>15.754595749417037</v>
      </c>
      <c r="X84" s="157">
        <f t="shared" si="35"/>
        <v>44996</v>
      </c>
      <c r="Y84" s="383">
        <f t="shared" si="36"/>
        <v>14.941686674433571</v>
      </c>
      <c r="Z84" s="383">
        <f t="shared" si="37"/>
        <v>15.38187668059215</v>
      </c>
      <c r="AA84" s="384">
        <f t="shared" si="38"/>
        <v>16.774346734698344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8.3011879754805659E-2</v>
      </c>
      <c r="AD84" s="230">
        <f>(INDEX(Models!$BJ84:$BT84,,AH84)*(1-AF84)+INDEX(Models!$BJ84:$BT84,,AH84+1)*AF84-ERP_i)*AE84*Ramure*Pc/MaxiM</f>
        <v>7.2516810075608001E-4</v>
      </c>
      <c r="AE84" s="304">
        <f t="shared" si="40"/>
        <v>0.6</v>
      </c>
      <c r="AF84" s="177">
        <f t="shared" si="41"/>
        <v>0.51004060562028319</v>
      </c>
      <c r="AG84" s="799">
        <f t="shared" si="49"/>
        <v>0</v>
      </c>
      <c r="AH84" s="176">
        <f t="shared" si="42"/>
        <v>6</v>
      </c>
      <c r="AI84" s="224">
        <f t="shared" si="43"/>
        <v>0.51004060562028319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09">
        <f>'2022'!Wh/'2022'!Env_an*'2023'!Env_an</f>
        <v>16.397494017484842</v>
      </c>
      <c r="C85" s="829"/>
      <c r="D85" s="391">
        <f t="shared" si="25"/>
        <v>16.880896397845568</v>
      </c>
      <c r="E85" s="383">
        <f t="shared" si="47"/>
        <v>17.460365544448546</v>
      </c>
      <c r="F85" s="383">
        <f t="shared" si="26"/>
        <v>17.46140926117404</v>
      </c>
      <c r="G85" s="110">
        <f t="shared" si="48"/>
        <v>0.35993981412138087</v>
      </c>
      <c r="H85" s="412" t="b">
        <f>Wh_hp&gt;='2022'!Maxi_hp</f>
        <v>0</v>
      </c>
      <c r="I85" s="379">
        <f>IF(H85,Wh_hp,'2022'!Maxi_hp)</f>
        <v>43.401527185164618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2.8636061081591668E-2</v>
      </c>
      <c r="M85" s="832"/>
      <c r="N85" s="832"/>
      <c r="O85" s="48">
        <f>IF(t&lt;Tnet,'2022'!Resal+('2022'!Salim-'2022'!Resal)*(1-EXP(('2022'!Tnet-t)/('2022'!Tau_j))),Resal+(Salim-Resal)*(1-EXP((Tnet-t)/(Tau_j))))*Salcycl</f>
        <v>3.3187687000471547E-2</v>
      </c>
      <c r="P85" s="338">
        <f>(INDEX(Models!$BJ85:$BT85,,T85)*(1-R85)+INDEX(Models!$BJ85:$BT85,,T85+1)*R85-ERP_i)*Q85*Ramure*Pc/MaxiM</f>
        <v>6.9539304382046753E-4</v>
      </c>
      <c r="Q85" s="304">
        <f t="shared" si="28"/>
        <v>0.6</v>
      </c>
      <c r="R85" s="177">
        <f t="shared" si="29"/>
        <v>0.51051649811963851</v>
      </c>
      <c r="S85" s="799">
        <f t="shared" si="30"/>
        <v>0</v>
      </c>
      <c r="T85" s="176">
        <f t="shared" si="31"/>
        <v>6</v>
      </c>
      <c r="U85" s="250">
        <f t="shared" si="32"/>
        <v>0.51051649811963851</v>
      </c>
      <c r="V85" s="382">
        <f t="shared" si="33"/>
        <v>45.527252534580832</v>
      </c>
      <c r="W85" s="400">
        <f t="shared" si="34"/>
        <v>16.397494017484842</v>
      </c>
      <c r="X85" s="157">
        <f t="shared" si="35"/>
        <v>44997</v>
      </c>
      <c r="Y85" s="383">
        <f t="shared" si="36"/>
        <v>15.552495577352154</v>
      </c>
      <c r="Z85" s="383">
        <f t="shared" si="37"/>
        <v>16.010987184339481</v>
      </c>
      <c r="AA85" s="384">
        <f t="shared" si="38"/>
        <v>17.460365544448546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8.3009622932544574E-2</v>
      </c>
      <c r="AD85" s="230">
        <f>(INDEX(Models!$BJ85:$BT85,,AH85)*(1-AF85)+INDEX(Models!$BJ85:$BT85,,AH85+1)*AF85-ERP_i)*AE85*Ramure*Pc/MaxiM</f>
        <v>6.9539304382046753E-4</v>
      </c>
      <c r="AE85" s="304">
        <f t="shared" si="40"/>
        <v>0.6</v>
      </c>
      <c r="AF85" s="177">
        <f t="shared" si="41"/>
        <v>0.51051649811963851</v>
      </c>
      <c r="AG85" s="799">
        <f t="shared" si="49"/>
        <v>0</v>
      </c>
      <c r="AH85" s="176">
        <f t="shared" si="42"/>
        <v>6</v>
      </c>
      <c r="AI85" s="224">
        <f t="shared" si="43"/>
        <v>0.51051649811963851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09">
        <f>'2022'!Wh/'2022'!Env_an*'2023'!Env_an</f>
        <v>9.1947302872074026</v>
      </c>
      <c r="C86" s="829"/>
      <c r="D86" s="391">
        <f t="shared" si="25"/>
        <v>9.4659747362365572</v>
      </c>
      <c r="E86" s="383">
        <f t="shared" si="47"/>
        <v>9.7915701853043657</v>
      </c>
      <c r="F86" s="383">
        <f t="shared" si="26"/>
        <v>9.7915701853043657</v>
      </c>
      <c r="G86" s="110">
        <f t="shared" si="48"/>
        <v>0.20022314367064703</v>
      </c>
      <c r="H86" s="412" t="b">
        <f>Wh_hp&gt;='2022'!Maxi_hp</f>
        <v>0</v>
      </c>
      <c r="I86" s="379">
        <f>IF(H86,Wh_hp,'2022'!Maxi_hp)</f>
        <v>43.4645843753053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2.8654677049877231E-2</v>
      </c>
      <c r="M86" s="832"/>
      <c r="N86" s="832"/>
      <c r="O86" s="48">
        <f>IF(t&lt;Tnet,'2022'!Resal+('2022'!Salim-'2022'!Resal)*(1-EXP(('2022'!Tnet-t)/('2022'!Tau_j))),Resal+(Salim-Resal)*(1-EXP((Tnet-t)/(Tau_j))))*Salcycl</f>
        <v>3.3252628833368991E-2</v>
      </c>
      <c r="P86" s="338">
        <f>(INDEX(Models!$BJ86:$BT86,,T86)*(1-R86)+INDEX(Models!$BJ86:$BT86,,T86+1)*R86-ERP_i)*Q86*Ramure*Pc/MaxiM</f>
        <v>6.680943855419181E-4</v>
      </c>
      <c r="Q86" s="304">
        <f t="shared" si="28"/>
        <v>0.6</v>
      </c>
      <c r="R86" s="177">
        <f t="shared" si="29"/>
        <v>0.51101137136648422</v>
      </c>
      <c r="S86" s="799">
        <f t="shared" si="30"/>
        <v>0</v>
      </c>
      <c r="T86" s="176">
        <f t="shared" si="31"/>
        <v>6</v>
      </c>
      <c r="U86" s="250">
        <f t="shared" si="32"/>
        <v>0.51101137136648422</v>
      </c>
      <c r="V86" s="382">
        <f t="shared" si="33"/>
        <v>45.891734447245149</v>
      </c>
      <c r="W86" s="400">
        <f t="shared" si="34"/>
        <v>9.1947302872074026</v>
      </c>
      <c r="X86" s="157">
        <f t="shared" si="35"/>
        <v>44998</v>
      </c>
      <c r="Y86" s="383">
        <f t="shared" si="36"/>
        <v>8.7215113462153653</v>
      </c>
      <c r="Z86" s="383">
        <f t="shared" si="37"/>
        <v>8.9787958413459137</v>
      </c>
      <c r="AA86" s="384">
        <f t="shared" si="38"/>
        <v>9.7915701853043657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8.300755941864163E-2</v>
      </c>
      <c r="AD86" s="230">
        <f>(INDEX(Models!$BJ86:$BT86,,AH86)*(1-AF86)+INDEX(Models!$BJ86:$BT86,,AH86+1)*AF86-ERP_i)*AE86*Ramure*Pc/MaxiM</f>
        <v>6.680943855419181E-4</v>
      </c>
      <c r="AE86" s="304">
        <f t="shared" si="40"/>
        <v>0.6</v>
      </c>
      <c r="AF86" s="177">
        <f t="shared" si="41"/>
        <v>0.51101137136648422</v>
      </c>
      <c r="AG86" s="799">
        <f t="shared" si="49"/>
        <v>0</v>
      </c>
      <c r="AH86" s="176">
        <f t="shared" si="42"/>
        <v>6</v>
      </c>
      <c r="AI86" s="224">
        <f t="shared" si="43"/>
        <v>0.51101137136648422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09">
        <f>'2022'!Wh/'2022'!Env_an*'2023'!Env_an</f>
        <v>14.814816365632224</v>
      </c>
      <c r="C87" s="829"/>
      <c r="D87" s="391">
        <f t="shared" si="25"/>
        <v>15.25214560013918</v>
      </c>
      <c r="E87" s="383">
        <f t="shared" si="47"/>
        <v>15.777824395804593</v>
      </c>
      <c r="F87" s="383">
        <f t="shared" si="26"/>
        <v>15.778118079822008</v>
      </c>
      <c r="G87" s="110">
        <f t="shared" si="48"/>
        <v>0.32008688537242114</v>
      </c>
      <c r="H87" s="412" t="b">
        <f>Wh_hp&gt;='2022'!Maxi_hp</f>
        <v>0</v>
      </c>
      <c r="I87" s="379">
        <f>IF(H87,Wh_hp,'2022'!Maxi_hp)</f>
        <v>41.9627960937136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2.867329266139218E-2</v>
      </c>
      <c r="M87" s="832"/>
      <c r="N87" s="832"/>
      <c r="O87" s="48">
        <f>IF(t&lt;Tnet,'2022'!Resal+('2022'!Salim-'2022'!Resal)*(1-EXP(('2022'!Tnet-t)/('2022'!Tau_j))),Resal+(Salim-Resal)*(1-EXP((Tnet-t)/(Tau_j))))*Salcycl</f>
        <v>3.3317571705589182E-2</v>
      </c>
      <c r="P87" s="338">
        <f>(INDEX(Models!$BJ87:$BT87,,T87)*(1-R87)+INDEX(Models!$BJ87:$BT87,,T87+1)*R87-ERP_i)*Q87*Ramure*Pc/MaxiM</f>
        <v>6.4226331614975905E-4</v>
      </c>
      <c r="Q87" s="304">
        <f t="shared" si="28"/>
        <v>0.6</v>
      </c>
      <c r="R87" s="177">
        <f t="shared" si="29"/>
        <v>0.51152594059952183</v>
      </c>
      <c r="S87" s="799">
        <f t="shared" si="30"/>
        <v>0</v>
      </c>
      <c r="T87" s="176">
        <f t="shared" si="31"/>
        <v>6</v>
      </c>
      <c r="U87" s="250">
        <f t="shared" si="32"/>
        <v>0.51152594059952183</v>
      </c>
      <c r="V87" s="382">
        <f t="shared" si="33"/>
        <v>46.254868946173325</v>
      </c>
      <c r="W87" s="400">
        <f t="shared" si="34"/>
        <v>14.814816365632224</v>
      </c>
      <c r="X87" s="157">
        <f t="shared" si="35"/>
        <v>44999</v>
      </c>
      <c r="Y87" s="383">
        <f t="shared" si="36"/>
        <v>14.053324591395524</v>
      </c>
      <c r="Z87" s="383">
        <f t="shared" si="37"/>
        <v>14.468174801762645</v>
      </c>
      <c r="AA87" s="384">
        <f t="shared" si="38"/>
        <v>15.777824395804593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8.3005714931786878E-2</v>
      </c>
      <c r="AD87" s="230">
        <f>(INDEX(Models!$BJ87:$BT87,,AH87)*(1-AF87)+INDEX(Models!$BJ87:$BT87,,AH87+1)*AF87-ERP_i)*AE87*Ramure*Pc/MaxiM</f>
        <v>6.4226331614975905E-4</v>
      </c>
      <c r="AE87" s="304">
        <f t="shared" si="40"/>
        <v>0.6</v>
      </c>
      <c r="AF87" s="177">
        <f t="shared" si="41"/>
        <v>0.51152594059952183</v>
      </c>
      <c r="AG87" s="799">
        <f t="shared" si="49"/>
        <v>0</v>
      </c>
      <c r="AH87" s="176">
        <f t="shared" si="42"/>
        <v>6</v>
      </c>
      <c r="AI87" s="224">
        <f t="shared" si="43"/>
        <v>0.51152594059952183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09">
        <f>'2022'!Wh/'2022'!Env_an*'2023'!Env_an</f>
        <v>14.101284376596549</v>
      </c>
      <c r="C88" s="829"/>
      <c r="D88" s="391">
        <f t="shared" si="25"/>
        <v>14.517828577278165</v>
      </c>
      <c r="E88" s="383">
        <f t="shared" si="47"/>
        <v>15.019207683388732</v>
      </c>
      <c r="F88" s="383">
        <f t="shared" si="26"/>
        <v>15.019240798304272</v>
      </c>
      <c r="G88" s="110">
        <f t="shared" si="48"/>
        <v>0.30231165703928553</v>
      </c>
      <c r="H88" s="412" t="b">
        <f>Wh_hp&gt;='2022'!Maxi_hp</f>
        <v>0</v>
      </c>
      <c r="I88" s="379">
        <f>IF(H88,Wh_hp,'2022'!Maxi_hp)</f>
        <v>33.906662518762403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2.8691907916143067E-2</v>
      </c>
      <c r="M88" s="832"/>
      <c r="N88" s="832"/>
      <c r="O88" s="48">
        <f>IF(t&lt;Tnet,'2022'!Resal+('2022'!Salim-'2022'!Resal)*(1-EXP(('2022'!Tnet-t)/('2022'!Tau_j))),Resal+(Salim-Resal)*(1-EXP((Tnet-t)/(Tau_j))))*Salcycl</f>
        <v>3.3382527006740347E-2</v>
      </c>
      <c r="P88" s="338">
        <f>(INDEX(Models!$BJ88:$BT88,,T88)*(1-R88)+INDEX(Models!$BJ88:$BT88,,T88+1)*R88-ERP_i)*Q88*Ramure*Pc/MaxiM</f>
        <v>6.1787323873995924E-4</v>
      </c>
      <c r="Q88" s="304">
        <f t="shared" si="28"/>
        <v>0.6</v>
      </c>
      <c r="R88" s="177">
        <f t="shared" si="29"/>
        <v>0.51206094453115347</v>
      </c>
      <c r="S88" s="799">
        <f t="shared" si="30"/>
        <v>0</v>
      </c>
      <c r="T88" s="176">
        <f t="shared" si="31"/>
        <v>6</v>
      </c>
      <c r="U88" s="250">
        <f t="shared" si="32"/>
        <v>0.51206094453115347</v>
      </c>
      <c r="V88" s="382">
        <f t="shared" si="33"/>
        <v>46.616140377115329</v>
      </c>
      <c r="W88" s="400">
        <f t="shared" si="34"/>
        <v>14.101284376596549</v>
      </c>
      <c r="X88" s="157">
        <f t="shared" si="35"/>
        <v>45000</v>
      </c>
      <c r="Y88" s="383">
        <f t="shared" si="36"/>
        <v>13.377390840039844</v>
      </c>
      <c r="Z88" s="383">
        <f t="shared" si="37"/>
        <v>13.772551622976616</v>
      </c>
      <c r="AA88" s="384">
        <f t="shared" si="38"/>
        <v>15.019207683388732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8.3004116241825437E-2</v>
      </c>
      <c r="AD88" s="230">
        <f>(INDEX(Models!$BJ88:$BT88,,AH88)*(1-AF88)+INDEX(Models!$BJ88:$BT88,,AH88+1)*AF88-ERP_i)*AE88*Ramure*Pc/MaxiM</f>
        <v>6.1787323873995924E-4</v>
      </c>
      <c r="AE88" s="304">
        <f t="shared" si="40"/>
        <v>0.6</v>
      </c>
      <c r="AF88" s="177">
        <f t="shared" si="41"/>
        <v>0.51206094453115347</v>
      </c>
      <c r="AG88" s="799">
        <f t="shared" si="49"/>
        <v>0</v>
      </c>
      <c r="AH88" s="176">
        <f t="shared" si="42"/>
        <v>6</v>
      </c>
      <c r="AI88" s="224">
        <f t="shared" si="43"/>
        <v>0.51206094453115347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09">
        <f>'2022'!Wh/'2022'!Env_an*'2023'!Env_an</f>
        <v>14.073257904133202</v>
      </c>
      <c r="C89" s="829"/>
      <c r="D89" s="391">
        <f t="shared" si="25"/>
        <v>14.489251901408362</v>
      </c>
      <c r="E89" s="383">
        <f t="shared" si="47"/>
        <v>14.990651827267399</v>
      </c>
      <c r="F89" s="383">
        <f t="shared" si="26"/>
        <v>14.990651827267399</v>
      </c>
      <c r="G89" s="110">
        <f t="shared" si="48"/>
        <v>0.299411938464757</v>
      </c>
      <c r="H89" s="412" t="b">
        <f>Wh_hp&gt;='2022'!Maxi_hp</f>
        <v>0</v>
      </c>
      <c r="I89" s="379">
        <f>IF(H89,Wh_hp,'2022'!Maxi_hp)</f>
        <v>50.695816320188271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2.8710522814136885E-2</v>
      </c>
      <c r="M89" s="832"/>
      <c r="N89" s="832"/>
      <c r="O89" s="48">
        <f>IF(t&lt;Tnet,'2022'!Resal+('2022'!Salim-'2022'!Resal)*(1-EXP(('2022'!Tnet-t)/('2022'!Tau_j))),Resal+(Salim-Resal)*(1-EXP((Tnet-t)/(Tau_j))))*Salcycl</f>
        <v>3.3447506595210875E-2</v>
      </c>
      <c r="P89" s="338">
        <f>(INDEX(Models!$BJ89:$BT89,,T89)*(1-R89)+INDEX(Models!$BJ89:$BT89,,T89+1)*R89-ERP_i)*Q89*Ramure*Pc/MaxiM</f>
        <v>5.9489765896786177E-4</v>
      </c>
      <c r="Q89" s="304">
        <f t="shared" si="28"/>
        <v>0.6</v>
      </c>
      <c r="R89" s="177">
        <f t="shared" si="29"/>
        <v>0.51261714582392537</v>
      </c>
      <c r="S89" s="799">
        <f t="shared" si="30"/>
        <v>0</v>
      </c>
      <c r="T89" s="176">
        <f t="shared" si="31"/>
        <v>6</v>
      </c>
      <c r="U89" s="250">
        <f t="shared" si="32"/>
        <v>0.51261714582392537</v>
      </c>
      <c r="V89" s="382">
        <f t="shared" si="33"/>
        <v>46.975033220352117</v>
      </c>
      <c r="W89" s="400">
        <f t="shared" si="34"/>
        <v>14.073257904133202</v>
      </c>
      <c r="X89" s="157">
        <f t="shared" si="35"/>
        <v>45001</v>
      </c>
      <c r="Y89" s="383">
        <f t="shared" si="36"/>
        <v>13.35171995998062</v>
      </c>
      <c r="Z89" s="383">
        <f t="shared" si="37"/>
        <v>13.746385885559917</v>
      </c>
      <c r="AA89" s="384">
        <f t="shared" si="38"/>
        <v>14.990651827267399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8.3002791075716426E-2</v>
      </c>
      <c r="AD89" s="230">
        <f>(INDEX(Models!$BJ89:$BT89,,AH89)*(1-AF89)+INDEX(Models!$BJ89:$BT89,,AH89+1)*AF89-ERP_i)*AE89*Ramure*Pc/MaxiM</f>
        <v>5.9489765896786177E-4</v>
      </c>
      <c r="AE89" s="304">
        <f t="shared" si="40"/>
        <v>0.6</v>
      </c>
      <c r="AF89" s="177">
        <f t="shared" si="41"/>
        <v>0.51261714582392537</v>
      </c>
      <c r="AG89" s="799">
        <f t="shared" si="49"/>
        <v>0</v>
      </c>
      <c r="AH89" s="176">
        <f t="shared" si="42"/>
        <v>6</v>
      </c>
      <c r="AI89" s="224">
        <f t="shared" si="43"/>
        <v>0.51261714582392537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09">
        <f>'2022'!Wh/'2022'!Env_an*'2023'!Env_an</f>
        <v>11.819307078123304</v>
      </c>
      <c r="C90" s="829"/>
      <c r="D90" s="391">
        <f t="shared" si="25"/>
        <v>12.168909346195321</v>
      </c>
      <c r="E90" s="383">
        <f t="shared" si="47"/>
        <v>12.590860857273137</v>
      </c>
      <c r="F90" s="383">
        <f t="shared" si="26"/>
        <v>12.590860857273137</v>
      </c>
      <c r="G90" s="110">
        <f t="shared" si="48"/>
        <v>0.24957264662075873</v>
      </c>
      <c r="H90" s="412" t="b">
        <f>Wh_hp&gt;='2022'!Maxi_hp</f>
        <v>0</v>
      </c>
      <c r="I90" s="379">
        <f>IF(H90,Wh_hp,'2022'!Maxi_hp)</f>
        <v>27.308423529990701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2.8729137355380407E-2</v>
      </c>
      <c r="M90" s="832"/>
      <c r="N90" s="832"/>
      <c r="O90" s="48">
        <f>IF(t&lt;Tnet,'2022'!Resal+('2022'!Salim-'2022'!Resal)*(1-EXP(('2022'!Tnet-t)/('2022'!Tau_j))),Resal+(Salim-Resal)*(1-EXP((Tnet-t)/(Tau_j))))*Salcycl</f>
        <v>3.3512522762419034E-2</v>
      </c>
      <c r="P90" s="338">
        <f>(INDEX(Models!$BJ90:$BT90,,T90)*(1-R90)+INDEX(Models!$BJ90:$BT90,,T90+1)*R90-ERP_i)*Q90*Ramure*Pc/MaxiM</f>
        <v>5.7331035777939004E-4</v>
      </c>
      <c r="Q90" s="304">
        <f t="shared" si="28"/>
        <v>0.6</v>
      </c>
      <c r="R90" s="177">
        <f t="shared" si="29"/>
        <v>0.51319533154968966</v>
      </c>
      <c r="S90" s="799">
        <f t="shared" si="30"/>
        <v>0</v>
      </c>
      <c r="T90" s="176">
        <f t="shared" si="31"/>
        <v>6</v>
      </c>
      <c r="U90" s="250">
        <f t="shared" si="32"/>
        <v>0.51319533154968966</v>
      </c>
      <c r="V90" s="382">
        <f t="shared" si="33"/>
        <v>47.331032093847689</v>
      </c>
      <c r="W90" s="400">
        <f t="shared" si="34"/>
        <v>11.819307078123304</v>
      </c>
      <c r="X90" s="157">
        <f t="shared" si="35"/>
        <v>45002</v>
      </c>
      <c r="Y90" s="383">
        <f t="shared" si="36"/>
        <v>11.214096353159379</v>
      </c>
      <c r="Z90" s="383">
        <f t="shared" si="37"/>
        <v>11.545797145221815</v>
      </c>
      <c r="AA90" s="384">
        <f t="shared" si="38"/>
        <v>12.590860857273137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8.3001768020304914E-2</v>
      </c>
      <c r="AD90" s="230">
        <f>(INDEX(Models!$BJ90:$BT90,,AH90)*(1-AF90)+INDEX(Models!$BJ90:$BT90,,AH90+1)*AF90-ERP_i)*AE90*Ramure*Pc/MaxiM</f>
        <v>5.7331035777939004E-4</v>
      </c>
      <c r="AE90" s="304">
        <f t="shared" si="40"/>
        <v>0.6</v>
      </c>
      <c r="AF90" s="177">
        <f t="shared" si="41"/>
        <v>0.51319533154968966</v>
      </c>
      <c r="AG90" s="799">
        <f t="shared" si="49"/>
        <v>0</v>
      </c>
      <c r="AH90" s="176">
        <f t="shared" si="42"/>
        <v>6</v>
      </c>
      <c r="AI90" s="224">
        <f t="shared" si="43"/>
        <v>0.51319533154968966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09">
        <f>'2022'!Wh/'2022'!Env_an*'2023'!Env_an</f>
        <v>15.279598102615195</v>
      </c>
      <c r="C91" s="829"/>
      <c r="D91" s="391">
        <f t="shared" si="25"/>
        <v>15.7318535188365</v>
      </c>
      <c r="E91" s="383">
        <f t="shared" si="47"/>
        <v>16.278444422107629</v>
      </c>
      <c r="F91" s="383">
        <f t="shared" si="26"/>
        <v>16.278707286621014</v>
      </c>
      <c r="G91" s="110">
        <f t="shared" si="48"/>
        <v>0.32026497183399238</v>
      </c>
      <c r="H91" s="412" t="b">
        <f>Wh_hp&gt;='2022'!Maxi_hp</f>
        <v>0</v>
      </c>
      <c r="I91" s="379">
        <f>IF(H91,Wh_hp,'2022'!Maxi_hp)</f>
        <v>34.112652515484889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2.8747751539880406E-2</v>
      </c>
      <c r="M91" s="832"/>
      <c r="N91" s="832"/>
      <c r="O91" s="48">
        <f>IF(t&lt;Tnet,'2022'!Resal+('2022'!Salim-'2022'!Resal)*(1-EXP(('2022'!Tnet-t)/('2022'!Tau_j))),Resal+(Salim-Resal)*(1-EXP((Tnet-t)/(Tau_j))))*Salcycl</f>
        <v>3.3577588195639184E-2</v>
      </c>
      <c r="P91" s="338">
        <f>(INDEX(Models!$BJ91:$BT91,,T91)*(1-R91)+INDEX(Models!$BJ91:$BT91,,T91+1)*R91-ERP_i)*Q91*Ramure*Pc/MaxiM</f>
        <v>5.5308555671251282E-4</v>
      </c>
      <c r="Q91" s="304">
        <f t="shared" si="28"/>
        <v>0.6</v>
      </c>
      <c r="R91" s="177">
        <f t="shared" si="29"/>
        <v>0.51379631362831513</v>
      </c>
      <c r="S91" s="799">
        <f t="shared" si="30"/>
        <v>0</v>
      </c>
      <c r="T91" s="176">
        <f t="shared" si="31"/>
        <v>6</v>
      </c>
      <c r="U91" s="250">
        <f t="shared" si="32"/>
        <v>0.51379631362831513</v>
      </c>
      <c r="V91" s="382">
        <f t="shared" si="33"/>
        <v>47.683621748599023</v>
      </c>
      <c r="W91" s="400">
        <f t="shared" si="34"/>
        <v>15.279598102615195</v>
      </c>
      <c r="X91" s="157">
        <f t="shared" si="35"/>
        <v>45003</v>
      </c>
      <c r="Y91" s="383">
        <f t="shared" si="36"/>
        <v>14.498189240697815</v>
      </c>
      <c r="Z91" s="383">
        <f t="shared" si="37"/>
        <v>14.927316012584884</v>
      </c>
      <c r="AA91" s="384">
        <f t="shared" si="38"/>
        <v>16.278444422107629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8.3001076422743972E-2</v>
      </c>
      <c r="AD91" s="230">
        <f>(INDEX(Models!$BJ91:$BT91,,AH91)*(1-AF91)+INDEX(Models!$BJ91:$BT91,,AH91+1)*AF91-ERP_i)*AE91*Ramure*Pc/MaxiM</f>
        <v>5.5308555671251282E-4</v>
      </c>
      <c r="AE91" s="304">
        <f t="shared" si="40"/>
        <v>0.6</v>
      </c>
      <c r="AF91" s="177">
        <f t="shared" si="41"/>
        <v>0.51379631362831513</v>
      </c>
      <c r="AG91" s="799">
        <f t="shared" si="49"/>
        <v>0</v>
      </c>
      <c r="AH91" s="176">
        <f t="shared" si="42"/>
        <v>6</v>
      </c>
      <c r="AI91" s="224">
        <f t="shared" si="43"/>
        <v>0.51379631362831513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09">
        <f>'2022'!Wh/'2022'!Env_an*'2023'!Env_an</f>
        <v>29.192632355961113</v>
      </c>
      <c r="C92" s="829"/>
      <c r="D92" s="391">
        <f t="shared" si="25"/>
        <v>30.057270789444487</v>
      </c>
      <c r="E92" s="383">
        <f t="shared" si="47"/>
        <v>31.103683166907896</v>
      </c>
      <c r="F92" s="383">
        <f t="shared" si="26"/>
        <v>31.110990280284987</v>
      </c>
      <c r="G92" s="110">
        <f t="shared" si="48"/>
        <v>0.60758906101306465</v>
      </c>
      <c r="H92" s="412" t="b">
        <f>Wh_hp&gt;='2022'!Maxi_hp</f>
        <v>0</v>
      </c>
      <c r="I92" s="379">
        <f>IF(H92,Wh_hp,'2022'!Maxi_hp)</f>
        <v>46.811989092410982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2.8766365367643987E-2</v>
      </c>
      <c r="M92" s="832"/>
      <c r="N92" s="832"/>
      <c r="O92" s="48">
        <f>IF(t&lt;Tnet,'2022'!Resal+('2022'!Salim-'2022'!Resal)*(1-EXP(('2022'!Tnet-t)/('2022'!Tau_j))),Resal+(Salim-Resal)*(1-EXP((Tnet-t)/(Tau_j))))*Salcycl</f>
        <v>3.3642715939722477E-2</v>
      </c>
      <c r="P92" s="338">
        <f>(INDEX(Models!$BJ92:$BT92,,T92)*(1-R92)+INDEX(Models!$BJ92:$BT92,,T92+1)*R92-ERP_i)*Q92*Ramure*Pc/MaxiM</f>
        <v>5.3419807603810371E-4</v>
      </c>
      <c r="Q92" s="304">
        <f t="shared" si="28"/>
        <v>0.6</v>
      </c>
      <c r="R92" s="177">
        <f t="shared" si="29"/>
        <v>0.5144209292425217</v>
      </c>
      <c r="S92" s="799">
        <f t="shared" si="30"/>
        <v>0</v>
      </c>
      <c r="T92" s="176">
        <f t="shared" si="31"/>
        <v>6</v>
      </c>
      <c r="U92" s="250">
        <f t="shared" si="32"/>
        <v>0.5144209292425217</v>
      </c>
      <c r="V92" s="382">
        <f t="shared" si="33"/>
        <v>48.032287069918205</v>
      </c>
      <c r="W92" s="400">
        <f t="shared" si="34"/>
        <v>29.192632355961113</v>
      </c>
      <c r="X92" s="157">
        <f t="shared" si="35"/>
        <v>45004</v>
      </c>
      <c r="Y92" s="383">
        <f t="shared" si="36"/>
        <v>27.701578418065807</v>
      </c>
      <c r="Z92" s="383">
        <f t="shared" si="37"/>
        <v>28.522054251706152</v>
      </c>
      <c r="AA92" s="384">
        <f t="shared" si="38"/>
        <v>31.103683166907896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8.3000746289378854E-2</v>
      </c>
      <c r="AD92" s="230">
        <f>(INDEX(Models!$BJ92:$BT92,,AH92)*(1-AF92)+INDEX(Models!$BJ92:$BT92,,AH92+1)*AF92-ERP_i)*AE92*Ramure*Pc/MaxiM</f>
        <v>5.3419807603810371E-4</v>
      </c>
      <c r="AE92" s="304">
        <f t="shared" si="40"/>
        <v>0.6</v>
      </c>
      <c r="AF92" s="177">
        <f t="shared" si="41"/>
        <v>0.5144209292425217</v>
      </c>
      <c r="AG92" s="799">
        <f t="shared" si="49"/>
        <v>0</v>
      </c>
      <c r="AH92" s="176">
        <f t="shared" si="42"/>
        <v>6</v>
      </c>
      <c r="AI92" s="224">
        <f t="shared" si="43"/>
        <v>0.5144209292425217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09">
        <f>'2022'!Wh/'2022'!Env_an*'2023'!Env_an</f>
        <v>32.414926868688475</v>
      </c>
      <c r="C93" s="829"/>
      <c r="D93" s="391">
        <f t="shared" si="25"/>
        <v>33.375644077177263</v>
      </c>
      <c r="E93" s="383">
        <f t="shared" si="47"/>
        <v>34.539912668024165</v>
      </c>
      <c r="F93" s="383">
        <f t="shared" si="26"/>
        <v>34.54934686123039</v>
      </c>
      <c r="G93" s="110">
        <f t="shared" si="48"/>
        <v>0.66984927504683156</v>
      </c>
      <c r="H93" s="412" t="b">
        <f>Wh_hp&gt;='2022'!Maxi_hp</f>
        <v>0</v>
      </c>
      <c r="I93" s="379">
        <f>IF(H93,Wh_hp,'2022'!Maxi_hp)</f>
        <v>50.974512464979433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2.8784978838677699E-2</v>
      </c>
      <c r="M93" s="832"/>
      <c r="N93" s="832"/>
      <c r="O93" s="48">
        <f>IF(t&lt;Tnet,'2022'!Resal+('2022'!Salim-'2022'!Resal)*(1-EXP(('2022'!Tnet-t)/('2022'!Tau_j))),Resal+(Salim-Resal)*(1-EXP((Tnet-t)/(Tau_j))))*Salcycl</f>
        <v>3.3707919358022483E-2</v>
      </c>
      <c r="P93" s="338">
        <f>(INDEX(Models!$BJ93:$BT93,,T93)*(1-R93)+INDEX(Models!$BJ93:$BT93,,T93+1)*R93-ERP_i)*Q93*Ramure*Pc/MaxiM</f>
        <v>5.1659070266698757E-4</v>
      </c>
      <c r="Q93" s="304">
        <f t="shared" si="28"/>
        <v>0.6</v>
      </c>
      <c r="R93" s="177">
        <f t="shared" si="29"/>
        <v>0.5150700412251431</v>
      </c>
      <c r="S93" s="799">
        <f t="shared" si="30"/>
        <v>0</v>
      </c>
      <c r="T93" s="176">
        <f t="shared" si="31"/>
        <v>6</v>
      </c>
      <c r="U93" s="250">
        <f t="shared" si="32"/>
        <v>0.5150700412251431</v>
      </c>
      <c r="V93" s="382">
        <f t="shared" si="33"/>
        <v>48.379586317760818</v>
      </c>
      <c r="W93" s="400">
        <f t="shared" si="34"/>
        <v>32.414926868688475</v>
      </c>
      <c r="X93" s="157">
        <f t="shared" si="35"/>
        <v>45005</v>
      </c>
      <c r="Y93" s="383">
        <f t="shared" si="36"/>
        <v>30.761363294644923</v>
      </c>
      <c r="Z93" s="383">
        <f t="shared" si="37"/>
        <v>31.673072001977769</v>
      </c>
      <c r="AA93" s="384">
        <f t="shared" si="38"/>
        <v>34.539912668024165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8.3000808183872954E-2</v>
      </c>
      <c r="AD93" s="230">
        <f>(INDEX(Models!$BJ93:$BT93,,AH93)*(1-AF93)+INDEX(Models!$BJ93:$BT93,,AH93+1)*AF93-ERP_i)*AE93*Ramure*Pc/MaxiM</f>
        <v>5.1659070266698757E-4</v>
      </c>
      <c r="AE93" s="304">
        <f t="shared" si="40"/>
        <v>0.6</v>
      </c>
      <c r="AF93" s="177">
        <f t="shared" si="41"/>
        <v>0.5150700412251431</v>
      </c>
      <c r="AG93" s="799">
        <f t="shared" si="49"/>
        <v>0</v>
      </c>
      <c r="AH93" s="176">
        <f t="shared" si="42"/>
        <v>6</v>
      </c>
      <c r="AI93" s="224">
        <f t="shared" si="43"/>
        <v>0.5150700412251431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09">
        <f>'2022'!Wh/'2022'!Env_an*'2023'!Env_an</f>
        <v>45.885355126024422</v>
      </c>
      <c r="C94" s="829"/>
      <c r="D94" s="391">
        <f t="shared" si="25"/>
        <v>47.246215848651808</v>
      </c>
      <c r="E94" s="383">
        <f t="shared" si="47"/>
        <v>48.897646432455005</v>
      </c>
      <c r="F94" s="383">
        <f t="shared" si="26"/>
        <v>48.920085963449083</v>
      </c>
      <c r="G94" s="110">
        <f t="shared" si="48"/>
        <v>0.94162639341057841</v>
      </c>
      <c r="H94" s="412" t="b">
        <f>Wh_hp&gt;='2022'!Maxi_hp</f>
        <v>0</v>
      </c>
      <c r="I94" s="379">
        <f>IF(H94,Wh_hp,'2022'!Maxi_hp)</f>
        <v>52.150714918937091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2.8803591952988539E-2</v>
      </c>
      <c r="M94" s="832"/>
      <c r="N94" s="832"/>
      <c r="O94" s="48">
        <f>IF(t&lt;Tnet,'2022'!Resal+('2022'!Salim-'2022'!Resal)*(1-EXP(('2022'!Tnet-t)/('2022'!Tau_j))),Resal+(Salim-Resal)*(1-EXP((Tnet-t)/(Tau_j))))*Salcycl</f>
        <v>3.377321209282344E-2</v>
      </c>
      <c r="P94" s="338">
        <f>(INDEX(Models!$BJ94:$BT94,,T94)*(1-R94)+INDEX(Models!$BJ94:$BT94,,T94+1)*R94-ERP_i)*Q94*Ramure*Pc/MaxiM</f>
        <v>5.0039826256471909E-4</v>
      </c>
      <c r="Q94" s="304">
        <f t="shared" si="28"/>
        <v>0.6</v>
      </c>
      <c r="R94" s="177">
        <f t="shared" si="29"/>
        <v>0.51574453841484336</v>
      </c>
      <c r="S94" s="799">
        <f t="shared" si="30"/>
        <v>0</v>
      </c>
      <c r="T94" s="176">
        <f t="shared" si="31"/>
        <v>6</v>
      </c>
      <c r="U94" s="250">
        <f t="shared" si="32"/>
        <v>0.51574453841484336</v>
      </c>
      <c r="V94" s="382">
        <f t="shared" si="33"/>
        <v>48.727861839864445</v>
      </c>
      <c r="W94" s="400">
        <f t="shared" si="34"/>
        <v>45.885355126024422</v>
      </c>
      <c r="X94" s="157">
        <f t="shared" si="35"/>
        <v>45006</v>
      </c>
      <c r="Y94" s="383">
        <f t="shared" si="36"/>
        <v>43.547552025738774</v>
      </c>
      <c r="Z94" s="383">
        <f t="shared" si="37"/>
        <v>44.839078547776943</v>
      </c>
      <c r="AA94" s="384">
        <f t="shared" si="38"/>
        <v>48.897646432455005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8.3001293125311973E-2</v>
      </c>
      <c r="AD94" s="230">
        <f>(INDEX(Models!$BJ94:$BT94,,AH94)*(1-AF94)+INDEX(Models!$BJ94:$BT94,,AH94+1)*AF94-ERP_i)*AE94*Ramure*Pc/MaxiM</f>
        <v>5.0039826256471909E-4</v>
      </c>
      <c r="AE94" s="304">
        <f t="shared" si="40"/>
        <v>0.6</v>
      </c>
      <c r="AF94" s="177">
        <f t="shared" si="41"/>
        <v>0.51574453841484336</v>
      </c>
      <c r="AG94" s="799">
        <f t="shared" si="49"/>
        <v>0</v>
      </c>
      <c r="AH94" s="176">
        <f t="shared" si="42"/>
        <v>6</v>
      </c>
      <c r="AI94" s="224">
        <f t="shared" si="43"/>
        <v>0.51574453841484336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09">
        <f>'2022'!Wh/'2022'!Env_an*'2023'!Env_an</f>
        <v>43.563686089911535</v>
      </c>
      <c r="C95" s="829"/>
      <c r="D95" s="391">
        <f t="shared" si="25"/>
        <v>44.856550779076755</v>
      </c>
      <c r="E95" s="383">
        <f t="shared" si="47"/>
        <v>46.427596001748654</v>
      </c>
      <c r="F95" s="383">
        <f t="shared" si="26"/>
        <v>46.446497937061231</v>
      </c>
      <c r="G95" s="110">
        <f t="shared" si="48"/>
        <v>0.88760295799876909</v>
      </c>
      <c r="H95" s="412" t="b">
        <f>Wh_hp&gt;='2022'!Maxi_hp</f>
        <v>0</v>
      </c>
      <c r="I95" s="379">
        <f>IF(H95,Wh_hp,'2022'!Maxi_hp)</f>
        <v>50.892769880316351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2.8822204710583166E-2</v>
      </c>
      <c r="M95" s="832"/>
      <c r="N95" s="832"/>
      <c r="O95" s="48">
        <f>IF(t&lt;Tnet,'2022'!Resal+('2022'!Salim-'2022'!Resal)*(1-EXP(('2022'!Tnet-t)/('2022'!Tau_j))),Resal+(Salim-Resal)*(1-EXP((Tnet-t)/(Tau_j))))*Salcycl</f>
        <v>3.3838608025552872E-2</v>
      </c>
      <c r="P95" s="338">
        <f>(INDEX(Models!$BJ95:$BT95,,T95)*(1-R95)+INDEX(Models!$BJ95:$BT95,,T95+1)*R95-ERP_i)*Q95*Ramure*Pc/MaxiM</f>
        <v>4.8474832122759163E-4</v>
      </c>
      <c r="Q95" s="304">
        <f t="shared" si="28"/>
        <v>0.6</v>
      </c>
      <c r="R95" s="177">
        <f t="shared" si="29"/>
        <v>0.51644533597601805</v>
      </c>
      <c r="S95" s="799">
        <f t="shared" si="30"/>
        <v>0</v>
      </c>
      <c r="T95" s="176">
        <f t="shared" si="31"/>
        <v>6</v>
      </c>
      <c r="U95" s="250">
        <f t="shared" si="32"/>
        <v>0.51644533597601805</v>
      </c>
      <c r="V95" s="382">
        <f t="shared" si="33"/>
        <v>49.076330397492761</v>
      </c>
      <c r="W95" s="400">
        <f t="shared" si="34"/>
        <v>43.563686089911535</v>
      </c>
      <c r="X95" s="157">
        <f t="shared" si="35"/>
        <v>45007</v>
      </c>
      <c r="Y95" s="383">
        <f t="shared" si="36"/>
        <v>41.346925286933569</v>
      </c>
      <c r="Z95" s="383">
        <f t="shared" si="37"/>
        <v>42.574001884600271</v>
      </c>
      <c r="AA95" s="384">
        <f t="shared" si="38"/>
        <v>46.427596001748654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8.3002232486972694E-2</v>
      </c>
      <c r="AD95" s="230">
        <f>(INDEX(Models!$BJ95:$BT95,,AH95)*(1-AF95)+INDEX(Models!$BJ95:$BT95,,AH95+1)*AF95-ERP_i)*AE95*Ramure*Pc/MaxiM</f>
        <v>4.8474832122759163E-4</v>
      </c>
      <c r="AE95" s="304">
        <f t="shared" si="40"/>
        <v>0.6</v>
      </c>
      <c r="AF95" s="177">
        <f t="shared" si="41"/>
        <v>0.51644533597601805</v>
      </c>
      <c r="AG95" s="799">
        <f t="shared" si="49"/>
        <v>0</v>
      </c>
      <c r="AH95" s="176">
        <f t="shared" si="42"/>
        <v>6</v>
      </c>
      <c r="AI95" s="224">
        <f t="shared" si="43"/>
        <v>0.51644533597601805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09">
        <f>'2022'!Wh/'2022'!Env_an*'2023'!Env_an</f>
        <v>49.655070614502556</v>
      </c>
      <c r="C96" s="829"/>
      <c r="D96" s="391">
        <f t="shared" si="25"/>
        <v>51.129692731538448</v>
      </c>
      <c r="E96" s="383">
        <f t="shared" si="47"/>
        <v>52.924035652659697</v>
      </c>
      <c r="F96" s="383">
        <f t="shared" si="26"/>
        <v>52.948902458584236</v>
      </c>
      <c r="G96" s="110">
        <f t="shared" si="48"/>
        <v>1.0046718730909368</v>
      </c>
      <c r="H96" s="412" t="b">
        <f>Wh_hp&gt;='2022'!Maxi_hp</f>
        <v>0</v>
      </c>
      <c r="I96" s="379">
        <f>IF(H96,Wh_hp,'2022'!Maxi_hp)</f>
        <v>53.286062169656844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2.8840817111468686E-2</v>
      </c>
      <c r="M96" s="832"/>
      <c r="N96" s="832"/>
      <c r="O96" s="48">
        <f>IF(t&lt;Tnet,'2022'!Resal+('2022'!Salim-'2022'!Resal)*(1-EXP(('2022'!Tnet-t)/('2022'!Tau_j))),Resal+(Salim-Resal)*(1-EXP((Tnet-t)/(Tau_j))))*Salcycl</f>
        <v>3.3904121237040862E-2</v>
      </c>
      <c r="P96" s="338">
        <f>(INDEX(Models!$BJ96:$BT96,,T96)*(1-R96)+INDEX(Models!$BJ96:$BT96,,T96+1)*R96-ERP_i)*Q96*Ramure*Pc/MaxiM</f>
        <v>4.6963779738387162E-4</v>
      </c>
      <c r="Q96" s="304">
        <f t="shared" si="28"/>
        <v>0.6</v>
      </c>
      <c r="R96" s="177">
        <f t="shared" si="29"/>
        <v>0.51717337567831267</v>
      </c>
      <c r="S96" s="799">
        <f t="shared" si="30"/>
        <v>0</v>
      </c>
      <c r="T96" s="176">
        <f t="shared" si="31"/>
        <v>6</v>
      </c>
      <c r="U96" s="250">
        <f t="shared" si="32"/>
        <v>0.51717337567831267</v>
      </c>
      <c r="V96" s="382">
        <f t="shared" si="33"/>
        <v>49.424167177822525</v>
      </c>
      <c r="W96" s="400">
        <f t="shared" si="34"/>
        <v>49.655070614502556</v>
      </c>
      <c r="X96" s="157">
        <f t="shared" si="35"/>
        <v>45008</v>
      </c>
      <c r="Y96" s="383">
        <f t="shared" si="36"/>
        <v>47.1314691650472</v>
      </c>
      <c r="Z96" s="383">
        <f t="shared" si="37"/>
        <v>48.531147102850291</v>
      </c>
      <c r="AA96" s="384">
        <f t="shared" si="38"/>
        <v>52.924035652659697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8.3003657896384142E-2</v>
      </c>
      <c r="AD96" s="230">
        <f>(INDEX(Models!$BJ96:$BT96,,AH96)*(1-AF96)+INDEX(Models!$BJ96:$BT96,,AH96+1)*AF96-ERP_i)*AE96*Ramure*Pc/MaxiM</f>
        <v>4.6963779738387162E-4</v>
      </c>
      <c r="AE96" s="304">
        <f t="shared" si="40"/>
        <v>0.6</v>
      </c>
      <c r="AF96" s="177">
        <f t="shared" si="41"/>
        <v>0.51717337567831267</v>
      </c>
      <c r="AG96" s="799">
        <f t="shared" si="49"/>
        <v>0</v>
      </c>
      <c r="AH96" s="176">
        <f t="shared" si="42"/>
        <v>6</v>
      </c>
      <c r="AI96" s="224">
        <f t="shared" si="43"/>
        <v>0.51717337567831267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09">
        <f>'2022'!Wh/'2022'!Env_an*'2023'!Env_an</f>
        <v>48.83941860496563</v>
      </c>
      <c r="C97" s="829"/>
      <c r="D97" s="391">
        <f t="shared" si="25"/>
        <v>50.290781861273388</v>
      </c>
      <c r="E97" s="383">
        <f t="shared" si="47"/>
        <v>52.059221429720736</v>
      </c>
      <c r="F97" s="383">
        <f t="shared" si="26"/>
        <v>52.082288697812878</v>
      </c>
      <c r="G97" s="110">
        <f t="shared" si="48"/>
        <v>0.98127962564726834</v>
      </c>
      <c r="H97" s="412" t="b">
        <f>Wh_hp&gt;='2022'!Maxi_hp</f>
        <v>0</v>
      </c>
      <c r="I97" s="379">
        <f>IF(H97,Wh_hp,'2022'!Maxi_hp)</f>
        <v>52.432685420203406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2.8859429155651761E-2</v>
      </c>
      <c r="M97" s="832"/>
      <c r="N97" s="832"/>
      <c r="O97" s="48">
        <f>IF(t&lt;Tnet,'2022'!Resal+('2022'!Salim-'2022'!Resal)*(1-EXP(('2022'!Tnet-t)/('2022'!Tau_j))),Resal+(Salim-Resal)*(1-EXP((Tnet-t)/(Tau_j))))*Salcycl</f>
        <v>3.396976596806614E-2</v>
      </c>
      <c r="P97" s="338">
        <f>(INDEX(Models!$BJ97:$BT97,,T97)*(1-R97)+INDEX(Models!$BJ97:$BT97,,T97+1)*R97-ERP_i)*Q97*Ramure*Pc/MaxiM</f>
        <v>4.5506258569918398E-4</v>
      </c>
      <c r="Q97" s="304">
        <f t="shared" si="28"/>
        <v>0.6</v>
      </c>
      <c r="R97" s="177">
        <f t="shared" si="29"/>
        <v>0.51792962613087257</v>
      </c>
      <c r="S97" s="799">
        <f t="shared" si="30"/>
        <v>0</v>
      </c>
      <c r="T97" s="176">
        <f t="shared" si="31"/>
        <v>6</v>
      </c>
      <c r="U97" s="250">
        <f t="shared" si="32"/>
        <v>0.51792962613087257</v>
      </c>
      <c r="V97" s="382">
        <f t="shared" si="33"/>
        <v>49.770547632609549</v>
      </c>
      <c r="W97" s="400">
        <f t="shared" si="34"/>
        <v>48.83941860496563</v>
      </c>
      <c r="X97" s="157">
        <f t="shared" si="35"/>
        <v>45009</v>
      </c>
      <c r="Y97" s="383">
        <f t="shared" si="36"/>
        <v>46.360322613863886</v>
      </c>
      <c r="Z97" s="383">
        <f t="shared" si="37"/>
        <v>47.73801446020979</v>
      </c>
      <c r="AA97" s="384">
        <f t="shared" si="38"/>
        <v>52.059221429720736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8.3005601137245505E-2</v>
      </c>
      <c r="AD97" s="230">
        <f>(INDEX(Models!$BJ97:$BT97,,AH97)*(1-AF97)+INDEX(Models!$BJ97:$BT97,,AH97+1)*AF97-ERP_i)*AE97*Ramure*Pc/MaxiM</f>
        <v>4.5506258569918398E-4</v>
      </c>
      <c r="AE97" s="304">
        <f t="shared" si="40"/>
        <v>0.6</v>
      </c>
      <c r="AF97" s="177">
        <f t="shared" si="41"/>
        <v>0.51792962613087257</v>
      </c>
      <c r="AG97" s="799">
        <f t="shared" si="49"/>
        <v>0</v>
      </c>
      <c r="AH97" s="176">
        <f t="shared" si="42"/>
        <v>6</v>
      </c>
      <c r="AI97" s="224">
        <f t="shared" si="43"/>
        <v>0.51792962613087257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09">
        <f>'2022'!Wh/'2022'!Env_an*'2023'!Env_an</f>
        <v>43.462804834445393</v>
      </c>
      <c r="C98" s="829"/>
      <c r="D98" s="391">
        <f t="shared" si="25"/>
        <v>44.755248735370266</v>
      </c>
      <c r="E98" s="383">
        <f t="shared" si="47"/>
        <v>46.33219063108875</v>
      </c>
      <c r="F98" s="383">
        <f t="shared" si="26"/>
        <v>46.348755345218571</v>
      </c>
      <c r="G98" s="110">
        <f t="shared" si="48"/>
        <v>0.8671949449923505</v>
      </c>
      <c r="H98" s="412" t="b">
        <f>Wh_hp&gt;='2022'!Maxi_hp</f>
        <v>0</v>
      </c>
      <c r="I98" s="379">
        <f>IF(H98,Wh_hp,'2022'!Maxi_hp)</f>
        <v>46.350209045253081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2.8878040843139163E-2</v>
      </c>
      <c r="M98" s="832"/>
      <c r="N98" s="832"/>
      <c r="O98" s="48">
        <f>IF(t&lt;Tnet,'2022'!Resal+('2022'!Salim-'2022'!Resal)*(1-EXP(('2022'!Tnet-t)/('2022'!Tau_j))),Resal+(Salim-Resal)*(1-EXP((Tnet-t)/(Tau_j))))*Salcycl</f>
        <v>3.4035556580403942E-2</v>
      </c>
      <c r="P98" s="338">
        <f>(INDEX(Models!$BJ98:$BT98,,T98)*(1-R98)+INDEX(Models!$BJ98:$BT98,,T98+1)*R98-ERP_i)*Q98*Ramure*Pc/MaxiM</f>
        <v>4.4101768960535235E-4</v>
      </c>
      <c r="Q98" s="304">
        <f t="shared" si="28"/>
        <v>0.6</v>
      </c>
      <c r="R98" s="177">
        <f t="shared" si="29"/>
        <v>0.51871508296611979</v>
      </c>
      <c r="S98" s="799">
        <f t="shared" si="30"/>
        <v>0</v>
      </c>
      <c r="T98" s="176">
        <f t="shared" si="31"/>
        <v>6</v>
      </c>
      <c r="U98" s="250">
        <f t="shared" si="32"/>
        <v>0.51871508296611979</v>
      </c>
      <c r="V98" s="382">
        <f t="shared" si="33"/>
        <v>50.114647480622047</v>
      </c>
      <c r="W98" s="400">
        <f t="shared" si="34"/>
        <v>43.462804834445393</v>
      </c>
      <c r="X98" s="157">
        <f t="shared" si="35"/>
        <v>45010</v>
      </c>
      <c r="Y98" s="383">
        <f t="shared" si="36"/>
        <v>41.259324309930221</v>
      </c>
      <c r="Z98" s="383">
        <f t="shared" si="37"/>
        <v>42.486243793469605</v>
      </c>
      <c r="AA98" s="384">
        <f t="shared" si="38"/>
        <v>46.33219063108875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8.300809405369497E-2</v>
      </c>
      <c r="AD98" s="230">
        <f>(INDEX(Models!$BJ98:$BT98,,AH98)*(1-AF98)+INDEX(Models!$BJ98:$BT98,,AH98+1)*AF98-ERP_i)*AE98*Ramure*Pc/MaxiM</f>
        <v>4.4101768960535235E-4</v>
      </c>
      <c r="AE98" s="304">
        <f t="shared" si="40"/>
        <v>0.6</v>
      </c>
      <c r="AF98" s="177">
        <f t="shared" si="41"/>
        <v>0.51871508296611979</v>
      </c>
      <c r="AG98" s="799">
        <f t="shared" si="49"/>
        <v>0</v>
      </c>
      <c r="AH98" s="176">
        <f t="shared" si="42"/>
        <v>6</v>
      </c>
      <c r="AI98" s="224">
        <f t="shared" si="43"/>
        <v>0.51871508296611979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09">
        <f>'2022'!Wh/'2022'!Env_an*'2023'!Env_an</f>
        <v>48.112130026797466</v>
      </c>
      <c r="C99" s="829"/>
      <c r="D99" s="391">
        <f t="shared" si="25"/>
        <v>49.543779387129668</v>
      </c>
      <c r="E99" s="383">
        <f t="shared" si="47"/>
        <v>51.292946176828018</v>
      </c>
      <c r="F99" s="383">
        <f t="shared" si="26"/>
        <v>51.313426991407063</v>
      </c>
      <c r="G99" s="110">
        <f t="shared" si="48"/>
        <v>0.9535259519996081</v>
      </c>
      <c r="H99" s="412" t="b">
        <f>Wh_hp&gt;='2022'!Maxi_hp</f>
        <v>0</v>
      </c>
      <c r="I99" s="379">
        <f>IF(H99,Wh_hp,'2022'!Maxi_hp)</f>
        <v>54.664172365947202</v>
      </c>
      <c r="J99" s="85">
        <f>IF(H99,An,'2022'!An_max)</f>
        <v>2018</v>
      </c>
      <c r="K99" s="197">
        <f t="shared" si="27"/>
        <v>45011</v>
      </c>
      <c r="L99" s="147">
        <f>IF(t&lt;Tvie,1-EXP((T0-t)*PertePVj)+'2022'!Pspv,1-EXP((T0-t)*PertePVj)+Pspv)</f>
        <v>2.8896652173937887E-2</v>
      </c>
      <c r="M99" s="832"/>
      <c r="N99" s="832"/>
      <c r="O99" s="48">
        <f>IF(t&lt;Tnet,'2022'!Resal+('2022'!Salim-'2022'!Resal)*(1-EXP(('2022'!Tnet-t)/('2022'!Tau_j))),Resal+(Salim-Resal)*(1-EXP((Tnet-t)/(Tau_j))))*Salcycl</f>
        <v>3.4101507518563001E-2</v>
      </c>
      <c r="P99" s="338">
        <f>(INDEX(Models!$BJ99:$BT99,,T99)*(1-R99)+INDEX(Models!$BJ99:$BT99,,T99+1)*R99-ERP_i)*Q99*Ramure*Pc/MaxiM</f>
        <v>4.2749734883697264E-4</v>
      </c>
      <c r="Q99" s="304">
        <f t="shared" si="28"/>
        <v>0.6</v>
      </c>
      <c r="R99" s="177">
        <f t="shared" si="29"/>
        <v>0.51953076896752337</v>
      </c>
      <c r="S99" s="799">
        <f t="shared" si="30"/>
        <v>0</v>
      </c>
      <c r="T99" s="176">
        <f t="shared" si="31"/>
        <v>6</v>
      </c>
      <c r="U99" s="250">
        <f t="shared" si="32"/>
        <v>0.51953076896752337</v>
      </c>
      <c r="V99" s="382">
        <f t="shared" si="33"/>
        <v>50.455642710588464</v>
      </c>
      <c r="W99" s="400">
        <f t="shared" si="34"/>
        <v>48.112130026797466</v>
      </c>
      <c r="X99" s="157">
        <f t="shared" si="35"/>
        <v>45011</v>
      </c>
      <c r="Y99" s="383">
        <f t="shared" si="36"/>
        <v>45.67590304749227</v>
      </c>
      <c r="Z99" s="383">
        <f t="shared" si="37"/>
        <v>47.035058781069559</v>
      </c>
      <c r="AA99" s="384">
        <f t="shared" si="38"/>
        <v>51.292946176828018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8.3011168457350043E-2</v>
      </c>
      <c r="AD99" s="230">
        <f>(INDEX(Models!$BJ99:$BT99,,AH99)*(1-AF99)+INDEX(Models!$BJ99:$BT99,,AH99+1)*AF99-ERP_i)*AE99*Ramure*Pc/MaxiM</f>
        <v>4.2749734883697264E-4</v>
      </c>
      <c r="AE99" s="304">
        <f t="shared" si="40"/>
        <v>0.6</v>
      </c>
      <c r="AF99" s="177">
        <f t="shared" si="41"/>
        <v>0.51953076896752337</v>
      </c>
      <c r="AG99" s="799">
        <f t="shared" si="49"/>
        <v>0</v>
      </c>
      <c r="AH99" s="176">
        <f t="shared" si="42"/>
        <v>6</v>
      </c>
      <c r="AI99" s="224">
        <f t="shared" si="43"/>
        <v>0.51953076896752337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09">
        <f>'2022'!Wh/'2022'!Env_an*'2023'!Env_an</f>
        <v>46.514677560506307</v>
      </c>
      <c r="C100" s="829"/>
      <c r="D100" s="391">
        <f t="shared" si="25"/>
        <v>47.899710288205348</v>
      </c>
      <c r="E100" s="383">
        <f t="shared" si="47"/>
        <v>49.594227671719104</v>
      </c>
      <c r="F100" s="383">
        <f t="shared" si="26"/>
        <v>49.612324912846368</v>
      </c>
      <c r="G100" s="110">
        <f t="shared" si="48"/>
        <v>0.91572913301923586</v>
      </c>
      <c r="H100" s="412" t="b">
        <f>Wh_hp&gt;='2022'!Maxi_hp</f>
        <v>0</v>
      </c>
      <c r="I100" s="379">
        <f>IF(H100,Wh_hp,'2022'!Maxi_hp)</f>
        <v>53.82661692337178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2.8915263148054704E-2</v>
      </c>
      <c r="M100" s="832"/>
      <c r="N100" s="832"/>
      <c r="O100" s="48">
        <f>IF(t&lt;Tnet,'2022'!Resal+('2022'!Salim-'2022'!Resal)*(1-EXP(('2022'!Tnet-t)/('2022'!Tau_j))),Resal+(Salim-Resal)*(1-EXP((Tnet-t)/(Tau_j))))*Salcycl</f>
        <v>3.4167633272370684E-2</v>
      </c>
      <c r="P100" s="338">
        <f>(INDEX(Models!$BJ100:$BT100,,T100)*(1-R100)+INDEX(Models!$BJ100:$BT100,,T100+1)*R100-ERP_i)*Q100*Ramure*Pc/MaxiM</f>
        <v>4.1466644467346749E-4</v>
      </c>
      <c r="Q100" s="304">
        <f t="shared" si="28"/>
        <v>0.6</v>
      </c>
      <c r="R100" s="177">
        <f t="shared" si="29"/>
        <v>0.52037773413548793</v>
      </c>
      <c r="S100" s="799">
        <f t="shared" si="30"/>
        <v>0</v>
      </c>
      <c r="T100" s="176">
        <f t="shared" si="31"/>
        <v>6</v>
      </c>
      <c r="U100" s="250">
        <f t="shared" si="32"/>
        <v>0.52037773413548793</v>
      </c>
      <c r="V100" s="382">
        <f t="shared" si="33"/>
        <v>50.792700879837824</v>
      </c>
      <c r="W100" s="400">
        <f t="shared" si="34"/>
        <v>46.514677560506307</v>
      </c>
      <c r="X100" s="157">
        <f t="shared" si="35"/>
        <v>45012</v>
      </c>
      <c r="Y100" s="383">
        <f t="shared" si="36"/>
        <v>44.162185663446849</v>
      </c>
      <c r="Z100" s="383">
        <f t="shared" si="37"/>
        <v>45.477170001262166</v>
      </c>
      <c r="AA100" s="384">
        <f t="shared" si="38"/>
        <v>49.594227671719104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8.3014856037463211E-2</v>
      </c>
      <c r="AD100" s="230">
        <f>(INDEX(Models!$BJ100:$BT100,,AH100)*(1-AF100)+INDEX(Models!$BJ100:$BT100,,AH100+1)*AF100-ERP_i)*AE100*Ramure*Pc/MaxiM</f>
        <v>4.1466644467346749E-4</v>
      </c>
      <c r="AE100" s="304">
        <f t="shared" si="40"/>
        <v>0.6</v>
      </c>
      <c r="AF100" s="177">
        <f t="shared" si="41"/>
        <v>0.52037773413548793</v>
      </c>
      <c r="AG100" s="799">
        <f t="shared" si="49"/>
        <v>0</v>
      </c>
      <c r="AH100" s="176">
        <f t="shared" si="42"/>
        <v>6</v>
      </c>
      <c r="AI100" s="224">
        <f t="shared" si="43"/>
        <v>0.52037773413548793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09">
        <f>'2022'!Wh/'2022'!Env_an*'2023'!Env_an</f>
        <v>14.978321538611302</v>
      </c>
      <c r="C101" s="829"/>
      <c r="D101" s="391">
        <f t="shared" si="25"/>
        <v>15.424615413877772</v>
      </c>
      <c r="E101" s="383">
        <f t="shared" si="47"/>
        <v>15.971378769603481</v>
      </c>
      <c r="F101" s="383">
        <f t="shared" si="26"/>
        <v>15.971378769603481</v>
      </c>
      <c r="G101" s="110">
        <f t="shared" si="48"/>
        <v>0.29285658631630918</v>
      </c>
      <c r="H101" s="412" t="b">
        <f>Wh_hp&gt;='2022'!Maxi_hp</f>
        <v>0</v>
      </c>
      <c r="I101" s="379">
        <f>IF(H101,Wh_hp,'2022'!Maxi_hp)</f>
        <v>53.283033319082513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2.8933873765496387E-2</v>
      </c>
      <c r="M101" s="832"/>
      <c r="N101" s="832"/>
      <c r="O101" s="48">
        <f>IF(t&lt;Tnet,'2022'!Resal+('2022'!Salim-'2022'!Resal)*(1-EXP(('2022'!Tnet-t)/('2022'!Tau_j))),Resal+(Salim-Resal)*(1-EXP((Tnet-t)/(Tau_j))))*Salcycl</f>
        <v>3.4233948340534018E-2</v>
      </c>
      <c r="P101" s="338">
        <f>(INDEX(Models!$BJ101:$BT101,,T101)*(1-R101)+INDEX(Models!$BJ101:$BT101,,T101+1)*R101-ERP_i)*Q101*Ramure*Pc/MaxiM</f>
        <v>4.0240747794121132E-4</v>
      </c>
      <c r="Q101" s="304">
        <f t="shared" si="28"/>
        <v>0.6</v>
      </c>
      <c r="R101" s="177">
        <f t="shared" si="29"/>
        <v>0.52125705568515224</v>
      </c>
      <c r="S101" s="799">
        <f t="shared" si="30"/>
        <v>0</v>
      </c>
      <c r="T101" s="176">
        <f t="shared" si="31"/>
        <v>6</v>
      </c>
      <c r="U101" s="250">
        <f t="shared" si="32"/>
        <v>0.52125705568515224</v>
      </c>
      <c r="V101" s="382">
        <f t="shared" si="33"/>
        <v>51.125004010822728</v>
      </c>
      <c r="W101" s="400">
        <f t="shared" si="34"/>
        <v>14.978321538611302</v>
      </c>
      <c r="X101" s="157">
        <f t="shared" si="35"/>
        <v>45013</v>
      </c>
      <c r="Y101" s="383">
        <f t="shared" si="36"/>
        <v>14.221698328659974</v>
      </c>
      <c r="Z101" s="383">
        <f t="shared" si="37"/>
        <v>14.645447868527095</v>
      </c>
      <c r="AA101" s="384">
        <f t="shared" si="38"/>
        <v>15.971378769603481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8.3019188274457603E-2</v>
      </c>
      <c r="AD101" s="230">
        <f>(INDEX(Models!$BJ101:$BT101,,AH101)*(1-AF101)+INDEX(Models!$BJ101:$BT101,,AH101+1)*AF101-ERP_i)*AE101*Ramure*Pc/MaxiM</f>
        <v>4.0240747794121132E-4</v>
      </c>
      <c r="AE101" s="304">
        <f t="shared" si="40"/>
        <v>0.6</v>
      </c>
      <c r="AF101" s="177">
        <f t="shared" si="41"/>
        <v>0.52125705568515224</v>
      </c>
      <c r="AG101" s="799">
        <f t="shared" si="49"/>
        <v>0</v>
      </c>
      <c r="AH101" s="176">
        <f t="shared" si="42"/>
        <v>6</v>
      </c>
      <c r="AI101" s="224">
        <f t="shared" si="43"/>
        <v>0.52125705568515224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09">
        <f>'2022'!Wh/'2022'!Env_an*'2023'!Env_an</f>
        <v>28.747750200535293</v>
      </c>
      <c r="C102" s="829"/>
      <c r="D102" s="391">
        <f t="shared" si="25"/>
        <v>29.604885165385678</v>
      </c>
      <c r="E102" s="383">
        <f t="shared" si="47"/>
        <v>30.656414505454737</v>
      </c>
      <c r="F102" s="383">
        <f t="shared" si="26"/>
        <v>30.660842368134524</v>
      </c>
      <c r="G102" s="110">
        <f t="shared" si="48"/>
        <v>0.55859480870258227</v>
      </c>
      <c r="H102" s="412" t="b">
        <f>Wh_hp&gt;='2022'!Maxi_hp</f>
        <v>0</v>
      </c>
      <c r="I102" s="379">
        <f>IF(H102,Wh_hp,'2022'!Maxi_hp)</f>
        <v>55.473113479022246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2.8952484026269931E-2</v>
      </c>
      <c r="M102" s="832"/>
      <c r="N102" s="832"/>
      <c r="O102" s="48">
        <f>IF(t&lt;Tnet,'2022'!Resal+('2022'!Salim-'2022'!Resal)*(1-EXP(('2022'!Tnet-t)/('2022'!Tau_j))),Resal+(Salim-Resal)*(1-EXP((Tnet-t)/(Tau_j))))*Salcycl</f>
        <v>3.4300467195273562E-2</v>
      </c>
      <c r="P102" s="338">
        <f>(INDEX(Models!$BJ102:$BT102,,T102)*(1-R102)+INDEX(Models!$BJ102:$BT102,,T102+1)*R102-ERP_i)*Q102*Ramure*Pc/MaxiM</f>
        <v>3.9071241526585061E-4</v>
      </c>
      <c r="Q102" s="304">
        <f t="shared" si="28"/>
        <v>0.6</v>
      </c>
      <c r="R102" s="177">
        <f t="shared" si="29"/>
        <v>0.52216983796953864</v>
      </c>
      <c r="S102" s="799">
        <f t="shared" si="30"/>
        <v>0</v>
      </c>
      <c r="T102" s="176">
        <f t="shared" si="31"/>
        <v>6</v>
      </c>
      <c r="U102" s="250">
        <f t="shared" si="32"/>
        <v>0.52216983796953864</v>
      </c>
      <c r="V102" s="382">
        <f t="shared" si="33"/>
        <v>51.451728895586029</v>
      </c>
      <c r="W102" s="400">
        <f t="shared" si="34"/>
        <v>28.747750200535293</v>
      </c>
      <c r="X102" s="157">
        <f t="shared" si="35"/>
        <v>45014</v>
      </c>
      <c r="Y102" s="383">
        <f t="shared" si="36"/>
        <v>27.297301539021969</v>
      </c>
      <c r="Z102" s="383">
        <f t="shared" si="37"/>
        <v>28.111190327951416</v>
      </c>
      <c r="AA102" s="384">
        <f t="shared" si="38"/>
        <v>30.656414505454737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8.3024196357028138E-2</v>
      </c>
      <c r="AD102" s="230">
        <f>(INDEX(Models!$BJ102:$BT102,,AH102)*(1-AF102)+INDEX(Models!$BJ102:$BT102,,AH102+1)*AF102-ERP_i)*AE102*Ramure*Pc/MaxiM</f>
        <v>3.9071241526585061E-4</v>
      </c>
      <c r="AE102" s="304">
        <f t="shared" si="40"/>
        <v>0.6</v>
      </c>
      <c r="AF102" s="177">
        <f t="shared" si="41"/>
        <v>0.52216983796953864</v>
      </c>
      <c r="AG102" s="799">
        <f t="shared" si="49"/>
        <v>0</v>
      </c>
      <c r="AH102" s="176">
        <f t="shared" si="42"/>
        <v>6</v>
      </c>
      <c r="AI102" s="224">
        <f t="shared" si="43"/>
        <v>0.52216983796953864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09">
        <f>'2022'!Wh/'2022'!Env_an*'2023'!Env_an</f>
        <v>8.0605545265405905</v>
      </c>
      <c r="C103" s="829"/>
      <c r="D103" s="391">
        <f t="shared" si="25"/>
        <v>8.3010448774041841</v>
      </c>
      <c r="E103" s="383">
        <f t="shared" si="47"/>
        <v>8.5964819276259643</v>
      </c>
      <c r="F103" s="383">
        <f t="shared" si="26"/>
        <v>8.5964819276259643</v>
      </c>
      <c r="G103" s="110">
        <f t="shared" si="48"/>
        <v>0.1556340641570928</v>
      </c>
      <c r="H103" s="412" t="b">
        <f>Wh_hp&gt;='2022'!Maxi_hp</f>
        <v>0</v>
      </c>
      <c r="I103" s="379">
        <f>IF(H103,Wh_hp,'2022'!Maxi_hp)</f>
        <v>54.228775027955102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2.8971093930381997E-2</v>
      </c>
      <c r="M103" s="832"/>
      <c r="N103" s="832"/>
      <c r="O103" s="48">
        <f>IF(t&lt;Tnet,'2022'!Resal+('2022'!Salim-'2022'!Resal)*(1-EXP(('2022'!Tnet-t)/('2022'!Tau_j))),Resal+(Salim-Resal)*(1-EXP((Tnet-t)/(Tau_j))))*Salcycl</f>
        <v>3.4367204248095126E-2</v>
      </c>
      <c r="P103" s="338">
        <f>(INDEX(Models!$BJ103:$BT103,,T103)*(1-R103)+INDEX(Models!$BJ103:$BT103,,T103+1)*R103-ERP_i)*Q103*Ramure*Pc/MaxiM</f>
        <v>3.7957304689927761E-4</v>
      </c>
      <c r="Q103" s="304">
        <f t="shared" si="28"/>
        <v>0.6</v>
      </c>
      <c r="R103" s="177">
        <f t="shared" si="29"/>
        <v>0.52311721232115693</v>
      </c>
      <c r="S103" s="799">
        <f t="shared" si="30"/>
        <v>0</v>
      </c>
      <c r="T103" s="176">
        <f t="shared" si="31"/>
        <v>6</v>
      </c>
      <c r="U103" s="250">
        <f t="shared" si="32"/>
        <v>0.52311721232115693</v>
      </c>
      <c r="V103" s="382">
        <f t="shared" si="33"/>
        <v>51.77205260903704</v>
      </c>
      <c r="W103" s="400">
        <f t="shared" si="34"/>
        <v>8.0605545265405905</v>
      </c>
      <c r="X103" s="157">
        <f t="shared" si="35"/>
        <v>45015</v>
      </c>
      <c r="Y103" s="383">
        <f t="shared" si="36"/>
        <v>7.6543458686139525</v>
      </c>
      <c r="Z103" s="383">
        <f t="shared" si="37"/>
        <v>7.8827167973773724</v>
      </c>
      <c r="AA103" s="384">
        <f t="shared" si="38"/>
        <v>8.5964819276259643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8.3029911102914092E-2</v>
      </c>
      <c r="AD103" s="230">
        <f>(INDEX(Models!$BJ103:$BT103,,AH103)*(1-AF103)+INDEX(Models!$BJ103:$BT103,,AH103+1)*AF103-ERP_i)*AE103*Ramure*Pc/MaxiM</f>
        <v>3.7957304689927761E-4</v>
      </c>
      <c r="AE103" s="304">
        <f t="shared" si="40"/>
        <v>0.6</v>
      </c>
      <c r="AF103" s="177">
        <f t="shared" si="41"/>
        <v>0.52311721232115693</v>
      </c>
      <c r="AG103" s="799">
        <f t="shared" si="49"/>
        <v>0</v>
      </c>
      <c r="AH103" s="176">
        <f t="shared" si="42"/>
        <v>6</v>
      </c>
      <c r="AI103" s="224">
        <f t="shared" si="43"/>
        <v>0.52311721232115693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09">
        <f>'2022'!Wh/'2022'!Env_an*'2023'!Env_an</f>
        <v>28.710884438406953</v>
      </c>
      <c r="C104" s="829"/>
      <c r="D104" s="391">
        <f t="shared" si="25"/>
        <v>29.568053543036463</v>
      </c>
      <c r="E104" s="383">
        <f t="shared" si="47"/>
        <v>30.622514531105992</v>
      </c>
      <c r="F104" s="383">
        <f t="shared" si="26"/>
        <v>30.626570321180374</v>
      </c>
      <c r="G104" s="110">
        <f t="shared" si="48"/>
        <v>0.55109931499094944</v>
      </c>
      <c r="H104" s="412" t="b">
        <f>Wh_hp&gt;='2022'!Maxi_hp</f>
        <v>0</v>
      </c>
      <c r="I104" s="379">
        <f>IF(H104,Wh_hp,'2022'!Maxi_hp)</f>
        <v>49.948595361830613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2.8989703477839579E-2</v>
      </c>
      <c r="M104" s="832"/>
      <c r="N104" s="832"/>
      <c r="O104" s="48">
        <f>IF(t&lt;Tnet,'2022'!Resal+('2022'!Salim-'2022'!Resal)*(1-EXP(('2022'!Tnet-t)/('2022'!Tau_j))),Resal+(Salim-Resal)*(1-EXP((Tnet-t)/(Tau_j))))*Salcycl</f>
        <v>3.4434173816732722E-2</v>
      </c>
      <c r="P104" s="338">
        <f>(INDEX(Models!$BJ104:$BT104,,T104)*(1-R104)+INDEX(Models!$BJ104:$BT104,,T104+1)*R104-ERP_i)*Q104*Ramure*Pc/MaxiM</f>
        <v>3.6898109439047796E-4</v>
      </c>
      <c r="Q104" s="304">
        <f t="shared" si="28"/>
        <v>0.6</v>
      </c>
      <c r="R104" s="177">
        <f t="shared" si="29"/>
        <v>0.52410033680482115</v>
      </c>
      <c r="S104" s="799">
        <f t="shared" si="30"/>
        <v>0</v>
      </c>
      <c r="T104" s="176">
        <f t="shared" si="31"/>
        <v>6</v>
      </c>
      <c r="U104" s="250">
        <f t="shared" si="32"/>
        <v>0.52410033680482115</v>
      </c>
      <c r="V104" s="382">
        <f t="shared" si="33"/>
        <v>52.085152504695266</v>
      </c>
      <c r="W104" s="400">
        <f t="shared" si="34"/>
        <v>28.710884438406953</v>
      </c>
      <c r="X104" s="157">
        <f t="shared" si="35"/>
        <v>45016</v>
      </c>
      <c r="Y104" s="383">
        <f t="shared" si="36"/>
        <v>27.265709188924767</v>
      </c>
      <c r="Z104" s="383">
        <f t="shared" si="37"/>
        <v>28.079732302099753</v>
      </c>
      <c r="AA104" s="384">
        <f t="shared" si="38"/>
        <v>30.622514531105992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8.3036362883371739E-2</v>
      </c>
      <c r="AD104" s="230">
        <f>(INDEX(Models!$BJ104:$BT104,,AH104)*(1-AF104)+INDEX(Models!$BJ104:$BT104,,AH104+1)*AF104-ERP_i)*AE104*Ramure*Pc/MaxiM</f>
        <v>3.6898109439047796E-4</v>
      </c>
      <c r="AE104" s="304">
        <f t="shared" si="40"/>
        <v>0.6</v>
      </c>
      <c r="AF104" s="177">
        <f t="shared" si="41"/>
        <v>0.52410033680482115</v>
      </c>
      <c r="AG104" s="799">
        <f t="shared" si="49"/>
        <v>0</v>
      </c>
      <c r="AH104" s="176">
        <f t="shared" si="42"/>
        <v>6</v>
      </c>
      <c r="AI104" s="224">
        <f t="shared" si="43"/>
        <v>0.52410033680482115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09">
        <f>'2022'!Wh/'2022'!Env_an*'2023'!Env_an</f>
        <v>33.620699765253818</v>
      </c>
      <c r="C105" s="829"/>
      <c r="D105" s="391">
        <f t="shared" si="25"/>
        <v>34.625115955066626</v>
      </c>
      <c r="E105" s="383">
        <f t="shared" si="47"/>
        <v>35.862419272060208</v>
      </c>
      <c r="F105" s="383">
        <f t="shared" si="26"/>
        <v>35.868704435057595</v>
      </c>
      <c r="G105" s="110">
        <f t="shared" si="48"/>
        <v>0.64161844238127808</v>
      </c>
      <c r="H105" s="412" t="b">
        <f>Wh_hp&gt;='2022'!Maxi_hp</f>
        <v>0</v>
      </c>
      <c r="I105" s="379">
        <f>IF(H105,Wh_hp,'2022'!Maxi_hp)</f>
        <v>50.703405728850484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2.9008312668649339E-2</v>
      </c>
      <c r="M105" s="832"/>
      <c r="N105" s="832"/>
      <c r="O105" s="48">
        <f>IF(t&lt;Tnet,'2022'!Resal+('2022'!Salim-'2022'!Resal)*(1-EXP(('2022'!Tnet-t)/('2022'!Tau_j))),Resal+(Salim-Resal)*(1-EXP((Tnet-t)/(Tau_j))))*Salcycl</f>
        <v>3.4501390093265201E-2</v>
      </c>
      <c r="P105" s="338">
        <f>(INDEX(Models!$BJ105:$BT105,,T105)*(1-R105)+INDEX(Models!$BJ105:$BT105,,T105+1)*R105-ERP_i)*Q105*Ramure*Pc/MaxiM</f>
        <v>3.5892831237841697E-4</v>
      </c>
      <c r="Q105" s="304">
        <f t="shared" si="28"/>
        <v>0.6</v>
      </c>
      <c r="R105" s="177">
        <f t="shared" si="29"/>
        <v>0.52512039587410642</v>
      </c>
      <c r="S105" s="799">
        <f t="shared" si="30"/>
        <v>0</v>
      </c>
      <c r="T105" s="176">
        <f t="shared" si="31"/>
        <v>6</v>
      </c>
      <c r="U105" s="250">
        <f t="shared" si="32"/>
        <v>0.52512039587410642</v>
      </c>
      <c r="V105" s="382">
        <f t="shared" si="33"/>
        <v>52.390206224571486</v>
      </c>
      <c r="W105" s="400">
        <f t="shared" si="34"/>
        <v>33.620699765253818</v>
      </c>
      <c r="X105" s="157">
        <f t="shared" si="35"/>
        <v>45017</v>
      </c>
      <c r="Y105" s="383">
        <f t="shared" si="36"/>
        <v>31.930358186081882</v>
      </c>
      <c r="Z105" s="383">
        <f t="shared" si="37"/>
        <v>32.884275532613962</v>
      </c>
      <c r="AA105" s="384">
        <f t="shared" si="38"/>
        <v>35.862419272060208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8.3043581551300108E-2</v>
      </c>
      <c r="AD105" s="230">
        <f>(INDEX(Models!$BJ105:$BT105,,AH105)*(1-AF105)+INDEX(Models!$BJ105:$BT105,,AH105+1)*AF105-ERP_i)*AE105*Ramure*Pc/MaxiM</f>
        <v>3.5892831237841697E-4</v>
      </c>
      <c r="AE105" s="304">
        <f t="shared" si="40"/>
        <v>0.6</v>
      </c>
      <c r="AF105" s="177">
        <f t="shared" si="41"/>
        <v>0.52512039587410642</v>
      </c>
      <c r="AG105" s="799">
        <f t="shared" si="49"/>
        <v>0</v>
      </c>
      <c r="AH105" s="176">
        <f t="shared" si="42"/>
        <v>6</v>
      </c>
      <c r="AI105" s="224">
        <f t="shared" si="43"/>
        <v>0.52512039587410642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09">
        <f>'2022'!Wh/'2022'!Env_an*'2023'!Env_an</f>
        <v>20.988409289244714</v>
      </c>
      <c r="C106" s="829"/>
      <c r="D106" s="391">
        <f t="shared" si="25"/>
        <v>21.615850896432072</v>
      </c>
      <c r="E106" s="383">
        <f t="shared" si="47"/>
        <v>22.389842382440136</v>
      </c>
      <c r="F106" s="383">
        <f t="shared" si="26"/>
        <v>22.390941756717702</v>
      </c>
      <c r="G106" s="110">
        <f t="shared" si="48"/>
        <v>0.39824526459580639</v>
      </c>
      <c r="H106" s="412" t="b">
        <f>Wh_hp&gt;='2022'!Maxi_hp</f>
        <v>0</v>
      </c>
      <c r="I106" s="379">
        <f>IF(H106,Wh_hp,'2022'!Maxi_hp)</f>
        <v>45.942881049826532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2.902692150281827E-2</v>
      </c>
      <c r="M106" s="832"/>
      <c r="N106" s="832"/>
      <c r="O106" s="48">
        <f>IF(t&lt;Tnet,'2022'!Resal+('2022'!Salim-'2022'!Resal)*(1-EXP(('2022'!Tnet-t)/('2022'!Tau_j))),Resal+(Salim-Resal)*(1-EXP((Tnet-t)/(Tau_j))))*Salcycl</f>
        <v>3.4568867113378546E-2</v>
      </c>
      <c r="P106" s="338">
        <f>(INDEX(Models!$BJ106:$BT106,,T106)*(1-R106)+INDEX(Models!$BJ106:$BT106,,T106+1)*R106-ERP_i)*Q106*Ramure*Pc/MaxiM</f>
        <v>3.4940658503385699E-4</v>
      </c>
      <c r="Q106" s="304">
        <f t="shared" si="28"/>
        <v>0.6</v>
      </c>
      <c r="R106" s="177">
        <f t="shared" si="29"/>
        <v>0.52617859992354576</v>
      </c>
      <c r="S106" s="799">
        <f t="shared" si="30"/>
        <v>0</v>
      </c>
      <c r="T106" s="176">
        <f t="shared" si="31"/>
        <v>6</v>
      </c>
      <c r="U106" s="250">
        <f t="shared" si="32"/>
        <v>0.52617859992354576</v>
      </c>
      <c r="V106" s="382">
        <f t="shared" si="33"/>
        <v>52.686391698558353</v>
      </c>
      <c r="W106" s="400">
        <f t="shared" si="34"/>
        <v>20.988409289244714</v>
      </c>
      <c r="X106" s="157">
        <f t="shared" si="35"/>
        <v>45018</v>
      </c>
      <c r="Y106" s="383">
        <f t="shared" si="36"/>
        <v>19.934397946026479</v>
      </c>
      <c r="Z106" s="383">
        <f t="shared" si="37"/>
        <v>20.530330230040811</v>
      </c>
      <c r="AA106" s="384">
        <f t="shared" si="38"/>
        <v>22.389842382440136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8.3051596372902645E-2</v>
      </c>
      <c r="AD106" s="230">
        <f>(INDEX(Models!$BJ106:$BT106,,AH106)*(1-AF106)+INDEX(Models!$BJ106:$BT106,,AH106+1)*AF106-ERP_i)*AE106*Ramure*Pc/MaxiM</f>
        <v>3.4940658503385699E-4</v>
      </c>
      <c r="AE106" s="304">
        <f t="shared" si="40"/>
        <v>0.6</v>
      </c>
      <c r="AF106" s="177">
        <f t="shared" si="41"/>
        <v>0.52617859992354576</v>
      </c>
      <c r="AG106" s="799">
        <f t="shared" si="49"/>
        <v>0</v>
      </c>
      <c r="AH106" s="176">
        <f t="shared" si="42"/>
        <v>6</v>
      </c>
      <c r="AI106" s="224">
        <f t="shared" si="43"/>
        <v>0.52617859992354576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09">
        <f>'2022'!Wh/'2022'!Env_an*'2023'!Env_an</f>
        <v>23.349943722776104</v>
      </c>
      <c r="C107" s="829"/>
      <c r="D107" s="391">
        <f t="shared" si="25"/>
        <v>24.04844350971846</v>
      </c>
      <c r="E107" s="383">
        <f t="shared" si="47"/>
        <v>24.911286232961693</v>
      </c>
      <c r="F107" s="383">
        <f t="shared" si="26"/>
        <v>24.91299162268955</v>
      </c>
      <c r="G107" s="110">
        <f t="shared" si="48"/>
        <v>0.44065161997359414</v>
      </c>
      <c r="H107" s="412" t="b">
        <f>Wh_hp&gt;='2022'!Maxi_hp</f>
        <v>0</v>
      </c>
      <c r="I107" s="379">
        <f>IF(H107,Wh_hp,'2022'!Maxi_hp)</f>
        <v>55.561785950469968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2.9045529980353146E-2</v>
      </c>
      <c r="M107" s="832"/>
      <c r="N107" s="832"/>
      <c r="O107" s="48">
        <f>IF(t&lt;Tnet,'2022'!Resal+('2022'!Salim-'2022'!Resal)*(1-EXP(('2022'!Tnet-t)/('2022'!Tau_j))),Resal+(Salim-Resal)*(1-EXP((Tnet-t)/(Tau_j))))*Salcycl</f>
        <v>3.4636618726718006E-2</v>
      </c>
      <c r="P107" s="338">
        <f>(INDEX(Models!$BJ107:$BT107,,T107)*(1-R107)+INDEX(Models!$BJ107:$BT107,,T107+1)*R107-ERP_i)*Q107*Ramure*Pc/MaxiM</f>
        <v>3.4039336731050946E-4</v>
      </c>
      <c r="Q107" s="304">
        <f t="shared" si="28"/>
        <v>0.6</v>
      </c>
      <c r="R107" s="177">
        <f t="shared" si="29"/>
        <v>0.52727618472835935</v>
      </c>
      <c r="S107" s="799">
        <f t="shared" si="30"/>
        <v>0</v>
      </c>
      <c r="T107" s="176">
        <f t="shared" si="31"/>
        <v>6</v>
      </c>
      <c r="U107" s="250">
        <f t="shared" si="32"/>
        <v>0.52727618472835935</v>
      </c>
      <c r="V107" s="382">
        <f t="shared" si="33"/>
        <v>52.975167813110687</v>
      </c>
      <c r="W107" s="400">
        <f t="shared" si="34"/>
        <v>23.349943722776104</v>
      </c>
      <c r="X107" s="157">
        <f t="shared" si="35"/>
        <v>45019</v>
      </c>
      <c r="Y107" s="383">
        <f t="shared" si="36"/>
        <v>22.178681761491813</v>
      </c>
      <c r="Z107" s="383">
        <f t="shared" si="37"/>
        <v>22.842143938060286</v>
      </c>
      <c r="AA107" s="384">
        <f t="shared" si="38"/>
        <v>24.911286232961693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8.3060435962700047E-2</v>
      </c>
      <c r="AD107" s="230">
        <f>(INDEX(Models!$BJ107:$BT107,,AH107)*(1-AF107)+INDEX(Models!$BJ107:$BT107,,AH107+1)*AF107-ERP_i)*AE107*Ramure*Pc/MaxiM</f>
        <v>3.4039336731050946E-4</v>
      </c>
      <c r="AE107" s="304">
        <f t="shared" si="40"/>
        <v>0.6</v>
      </c>
      <c r="AF107" s="177">
        <f t="shared" si="41"/>
        <v>0.52727618472835935</v>
      </c>
      <c r="AG107" s="799">
        <f t="shared" si="49"/>
        <v>0</v>
      </c>
      <c r="AH107" s="176">
        <f t="shared" si="42"/>
        <v>6</v>
      </c>
      <c r="AI107" s="224">
        <f t="shared" si="43"/>
        <v>0.52727618472835935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09">
        <f>'2022'!Wh/'2022'!Env_an*'2023'!Env_an</f>
        <v>47.003710278972164</v>
      </c>
      <c r="C108" s="829"/>
      <c r="D108" s="391">
        <f t="shared" si="25"/>
        <v>48.410726314148924</v>
      </c>
      <c r="E108" s="383">
        <f t="shared" si="47"/>
        <v>50.151206823752787</v>
      </c>
      <c r="F108" s="383">
        <f t="shared" si="26"/>
        <v>50.165063830001451</v>
      </c>
      <c r="G108" s="110">
        <f t="shared" si="48"/>
        <v>0.88250923727677488</v>
      </c>
      <c r="H108" s="412" t="b">
        <f>Wh_hp&gt;='2022'!Maxi_hp</f>
        <v>0</v>
      </c>
      <c r="I108" s="379">
        <f>IF(H108,Wh_hp,'2022'!Maxi_hp)</f>
        <v>57.558924699627966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2.9064138101260739E-2</v>
      </c>
      <c r="M108" s="832"/>
      <c r="N108" s="832"/>
      <c r="O108" s="48">
        <f>IF(t&lt;Tnet,'2022'!Resal+('2022'!Salim-'2022'!Resal)*(1-EXP(('2022'!Tnet-t)/('2022'!Tau_j))),Resal+(Salim-Resal)*(1-EXP((Tnet-t)/(Tau_j))))*Salcycl</f>
        <v>3.4704658568246678E-2</v>
      </c>
      <c r="P108" s="338">
        <f>(INDEX(Models!$BJ108:$BT108,,T108)*(1-R108)+INDEX(Models!$BJ108:$BT108,,T108+1)*R108-ERP_i)*Q108*Ramure*Pc/MaxiM</f>
        <v>3.3191479905994342E-4</v>
      </c>
      <c r="Q108" s="304">
        <f t="shared" si="28"/>
        <v>0.6</v>
      </c>
      <c r="R108" s="177">
        <f t="shared" si="29"/>
        <v>0.52841441076321205</v>
      </c>
      <c r="S108" s="799">
        <f t="shared" si="30"/>
        <v>0</v>
      </c>
      <c r="T108" s="176">
        <f t="shared" si="31"/>
        <v>6</v>
      </c>
      <c r="U108" s="250">
        <f t="shared" si="32"/>
        <v>0.52841441076321205</v>
      </c>
      <c r="V108" s="382">
        <f t="shared" si="33"/>
        <v>53.258470387144193</v>
      </c>
      <c r="W108" s="400">
        <f t="shared" si="34"/>
        <v>47.003710278972164</v>
      </c>
      <c r="X108" s="157">
        <f t="shared" si="35"/>
        <v>45020</v>
      </c>
      <c r="Y108" s="383">
        <f t="shared" si="36"/>
        <v>44.648621193259736</v>
      </c>
      <c r="Z108" s="383">
        <f t="shared" si="37"/>
        <v>45.985139642433175</v>
      </c>
      <c r="AA108" s="384">
        <f t="shared" si="38"/>
        <v>50.151206823752787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8.3070128221649567E-2</v>
      </c>
      <c r="AD108" s="230">
        <f>(INDEX(Models!$BJ108:$BT108,,AH108)*(1-AF108)+INDEX(Models!$BJ108:$BT108,,AH108+1)*AF108-ERP_i)*AE108*Ramure*Pc/MaxiM</f>
        <v>3.3191479905994342E-4</v>
      </c>
      <c r="AE108" s="304">
        <f t="shared" si="40"/>
        <v>0.6</v>
      </c>
      <c r="AF108" s="177">
        <f t="shared" si="41"/>
        <v>0.52841441076321205</v>
      </c>
      <c r="AG108" s="799">
        <f t="shared" si="49"/>
        <v>0</v>
      </c>
      <c r="AH108" s="176">
        <f t="shared" si="42"/>
        <v>6</v>
      </c>
      <c r="AI108" s="224">
        <f t="shared" si="43"/>
        <v>0.52841441076321205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09">
        <f>'2022'!Wh/'2022'!Env_an*'2023'!Env_an</f>
        <v>53.936769299848059</v>
      </c>
      <c r="C109" s="829"/>
      <c r="D109" s="391">
        <f t="shared" si="25"/>
        <v>55.552385200869985</v>
      </c>
      <c r="E109" s="383">
        <f t="shared" si="47"/>
        <v>57.553700013184049</v>
      </c>
      <c r="F109" s="383">
        <f t="shared" si="26"/>
        <v>57.572341328599009</v>
      </c>
      <c r="G109" s="110">
        <f t="shared" si="48"/>
        <v>1.007482097951178</v>
      </c>
      <c r="H109" s="412" t="b">
        <f>Wh_hp&gt;='2022'!Maxi_hp</f>
        <v>0</v>
      </c>
      <c r="I109" s="379">
        <f>IF(H109,Wh_hp,'2022'!Maxi_hp)</f>
        <v>59.132284614261103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2.9082745865547932E-2</v>
      </c>
      <c r="M109" s="832"/>
      <c r="N109" s="832"/>
      <c r="O109" s="48">
        <f>IF(t&lt;Tnet,'2022'!Resal+('2022'!Salim-'2022'!Resal)*(1-EXP(('2022'!Tnet-t)/('2022'!Tau_j))),Resal+(Salim-Resal)*(1-EXP((Tnet-t)/(Tau_j))))*Salcycl</f>
        <v>3.4773000030503938E-2</v>
      </c>
      <c r="P109" s="338">
        <f>(INDEX(Models!$BJ109:$BT109,,T109)*(1-R109)+INDEX(Models!$BJ109:$BT109,,T109+1)*R109-ERP_i)*Q109*Ramure*Pc/MaxiM</f>
        <v>3.2378942708901736E-4</v>
      </c>
      <c r="Q109" s="304">
        <f t="shared" si="28"/>
        <v>0.6</v>
      </c>
      <c r="R109" s="177">
        <f t="shared" si="29"/>
        <v>0.52959456239123071</v>
      </c>
      <c r="S109" s="799">
        <f t="shared" si="30"/>
        <v>0</v>
      </c>
      <c r="T109" s="176">
        <f t="shared" si="31"/>
        <v>6</v>
      </c>
      <c r="U109" s="250">
        <f t="shared" si="32"/>
        <v>0.52959456239123071</v>
      </c>
      <c r="V109" s="382">
        <f t="shared" si="33"/>
        <v>53.536206161413901</v>
      </c>
      <c r="W109" s="400">
        <f t="shared" si="34"/>
        <v>53.936769299848059</v>
      </c>
      <c r="X109" s="157">
        <f t="shared" si="35"/>
        <v>45021</v>
      </c>
      <c r="Y109" s="383">
        <f t="shared" si="36"/>
        <v>51.237340788480658</v>
      </c>
      <c r="Z109" s="383">
        <f t="shared" si="37"/>
        <v>52.772098312494649</v>
      </c>
      <c r="AA109" s="384">
        <f t="shared" si="38"/>
        <v>57.553700013184049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8.3080700278071754E-2</v>
      </c>
      <c r="AD109" s="230">
        <f>(INDEX(Models!$BJ109:$BT109,,AH109)*(1-AF109)+INDEX(Models!$BJ109:$BT109,,AH109+1)*AF109-ERP_i)*AE109*Ramure*Pc/MaxiM</f>
        <v>3.2378942708901736E-4</v>
      </c>
      <c r="AE109" s="304">
        <f t="shared" si="40"/>
        <v>0.6</v>
      </c>
      <c r="AF109" s="177">
        <f t="shared" si="41"/>
        <v>0.52959456239123071</v>
      </c>
      <c r="AG109" s="799">
        <f t="shared" si="49"/>
        <v>0</v>
      </c>
      <c r="AH109" s="176">
        <f t="shared" si="42"/>
        <v>6</v>
      </c>
      <c r="AI109" s="224">
        <f t="shared" si="43"/>
        <v>0.52959456239123071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09">
        <f>'2022'!Wh/'2022'!Env_an*'2023'!Env_an</f>
        <v>11.674986541688295</v>
      </c>
      <c r="C110" s="829"/>
      <c r="D110" s="391">
        <f t="shared" si="25"/>
        <v>12.024928226080601</v>
      </c>
      <c r="E110" s="383">
        <f t="shared" si="47"/>
        <v>12.459021158323877</v>
      </c>
      <c r="F110" s="383">
        <f t="shared" si="26"/>
        <v>12.459021158323877</v>
      </c>
      <c r="G110" s="110">
        <f t="shared" si="48"/>
        <v>0.21690525510269762</v>
      </c>
      <c r="H110" s="412" t="b">
        <f>Wh_hp&gt;='2022'!Maxi_hp</f>
        <v>0</v>
      </c>
      <c r="I110" s="379">
        <f>IF(H110,Wh_hp,'2022'!Maxi_hp)</f>
        <v>59.680123270108488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2.9101353273221608E-2</v>
      </c>
      <c r="M110" s="832"/>
      <c r="N110" s="832"/>
      <c r="O110" s="48">
        <f>IF(t&lt;Tnet,'2022'!Resal+('2022'!Salim-'2022'!Resal)*(1-EXP(('2022'!Tnet-t)/('2022'!Tau_j))),Resal+(Salim-Resal)*(1-EXP((Tnet-t)/(Tau_j))))*Salcycl</f>
        <v>3.4841656236634475E-2</v>
      </c>
      <c r="P110" s="338">
        <f>(INDEX(Models!$BJ110:$BT110,,T110)*(1-R110)+INDEX(Models!$BJ110:$BT110,,T110+1)*R110-ERP_i)*Q110*Ramure*Pc/MaxiM</f>
        <v>3.1600946409684951E-4</v>
      </c>
      <c r="Q110" s="304">
        <f t="shared" si="28"/>
        <v>0.6</v>
      </c>
      <c r="R110" s="177">
        <f t="shared" si="29"/>
        <v>0.53081794691427098</v>
      </c>
      <c r="S110" s="799">
        <f t="shared" si="30"/>
        <v>0</v>
      </c>
      <c r="T110" s="176">
        <f t="shared" si="31"/>
        <v>6</v>
      </c>
      <c r="U110" s="250">
        <f t="shared" si="32"/>
        <v>0.53081794691427098</v>
      </c>
      <c r="V110" s="382">
        <f t="shared" si="33"/>
        <v>53.808272786760917</v>
      </c>
      <c r="W110" s="400">
        <f t="shared" si="34"/>
        <v>11.674986541688295</v>
      </c>
      <c r="X110" s="157">
        <f t="shared" si="35"/>
        <v>45022</v>
      </c>
      <c r="Y110" s="383">
        <f t="shared" si="36"/>
        <v>11.091326667752405</v>
      </c>
      <c r="Z110" s="383">
        <f t="shared" si="37"/>
        <v>11.423773949160346</v>
      </c>
      <c r="AA110" s="384">
        <f t="shared" si="38"/>
        <v>12.459021158323877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8.3092178431038444E-2</v>
      </c>
      <c r="AD110" s="230">
        <f>(INDEX(Models!$BJ110:$BT110,,AH110)*(1-AF110)+INDEX(Models!$BJ110:$BT110,,AH110+1)*AF110-ERP_i)*AE110*Ramure*Pc/MaxiM</f>
        <v>3.1600946409684951E-4</v>
      </c>
      <c r="AE110" s="304">
        <f t="shared" si="40"/>
        <v>0.6</v>
      </c>
      <c r="AF110" s="177">
        <f t="shared" si="41"/>
        <v>0.53081794691427098</v>
      </c>
      <c r="AG110" s="799">
        <f t="shared" si="49"/>
        <v>0</v>
      </c>
      <c r="AH110" s="176">
        <f t="shared" si="42"/>
        <v>6</v>
      </c>
      <c r="AI110" s="224">
        <f t="shared" si="43"/>
        <v>0.53081794691427098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09">
        <f>'2022'!Wh/'2022'!Env_an*'2023'!Env_an</f>
        <v>39.192176135660191</v>
      </c>
      <c r="C111" s="829"/>
      <c r="D111" s="391">
        <f t="shared" si="25"/>
        <v>40.367681416903956</v>
      </c>
      <c r="E111" s="383">
        <f t="shared" si="47"/>
        <v>41.827920906195956</v>
      </c>
      <c r="F111" s="383">
        <f t="shared" si="26"/>
        <v>41.835754553054471</v>
      </c>
      <c r="G111" s="110">
        <f t="shared" si="48"/>
        <v>0.72469225246626423</v>
      </c>
      <c r="H111" s="412" t="b">
        <f>Wh_hp&gt;='2022'!Maxi_hp</f>
        <v>0</v>
      </c>
      <c r="I111" s="379">
        <f>IF(H111,Wh_hp,'2022'!Maxi_hp)</f>
        <v>57.850737846912956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2.9119960324288541E-2</v>
      </c>
      <c r="M111" s="832"/>
      <c r="N111" s="832"/>
      <c r="O111" s="48">
        <f>IF(t&lt;Tnet,'2022'!Resal+('2022'!Salim-'2022'!Resal)*(1-EXP(('2022'!Tnet-t)/('2022'!Tau_j))),Resal+(Salim-Resal)*(1-EXP((Tnet-t)/(Tau_j))))*Salcycl</f>
        <v>3.4910640014041337E-2</v>
      </c>
      <c r="P111" s="338">
        <f>(INDEX(Models!$BJ111:$BT111,,T111)*(1-R111)+INDEX(Models!$BJ111:$BT111,,T111+1)*R111-ERP_i)*Q111*Ramure*Pc/MaxiM</f>
        <v>3.0856748379622058E-4</v>
      </c>
      <c r="Q111" s="304">
        <f t="shared" si="28"/>
        <v>0.6</v>
      </c>
      <c r="R111" s="177">
        <f t="shared" si="29"/>
        <v>0.53208589347521995</v>
      </c>
      <c r="S111" s="799">
        <f t="shared" si="30"/>
        <v>0</v>
      </c>
      <c r="T111" s="176">
        <f t="shared" si="31"/>
        <v>6</v>
      </c>
      <c r="U111" s="250">
        <f t="shared" si="32"/>
        <v>0.53208589347521995</v>
      </c>
      <c r="V111" s="382">
        <f t="shared" si="33"/>
        <v>54.074567961279513</v>
      </c>
      <c r="W111" s="400">
        <f t="shared" si="34"/>
        <v>39.192176135660191</v>
      </c>
      <c r="X111" s="157">
        <f t="shared" si="35"/>
        <v>45023</v>
      </c>
      <c r="Y111" s="383">
        <f t="shared" si="36"/>
        <v>37.235025036282082</v>
      </c>
      <c r="Z111" s="383">
        <f t="shared" si="37"/>
        <v>38.351828768381253</v>
      </c>
      <c r="AA111" s="384">
        <f t="shared" si="38"/>
        <v>41.827920906195956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8.3104588095837886E-2</v>
      </c>
      <c r="AD111" s="230">
        <f>(INDEX(Models!$BJ111:$BT111,,AH111)*(1-AF111)+INDEX(Models!$BJ111:$BT111,,AH111+1)*AF111-ERP_i)*AE111*Ramure*Pc/MaxiM</f>
        <v>3.0856748379622058E-4</v>
      </c>
      <c r="AE111" s="304">
        <f t="shared" si="40"/>
        <v>0.6</v>
      </c>
      <c r="AF111" s="177">
        <f t="shared" si="41"/>
        <v>0.53208589347521995</v>
      </c>
      <c r="AG111" s="799">
        <f t="shared" si="49"/>
        <v>0</v>
      </c>
      <c r="AH111" s="176">
        <f t="shared" si="42"/>
        <v>6</v>
      </c>
      <c r="AI111" s="224">
        <f t="shared" si="43"/>
        <v>0.53208589347521995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09">
        <f>'2022'!Wh/'2022'!Env_an*'2023'!Env_an</f>
        <v>31.840978206910389</v>
      </c>
      <c r="C112" s="829"/>
      <c r="D112" s="391">
        <f t="shared" si="25"/>
        <v>32.796624858333942</v>
      </c>
      <c r="E112" s="383">
        <f t="shared" si="47"/>
        <v>33.985434115758466</v>
      </c>
      <c r="F112" s="383">
        <f t="shared" si="26"/>
        <v>33.989620679489668</v>
      </c>
      <c r="G112" s="110">
        <f t="shared" si="48"/>
        <v>0.58590792202951114</v>
      </c>
      <c r="H112" s="412" t="b">
        <f>Wh_hp&gt;='2022'!Maxi_hp</f>
        <v>0</v>
      </c>
      <c r="I112" s="379">
        <f>IF(H112,Wh_hp,'2022'!Maxi_hp)</f>
        <v>57.096062387011123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2.9138567018755612E-2</v>
      </c>
      <c r="M112" s="832"/>
      <c r="N112" s="832"/>
      <c r="O112" s="48">
        <f>IF(t&lt;Tnet,'2022'!Resal+('2022'!Salim-'2022'!Resal)*(1-EXP(('2022'!Tnet-t)/('2022'!Tau_j))),Resal+(Salim-Resal)*(1-EXP((Tnet-t)/(Tau_j))))*Salcycl</f>
        <v>3.4979963868500261E-2</v>
      </c>
      <c r="P112" s="338">
        <f>(INDEX(Models!$BJ112:$BT112,,T112)*(1-R112)+INDEX(Models!$BJ112:$BT112,,T112+1)*R112-ERP_i)*Q112*Ramure*Pc/MaxiM</f>
        <v>3.0145642779610602E-4</v>
      </c>
      <c r="Q112" s="304">
        <f t="shared" si="28"/>
        <v>0.6</v>
      </c>
      <c r="R112" s="177">
        <f t="shared" si="29"/>
        <v>0.53339975180296351</v>
      </c>
      <c r="S112" s="799">
        <f t="shared" si="30"/>
        <v>0</v>
      </c>
      <c r="T112" s="176">
        <f t="shared" si="31"/>
        <v>6</v>
      </c>
      <c r="U112" s="250">
        <f t="shared" si="32"/>
        <v>0.53339975180296351</v>
      </c>
      <c r="V112" s="382">
        <f t="shared" si="33"/>
        <v>54.334989431949495</v>
      </c>
      <c r="W112" s="400">
        <f t="shared" si="34"/>
        <v>31.840978206910389</v>
      </c>
      <c r="X112" s="157">
        <f t="shared" si="35"/>
        <v>45024</v>
      </c>
      <c r="Y112" s="383">
        <f t="shared" si="36"/>
        <v>30.252658141639206</v>
      </c>
      <c r="Z112" s="383">
        <f t="shared" si="37"/>
        <v>31.160634374713741</v>
      </c>
      <c r="AA112" s="384">
        <f t="shared" si="38"/>
        <v>33.985434115758466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8.3117953751101606E-2</v>
      </c>
      <c r="AD112" s="230">
        <f>(INDEX(Models!$BJ112:$BT112,,AH112)*(1-AF112)+INDEX(Models!$BJ112:$BT112,,AH112+1)*AF112-ERP_i)*AE112*Ramure*Pc/MaxiM</f>
        <v>3.0145642779610602E-4</v>
      </c>
      <c r="AE112" s="304">
        <f t="shared" si="40"/>
        <v>0.6</v>
      </c>
      <c r="AF112" s="177">
        <f t="shared" si="41"/>
        <v>0.53339975180296351</v>
      </c>
      <c r="AG112" s="799">
        <f t="shared" si="49"/>
        <v>0</v>
      </c>
      <c r="AH112" s="176">
        <f t="shared" si="42"/>
        <v>6</v>
      </c>
      <c r="AI112" s="224">
        <f t="shared" si="43"/>
        <v>0.53339975180296351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09">
        <f>'2022'!Wh/'2022'!Env_an*'2023'!Env_an</f>
        <v>37.355782712502467</v>
      </c>
      <c r="C113" s="829"/>
      <c r="D113" s="391">
        <f t="shared" si="25"/>
        <v>38.477683191683866</v>
      </c>
      <c r="E113" s="383">
        <f t="shared" si="47"/>
        <v>39.875298030907516</v>
      </c>
      <c r="F113" s="383">
        <f t="shared" si="26"/>
        <v>39.881749917314295</v>
      </c>
      <c r="G113" s="110">
        <f t="shared" si="48"/>
        <v>0.68421330146280068</v>
      </c>
      <c r="H113" s="412" t="b">
        <f>Wh_hp&gt;='2022'!Maxi_hp</f>
        <v>0</v>
      </c>
      <c r="I113" s="379">
        <f>IF(H113,Wh_hp,'2022'!Maxi_hp)</f>
        <v>45.048186570983958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2.9157173356629595E-2</v>
      </c>
      <c r="M113" s="832"/>
      <c r="N113" s="832"/>
      <c r="O113" s="48">
        <f>IF(t&lt;Tnet,'2022'!Resal+('2022'!Salim-'2022'!Resal)*(1-EXP(('2022'!Tnet-t)/('2022'!Tau_j))),Resal+(Salim-Resal)*(1-EXP((Tnet-t)/(Tau_j))))*Salcycl</f>
        <v>3.5049639958561737E-2</v>
      </c>
      <c r="P113" s="338">
        <f>(INDEX(Models!$BJ113:$BT113,,T113)*(1-R113)+INDEX(Models!$BJ113:$BT113,,T113+1)*R113-ERP_i)*Q113*Ramure*Pc/MaxiM</f>
        <v>2.9466961268140459E-4</v>
      </c>
      <c r="Q113" s="304">
        <f t="shared" si="28"/>
        <v>0.6</v>
      </c>
      <c r="R113" s="177">
        <f t="shared" si="29"/>
        <v>0.53476089079052957</v>
      </c>
      <c r="S113" s="799">
        <f t="shared" si="30"/>
        <v>0</v>
      </c>
      <c r="T113" s="176">
        <f t="shared" si="31"/>
        <v>6</v>
      </c>
      <c r="U113" s="250">
        <f t="shared" si="32"/>
        <v>0.53476089079052957</v>
      </c>
      <c r="V113" s="382">
        <f t="shared" si="33"/>
        <v>54.589434994046748</v>
      </c>
      <c r="W113" s="400">
        <f t="shared" si="34"/>
        <v>37.355782712502467</v>
      </c>
      <c r="X113" s="157">
        <f t="shared" si="35"/>
        <v>45025</v>
      </c>
      <c r="Y113" s="383">
        <f t="shared" si="36"/>
        <v>35.494375708002387</v>
      </c>
      <c r="Z113" s="383">
        <f t="shared" si="37"/>
        <v>36.560372836787614</v>
      </c>
      <c r="AA113" s="384">
        <f t="shared" si="38"/>
        <v>39.875298030907516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8.3132298887157938E-2</v>
      </c>
      <c r="AD113" s="230">
        <f>(INDEX(Models!$BJ113:$BT113,,AH113)*(1-AF113)+INDEX(Models!$BJ113:$BT113,,AH113+1)*AF113-ERP_i)*AE113*Ramure*Pc/MaxiM</f>
        <v>2.9466961268140459E-4</v>
      </c>
      <c r="AE113" s="304">
        <f t="shared" si="40"/>
        <v>0.6</v>
      </c>
      <c r="AF113" s="177">
        <f t="shared" si="41"/>
        <v>0.53476089079052957</v>
      </c>
      <c r="AG113" s="799">
        <f t="shared" si="49"/>
        <v>0</v>
      </c>
      <c r="AH113" s="176">
        <f t="shared" si="42"/>
        <v>6</v>
      </c>
      <c r="AI113" s="224">
        <f t="shared" si="43"/>
        <v>0.53476089079052957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09">
        <f>'2022'!Wh/'2022'!Env_an*'2023'!Env_an</f>
        <v>54.623946041824837</v>
      </c>
      <c r="C114" s="829"/>
      <c r="D114" s="391">
        <f t="shared" si="25"/>
        <v>56.265536931672763</v>
      </c>
      <c r="E114" s="383">
        <f t="shared" si="47"/>
        <v>58.31348797305575</v>
      </c>
      <c r="F114" s="383">
        <f t="shared" si="26"/>
        <v>58.330206992732975</v>
      </c>
      <c r="G114" s="110">
        <f t="shared" si="48"/>
        <v>0.99609863214439198</v>
      </c>
      <c r="H114" s="412" t="b">
        <f>Wh_hp&gt;='2022'!Maxi_hp</f>
        <v>0</v>
      </c>
      <c r="I114" s="379">
        <f>IF(H114,Wh_hp,'2022'!Maxi_hp)</f>
        <v>58.33024090130305</v>
      </c>
      <c r="J114" s="85">
        <f>IF(H114,An,'2022'!An_max)</f>
        <v>2022</v>
      </c>
      <c r="K114" s="197">
        <f t="shared" si="27"/>
        <v>45026</v>
      </c>
      <c r="L114" s="147">
        <f>IF(t&lt;Tvie,1-EXP((T0-t)*PertePVj)+'2022'!Pspv,1-EXP((T0-t)*PertePVj)+Pspv)</f>
        <v>2.9175779337917374E-2</v>
      </c>
      <c r="M114" s="832"/>
      <c r="N114" s="832"/>
      <c r="O114" s="48">
        <f>IF(t&lt;Tnet,'2022'!Resal+('2022'!Salim-'2022'!Resal)*(1-EXP(('2022'!Tnet-t)/('2022'!Tau_j))),Resal+(Salim-Resal)*(1-EXP((Tnet-t)/(Tau_j))))*Salcycl</f>
        <v>3.511968007005957E-2</v>
      </c>
      <c r="P114" s="338">
        <f>(INDEX(Models!$BJ114:$BT114,,T114)*(1-R114)+INDEX(Models!$BJ114:$BT114,,T114+1)*R114-ERP_i)*Q114*Ramure*Pc/MaxiM</f>
        <v>2.8823290095101207E-4</v>
      </c>
      <c r="Q114" s="304">
        <f t="shared" si="28"/>
        <v>0.6</v>
      </c>
      <c r="R114" s="177">
        <f t="shared" si="29"/>
        <v>0.53617069689687213</v>
      </c>
      <c r="S114" s="799">
        <f t="shared" si="30"/>
        <v>0</v>
      </c>
      <c r="T114" s="176">
        <f t="shared" si="31"/>
        <v>6</v>
      </c>
      <c r="U114" s="250">
        <f t="shared" si="32"/>
        <v>0.53617069689687213</v>
      </c>
      <c r="V114" s="382">
        <f t="shared" si="33"/>
        <v>54.837800736058455</v>
      </c>
      <c r="W114" s="400">
        <f t="shared" si="34"/>
        <v>54.623946041824837</v>
      </c>
      <c r="X114" s="157">
        <f t="shared" si="35"/>
        <v>45026</v>
      </c>
      <c r="Y114" s="383">
        <f t="shared" si="36"/>
        <v>51.904979800294434</v>
      </c>
      <c r="Z114" s="383">
        <f t="shared" si="37"/>
        <v>53.464858720661375</v>
      </c>
      <c r="AA114" s="384">
        <f t="shared" si="38"/>
        <v>58.31348797305575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8.3147645955164287E-2</v>
      </c>
      <c r="AD114" s="230">
        <f>(INDEX(Models!$BJ114:$BT114,,AH114)*(1-AF114)+INDEX(Models!$BJ114:$BT114,,AH114+1)*AF114-ERP_i)*AE114*Ramure*Pc/MaxiM</f>
        <v>2.8823290095101207E-4</v>
      </c>
      <c r="AE114" s="304">
        <f t="shared" si="40"/>
        <v>0.6</v>
      </c>
      <c r="AF114" s="177">
        <f t="shared" si="41"/>
        <v>0.53617069689687213</v>
      </c>
      <c r="AG114" s="799">
        <f t="shared" si="49"/>
        <v>0</v>
      </c>
      <c r="AH114" s="176">
        <f t="shared" si="42"/>
        <v>6</v>
      </c>
      <c r="AI114" s="224">
        <f t="shared" si="43"/>
        <v>0.53617069689687213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09">
        <f>'2022'!Wh/'2022'!Env_an*'2023'!Env_an</f>
        <v>45.272866435827162</v>
      </c>
      <c r="C115" s="829"/>
      <c r="D115" s="391">
        <f t="shared" si="25"/>
        <v>46.63432692865527</v>
      </c>
      <c r="E115" s="383">
        <f t="shared" si="47"/>
        <v>48.33524895994843</v>
      </c>
      <c r="F115" s="383">
        <f t="shared" si="26"/>
        <v>48.345413607418003</v>
      </c>
      <c r="G115" s="110">
        <f t="shared" si="48"/>
        <v>0.82188859471809261</v>
      </c>
      <c r="H115" s="412" t="b">
        <f>Wh_hp&gt;='2022'!Maxi_hp</f>
        <v>0</v>
      </c>
      <c r="I115" s="379">
        <f>IF(H115,Wh_hp,'2022'!Maxi_hp)</f>
        <v>59.403908056990687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2.919438496262583E-2</v>
      </c>
      <c r="M115" s="832"/>
      <c r="N115" s="832"/>
      <c r="O115" s="48">
        <f>IF(t&lt;Tnet,'2022'!Resal+('2022'!Salim-'2022'!Resal)*(1-EXP(('2022'!Tnet-t)/('2022'!Tau_j))),Resal+(Salim-Resal)*(1-EXP((Tnet-t)/(Tau_j))))*Salcycl</f>
        <v>3.5190095590540531E-2</v>
      </c>
      <c r="P115" s="338">
        <f>(INDEX(Models!$BJ115:$BT115,,T115)*(1-R115)+INDEX(Models!$BJ115:$BT115,,T115+1)*R115-ERP_i)*Q115*Ramure*Pc/MaxiM</f>
        <v>2.8197344452175933E-4</v>
      </c>
      <c r="Q115" s="304">
        <f t="shared" si="28"/>
        <v>0.6</v>
      </c>
      <c r="R115" s="177">
        <f t="shared" si="29"/>
        <v>0.53763057236276923</v>
      </c>
      <c r="S115" s="799">
        <f t="shared" si="30"/>
        <v>0</v>
      </c>
      <c r="T115" s="176">
        <f t="shared" si="31"/>
        <v>6</v>
      </c>
      <c r="U115" s="250">
        <f t="shared" si="32"/>
        <v>0.53763057236276923</v>
      </c>
      <c r="V115" s="382">
        <f t="shared" si="33"/>
        <v>55.07999373722749</v>
      </c>
      <c r="W115" s="400">
        <f t="shared" si="34"/>
        <v>45.272866435827162</v>
      </c>
      <c r="X115" s="157">
        <f t="shared" si="35"/>
        <v>45027</v>
      </c>
      <c r="Y115" s="383">
        <f t="shared" si="36"/>
        <v>43.0217318905596</v>
      </c>
      <c r="Z115" s="383">
        <f t="shared" si="37"/>
        <v>44.315495526777873</v>
      </c>
      <c r="AA115" s="384">
        <f t="shared" si="38"/>
        <v>48.33524895994843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8.3164016316568529E-2</v>
      </c>
      <c r="AD115" s="230">
        <f>(INDEX(Models!$BJ115:$BT115,,AH115)*(1-AF115)+INDEX(Models!$BJ115:$BT115,,AH115+1)*AF115-ERP_i)*AE115*Ramure*Pc/MaxiM</f>
        <v>2.8197344452175933E-4</v>
      </c>
      <c r="AE115" s="304">
        <f t="shared" si="40"/>
        <v>0.6</v>
      </c>
      <c r="AF115" s="177">
        <f t="shared" si="41"/>
        <v>0.53763057236276923</v>
      </c>
      <c r="AG115" s="799">
        <f t="shared" si="49"/>
        <v>0</v>
      </c>
      <c r="AH115" s="176">
        <f t="shared" si="42"/>
        <v>6</v>
      </c>
      <c r="AI115" s="224">
        <f t="shared" si="43"/>
        <v>0.53763057236276923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09">
        <f>'2022'!Wh/'2022'!Env_an*'2023'!Env_an</f>
        <v>38.666719141626942</v>
      </c>
      <c r="C116" s="829"/>
      <c r="D116" s="391">
        <f t="shared" si="25"/>
        <v>39.830280743886597</v>
      </c>
      <c r="E116" s="383">
        <f t="shared" si="47"/>
        <v>41.286064429219628</v>
      </c>
      <c r="F116" s="383">
        <f t="shared" si="26"/>
        <v>41.292558139695359</v>
      </c>
      <c r="G116" s="110">
        <f t="shared" si="48"/>
        <v>0.69893327533180305</v>
      </c>
      <c r="H116" s="412" t="b">
        <f>Wh_hp&gt;='2022'!Maxi_hp</f>
        <v>0</v>
      </c>
      <c r="I116" s="379">
        <f>IF(H116,Wh_hp,'2022'!Maxi_hp)</f>
        <v>58.857771528976158</v>
      </c>
      <c r="J116" s="85">
        <f>IF(H116,An,'2022'!An_max)</f>
        <v>2018</v>
      </c>
      <c r="K116" s="197">
        <f t="shared" si="27"/>
        <v>45028</v>
      </c>
      <c r="L116" s="147">
        <f>IF(t&lt;Tvie,1-EXP((T0-t)*PertePVj)+'2022'!Pspv,1-EXP((T0-t)*PertePVj)+Pspv)</f>
        <v>2.9212990230761626E-2</v>
      </c>
      <c r="M116" s="832"/>
      <c r="N116" s="832"/>
      <c r="O116" s="48">
        <f>IF(t&lt;Tnet,'2022'!Resal+('2022'!Salim-'2022'!Resal)*(1-EXP(('2022'!Tnet-t)/('2022'!Tau_j))),Resal+(Salim-Resal)*(1-EXP((Tnet-t)/(Tau_j))))*Salcycl</f>
        <v>3.5260897483430746E-2</v>
      </c>
      <c r="P116" s="338">
        <f>(INDEX(Models!$BJ116:$BT116,,T116)*(1-R116)+INDEX(Models!$BJ116:$BT116,,T116+1)*R116-ERP_i)*Q116*Ramure*Pc/MaxiM</f>
        <v>2.758853471699406E-4</v>
      </c>
      <c r="Q116" s="304">
        <f t="shared" si="28"/>
        <v>0.6</v>
      </c>
      <c r="R116" s="177">
        <f t="shared" si="29"/>
        <v>0.53914193323139759</v>
      </c>
      <c r="S116" s="799">
        <f t="shared" si="30"/>
        <v>0</v>
      </c>
      <c r="T116" s="176">
        <f t="shared" si="31"/>
        <v>6</v>
      </c>
      <c r="U116" s="250">
        <f t="shared" si="32"/>
        <v>0.53914193323139759</v>
      </c>
      <c r="V116" s="382">
        <f t="shared" si="33"/>
        <v>55.315912078892701</v>
      </c>
      <c r="W116" s="400">
        <f t="shared" si="34"/>
        <v>38.666719141626942</v>
      </c>
      <c r="X116" s="157">
        <f t="shared" si="35"/>
        <v>45028</v>
      </c>
      <c r="Y116" s="383">
        <f t="shared" si="36"/>
        <v>36.746065387110683</v>
      </c>
      <c r="Z116" s="383">
        <f t="shared" si="37"/>
        <v>37.851830542979179</v>
      </c>
      <c r="AA116" s="384">
        <f t="shared" si="38"/>
        <v>41.286064429219628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8.3181430192457856E-2</v>
      </c>
      <c r="AD116" s="230">
        <f>(INDEX(Models!$BJ116:$BT116,,AH116)*(1-AF116)+INDEX(Models!$BJ116:$BT116,,AH116+1)*AF116-ERP_i)*AE116*Ramure*Pc/MaxiM</f>
        <v>2.758853471699406E-4</v>
      </c>
      <c r="AE116" s="304">
        <f t="shared" si="40"/>
        <v>0.6</v>
      </c>
      <c r="AF116" s="177">
        <f t="shared" si="41"/>
        <v>0.53914193323139759</v>
      </c>
      <c r="AG116" s="799">
        <f t="shared" si="49"/>
        <v>0</v>
      </c>
      <c r="AH116" s="176">
        <f t="shared" si="42"/>
        <v>6</v>
      </c>
      <c r="AI116" s="224">
        <f t="shared" si="43"/>
        <v>0.53914193323139759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09">
        <f>'2022'!Wh/'2022'!Env_an*'2023'!Env_an</f>
        <v>8.2631141229472576</v>
      </c>
      <c r="C117" s="829"/>
      <c r="D117" s="391">
        <f t="shared" si="25"/>
        <v>8.5119314571829054</v>
      </c>
      <c r="E117" s="383">
        <f t="shared" si="47"/>
        <v>8.8236909554032223</v>
      </c>
      <c r="F117" s="383">
        <f t="shared" si="26"/>
        <v>8.8236909554032223</v>
      </c>
      <c r="G117" s="110">
        <f t="shared" si="48"/>
        <v>0.14872294324540888</v>
      </c>
      <c r="H117" s="412" t="b">
        <f>Wh_hp&gt;='2022'!Maxi_hp</f>
        <v>0</v>
      </c>
      <c r="I117" s="379">
        <f>IF(H117,Wh_hp,'2022'!Maxi_hp)</f>
        <v>58.816606841862637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2.9231595142331757E-2</v>
      </c>
      <c r="M117" s="832"/>
      <c r="N117" s="832"/>
      <c r="O117" s="48">
        <f>IF(t&lt;Tnet,'2022'!Resal+('2022'!Salim-'2022'!Resal)*(1-EXP(('2022'!Tnet-t)/('2022'!Tau_j))),Resal+(Salim-Resal)*(1-EXP((Tnet-t)/(Tau_j))))*Salcycl</f>
        <v>3.5332096261758664E-2</v>
      </c>
      <c r="P117" s="338">
        <f>(INDEX(Models!$BJ117:$BT117,,T117)*(1-R117)+INDEX(Models!$BJ117:$BT117,,T117+1)*R117-ERP_i)*Q117*Ramure*Pc/MaxiM</f>
        <v>2.6996282179049053E-4</v>
      </c>
      <c r="Q117" s="304">
        <f t="shared" si="28"/>
        <v>0.6</v>
      </c>
      <c r="R117" s="177">
        <f t="shared" si="29"/>
        <v>0.54070620716431905</v>
      </c>
      <c r="S117" s="799">
        <f t="shared" si="30"/>
        <v>0</v>
      </c>
      <c r="T117" s="176">
        <f t="shared" si="31"/>
        <v>6</v>
      </c>
      <c r="U117" s="250">
        <f t="shared" si="32"/>
        <v>0.54070620716431905</v>
      </c>
      <c r="V117" s="382">
        <f t="shared" si="33"/>
        <v>55.545453909626445</v>
      </c>
      <c r="W117" s="400">
        <f t="shared" si="34"/>
        <v>8.2631141229472576</v>
      </c>
      <c r="X117" s="157">
        <f t="shared" si="35"/>
        <v>45029</v>
      </c>
      <c r="Y117" s="383">
        <f t="shared" si="36"/>
        <v>7.8530899289112304</v>
      </c>
      <c r="Z117" s="383">
        <f t="shared" si="37"/>
        <v>8.0895606919372618</v>
      </c>
      <c r="AA117" s="384">
        <f t="shared" si="38"/>
        <v>8.8236909554032223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8.3199906612369812E-2</v>
      </c>
      <c r="AD117" s="230">
        <f>(INDEX(Models!$BJ117:$BT117,,AH117)*(1-AF117)+INDEX(Models!$BJ117:$BT117,,AH117+1)*AF117-ERP_i)*AE117*Ramure*Pc/MaxiM</f>
        <v>2.6996282179049053E-4</v>
      </c>
      <c r="AE117" s="304">
        <f t="shared" si="40"/>
        <v>0.6</v>
      </c>
      <c r="AF117" s="177">
        <f t="shared" si="41"/>
        <v>0.54070620716431905</v>
      </c>
      <c r="AG117" s="799">
        <f t="shared" si="49"/>
        <v>0</v>
      </c>
      <c r="AH117" s="176">
        <f t="shared" si="42"/>
        <v>6</v>
      </c>
      <c r="AI117" s="224">
        <f t="shared" si="43"/>
        <v>0.54070620716431905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09">
        <f>'2022'!Wh/'2022'!Env_an*'2023'!Env_an</f>
        <v>41.823462232300045</v>
      </c>
      <c r="C118" s="829"/>
      <c r="D118" s="391">
        <f t="shared" si="25"/>
        <v>43.083668128760337</v>
      </c>
      <c r="E118" s="383">
        <f t="shared" si="47"/>
        <v>44.664973540081078</v>
      </c>
      <c r="F118" s="383">
        <f t="shared" si="26"/>
        <v>44.672559976286884</v>
      </c>
      <c r="G118" s="110">
        <f t="shared" si="48"/>
        <v>0.74987674579986963</v>
      </c>
      <c r="H118" s="412" t="b">
        <f>Wh_hp&gt;='2022'!Maxi_hp</f>
        <v>0</v>
      </c>
      <c r="I118" s="379">
        <f>IF(H118,Wh_hp,'2022'!Maxi_hp)</f>
        <v>59.036177217934771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2.9250199697342993E-2</v>
      </c>
      <c r="M118" s="832"/>
      <c r="N118" s="832"/>
      <c r="O118" s="48">
        <f>IF(t&lt;Tnet,'2022'!Resal+('2022'!Salim-'2022'!Resal)*(1-EXP(('2022'!Tnet-t)/('2022'!Tau_j))),Resal+(Salim-Resal)*(1-EXP((Tnet-t)/(Tau_j))))*Salcycl</f>
        <v>3.5403701961263294E-2</v>
      </c>
      <c r="P118" s="338">
        <f>(INDEX(Models!$BJ118:$BT118,,T118)*(1-R118)+INDEX(Models!$BJ118:$BT118,,T118+1)*R118-ERP_i)*Q118*Ramure*Pc/MaxiM</f>
        <v>2.6420019396195205E-4</v>
      </c>
      <c r="Q118" s="304">
        <f t="shared" si="28"/>
        <v>0.6</v>
      </c>
      <c r="R118" s="177">
        <f t="shared" si="29"/>
        <v>0.54232483104388263</v>
      </c>
      <c r="S118" s="799">
        <f t="shared" si="30"/>
        <v>0</v>
      </c>
      <c r="T118" s="176">
        <f t="shared" si="31"/>
        <v>6</v>
      </c>
      <c r="U118" s="250">
        <f t="shared" si="32"/>
        <v>0.54232483104388263</v>
      </c>
      <c r="V118" s="382">
        <f t="shared" si="33"/>
        <v>55.768517456544402</v>
      </c>
      <c r="W118" s="400">
        <f t="shared" si="34"/>
        <v>41.823462232300045</v>
      </c>
      <c r="X118" s="157">
        <f t="shared" si="35"/>
        <v>45030</v>
      </c>
      <c r="Y118" s="383">
        <f t="shared" si="36"/>
        <v>39.750241865266183</v>
      </c>
      <c r="Z118" s="383">
        <f t="shared" si="37"/>
        <v>40.947978410990132</v>
      </c>
      <c r="AA118" s="384">
        <f t="shared" si="38"/>
        <v>44.664973540081078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8.3219463362167234E-2</v>
      </c>
      <c r="AD118" s="230">
        <f>(INDEX(Models!$BJ118:$BT118,,AH118)*(1-AF118)+INDEX(Models!$BJ118:$BT118,,AH118+1)*AF118-ERP_i)*AE118*Ramure*Pc/MaxiM</f>
        <v>2.6420019396195205E-4</v>
      </c>
      <c r="AE118" s="304">
        <f t="shared" si="40"/>
        <v>0.6</v>
      </c>
      <c r="AF118" s="177">
        <f t="shared" si="41"/>
        <v>0.54232483104388263</v>
      </c>
      <c r="AG118" s="799">
        <f t="shared" si="49"/>
        <v>0</v>
      </c>
      <c r="AH118" s="176">
        <f t="shared" si="42"/>
        <v>6</v>
      </c>
      <c r="AI118" s="224">
        <f t="shared" si="43"/>
        <v>0.54232483104388263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09">
        <f>'2022'!Wh/'2022'!Env_an*'2023'!Env_an</f>
        <v>45.638249780087776</v>
      </c>
      <c r="C119" s="829"/>
      <c r="D119" s="391">
        <f t="shared" si="25"/>
        <v>47.014302170617562</v>
      </c>
      <c r="E119" s="383">
        <f t="shared" si="47"/>
        <v>48.74351361179464</v>
      </c>
      <c r="F119" s="383">
        <f t="shared" si="26"/>
        <v>48.752792188185879</v>
      </c>
      <c r="G119" s="110">
        <f t="shared" si="48"/>
        <v>0.81513141901382147</v>
      </c>
      <c r="H119" s="412" t="b">
        <f>Wh_hp&gt;='2022'!Maxi_hp</f>
        <v>0</v>
      </c>
      <c r="I119" s="379">
        <f>IF(H119,Wh_hp,'2022'!Maxi_hp)</f>
        <v>59.816550107721071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2.9268803895802109E-2</v>
      </c>
      <c r="M119" s="832"/>
      <c r="N119" s="832"/>
      <c r="O119" s="48">
        <f>IF(t&lt;Tnet,'2022'!Resal+('2022'!Salim-'2022'!Resal)*(1-EXP(('2022'!Tnet-t)/('2022'!Tau_j))),Resal+(Salim-Resal)*(1-EXP((Tnet-t)/(Tau_j))))*Salcycl</f>
        <v>3.5475724112729035E-2</v>
      </c>
      <c r="P119" s="338">
        <f>(INDEX(Models!$BJ119:$BT119,,T119)*(1-R119)+INDEX(Models!$BJ119:$BT119,,T119+1)*R119-ERP_i)*Q119*Ramure*Pc/MaxiM</f>
        <v>2.5859190563324002E-4</v>
      </c>
      <c r="Q119" s="304">
        <f t="shared" si="28"/>
        <v>0.6</v>
      </c>
      <c r="R119" s="177">
        <f t="shared" si="29"/>
        <v>0.54399924835341418</v>
      </c>
      <c r="S119" s="799">
        <f t="shared" si="30"/>
        <v>0</v>
      </c>
      <c r="T119" s="176">
        <f t="shared" si="31"/>
        <v>6</v>
      </c>
      <c r="U119" s="250">
        <f t="shared" si="32"/>
        <v>0.54399924835341418</v>
      </c>
      <c r="V119" s="382">
        <f t="shared" si="33"/>
        <v>55.985001020318073</v>
      </c>
      <c r="W119" s="400">
        <f t="shared" si="34"/>
        <v>45.638249780087776</v>
      </c>
      <c r="X119" s="157">
        <f t="shared" si="35"/>
        <v>45031</v>
      </c>
      <c r="Y119" s="383">
        <f t="shared" si="36"/>
        <v>43.378189204617449</v>
      </c>
      <c r="Z119" s="383">
        <f t="shared" si="37"/>
        <v>44.686097839139862</v>
      </c>
      <c r="AA119" s="384">
        <f t="shared" si="38"/>
        <v>48.74351361179464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8.3240116930614366E-2</v>
      </c>
      <c r="AD119" s="230">
        <f>(INDEX(Models!$BJ119:$BT119,,AH119)*(1-AF119)+INDEX(Models!$BJ119:$BT119,,AH119+1)*AF119-ERP_i)*AE119*Ramure*Pc/MaxiM</f>
        <v>2.5859190563324002E-4</v>
      </c>
      <c r="AE119" s="304">
        <f t="shared" si="40"/>
        <v>0.6</v>
      </c>
      <c r="AF119" s="177">
        <f t="shared" si="41"/>
        <v>0.54399924835341418</v>
      </c>
      <c r="AG119" s="799">
        <f t="shared" si="49"/>
        <v>0</v>
      </c>
      <c r="AH119" s="176">
        <f t="shared" si="42"/>
        <v>6</v>
      </c>
      <c r="AI119" s="224">
        <f t="shared" si="43"/>
        <v>0.54399924835341418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09">
        <f>'2022'!Wh/'2022'!Env_an*'2023'!Env_an</f>
        <v>47.352821220387838</v>
      </c>
      <c r="C120" s="829"/>
      <c r="D120" s="391">
        <f t="shared" si="25"/>
        <v>48.781505048811844</v>
      </c>
      <c r="E120" s="383">
        <f t="shared" si="47"/>
        <v>50.579514308635865</v>
      </c>
      <c r="F120" s="383">
        <f t="shared" si="26"/>
        <v>50.589441661211602</v>
      </c>
      <c r="G120" s="110">
        <f t="shared" si="48"/>
        <v>0.84260685787698131</v>
      </c>
      <c r="H120" s="412" t="b">
        <f>Wh_hp&gt;='2022'!Maxi_hp</f>
        <v>0</v>
      </c>
      <c r="I120" s="379">
        <f>IF(H120,Wh_hp,'2022'!Maxi_hp)</f>
        <v>51.884062779817704</v>
      </c>
      <c r="J120" s="85">
        <f>IF(H120,An,'2022'!An_max)</f>
        <v>2021</v>
      </c>
      <c r="K120" s="197">
        <f t="shared" si="27"/>
        <v>45032</v>
      </c>
      <c r="L120" s="147">
        <f>IF(t&lt;Tvie,1-EXP((T0-t)*PertePVj)+'2022'!Pspv,1-EXP((T0-t)*PertePVj)+Pspv)</f>
        <v>2.9287407737716098E-2</v>
      </c>
      <c r="M120" s="832"/>
      <c r="N120" s="832"/>
      <c r="O120" s="48">
        <f>IF(t&lt;Tnet,'2022'!Resal+('2022'!Salim-'2022'!Resal)*(1-EXP(('2022'!Tnet-t)/('2022'!Tau_j))),Resal+(Salim-Resal)*(1-EXP((Tnet-t)/(Tau_j))))*Salcycl</f>
        <v>3.5548171713405144E-2</v>
      </c>
      <c r="P120" s="338">
        <f>(INDEX(Models!$BJ120:$BT120,,T120)*(1-R120)+INDEX(Models!$BJ120:$BT120,,T120+1)*R120-ERP_i)*Q120*Ramure*Pc/MaxiM</f>
        <v>2.53132518767134E-4</v>
      </c>
      <c r="Q120" s="304">
        <f t="shared" si="28"/>
        <v>0.6</v>
      </c>
      <c r="R120" s="177">
        <f t="shared" si="29"/>
        <v>0.54573090632705656</v>
      </c>
      <c r="S120" s="799">
        <f t="shared" si="30"/>
        <v>0</v>
      </c>
      <c r="T120" s="176">
        <f t="shared" si="31"/>
        <v>6</v>
      </c>
      <c r="U120" s="250">
        <f t="shared" si="32"/>
        <v>0.54573090632705656</v>
      </c>
      <c r="V120" s="382">
        <f t="shared" si="33"/>
        <v>56.194802983900075</v>
      </c>
      <c r="W120" s="400">
        <f t="shared" si="34"/>
        <v>47.352821220387838</v>
      </c>
      <c r="X120" s="157">
        <f t="shared" si="35"/>
        <v>45032</v>
      </c>
      <c r="Y120" s="383">
        <f t="shared" si="36"/>
        <v>45.010165269918559</v>
      </c>
      <c r="Z120" s="383">
        <f t="shared" si="37"/>
        <v>46.368168733672853</v>
      </c>
      <c r="AA120" s="384">
        <f t="shared" si="38"/>
        <v>50.579514308635865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8.3261882454335426E-2</v>
      </c>
      <c r="AD120" s="230">
        <f>(INDEX(Models!$BJ120:$BT120,,AH120)*(1-AF120)+INDEX(Models!$BJ120:$BT120,,AH120+1)*AF120-ERP_i)*AE120*Ramure*Pc/MaxiM</f>
        <v>2.53132518767134E-4</v>
      </c>
      <c r="AE120" s="304">
        <f t="shared" si="40"/>
        <v>0.6</v>
      </c>
      <c r="AF120" s="177">
        <f t="shared" si="41"/>
        <v>0.54573090632705656</v>
      </c>
      <c r="AG120" s="799">
        <f t="shared" si="49"/>
        <v>0</v>
      </c>
      <c r="AH120" s="176">
        <f t="shared" si="42"/>
        <v>6</v>
      </c>
      <c r="AI120" s="224">
        <f t="shared" si="43"/>
        <v>0.54573090632705656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09">
        <f>'2022'!Wh/'2022'!Env_an*'2023'!Env_an</f>
        <v>55.579026909684941</v>
      </c>
      <c r="C121" s="829"/>
      <c r="D121" s="391">
        <f t="shared" si="25"/>
        <v>57.25700123034192</v>
      </c>
      <c r="E121" s="383">
        <f t="shared" si="47"/>
        <v>59.371890500281999</v>
      </c>
      <c r="F121" s="383">
        <f t="shared" si="26"/>
        <v>59.386302025697958</v>
      </c>
      <c r="G121" s="110">
        <f t="shared" si="48"/>
        <v>0.98547224256914268</v>
      </c>
      <c r="H121" s="412" t="b">
        <f>Wh_hp&gt;='2022'!Maxi_hp</f>
        <v>0</v>
      </c>
      <c r="I121" s="379">
        <f>IF(H121,Wh_hp,'2022'!Maxi_hp)</f>
        <v>59.386411049175642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2.9306011223091732E-2</v>
      </c>
      <c r="M121" s="832"/>
      <c r="N121" s="832"/>
      <c r="O121" s="48">
        <f>IF(t&lt;Tnet,'2022'!Resal+('2022'!Salim-'2022'!Resal)*(1-EXP(('2022'!Tnet-t)/('2022'!Tau_j))),Resal+(Salim-Resal)*(1-EXP((Tnet-t)/(Tau_j))))*Salcycl</f>
        <v>3.5621053197388584E-2</v>
      </c>
      <c r="P121" s="338">
        <f>(INDEX(Models!$BJ121:$BT121,,T121)*(1-R121)+INDEX(Models!$BJ121:$BT121,,T121+1)*R121-ERP_i)*Q121*Ramure*Pc/MaxiM</f>
        <v>2.4781559058055026E-4</v>
      </c>
      <c r="Q121" s="304">
        <f t="shared" si="28"/>
        <v>0.6</v>
      </c>
      <c r="R121" s="177">
        <f t="shared" si="29"/>
        <v>0.54752125286173337</v>
      </c>
      <c r="S121" s="799">
        <f t="shared" si="30"/>
        <v>0</v>
      </c>
      <c r="T121" s="176">
        <f t="shared" si="31"/>
        <v>6</v>
      </c>
      <c r="U121" s="250">
        <f t="shared" si="32"/>
        <v>0.54752125286173337</v>
      </c>
      <c r="V121" s="382">
        <f t="shared" si="33"/>
        <v>56.398078695642347</v>
      </c>
      <c r="W121" s="400">
        <f t="shared" si="34"/>
        <v>55.579026909684941</v>
      </c>
      <c r="X121" s="157">
        <f t="shared" si="35"/>
        <v>45033</v>
      </c>
      <c r="Y121" s="383">
        <f t="shared" si="36"/>
        <v>52.832074364692467</v>
      </c>
      <c r="Z121" s="383">
        <f t="shared" si="37"/>
        <v>54.427116038146913</v>
      </c>
      <c r="AA121" s="384">
        <f t="shared" si="38"/>
        <v>59.371890500281999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8.3284773660889225E-2</v>
      </c>
      <c r="AD121" s="230">
        <f>(INDEX(Models!$BJ121:$BT121,,AH121)*(1-AF121)+INDEX(Models!$BJ121:$BT121,,AH121+1)*AF121-ERP_i)*AE121*Ramure*Pc/MaxiM</f>
        <v>2.4781559058055026E-4</v>
      </c>
      <c r="AE121" s="304">
        <f t="shared" si="40"/>
        <v>0.6</v>
      </c>
      <c r="AF121" s="177">
        <f t="shared" si="41"/>
        <v>0.54752125286173337</v>
      </c>
      <c r="AG121" s="799">
        <f t="shared" si="49"/>
        <v>0</v>
      </c>
      <c r="AH121" s="176">
        <f t="shared" si="42"/>
        <v>6</v>
      </c>
      <c r="AI121" s="224">
        <f t="shared" si="43"/>
        <v>0.54752125286173337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09">
        <f>'2022'!Wh/'2022'!Env_an*'2023'!Env_an</f>
        <v>41.115151744830605</v>
      </c>
      <c r="C122" s="829"/>
      <c r="D122" s="391">
        <f t="shared" si="25"/>
        <v>42.357262121548878</v>
      </c>
      <c r="E122" s="383">
        <f t="shared" si="47"/>
        <v>43.925142698673049</v>
      </c>
      <c r="F122" s="383">
        <f t="shared" si="26"/>
        <v>43.931638930912953</v>
      </c>
      <c r="G122" s="110">
        <f t="shared" si="48"/>
        <v>0.72641076417981676</v>
      </c>
      <c r="H122" s="412" t="b">
        <f>Wh_hp&gt;='2022'!Maxi_hp</f>
        <v>0</v>
      </c>
      <c r="I122" s="379">
        <f>IF(H122,Wh_hp,'2022'!Maxi_hp)</f>
        <v>43.933124779978819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2.9324614351935674E-2</v>
      </c>
      <c r="M122" s="832"/>
      <c r="N122" s="832"/>
      <c r="O122" s="48">
        <f>IF(t&lt;Tnet,'2022'!Resal+('2022'!Salim-'2022'!Resal)*(1-EXP(('2022'!Tnet-t)/('2022'!Tau_j))),Resal+(Salim-Resal)*(1-EXP((Tnet-t)/(Tau_j))))*Salcycl</f>
        <v>3.5694376404872545E-2</v>
      </c>
      <c r="P122" s="338">
        <f>(INDEX(Models!$BJ122:$BT122,,T122)*(1-R122)+INDEX(Models!$BJ122:$BT122,,T122+1)*R122-ERP_i)*Q122*Ramure*Pc/MaxiM</f>
        <v>2.4270786075324946E-4</v>
      </c>
      <c r="Q122" s="304">
        <f t="shared" si="28"/>
        <v>0.6</v>
      </c>
      <c r="R122" s="177">
        <f t="shared" si="29"/>
        <v>0.54937173318445631</v>
      </c>
      <c r="S122" s="799">
        <f t="shared" si="30"/>
        <v>0</v>
      </c>
      <c r="T122" s="176">
        <f t="shared" si="31"/>
        <v>6</v>
      </c>
      <c r="U122" s="250">
        <f t="shared" si="32"/>
        <v>0.54937173318445631</v>
      </c>
      <c r="V122" s="382">
        <f t="shared" si="33"/>
        <v>56.595047842440714</v>
      </c>
      <c r="W122" s="400">
        <f t="shared" si="34"/>
        <v>41.115151744830605</v>
      </c>
      <c r="X122" s="157">
        <f t="shared" si="35"/>
        <v>45034</v>
      </c>
      <c r="Y122" s="383">
        <f t="shared" si="36"/>
        <v>39.085012835569515</v>
      </c>
      <c r="Z122" s="383">
        <f t="shared" si="37"/>
        <v>40.265791647199016</v>
      </c>
      <c r="AA122" s="384">
        <f t="shared" si="38"/>
        <v>43.925142698673049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8.3308802809753391E-2</v>
      </c>
      <c r="AD122" s="230">
        <f>(INDEX(Models!$BJ122:$BT122,,AH122)*(1-AF122)+INDEX(Models!$BJ122:$BT122,,AH122+1)*AF122-ERP_i)*AE122*Ramure*Pc/MaxiM</f>
        <v>2.4270786075324946E-4</v>
      </c>
      <c r="AE122" s="304">
        <f t="shared" si="40"/>
        <v>0.6</v>
      </c>
      <c r="AF122" s="177">
        <f t="shared" si="41"/>
        <v>0.54937173318445631</v>
      </c>
      <c r="AG122" s="799">
        <f t="shared" si="49"/>
        <v>0</v>
      </c>
      <c r="AH122" s="176">
        <f t="shared" si="42"/>
        <v>6</v>
      </c>
      <c r="AI122" s="224">
        <f t="shared" si="43"/>
        <v>0.54937173318445631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09">
        <f>'2022'!Wh/'2022'!Env_an*'2023'!Env_an</f>
        <v>9.6109123703193422</v>
      </c>
      <c r="C123" s="829"/>
      <c r="D123" s="391">
        <f t="shared" si="25"/>
        <v>9.9014528511770035</v>
      </c>
      <c r="E123" s="383">
        <f t="shared" si="47"/>
        <v>10.268746916303664</v>
      </c>
      <c r="F123" s="383">
        <f t="shared" si="26"/>
        <v>10.268746916303664</v>
      </c>
      <c r="G123" s="110">
        <f t="shared" si="48"/>
        <v>0.16920853130602295</v>
      </c>
      <c r="H123" s="412" t="b">
        <f>Wh_hp&gt;='2022'!Maxi_hp</f>
        <v>0</v>
      </c>
      <c r="I123" s="379">
        <f>IF(H123,Wh_hp,'2022'!Maxi_hp)</f>
        <v>59.533076172726751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2.9343217124255028E-2</v>
      </c>
      <c r="M123" s="832"/>
      <c r="N123" s="832"/>
      <c r="O123" s="48">
        <f>IF(t&lt;Tnet,'2022'!Resal+('2022'!Salim-'2022'!Resal)*(1-EXP(('2022'!Tnet-t)/('2022'!Tau_j))),Resal+(Salim-Resal)*(1-EXP((Tnet-t)/(Tau_j))))*Salcycl</f>
        <v>3.5768148550190525E-2</v>
      </c>
      <c r="P123" s="338">
        <f>(INDEX(Models!$BJ123:$BT123,,T123)*(1-R123)+INDEX(Models!$BJ123:$BT123,,T123+1)*R123-ERP_i)*Q123*Ramure*Pc/MaxiM</f>
        <v>2.377533092517134E-4</v>
      </c>
      <c r="Q123" s="304">
        <f t="shared" si="28"/>
        <v>0.6</v>
      </c>
      <c r="R123" s="177">
        <f t="shared" si="29"/>
        <v>0.55128378626909313</v>
      </c>
      <c r="S123" s="799">
        <f t="shared" si="30"/>
        <v>0</v>
      </c>
      <c r="T123" s="176">
        <f t="shared" si="31"/>
        <v>6</v>
      </c>
      <c r="U123" s="250">
        <f t="shared" si="32"/>
        <v>0.55128378626909313</v>
      </c>
      <c r="V123" s="382">
        <f t="shared" si="33"/>
        <v>56.785714466847061</v>
      </c>
      <c r="W123" s="400">
        <f t="shared" si="34"/>
        <v>9.6109123703193422</v>
      </c>
      <c r="X123" s="157">
        <f t="shared" si="35"/>
        <v>45035</v>
      </c>
      <c r="Y123" s="383">
        <f t="shared" si="36"/>
        <v>9.1368033235549575</v>
      </c>
      <c r="Z123" s="383">
        <f t="shared" si="37"/>
        <v>9.4130113596749787</v>
      </c>
      <c r="AA123" s="384">
        <f t="shared" si="38"/>
        <v>10.268746916303664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8.333398063107747E-2</v>
      </c>
      <c r="AD123" s="230">
        <f>(INDEX(Models!$BJ123:$BT123,,AH123)*(1-AF123)+INDEX(Models!$BJ123:$BT123,,AH123+1)*AF123-ERP_i)*AE123*Ramure*Pc/MaxiM</f>
        <v>2.377533092517134E-4</v>
      </c>
      <c r="AE123" s="304">
        <f t="shared" si="40"/>
        <v>0.6</v>
      </c>
      <c r="AF123" s="177">
        <f t="shared" si="41"/>
        <v>0.55128378626909313</v>
      </c>
      <c r="AG123" s="799">
        <f t="shared" si="49"/>
        <v>0</v>
      </c>
      <c r="AH123" s="176">
        <f t="shared" si="42"/>
        <v>6</v>
      </c>
      <c r="AI123" s="224">
        <f t="shared" si="43"/>
        <v>0.55128378626909313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09">
        <f>'2022'!Wh/'2022'!Env_an*'2023'!Env_an</f>
        <v>10.027298009614341</v>
      </c>
      <c r="C124" s="829"/>
      <c r="D124" s="391">
        <f t="shared" si="25"/>
        <v>10.330623925037482</v>
      </c>
      <c r="E124" s="383">
        <f t="shared" si="47"/>
        <v>10.714662903561127</v>
      </c>
      <c r="F124" s="383">
        <f t="shared" si="26"/>
        <v>10.714662903561127</v>
      </c>
      <c r="G124" s="110">
        <f t="shared" si="48"/>
        <v>0.17596889833294324</v>
      </c>
      <c r="H124" s="412" t="b">
        <f>Wh_hp&gt;='2022'!Maxi_hp</f>
        <v>0</v>
      </c>
      <c r="I124" s="379">
        <f>IF(H124,Wh_hp,'2022'!Maxi_hp)</f>
        <v>52.580415314681325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2.9361819540056455E-2</v>
      </c>
      <c r="M124" s="832"/>
      <c r="N124" s="832"/>
      <c r="O124" s="48">
        <f>IF(t&lt;Tnet,'2022'!Resal+('2022'!Salim-'2022'!Resal)*(1-EXP(('2022'!Tnet-t)/('2022'!Tau_j))),Resal+(Salim-Resal)*(1-EXP((Tnet-t)/(Tau_j))))*Salcycl</f>
        <v>3.5842376188615896E-2</v>
      </c>
      <c r="P124" s="338">
        <f>(INDEX(Models!$BJ124:$BT124,,T124)*(1-R124)+INDEX(Models!$BJ124:$BT124,,T124+1)*R124-ERP_i)*Q124*Ramure*Pc/MaxiM</f>
        <v>2.3294685271058299E-4</v>
      </c>
      <c r="Q124" s="304">
        <f t="shared" si="28"/>
        <v>0.6</v>
      </c>
      <c r="R124" s="177">
        <f t="shared" si="29"/>
        <v>0.55325884099776235</v>
      </c>
      <c r="S124" s="799">
        <f t="shared" si="30"/>
        <v>0</v>
      </c>
      <c r="T124" s="176">
        <f t="shared" si="31"/>
        <v>6</v>
      </c>
      <c r="U124" s="250">
        <f t="shared" si="32"/>
        <v>0.55325884099776235</v>
      </c>
      <c r="V124" s="382">
        <f t="shared" si="33"/>
        <v>56.970079809978735</v>
      </c>
      <c r="W124" s="400">
        <f t="shared" si="34"/>
        <v>10.027298009614341</v>
      </c>
      <c r="X124" s="157">
        <f t="shared" si="35"/>
        <v>45036</v>
      </c>
      <c r="Y124" s="383">
        <f t="shared" si="36"/>
        <v>9.53310853877176</v>
      </c>
      <c r="Z124" s="383">
        <f t="shared" si="37"/>
        <v>9.8214852152780878</v>
      </c>
      <c r="AA124" s="384">
        <f t="shared" si="38"/>
        <v>10.714662903561127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8.3360316262136691E-2</v>
      </c>
      <c r="AD124" s="230">
        <f>(INDEX(Models!$BJ124:$BT124,,AH124)*(1-AF124)+INDEX(Models!$BJ124:$BT124,,AH124+1)*AF124-ERP_i)*AE124*Ramure*Pc/MaxiM</f>
        <v>2.3294685271058299E-4</v>
      </c>
      <c r="AE124" s="304">
        <f t="shared" si="40"/>
        <v>0.6</v>
      </c>
      <c r="AF124" s="177">
        <f t="shared" si="41"/>
        <v>0.55325884099776235</v>
      </c>
      <c r="AG124" s="799">
        <f t="shared" si="49"/>
        <v>0</v>
      </c>
      <c r="AH124" s="176">
        <f t="shared" si="42"/>
        <v>6</v>
      </c>
      <c r="AI124" s="224">
        <f t="shared" si="43"/>
        <v>0.55325884099776235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09">
        <f>'2022'!Wh/'2022'!Env_an*'2023'!Env_an</f>
        <v>9.6521731467732277</v>
      </c>
      <c r="C125" s="829"/>
      <c r="D125" s="391">
        <f t="shared" si="25"/>
        <v>9.944342110508094</v>
      </c>
      <c r="E125" s="383">
        <f t="shared" si="47"/>
        <v>10.314820179224993</v>
      </c>
      <c r="F125" s="383">
        <f t="shared" si="26"/>
        <v>10.314820179224993</v>
      </c>
      <c r="G125" s="110">
        <f t="shared" si="48"/>
        <v>0.16885884373582885</v>
      </c>
      <c r="H125" s="412" t="b">
        <f>Wh_hp&gt;='2022'!Maxi_hp</f>
        <v>0</v>
      </c>
      <c r="I125" s="379">
        <f>IF(H125,Wh_hp,'2022'!Maxi_hp)</f>
        <v>55.246951602065522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2.938042159934684E-2</v>
      </c>
      <c r="M125" s="832"/>
      <c r="N125" s="832"/>
      <c r="O125" s="48">
        <f>IF(t&lt;Tnet,'2022'!Resal+('2022'!Salim-'2022'!Resal)*(1-EXP(('2022'!Tnet-t)/('2022'!Tau_j))),Resal+(Salim-Resal)*(1-EXP((Tnet-t)/(Tau_j))))*Salcycl</f>
        <v>3.5917065181909361E-2</v>
      </c>
      <c r="P125" s="338">
        <f>(INDEX(Models!$BJ125:$BT125,,T125)*(1-R125)+INDEX(Models!$BJ125:$BT125,,T125+1)*R125-ERP_i)*Q125*Ramure*Pc/MaxiM</f>
        <v>2.2828425021386421E-4</v>
      </c>
      <c r="Q125" s="304">
        <f t="shared" si="28"/>
        <v>0.6</v>
      </c>
      <c r="R125" s="177">
        <f t="shared" si="29"/>
        <v>0.55529831206323543</v>
      </c>
      <c r="S125" s="799">
        <f t="shared" si="30"/>
        <v>0</v>
      </c>
      <c r="T125" s="176">
        <f t="shared" si="31"/>
        <v>6</v>
      </c>
      <c r="U125" s="250">
        <f t="shared" si="32"/>
        <v>0.55529831206323543</v>
      </c>
      <c r="V125" s="382">
        <f t="shared" si="33"/>
        <v>57.148145126235576</v>
      </c>
      <c r="W125" s="400">
        <f t="shared" si="34"/>
        <v>9.6521731467732277</v>
      </c>
      <c r="X125" s="157">
        <f t="shared" si="35"/>
        <v>45037</v>
      </c>
      <c r="Y125" s="383">
        <f t="shared" si="36"/>
        <v>9.1769070662736496</v>
      </c>
      <c r="Z125" s="383">
        <f t="shared" si="37"/>
        <v>9.4546898398597907</v>
      </c>
      <c r="AA125" s="384">
        <f t="shared" si="38"/>
        <v>10.314820179224993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8.3387817181494295E-2</v>
      </c>
      <c r="AD125" s="230">
        <f>(INDEX(Models!$BJ125:$BT125,,AH125)*(1-AF125)+INDEX(Models!$BJ125:$BT125,,AH125+1)*AF125-ERP_i)*AE125*Ramure*Pc/MaxiM</f>
        <v>2.2828425021386421E-4</v>
      </c>
      <c r="AE125" s="304">
        <f t="shared" si="40"/>
        <v>0.6</v>
      </c>
      <c r="AF125" s="177">
        <f t="shared" si="41"/>
        <v>0.55529831206323543</v>
      </c>
      <c r="AG125" s="799">
        <f t="shared" si="49"/>
        <v>0</v>
      </c>
      <c r="AH125" s="176">
        <f t="shared" si="42"/>
        <v>6</v>
      </c>
      <c r="AI125" s="224">
        <f t="shared" si="43"/>
        <v>0.55529831206323543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09">
        <f>'2022'!Wh/'2022'!Env_an*'2023'!Env_an</f>
        <v>28.053832742406833</v>
      </c>
      <c r="C126" s="829"/>
      <c r="D126" s="391">
        <f t="shared" si="25"/>
        <v>28.903569454308879</v>
      </c>
      <c r="E126" s="383">
        <f t="shared" si="47"/>
        <v>29.982713909400903</v>
      </c>
      <c r="F126" s="383">
        <f t="shared" si="26"/>
        <v>29.984529521620445</v>
      </c>
      <c r="G126" s="110">
        <f t="shared" si="48"/>
        <v>0.48934572578910912</v>
      </c>
      <c r="H126" s="412" t="b">
        <f>Wh_hp&gt;='2022'!Maxi_hp</f>
        <v>0</v>
      </c>
      <c r="I126" s="379">
        <f>IF(H126,Wh_hp,'2022'!Maxi_hp)</f>
        <v>61.484611749803321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2.9399023302132954E-2</v>
      </c>
      <c r="M126" s="832"/>
      <c r="N126" s="832"/>
      <c r="O126" s="48">
        <f>IF(t&lt;Tnet,'2022'!Resal+('2022'!Salim-'2022'!Resal)*(1-EXP(('2022'!Tnet-t)/('2022'!Tau_j))),Resal+(Salim-Resal)*(1-EXP((Tnet-t)/(Tau_j))))*Salcycl</f>
        <v>3.5992220662642058E-2</v>
      </c>
      <c r="P126" s="338">
        <f>(INDEX(Models!$BJ126:$BT126,,T126)*(1-R126)+INDEX(Models!$BJ126:$BT126,,T126+1)*R126-ERP_i)*Q126*Ramure*Pc/MaxiM</f>
        <v>2.2376141743662265E-4</v>
      </c>
      <c r="Q126" s="304">
        <f t="shared" si="28"/>
        <v>0.6</v>
      </c>
      <c r="R126" s="177">
        <f t="shared" si="29"/>
        <v>0.55740359561011787</v>
      </c>
      <c r="S126" s="799">
        <f t="shared" si="30"/>
        <v>0</v>
      </c>
      <c r="T126" s="176">
        <f t="shared" si="31"/>
        <v>6</v>
      </c>
      <c r="U126" s="250">
        <f t="shared" si="32"/>
        <v>0.55740359561011787</v>
      </c>
      <c r="V126" s="382">
        <f t="shared" si="33"/>
        <v>57.319911724806211</v>
      </c>
      <c r="W126" s="400">
        <f t="shared" si="34"/>
        <v>28.053832742406833</v>
      </c>
      <c r="X126" s="157">
        <f t="shared" si="35"/>
        <v>45038</v>
      </c>
      <c r="Y126" s="383">
        <f t="shared" si="36"/>
        <v>26.673727182743939</v>
      </c>
      <c r="Z126" s="383">
        <f t="shared" si="37"/>
        <v>27.48166118016081</v>
      </c>
      <c r="AA126" s="384">
        <f t="shared" si="38"/>
        <v>29.982713909400903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8.3416489140961461E-2</v>
      </c>
      <c r="AD126" s="230">
        <f>(INDEX(Models!$BJ126:$BT126,,AH126)*(1-AF126)+INDEX(Models!$BJ126:$BT126,,AH126+1)*AF126-ERP_i)*AE126*Ramure*Pc/MaxiM</f>
        <v>2.2376141743662265E-4</v>
      </c>
      <c r="AE126" s="304">
        <f t="shared" si="40"/>
        <v>0.6</v>
      </c>
      <c r="AF126" s="177">
        <f t="shared" si="41"/>
        <v>0.55740359561011787</v>
      </c>
      <c r="AG126" s="799">
        <f t="shared" si="49"/>
        <v>0</v>
      </c>
      <c r="AH126" s="176">
        <f t="shared" si="42"/>
        <v>6</v>
      </c>
      <c r="AI126" s="224">
        <f t="shared" si="43"/>
        <v>0.55740359561011787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09">
        <f>'2022'!Wh/'2022'!Env_an*'2023'!Env_an</f>
        <v>9.3431639301865683</v>
      </c>
      <c r="C127" s="829"/>
      <c r="D127" s="391">
        <f t="shared" si="25"/>
        <v>9.6263482291259947</v>
      </c>
      <c r="E127" s="383">
        <f t="shared" si="47"/>
        <v>9.9865412717482087</v>
      </c>
      <c r="F127" s="383">
        <f t="shared" si="26"/>
        <v>9.9865412717482087</v>
      </c>
      <c r="G127" s="110">
        <f t="shared" si="48"/>
        <v>0.1624954748587388</v>
      </c>
      <c r="H127" s="412" t="b">
        <f>Wh_hp&gt;='2022'!Maxi_hp</f>
        <v>0</v>
      </c>
      <c r="I127" s="379">
        <f>IF(H127,Wh_hp,'2022'!Maxi_hp)</f>
        <v>61.411826255045938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2.9417624648421681E-2</v>
      </c>
      <c r="M127" s="832"/>
      <c r="N127" s="832"/>
      <c r="O127" s="48">
        <f>IF(t&lt;Tnet,'2022'!Resal+('2022'!Salim-'2022'!Resal)*(1-EXP(('2022'!Tnet-t)/('2022'!Tau_j))),Resal+(Salim-Resal)*(1-EXP((Tnet-t)/(Tau_j))))*Salcycl</f>
        <v>3.6067846997357829E-2</v>
      </c>
      <c r="P127" s="338">
        <f>(INDEX(Models!$BJ127:$BT127,,T127)*(1-R127)+INDEX(Models!$BJ127:$BT127,,T127+1)*R127-ERP_i)*Q127*Ramure*Pc/MaxiM</f>
        <v>2.193737966126908E-4</v>
      </c>
      <c r="Q127" s="304">
        <f t="shared" si="28"/>
        <v>0.6</v>
      </c>
      <c r="R127" s="177">
        <f t="shared" si="29"/>
        <v>0.55957606461415121</v>
      </c>
      <c r="S127" s="799">
        <f t="shared" si="30"/>
        <v>0</v>
      </c>
      <c r="T127" s="176">
        <f t="shared" si="31"/>
        <v>6</v>
      </c>
      <c r="U127" s="250">
        <f t="shared" si="32"/>
        <v>0.55957606461415121</v>
      </c>
      <c r="V127" s="382">
        <f t="shared" si="33"/>
        <v>57.485381011152967</v>
      </c>
      <c r="W127" s="400">
        <f t="shared" si="34"/>
        <v>9.3431639301865683</v>
      </c>
      <c r="X127" s="157">
        <f t="shared" si="35"/>
        <v>45039</v>
      </c>
      <c r="Y127" s="383">
        <f t="shared" si="36"/>
        <v>8.8839355612294284</v>
      </c>
      <c r="Z127" s="383">
        <f t="shared" si="37"/>
        <v>9.1532009923540603</v>
      </c>
      <c r="AA127" s="384">
        <f t="shared" si="38"/>
        <v>9.9865412717482087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8.3446336095526513E-2</v>
      </c>
      <c r="AD127" s="230">
        <f>(INDEX(Models!$BJ127:$BT127,,AH127)*(1-AF127)+INDEX(Models!$BJ127:$BT127,,AH127+1)*AF127-ERP_i)*AE127*Ramure*Pc/MaxiM</f>
        <v>2.193737966126908E-4</v>
      </c>
      <c r="AE127" s="304">
        <f t="shared" si="40"/>
        <v>0.6</v>
      </c>
      <c r="AF127" s="177">
        <f t="shared" si="41"/>
        <v>0.55957606461415121</v>
      </c>
      <c r="AG127" s="799">
        <f t="shared" si="49"/>
        <v>0</v>
      </c>
      <c r="AH127" s="176">
        <f t="shared" si="42"/>
        <v>6</v>
      </c>
      <c r="AI127" s="224">
        <f t="shared" si="43"/>
        <v>0.55957606461415121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09">
        <f>'2022'!Wh/'2022'!Env_an*'2023'!Env_an</f>
        <v>32.2852625278909</v>
      </c>
      <c r="C128" s="829"/>
      <c r="D128" s="391">
        <f t="shared" si="25"/>
        <v>33.264442152831151</v>
      </c>
      <c r="E128" s="383">
        <f t="shared" si="47"/>
        <v>34.511836155548174</v>
      </c>
      <c r="F128" s="383">
        <f t="shared" si="26"/>
        <v>34.514595775678529</v>
      </c>
      <c r="G128" s="110">
        <f t="shared" si="48"/>
        <v>0.55999909703879236</v>
      </c>
      <c r="H128" s="412" t="b">
        <f>Wh_hp&gt;='2022'!Maxi_hp</f>
        <v>0</v>
      </c>
      <c r="I128" s="379">
        <f>IF(H128,Wh_hp,'2022'!Maxi_hp)</f>
        <v>58.10105142457774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2.9436225638219904E-2</v>
      </c>
      <c r="M128" s="832"/>
      <c r="N128" s="832"/>
      <c r="O128" s="48">
        <f>IF(t&lt;Tnet,'2022'!Resal+('2022'!Salim-'2022'!Resal)*(1-EXP(('2022'!Tnet-t)/('2022'!Tau_j))),Resal+(Salim-Resal)*(1-EXP((Tnet-t)/(Tau_j))))*Salcycl</f>
        <v>3.6143947748676582E-2</v>
      </c>
      <c r="P128" s="338">
        <f>(INDEX(Models!$BJ128:$BT128,,T128)*(1-R128)+INDEX(Models!$BJ128:$BT128,,T128+1)*R128-ERP_i)*Q128*Ramure*Pc/MaxiM</f>
        <v>2.1520194582179473E-4</v>
      </c>
      <c r="Q128" s="304">
        <f t="shared" si="28"/>
        <v>0.6</v>
      </c>
      <c r="R128" s="177">
        <f t="shared" si="29"/>
        <v>0.56181706400073272</v>
      </c>
      <c r="S128" s="799">
        <f t="shared" si="30"/>
        <v>0</v>
      </c>
      <c r="T128" s="176">
        <f t="shared" si="31"/>
        <v>6</v>
      </c>
      <c r="U128" s="250">
        <f t="shared" si="32"/>
        <v>0.56181706400073272</v>
      </c>
      <c r="V128" s="382">
        <f t="shared" si="33"/>
        <v>57.644549556504359</v>
      </c>
      <c r="W128" s="400">
        <f t="shared" si="34"/>
        <v>32.2852625278909</v>
      </c>
      <c r="X128" s="157">
        <f t="shared" si="35"/>
        <v>45040</v>
      </c>
      <c r="Y128" s="383">
        <f t="shared" si="36"/>
        <v>30.699785483314319</v>
      </c>
      <c r="Z128" s="383">
        <f t="shared" si="37"/>
        <v>31.63087917999183</v>
      </c>
      <c r="AA128" s="384">
        <f t="shared" si="38"/>
        <v>34.511836155548174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8.3477360131509498E-2</v>
      </c>
      <c r="AD128" s="230">
        <f>(INDEX(Models!$BJ128:$BT128,,AH128)*(1-AF128)+INDEX(Models!$BJ128:$BT128,,AH128+1)*AF128-ERP_i)*AE128*Ramure*Pc/MaxiM</f>
        <v>2.1520194582179473E-4</v>
      </c>
      <c r="AE128" s="304">
        <f t="shared" si="40"/>
        <v>0.6</v>
      </c>
      <c r="AF128" s="177">
        <f t="shared" si="41"/>
        <v>0.56181706400073272</v>
      </c>
      <c r="AG128" s="799">
        <f t="shared" si="49"/>
        <v>0</v>
      </c>
      <c r="AH128" s="176">
        <f t="shared" si="42"/>
        <v>6</v>
      </c>
      <c r="AI128" s="224">
        <f t="shared" si="43"/>
        <v>0.56181706400073272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09">
        <f>'2022'!Wh/'2022'!Env_an*'2023'!Env_an</f>
        <v>48.86220579185791</v>
      </c>
      <c r="C129" s="829"/>
      <c r="D129" s="391">
        <f t="shared" si="25"/>
        <v>50.345112329133414</v>
      </c>
      <c r="E129" s="383">
        <f t="shared" si="47"/>
        <v>52.237170087463468</v>
      </c>
      <c r="F129" s="383">
        <f t="shared" si="26"/>
        <v>52.245767824578586</v>
      </c>
      <c r="G129" s="110">
        <f t="shared" si="48"/>
        <v>0.84536516646096493</v>
      </c>
      <c r="H129" s="412" t="b">
        <f>Wh_hp&gt;='2022'!Maxi_hp</f>
        <v>0</v>
      </c>
      <c r="I129" s="379">
        <f>IF(H129,Wh_hp,'2022'!Maxi_hp)</f>
        <v>57.415722541484826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2.9454826271534285E-2</v>
      </c>
      <c r="M129" s="832"/>
      <c r="N129" s="832"/>
      <c r="O129" s="48">
        <f>IF(t&lt;Tnet,'2022'!Resal+('2022'!Salim-'2022'!Resal)*(1-EXP(('2022'!Tnet-t)/('2022'!Tau_j))),Resal+(Salim-Resal)*(1-EXP((Tnet-t)/(Tau_j))))*Salcycl</f>
        <v>3.622052563647854E-2</v>
      </c>
      <c r="P129" s="338">
        <f>(INDEX(Models!$BJ129:$BT129,,T129)*(1-R129)+INDEX(Models!$BJ129:$BT129,,T129+1)*R129-ERP_i)*Q129*Ramure*Pc/MaxiM</f>
        <v>2.1120893344839746E-4</v>
      </c>
      <c r="Q129" s="304">
        <f t="shared" si="28"/>
        <v>0.6</v>
      </c>
      <c r="R129" s="177">
        <f t="shared" si="29"/>
        <v>0.56412790550569858</v>
      </c>
      <c r="S129" s="799">
        <f t="shared" si="30"/>
        <v>0</v>
      </c>
      <c r="T129" s="176">
        <f t="shared" si="31"/>
        <v>6</v>
      </c>
      <c r="U129" s="250">
        <f t="shared" si="32"/>
        <v>0.56412790550569858</v>
      </c>
      <c r="V129" s="382">
        <f t="shared" si="33"/>
        <v>57.797420745173135</v>
      </c>
      <c r="W129" s="400">
        <f t="shared" si="34"/>
        <v>48.86220579185791</v>
      </c>
      <c r="X129" s="157">
        <f t="shared" si="35"/>
        <v>45041</v>
      </c>
      <c r="Y129" s="383">
        <f t="shared" si="36"/>
        <v>46.464721036983384</v>
      </c>
      <c r="Z129" s="383">
        <f t="shared" si="37"/>
        <v>47.874866925033054</v>
      </c>
      <c r="AA129" s="384">
        <f t="shared" si="38"/>
        <v>52.237170087463468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8.3509561393283402E-2</v>
      </c>
      <c r="AD129" s="230">
        <f>(INDEX(Models!$BJ129:$BT129,,AH129)*(1-AF129)+INDEX(Models!$BJ129:$BT129,,AH129+1)*AF129-ERP_i)*AE129*Ramure*Pc/MaxiM</f>
        <v>2.1120893344839746E-4</v>
      </c>
      <c r="AE129" s="304">
        <f t="shared" si="40"/>
        <v>0.6</v>
      </c>
      <c r="AF129" s="177">
        <f t="shared" si="41"/>
        <v>0.56412790550569858</v>
      </c>
      <c r="AG129" s="799">
        <f t="shared" si="49"/>
        <v>0</v>
      </c>
      <c r="AH129" s="176">
        <f t="shared" si="42"/>
        <v>6</v>
      </c>
      <c r="AI129" s="224">
        <f t="shared" si="43"/>
        <v>0.56412790550569858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09">
        <f>'2022'!Wh/'2022'!Env_an*'2023'!Env_an</f>
        <v>56.02193001414723</v>
      </c>
      <c r="C130" s="829"/>
      <c r="D130" s="391">
        <f t="shared" si="25"/>
        <v>57.723231436011176</v>
      </c>
      <c r="E130" s="383">
        <f t="shared" si="47"/>
        <v>59.897360832253206</v>
      </c>
      <c r="F130" s="383">
        <f t="shared" si="26"/>
        <v>59.909196737743251</v>
      </c>
      <c r="G130" s="110">
        <f t="shared" si="48"/>
        <v>0.96681939662270289</v>
      </c>
      <c r="H130" s="412" t="b">
        <f>Wh_hp&gt;='2022'!Maxi_hp</f>
        <v>0</v>
      </c>
      <c r="I130" s="379">
        <f>IF(H130,Wh_hp,'2022'!Maxi_hp)</f>
        <v>59.909404473598052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2.9473426548371928E-2</v>
      </c>
      <c r="M130" s="832"/>
      <c r="N130" s="832"/>
      <c r="O130" s="48">
        <f>IF(t&lt;Tnet,'2022'!Resal+('2022'!Salim-'2022'!Resal)*(1-EXP(('2022'!Tnet-t)/('2022'!Tau_j))),Resal+(Salim-Resal)*(1-EXP((Tnet-t)/(Tau_j))))*Salcycl</f>
        <v>3.6297582498347969E-2</v>
      </c>
      <c r="P130" s="338">
        <f>(INDEX(Models!$BJ130:$BT130,,T130)*(1-R130)+INDEX(Models!$BJ130:$BT130,,T130+1)*R130-ERP_i)*Q130*Ramure*Pc/MaxiM</f>
        <v>2.0739181780874102E-4</v>
      </c>
      <c r="Q130" s="304">
        <f t="shared" si="28"/>
        <v>0.6</v>
      </c>
      <c r="R130" s="177">
        <f t="shared" si="29"/>
        <v>0.5665098622835576</v>
      </c>
      <c r="S130" s="799">
        <f t="shared" si="30"/>
        <v>0</v>
      </c>
      <c r="T130" s="176">
        <f t="shared" si="31"/>
        <v>6</v>
      </c>
      <c r="U130" s="250">
        <f t="shared" si="32"/>
        <v>0.5665098622835576</v>
      </c>
      <c r="V130" s="382">
        <f t="shared" si="33"/>
        <v>57.943996088980626</v>
      </c>
      <c r="W130" s="400">
        <f t="shared" si="34"/>
        <v>56.02193001414723</v>
      </c>
      <c r="X130" s="157">
        <f t="shared" si="35"/>
        <v>45042</v>
      </c>
      <c r="Y130" s="383">
        <f t="shared" si="36"/>
        <v>53.275463935155571</v>
      </c>
      <c r="Z130" s="383">
        <f t="shared" si="37"/>
        <v>54.893359329342331</v>
      </c>
      <c r="AA130" s="384">
        <f t="shared" si="38"/>
        <v>59.897360832253206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8.3542938008987225E-2</v>
      </c>
      <c r="AD130" s="230">
        <f>(INDEX(Models!$BJ130:$BT130,,AH130)*(1-AF130)+INDEX(Models!$BJ130:$BT130,,AH130+1)*AF130-ERP_i)*AE130*Ramure*Pc/MaxiM</f>
        <v>2.0739181780874102E-4</v>
      </c>
      <c r="AE130" s="304">
        <f t="shared" si="40"/>
        <v>0.6</v>
      </c>
      <c r="AF130" s="177">
        <f t="shared" si="41"/>
        <v>0.5665098622835576</v>
      </c>
      <c r="AG130" s="799">
        <f t="shared" si="49"/>
        <v>0</v>
      </c>
      <c r="AH130" s="176">
        <f t="shared" si="42"/>
        <v>6</v>
      </c>
      <c r="AI130" s="224">
        <f t="shared" si="43"/>
        <v>0.5665098622835576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09">
        <f>'2022'!Wh/'2022'!Env_an*'2023'!Env_an</f>
        <v>40.667050902608445</v>
      </c>
      <c r="C131" s="829"/>
      <c r="D131" s="391">
        <f t="shared" si="25"/>
        <v>41.902850890177191</v>
      </c>
      <c r="E131" s="383">
        <f t="shared" si="47"/>
        <v>43.484608717804889</v>
      </c>
      <c r="F131" s="383">
        <f t="shared" si="26"/>
        <v>43.489673863750468</v>
      </c>
      <c r="G131" s="110">
        <f t="shared" si="48"/>
        <v>0.70007759494167432</v>
      </c>
      <c r="H131" s="412" t="b">
        <f>Wh_hp&gt;='2022'!Maxi_hp</f>
        <v>0</v>
      </c>
      <c r="I131" s="379">
        <f>IF(H131,Wh_hp,'2022'!Maxi_hp)</f>
        <v>43.491010827693984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2.9492026468739385E-2</v>
      </c>
      <c r="M131" s="832"/>
      <c r="N131" s="832"/>
      <c r="O131" s="48">
        <f>IF(t&lt;Tnet,'2022'!Resal+('2022'!Salim-'2022'!Resal)*(1-EXP(('2022'!Tnet-t)/('2022'!Tau_j))),Resal+(Salim-Resal)*(1-EXP((Tnet-t)/(Tau_j))))*Salcycl</f>
        <v>3.6375119249493083E-2</v>
      </c>
      <c r="P131" s="338">
        <f>(INDEX(Models!$BJ131:$BT131,,T131)*(1-R131)+INDEX(Models!$BJ131:$BT131,,T131+1)*R131-ERP_i)*Q131*Ramure*Pc/MaxiM</f>
        <v>2.0374796730097971E-4</v>
      </c>
      <c r="Q131" s="304">
        <f t="shared" si="28"/>
        <v>0.6</v>
      </c>
      <c r="R131" s="177">
        <f t="shared" si="29"/>
        <v>0.56896416327069255</v>
      </c>
      <c r="S131" s="799">
        <f t="shared" si="30"/>
        <v>0</v>
      </c>
      <c r="T131" s="176">
        <f t="shared" si="31"/>
        <v>6</v>
      </c>
      <c r="U131" s="250">
        <f t="shared" si="32"/>
        <v>0.56896416327069255</v>
      </c>
      <c r="V131" s="382">
        <f t="shared" si="33"/>
        <v>58.084277164877086</v>
      </c>
      <c r="W131" s="400">
        <f t="shared" si="34"/>
        <v>40.667050902608445</v>
      </c>
      <c r="X131" s="157">
        <f t="shared" si="35"/>
        <v>45043</v>
      </c>
      <c r="Y131" s="383">
        <f t="shared" si="36"/>
        <v>38.675009092198351</v>
      </c>
      <c r="Z131" s="383">
        <f t="shared" si="37"/>
        <v>39.850274440792738</v>
      </c>
      <c r="AA131" s="384">
        <f t="shared" si="38"/>
        <v>43.484608717804889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8.3577486015737473E-2</v>
      </c>
      <c r="AD131" s="230">
        <f>(INDEX(Models!$BJ131:$BT131,,AH131)*(1-AF131)+INDEX(Models!$BJ131:$BT131,,AH131+1)*AF131-ERP_i)*AE131*Ramure*Pc/MaxiM</f>
        <v>2.0374796730097971E-4</v>
      </c>
      <c r="AE131" s="304">
        <f t="shared" si="40"/>
        <v>0.6</v>
      </c>
      <c r="AF131" s="177">
        <f t="shared" si="41"/>
        <v>0.56896416327069255</v>
      </c>
      <c r="AG131" s="799">
        <f t="shared" si="49"/>
        <v>0</v>
      </c>
      <c r="AH131" s="176">
        <f t="shared" si="42"/>
        <v>6</v>
      </c>
      <c r="AI131" s="224">
        <f t="shared" si="43"/>
        <v>0.56896416327069255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09">
        <f>'2022'!Wh/'2022'!Env_an*'2023'!Env_an</f>
        <v>24.503888499080801</v>
      </c>
      <c r="C132" s="829"/>
      <c r="D132" s="391">
        <f t="shared" si="25"/>
        <v>25.249002365589035</v>
      </c>
      <c r="E132" s="383">
        <f t="shared" si="47"/>
        <v>26.204228673053052</v>
      </c>
      <c r="F132" s="383">
        <f t="shared" si="26"/>
        <v>26.205135095103532</v>
      </c>
      <c r="G132" s="110">
        <f t="shared" si="48"/>
        <v>0.42082717784191709</v>
      </c>
      <c r="H132" s="412" t="b">
        <f>Wh_hp&gt;='2022'!Maxi_hp</f>
        <v>0</v>
      </c>
      <c r="I132" s="379">
        <f>IF(H132,Wh_hp,'2022'!Maxi_hp)</f>
        <v>46.721279625112096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2.951062603264365E-2</v>
      </c>
      <c r="M132" s="832"/>
      <c r="N132" s="832"/>
      <c r="O132" s="48">
        <f>IF(t&lt;Tnet,'2022'!Resal+('2022'!Salim-'2022'!Resal)*(1-EXP(('2022'!Tnet-t)/('2022'!Tau_j))),Resal+(Salim-Resal)*(1-EXP((Tnet-t)/(Tau_j))))*Salcycl</f>
        <v>3.6453135842396206E-2</v>
      </c>
      <c r="P132" s="338">
        <f>(INDEX(Models!$BJ132:$BT132,,T132)*(1-R132)+INDEX(Models!$BJ132:$BT132,,T132+1)*R132-ERP_i)*Q132*Ramure*Pc/MaxiM</f>
        <v>2.0027506150061919E-4</v>
      </c>
      <c r="Q132" s="304">
        <f t="shared" si="28"/>
        <v>0.6</v>
      </c>
      <c r="R132" s="177">
        <f t="shared" si="29"/>
        <v>0.57149198731356976</v>
      </c>
      <c r="S132" s="799">
        <f t="shared" si="30"/>
        <v>0</v>
      </c>
      <c r="T132" s="176">
        <f t="shared" si="31"/>
        <v>6</v>
      </c>
      <c r="U132" s="250">
        <f t="shared" si="32"/>
        <v>0.57149198731356976</v>
      </c>
      <c r="V132" s="382">
        <f t="shared" si="33"/>
        <v>58.218265615163517</v>
      </c>
      <c r="W132" s="400">
        <f t="shared" si="34"/>
        <v>24.503888499080801</v>
      </c>
      <c r="X132" s="157">
        <f t="shared" si="35"/>
        <v>45044</v>
      </c>
      <c r="Y132" s="383">
        <f t="shared" si="36"/>
        <v>23.304564440031971</v>
      </c>
      <c r="Z132" s="383">
        <f t="shared" si="37"/>
        <v>24.013209278905354</v>
      </c>
      <c r="AA132" s="384">
        <f t="shared" si="38"/>
        <v>26.204228673053052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8.3613199284923681E-2</v>
      </c>
      <c r="AD132" s="230">
        <f>(INDEX(Models!$BJ132:$BT132,,AH132)*(1-AF132)+INDEX(Models!$BJ132:$BT132,,AH132+1)*AF132-ERP_i)*AE132*Ramure*Pc/MaxiM</f>
        <v>2.0027506150061919E-4</v>
      </c>
      <c r="AE132" s="304">
        <f t="shared" si="40"/>
        <v>0.6</v>
      </c>
      <c r="AF132" s="177">
        <f t="shared" si="41"/>
        <v>0.57149198731356976</v>
      </c>
      <c r="AG132" s="799">
        <f t="shared" si="49"/>
        <v>0</v>
      </c>
      <c r="AH132" s="176">
        <f t="shared" si="42"/>
        <v>6</v>
      </c>
      <c r="AI132" s="224">
        <f t="shared" si="43"/>
        <v>0.57149198731356976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09">
        <f>'2022'!Wh/'2022'!Env_an*'2023'!Env_an</f>
        <v>44.815389913419082</v>
      </c>
      <c r="C133" s="829"/>
      <c r="D133" s="391">
        <f t="shared" si="25"/>
        <v>46.179020614511835</v>
      </c>
      <c r="E133" s="383">
        <f t="shared" si="47"/>
        <v>47.929981005289441</v>
      </c>
      <c r="F133" s="383">
        <f t="shared" si="26"/>
        <v>47.936295015253094</v>
      </c>
      <c r="G133" s="110">
        <f t="shared" si="48"/>
        <v>0.76804739700488567</v>
      </c>
      <c r="H133" s="412" t="b">
        <f>Wh_hp&gt;='2022'!Maxi_hp</f>
        <v>0</v>
      </c>
      <c r="I133" s="379">
        <f>IF(H133,Wh_hp,'2022'!Maxi_hp)</f>
        <v>51.783140656081144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2.9529225240091606E-2</v>
      </c>
      <c r="M133" s="832"/>
      <c r="N133" s="832"/>
      <c r="O133" s="48">
        <f>IF(t&lt;Tnet,'2022'!Resal+('2022'!Salim-'2022'!Resal)*(1-EXP(('2022'!Tnet-t)/('2022'!Tau_j))),Resal+(Salim-Resal)*(1-EXP((Tnet-t)/(Tau_j))))*Salcycl</f>
        <v>3.6531631226483834E-2</v>
      </c>
      <c r="P133" s="338">
        <f>(INDEX(Models!$BJ133:$BT133,,T133)*(1-R133)+INDEX(Models!$BJ133:$BT133,,T133+1)*R133-ERP_i)*Q133*Ramure*Pc/MaxiM</f>
        <v>1.9697109227199546E-4</v>
      </c>
      <c r="Q133" s="304">
        <f t="shared" si="28"/>
        <v>0.6</v>
      </c>
      <c r="R133" s="177">
        <f t="shared" si="29"/>
        <v>0.57409445707470186</v>
      </c>
      <c r="S133" s="799">
        <f t="shared" si="30"/>
        <v>0</v>
      </c>
      <c r="T133" s="176">
        <f t="shared" si="31"/>
        <v>6</v>
      </c>
      <c r="U133" s="250">
        <f t="shared" si="32"/>
        <v>0.57409445707470186</v>
      </c>
      <c r="V133" s="382">
        <f t="shared" si="33"/>
        <v>58.345963154500893</v>
      </c>
      <c r="W133" s="400">
        <f t="shared" si="34"/>
        <v>44.815389913419082</v>
      </c>
      <c r="X133" s="157">
        <f t="shared" si="35"/>
        <v>45045</v>
      </c>
      <c r="Y133" s="383">
        <f t="shared" si="36"/>
        <v>42.623692448864269</v>
      </c>
      <c r="Z133" s="383">
        <f t="shared" si="37"/>
        <v>43.920634765543809</v>
      </c>
      <c r="AA133" s="384">
        <f t="shared" si="38"/>
        <v>47.929981005289441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8.3650069448247141E-2</v>
      </c>
      <c r="AD133" s="230">
        <f>(INDEX(Models!$BJ133:$BT133,,AH133)*(1-AF133)+INDEX(Models!$BJ133:$BT133,,AH133+1)*AF133-ERP_i)*AE133*Ramure*Pc/MaxiM</f>
        <v>1.9697109227199546E-4</v>
      </c>
      <c r="AE133" s="304">
        <f t="shared" si="40"/>
        <v>0.6</v>
      </c>
      <c r="AF133" s="177">
        <f t="shared" si="41"/>
        <v>0.57409445707470186</v>
      </c>
      <c r="AG133" s="799">
        <f t="shared" si="49"/>
        <v>0</v>
      </c>
      <c r="AH133" s="176">
        <f t="shared" si="42"/>
        <v>6</v>
      </c>
      <c r="AI133" s="224">
        <f t="shared" si="43"/>
        <v>0.57409445707470186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09">
        <f>'2022'!Wh/'2022'!Env_an*'2023'!Env_an</f>
        <v>48.844454386603999</v>
      </c>
      <c r="C134" s="829"/>
      <c r="D134" s="391">
        <f t="shared" si="25"/>
        <v>50.331644978648285</v>
      </c>
      <c r="E134" s="383">
        <f t="shared" si="47"/>
        <v>50.742072753268481</v>
      </c>
      <c r="F134" s="383">
        <f t="shared" si="26"/>
        <v>50.749259233471236</v>
      </c>
      <c r="G134" s="110">
        <f t="shared" si="48"/>
        <v>0.81134945344748821</v>
      </c>
      <c r="H134" s="412" t="b">
        <f>Wh_hp&gt;='2022'!Maxi_hp</f>
        <v>0</v>
      </c>
      <c r="I134" s="379">
        <f>IF(H134,Wh_hp,'2022'!Maxi_hp)</f>
        <v>61.648626642094747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2.9547824091089914E-2</v>
      </c>
      <c r="M134" s="832"/>
      <c r="N134" s="832"/>
      <c r="O134" s="48">
        <f>IF(t&lt;Tnet,'2022'!Resal+('2022'!Salim-'2022'!Resal)*(1-EXP(('2022'!Tnet-t)/('2022'!Tau_j))),Resal+(Salim-Resal)*(1-EXP((Tnet-t)/(Tau_j))))*Salcycl</f>
        <v>8.0885102312609237E-3</v>
      </c>
      <c r="P134" s="338">
        <f>(INDEX(Models!$BJ134:$BT134,,T134)*(1-R134)+INDEX(Models!$BJ134:$BT134,,T134+1)*R134-ERP_i)*Q134*Ramure*Pc/MaxiM</f>
        <v>1.9383436494634028E-4</v>
      </c>
      <c r="Q134" s="304">
        <f t="shared" si="28"/>
        <v>0.6</v>
      </c>
      <c r="R134" s="177">
        <f t="shared" si="29"/>
        <v>0.57677263273198098</v>
      </c>
      <c r="S134" s="799">
        <f t="shared" si="30"/>
        <v>0</v>
      </c>
      <c r="T134" s="176">
        <f t="shared" si="31"/>
        <v>6</v>
      </c>
      <c r="U134" s="250">
        <f t="shared" si="32"/>
        <v>0.57677263273198098</v>
      </c>
      <c r="V134" s="382">
        <f t="shared" si="33"/>
        <v>60.198355750861268</v>
      </c>
      <c r="W134" s="400">
        <f t="shared" si="34"/>
        <v>48.844454386603999</v>
      </c>
      <c r="X134" s="157">
        <f t="shared" si="35"/>
        <v>45046</v>
      </c>
      <c r="Y134" s="383">
        <f t="shared" si="36"/>
        <v>47.439947947598107</v>
      </c>
      <c r="Z134" s="383">
        <f t="shared" si="37"/>
        <v>48.884374856665765</v>
      </c>
      <c r="AA134" s="384">
        <f t="shared" si="38"/>
        <v>50.742072753268481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3.661060330814047E-2</v>
      </c>
      <c r="AD134" s="230">
        <f>(INDEX(Models!$BJ134:$BT134,,AH134)*(1-AF134)+INDEX(Models!$BJ134:$BT134,,AH134+1)*AF134-ERP_i)*AE134*Ramure*Pc/MaxiM</f>
        <v>1.9383436494634028E-4</v>
      </c>
      <c r="AE134" s="304">
        <f t="shared" si="40"/>
        <v>0.6</v>
      </c>
      <c r="AF134" s="177">
        <f t="shared" si="41"/>
        <v>0.57677263273198098</v>
      </c>
      <c r="AG134" s="799">
        <f t="shared" si="49"/>
        <v>0</v>
      </c>
      <c r="AH134" s="176">
        <f t="shared" si="42"/>
        <v>6</v>
      </c>
      <c r="AI134" s="224">
        <f t="shared" si="43"/>
        <v>0.57677263273198098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09">
        <f>'2022'!Wh/'2022'!Env_an*'2023'!Env_an</f>
        <v>49.420790513806359</v>
      </c>
      <c r="C135" s="829"/>
      <c r="D135" s="391">
        <f t="shared" si="25"/>
        <v>50.926505083927793</v>
      </c>
      <c r="E135" s="383">
        <f t="shared" si="47"/>
        <v>51.347483540047506</v>
      </c>
      <c r="F135" s="383">
        <f t="shared" si="26"/>
        <v>51.354756384351568</v>
      </c>
      <c r="G135" s="110">
        <f t="shared" si="48"/>
        <v>0.81934796717936276</v>
      </c>
      <c r="H135" s="412" t="b">
        <f>Wh_hp&gt;='2022'!Maxi_hp</f>
        <v>0</v>
      </c>
      <c r="I135" s="379">
        <f>IF(H135,Wh_hp,'2022'!Maxi_hp)</f>
        <v>57.098058064772587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2.9566422585645458E-2</v>
      </c>
      <c r="M135" s="832"/>
      <c r="N135" s="832"/>
      <c r="O135" s="48">
        <f>IF(t&lt;Tnet,'2022'!Resal+('2022'!Salim-'2022'!Resal)*(1-EXP(('2022'!Tnet-t)/('2022'!Tau_j))),Resal+(Salim-Resal)*(1-EXP((Tnet-t)/(Tau_j))))*Salcycl</f>
        <v>8.1986190382898338E-3</v>
      </c>
      <c r="P135" s="338">
        <f>(INDEX(Models!$BJ135:$BT135,,T135)*(1-R135)+INDEX(Models!$BJ135:$BT135,,T135+1)*R135-ERP_i)*Q135*Ramure*Pc/MaxiM</f>
        <v>1.9086639629840074E-4</v>
      </c>
      <c r="Q135" s="304">
        <f t="shared" si="28"/>
        <v>0.6</v>
      </c>
      <c r="R135" s="177">
        <f t="shared" si="29"/>
        <v>0.57952750549004106</v>
      </c>
      <c r="S135" s="799">
        <f t="shared" si="30"/>
        <v>0</v>
      </c>
      <c r="T135" s="176">
        <f t="shared" si="31"/>
        <v>6</v>
      </c>
      <c r="U135" s="250">
        <f t="shared" si="32"/>
        <v>0.57952750549004106</v>
      </c>
      <c r="V135" s="382">
        <f t="shared" si="33"/>
        <v>60.314247837448214</v>
      </c>
      <c r="W135" s="400">
        <f t="shared" si="34"/>
        <v>49.420790513806359</v>
      </c>
      <c r="X135" s="157">
        <f t="shared" si="35"/>
        <v>45047</v>
      </c>
      <c r="Y135" s="383">
        <f t="shared" si="36"/>
        <v>48.000284068754794</v>
      </c>
      <c r="Z135" s="383">
        <f t="shared" si="37"/>
        <v>49.462719742908988</v>
      </c>
      <c r="AA135" s="384">
        <f t="shared" si="38"/>
        <v>51.347483540047506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3.6706059716997287E-2</v>
      </c>
      <c r="AD135" s="230">
        <f>(INDEX(Models!$BJ135:$BT135,,AH135)*(1-AF135)+INDEX(Models!$BJ135:$BT135,,AH135+1)*AF135-ERP_i)*AE135*Ramure*Pc/MaxiM</f>
        <v>1.9086639629840074E-4</v>
      </c>
      <c r="AE135" s="304">
        <f t="shared" si="40"/>
        <v>0.6</v>
      </c>
      <c r="AF135" s="177">
        <f t="shared" si="41"/>
        <v>0.57952750549004106</v>
      </c>
      <c r="AG135" s="799">
        <f t="shared" si="49"/>
        <v>0</v>
      </c>
      <c r="AH135" s="176">
        <f t="shared" si="42"/>
        <v>6</v>
      </c>
      <c r="AI135" s="224">
        <f t="shared" si="43"/>
        <v>0.57952750549004106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09">
        <f>'2022'!Wh/'2022'!Env_an*'2023'!Env_an</f>
        <v>29.301072997127733</v>
      </c>
      <c r="C136" s="829"/>
      <c r="D136" s="391">
        <f t="shared" si="25"/>
        <v>30.19437418307513</v>
      </c>
      <c r="E136" s="383">
        <f t="shared" si="47"/>
        <v>30.447356350103004</v>
      </c>
      <c r="F136" s="383">
        <f t="shared" si="26"/>
        <v>30.448870116547795</v>
      </c>
      <c r="G136" s="110">
        <f t="shared" si="48"/>
        <v>0.48487228546798594</v>
      </c>
      <c r="H136" s="412" t="b">
        <f>Wh_hp&gt;='2022'!Maxi_hp</f>
        <v>0</v>
      </c>
      <c r="I136" s="379">
        <f>IF(H136,Wh_hp,'2022'!Maxi_hp)</f>
        <v>49.564429764978506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2.9585020723765121E-2</v>
      </c>
      <c r="M136" s="832"/>
      <c r="N136" s="832"/>
      <c r="O136" s="48">
        <f>IF(t&lt;Tnet,'2022'!Resal+('2022'!Salim-'2022'!Resal)*(1-EXP(('2022'!Tnet-t)/('2022'!Tau_j))),Resal+(Salim-Resal)*(1-EXP((Tnet-t)/(Tau_j))))*Salcycl</f>
        <v>8.3088385119195127E-3</v>
      </c>
      <c r="P136" s="338">
        <f>(INDEX(Models!$BJ136:$BT136,,T136)*(1-R136)+INDEX(Models!$BJ136:$BT136,,T136+1)*R136-ERP_i)*Q136*Ramure*Pc/MaxiM</f>
        <v>1.8817252489971342E-4</v>
      </c>
      <c r="Q136" s="304">
        <f t="shared" si="28"/>
        <v>0.6</v>
      </c>
      <c r="R136" s="177">
        <f t="shared" si="29"/>
        <v>0.58235999092547608</v>
      </c>
      <c r="S136" s="799">
        <f t="shared" si="30"/>
        <v>0</v>
      </c>
      <c r="T136" s="176">
        <f t="shared" si="31"/>
        <v>6</v>
      </c>
      <c r="U136" s="250">
        <f t="shared" si="32"/>
        <v>0.58235999092547608</v>
      </c>
      <c r="V136" s="382">
        <f t="shared" si="33"/>
        <v>60.422129126105098</v>
      </c>
      <c r="W136" s="400">
        <f t="shared" si="34"/>
        <v>29.301072997127733</v>
      </c>
      <c r="X136" s="157">
        <f t="shared" si="35"/>
        <v>45048</v>
      </c>
      <c r="Y136" s="383">
        <f t="shared" si="36"/>
        <v>28.459197594589309</v>
      </c>
      <c r="Z136" s="383">
        <f t="shared" si="37"/>
        <v>29.326832543140512</v>
      </c>
      <c r="AA136" s="384">
        <f t="shared" si="38"/>
        <v>30.447356350103004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3.6802006521617095E-2</v>
      </c>
      <c r="AD136" s="230">
        <f>(INDEX(Models!$BJ136:$BT136,,AH136)*(1-AF136)+INDEX(Models!$BJ136:$BT136,,AH136+1)*AF136-ERP_i)*AE136*Ramure*Pc/MaxiM</f>
        <v>1.8817252489971342E-4</v>
      </c>
      <c r="AE136" s="304">
        <f t="shared" si="40"/>
        <v>0.6</v>
      </c>
      <c r="AF136" s="177">
        <f t="shared" si="41"/>
        <v>0.58235999092547608</v>
      </c>
      <c r="AG136" s="799">
        <f t="shared" si="49"/>
        <v>0</v>
      </c>
      <c r="AH136" s="176">
        <f t="shared" si="42"/>
        <v>6</v>
      </c>
      <c r="AI136" s="224">
        <f t="shared" si="43"/>
        <v>0.58235999092547608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09">
        <f>'2022'!Wh/'2022'!Env_an*'2023'!Env_an</f>
        <v>40.897195431991449</v>
      </c>
      <c r="C137" s="829"/>
      <c r="D137" s="391">
        <f t="shared" si="25"/>
        <v>42.144835050811018</v>
      </c>
      <c r="E137" s="383">
        <f t="shared" si="47"/>
        <v>42.50267231831041</v>
      </c>
      <c r="F137" s="383">
        <f t="shared" si="26"/>
        <v>42.506908685114048</v>
      </c>
      <c r="G137" s="110">
        <f t="shared" si="48"/>
        <v>0.67567805466906061</v>
      </c>
      <c r="H137" s="412" t="b">
        <f>Wh_hp&gt;='2022'!Maxi_hp</f>
        <v>0</v>
      </c>
      <c r="I137" s="379">
        <f>IF(H137,Wh_hp,'2022'!Maxi_hp)</f>
        <v>61.404519088032231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2.9603618505455676E-2</v>
      </c>
      <c r="M137" s="832"/>
      <c r="N137" s="832"/>
      <c r="O137" s="48">
        <f>IF(t&lt;Tnet,'2022'!Resal+('2022'!Salim-'2022'!Resal)*(1-EXP(('2022'!Tnet-t)/('2022'!Tau_j))),Resal+(Salim-Resal)*(1-EXP((Tnet-t)/(Tau_j))))*Salcycl</f>
        <v>8.419171030458578E-3</v>
      </c>
      <c r="P137" s="338">
        <f>(INDEX(Models!$BJ137:$BT137,,T137)*(1-R137)+INDEX(Models!$BJ137:$BT137,,T137+1)*R137-ERP_i)*Q137*Ramure*Pc/MaxiM</f>
        <v>1.8567312963652593E-4</v>
      </c>
      <c r="Q137" s="304">
        <f t="shared" si="28"/>
        <v>0.6</v>
      </c>
      <c r="R137" s="177">
        <f t="shared" si="29"/>
        <v>0.58527092219103982</v>
      </c>
      <c r="S137" s="799">
        <f t="shared" si="30"/>
        <v>0</v>
      </c>
      <c r="T137" s="176">
        <f t="shared" si="31"/>
        <v>6</v>
      </c>
      <c r="U137" s="250">
        <f t="shared" si="32"/>
        <v>0.58527092219103982</v>
      </c>
      <c r="V137" s="382">
        <f t="shared" si="33"/>
        <v>60.522429619336172</v>
      </c>
      <c r="W137" s="400">
        <f t="shared" si="34"/>
        <v>40.897195431991449</v>
      </c>
      <c r="X137" s="157">
        <f t="shared" si="35"/>
        <v>45049</v>
      </c>
      <c r="Y137" s="383">
        <f t="shared" si="36"/>
        <v>39.722583994707641</v>
      </c>
      <c r="Z137" s="383">
        <f t="shared" si="37"/>
        <v>40.934390061852227</v>
      </c>
      <c r="AA137" s="384">
        <f t="shared" si="38"/>
        <v>42.50267231831041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3.6898438872573033E-2</v>
      </c>
      <c r="AD137" s="230">
        <f>(INDEX(Models!$BJ137:$BT137,,AH137)*(1-AF137)+INDEX(Models!$BJ137:$BT137,,AH137+1)*AF137-ERP_i)*AE137*Ramure*Pc/MaxiM</f>
        <v>1.8567312963652593E-4</v>
      </c>
      <c r="AE137" s="304">
        <f t="shared" si="40"/>
        <v>0.6</v>
      </c>
      <c r="AF137" s="177">
        <f t="shared" si="41"/>
        <v>0.58527092219103982</v>
      </c>
      <c r="AG137" s="799">
        <f t="shared" si="49"/>
        <v>0</v>
      </c>
      <c r="AH137" s="176">
        <f t="shared" si="42"/>
        <v>6</v>
      </c>
      <c r="AI137" s="224">
        <f t="shared" si="43"/>
        <v>0.58527092219103982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09">
        <f>'2022'!Wh/'2022'!Env_an*'2023'!Env_an</f>
        <v>22.14607707843307</v>
      </c>
      <c r="C138" s="829"/>
      <c r="D138" s="391">
        <f t="shared" si="25"/>
        <v>22.822118809814022</v>
      </c>
      <c r="E138" s="383">
        <f t="shared" si="47"/>
        <v>23.018457473085661</v>
      </c>
      <c r="F138" s="383">
        <f t="shared" si="26"/>
        <v>23.018851542250584</v>
      </c>
      <c r="G138" s="110">
        <f t="shared" si="48"/>
        <v>0.3652921794325763</v>
      </c>
      <c r="H138" s="412" t="b">
        <f>Wh_hp&gt;='2022'!Maxi_hp</f>
        <v>0</v>
      </c>
      <c r="I138" s="379">
        <f>IF(H138,Wh_hp,'2022'!Maxi_hp)</f>
        <v>54.000058250195806</v>
      </c>
      <c r="J138" s="85">
        <f>IF(H138,An,'2022'!An_max)</f>
        <v>2021</v>
      </c>
      <c r="K138" s="197">
        <f t="shared" si="27"/>
        <v>45050</v>
      </c>
      <c r="L138" s="147">
        <f>IF(t&lt;Tvie,1-EXP((T0-t)*PertePVj)+'2022'!Pspv,1-EXP((T0-t)*PertePVj)+Pspv)</f>
        <v>2.9622215930724116E-2</v>
      </c>
      <c r="M138" s="832"/>
      <c r="N138" s="832"/>
      <c r="O138" s="48">
        <f>IF(t&lt;Tnet,'2022'!Resal+('2022'!Salim-'2022'!Resal)*(1-EXP(('2022'!Tnet-t)/('2022'!Tau_j))),Resal+(Salim-Resal)*(1-EXP((Tnet-t)/(Tau_j))))*Salcycl</f>
        <v>8.529618611551569E-3</v>
      </c>
      <c r="P138" s="338">
        <f>(INDEX(Models!$BJ138:$BT138,,T138)*(1-R138)+INDEX(Models!$BJ138:$BT138,,T138+1)*R138-ERP_i)*Q138*Ramure*Pc/MaxiM</f>
        <v>1.8336728186715473E-4</v>
      </c>
      <c r="Q138" s="304">
        <f t="shared" si="28"/>
        <v>0.6</v>
      </c>
      <c r="R138" s="177">
        <f t="shared" si="29"/>
        <v>0.58826104310733029</v>
      </c>
      <c r="S138" s="799">
        <f t="shared" si="30"/>
        <v>0</v>
      </c>
      <c r="T138" s="176">
        <f t="shared" si="31"/>
        <v>6</v>
      </c>
      <c r="U138" s="250">
        <f t="shared" si="32"/>
        <v>0.58826104310733029</v>
      </c>
      <c r="V138" s="382">
        <f t="shared" si="33"/>
        <v>60.61557439203974</v>
      </c>
      <c r="W138" s="400">
        <f t="shared" si="34"/>
        <v>22.14607707843307</v>
      </c>
      <c r="X138" s="157">
        <f t="shared" si="35"/>
        <v>45050</v>
      </c>
      <c r="Y138" s="383">
        <f t="shared" si="36"/>
        <v>21.510249413736009</v>
      </c>
      <c r="Z138" s="383">
        <f t="shared" si="37"/>
        <v>22.166881565994693</v>
      </c>
      <c r="AA138" s="384">
        <f t="shared" si="38"/>
        <v>23.018457473085661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3.6995350713082027E-2</v>
      </c>
      <c r="AD138" s="230">
        <f>(INDEX(Models!$BJ138:$BT138,,AH138)*(1-AF138)+INDEX(Models!$BJ138:$BT138,,AH138+1)*AF138-ERP_i)*AE138*Ramure*Pc/MaxiM</f>
        <v>1.8336728186715473E-4</v>
      </c>
      <c r="AE138" s="304">
        <f t="shared" si="40"/>
        <v>0.6</v>
      </c>
      <c r="AF138" s="177">
        <f t="shared" si="41"/>
        <v>0.58826104310733029</v>
      </c>
      <c r="AG138" s="799">
        <f t="shared" si="49"/>
        <v>0</v>
      </c>
      <c r="AH138" s="176">
        <f t="shared" si="42"/>
        <v>6</v>
      </c>
      <c r="AI138" s="224">
        <f t="shared" si="43"/>
        <v>0.58826104310733029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09">
        <f>'2022'!Wh/'2022'!Env_an*'2023'!Env_an</f>
        <v>45.42859707937334</v>
      </c>
      <c r="C139" s="829"/>
      <c r="D139" s="391">
        <f t="shared" si="25"/>
        <v>46.816269364957883</v>
      </c>
      <c r="E139" s="383">
        <f t="shared" si="47"/>
        <v>47.224295918581284</v>
      </c>
      <c r="F139" s="383">
        <f t="shared" si="26"/>
        <v>47.229779446226438</v>
      </c>
      <c r="G139" s="110">
        <f t="shared" si="48"/>
        <v>0.74833853487625801</v>
      </c>
      <c r="H139" s="412" t="b">
        <f>Wh_hp&gt;='2022'!Maxi_hp</f>
        <v>0</v>
      </c>
      <c r="I139" s="379">
        <f>IF(H139,Wh_hp,'2022'!Maxi_hp)</f>
        <v>59.96671405061354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2.9640812999576993E-2</v>
      </c>
      <c r="M139" s="832"/>
      <c r="N139" s="832"/>
      <c r="O139" s="48">
        <f>IF(t&lt;Tnet,'2022'!Resal+('2022'!Salim-'2022'!Resal)*(1-EXP(('2022'!Tnet-t)/('2022'!Tau_j))),Resal+(Salim-Resal)*(1-EXP((Tnet-t)/(Tau_j))))*Salcycl</f>
        <v>8.6401828907491391E-3</v>
      </c>
      <c r="P139" s="338">
        <f>(INDEX(Models!$BJ139:$BT139,,T139)*(1-R139)+INDEX(Models!$BJ139:$BT139,,T139+1)*R139-ERP_i)*Q139*Ramure*Pc/MaxiM</f>
        <v>1.8125452501885345E-4</v>
      </c>
      <c r="Q139" s="304">
        <f t="shared" si="28"/>
        <v>0.6</v>
      </c>
      <c r="R139" s="177">
        <f t="shared" si="29"/>
        <v>0.59133100117390669</v>
      </c>
      <c r="S139" s="799">
        <f t="shared" si="30"/>
        <v>0</v>
      </c>
      <c r="T139" s="176">
        <f t="shared" si="31"/>
        <v>6</v>
      </c>
      <c r="U139" s="250">
        <f t="shared" si="32"/>
        <v>0.59133100117390669</v>
      </c>
      <c r="V139" s="382">
        <f t="shared" si="33"/>
        <v>60.701988317448688</v>
      </c>
      <c r="W139" s="400">
        <f t="shared" si="34"/>
        <v>45.42859707937334</v>
      </c>
      <c r="X139" s="157">
        <f t="shared" si="35"/>
        <v>45051</v>
      </c>
      <c r="Y139" s="383">
        <f t="shared" si="36"/>
        <v>44.124772280631355</v>
      </c>
      <c r="Z139" s="383">
        <f t="shared" si="37"/>
        <v>45.472617636599054</v>
      </c>
      <c r="AA139" s="384">
        <f t="shared" si="38"/>
        <v>47.224295918581284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3.7092734744045154E-2</v>
      </c>
      <c r="AD139" s="230">
        <f>(INDEX(Models!$BJ139:$BT139,,AH139)*(1-AF139)+INDEX(Models!$BJ139:$BT139,,AH139+1)*AF139-ERP_i)*AE139*Ramure*Pc/MaxiM</f>
        <v>1.8125452501885345E-4</v>
      </c>
      <c r="AE139" s="304">
        <f t="shared" si="40"/>
        <v>0.6</v>
      </c>
      <c r="AF139" s="177">
        <f t="shared" si="41"/>
        <v>0.59133100117390669</v>
      </c>
      <c r="AG139" s="799">
        <f t="shared" si="49"/>
        <v>0</v>
      </c>
      <c r="AH139" s="176">
        <f t="shared" si="42"/>
        <v>6</v>
      </c>
      <c r="AI139" s="224">
        <f t="shared" si="43"/>
        <v>0.59133100117390669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09">
        <f>'2022'!Wh/'2022'!Env_an*'2023'!Env_an</f>
        <v>39.865083725502949</v>
      </c>
      <c r="C140" s="829"/>
      <c r="D140" s="391">
        <f t="shared" si="25"/>
        <v>41.083599021320701</v>
      </c>
      <c r="E140" s="383">
        <f t="shared" si="47"/>
        <v>41.44628991326536</v>
      </c>
      <c r="F140" s="383">
        <f t="shared" si="26"/>
        <v>41.450068956975137</v>
      </c>
      <c r="G140" s="110">
        <f t="shared" si="48"/>
        <v>0.6558110254602848</v>
      </c>
      <c r="H140" s="412" t="b">
        <f>Wh_hp&gt;='2022'!Maxi_hp</f>
        <v>0</v>
      </c>
      <c r="I140" s="379">
        <f>IF(H140,Wh_hp,'2022'!Maxi_hp)</f>
        <v>63.959766591204975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2.9659409712021412E-2</v>
      </c>
      <c r="M140" s="832"/>
      <c r="N140" s="832"/>
      <c r="O140" s="48">
        <f>IF(t&lt;Tnet,'2022'!Resal+('2022'!Salim-'2022'!Resal)*(1-EXP(('2022'!Tnet-t)/('2022'!Tau_j))),Resal+(Salim-Resal)*(1-EXP((Tnet-t)/(Tau_j))))*Salcycl</f>
        <v>8.7508651004386401E-3</v>
      </c>
      <c r="P140" s="338">
        <f>(INDEX(Models!$BJ140:$BT140,,T140)*(1-R140)+INDEX(Models!$BJ140:$BT140,,T140+1)*R140-ERP_i)*Q140*Ramure*Pc/MaxiM</f>
        <v>1.7933485962823916E-4</v>
      </c>
      <c r="Q140" s="304">
        <f t="shared" si="28"/>
        <v>0.6</v>
      </c>
      <c r="R140" s="177">
        <f t="shared" si="29"/>
        <v>0.59448134053524804</v>
      </c>
      <c r="S140" s="799">
        <f t="shared" si="30"/>
        <v>0</v>
      </c>
      <c r="T140" s="176">
        <f t="shared" si="31"/>
        <v>6</v>
      </c>
      <c r="U140" s="250">
        <f t="shared" si="32"/>
        <v>0.59448134053524804</v>
      </c>
      <c r="V140" s="382">
        <f t="shared" si="33"/>
        <v>60.782096057182066</v>
      </c>
      <c r="W140" s="400">
        <f t="shared" si="34"/>
        <v>39.865083725502949</v>
      </c>
      <c r="X140" s="157">
        <f t="shared" si="35"/>
        <v>45052</v>
      </c>
      <c r="Y140" s="383">
        <f t="shared" si="36"/>
        <v>38.721323119783122</v>
      </c>
      <c r="Z140" s="383">
        <f t="shared" si="37"/>
        <v>39.904878253409322</v>
      </c>
      <c r="AA140" s="384">
        <f t="shared" si="38"/>
        <v>41.44628991326536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3.7190582391855805E-2</v>
      </c>
      <c r="AD140" s="230">
        <f>(INDEX(Models!$BJ140:$BT140,,AH140)*(1-AF140)+INDEX(Models!$BJ140:$BT140,,AH140+1)*AF140-ERP_i)*AE140*Ramure*Pc/MaxiM</f>
        <v>1.7933485962823916E-4</v>
      </c>
      <c r="AE140" s="304">
        <f t="shared" si="40"/>
        <v>0.6</v>
      </c>
      <c r="AF140" s="177">
        <f t="shared" si="41"/>
        <v>0.59448134053524804</v>
      </c>
      <c r="AG140" s="799">
        <f t="shared" si="49"/>
        <v>0</v>
      </c>
      <c r="AH140" s="176">
        <f t="shared" si="42"/>
        <v>6</v>
      </c>
      <c r="AI140" s="224">
        <f t="shared" si="43"/>
        <v>0.59448134053524804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09">
        <f>'2022'!Wh/'2022'!Env_an*'2023'!Env_an</f>
        <v>54.538328029381766</v>
      </c>
      <c r="C141" s="829"/>
      <c r="D141" s="391">
        <f t="shared" si="25"/>
        <v>56.206422579768294</v>
      </c>
      <c r="E141" s="383">
        <f t="shared" si="47"/>
        <v>56.708958431390862</v>
      </c>
      <c r="F141" s="383">
        <f t="shared" si="26"/>
        <v>56.717537938649023</v>
      </c>
      <c r="G141" s="110">
        <f t="shared" si="48"/>
        <v>0.8961581860185508</v>
      </c>
      <c r="H141" s="412" t="b">
        <f>Wh_hp&gt;='2022'!Maxi_hp</f>
        <v>0</v>
      </c>
      <c r="I141" s="379">
        <f>IF(H141,Wh_hp,'2022'!Maxi_hp)</f>
        <v>60.392486037860046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2.9678006068063922E-2</v>
      </c>
      <c r="M141" s="832"/>
      <c r="N141" s="832"/>
      <c r="O141" s="48">
        <f>IF(t&lt;Tnet,'2022'!Resal+('2022'!Salim-'2022'!Resal)*(1-EXP(('2022'!Tnet-t)/('2022'!Tau_j))),Resal+(Salim-Resal)*(1-EXP((Tnet-t)/(Tau_j))))*Salcycl</f>
        <v>8.8616660492990603E-3</v>
      </c>
      <c r="P141" s="338">
        <f>(INDEX(Models!$BJ141:$BT141,,T141)*(1-R141)+INDEX(Models!$BJ141:$BT141,,T141+1)*R141-ERP_i)*Q141*Ramure*Pc/MaxiM</f>
        <v>1.7760872823571546E-4</v>
      </c>
      <c r="Q141" s="304">
        <f t="shared" si="28"/>
        <v>0.6</v>
      </c>
      <c r="R141" s="177">
        <f t="shared" si="29"/>
        <v>0.59771249494040035</v>
      </c>
      <c r="S141" s="799">
        <f t="shared" si="30"/>
        <v>0</v>
      </c>
      <c r="T141" s="176">
        <f t="shared" si="31"/>
        <v>6</v>
      </c>
      <c r="U141" s="250">
        <f t="shared" si="32"/>
        <v>0.59771249494040035</v>
      </c>
      <c r="V141" s="382">
        <f t="shared" si="33"/>
        <v>60.856322068952721</v>
      </c>
      <c r="W141" s="400">
        <f t="shared" si="34"/>
        <v>54.538328029381766</v>
      </c>
      <c r="X141" s="157">
        <f t="shared" si="35"/>
        <v>45053</v>
      </c>
      <c r="Y141" s="383">
        <f t="shared" si="36"/>
        <v>52.974093378755498</v>
      </c>
      <c r="Z141" s="383">
        <f t="shared" si="37"/>
        <v>54.59434467118902</v>
      </c>
      <c r="AA141" s="384">
        <f t="shared" si="38"/>
        <v>56.708958431390862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3.7288883779450818E-2</v>
      </c>
      <c r="AD141" s="230">
        <f>(INDEX(Models!$BJ141:$BT141,,AH141)*(1-AF141)+INDEX(Models!$BJ141:$BT141,,AH141+1)*AF141-ERP_i)*AE141*Ramure*Pc/MaxiM</f>
        <v>1.7760872823571546E-4</v>
      </c>
      <c r="AE141" s="304">
        <f t="shared" si="40"/>
        <v>0.6</v>
      </c>
      <c r="AF141" s="177">
        <f t="shared" si="41"/>
        <v>0.59771249494040035</v>
      </c>
      <c r="AG141" s="799">
        <f t="shared" si="49"/>
        <v>0</v>
      </c>
      <c r="AH141" s="176">
        <f t="shared" si="42"/>
        <v>6</v>
      </c>
      <c r="AI141" s="224">
        <f t="shared" si="43"/>
        <v>0.59771249494040035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09">
        <f>'2022'!Wh/'2022'!Env_an*'2023'!Env_an</f>
        <v>50.290169188173657</v>
      </c>
      <c r="C142" s="829"/>
      <c r="D142" s="391">
        <f t="shared" si="25"/>
        <v>51.829323998392411</v>
      </c>
      <c r="E142" s="383">
        <f t="shared" si="47"/>
        <v>52.298577487938729</v>
      </c>
      <c r="F142" s="383">
        <f t="shared" si="26"/>
        <v>52.305489956410064</v>
      </c>
      <c r="G142" s="110">
        <f t="shared" si="48"/>
        <v>0.82540640635034201</v>
      </c>
      <c r="H142" s="412" t="b">
        <f>Wh_hp&gt;='2022'!Maxi_hp</f>
        <v>0</v>
      </c>
      <c r="I142" s="379">
        <f>IF(H142,Wh_hp,'2022'!Maxi_hp)</f>
        <v>59.443974291396984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2.969660206771163E-2</v>
      </c>
      <c r="M142" s="832"/>
      <c r="N142" s="832"/>
      <c r="O142" s="48">
        <f>IF(t&lt;Tnet,'2022'!Resal+('2022'!Salim-'2022'!Resal)*(1-EXP(('2022'!Tnet-t)/('2022'!Tau_j))),Resal+(Salim-Resal)*(1-EXP((Tnet-t)/(Tau_j))))*Salcycl</f>
        <v>8.9725861024525094E-3</v>
      </c>
      <c r="P142" s="338">
        <f>(INDEX(Models!$BJ142:$BT142,,T142)*(1-R142)+INDEX(Models!$BJ142:$BT142,,T142+1)*R142-ERP_i)*Q142*Ramure*Pc/MaxiM</f>
        <v>1.7605915239806159E-4</v>
      </c>
      <c r="Q142" s="304">
        <f t="shared" si="28"/>
        <v>0.6</v>
      </c>
      <c r="R142" s="177">
        <f t="shared" si="29"/>
        <v>0.60102478073853327</v>
      </c>
      <c r="S142" s="799">
        <f t="shared" si="30"/>
        <v>0</v>
      </c>
      <c r="T142" s="176">
        <f t="shared" si="31"/>
        <v>6</v>
      </c>
      <c r="U142" s="250">
        <f t="shared" si="32"/>
        <v>0.60102478073853327</v>
      </c>
      <c r="V142" s="382">
        <f t="shared" si="33"/>
        <v>60.925091684825155</v>
      </c>
      <c r="W142" s="400">
        <f t="shared" si="34"/>
        <v>50.290169188173657</v>
      </c>
      <c r="X142" s="157">
        <f t="shared" si="35"/>
        <v>45054</v>
      </c>
      <c r="Y142" s="383">
        <f t="shared" si="36"/>
        <v>48.848234051521786</v>
      </c>
      <c r="Z142" s="383">
        <f t="shared" si="37"/>
        <v>50.343257743523445</v>
      </c>
      <c r="AA142" s="384">
        <f t="shared" si="38"/>
        <v>52.298577487938729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3.7387627701082816E-2</v>
      </c>
      <c r="AD142" s="230">
        <f>(INDEX(Models!$BJ142:$BT142,,AH142)*(1-AF142)+INDEX(Models!$BJ142:$BT142,,AH142+1)*AF142-ERP_i)*AE142*Ramure*Pc/MaxiM</f>
        <v>1.7605915239806159E-4</v>
      </c>
      <c r="AE142" s="304">
        <f t="shared" si="40"/>
        <v>0.6</v>
      </c>
      <c r="AF142" s="177">
        <f t="shared" si="41"/>
        <v>0.60102478073853327</v>
      </c>
      <c r="AG142" s="799">
        <f t="shared" si="49"/>
        <v>0</v>
      </c>
      <c r="AH142" s="176">
        <f t="shared" si="42"/>
        <v>6</v>
      </c>
      <c r="AI142" s="224">
        <f t="shared" si="43"/>
        <v>0.60102478073853327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09">
        <f>'2022'!Wh/'2022'!Env_an*'2023'!Env_an</f>
        <v>57.748134465117857</v>
      </c>
      <c r="C143" s="829"/>
      <c r="D143" s="391">
        <f t="shared" ref="D143:D206" si="50">Wh/(1-Ppv)</f>
        <v>59.516684512508547</v>
      </c>
      <c r="E143" s="383">
        <f t="shared" si="47"/>
        <v>60.0622676381427</v>
      </c>
      <c r="F143" s="383">
        <f t="shared" ref="F143:F206" si="51">Wh_sa/(1-Pvg*MEDIAN((-Sdif+Wh/Env_an)/Csdif,0,1))</f>
        <v>60.071959500753096</v>
      </c>
      <c r="G143" s="110">
        <f t="shared" si="48"/>
        <v>0.94685148739851166</v>
      </c>
      <c r="H143" s="412" t="b">
        <f>Wh_hp&gt;='2022'!Maxi_hp</f>
        <v>0</v>
      </c>
      <c r="I143" s="379">
        <f>IF(H143,Wh_hp,'2022'!Maxi_hp)</f>
        <v>60.07223224205881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2.9715197710971197E-2</v>
      </c>
      <c r="M143" s="832"/>
      <c r="N143" s="832"/>
      <c r="O143" s="48">
        <f>IF(t&lt;Tnet,'2022'!Resal+('2022'!Salim-'2022'!Resal)*(1-EXP(('2022'!Tnet-t)/('2022'!Tau_j))),Resal+(Salim-Resal)*(1-EXP((Tnet-t)/(Tau_j))))*Salcycl</f>
        <v>9.083625162491794E-3</v>
      </c>
      <c r="P143" s="338">
        <f>(INDEX(Models!$BJ143:$BT143,,T143)*(1-R143)+INDEX(Models!$BJ143:$BT143,,T143+1)*R143-ERP_i)*Q143*Ramure*Pc/MaxiM</f>
        <v>1.7459044944538243E-4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0.60441838995587871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0.60441838995587871</v>
      </c>
      <c r="V143" s="382">
        <f t="shared" ref="V143:V206" si="58">MaxiM*(1-Ppv)*(1-Pvg)*(1-Psa)</f>
        <v>60.98883486988116</v>
      </c>
      <c r="W143" s="400">
        <f t="shared" ref="W143:W206" si="59">Wh*(A143&gt;Tmaj)</f>
        <v>57.748134465117857</v>
      </c>
      <c r="X143" s="157">
        <f t="shared" ref="X143:X206" si="60">t</f>
        <v>45055</v>
      </c>
      <c r="Y143" s="383">
        <f t="shared" ref="Y143:Y206" si="61">Wh_pvt_s*(1-Ppv)</f>
        <v>56.092868194547727</v>
      </c>
      <c r="Z143" s="383">
        <f t="shared" ref="Z143:Z206" si="62">Wh_sa_s*(1-Psa_s)</f>
        <v>57.810725327468091</v>
      </c>
      <c r="AA143" s="384">
        <f t="shared" ref="AA143:AA206" si="63">Wh_hp*(1-Pvg_s*MEDIAN((-Sdif+Wh/Env_an)/Csdif,0,1))</f>
        <v>60.0622676381427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3.7486801601289484E-2</v>
      </c>
      <c r="AD143" s="230">
        <f>(INDEX(Models!$BJ143:$BT143,,AH143)*(1-AF143)+INDEX(Models!$BJ143:$BT143,,AH143+1)*AF143-ERP_i)*AE143*Ramure*Pc/MaxiM</f>
        <v>1.7459044944538243E-4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0.60441838995587871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0.60441838995587871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09">
        <f>'2022'!Wh/'2022'!Env_an*'2023'!Env_an</f>
        <v>53.94274657925039</v>
      </c>
      <c r="C144" s="829"/>
      <c r="D144" s="391">
        <f t="shared" si="50"/>
        <v>55.595821218919191</v>
      </c>
      <c r="E144" s="383">
        <f t="shared" ref="E144:E169" si="72">Wh_pvt/(1-Psa)</f>
        <v>56.111756625286446</v>
      </c>
      <c r="F144" s="383">
        <f t="shared" si="51"/>
        <v>56.119860498916147</v>
      </c>
      <c r="G144" s="110">
        <f t="shared" ref="G144:G169" si="73">+Wh_hp/MaxiM</f>
        <v>0.88358692167043984</v>
      </c>
      <c r="H144" s="412" t="b">
        <f>Wh_hp&gt;='2022'!Maxi_hp</f>
        <v>0</v>
      </c>
      <c r="I144" s="379">
        <f>IF(H144,Wh_hp,'2022'!Maxi_hp)</f>
        <v>56.120412695618967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2.9733792997849617E-2</v>
      </c>
      <c r="M144" s="832"/>
      <c r="N144" s="832"/>
      <c r="O144" s="48">
        <f>IF(t&lt;Tnet,'2022'!Resal+('2022'!Salim-'2022'!Resal)*(1-EXP(('2022'!Tnet-t)/('2022'!Tau_j))),Resal+(Salim-Resal)*(1-EXP((Tnet-t)/(Tau_j))))*Salcycl</f>
        <v>9.1947826515691618E-3</v>
      </c>
      <c r="P144" s="338">
        <f>(INDEX(Models!$BJ144:$BT144,,T144)*(1-R144)+INDEX(Models!$BJ144:$BT144,,T144+1)*R144-ERP_i)*Q144*Ramure*Pc/MaxiM</f>
        <v>1.7320069398987735E-4</v>
      </c>
      <c r="Q144" s="304">
        <f t="shared" si="53"/>
        <v>0.6</v>
      </c>
      <c r="R144" s="177">
        <f t="shared" si="54"/>
        <v>0.60789338350259692</v>
      </c>
      <c r="S144" s="799">
        <f t="shared" si="55"/>
        <v>0</v>
      </c>
      <c r="T144" s="176">
        <f t="shared" si="56"/>
        <v>6</v>
      </c>
      <c r="U144" s="250">
        <f t="shared" si="57"/>
        <v>0.60789338350259692</v>
      </c>
      <c r="V144" s="382">
        <f t="shared" si="58"/>
        <v>61.047975703088376</v>
      </c>
      <c r="W144" s="400">
        <f t="shared" si="59"/>
        <v>53.94274657925039</v>
      </c>
      <c r="X144" s="157">
        <f t="shared" si="60"/>
        <v>45056</v>
      </c>
      <c r="Y144" s="383">
        <f t="shared" si="61"/>
        <v>52.397012526351574</v>
      </c>
      <c r="Z144" s="383">
        <f t="shared" si="62"/>
        <v>54.002718169731587</v>
      </c>
      <c r="AA144" s="384">
        <f t="shared" si="63"/>
        <v>56.111756625286446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3.7586391558528255E-2</v>
      </c>
      <c r="AD144" s="230">
        <f>(INDEX(Models!$BJ144:$BT144,,AH144)*(1-AF144)+INDEX(Models!$BJ144:$BT144,,AH144+1)*AF144-ERP_i)*AE144*Ramure*Pc/MaxiM</f>
        <v>1.7320069398987735E-4</v>
      </c>
      <c r="AE144" s="304">
        <f t="shared" si="65"/>
        <v>0.6</v>
      </c>
      <c r="AF144" s="177">
        <f t="shared" si="66"/>
        <v>0.60789338350259692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0.60789338350259692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09">
        <f>'2022'!Wh/'2022'!Env_an*'2023'!Env_an</f>
        <v>58.167365322307106</v>
      </c>
      <c r="C145" s="829"/>
      <c r="D145" s="391">
        <f t="shared" si="50"/>
        <v>59.951052286652597</v>
      </c>
      <c r="E145" s="383">
        <f t="shared" si="72"/>
        <v>60.514200919658897</v>
      </c>
      <c r="F145" s="383">
        <f t="shared" si="51"/>
        <v>60.52389024671777</v>
      </c>
      <c r="G145" s="110">
        <f t="shared" si="73"/>
        <v>0.95194569753035607</v>
      </c>
      <c r="H145" s="412" t="b">
        <f>Wh_hp&gt;='2022'!Maxi_hp</f>
        <v>0</v>
      </c>
      <c r="I145" s="379">
        <f>IF(H145,Wh_hp,'2022'!Maxi_hp)</f>
        <v>60.524133563423938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2.9752387928353441E-2</v>
      </c>
      <c r="M145" s="832"/>
      <c r="N145" s="832"/>
      <c r="O145" s="48">
        <f>IF(t&lt;Tnet,'2022'!Resal+('2022'!Salim-'2022'!Resal)*(1-EXP(('2022'!Tnet-t)/('2022'!Tau_j))),Resal+(Salim-Resal)*(1-EXP((Tnet-t)/(Tau_j))))*Salcycl</f>
        <v>9.306057494735169E-3</v>
      </c>
      <c r="P145" s="338">
        <f>(INDEX(Models!$BJ145:$BT145,,T145)*(1-R145)+INDEX(Models!$BJ145:$BT145,,T145+1)*R145-ERP_i)*Q145*Ramure*Pc/MaxiM</f>
        <v>1.7188814100778458E-4</v>
      </c>
      <c r="Q145" s="304">
        <f t="shared" si="53"/>
        <v>0.6</v>
      </c>
      <c r="R145" s="177">
        <f t="shared" si="54"/>
        <v>0.61144968456096116</v>
      </c>
      <c r="S145" s="799">
        <f t="shared" si="55"/>
        <v>0</v>
      </c>
      <c r="T145" s="176">
        <f t="shared" si="56"/>
        <v>6</v>
      </c>
      <c r="U145" s="250">
        <f t="shared" si="57"/>
        <v>0.61144968456096116</v>
      </c>
      <c r="V145" s="382">
        <f t="shared" si="58"/>
        <v>61.102938068620219</v>
      </c>
      <c r="W145" s="400">
        <f t="shared" si="59"/>
        <v>58.167365322307106</v>
      </c>
      <c r="X145" s="157">
        <f t="shared" si="60"/>
        <v>45057</v>
      </c>
      <c r="Y145" s="383">
        <f t="shared" si="61"/>
        <v>56.501049774618778</v>
      </c>
      <c r="Z145" s="383">
        <f t="shared" si="62"/>
        <v>58.233639610799202</v>
      </c>
      <c r="AA145" s="384">
        <f t="shared" si="63"/>
        <v>60.514200919658897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3.7686382273930397E-2</v>
      </c>
      <c r="AD145" s="230">
        <f>(INDEX(Models!$BJ145:$BT145,,AH145)*(1-AF145)+INDEX(Models!$BJ145:$BT145,,AH145+1)*AF145-ERP_i)*AE145*Ramure*Pc/MaxiM</f>
        <v>1.7188814100778458E-4</v>
      </c>
      <c r="AE145" s="304">
        <f t="shared" si="65"/>
        <v>0.6</v>
      </c>
      <c r="AF145" s="177">
        <f t="shared" si="66"/>
        <v>0.61144968456096116</v>
      </c>
      <c r="AG145" s="799">
        <f t="shared" si="74"/>
        <v>0</v>
      </c>
      <c r="AH145" s="176">
        <f t="shared" si="67"/>
        <v>6</v>
      </c>
      <c r="AI145" s="224">
        <f t="shared" si="68"/>
        <v>0.61144968456096116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09">
        <f>'2022'!Wh/'2022'!Env_an*'2023'!Env_an</f>
        <v>43.366912880683941</v>
      </c>
      <c r="C146" s="829"/>
      <c r="D146" s="391">
        <f t="shared" si="50"/>
        <v>44.697604481609133</v>
      </c>
      <c r="E146" s="383">
        <f t="shared" si="72"/>
        <v>45.122543695211675</v>
      </c>
      <c r="F146" s="383">
        <f t="shared" si="51"/>
        <v>45.127044822258469</v>
      </c>
      <c r="G146" s="110">
        <f t="shared" si="73"/>
        <v>0.70909072565153664</v>
      </c>
      <c r="H146" s="412" t="b">
        <f>Wh_hp&gt;='2022'!Maxi_hp</f>
        <v>0</v>
      </c>
      <c r="I146" s="379">
        <f>IF(H146,Wh_hp,'2022'!Maxi_hp)</f>
        <v>56.127004376201441</v>
      </c>
      <c r="J146" s="85">
        <f>IF(H146,An,'2022'!An_max)</f>
        <v>2018</v>
      </c>
      <c r="K146" s="197">
        <f t="shared" si="52"/>
        <v>45058</v>
      </c>
      <c r="L146" s="147">
        <f>IF(t&lt;Tvie,1-EXP((T0-t)*PertePVj)+'2022'!Pspv,1-EXP((T0-t)*PertePVj)+Pspv)</f>
        <v>2.9770982502489773E-2</v>
      </c>
      <c r="M146" s="832"/>
      <c r="N146" s="832"/>
      <c r="O146" s="48">
        <f>IF(t&lt;Tnet,'2022'!Resal+('2022'!Salim-'2022'!Resal)*(1-EXP(('2022'!Tnet-t)/('2022'!Tau_j))),Resal+(Salim-Resal)*(1-EXP((Tnet-t)/(Tau_j))))*Salcycl</f>
        <v>9.4174481047183747E-3</v>
      </c>
      <c r="P146" s="338">
        <f>(INDEX(Models!$BJ146:$BT146,,T146)*(1-R146)+INDEX(Models!$BJ146:$BT146,,T146+1)*R146-ERP_i)*Q146*Ramure*Pc/MaxiM</f>
        <v>1.7065122081436765E-4</v>
      </c>
      <c r="Q146" s="304">
        <f t="shared" si="53"/>
        <v>0.6</v>
      </c>
      <c r="R146" s="177">
        <f t="shared" si="54"/>
        <v>0.61508707220879</v>
      </c>
      <c r="S146" s="799">
        <f t="shared" si="55"/>
        <v>0</v>
      </c>
      <c r="T146" s="176">
        <f t="shared" si="56"/>
        <v>6</v>
      </c>
      <c r="U146" s="250">
        <f t="shared" si="57"/>
        <v>0.61508707220879</v>
      </c>
      <c r="V146" s="382">
        <f t="shared" si="58"/>
        <v>61.154145660112832</v>
      </c>
      <c r="W146" s="400">
        <f t="shared" si="59"/>
        <v>43.366912880683941</v>
      </c>
      <c r="X146" s="157">
        <f t="shared" si="60"/>
        <v>45058</v>
      </c>
      <c r="Y146" s="383">
        <f t="shared" si="61"/>
        <v>42.124927194747656</v>
      </c>
      <c r="Z146" s="383">
        <f t="shared" si="62"/>
        <v>43.417509098418357</v>
      </c>
      <c r="AA146" s="384">
        <f t="shared" si="63"/>
        <v>45.122543695211675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3.7786757065609688E-2</v>
      </c>
      <c r="AD146" s="230">
        <f>(INDEX(Models!$BJ146:$BT146,,AH146)*(1-AF146)+INDEX(Models!$BJ146:$BT146,,AH146+1)*AF146-ERP_i)*AE146*Ramure*Pc/MaxiM</f>
        <v>1.7065122081436765E-4</v>
      </c>
      <c r="AE146" s="304">
        <f t="shared" si="65"/>
        <v>0.6</v>
      </c>
      <c r="AF146" s="177">
        <f t="shared" si="66"/>
        <v>0.61508707220879</v>
      </c>
      <c r="AG146" s="799">
        <f t="shared" si="74"/>
        <v>0</v>
      </c>
      <c r="AH146" s="176">
        <f t="shared" si="67"/>
        <v>6</v>
      </c>
      <c r="AI146" s="224">
        <f t="shared" si="68"/>
        <v>0.61508707220879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09">
        <f>'2022'!Wh/'2022'!Env_an*'2023'!Env_an</f>
        <v>45.423502957846779</v>
      </c>
      <c r="C147" s="829"/>
      <c r="D147" s="391">
        <f t="shared" si="50"/>
        <v>46.818197236322725</v>
      </c>
      <c r="E147" s="383">
        <f t="shared" si="72"/>
        <v>47.268617642353838</v>
      </c>
      <c r="F147" s="383">
        <f t="shared" si="51"/>
        <v>47.27367903686693</v>
      </c>
      <c r="G147" s="110">
        <f t="shared" si="73"/>
        <v>0.74214324508280338</v>
      </c>
      <c r="H147" s="412" t="b">
        <f>Wh_hp&gt;='2022'!Maxi_hp</f>
        <v>0</v>
      </c>
      <c r="I147" s="379">
        <f>IF(H147,Wh_hp,'2022'!Maxi_hp)</f>
        <v>64.735176440204555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2.9789576720265276E-2</v>
      </c>
      <c r="M147" s="832"/>
      <c r="N147" s="832"/>
      <c r="O147" s="48">
        <f>IF(t&lt;Tnet,'2022'!Resal+('2022'!Salim-'2022'!Resal)*(1-EXP(('2022'!Tnet-t)/('2022'!Tau_j))),Resal+(Salim-Resal)*(1-EXP((Tnet-t)/(Tau_j))))*Salcycl</f>
        <v>9.528952368336896E-3</v>
      </c>
      <c r="P147" s="338">
        <f>(INDEX(Models!$BJ147:$BT147,,T147)*(1-R147)+INDEX(Models!$BJ147:$BT147,,T147+1)*R147-ERP_i)*Q147*Ramure*Pc/MaxiM</f>
        <v>1.6948853419544393E-4</v>
      </c>
      <c r="Q147" s="304">
        <f t="shared" si="53"/>
        <v>0.6</v>
      </c>
      <c r="R147" s="177">
        <f t="shared" si="54"/>
        <v>0.61880517533424206</v>
      </c>
      <c r="S147" s="799">
        <f t="shared" si="55"/>
        <v>0</v>
      </c>
      <c r="T147" s="176">
        <f t="shared" si="56"/>
        <v>6</v>
      </c>
      <c r="U147" s="250">
        <f t="shared" si="57"/>
        <v>0.61880517533424206</v>
      </c>
      <c r="V147" s="382">
        <f t="shared" si="58"/>
        <v>61.202021976435056</v>
      </c>
      <c r="W147" s="400">
        <f t="shared" si="59"/>
        <v>45.423502957846779</v>
      </c>
      <c r="X147" s="157">
        <f t="shared" si="60"/>
        <v>45059</v>
      </c>
      <c r="Y147" s="383">
        <f t="shared" si="61"/>
        <v>44.12296572507578</v>
      </c>
      <c r="Z147" s="383">
        <f t="shared" si="62"/>
        <v>45.477727992161633</v>
      </c>
      <c r="AA147" s="384">
        <f t="shared" si="63"/>
        <v>47.268617642353838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3.7887497868935548E-2</v>
      </c>
      <c r="AD147" s="230">
        <f>(INDEX(Models!$BJ147:$BT147,,AH147)*(1-AF147)+INDEX(Models!$BJ147:$BT147,,AH147+1)*AF147-ERP_i)*AE147*Ramure*Pc/MaxiM</f>
        <v>1.6948853419544393E-4</v>
      </c>
      <c r="AE147" s="304">
        <f t="shared" si="65"/>
        <v>0.6</v>
      </c>
      <c r="AF147" s="177">
        <f t="shared" si="66"/>
        <v>0.61880517533424206</v>
      </c>
      <c r="AG147" s="799">
        <f t="shared" si="74"/>
        <v>0</v>
      </c>
      <c r="AH147" s="176">
        <f t="shared" si="67"/>
        <v>6</v>
      </c>
      <c r="AI147" s="224">
        <f t="shared" si="68"/>
        <v>0.61880517533424206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09">
        <f>'2022'!Wh/'2022'!Env_an*'2023'!Env_an</f>
        <v>51.760517364839203</v>
      </c>
      <c r="C148" s="829"/>
      <c r="D148" s="391">
        <f t="shared" si="50"/>
        <v>53.350807330414924</v>
      </c>
      <c r="E148" s="383">
        <f t="shared" si="72"/>
        <v>53.870146117554</v>
      </c>
      <c r="F148" s="383">
        <f t="shared" si="51"/>
        <v>53.877211428633238</v>
      </c>
      <c r="G148" s="110">
        <f t="shared" si="73"/>
        <v>0.84507970368461272</v>
      </c>
      <c r="H148" s="412" t="b">
        <f>Wh_hp&gt;='2022'!Maxi_hp</f>
        <v>0</v>
      </c>
      <c r="I148" s="379">
        <f>IF(H148,Wh_hp,'2022'!Maxi_hp)</f>
        <v>63.17753058579234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2.9808170581686944E-2</v>
      </c>
      <c r="M148" s="832"/>
      <c r="N148" s="832"/>
      <c r="O148" s="48">
        <f>IF(t&lt;Tnet,'2022'!Resal+('2022'!Salim-'2022'!Resal)*(1-EXP(('2022'!Tnet-t)/('2022'!Tau_j))),Resal+(Salim-Resal)*(1-EXP((Tnet-t)/(Tau_j))))*Salcycl</f>
        <v>9.6405676347301565E-3</v>
      </c>
      <c r="P148" s="338">
        <f>(INDEX(Models!$BJ148:$BT148,,T148)*(1-R148)+INDEX(Models!$BJ148:$BT148,,T148+1)*R148-ERP_i)*Q148*Ramure*Pc/MaxiM</f>
        <v>1.6839884757394795E-4</v>
      </c>
      <c r="Q148" s="304">
        <f t="shared" si="53"/>
        <v>0.6</v>
      </c>
      <c r="R148" s="177">
        <f t="shared" si="54"/>
        <v>0.62260346689984436</v>
      </c>
      <c r="S148" s="799">
        <f t="shared" si="55"/>
        <v>0</v>
      </c>
      <c r="T148" s="176">
        <f t="shared" si="56"/>
        <v>6</v>
      </c>
      <c r="U148" s="250">
        <f t="shared" si="57"/>
        <v>0.62260346689984436</v>
      </c>
      <c r="V148" s="382">
        <f t="shared" si="58"/>
        <v>61.246990323293069</v>
      </c>
      <c r="W148" s="400">
        <f t="shared" si="59"/>
        <v>51.760517364839203</v>
      </c>
      <c r="X148" s="157">
        <f t="shared" si="60"/>
        <v>45060</v>
      </c>
      <c r="Y148" s="383">
        <f t="shared" si="61"/>
        <v>50.278925924673899</v>
      </c>
      <c r="Z148" s="383">
        <f t="shared" si="62"/>
        <v>51.823695479706387</v>
      </c>
      <c r="AA148" s="384">
        <f t="shared" si="63"/>
        <v>53.870146117554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3.798858524314945E-2</v>
      </c>
      <c r="AD148" s="230">
        <f>(INDEX(Models!$BJ148:$BT148,,AH148)*(1-AF148)+INDEX(Models!$BJ148:$BT148,,AH148+1)*AF148-ERP_i)*AE148*Ramure*Pc/MaxiM</f>
        <v>1.6839884757394795E-4</v>
      </c>
      <c r="AE148" s="304">
        <f t="shared" si="65"/>
        <v>0.6</v>
      </c>
      <c r="AF148" s="177">
        <f t="shared" si="66"/>
        <v>0.62260346689984436</v>
      </c>
      <c r="AG148" s="799">
        <f t="shared" si="74"/>
        <v>0</v>
      </c>
      <c r="AH148" s="176">
        <f t="shared" si="67"/>
        <v>6</v>
      </c>
      <c r="AI148" s="224">
        <f t="shared" si="68"/>
        <v>0.62260346689984436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09">
        <f>'2022'!Wh/'2022'!Env_an*'2023'!Env_an</f>
        <v>54.469213410752424</v>
      </c>
      <c r="C149" s="829"/>
      <c r="D149" s="391">
        <f t="shared" si="50"/>
        <v>56.143801327893499</v>
      </c>
      <c r="E149" s="383">
        <f t="shared" si="72"/>
        <v>56.696724264980581</v>
      </c>
      <c r="F149" s="383">
        <f t="shared" si="51"/>
        <v>56.704707216917292</v>
      </c>
      <c r="G149" s="110">
        <f t="shared" si="73"/>
        <v>0.88871879652528563</v>
      </c>
      <c r="H149" s="412" t="b">
        <f>Wh_hp&gt;='2022'!Maxi_hp</f>
        <v>0</v>
      </c>
      <c r="I149" s="379">
        <f>IF(H149,Wh_hp,'2022'!Maxi_hp)</f>
        <v>63.749746861981109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2.9826764086761326E-2</v>
      </c>
      <c r="M149" s="832"/>
      <c r="N149" s="832"/>
      <c r="O149" s="48">
        <f>IF(t&lt;Tnet,'2022'!Resal+('2022'!Salim-'2022'!Resal)*(1-EXP(('2022'!Tnet-t)/('2022'!Tau_j))),Resal+(Salim-Resal)*(1-EXP((Tnet-t)/(Tau_j))))*Salcycl</f>
        <v>9.7522907055955441E-3</v>
      </c>
      <c r="P149" s="338">
        <f>(INDEX(Models!$BJ149:$BT149,,T149)*(1-R149)+INDEX(Models!$BJ149:$BT149,,T149+1)*R149-ERP_i)*Q149*Ramure*Pc/MaxiM</f>
        <v>1.6738521547744994E-4</v>
      </c>
      <c r="Q149" s="304">
        <f t="shared" si="53"/>
        <v>0.6</v>
      </c>
      <c r="R149" s="177">
        <f t="shared" si="54"/>
        <v>0.62648125861488402</v>
      </c>
      <c r="S149" s="799">
        <f t="shared" si="55"/>
        <v>0</v>
      </c>
      <c r="T149" s="176">
        <f t="shared" si="56"/>
        <v>6</v>
      </c>
      <c r="U149" s="250">
        <f t="shared" si="57"/>
        <v>0.62648125861488402</v>
      </c>
      <c r="V149" s="382">
        <f t="shared" si="58"/>
        <v>61.287962306273528</v>
      </c>
      <c r="W149" s="400">
        <f t="shared" si="59"/>
        <v>54.469213410752424</v>
      </c>
      <c r="X149" s="157">
        <f t="shared" si="60"/>
        <v>45061</v>
      </c>
      <c r="Y149" s="383">
        <f t="shared" si="61"/>
        <v>52.910479537747314</v>
      </c>
      <c r="Z149" s="383">
        <f t="shared" si="62"/>
        <v>54.537146129311516</v>
      </c>
      <c r="AA149" s="384">
        <f t="shared" si="63"/>
        <v>56.696724264980581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3.808999838466777E-2</v>
      </c>
      <c r="AD149" s="230">
        <f>(INDEX(Models!$BJ149:$BT149,,AH149)*(1-AF149)+INDEX(Models!$BJ149:$BT149,,AH149+1)*AF149-ERP_i)*AE149*Ramure*Pc/MaxiM</f>
        <v>1.6738521547744994E-4</v>
      </c>
      <c r="AE149" s="304">
        <f t="shared" si="65"/>
        <v>0.6</v>
      </c>
      <c r="AF149" s="177">
        <f t="shared" si="66"/>
        <v>0.62648125861488402</v>
      </c>
      <c r="AG149" s="799">
        <f t="shared" si="74"/>
        <v>0</v>
      </c>
      <c r="AH149" s="176">
        <f t="shared" si="67"/>
        <v>6</v>
      </c>
      <c r="AI149" s="224">
        <f t="shared" si="68"/>
        <v>0.62648125861488402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09">
        <f>'2022'!Wh/'2022'!Env_an*'2023'!Env_an</f>
        <v>52.838905128577224</v>
      </c>
      <c r="C150" s="829"/>
      <c r="D150" s="391">
        <f t="shared" si="50"/>
        <v>54.464415052439584</v>
      </c>
      <c r="E150" s="383">
        <f t="shared" si="72"/>
        <v>55.007010687202616</v>
      </c>
      <c r="F150" s="383">
        <f t="shared" si="51"/>
        <v>55.014357027642987</v>
      </c>
      <c r="G150" s="110">
        <f t="shared" si="73"/>
        <v>0.86161072172800779</v>
      </c>
      <c r="H150" s="412" t="b">
        <f>Wh_hp&gt;='2022'!Maxi_hp</f>
        <v>0</v>
      </c>
      <c r="I150" s="379">
        <f>IF(H150,Wh_hp,'2022'!Maxi_hp)</f>
        <v>55.014965480142017</v>
      </c>
      <c r="J150" s="85">
        <f>IF(H150,An,'2022'!An_max)</f>
        <v>2022</v>
      </c>
      <c r="K150" s="197">
        <f t="shared" si="52"/>
        <v>45062</v>
      </c>
      <c r="L150" s="147">
        <f>IF(t&lt;Tvie,1-EXP((T0-t)*PertePVj)+'2022'!Pspv,1-EXP((T0-t)*PertePVj)+Pspv)</f>
        <v>2.9845357235495529E-2</v>
      </c>
      <c r="M150" s="832"/>
      <c r="N150" s="832"/>
      <c r="O150" s="48">
        <f>IF(t&lt;Tnet,'2022'!Resal+('2022'!Salim-'2022'!Resal)*(1-EXP(('2022'!Tnet-t)/('2022'!Tau_j))),Resal+(Salim-Resal)*(1-EXP((Tnet-t)/(Tau_j))))*Salcycl</f>
        <v>9.8641178276075072E-3</v>
      </c>
      <c r="P150" s="338">
        <f>(INDEX(Models!$BJ150:$BT150,,T150)*(1-R150)+INDEX(Models!$BJ150:$BT150,,T150+1)*R150-ERP_i)*Q150*Ramure*Pc/MaxiM</f>
        <v>1.6643158026869847E-4</v>
      </c>
      <c r="Q150" s="304">
        <f t="shared" si="53"/>
        <v>0.6</v>
      </c>
      <c r="R150" s="177">
        <f t="shared" si="54"/>
        <v>0.63043769607601019</v>
      </c>
      <c r="S150" s="799">
        <f t="shared" si="55"/>
        <v>0</v>
      </c>
      <c r="T150" s="176">
        <f t="shared" si="56"/>
        <v>6</v>
      </c>
      <c r="U150" s="250">
        <f t="shared" si="57"/>
        <v>0.63043769607601019</v>
      </c>
      <c r="V150" s="382">
        <f t="shared" si="58"/>
        <v>61.323710746686309</v>
      </c>
      <c r="W150" s="400">
        <f t="shared" si="59"/>
        <v>52.838905128577224</v>
      </c>
      <c r="X150" s="157">
        <f t="shared" si="60"/>
        <v>45062</v>
      </c>
      <c r="Y150" s="383">
        <f t="shared" si="61"/>
        <v>51.32719420662221</v>
      </c>
      <c r="Z150" s="383">
        <f t="shared" si="62"/>
        <v>52.90619860392853</v>
      </c>
      <c r="AA150" s="384">
        <f t="shared" si="63"/>
        <v>55.007010687202616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3.8191715147372005E-2</v>
      </c>
      <c r="AD150" s="230">
        <f>(INDEX(Models!$BJ150:$BT150,,AH150)*(1-AF150)+INDEX(Models!$BJ150:$BT150,,AH150+1)*AF150-ERP_i)*AE150*Ramure*Pc/MaxiM</f>
        <v>1.6643158026869847E-4</v>
      </c>
      <c r="AE150" s="304">
        <f t="shared" si="65"/>
        <v>0.6</v>
      </c>
      <c r="AF150" s="177">
        <f t="shared" si="66"/>
        <v>0.63043769607601019</v>
      </c>
      <c r="AG150" s="799">
        <f t="shared" si="74"/>
        <v>0</v>
      </c>
      <c r="AH150" s="176">
        <f t="shared" si="67"/>
        <v>6</v>
      </c>
      <c r="AI150" s="224">
        <f t="shared" si="68"/>
        <v>0.63043769607601019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09">
        <f>'2022'!Wh/'2022'!Env_an*'2023'!Env_an</f>
        <v>56.353598953428943</v>
      </c>
      <c r="C151" s="829"/>
      <c r="D151" s="391">
        <f t="shared" si="50"/>
        <v>58.08834642836888</v>
      </c>
      <c r="E151" s="383">
        <f t="shared" si="72"/>
        <v>58.67367765865329</v>
      </c>
      <c r="F151" s="383">
        <f t="shared" si="51"/>
        <v>58.682254335009205</v>
      </c>
      <c r="G151" s="110">
        <f t="shared" si="73"/>
        <v>0.9184746601408238</v>
      </c>
      <c r="H151" s="412" t="b">
        <f>Wh_hp&gt;='2022'!Maxi_hp</f>
        <v>0</v>
      </c>
      <c r="I151" s="379">
        <f>IF(H151,Wh_hp,'2022'!Maxi_hp)</f>
        <v>58.682633435101266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2.9863950027896324E-2</v>
      </c>
      <c r="M151" s="832"/>
      <c r="N151" s="832"/>
      <c r="O151" s="48">
        <f>IF(t&lt;Tnet,'2022'!Resal+('2022'!Salim-'2022'!Resal)*(1-EXP(('2022'!Tnet-t)/('2022'!Tau_j))),Resal+(Salim-Resal)*(1-EXP((Tnet-t)/(Tau_j))))*Salcycl</f>
        <v>9.9760446871884345E-3</v>
      </c>
      <c r="P151" s="338">
        <f>(INDEX(Models!$BJ151:$BT151,,T151)*(1-R151)+INDEX(Models!$BJ151:$BT151,,T151+1)*R151-ERP_i)*Q151*Ramure*Pc/MaxiM</f>
        <v>1.6541539940774123E-4</v>
      </c>
      <c r="Q151" s="304">
        <f t="shared" si="53"/>
        <v>0.6</v>
      </c>
      <c r="R151" s="177">
        <f t="shared" si="54"/>
        <v>0.63447175443598391</v>
      </c>
      <c r="S151" s="799">
        <f t="shared" si="55"/>
        <v>0</v>
      </c>
      <c r="T151" s="176">
        <f t="shared" si="56"/>
        <v>6</v>
      </c>
      <c r="U151" s="250">
        <f t="shared" si="57"/>
        <v>0.63447175443598391</v>
      </c>
      <c r="V151" s="382">
        <f t="shared" si="58"/>
        <v>61.35445627417549</v>
      </c>
      <c r="W151" s="400">
        <f t="shared" si="59"/>
        <v>56.353598953428943</v>
      </c>
      <c r="X151" s="157">
        <f t="shared" si="60"/>
        <v>45063</v>
      </c>
      <c r="Y151" s="383">
        <f t="shared" si="61"/>
        <v>54.741716268740447</v>
      </c>
      <c r="Z151" s="383">
        <f t="shared" si="62"/>
        <v>56.426844740296524</v>
      </c>
      <c r="AA151" s="384">
        <f t="shared" si="63"/>
        <v>58.67367765865329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3.8293712070141518E-2</v>
      </c>
      <c r="AD151" s="230">
        <f>(INDEX(Models!$BJ151:$BT151,,AH151)*(1-AF151)+INDEX(Models!$BJ151:$BT151,,AH151+1)*AF151-ERP_i)*AE151*Ramure*Pc/MaxiM</f>
        <v>1.6541539940774123E-4</v>
      </c>
      <c r="AE151" s="304">
        <f t="shared" si="65"/>
        <v>0.6</v>
      </c>
      <c r="AF151" s="177">
        <f t="shared" si="66"/>
        <v>0.63447175443598391</v>
      </c>
      <c r="AG151" s="799">
        <f t="shared" si="74"/>
        <v>0</v>
      </c>
      <c r="AH151" s="176">
        <f t="shared" si="67"/>
        <v>6</v>
      </c>
      <c r="AI151" s="224">
        <f t="shared" si="68"/>
        <v>0.63447175443598391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09">
        <f>'2022'!Wh/'2022'!Env_an*'2023'!Env_an</f>
        <v>54.504910885949329</v>
      </c>
      <c r="C152" s="829"/>
      <c r="D152" s="391">
        <f t="shared" si="50"/>
        <v>56.183826466111249</v>
      </c>
      <c r="E152" s="383">
        <f t="shared" si="72"/>
        <v>56.756388684224014</v>
      </c>
      <c r="F152" s="383">
        <f t="shared" si="51"/>
        <v>56.764224154151293</v>
      </c>
      <c r="G152" s="110">
        <f t="shared" si="73"/>
        <v>0.88796206170306979</v>
      </c>
      <c r="H152" s="412" t="b">
        <f>Wh_hp&gt;='2022'!Maxi_hp</f>
        <v>0</v>
      </c>
      <c r="I152" s="379">
        <f>IF(H152,Wh_hp,'2022'!Maxi_hp)</f>
        <v>65.112138934007149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2.9882542463970485E-2</v>
      </c>
      <c r="M152" s="832"/>
      <c r="N152" s="832"/>
      <c r="O152" s="48">
        <f>IF(t&lt;Tnet,'2022'!Resal+('2022'!Salim-'2022'!Resal)*(1-EXP(('2022'!Tnet-t)/('2022'!Tau_j))),Resal+(Salim-Resal)*(1-EXP((Tnet-t)/(Tau_j))))*Salcycl</f>
        <v>1.0088066407789517E-2</v>
      </c>
      <c r="P152" s="338">
        <f>(INDEX(Models!$BJ152:$BT152,,T152)*(1-R152)+INDEX(Models!$BJ152:$BT152,,T152+1)*R152-ERP_i)*Q152*Ramure*Pc/MaxiM</f>
        <v>1.6433188147854723E-4</v>
      </c>
      <c r="Q152" s="304">
        <f t="shared" si="53"/>
        <v>0.6</v>
      </c>
      <c r="R152" s="177">
        <f t="shared" si="54"/>
        <v>0.63858223465994102</v>
      </c>
      <c r="S152" s="799">
        <f t="shared" si="55"/>
        <v>0</v>
      </c>
      <c r="T152" s="176">
        <f t="shared" si="56"/>
        <v>6</v>
      </c>
      <c r="U152" s="250">
        <f t="shared" si="57"/>
        <v>0.63858223465994102</v>
      </c>
      <c r="V152" s="382">
        <f t="shared" si="58"/>
        <v>61.380412237208638</v>
      </c>
      <c r="W152" s="400">
        <f t="shared" si="59"/>
        <v>54.504910885949329</v>
      </c>
      <c r="X152" s="157">
        <f t="shared" si="60"/>
        <v>45064</v>
      </c>
      <c r="Y152" s="383">
        <f t="shared" si="61"/>
        <v>52.94626773222965</v>
      </c>
      <c r="Z152" s="383">
        <f t="shared" si="62"/>
        <v>54.577172404160414</v>
      </c>
      <c r="AA152" s="384">
        <f t="shared" si="63"/>
        <v>56.756388684224014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3.8395964411832545E-2</v>
      </c>
      <c r="AD152" s="230">
        <f>(INDEX(Models!$BJ152:$BT152,,AH152)*(1-AF152)+INDEX(Models!$BJ152:$BT152,,AH152+1)*AF152-ERP_i)*AE152*Ramure*Pc/MaxiM</f>
        <v>1.6433188147854723E-4</v>
      </c>
      <c r="AE152" s="304">
        <f t="shared" si="65"/>
        <v>0.6</v>
      </c>
      <c r="AF152" s="177">
        <f t="shared" si="66"/>
        <v>0.63858223465994102</v>
      </c>
      <c r="AG152" s="799">
        <f t="shared" si="74"/>
        <v>0</v>
      </c>
      <c r="AH152" s="176">
        <f t="shared" si="67"/>
        <v>6</v>
      </c>
      <c r="AI152" s="224">
        <f t="shared" si="68"/>
        <v>0.63858223465994102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09">
        <f>'2022'!Wh/'2022'!Env_an*'2023'!Env_an</f>
        <v>57.296895102088506</v>
      </c>
      <c r="C153" s="829"/>
      <c r="D153" s="391">
        <f t="shared" si="50"/>
        <v>59.06294414140929</v>
      </c>
      <c r="E153" s="383">
        <f t="shared" si="72"/>
        <v>59.671605108196033</v>
      </c>
      <c r="F153" s="383">
        <f t="shared" si="51"/>
        <v>59.680413470780373</v>
      </c>
      <c r="G153" s="110">
        <f t="shared" si="73"/>
        <v>0.93313240988230517</v>
      </c>
      <c r="H153" s="412" t="b">
        <f>Wh_hp&gt;='2022'!Maxi_hp</f>
        <v>0</v>
      </c>
      <c r="I153" s="379">
        <f>IF(H153,Wh_hp,'2022'!Maxi_hp)</f>
        <v>63.796579298765408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2.9901134543724783E-2</v>
      </c>
      <c r="M153" s="832"/>
      <c r="N153" s="832"/>
      <c r="O153" s="48">
        <f>IF(t&lt;Tnet,'2022'!Resal+('2022'!Salim-'2022'!Resal)*(1-EXP(('2022'!Tnet-t)/('2022'!Tau_j))),Resal+(Salim-Resal)*(1-EXP((Tnet-t)/(Tau_j))))*Salcycl</f>
        <v>1.0200177549826755E-2</v>
      </c>
      <c r="P153" s="338">
        <f>(INDEX(Models!$BJ153:$BT153,,T153)*(1-R153)+INDEX(Models!$BJ153:$BT153,,T153+1)*R153-ERP_i)*Q153*Ramure*Pc/MaxiM</f>
        <v>1.6317622366050587E-4</v>
      </c>
      <c r="Q153" s="304">
        <f t="shared" si="53"/>
        <v>0.6</v>
      </c>
      <c r="R153" s="177">
        <f t="shared" si="54"/>
        <v>0.64276776042723749</v>
      </c>
      <c r="S153" s="799">
        <f t="shared" si="55"/>
        <v>0</v>
      </c>
      <c r="T153" s="176">
        <f t="shared" si="56"/>
        <v>6</v>
      </c>
      <c r="U153" s="250">
        <f t="shared" si="57"/>
        <v>0.64276776042723749</v>
      </c>
      <c r="V153" s="382">
        <f t="shared" si="58"/>
        <v>61.401791906938364</v>
      </c>
      <c r="W153" s="400">
        <f t="shared" si="59"/>
        <v>57.296895102088506</v>
      </c>
      <c r="X153" s="157">
        <f t="shared" si="60"/>
        <v>45065</v>
      </c>
      <c r="Y153" s="383">
        <f t="shared" si="61"/>
        <v>55.658783139152604</v>
      </c>
      <c r="Z153" s="383">
        <f t="shared" si="62"/>
        <v>57.374341029637343</v>
      </c>
      <c r="AA153" s="384">
        <f t="shared" si="63"/>
        <v>59.671605108196033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3.849844619385235E-2</v>
      </c>
      <c r="AD153" s="230">
        <f>(INDEX(Models!$BJ153:$BT153,,AH153)*(1-AF153)+INDEX(Models!$BJ153:$BT153,,AH153+1)*AF153-ERP_i)*AE153*Ramure*Pc/MaxiM</f>
        <v>1.6317622366050587E-4</v>
      </c>
      <c r="AE153" s="304">
        <f t="shared" si="65"/>
        <v>0.6</v>
      </c>
      <c r="AF153" s="177">
        <f t="shared" si="66"/>
        <v>0.64276776042723749</v>
      </c>
      <c r="AG153" s="799">
        <f t="shared" si="74"/>
        <v>0</v>
      </c>
      <c r="AH153" s="176">
        <f t="shared" si="67"/>
        <v>6</v>
      </c>
      <c r="AI153" s="224">
        <f t="shared" si="68"/>
        <v>0.64276776042723749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09">
        <f>'2022'!Wh/'2022'!Env_an*'2023'!Env_an</f>
        <v>51.127232539988455</v>
      </c>
      <c r="C154" s="829"/>
      <c r="D154" s="391">
        <f t="shared" si="50"/>
        <v>52.704125549582315</v>
      </c>
      <c r="E154" s="383">
        <f t="shared" si="72"/>
        <v>53.253293326630669</v>
      </c>
      <c r="F154" s="383">
        <f t="shared" si="51"/>
        <v>53.259853771157985</v>
      </c>
      <c r="G154" s="110">
        <f t="shared" si="73"/>
        <v>0.83240381218554915</v>
      </c>
      <c r="H154" s="412" t="b">
        <f>Wh_hp&gt;='2022'!Maxi_hp</f>
        <v>0</v>
      </c>
      <c r="I154" s="379">
        <f>IF(H154,Wh_hp,'2022'!Maxi_hp)</f>
        <v>63.305602398396879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2.9919726267166102E-2</v>
      </c>
      <c r="M154" s="832"/>
      <c r="N154" s="832"/>
      <c r="O154" s="48">
        <f>IF(t&lt;Tnet,'2022'!Resal+('2022'!Salim-'2022'!Resal)*(1-EXP(('2022'!Tnet-t)/('2022'!Tau_j))),Resal+(Salim-Resal)*(1-EXP((Tnet-t)/(Tau_j))))*Salcycl</f>
        <v>1.0312372113401887E-2</v>
      </c>
      <c r="P154" s="338">
        <f>(INDEX(Models!$BJ154:$BT154,,T154)*(1-R154)+INDEX(Models!$BJ154:$BT154,,T154+1)*R154-ERP_i)*Q154*Ramure*Pc/MaxiM</f>
        <v>1.6194362470722302E-4</v>
      </c>
      <c r="Q154" s="304">
        <f t="shared" si="53"/>
        <v>0.6</v>
      </c>
      <c r="R154" s="177">
        <f t="shared" si="54"/>
        <v>0.6470267757348982</v>
      </c>
      <c r="S154" s="799">
        <f t="shared" si="55"/>
        <v>0</v>
      </c>
      <c r="T154" s="176">
        <f t="shared" si="56"/>
        <v>6</v>
      </c>
      <c r="U154" s="250">
        <f t="shared" si="57"/>
        <v>0.6470267757348982</v>
      </c>
      <c r="V154" s="382">
        <f t="shared" si="58"/>
        <v>61.418808480283829</v>
      </c>
      <c r="W154" s="400">
        <f t="shared" si="59"/>
        <v>51.127232539988455</v>
      </c>
      <c r="X154" s="157">
        <f t="shared" si="60"/>
        <v>45066</v>
      </c>
      <c r="Y154" s="383">
        <f t="shared" si="61"/>
        <v>49.665836161186348</v>
      </c>
      <c r="Z154" s="383">
        <f t="shared" si="62"/>
        <v>51.197656014665675</v>
      </c>
      <c r="AA154" s="384">
        <f t="shared" si="63"/>
        <v>53.253293326630669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3.8601130250418163E-2</v>
      </c>
      <c r="AD154" s="230">
        <f>(INDEX(Models!$BJ154:$BT154,,AH154)*(1-AF154)+INDEX(Models!$BJ154:$BT154,,AH154+1)*AF154-ERP_i)*AE154*Ramure*Pc/MaxiM</f>
        <v>1.6194362470722302E-4</v>
      </c>
      <c r="AE154" s="304">
        <f t="shared" si="65"/>
        <v>0.6</v>
      </c>
      <c r="AF154" s="177">
        <f t="shared" si="66"/>
        <v>0.6470267757348982</v>
      </c>
      <c r="AG154" s="799">
        <f t="shared" si="74"/>
        <v>0</v>
      </c>
      <c r="AH154" s="176">
        <f t="shared" si="67"/>
        <v>6</v>
      </c>
      <c r="AI154" s="224">
        <f t="shared" si="68"/>
        <v>0.6470267757348982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09">
        <f>'2022'!Wh/'2022'!Env_an*'2023'!Env_an</f>
        <v>51.226167815043461</v>
      </c>
      <c r="C155" s="829"/>
      <c r="D155" s="391">
        <f t="shared" si="50"/>
        <v>52.807124274940655</v>
      </c>
      <c r="E155" s="383">
        <f t="shared" si="72"/>
        <v>53.363418895208149</v>
      </c>
      <c r="F155" s="383">
        <f t="shared" si="51"/>
        <v>53.369957135951381</v>
      </c>
      <c r="G155" s="110">
        <f t="shared" si="73"/>
        <v>0.83384043646659745</v>
      </c>
      <c r="H155" s="412" t="b">
        <f>Wh_hp&gt;='2022'!Maxi_hp</f>
        <v>0</v>
      </c>
      <c r="I155" s="379">
        <f>IF(H155,Wh_hp,'2022'!Maxi_hp)</f>
        <v>61.653025263591708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2.9938317634301326E-2</v>
      </c>
      <c r="M155" s="832"/>
      <c r="N155" s="832"/>
      <c r="O155" s="48">
        <f>IF(t&lt;Tnet,'2022'!Resal+('2022'!Salim-'2022'!Resal)*(1-EXP(('2022'!Tnet-t)/('2022'!Tau_j))),Resal+(Salim-Resal)*(1-EXP((Tnet-t)/(Tau_j))))*Salcycl</f>
        <v>1.0424643543921273E-2</v>
      </c>
      <c r="P155" s="338">
        <f>(INDEX(Models!$BJ155:$BT155,,T155)*(1-R155)+INDEX(Models!$BJ155:$BT155,,T155+1)*R155-ERP_i)*Q155*Ramure*Pc/MaxiM</f>
        <v>1.6062929880586153E-4</v>
      </c>
      <c r="Q155" s="304">
        <f t="shared" si="53"/>
        <v>0.6</v>
      </c>
      <c r="R155" s="177">
        <f t="shared" si="54"/>
        <v>0.65135754325584105</v>
      </c>
      <c r="S155" s="799">
        <f t="shared" si="55"/>
        <v>0</v>
      </c>
      <c r="T155" s="176">
        <f t="shared" si="56"/>
        <v>6</v>
      </c>
      <c r="U155" s="250">
        <f t="shared" si="57"/>
        <v>0.65135754325584105</v>
      </c>
      <c r="V155" s="382">
        <f t="shared" si="58"/>
        <v>61.431675080505791</v>
      </c>
      <c r="W155" s="400">
        <f t="shared" si="59"/>
        <v>51.226167815043461</v>
      </c>
      <c r="X155" s="157">
        <f t="shared" si="60"/>
        <v>45067</v>
      </c>
      <c r="Y155" s="383">
        <f t="shared" si="61"/>
        <v>49.76226468726928</v>
      </c>
      <c r="Z155" s="383">
        <f t="shared" si="62"/>
        <v>51.298041755358867</v>
      </c>
      <c r="AA155" s="384">
        <f t="shared" si="63"/>
        <v>53.363418895208149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3.8703988286529128E-2</v>
      </c>
      <c r="AD155" s="230">
        <f>(INDEX(Models!$BJ155:$BT155,,AH155)*(1-AF155)+INDEX(Models!$BJ155:$BT155,,AH155+1)*AF155-ERP_i)*AE155*Ramure*Pc/MaxiM</f>
        <v>1.6062929880586153E-4</v>
      </c>
      <c r="AE155" s="304">
        <f t="shared" si="65"/>
        <v>0.6</v>
      </c>
      <c r="AF155" s="177">
        <f t="shared" si="66"/>
        <v>0.65135754325584105</v>
      </c>
      <c r="AG155" s="799">
        <f t="shared" si="74"/>
        <v>0</v>
      </c>
      <c r="AH155" s="176">
        <f t="shared" si="67"/>
        <v>6</v>
      </c>
      <c r="AI155" s="224">
        <f t="shared" si="68"/>
        <v>0.65135754325584105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09">
        <f>'2022'!Wh/'2022'!Env_an*'2023'!Env_an</f>
        <v>38.911226800398751</v>
      </c>
      <c r="C156" s="829"/>
      <c r="D156" s="391">
        <f t="shared" si="50"/>
        <v>40.112884826643416</v>
      </c>
      <c r="E156" s="383">
        <f t="shared" si="72"/>
        <v>40.540054765090566</v>
      </c>
      <c r="F156" s="383">
        <f t="shared" si="51"/>
        <v>40.543130142282529</v>
      </c>
      <c r="G156" s="110">
        <f t="shared" si="73"/>
        <v>0.6332617090301883</v>
      </c>
      <c r="H156" s="412" t="b">
        <f>Wh_hp&gt;='2022'!Maxi_hp</f>
        <v>0</v>
      </c>
      <c r="I156" s="379">
        <f>IF(H156,Wh_hp,'2022'!Maxi_hp)</f>
        <v>60.757180610940942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2.9956908645137226E-2</v>
      </c>
      <c r="M156" s="832"/>
      <c r="N156" s="832"/>
      <c r="O156" s="48">
        <f>IF(t&lt;Tnet,'2022'!Resal+('2022'!Salim-'2022'!Resal)*(1-EXP(('2022'!Tnet-t)/('2022'!Tau_j))),Resal+(Salim-Resal)*(1-EXP((Tnet-t)/(Tau_j))))*Salcycl</f>
        <v>1.0536984740706029E-2</v>
      </c>
      <c r="P156" s="338">
        <f>(INDEX(Models!$BJ156:$BT156,,T156)*(1-R156)+INDEX(Models!$BJ156:$BT156,,T156+1)*R156-ERP_i)*Q156*Ramure*Pc/MaxiM</f>
        <v>1.5930333412636198E-4</v>
      </c>
      <c r="Q156" s="304">
        <f t="shared" si="53"/>
        <v>0.6</v>
      </c>
      <c r="R156" s="177">
        <f t="shared" si="54"/>
        <v>0.65575814350139661</v>
      </c>
      <c r="S156" s="799">
        <f t="shared" si="55"/>
        <v>0</v>
      </c>
      <c r="T156" s="176">
        <f t="shared" si="56"/>
        <v>6</v>
      </c>
      <c r="U156" s="250">
        <f t="shared" si="57"/>
        <v>0.65575814350139661</v>
      </c>
      <c r="V156" s="382">
        <f t="shared" si="58"/>
        <v>61.440600151779321</v>
      </c>
      <c r="W156" s="400">
        <f t="shared" si="59"/>
        <v>38.911226800398751</v>
      </c>
      <c r="X156" s="157">
        <f t="shared" si="60"/>
        <v>45068</v>
      </c>
      <c r="Y156" s="383">
        <f t="shared" si="61"/>
        <v>37.799491843108029</v>
      </c>
      <c r="Z156" s="383">
        <f t="shared" si="62"/>
        <v>38.966817226968068</v>
      </c>
      <c r="AA156" s="384">
        <f t="shared" si="63"/>
        <v>40.540054765090566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3.8806990943614422E-2</v>
      </c>
      <c r="AD156" s="230">
        <f>(INDEX(Models!$BJ156:$BT156,,AH156)*(1-AF156)+INDEX(Models!$BJ156:$BT156,,AH156+1)*AF156-ERP_i)*AE156*Ramure*Pc/MaxiM</f>
        <v>1.5930333412636198E-4</v>
      </c>
      <c r="AE156" s="304">
        <f t="shared" si="65"/>
        <v>0.6</v>
      </c>
      <c r="AF156" s="177">
        <f t="shared" si="66"/>
        <v>0.65575814350139661</v>
      </c>
      <c r="AG156" s="799">
        <f t="shared" si="74"/>
        <v>0</v>
      </c>
      <c r="AH156" s="176">
        <f t="shared" si="67"/>
        <v>6</v>
      </c>
      <c r="AI156" s="224">
        <f t="shared" si="68"/>
        <v>0.65575814350139661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09">
        <f>'2022'!Wh/'2022'!Env_an*'2023'!Env_an</f>
        <v>20.544398046695203</v>
      </c>
      <c r="C157" s="829"/>
      <c r="D157" s="391">
        <f t="shared" si="50"/>
        <v>21.179256845433244</v>
      </c>
      <c r="E157" s="383">
        <f t="shared" si="72"/>
        <v>21.407230753199553</v>
      </c>
      <c r="F157" s="383">
        <f t="shared" si="51"/>
        <v>21.407396713056432</v>
      </c>
      <c r="G157" s="110">
        <f t="shared" si="73"/>
        <v>0.33429971122879781</v>
      </c>
      <c r="H157" s="412" t="b">
        <f>Wh_hp&gt;='2022'!Maxi_hp</f>
        <v>0</v>
      </c>
      <c r="I157" s="379">
        <f>IF(H157,Wh_hp,'2022'!Maxi_hp)</f>
        <v>57.940082195716684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2.9975499299680686E-2</v>
      </c>
      <c r="M157" s="832"/>
      <c r="N157" s="832"/>
      <c r="O157" s="48">
        <f>IF(t&lt;Tnet,'2022'!Resal+('2022'!Salim-'2022'!Resal)*(1-EXP(('2022'!Tnet-t)/('2022'!Tau_j))),Resal+(Salim-Resal)*(1-EXP((Tnet-t)/(Tau_j))))*Salcycl</f>
        <v>1.0649388068666246E-2</v>
      </c>
      <c r="P157" s="338">
        <f>(INDEX(Models!$BJ157:$BT157,,T157)*(1-R157)+INDEX(Models!$BJ157:$BT157,,T157+1)*R157-ERP_i)*Q157*Ramure*Pc/MaxiM</f>
        <v>1.5798331959267505E-4</v>
      </c>
      <c r="Q157" s="304">
        <f t="shared" si="53"/>
        <v>0.6</v>
      </c>
      <c r="R157" s="177">
        <f t="shared" si="54"/>
        <v>0.66022647483316899</v>
      </c>
      <c r="S157" s="799">
        <f t="shared" si="55"/>
        <v>0</v>
      </c>
      <c r="T157" s="176">
        <f t="shared" si="56"/>
        <v>6</v>
      </c>
      <c r="U157" s="250">
        <f t="shared" si="57"/>
        <v>0.66022647483316899</v>
      </c>
      <c r="V157" s="382">
        <f t="shared" si="58"/>
        <v>61.445795285195985</v>
      </c>
      <c r="W157" s="400">
        <f t="shared" si="59"/>
        <v>20.544398046695203</v>
      </c>
      <c r="X157" s="157">
        <f t="shared" si="60"/>
        <v>45069</v>
      </c>
      <c r="Y157" s="383">
        <f t="shared" si="61"/>
        <v>19.957548986574945</v>
      </c>
      <c r="Z157" s="383">
        <f t="shared" si="62"/>
        <v>20.574273095335617</v>
      </c>
      <c r="AA157" s="384">
        <f t="shared" si="63"/>
        <v>21.407230753199553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3.8910107872754278E-2</v>
      </c>
      <c r="AD157" s="230">
        <f>(INDEX(Models!$BJ157:$BT157,,AH157)*(1-AF157)+INDEX(Models!$BJ157:$BT157,,AH157+1)*AF157-ERP_i)*AE157*Ramure*Pc/MaxiM</f>
        <v>1.5798331959267505E-4</v>
      </c>
      <c r="AE157" s="304">
        <f t="shared" si="65"/>
        <v>0.6</v>
      </c>
      <c r="AF157" s="177">
        <f t="shared" si="66"/>
        <v>0.66022647483316899</v>
      </c>
      <c r="AG157" s="799">
        <f t="shared" si="74"/>
        <v>0</v>
      </c>
      <c r="AH157" s="176">
        <f t="shared" si="67"/>
        <v>6</v>
      </c>
      <c r="AI157" s="224">
        <f t="shared" si="68"/>
        <v>0.66022647483316899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09">
        <f>'2022'!Wh/'2022'!Env_an*'2023'!Env_an</f>
        <v>16.983733788148321</v>
      </c>
      <c r="C158" s="829"/>
      <c r="D158" s="391">
        <f t="shared" si="50"/>
        <v>17.508897220129995</v>
      </c>
      <c r="E158" s="383">
        <f t="shared" si="72"/>
        <v>17.699375158789188</v>
      </c>
      <c r="F158" s="383">
        <f t="shared" si="51"/>
        <v>17.699375158789188</v>
      </c>
      <c r="G158" s="110">
        <f t="shared" si="73"/>
        <v>0.27635103786045717</v>
      </c>
      <c r="H158" s="412" t="b">
        <f>Wh_hp&gt;='2022'!Maxi_hp</f>
        <v>0</v>
      </c>
      <c r="I158" s="379">
        <f>IF(H158,Wh_hp,'2022'!Maxi_hp)</f>
        <v>27.39141049073487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2.9994089597938367E-2</v>
      </c>
      <c r="M158" s="832"/>
      <c r="N158" s="832"/>
      <c r="O158" s="48">
        <f>IF(t&lt;Tnet,'2022'!Resal+('2022'!Salim-'2022'!Resal)*(1-EXP(('2022'!Tnet-t)/('2022'!Tau_j))),Resal+(Salim-Resal)*(1-EXP((Tnet-t)/(Tau_j))))*Salcycl</f>
        <v>1.0761845373089499E-2</v>
      </c>
      <c r="P158" s="338">
        <f>(INDEX(Models!$BJ158:$BT158,,T158)*(1-R158)+INDEX(Models!$BJ158:$BT158,,T158+1)*R158-ERP_i)*Q158*Ramure*Pc/MaxiM</f>
        <v>1.5666718815822043E-4</v>
      </c>
      <c r="Q158" s="304">
        <f t="shared" si="53"/>
        <v>0.6</v>
      </c>
      <c r="R158" s="177">
        <f t="shared" si="54"/>
        <v>0.66476025436399855</v>
      </c>
      <c r="S158" s="799">
        <f t="shared" si="55"/>
        <v>0</v>
      </c>
      <c r="T158" s="176">
        <f t="shared" si="56"/>
        <v>6</v>
      </c>
      <c r="U158" s="250">
        <f t="shared" si="57"/>
        <v>0.66476025436399855</v>
      </c>
      <c r="V158" s="382">
        <f t="shared" si="58"/>
        <v>61.44747320582114</v>
      </c>
      <c r="W158" s="400">
        <f t="shared" si="59"/>
        <v>16.983733788148321</v>
      </c>
      <c r="X158" s="157">
        <f t="shared" si="60"/>
        <v>45070</v>
      </c>
      <c r="Y158" s="383">
        <f t="shared" si="61"/>
        <v>16.498698597178169</v>
      </c>
      <c r="Z158" s="383">
        <f t="shared" si="62"/>
        <v>17.008863987580817</v>
      </c>
      <c r="AA158" s="384">
        <f t="shared" si="63"/>
        <v>17.699375158789188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3.9013307815303093E-2</v>
      </c>
      <c r="AD158" s="230">
        <f>(INDEX(Models!$BJ158:$BT158,,AH158)*(1-AF158)+INDEX(Models!$BJ158:$BT158,,AH158+1)*AF158-ERP_i)*AE158*Ramure*Pc/MaxiM</f>
        <v>1.5666718815822043E-4</v>
      </c>
      <c r="AE158" s="304">
        <f t="shared" si="65"/>
        <v>0.6</v>
      </c>
      <c r="AF158" s="177">
        <f t="shared" si="66"/>
        <v>0.66476025436399855</v>
      </c>
      <c r="AG158" s="799">
        <f t="shared" si="74"/>
        <v>0</v>
      </c>
      <c r="AH158" s="176">
        <f t="shared" si="67"/>
        <v>6</v>
      </c>
      <c r="AI158" s="224">
        <f t="shared" si="68"/>
        <v>0.66476025436399855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09">
        <f>'2022'!Wh/'2022'!Env_an*'2023'!Env_an</f>
        <v>42.722095702234085</v>
      </c>
      <c r="C159" s="829"/>
      <c r="D159" s="391">
        <f t="shared" si="50"/>
        <v>44.043973360363324</v>
      </c>
      <c r="E159" s="383">
        <f t="shared" si="72"/>
        <v>44.528188376470411</v>
      </c>
      <c r="F159" s="383">
        <f t="shared" si="51"/>
        <v>44.532095010962557</v>
      </c>
      <c r="G159" s="110">
        <f t="shared" si="73"/>
        <v>0.69523342410150157</v>
      </c>
      <c r="H159" s="412" t="b">
        <f>Wh_hp&gt;='2022'!Maxi_hp</f>
        <v>0</v>
      </c>
      <c r="I159" s="379">
        <f>IF(H159,Wh_hp,'2022'!Maxi_hp)</f>
        <v>59.825577923222795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3.0012679539917375E-2</v>
      </c>
      <c r="M159" s="832"/>
      <c r="N159" s="832"/>
      <c r="O159" s="48">
        <f>IF(t&lt;Tnet,'2022'!Resal+('2022'!Salim-'2022'!Resal)*(1-EXP(('2022'!Tnet-t)/('2022'!Tau_j))),Resal+(Salim-Resal)*(1-EXP((Tnet-t)/(Tau_j))))*Salcycl</f>
        <v>1.087434799756995E-2</v>
      </c>
      <c r="P159" s="338">
        <f>(INDEX(Models!$BJ159:$BT159,,T159)*(1-R159)+INDEX(Models!$BJ159:$BT159,,T159+1)*R159-ERP_i)*Q159*Ramure*Pc/MaxiM</f>
        <v>1.5535397132273931E-4</v>
      </c>
      <c r="Q159" s="304">
        <f t="shared" si="53"/>
        <v>0.6</v>
      </c>
      <c r="R159" s="177">
        <f t="shared" si="54"/>
        <v>0.66935701978171558</v>
      </c>
      <c r="S159" s="799">
        <f t="shared" si="55"/>
        <v>0</v>
      </c>
      <c r="T159" s="176">
        <f t="shared" si="56"/>
        <v>6</v>
      </c>
      <c r="U159" s="250">
        <f t="shared" si="57"/>
        <v>0.66935701978171558</v>
      </c>
      <c r="V159" s="382">
        <f t="shared" si="58"/>
        <v>61.445846489241895</v>
      </c>
      <c r="W159" s="400">
        <f t="shared" si="59"/>
        <v>42.722095702234085</v>
      </c>
      <c r="X159" s="157">
        <f t="shared" si="60"/>
        <v>45071</v>
      </c>
      <c r="Y159" s="383">
        <f t="shared" si="61"/>
        <v>41.502264404126642</v>
      </c>
      <c r="Z159" s="383">
        <f t="shared" si="62"/>
        <v>42.786398882452779</v>
      </c>
      <c r="AA159" s="384">
        <f t="shared" si="63"/>
        <v>44.528188376470411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3.9116558690674888E-2</v>
      </c>
      <c r="AD159" s="230">
        <f>(INDEX(Models!$BJ159:$BT159,,AH159)*(1-AF159)+INDEX(Models!$BJ159:$BT159,,AH159+1)*AF159-ERP_i)*AE159*Ramure*Pc/MaxiM</f>
        <v>1.5535397132273931E-4</v>
      </c>
      <c r="AE159" s="304">
        <f t="shared" si="65"/>
        <v>0.6</v>
      </c>
      <c r="AF159" s="177">
        <f t="shared" si="66"/>
        <v>0.66935701978171558</v>
      </c>
      <c r="AG159" s="799">
        <f t="shared" si="74"/>
        <v>0</v>
      </c>
      <c r="AH159" s="176">
        <f t="shared" si="67"/>
        <v>6</v>
      </c>
      <c r="AI159" s="224">
        <f t="shared" si="68"/>
        <v>0.66935701978171558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09">
        <f>'2022'!Wh/'2022'!Env_an*'2023'!Env_an</f>
        <v>25.969580083344347</v>
      </c>
      <c r="C160" s="829"/>
      <c r="D160" s="391">
        <f t="shared" si="50"/>
        <v>26.773626052804957</v>
      </c>
      <c r="E160" s="383">
        <f t="shared" si="72"/>
        <v>27.071052643897801</v>
      </c>
      <c r="F160" s="383">
        <f t="shared" si="51"/>
        <v>27.071783469245005</v>
      </c>
      <c r="G160" s="110">
        <f t="shared" si="73"/>
        <v>0.4226205090986464</v>
      </c>
      <c r="H160" s="412" t="b">
        <f>Wh_hp&gt;='2022'!Maxi_hp</f>
        <v>0</v>
      </c>
      <c r="I160" s="379">
        <f>IF(H160,Wh_hp,'2022'!Maxi_hp)</f>
        <v>62.596709791929555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3.003126912562426E-2</v>
      </c>
      <c r="M160" s="832"/>
      <c r="N160" s="832"/>
      <c r="O160" s="48">
        <f>IF(t&lt;Tnet,'2022'!Resal+('2022'!Salim-'2022'!Resal)*(1-EXP(('2022'!Tnet-t)/('2022'!Tau_j))),Resal+(Salim-Resal)*(1-EXP((Tnet-t)/(Tau_j))))*Salcycl</f>
        <v>1.0986886805079242E-2</v>
      </c>
      <c r="P160" s="338">
        <f>(INDEX(Models!$BJ160:$BT160,,T160)*(1-R160)+INDEX(Models!$BJ160:$BT160,,T160+1)*R160-ERP_i)*Q160*Ramure*Pc/MaxiM</f>
        <v>1.5404283538284467E-4</v>
      </c>
      <c r="Q160" s="304">
        <f t="shared" si="53"/>
        <v>0.6</v>
      </c>
      <c r="R160" s="177">
        <f t="shared" si="54"/>
        <v>0.6740141321225479</v>
      </c>
      <c r="S160" s="799">
        <f t="shared" si="55"/>
        <v>0</v>
      </c>
      <c r="T160" s="176">
        <f t="shared" si="56"/>
        <v>6</v>
      </c>
      <c r="U160" s="250">
        <f t="shared" si="57"/>
        <v>0.6740141321225479</v>
      </c>
      <c r="V160" s="382">
        <f t="shared" si="58"/>
        <v>61.441127626181888</v>
      </c>
      <c r="W160" s="400">
        <f t="shared" si="59"/>
        <v>25.969580083344347</v>
      </c>
      <c r="X160" s="157">
        <f t="shared" si="60"/>
        <v>45072</v>
      </c>
      <c r="Y160" s="383">
        <f t="shared" si="61"/>
        <v>25.228237416050195</v>
      </c>
      <c r="Z160" s="383">
        <f t="shared" si="62"/>
        <v>26.009330623790593</v>
      </c>
      <c r="AA160" s="384">
        <f t="shared" si="63"/>
        <v>27.071052643897801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3.9219827690983228E-2</v>
      </c>
      <c r="AD160" s="230">
        <f>(INDEX(Models!$BJ160:$BT160,,AH160)*(1-AF160)+INDEX(Models!$BJ160:$BT160,,AH160+1)*AF160-ERP_i)*AE160*Ramure*Pc/MaxiM</f>
        <v>1.5404283538284467E-4</v>
      </c>
      <c r="AE160" s="304">
        <f t="shared" si="65"/>
        <v>0.6</v>
      </c>
      <c r="AF160" s="177">
        <f t="shared" si="66"/>
        <v>0.6740141321225479</v>
      </c>
      <c r="AG160" s="799">
        <f t="shared" si="74"/>
        <v>0</v>
      </c>
      <c r="AH160" s="176">
        <f t="shared" si="67"/>
        <v>6</v>
      </c>
      <c r="AI160" s="224">
        <f t="shared" si="68"/>
        <v>0.6740141321225479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09">
        <f>'2022'!Wh/'2022'!Env_an*'2023'!Env_an</f>
        <v>47.812570789814842</v>
      </c>
      <c r="C161" s="829"/>
      <c r="D161" s="391">
        <f t="shared" si="50"/>
        <v>49.293843814208564</v>
      </c>
      <c r="E161" s="383">
        <f t="shared" si="72"/>
        <v>49.847119534901275</v>
      </c>
      <c r="F161" s="383">
        <f t="shared" si="51"/>
        <v>49.852321937204579</v>
      </c>
      <c r="G161" s="110">
        <f t="shared" si="73"/>
        <v>0.77824370981790658</v>
      </c>
      <c r="H161" s="412" t="b">
        <f>Wh_hp&gt;='2022'!Maxi_hp</f>
        <v>0</v>
      </c>
      <c r="I161" s="379">
        <f>IF(H161,Wh_hp,'2022'!Maxi_hp)</f>
        <v>62.270971233570506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3.0049858355066128E-2</v>
      </c>
      <c r="M161" s="832"/>
      <c r="N161" s="832"/>
      <c r="O161" s="48">
        <f>IF(t&lt;Tnet,'2022'!Resal+('2022'!Salim-'2022'!Resal)*(1-EXP(('2022'!Tnet-t)/('2022'!Tau_j))),Resal+(Salim-Resal)*(1-EXP((Tnet-t)/(Tau_j))))*Salcycl</f>
        <v>1.1099452202154353E-2</v>
      </c>
      <c r="P161" s="338">
        <f>(INDEX(Models!$BJ161:$BT161,,T161)*(1-R161)+INDEX(Models!$BJ161:$BT161,,T161+1)*R161-ERP_i)*Q161*Ramure*Pc/MaxiM</f>
        <v>1.5273308455526915E-4</v>
      </c>
      <c r="Q161" s="304">
        <f t="shared" si="53"/>
        <v>0.6</v>
      </c>
      <c r="R161" s="177">
        <f t="shared" si="54"/>
        <v>0.67872877951352373</v>
      </c>
      <c r="S161" s="799">
        <f t="shared" si="55"/>
        <v>0</v>
      </c>
      <c r="T161" s="176">
        <f t="shared" si="56"/>
        <v>6</v>
      </c>
      <c r="U161" s="250">
        <f t="shared" si="57"/>
        <v>0.67872877951352373</v>
      </c>
      <c r="V161" s="382">
        <f t="shared" si="58"/>
        <v>61.433529015821286</v>
      </c>
      <c r="W161" s="400">
        <f t="shared" si="59"/>
        <v>47.812570789814842</v>
      </c>
      <c r="X161" s="157">
        <f t="shared" si="60"/>
        <v>45073</v>
      </c>
      <c r="Y161" s="383">
        <f t="shared" si="61"/>
        <v>46.447980314949064</v>
      </c>
      <c r="Z161" s="383">
        <f t="shared" si="62"/>
        <v>47.886977196764107</v>
      </c>
      <c r="AA161" s="384">
        <f t="shared" si="63"/>
        <v>49.847119534901275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3.9323081382159827E-2</v>
      </c>
      <c r="AD161" s="230">
        <f>(INDEX(Models!$BJ161:$BT161,,AH161)*(1-AF161)+INDEX(Models!$BJ161:$BT161,,AH161+1)*AF161-ERP_i)*AE161*Ramure*Pc/MaxiM</f>
        <v>1.5273308455526915E-4</v>
      </c>
      <c r="AE161" s="304">
        <f t="shared" si="65"/>
        <v>0.6</v>
      </c>
      <c r="AF161" s="177">
        <f t="shared" si="66"/>
        <v>0.67872877951352373</v>
      </c>
      <c r="AG161" s="799">
        <f t="shared" si="74"/>
        <v>0</v>
      </c>
      <c r="AH161" s="176">
        <f t="shared" si="67"/>
        <v>6</v>
      </c>
      <c r="AI161" s="224">
        <f t="shared" si="68"/>
        <v>0.67872877951352373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09">
        <f>'2022'!Wh/'2022'!Env_an*'2023'!Env_an</f>
        <v>57.507902349416774</v>
      </c>
      <c r="C162" s="829"/>
      <c r="D162" s="391">
        <f t="shared" si="50"/>
        <v>59.29068106412025</v>
      </c>
      <c r="E162" s="383">
        <f t="shared" si="72"/>
        <v>59.962988135803371</v>
      </c>
      <c r="F162" s="383">
        <f t="shared" si="51"/>
        <v>59.971242281351365</v>
      </c>
      <c r="G162" s="110">
        <f t="shared" si="73"/>
        <v>0.93624315092687116</v>
      </c>
      <c r="H162" s="412" t="b">
        <f>Wh_hp&gt;='2022'!Maxi_hp</f>
        <v>0</v>
      </c>
      <c r="I162" s="379">
        <f>IF(H162,Wh_hp,'2022'!Maxi_hp)</f>
        <v>61.405954695216622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3.0068447228249529E-2</v>
      </c>
      <c r="M162" s="832"/>
      <c r="N162" s="832"/>
      <c r="O162" s="48">
        <f>IF(t&lt;Tnet,'2022'!Resal+('2022'!Salim-'2022'!Resal)*(1-EXP(('2022'!Tnet-t)/('2022'!Tau_j))),Resal+(Salim-Resal)*(1-EXP((Tnet-t)/(Tau_j))))*Salcycl</f>
        <v>1.1212034166150752E-2</v>
      </c>
      <c r="P162" s="338">
        <f>(INDEX(Models!$BJ162:$BT162,,T162)*(1-R162)+INDEX(Models!$BJ162:$BT162,,T162+1)*R162-ERP_i)*Q162*Ramure*Pc/MaxiM</f>
        <v>1.5142416369993457E-4</v>
      </c>
      <c r="Q162" s="304">
        <f t="shared" si="53"/>
        <v>0.6</v>
      </c>
      <c r="R162" s="177">
        <f t="shared" si="54"/>
        <v>0.68349798189506616</v>
      </c>
      <c r="S162" s="799">
        <f t="shared" si="55"/>
        <v>0</v>
      </c>
      <c r="T162" s="176">
        <f t="shared" si="56"/>
        <v>6</v>
      </c>
      <c r="U162" s="250">
        <f t="shared" si="57"/>
        <v>0.68349798189506616</v>
      </c>
      <c r="V162" s="382">
        <f t="shared" si="58"/>
        <v>61.42326296423812</v>
      </c>
      <c r="W162" s="400">
        <f t="shared" si="59"/>
        <v>57.507902349416774</v>
      </c>
      <c r="X162" s="157">
        <f t="shared" si="60"/>
        <v>45074</v>
      </c>
      <c r="Y162" s="383">
        <f t="shared" si="61"/>
        <v>55.866961637631427</v>
      </c>
      <c r="Z162" s="383">
        <f t="shared" si="62"/>
        <v>57.598870227472993</v>
      </c>
      <c r="AA162" s="384">
        <f t="shared" si="63"/>
        <v>59.962988135803371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3.942628581110999E-2</v>
      </c>
      <c r="AD162" s="230">
        <f>(INDEX(Models!$BJ162:$BT162,,AH162)*(1-AF162)+INDEX(Models!$BJ162:$BT162,,AH162+1)*AF162-ERP_i)*AE162*Ramure*Pc/MaxiM</f>
        <v>1.5142416369993457E-4</v>
      </c>
      <c r="AE162" s="304">
        <f t="shared" si="65"/>
        <v>0.6</v>
      </c>
      <c r="AF162" s="177">
        <f t="shared" si="66"/>
        <v>0.68349798189506616</v>
      </c>
      <c r="AG162" s="799">
        <f t="shared" si="74"/>
        <v>0</v>
      </c>
      <c r="AH162" s="176">
        <f t="shared" si="67"/>
        <v>6</v>
      </c>
      <c r="AI162" s="224">
        <f t="shared" si="68"/>
        <v>0.68349798189506616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09">
        <f>'2022'!Wh/'2022'!Env_an*'2023'!Env_an</f>
        <v>62.179616692322547</v>
      </c>
      <c r="C163" s="829"/>
      <c r="D163" s="391">
        <f t="shared" si="50"/>
        <v>64.108449916529338</v>
      </c>
      <c r="E163" s="383">
        <f t="shared" si="72"/>
        <v>64.842769791716563</v>
      </c>
      <c r="F163" s="383">
        <f t="shared" si="51"/>
        <v>64.852505396426295</v>
      </c>
      <c r="G163" s="110">
        <f t="shared" si="73"/>
        <v>1.0125472202397046</v>
      </c>
      <c r="H163" s="412" t="b">
        <f>Wh_hp&gt;='2022'!Maxi_hp</f>
        <v>1</v>
      </c>
      <c r="I163" s="379">
        <f>IF(H163,Wh_hp,'2022'!Maxi_hp)</f>
        <v>64.852505396426295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3.0087035745181456E-2</v>
      </c>
      <c r="M163" s="832"/>
      <c r="N163" s="832"/>
      <c r="O163" s="48">
        <f>IF(t&lt;Tnet,'2022'!Resal+('2022'!Salim-'2022'!Resal)*(1-EXP(('2022'!Tnet-t)/('2022'!Tau_j))),Resal+(Salim-Resal)*(1-EXP((Tnet-t)/(Tau_j))))*Salcycl</f>
        <v>1.1324622275482048E-2</v>
      </c>
      <c r="P163" s="338">
        <f>(INDEX(Models!$BJ163:$BT163,,T163)*(1-R163)+INDEX(Models!$BJ163:$BT163,,T163+1)*R163-ERP_i)*Q163*Ramure*Pc/MaxiM</f>
        <v>1.5011917658733849E-4</v>
      </c>
      <c r="Q163" s="304">
        <f t="shared" si="53"/>
        <v>0.6</v>
      </c>
      <c r="R163" s="177">
        <f t="shared" si="54"/>
        <v>0.68831859672628815</v>
      </c>
      <c r="S163" s="799">
        <f t="shared" si="55"/>
        <v>0</v>
      </c>
      <c r="T163" s="176">
        <f t="shared" si="56"/>
        <v>6</v>
      </c>
      <c r="U163" s="250">
        <f t="shared" si="57"/>
        <v>0.68831859672628815</v>
      </c>
      <c r="V163" s="382">
        <f t="shared" si="58"/>
        <v>61.409103150372083</v>
      </c>
      <c r="W163" s="400">
        <f t="shared" si="59"/>
        <v>62.179616692322547</v>
      </c>
      <c r="X163" s="157">
        <f t="shared" si="60"/>
        <v>45075</v>
      </c>
      <c r="Y163" s="383">
        <f t="shared" si="61"/>
        <v>60.405765821909888</v>
      </c>
      <c r="Z163" s="383">
        <f t="shared" si="62"/>
        <v>62.279573578356562</v>
      </c>
      <c r="AA163" s="384">
        <f t="shared" si="63"/>
        <v>64.842769791716563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3.9529406618399016E-2</v>
      </c>
      <c r="AD163" s="230">
        <f>(INDEX(Models!$BJ163:$BT163,,AH163)*(1-AF163)+INDEX(Models!$BJ163:$BT163,,AH163+1)*AF163-ERP_i)*AE163*Ramure*Pc/MaxiM</f>
        <v>1.5011917658733849E-4</v>
      </c>
      <c r="AE163" s="304">
        <f t="shared" si="65"/>
        <v>0.6</v>
      </c>
      <c r="AF163" s="177">
        <f t="shared" si="66"/>
        <v>0.68831859672628815</v>
      </c>
      <c r="AG163" s="799">
        <f t="shared" si="74"/>
        <v>0</v>
      </c>
      <c r="AH163" s="176">
        <f t="shared" si="67"/>
        <v>6</v>
      </c>
      <c r="AI163" s="224">
        <f t="shared" si="68"/>
        <v>0.68831859672628815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09">
        <f>'2022'!Wh/'2022'!Env_an*'2023'!Env_an</f>
        <v>52.758611080291672</v>
      </c>
      <c r="C164" s="829"/>
      <c r="D164" s="391">
        <f t="shared" si="50"/>
        <v>54.396243942310768</v>
      </c>
      <c r="E164" s="383">
        <f t="shared" si="72"/>
        <v>55.025582854532225</v>
      </c>
      <c r="F164" s="383">
        <f t="shared" si="51"/>
        <v>55.032128525807245</v>
      </c>
      <c r="G164" s="110">
        <f t="shared" si="73"/>
        <v>0.85937555444026081</v>
      </c>
      <c r="H164" s="412" t="b">
        <f>Wh_hp&gt;='2022'!Maxi_hp</f>
        <v>0</v>
      </c>
      <c r="I164" s="379">
        <f>IF(H164,Wh_hp,'2022'!Maxi_hp)</f>
        <v>59.25879141798292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3.0105623905868684E-2</v>
      </c>
      <c r="M164" s="832"/>
      <c r="N164" s="832"/>
      <c r="O164" s="48">
        <f>IF(t&lt;Tnet,'2022'!Resal+('2022'!Salim-'2022'!Resal)*(1-EXP(('2022'!Tnet-t)/('2022'!Tau_j))),Resal+(Salim-Resal)*(1-EXP((Tnet-t)/(Tau_j))))*Salcycl</f>
        <v>1.1437205742739752E-2</v>
      </c>
      <c r="P164" s="338">
        <f>(INDEX(Models!$BJ164:$BT164,,T164)*(1-R164)+INDEX(Models!$BJ164:$BT164,,T164+1)*R164-ERP_i)*Q164*Ramure*Pc/MaxiM</f>
        <v>1.4883754181127081E-4</v>
      </c>
      <c r="Q164" s="304">
        <f t="shared" si="53"/>
        <v>0.6</v>
      </c>
      <c r="R164" s="177">
        <f t="shared" si="54"/>
        <v>0.69318732566637564</v>
      </c>
      <c r="S164" s="799">
        <f t="shared" si="55"/>
        <v>0</v>
      </c>
      <c r="T164" s="176">
        <f t="shared" si="56"/>
        <v>6</v>
      </c>
      <c r="U164" s="250">
        <f t="shared" si="57"/>
        <v>0.69318732566637564</v>
      </c>
      <c r="V164" s="382">
        <f t="shared" si="58"/>
        <v>61.389963225063546</v>
      </c>
      <c r="W164" s="400">
        <f t="shared" si="59"/>
        <v>52.758611080291672</v>
      </c>
      <c r="X164" s="157">
        <f t="shared" si="60"/>
        <v>45076</v>
      </c>
      <c r="Y164" s="383">
        <f t="shared" si="61"/>
        <v>51.253861174826753</v>
      </c>
      <c r="Z164" s="383">
        <f t="shared" si="62"/>
        <v>52.84478644079941</v>
      </c>
      <c r="AA164" s="384">
        <f t="shared" si="63"/>
        <v>55.025582854532225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3.9632409155902215E-2</v>
      </c>
      <c r="AD164" s="230">
        <f>(INDEX(Models!$BJ164:$BT164,,AH164)*(1-AF164)+INDEX(Models!$BJ164:$BT164,,AH164+1)*AF164-ERP_i)*AE164*Ramure*Pc/MaxiM</f>
        <v>1.4883754181127081E-4</v>
      </c>
      <c r="AE164" s="304">
        <f t="shared" si="65"/>
        <v>0.6</v>
      </c>
      <c r="AF164" s="177">
        <f t="shared" si="66"/>
        <v>0.69318732566637564</v>
      </c>
      <c r="AG164" s="799">
        <f t="shared" si="74"/>
        <v>0</v>
      </c>
      <c r="AH164" s="176">
        <f t="shared" si="67"/>
        <v>6</v>
      </c>
      <c r="AI164" s="224">
        <f t="shared" si="68"/>
        <v>0.69318732566637564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09">
        <f>'2022'!Wh/'2022'!Env_an*'2023'!Env_an</f>
        <v>57.192070201209823</v>
      </c>
      <c r="C165" s="829"/>
      <c r="D165" s="391">
        <f t="shared" si="50"/>
        <v>58.968448219606167</v>
      </c>
      <c r="E165" s="383">
        <f t="shared" si="72"/>
        <v>59.65747858185825</v>
      </c>
      <c r="F165" s="383">
        <f t="shared" si="51"/>
        <v>59.665429474180556</v>
      </c>
      <c r="G165" s="110">
        <f t="shared" si="73"/>
        <v>0.93196562366023095</v>
      </c>
      <c r="H165" s="412" t="b">
        <f>Wh_hp&gt;='2022'!Maxi_hp</f>
        <v>0</v>
      </c>
      <c r="I165" s="379">
        <f>IF(H165,Wh_hp,'2022'!Maxi_hp)</f>
        <v>62.682352866116169</v>
      </c>
      <c r="J165" s="85">
        <f>IF(H165,An,'2022'!An_max)</f>
        <v>2018</v>
      </c>
      <c r="K165" s="197">
        <f t="shared" si="52"/>
        <v>45077</v>
      </c>
      <c r="L165" s="147">
        <f>IF(t&lt;Tvie,1-EXP((T0-t)*PertePVj)+'2022'!Pspv,1-EXP((T0-t)*PertePVj)+Pspv)</f>
        <v>3.0124211710318094E-2</v>
      </c>
      <c r="M165" s="832"/>
      <c r="N165" s="832"/>
      <c r="O165" s="48">
        <f>IF(t&lt;Tnet,'2022'!Resal+('2022'!Salim-'2022'!Resal)*(1-EXP(('2022'!Tnet-t)/('2022'!Tau_j))),Resal+(Salim-Resal)*(1-EXP((Tnet-t)/(Tau_j))))*Salcycl</f>
        <v>1.154977345055969E-2</v>
      </c>
      <c r="P165" s="338">
        <f>(INDEX(Models!$BJ165:$BT165,,T165)*(1-R165)+INDEX(Models!$BJ165:$BT165,,T165+1)*R165-ERP_i)*Q165*Ramure*Pc/MaxiM</f>
        <v>1.4760072768070905E-4</v>
      </c>
      <c r="Q165" s="304">
        <f t="shared" si="53"/>
        <v>0.6</v>
      </c>
      <c r="R165" s="177">
        <f t="shared" si="54"/>
        <v>0.69810072221600239</v>
      </c>
      <c r="S165" s="799">
        <f t="shared" si="55"/>
        <v>0</v>
      </c>
      <c r="T165" s="176">
        <f t="shared" si="56"/>
        <v>6</v>
      </c>
      <c r="U165" s="250">
        <f t="shared" si="57"/>
        <v>0.69810072221600239</v>
      </c>
      <c r="V165" s="382">
        <f t="shared" si="58"/>
        <v>61.366265392544371</v>
      </c>
      <c r="W165" s="400">
        <f t="shared" si="59"/>
        <v>57.192070201209823</v>
      </c>
      <c r="X165" s="157">
        <f t="shared" si="60"/>
        <v>45077</v>
      </c>
      <c r="Y165" s="383">
        <f t="shared" si="61"/>
        <v>55.561248332260327</v>
      </c>
      <c r="Z165" s="383">
        <f t="shared" si="62"/>
        <v>57.286973242459503</v>
      </c>
      <c r="AA165" s="384">
        <f t="shared" si="63"/>
        <v>59.65747858185825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3.9735258608794344E-2</v>
      </c>
      <c r="AD165" s="230">
        <f>(INDEX(Models!$BJ165:$BT165,,AH165)*(1-AF165)+INDEX(Models!$BJ165:$BT165,,AH165+1)*AF165-ERP_i)*AE165*Ramure*Pc/MaxiM</f>
        <v>1.4760072768070905E-4</v>
      </c>
      <c r="AE165" s="304">
        <f t="shared" si="65"/>
        <v>0.6</v>
      </c>
      <c r="AF165" s="177">
        <f t="shared" si="66"/>
        <v>0.69810072221600239</v>
      </c>
      <c r="AG165" s="799">
        <f t="shared" si="74"/>
        <v>0</v>
      </c>
      <c r="AH165" s="176">
        <f t="shared" si="67"/>
        <v>6</v>
      </c>
      <c r="AI165" s="224">
        <f t="shared" si="68"/>
        <v>0.69810072221600239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09">
        <f>'2022'!Wh/'2022'!Env_an*'2023'!Env_an</f>
        <v>58.277538631368152</v>
      </c>
      <c r="C166" s="829"/>
      <c r="D166" s="391">
        <f t="shared" si="50"/>
        <v>60.088782741217607</v>
      </c>
      <c r="E166" s="383">
        <f t="shared" si="72"/>
        <v>60.797826078863238</v>
      </c>
      <c r="F166" s="383">
        <f t="shared" si="51"/>
        <v>60.806093995576475</v>
      </c>
      <c r="G166" s="110">
        <f t="shared" si="73"/>
        <v>0.95008834577430479</v>
      </c>
      <c r="H166" s="412" t="b">
        <f>Wh_hp&gt;='2022'!Maxi_hp</f>
        <v>0</v>
      </c>
      <c r="I166" s="379">
        <f>IF(H166,Wh_hp,'2022'!Maxi_hp)</f>
        <v>63.124729427681508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3.014279915853646E-2</v>
      </c>
      <c r="M166" s="832"/>
      <c r="N166" s="832"/>
      <c r="O166" s="48">
        <f>IF(t&lt;Tnet,'2022'!Resal+('2022'!Salim-'2022'!Resal)*(1-EXP(('2022'!Tnet-t)/('2022'!Tau_j))),Resal+(Salim-Resal)*(1-EXP((Tnet-t)/(Tau_j))))*Salcycl</f>
        <v>1.1662313990074362E-2</v>
      </c>
      <c r="P166" s="338">
        <f>(INDEX(Models!$BJ166:$BT166,,T166)*(1-R166)+INDEX(Models!$BJ166:$BT166,,T166+1)*R166-ERP_i)*Q166*Ramure*Pc/MaxiM</f>
        <v>1.4640908302866661E-4</v>
      </c>
      <c r="Q166" s="304">
        <f t="shared" si="53"/>
        <v>0.6</v>
      </c>
      <c r="R166" s="177">
        <f t="shared" si="54"/>
        <v>0.70305520029308477</v>
      </c>
      <c r="S166" s="799">
        <f t="shared" si="55"/>
        <v>0</v>
      </c>
      <c r="T166" s="176">
        <f t="shared" si="56"/>
        <v>6</v>
      </c>
      <c r="U166" s="250">
        <f t="shared" si="57"/>
        <v>0.70305520029308477</v>
      </c>
      <c r="V166" s="382">
        <f t="shared" si="58"/>
        <v>61.338432948088204</v>
      </c>
      <c r="W166" s="400">
        <f t="shared" si="59"/>
        <v>58.277538631368152</v>
      </c>
      <c r="X166" s="157">
        <f t="shared" si="60"/>
        <v>45078</v>
      </c>
      <c r="Y166" s="383">
        <f t="shared" si="61"/>
        <v>56.616158115364648</v>
      </c>
      <c r="Z166" s="383">
        <f t="shared" si="62"/>
        <v>58.375767139990884</v>
      </c>
      <c r="AA166" s="384">
        <f t="shared" si="63"/>
        <v>60.797826078863238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3.9837920121199813E-2</v>
      </c>
      <c r="AD166" s="230">
        <f>(INDEX(Models!$BJ166:$BT166,,AH166)*(1-AF166)+INDEX(Models!$BJ166:$BT166,,AH166+1)*AF166-ERP_i)*AE166*Ramure*Pc/MaxiM</f>
        <v>1.4640908302866661E-4</v>
      </c>
      <c r="AE166" s="304">
        <f t="shared" si="65"/>
        <v>0.6</v>
      </c>
      <c r="AF166" s="177">
        <f t="shared" si="66"/>
        <v>0.70305520029308477</v>
      </c>
      <c r="AG166" s="799">
        <f t="shared" si="74"/>
        <v>0</v>
      </c>
      <c r="AH166" s="176">
        <f t="shared" si="67"/>
        <v>6</v>
      </c>
      <c r="AI166" s="224">
        <f t="shared" si="68"/>
        <v>0.70305520029308477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09">
        <f>'2022'!Wh/'2022'!Env_an*'2023'!Env_an</f>
        <v>46.478576191157217</v>
      </c>
      <c r="C167" s="829"/>
      <c r="D167" s="391">
        <f t="shared" si="50"/>
        <v>47.924031413296206</v>
      </c>
      <c r="E167" s="383">
        <f t="shared" si="72"/>
        <v>48.495051709624583</v>
      </c>
      <c r="F167" s="383">
        <f t="shared" si="51"/>
        <v>48.499662597073204</v>
      </c>
      <c r="G167" s="110">
        <f t="shared" si="73"/>
        <v>0.75809169031387924</v>
      </c>
      <c r="H167" s="412" t="b">
        <f>Wh_hp&gt;='2022'!Maxi_hp</f>
        <v>0</v>
      </c>
      <c r="I167" s="379">
        <f>IF(H167,Wh_hp,'2022'!Maxi_hp)</f>
        <v>62.353294055215706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3.0161386250530553E-2</v>
      </c>
      <c r="M167" s="832"/>
      <c r="N167" s="832"/>
      <c r="O167" s="48">
        <f>IF(t&lt;Tnet,'2022'!Resal+('2022'!Salim-'2022'!Resal)*(1-EXP(('2022'!Tnet-t)/('2022'!Tau_j))),Resal+(Salim-Resal)*(1-EXP((Tnet-t)/(Tau_j))))*Salcycl</f>
        <v>1.1774815701764644E-2</v>
      </c>
      <c r="P167" s="338">
        <f>(INDEX(Models!$BJ167:$BT167,,T167)*(1-R167)+INDEX(Models!$BJ167:$BT167,,T167+1)*R167-ERP_i)*Q167*Ramure*Pc/MaxiM</f>
        <v>1.4526311486168635E-4</v>
      </c>
      <c r="Q167" s="304">
        <f t="shared" si="53"/>
        <v>0.6</v>
      </c>
      <c r="R167" s="177">
        <f t="shared" si="54"/>
        <v>0.70804704370749727</v>
      </c>
      <c r="S167" s="799">
        <f t="shared" si="55"/>
        <v>0</v>
      </c>
      <c r="T167" s="176">
        <f t="shared" si="56"/>
        <v>6</v>
      </c>
      <c r="U167" s="250">
        <f t="shared" si="57"/>
        <v>0.70804704370749727</v>
      </c>
      <c r="V167" s="382">
        <f t="shared" si="58"/>
        <v>61.30688897156373</v>
      </c>
      <c r="W167" s="400">
        <f t="shared" si="59"/>
        <v>46.478576191157217</v>
      </c>
      <c r="X167" s="157">
        <f t="shared" si="60"/>
        <v>45079</v>
      </c>
      <c r="Y167" s="383">
        <f t="shared" si="61"/>
        <v>45.153883836159444</v>
      </c>
      <c r="Z167" s="383">
        <f t="shared" si="62"/>
        <v>46.558141938266523</v>
      </c>
      <c r="AA167" s="384">
        <f t="shared" si="63"/>
        <v>48.495051709624583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3.9940358924777757E-2</v>
      </c>
      <c r="AD167" s="230">
        <f>(INDEX(Models!$BJ167:$BT167,,AH167)*(1-AF167)+INDEX(Models!$BJ167:$BT167,,AH167+1)*AF167-ERP_i)*AE167*Ramure*Pc/MaxiM</f>
        <v>1.4526311486168635E-4</v>
      </c>
      <c r="AE167" s="304">
        <f t="shared" si="65"/>
        <v>0.6</v>
      </c>
      <c r="AF167" s="177">
        <f t="shared" si="66"/>
        <v>0.70804704370749727</v>
      </c>
      <c r="AG167" s="799">
        <f t="shared" si="74"/>
        <v>0</v>
      </c>
      <c r="AH167" s="176">
        <f t="shared" si="67"/>
        <v>6</v>
      </c>
      <c r="AI167" s="224">
        <f t="shared" si="68"/>
        <v>0.70804704370749727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09">
        <f>'2022'!Wh/'2022'!Env_an*'2023'!Env_an</f>
        <v>56.849426408974729</v>
      </c>
      <c r="C168" s="829"/>
      <c r="D168" s="391">
        <f t="shared" si="50"/>
        <v>58.61853212500435</v>
      </c>
      <c r="E168" s="383">
        <f t="shared" si="72"/>
        <v>59.323729115739098</v>
      </c>
      <c r="F168" s="383">
        <f t="shared" si="51"/>
        <v>59.331400554509891</v>
      </c>
      <c r="G168" s="110">
        <f t="shared" si="73"/>
        <v>0.9278059954774438</v>
      </c>
      <c r="H168" s="412" t="b">
        <f>Wh_hp&gt;='2022'!Maxi_hp</f>
        <v>0</v>
      </c>
      <c r="I168" s="379">
        <f>IF(H168,Wh_hp,'2022'!Maxi_hp)</f>
        <v>59.33169374417173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3.0179972986307368E-2</v>
      </c>
      <c r="M168" s="832"/>
      <c r="N168" s="832"/>
      <c r="O168" s="48">
        <f>IF(t&lt;Tnet,'2022'!Resal+('2022'!Salim-'2022'!Resal)*(1-EXP(('2022'!Tnet-t)/('2022'!Tau_j))),Resal+(Salim-Resal)*(1-EXP((Tnet-t)/(Tau_j))))*Salcycl</f>
        <v>1.1887266718498582E-2</v>
      </c>
      <c r="P168" s="338">
        <f>(INDEX(Models!$BJ168:$BT168,,T168)*(1-R168)+INDEX(Models!$BJ168:$BT168,,T168+1)*R168-ERP_i)*Q168*Ramure*Pc/MaxiM</f>
        <v>1.4416348148797671E-4</v>
      </c>
      <c r="Q168" s="304">
        <f t="shared" si="53"/>
        <v>0.6</v>
      </c>
      <c r="R168" s="177">
        <f t="shared" si="54"/>
        <v>0.71307241648976916</v>
      </c>
      <c r="S168" s="799">
        <f t="shared" si="55"/>
        <v>0</v>
      </c>
      <c r="T168" s="176">
        <f t="shared" si="56"/>
        <v>6</v>
      </c>
      <c r="U168" s="250">
        <f t="shared" si="57"/>
        <v>0.71307241648976916</v>
      </c>
      <c r="V168" s="382">
        <f t="shared" si="58"/>
        <v>61.272056323991897</v>
      </c>
      <c r="W168" s="400">
        <f t="shared" si="59"/>
        <v>56.849426408974729</v>
      </c>
      <c r="X168" s="157">
        <f t="shared" si="60"/>
        <v>45080</v>
      </c>
      <c r="Y168" s="383">
        <f t="shared" si="61"/>
        <v>55.229559455317627</v>
      </c>
      <c r="Z168" s="383">
        <f t="shared" si="62"/>
        <v>56.948256291822126</v>
      </c>
      <c r="AA168" s="384">
        <f t="shared" si="63"/>
        <v>59.323729115739098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4.0042540469471859E-2</v>
      </c>
      <c r="AD168" s="230">
        <f>(INDEX(Models!$BJ168:$BT168,,AH168)*(1-AF168)+INDEX(Models!$BJ168:$BT168,,AH168+1)*AF168-ERP_i)*AE168*Ramure*Pc/MaxiM</f>
        <v>1.4416348148797671E-4</v>
      </c>
      <c r="AE168" s="304">
        <f t="shared" si="65"/>
        <v>0.6</v>
      </c>
      <c r="AF168" s="177">
        <f t="shared" si="66"/>
        <v>0.71307241648976916</v>
      </c>
      <c r="AG168" s="799">
        <f t="shared" si="74"/>
        <v>0</v>
      </c>
      <c r="AH168" s="176">
        <f t="shared" si="67"/>
        <v>6</v>
      </c>
      <c r="AI168" s="224">
        <f t="shared" si="68"/>
        <v>0.71307241648976916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09">
        <f>'2022'!Wh/'2022'!Env_an*'2023'!Env_an</f>
        <v>27.101447856869502</v>
      </c>
      <c r="C169" s="829"/>
      <c r="D169" s="391">
        <f t="shared" si="50"/>
        <v>27.945357391043483</v>
      </c>
      <c r="E169" s="383">
        <f t="shared" si="72"/>
        <v>28.284764810827145</v>
      </c>
      <c r="F169" s="383">
        <f t="shared" si="51"/>
        <v>28.285589358892615</v>
      </c>
      <c r="G169" s="110">
        <f t="shared" si="73"/>
        <v>0.44253520939229418</v>
      </c>
      <c r="H169" s="412" t="b">
        <f>Wh_hp&gt;='2022'!Maxi_hp</f>
        <v>0</v>
      </c>
      <c r="I169" s="379">
        <f>IF(H169,Wh_hp,'2022'!Maxi_hp)</f>
        <v>57.206955445857666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3.0198559365873567E-2</v>
      </c>
      <c r="M169" s="832"/>
      <c r="N169" s="832"/>
      <c r="O169" s="48">
        <f>IF(t&lt;Tnet,'2022'!Resal+('2022'!Salim-'2022'!Resal)*(1-EXP(('2022'!Tnet-t)/('2022'!Tau_j))),Resal+(Salim-Resal)*(1-EXP((Tnet-t)/(Tau_j))))*Salcycl</f>
        <v>1.1999655010521524E-2</v>
      </c>
      <c r="P169" s="338">
        <f>(INDEX(Models!$BJ169:$BT169,,T169)*(1-R169)+INDEX(Models!$BJ169:$BT169,,T169+1)*R169-ERP_i)*Q169*Ramure*Pc/MaxiM</f>
        <v>1.4311098513956365E-4</v>
      </c>
      <c r="Q169" s="304">
        <f t="shared" si="53"/>
        <v>0.6</v>
      </c>
      <c r="R169" s="177">
        <f t="shared" si="54"/>
        <v>0.71812737401942894</v>
      </c>
      <c r="S169" s="799">
        <f t="shared" si="55"/>
        <v>0</v>
      </c>
      <c r="T169" s="176">
        <f t="shared" si="56"/>
        <v>6</v>
      </c>
      <c r="U169" s="250">
        <f t="shared" si="57"/>
        <v>0.71812737401942894</v>
      </c>
      <c r="V169" s="382">
        <f t="shared" si="58"/>
        <v>61.234357642453155</v>
      </c>
      <c r="W169" s="400">
        <f t="shared" si="59"/>
        <v>27.101447856869502</v>
      </c>
      <c r="X169" s="157">
        <f t="shared" si="60"/>
        <v>45081</v>
      </c>
      <c r="Y169" s="383">
        <f t="shared" si="61"/>
        <v>26.329419617459454</v>
      </c>
      <c r="Z169" s="383">
        <f t="shared" si="62"/>
        <v>27.149289034096888</v>
      </c>
      <c r="AA169" s="384">
        <f t="shared" si="63"/>
        <v>28.284764810827145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4.0144430555618699E-2</v>
      </c>
      <c r="AD169" s="230">
        <f>(INDEX(Models!$BJ169:$BT169,,AH169)*(1-AF169)+INDEX(Models!$BJ169:$BT169,,AH169+1)*AF169-ERP_i)*AE169*Ramure*Pc/MaxiM</f>
        <v>1.4311098513956365E-4</v>
      </c>
      <c r="AE169" s="304">
        <f t="shared" si="65"/>
        <v>0.6</v>
      </c>
      <c r="AF169" s="177">
        <f t="shared" si="66"/>
        <v>0.71812737401942894</v>
      </c>
      <c r="AG169" s="799">
        <f t="shared" si="74"/>
        <v>0</v>
      </c>
      <c r="AH169" s="176">
        <f t="shared" si="67"/>
        <v>6</v>
      </c>
      <c r="AI169" s="224">
        <f t="shared" si="68"/>
        <v>0.71812737401942894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09">
        <f>'2022'!Wh/'2022'!Env_an*'2023'!Env_an</f>
        <v>37.344245948078303</v>
      </c>
      <c r="C170" s="829"/>
      <c r="D170" s="391">
        <f t="shared" si="50"/>
        <v>38.507843039838995</v>
      </c>
      <c r="E170" s="383">
        <f t="shared" ref="E170:E232" si="75">Wh_pvt/(1-Psa)</f>
        <v>38.979967171708537</v>
      </c>
      <c r="F170" s="383">
        <f t="shared" si="51"/>
        <v>38.982424115349197</v>
      </c>
      <c r="G170" s="110">
        <f t="shared" ref="G170:G232" si="76">+Wh_hp/MaxiM</f>
        <v>0.61020951710365567</v>
      </c>
      <c r="H170" s="412" t="b">
        <f>Wh_hp&gt;='2022'!Maxi_hp</f>
        <v>0</v>
      </c>
      <c r="I170" s="379">
        <f>IF(H170,Wh_hp,'2022'!Maxi_hp)</f>
        <v>45.501902889660293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3.0217145389236033E-2</v>
      </c>
      <c r="M170" s="832"/>
      <c r="N170" s="832"/>
      <c r="O170" s="48">
        <f>IF(t&lt;Tnet,'2022'!Resal+('2022'!Salim-'2022'!Resal)*(1-EXP(('2022'!Tnet-t)/('2022'!Tau_j))),Resal+(Salim-Resal)*(1-EXP((Tnet-t)/(Tau_j))))*Salcycl</f>
        <v>1.2111968432138789E-2</v>
      </c>
      <c r="P170" s="338">
        <f>(INDEX(Models!$BJ170:$BT170,,T170)*(1-R170)+INDEX(Models!$BJ170:$BT170,,T170+1)*R170-ERP_i)*Q170*Ramure*Pc/MaxiM</f>
        <v>1.4220066667897769E-4</v>
      </c>
      <c r="Q170" s="304">
        <f t="shared" si="53"/>
        <v>0.6</v>
      </c>
      <c r="R170" s="177">
        <f t="shared" si="54"/>
        <v>0.72320787488970095</v>
      </c>
      <c r="S170" s="799">
        <f t="shared" si="55"/>
        <v>0</v>
      </c>
      <c r="T170" s="176">
        <f t="shared" si="56"/>
        <v>6</v>
      </c>
      <c r="U170" s="250">
        <f t="shared" si="57"/>
        <v>0.72320787488970095</v>
      </c>
      <c r="V170" s="382">
        <f t="shared" si="58"/>
        <v>61.194209583189775</v>
      </c>
      <c r="W170" s="400">
        <f t="shared" si="59"/>
        <v>37.344245948078303</v>
      </c>
      <c r="X170" s="157">
        <f t="shared" si="60"/>
        <v>45082</v>
      </c>
      <c r="Y170" s="383">
        <f t="shared" si="61"/>
        <v>36.280720536786006</v>
      </c>
      <c r="Z170" s="383">
        <f t="shared" si="62"/>
        <v>37.411179589628638</v>
      </c>
      <c r="AA170" s="384">
        <f t="shared" si="63"/>
        <v>38.979967171708537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4.024599546657695E-2</v>
      </c>
      <c r="AD170" s="230">
        <f>(INDEX(Models!$BJ170:$BT170,,AH170)*(1-AF170)+INDEX(Models!$BJ170:$BT170,,AH170+1)*AF170-ERP_i)*AE170*Ramure*Pc/MaxiM</f>
        <v>1.4220066667897769E-4</v>
      </c>
      <c r="AE170" s="304">
        <f t="shared" si="65"/>
        <v>0.6</v>
      </c>
      <c r="AF170" s="177">
        <f t="shared" si="66"/>
        <v>0.72320787488970095</v>
      </c>
      <c r="AG170" s="799">
        <f t="shared" si="74"/>
        <v>0</v>
      </c>
      <c r="AH170" s="176">
        <f t="shared" si="67"/>
        <v>6</v>
      </c>
      <c r="AI170" s="224">
        <f t="shared" si="68"/>
        <v>0.72320787488970095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09">
        <f>'2022'!Wh/'2022'!Env_an*'2023'!Env_an</f>
        <v>48.711431789956777</v>
      </c>
      <c r="C171" s="829"/>
      <c r="D171" s="391">
        <f t="shared" si="50"/>
        <v>50.230177941099043</v>
      </c>
      <c r="E171" s="383">
        <f t="shared" si="75"/>
        <v>50.851800251772275</v>
      </c>
      <c r="F171" s="383">
        <f t="shared" si="51"/>
        <v>50.856899614654758</v>
      </c>
      <c r="G171" s="110">
        <f t="shared" si="76"/>
        <v>0.7965299424375365</v>
      </c>
      <c r="H171" s="412" t="b">
        <f>Wh_hp&gt;='2022'!Maxi_hp</f>
        <v>0</v>
      </c>
      <c r="I171" s="379">
        <f>IF(H171,Wh_hp,'2022'!Maxi_hp)</f>
        <v>58.87079114151684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3.0235731056401649E-2</v>
      </c>
      <c r="M171" s="832"/>
      <c r="N171" s="832"/>
      <c r="O171" s="48">
        <f>IF(t&lt;Tnet,'2022'!Resal+('2022'!Salim-'2022'!Resal)*(1-EXP(('2022'!Tnet-t)/('2022'!Tau_j))),Resal+(Salim-Resal)*(1-EXP((Tnet-t)/(Tau_j))))*Salcycl</f>
        <v>1.2224194769811842E-2</v>
      </c>
      <c r="P171" s="338">
        <f>(INDEX(Models!$BJ171:$BT171,,T171)*(1-R171)+INDEX(Models!$BJ171:$BT171,,T171+1)*R171-ERP_i)*Q171*Ramure*Pc/MaxiM</f>
        <v>1.4134811199739857E-4</v>
      </c>
      <c r="Q171" s="304">
        <f t="shared" si="53"/>
        <v>0.6</v>
      </c>
      <c r="R171" s="177">
        <f t="shared" si="54"/>
        <v>0.72830979343684088</v>
      </c>
      <c r="S171" s="799">
        <f t="shared" si="55"/>
        <v>0</v>
      </c>
      <c r="T171" s="176">
        <f t="shared" si="56"/>
        <v>6</v>
      </c>
      <c r="U171" s="250">
        <f t="shared" si="57"/>
        <v>0.72830979343684088</v>
      </c>
      <c r="V171" s="382">
        <f t="shared" si="58"/>
        <v>61.152039571303909</v>
      </c>
      <c r="W171" s="400">
        <f t="shared" si="59"/>
        <v>48.711431789956777</v>
      </c>
      <c r="X171" s="157">
        <f t="shared" si="60"/>
        <v>45083</v>
      </c>
      <c r="Y171" s="383">
        <f t="shared" si="61"/>
        <v>47.324566525502163</v>
      </c>
      <c r="Z171" s="383">
        <f t="shared" si="62"/>
        <v>48.800072389813494</v>
      </c>
      <c r="AA171" s="384">
        <f t="shared" si="63"/>
        <v>50.851800251772275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4.0347202101016617E-2</v>
      </c>
      <c r="AD171" s="230">
        <f>(INDEX(Models!$BJ171:$BT171,,AH171)*(1-AF171)+INDEX(Models!$BJ171:$BT171,,AH171+1)*AF171-ERP_i)*AE171*Ramure*Pc/MaxiM</f>
        <v>1.4134811199739857E-4</v>
      </c>
      <c r="AE171" s="304">
        <f t="shared" si="65"/>
        <v>0.6</v>
      </c>
      <c r="AF171" s="177">
        <f t="shared" si="66"/>
        <v>0.72830979343684088</v>
      </c>
      <c r="AG171" s="799">
        <f t="shared" si="74"/>
        <v>0</v>
      </c>
      <c r="AH171" s="176">
        <f t="shared" si="67"/>
        <v>6</v>
      </c>
      <c r="AI171" s="224">
        <f t="shared" si="68"/>
        <v>0.72830979343684088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09">
        <f>'2022'!Wh/'2022'!Env_an*'2023'!Env_an</f>
        <v>29.548422045054217</v>
      </c>
      <c r="C172" s="829"/>
      <c r="D172" s="391">
        <f t="shared" si="50"/>
        <v>30.470279521500096</v>
      </c>
      <c r="E172" s="383">
        <f t="shared" si="75"/>
        <v>30.850865728671341</v>
      </c>
      <c r="F172" s="383">
        <f t="shared" si="51"/>
        <v>30.852002743883023</v>
      </c>
      <c r="G172" s="110">
        <f t="shared" si="76"/>
        <v>0.48349197173344499</v>
      </c>
      <c r="H172" s="412" t="b">
        <f>Wh_hp&gt;='2022'!Maxi_hp</f>
        <v>0</v>
      </c>
      <c r="I172" s="379">
        <f>IF(H172,Wh_hp,'2022'!Maxi_hp)</f>
        <v>52.613805955532094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3.0254316367377188E-2</v>
      </c>
      <c r="M172" s="832"/>
      <c r="N172" s="832"/>
      <c r="O172" s="48">
        <f>IF(t&lt;Tnet,'2022'!Resal+('2022'!Salim-'2022'!Resal)*(1-EXP(('2022'!Tnet-t)/('2022'!Tau_j))),Resal+(Salim-Resal)*(1-EXP((Tnet-t)/(Tau_j))))*Salcycl</f>
        <v>1.2336321791370257E-2</v>
      </c>
      <c r="P172" s="338">
        <f>(INDEX(Models!$BJ172:$BT172,,T172)*(1-R172)+INDEX(Models!$BJ172:$BT172,,T172+1)*R172-ERP_i)*Q172*Ramure*Pc/MaxiM</f>
        <v>1.405546494696751E-4</v>
      </c>
      <c r="Q172" s="304">
        <f t="shared" si="53"/>
        <v>0.6</v>
      </c>
      <c r="R172" s="177">
        <f t="shared" si="54"/>
        <v>0.73342893285466682</v>
      </c>
      <c r="S172" s="799">
        <f t="shared" si="55"/>
        <v>0</v>
      </c>
      <c r="T172" s="176">
        <f t="shared" si="56"/>
        <v>6</v>
      </c>
      <c r="U172" s="250">
        <f t="shared" si="57"/>
        <v>0.73342893285466682</v>
      </c>
      <c r="V172" s="382">
        <f t="shared" si="58"/>
        <v>61.108269556846111</v>
      </c>
      <c r="W172" s="400">
        <f t="shared" si="59"/>
        <v>29.548422045054217</v>
      </c>
      <c r="X172" s="157">
        <f t="shared" si="60"/>
        <v>45084</v>
      </c>
      <c r="Y172" s="383">
        <f t="shared" si="61"/>
        <v>28.707390542757501</v>
      </c>
      <c r="Z172" s="383">
        <f t="shared" si="62"/>
        <v>29.603009353154256</v>
      </c>
      <c r="AA172" s="384">
        <f t="shared" si="63"/>
        <v>30.850865728671341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4.0448018103990659E-2</v>
      </c>
      <c r="AD172" s="230">
        <f>(INDEX(Models!$BJ172:$BT172,,AH172)*(1-AF172)+INDEX(Models!$BJ172:$BT172,,AH172+1)*AF172-ERP_i)*AE172*Ramure*Pc/MaxiM</f>
        <v>1.405546494696751E-4</v>
      </c>
      <c r="AE172" s="304">
        <f t="shared" si="65"/>
        <v>0.6</v>
      </c>
      <c r="AF172" s="177">
        <f t="shared" si="66"/>
        <v>0.73342893285466682</v>
      </c>
      <c r="AG172" s="799">
        <f t="shared" si="74"/>
        <v>0</v>
      </c>
      <c r="AH172" s="176">
        <f t="shared" si="67"/>
        <v>6</v>
      </c>
      <c r="AI172" s="224">
        <f t="shared" si="68"/>
        <v>0.73342893285466682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09">
        <f>'2022'!Wh/'2022'!Env_an*'2023'!Env_an</f>
        <v>22.028901009335129</v>
      </c>
      <c r="C173" s="829"/>
      <c r="D173" s="391">
        <f t="shared" si="50"/>
        <v>22.716598349546302</v>
      </c>
      <c r="E173" s="383">
        <f t="shared" si="75"/>
        <v>23.002946789990631</v>
      </c>
      <c r="F173" s="383">
        <f t="shared" si="51"/>
        <v>23.003225946414215</v>
      </c>
      <c r="G173" s="110">
        <f t="shared" si="76"/>
        <v>0.36070897776103994</v>
      </c>
      <c r="H173" s="412" t="b">
        <f>Wh_hp&gt;='2022'!Maxi_hp</f>
        <v>0</v>
      </c>
      <c r="I173" s="379">
        <f>IF(H173,Wh_hp,'2022'!Maxi_hp)</f>
        <v>63.747853574878313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3.0272901322169421E-2</v>
      </c>
      <c r="M173" s="832"/>
      <c r="N173" s="832"/>
      <c r="O173" s="48">
        <f>IF(t&lt;Tnet,'2022'!Resal+('2022'!Salim-'2022'!Resal)*(1-EXP(('2022'!Tnet-t)/('2022'!Tau_j))),Resal+(Salim-Resal)*(1-EXP((Tnet-t)/(Tau_j))))*Salcycl</f>
        <v>1.244833729602538E-2</v>
      </c>
      <c r="P173" s="338">
        <f>(INDEX(Models!$BJ173:$BT173,,T173)*(1-R173)+INDEX(Models!$BJ173:$BT173,,T173+1)*R173-ERP_i)*Q173*Ramure*Pc/MaxiM</f>
        <v>1.3982170602349297E-4</v>
      </c>
      <c r="Q173" s="304">
        <f t="shared" si="53"/>
        <v>0.6</v>
      </c>
      <c r="R173" s="177">
        <f t="shared" si="54"/>
        <v>0.73856103880793333</v>
      </c>
      <c r="S173" s="799">
        <f t="shared" si="55"/>
        <v>0</v>
      </c>
      <c r="T173" s="176">
        <f t="shared" si="56"/>
        <v>6</v>
      </c>
      <c r="U173" s="250">
        <f t="shared" si="57"/>
        <v>0.73856103880793333</v>
      </c>
      <c r="V173" s="382">
        <f t="shared" si="58"/>
        <v>61.063321256565132</v>
      </c>
      <c r="W173" s="400">
        <f t="shared" si="59"/>
        <v>22.028901009335129</v>
      </c>
      <c r="X173" s="157">
        <f t="shared" si="60"/>
        <v>45085</v>
      </c>
      <c r="Y173" s="383">
        <f t="shared" si="61"/>
        <v>21.402084421103563</v>
      </c>
      <c r="Z173" s="383">
        <f t="shared" si="62"/>
        <v>22.070213826430265</v>
      </c>
      <c r="AA173" s="384">
        <f t="shared" si="63"/>
        <v>23.002946789990631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4.0548411995902527E-2</v>
      </c>
      <c r="AD173" s="230">
        <f>(INDEX(Models!$BJ173:$BT173,,AH173)*(1-AF173)+INDEX(Models!$BJ173:$BT173,,AH173+1)*AF173-ERP_i)*AE173*Ramure*Pc/MaxiM</f>
        <v>1.3982170602349297E-4</v>
      </c>
      <c r="AE173" s="304">
        <f t="shared" si="65"/>
        <v>0.6</v>
      </c>
      <c r="AF173" s="177">
        <f t="shared" si="66"/>
        <v>0.73856103880793333</v>
      </c>
      <c r="AG173" s="799">
        <f t="shared" si="74"/>
        <v>0</v>
      </c>
      <c r="AH173" s="176">
        <f t="shared" si="67"/>
        <v>6</v>
      </c>
      <c r="AI173" s="224">
        <f t="shared" si="68"/>
        <v>0.73856103880793333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09">
        <f>'2022'!Wh/'2022'!Env_an*'2023'!Env_an</f>
        <v>47.99376730963197</v>
      </c>
      <c r="C174" s="829"/>
      <c r="D174" s="391">
        <f t="shared" si="50"/>
        <v>49.492983316955176</v>
      </c>
      <c r="E174" s="383">
        <f t="shared" si="75"/>
        <v>50.122533828160208</v>
      </c>
      <c r="F174" s="383">
        <f t="shared" si="51"/>
        <v>50.127382194675519</v>
      </c>
      <c r="G174" s="110">
        <f t="shared" si="76"/>
        <v>0.78652254492755536</v>
      </c>
      <c r="H174" s="412" t="b">
        <f>Wh_hp&gt;='2022'!Maxi_hp</f>
        <v>0</v>
      </c>
      <c r="I174" s="379">
        <f>IF(H174,Wh_hp,'2022'!Maxi_hp)</f>
        <v>60.451525350346095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3.0291485920785233E-2</v>
      </c>
      <c r="M174" s="832"/>
      <c r="N174" s="832"/>
      <c r="O174" s="48">
        <f>IF(t&lt;Tnet,'2022'!Resal+('2022'!Salim-'2022'!Resal)*(1-EXP(('2022'!Tnet-t)/('2022'!Tau_j))),Resal+(Salim-Resal)*(1-EXP((Tnet-t)/(Tau_j))))*Salcycl</f>
        <v>1.2560229164857878E-2</v>
      </c>
      <c r="P174" s="338">
        <f>(INDEX(Models!$BJ174:$BT174,,T174)*(1-R174)+INDEX(Models!$BJ174:$BT174,,T174+1)*R174-ERP_i)*Q174*Ramure*Pc/MaxiM</f>
        <v>1.3915079620350026E-4</v>
      </c>
      <c r="Q174" s="304">
        <f t="shared" si="53"/>
        <v>0.6</v>
      </c>
      <c r="R174" s="177">
        <f t="shared" si="54"/>
        <v>0.74370181345223929</v>
      </c>
      <c r="S174" s="799">
        <f t="shared" si="55"/>
        <v>0</v>
      </c>
      <c r="T174" s="176">
        <f t="shared" si="56"/>
        <v>6</v>
      </c>
      <c r="U174" s="250">
        <f t="shared" si="57"/>
        <v>0.74370181345223929</v>
      </c>
      <c r="V174" s="382">
        <f t="shared" si="58"/>
        <v>61.017616154233536</v>
      </c>
      <c r="W174" s="400">
        <f t="shared" si="59"/>
        <v>47.99376730963197</v>
      </c>
      <c r="X174" s="157">
        <f t="shared" si="60"/>
        <v>45086</v>
      </c>
      <c r="Y174" s="383">
        <f t="shared" si="61"/>
        <v>46.62856516399318</v>
      </c>
      <c r="Z174" s="383">
        <f t="shared" si="62"/>
        <v>48.085135364898044</v>
      </c>
      <c r="AA174" s="384">
        <f t="shared" si="63"/>
        <v>50.122533828160208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4.0648353298481828E-2</v>
      </c>
      <c r="AD174" s="230">
        <f>(INDEX(Models!$BJ174:$BT174,,AH174)*(1-AF174)+INDEX(Models!$BJ174:$BT174,,AH174+1)*AF174-ERP_i)*AE174*Ramure*Pc/MaxiM</f>
        <v>1.3915079620350026E-4</v>
      </c>
      <c r="AE174" s="304">
        <f t="shared" si="65"/>
        <v>0.6</v>
      </c>
      <c r="AF174" s="177">
        <f t="shared" si="66"/>
        <v>0.74370181345223929</v>
      </c>
      <c r="AG174" s="799">
        <f t="shared" si="74"/>
        <v>0</v>
      </c>
      <c r="AH174" s="176">
        <f t="shared" si="67"/>
        <v>6</v>
      </c>
      <c r="AI174" s="224">
        <f t="shared" si="68"/>
        <v>0.74370181345223929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09">
        <f>'2022'!Wh/'2022'!Env_an*'2023'!Env_an</f>
        <v>59.872662789981085</v>
      </c>
      <c r="C175" s="829"/>
      <c r="D175" s="391">
        <f t="shared" si="50"/>
        <v>61.744131755663041</v>
      </c>
      <c r="E175" s="383">
        <f t="shared" si="75"/>
        <v>62.536594569731847</v>
      </c>
      <c r="F175" s="383">
        <f t="shared" si="51"/>
        <v>62.545036669856877</v>
      </c>
      <c r="G175" s="110">
        <f t="shared" si="76"/>
        <v>0.98197313580067924</v>
      </c>
      <c r="H175" s="412" t="b">
        <f>Wh_hp&gt;='2022'!Maxi_hp</f>
        <v>0</v>
      </c>
      <c r="I175" s="379">
        <f>IF(H175,Wh_hp,'2022'!Maxi_hp)</f>
        <v>62.54511086114735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3.0310070163231506E-2</v>
      </c>
      <c r="M175" s="832"/>
      <c r="N175" s="832"/>
      <c r="O175" s="48">
        <f>IF(t&lt;Tnet,'2022'!Resal+('2022'!Salim-'2022'!Resal)*(1-EXP(('2022'!Tnet-t)/('2022'!Tau_j))),Resal+(Salim-Resal)*(1-EXP((Tnet-t)/(Tau_j))))*Salcycl</f>
        <v>1.2671985411440458E-2</v>
      </c>
      <c r="P175" s="338">
        <f>(INDEX(Models!$BJ175:$BT175,,T175)*(1-R175)+INDEX(Models!$BJ175:$BT175,,T175+1)*R175-ERP_i)*Q175*Ramure*Pc/MaxiM</f>
        <v>1.3854351082680724E-4</v>
      </c>
      <c r="Q175" s="304">
        <f t="shared" si="53"/>
        <v>0.6</v>
      </c>
      <c r="R175" s="177">
        <f t="shared" si="54"/>
        <v>0.74884692976325073</v>
      </c>
      <c r="S175" s="799">
        <f t="shared" si="55"/>
        <v>0</v>
      </c>
      <c r="T175" s="176">
        <f t="shared" si="56"/>
        <v>6</v>
      </c>
      <c r="U175" s="250">
        <f t="shared" si="57"/>
        <v>0.74884692976325073</v>
      </c>
      <c r="V175" s="382">
        <f t="shared" si="58"/>
        <v>60.971575496620247</v>
      </c>
      <c r="W175" s="400">
        <f t="shared" si="59"/>
        <v>59.872662789981085</v>
      </c>
      <c r="X175" s="157">
        <f t="shared" si="60"/>
        <v>45087</v>
      </c>
      <c r="Y175" s="383">
        <f t="shared" si="61"/>
        <v>58.17011357393671</v>
      </c>
      <c r="Z175" s="383">
        <f t="shared" si="62"/>
        <v>59.988365130004702</v>
      </c>
      <c r="AA175" s="384">
        <f t="shared" si="63"/>
        <v>62.536594569731847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4.0747812656887157E-2</v>
      </c>
      <c r="AD175" s="230">
        <f>(INDEX(Models!$BJ175:$BT175,,AH175)*(1-AF175)+INDEX(Models!$BJ175:$BT175,,AH175+1)*AF175-ERP_i)*AE175*Ramure*Pc/MaxiM</f>
        <v>1.3854351082680724E-4</v>
      </c>
      <c r="AE175" s="304">
        <f t="shared" si="65"/>
        <v>0.6</v>
      </c>
      <c r="AF175" s="177">
        <f t="shared" si="66"/>
        <v>0.74884692976325073</v>
      </c>
      <c r="AG175" s="799">
        <f t="shared" si="74"/>
        <v>0</v>
      </c>
      <c r="AH175" s="176">
        <f t="shared" si="67"/>
        <v>6</v>
      </c>
      <c r="AI175" s="224">
        <f t="shared" si="68"/>
        <v>0.74884692976325073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09">
        <f>'2022'!Wh/'2022'!Env_an*'2023'!Env_an</f>
        <v>57.858443932448189</v>
      </c>
      <c r="C176" s="829"/>
      <c r="D176" s="391">
        <f t="shared" si="50"/>
        <v>59.668097004284022</v>
      </c>
      <c r="E176" s="383">
        <f t="shared" si="75"/>
        <v>60.440746988883916</v>
      </c>
      <c r="F176" s="383">
        <f t="shared" si="51"/>
        <v>60.448489028316594</v>
      </c>
      <c r="G176" s="110">
        <f t="shared" si="76"/>
        <v>0.9496476087465594</v>
      </c>
      <c r="H176" s="412" t="b">
        <f>Wh_hp&gt;='2022'!Maxi_hp</f>
        <v>0</v>
      </c>
      <c r="I176" s="379">
        <f>IF(H176,Wh_hp,'2022'!Maxi_hp)</f>
        <v>60.448688456997267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3.0328654049515014E-2</v>
      </c>
      <c r="M176" s="832"/>
      <c r="N176" s="832"/>
      <c r="O176" s="48">
        <f>IF(t&lt;Tnet,'2022'!Resal+('2022'!Salim-'2022'!Resal)*(1-EXP(('2022'!Tnet-t)/('2022'!Tau_j))),Resal+(Salim-Resal)*(1-EXP((Tnet-t)/(Tau_j))))*Salcycl</f>
        <v>1.2783594232248671E-2</v>
      </c>
      <c r="P176" s="338">
        <f>(INDEX(Models!$BJ176:$BT176,,T176)*(1-R176)+INDEX(Models!$BJ176:$BT176,,T176+1)*R176-ERP_i)*Q176*Ramure*Pc/MaxiM</f>
        <v>1.3800150525177096E-4</v>
      </c>
      <c r="Q176" s="304">
        <f t="shared" si="53"/>
        <v>0.6</v>
      </c>
      <c r="R176" s="177">
        <f t="shared" si="54"/>
        <v>0.75399204607426229</v>
      </c>
      <c r="S176" s="799">
        <f t="shared" si="55"/>
        <v>0</v>
      </c>
      <c r="T176" s="176">
        <f t="shared" si="56"/>
        <v>6</v>
      </c>
      <c r="U176" s="250">
        <f t="shared" si="57"/>
        <v>0.75399204607426229</v>
      </c>
      <c r="V176" s="382">
        <f t="shared" si="58"/>
        <v>60.925620291995905</v>
      </c>
      <c r="W176" s="400">
        <f t="shared" si="59"/>
        <v>57.858443932448189</v>
      </c>
      <c r="X176" s="157">
        <f t="shared" si="60"/>
        <v>45088</v>
      </c>
      <c r="Y176" s="383">
        <f t="shared" si="61"/>
        <v>56.213727326355411</v>
      </c>
      <c r="Z176" s="383">
        <f t="shared" si="62"/>
        <v>57.971938184121498</v>
      </c>
      <c r="AA176" s="384">
        <f t="shared" si="63"/>
        <v>60.440746988883916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4.0846761957069683E-2</v>
      </c>
      <c r="AD176" s="230">
        <f>(INDEX(Models!$BJ176:$BT176,,AH176)*(1-AF176)+INDEX(Models!$BJ176:$BT176,,AH176+1)*AF176-ERP_i)*AE176*Ramure*Pc/MaxiM</f>
        <v>1.3800150525177096E-4</v>
      </c>
      <c r="AE176" s="304">
        <f t="shared" si="65"/>
        <v>0.6</v>
      </c>
      <c r="AF176" s="177">
        <f t="shared" si="66"/>
        <v>0.75399204607426229</v>
      </c>
      <c r="AG176" s="799">
        <f t="shared" si="74"/>
        <v>0</v>
      </c>
      <c r="AH176" s="176">
        <f t="shared" si="67"/>
        <v>6</v>
      </c>
      <c r="AI176" s="224">
        <f t="shared" si="68"/>
        <v>0.75399204607426229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09">
        <f>'2022'!Wh/'2022'!Env_an*'2023'!Env_an</f>
        <v>44.912010910818175</v>
      </c>
      <c r="C177" s="829"/>
      <c r="D177" s="391">
        <f t="shared" si="50"/>
        <v>46.317622814493895</v>
      </c>
      <c r="E177" s="383">
        <f t="shared" si="75"/>
        <v>46.922693008083115</v>
      </c>
      <c r="F177" s="383">
        <f t="shared" si="51"/>
        <v>46.926728688897036</v>
      </c>
      <c r="G177" s="110">
        <f t="shared" si="76"/>
        <v>0.73768635176041053</v>
      </c>
      <c r="H177" s="412" t="b">
        <f>Wh_hp&gt;='2022'!Maxi_hp</f>
        <v>0</v>
      </c>
      <c r="I177" s="379">
        <f>IF(H177,Wh_hp,'2022'!Maxi_hp)</f>
        <v>56.41651381708197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3.0347237579642639E-2</v>
      </c>
      <c r="M177" s="832"/>
      <c r="N177" s="832"/>
      <c r="O177" s="48">
        <f>IF(t&lt;Tnet,'2022'!Resal+('2022'!Salim-'2022'!Resal)*(1-EXP(('2022'!Tnet-t)/('2022'!Tau_j))),Resal+(Salim-Resal)*(1-EXP((Tnet-t)/(Tau_j))))*Salcycl</f>
        <v>1.2895044056507767E-2</v>
      </c>
      <c r="P177" s="338">
        <f>(INDEX(Models!$BJ177:$BT177,,T177)*(1-R177)+INDEX(Models!$BJ177:$BT177,,T177+1)*R177-ERP_i)*Q177*Ramure*Pc/MaxiM</f>
        <v>1.3752886037819012E-4</v>
      </c>
      <c r="Q177" s="304">
        <f t="shared" si="53"/>
        <v>0.6</v>
      </c>
      <c r="R177" s="177">
        <f t="shared" si="54"/>
        <v>0.75913282071856814</v>
      </c>
      <c r="S177" s="799">
        <f t="shared" si="55"/>
        <v>0</v>
      </c>
      <c r="T177" s="176">
        <f t="shared" si="56"/>
        <v>6</v>
      </c>
      <c r="U177" s="250">
        <f t="shared" si="57"/>
        <v>0.75913282071856814</v>
      </c>
      <c r="V177" s="382">
        <f t="shared" si="58"/>
        <v>60.879120676118113</v>
      </c>
      <c r="W177" s="400">
        <f t="shared" si="59"/>
        <v>44.912010910818175</v>
      </c>
      <c r="X177" s="157">
        <f t="shared" si="60"/>
        <v>45089</v>
      </c>
      <c r="Y177" s="383">
        <f t="shared" si="61"/>
        <v>43.635765913629122</v>
      </c>
      <c r="Z177" s="383">
        <f t="shared" si="62"/>
        <v>45.001435157787377</v>
      </c>
      <c r="AA177" s="384">
        <f t="shared" si="63"/>
        <v>46.922693008083115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4.0945174437553508E-2</v>
      </c>
      <c r="AD177" s="230">
        <f>(INDEX(Models!$BJ177:$BT177,,AH177)*(1-AF177)+INDEX(Models!$BJ177:$BT177,,AH177+1)*AF177-ERP_i)*AE177*Ramure*Pc/MaxiM</f>
        <v>1.3752886037819012E-4</v>
      </c>
      <c r="AE177" s="304">
        <f t="shared" si="65"/>
        <v>0.6</v>
      </c>
      <c r="AF177" s="177">
        <f t="shared" si="66"/>
        <v>0.75913282071856814</v>
      </c>
      <c r="AG177" s="799">
        <f t="shared" si="74"/>
        <v>0</v>
      </c>
      <c r="AH177" s="176">
        <f t="shared" si="67"/>
        <v>6</v>
      </c>
      <c r="AI177" s="224">
        <f t="shared" si="68"/>
        <v>0.75913282071856814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09">
        <f>'2022'!Wh/'2022'!Env_an*'2023'!Env_an</f>
        <v>56.480007442289669</v>
      </c>
      <c r="C178" s="829"/>
      <c r="D178" s="391">
        <f t="shared" si="50"/>
        <v>58.248779437815585</v>
      </c>
      <c r="E178" s="383">
        <f t="shared" si="75"/>
        <v>59.016365383400007</v>
      </c>
      <c r="F178" s="383">
        <f t="shared" si="51"/>
        <v>59.023636287960507</v>
      </c>
      <c r="G178" s="110">
        <f t="shared" si="76"/>
        <v>0.92845859458491431</v>
      </c>
      <c r="H178" s="412" t="b">
        <f>Wh_hp&gt;='2022'!Maxi_hp</f>
        <v>0</v>
      </c>
      <c r="I178" s="379">
        <f>IF(H178,Wh_hp,'2022'!Maxi_hp)</f>
        <v>64.279104061315721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3.0365820753621042E-2</v>
      </c>
      <c r="M178" s="832"/>
      <c r="N178" s="832"/>
      <c r="O178" s="48">
        <f>IF(t&lt;Tnet,'2022'!Resal+('2022'!Salim-'2022'!Resal)*(1-EXP(('2022'!Tnet-t)/('2022'!Tau_j))),Resal+(Salim-Resal)*(1-EXP((Tnet-t)/(Tau_j))))*Salcycl</f>
        <v>1.3006323595121477E-2</v>
      </c>
      <c r="P178" s="338">
        <f>(INDEX(Models!$BJ178:$BT178,,T178)*(1-R178)+INDEX(Models!$BJ178:$BT178,,T178+1)*R178-ERP_i)*Q178*Ramure*Pc/MaxiM</f>
        <v>1.3720655363463273E-4</v>
      </c>
      <c r="Q178" s="304">
        <f t="shared" si="53"/>
        <v>0.6</v>
      </c>
      <c r="R178" s="177">
        <f t="shared" si="54"/>
        <v>0.76426492667183465</v>
      </c>
      <c r="S178" s="799">
        <f t="shared" si="55"/>
        <v>0</v>
      </c>
      <c r="T178" s="176">
        <f t="shared" si="56"/>
        <v>6</v>
      </c>
      <c r="U178" s="250">
        <f t="shared" si="57"/>
        <v>0.76426492667183465</v>
      </c>
      <c r="V178" s="382">
        <f t="shared" si="58"/>
        <v>60.831162327808173</v>
      </c>
      <c r="W178" s="400">
        <f t="shared" si="59"/>
        <v>56.480007442289669</v>
      </c>
      <c r="X178" s="157">
        <f t="shared" si="60"/>
        <v>45090</v>
      </c>
      <c r="Y178" s="383">
        <f t="shared" si="61"/>
        <v>54.875627262080059</v>
      </c>
      <c r="Z178" s="383">
        <f t="shared" si="62"/>
        <v>56.594155235668985</v>
      </c>
      <c r="AA178" s="384">
        <f t="shared" si="63"/>
        <v>59.016365383400007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4.1043024794819645E-2</v>
      </c>
      <c r="AD178" s="230">
        <f>(INDEX(Models!$BJ178:$BT178,,AH178)*(1-AF178)+INDEX(Models!$BJ178:$BT178,,AH178+1)*AF178-ERP_i)*AE178*Ramure*Pc/MaxiM</f>
        <v>1.3720655363463273E-4</v>
      </c>
      <c r="AE178" s="304">
        <f t="shared" si="65"/>
        <v>0.6</v>
      </c>
      <c r="AF178" s="177">
        <f t="shared" si="66"/>
        <v>0.76426492667183465</v>
      </c>
      <c r="AG178" s="799">
        <f t="shared" si="74"/>
        <v>0</v>
      </c>
      <c r="AH178" s="176">
        <f t="shared" si="67"/>
        <v>6</v>
      </c>
      <c r="AI178" s="224">
        <f t="shared" si="68"/>
        <v>0.76426492667183465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09">
        <f>'2022'!Wh/'2022'!Env_an*'2023'!Env_an</f>
        <v>50.208146597849385</v>
      </c>
      <c r="C179" s="829"/>
      <c r="D179" s="391">
        <f t="shared" si="50"/>
        <v>51.781496484570567</v>
      </c>
      <c r="E179" s="383">
        <f t="shared" si="75"/>
        <v>52.469764522189458</v>
      </c>
      <c r="F179" s="383">
        <f t="shared" si="51"/>
        <v>52.475167811744186</v>
      </c>
      <c r="G179" s="110">
        <f t="shared" si="76"/>
        <v>0.82601173734643629</v>
      </c>
      <c r="H179" s="412" t="b">
        <f>Wh_hp&gt;='2022'!Maxi_hp</f>
        <v>0</v>
      </c>
      <c r="I179" s="379">
        <f>IF(H179,Wh_hp,'2022'!Maxi_hp)</f>
        <v>56.161235442538548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3.0384403571457219E-2</v>
      </c>
      <c r="M179" s="832"/>
      <c r="N179" s="832"/>
      <c r="O179" s="48">
        <f>IF(t&lt;Tnet,'2022'!Resal+('2022'!Salim-'2022'!Resal)*(1-EXP(('2022'!Tnet-t)/('2022'!Tau_j))),Resal+(Salim-Resal)*(1-EXP((Tnet-t)/(Tau_j))))*Salcycl</f>
        <v>1.311742188833E-2</v>
      </c>
      <c r="P179" s="338">
        <f>(INDEX(Models!$BJ179:$BT179,,T179)*(1-R179)+INDEX(Models!$BJ179:$BT179,,T179+1)*R179-ERP_i)*Q179*Ramure*Pc/MaxiM</f>
        <v>1.3701994382156417E-4</v>
      </c>
      <c r="Q179" s="304">
        <f t="shared" si="53"/>
        <v>0.6</v>
      </c>
      <c r="R179" s="177">
        <f t="shared" si="54"/>
        <v>0.7693840660896607</v>
      </c>
      <c r="S179" s="799">
        <f t="shared" si="55"/>
        <v>0</v>
      </c>
      <c r="T179" s="176">
        <f t="shared" si="56"/>
        <v>6</v>
      </c>
      <c r="U179" s="250">
        <f t="shared" si="57"/>
        <v>0.7693840660896607</v>
      </c>
      <c r="V179" s="382">
        <f t="shared" si="58"/>
        <v>60.781747391898769</v>
      </c>
      <c r="W179" s="400">
        <f t="shared" si="59"/>
        <v>50.208146597849385</v>
      </c>
      <c r="X179" s="157">
        <f t="shared" si="60"/>
        <v>45091</v>
      </c>
      <c r="Y179" s="383">
        <f t="shared" si="61"/>
        <v>48.782469151134862</v>
      </c>
      <c r="Z179" s="383">
        <f t="shared" si="62"/>
        <v>50.311143231213443</v>
      </c>
      <c r="AA179" s="384">
        <f t="shared" si="63"/>
        <v>52.469764522189458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4.114028928151809E-2</v>
      </c>
      <c r="AD179" s="230">
        <f>(INDEX(Models!$BJ179:$BT179,,AH179)*(1-AF179)+INDEX(Models!$BJ179:$BT179,,AH179+1)*AF179-ERP_i)*AE179*Ramure*Pc/MaxiM</f>
        <v>1.3701994382156417E-4</v>
      </c>
      <c r="AE179" s="304">
        <f t="shared" si="65"/>
        <v>0.6</v>
      </c>
      <c r="AF179" s="177">
        <f t="shared" si="66"/>
        <v>0.7693840660896607</v>
      </c>
      <c r="AG179" s="799">
        <f t="shared" si="74"/>
        <v>0</v>
      </c>
      <c r="AH179" s="176">
        <f t="shared" si="67"/>
        <v>6</v>
      </c>
      <c r="AI179" s="224">
        <f t="shared" si="68"/>
        <v>0.7693840660896607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09">
        <f>'2022'!Wh/'2022'!Env_an*'2023'!Env_an</f>
        <v>56.60021908109762</v>
      </c>
      <c r="C180" s="829"/>
      <c r="D180" s="391">
        <f t="shared" si="50"/>
        <v>58.37499318354255</v>
      </c>
      <c r="E180" s="383">
        <f t="shared" si="75"/>
        <v>59.157548661724384</v>
      </c>
      <c r="F180" s="383">
        <f t="shared" si="51"/>
        <v>59.164865235822496</v>
      </c>
      <c r="G180" s="110">
        <f t="shared" si="76"/>
        <v>0.93197181790672401</v>
      </c>
      <c r="H180" s="412" t="b">
        <f>Wh_hp&gt;='2022'!Maxi_hp</f>
        <v>0</v>
      </c>
      <c r="I180" s="379">
        <f>IF(H180,Wh_hp,'2022'!Maxi_hp)</f>
        <v>59.165126104140107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3.0402986033157831E-2</v>
      </c>
      <c r="M180" s="832"/>
      <c r="N180" s="832"/>
      <c r="O180" s="48">
        <f>IF(t&lt;Tnet,'2022'!Resal+('2022'!Salim-'2022'!Resal)*(1-EXP(('2022'!Tnet-t)/('2022'!Tau_j))),Resal+(Salim-Resal)*(1-EXP((Tnet-t)/(Tau_j))))*Salcycl</f>
        <v>1.3228328351748626E-2</v>
      </c>
      <c r="P180" s="338">
        <f>(INDEX(Models!$BJ180:$BT180,,T180)*(1-R180)+INDEX(Models!$BJ180:$BT180,,T180+1)*R180-ERP_i)*Q180*Ramure*Pc/MaxiM</f>
        <v>1.3697323055610432E-4</v>
      </c>
      <c r="Q180" s="304">
        <f t="shared" si="53"/>
        <v>0.6</v>
      </c>
      <c r="R180" s="177">
        <f t="shared" si="54"/>
        <v>0.77448598463680063</v>
      </c>
      <c r="S180" s="799">
        <f t="shared" si="55"/>
        <v>0</v>
      </c>
      <c r="T180" s="176">
        <f t="shared" si="56"/>
        <v>6</v>
      </c>
      <c r="U180" s="250">
        <f t="shared" si="57"/>
        <v>0.77448598463680063</v>
      </c>
      <c r="V180" s="382">
        <f t="shared" si="58"/>
        <v>60.73087684073208</v>
      </c>
      <c r="W180" s="400">
        <f t="shared" si="59"/>
        <v>56.60021908109762</v>
      </c>
      <c r="X180" s="157">
        <f t="shared" si="60"/>
        <v>45092</v>
      </c>
      <c r="Y180" s="383">
        <f t="shared" si="61"/>
        <v>54.993673282210509</v>
      </c>
      <c r="Z180" s="383">
        <f t="shared" si="62"/>
        <v>56.718072034090603</v>
      </c>
      <c r="AA180" s="384">
        <f t="shared" si="63"/>
        <v>59.157548661724384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4.1236945796777988E-2</v>
      </c>
      <c r="AD180" s="230">
        <f>(INDEX(Models!$BJ180:$BT180,,AH180)*(1-AF180)+INDEX(Models!$BJ180:$BT180,,AH180+1)*AF180-ERP_i)*AE180*Ramure*Pc/MaxiM</f>
        <v>1.3697323055610432E-4</v>
      </c>
      <c r="AE180" s="304">
        <f t="shared" si="65"/>
        <v>0.6</v>
      </c>
      <c r="AF180" s="177">
        <f t="shared" si="66"/>
        <v>0.77448598463680063</v>
      </c>
      <c r="AG180" s="799">
        <f t="shared" si="74"/>
        <v>0</v>
      </c>
      <c r="AH180" s="176">
        <f t="shared" si="67"/>
        <v>6</v>
      </c>
      <c r="AI180" s="224">
        <f t="shared" si="68"/>
        <v>0.77448598463680063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09">
        <f>'2022'!Wh/'2022'!Env_an*'2023'!Env_an</f>
        <v>54.3617895202825</v>
      </c>
      <c r="C181" s="829"/>
      <c r="D181" s="391">
        <f t="shared" si="50"/>
        <v>56.067449247943593</v>
      </c>
      <c r="E181" s="383">
        <f t="shared" si="75"/>
        <v>56.825445733620882</v>
      </c>
      <c r="F181" s="383">
        <f t="shared" si="51"/>
        <v>56.832077231918731</v>
      </c>
      <c r="G181" s="110">
        <f t="shared" si="76"/>
        <v>0.89587967718547312</v>
      </c>
      <c r="H181" s="412" t="b">
        <f>Wh_hp&gt;='2022'!Maxi_hp</f>
        <v>0</v>
      </c>
      <c r="I181" s="379">
        <f>IF(H181,Wh_hp,'2022'!Maxi_hp)</f>
        <v>63.760579589282713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3.0421568138729871E-2</v>
      </c>
      <c r="M181" s="832"/>
      <c r="N181" s="832"/>
      <c r="O181" s="48">
        <f>IF(t&lt;Tnet,'2022'!Resal+('2022'!Salim-'2022'!Resal)*(1-EXP(('2022'!Tnet-t)/('2022'!Tau_j))),Resal+(Salim-Resal)*(1-EXP((Tnet-t)/(Tau_j))))*Salcycl</f>
        <v>1.3339032820446814E-2</v>
      </c>
      <c r="P181" s="338">
        <f>(INDEX(Models!$BJ181:$BT181,,T181)*(1-R181)+INDEX(Models!$BJ181:$BT181,,T181+1)*R181-ERP_i)*Q181*Ramure*Pc/MaxiM</f>
        <v>1.3707059154393039E-4</v>
      </c>
      <c r="Q181" s="304">
        <f t="shared" si="53"/>
        <v>0.6</v>
      </c>
      <c r="R181" s="177">
        <f t="shared" si="54"/>
        <v>0.77956648550707253</v>
      </c>
      <c r="S181" s="799">
        <f t="shared" si="55"/>
        <v>0</v>
      </c>
      <c r="T181" s="176">
        <f t="shared" si="56"/>
        <v>6</v>
      </c>
      <c r="U181" s="250">
        <f t="shared" si="57"/>
        <v>0.77956648550707253</v>
      </c>
      <c r="V181" s="382">
        <f t="shared" si="58"/>
        <v>60.678551621813369</v>
      </c>
      <c r="W181" s="400">
        <f t="shared" si="59"/>
        <v>54.3617895202825</v>
      </c>
      <c r="X181" s="157">
        <f t="shared" si="60"/>
        <v>45093</v>
      </c>
      <c r="Y181" s="383">
        <f t="shared" si="61"/>
        <v>52.819414999424211</v>
      </c>
      <c r="Z181" s="383">
        <f t="shared" si="62"/>
        <v>54.476681064396608</v>
      </c>
      <c r="AA181" s="384">
        <f t="shared" si="63"/>
        <v>56.825445733620882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4.1332973967938891E-2</v>
      </c>
      <c r="AD181" s="230">
        <f>(INDEX(Models!$BJ181:$BT181,,AH181)*(1-AF181)+INDEX(Models!$BJ181:$BT181,,AH181+1)*AF181-ERP_i)*AE181*Ramure*Pc/MaxiM</f>
        <v>1.3707059154393039E-4</v>
      </c>
      <c r="AE181" s="304">
        <f t="shared" si="65"/>
        <v>0.6</v>
      </c>
      <c r="AF181" s="177">
        <f t="shared" si="66"/>
        <v>0.77956648550707253</v>
      </c>
      <c r="AG181" s="799">
        <f t="shared" si="74"/>
        <v>0</v>
      </c>
      <c r="AH181" s="176">
        <f t="shared" si="67"/>
        <v>6</v>
      </c>
      <c r="AI181" s="224">
        <f t="shared" si="68"/>
        <v>0.77956648550707253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09">
        <f>'2022'!Wh/'2022'!Env_an*'2023'!Env_an</f>
        <v>54.507252628814221</v>
      </c>
      <c r="C182" s="829"/>
      <c r="D182" s="391">
        <f t="shared" si="50"/>
        <v>56.218553834018465</v>
      </c>
      <c r="E182" s="383">
        <f t="shared" si="75"/>
        <v>56.984974709663632</v>
      </c>
      <c r="F182" s="383">
        <f t="shared" si="51"/>
        <v>56.991672454954539</v>
      </c>
      <c r="G182" s="110">
        <f t="shared" si="76"/>
        <v>0.89907427544892693</v>
      </c>
      <c r="H182" s="412" t="b">
        <f>Wh_hp&gt;='2022'!Maxi_hp</f>
        <v>0</v>
      </c>
      <c r="I182" s="379">
        <f>IF(H182,Wh_hp,'2022'!Maxi_hp)</f>
        <v>62.238525909161851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3.0440149888180112E-2</v>
      </c>
      <c r="M182" s="832"/>
      <c r="N182" s="832"/>
      <c r="O182" s="48">
        <f>IF(t&lt;Tnet,'2022'!Resal+('2022'!Salim-'2022'!Resal)*(1-EXP(('2022'!Tnet-t)/('2022'!Tau_j))),Resal+(Salim-Resal)*(1-EXP((Tnet-t)/(Tau_j))))*Salcycl</f>
        <v>1.3449525590737794E-2</v>
      </c>
      <c r="P182" s="338">
        <f>(INDEX(Models!$BJ182:$BT182,,T182)*(1-R182)+INDEX(Models!$BJ182:$BT182,,T182+1)*R182-ERP_i)*Q182*Ramure*Pc/MaxiM</f>
        <v>1.3731617309329809E-4</v>
      </c>
      <c r="Q182" s="304">
        <f t="shared" si="53"/>
        <v>0.6</v>
      </c>
      <c r="R182" s="177">
        <f t="shared" si="54"/>
        <v>0.78462144303673242</v>
      </c>
      <c r="S182" s="799">
        <f t="shared" si="55"/>
        <v>0</v>
      </c>
      <c r="T182" s="176">
        <f t="shared" si="56"/>
        <v>6</v>
      </c>
      <c r="U182" s="250">
        <f t="shared" si="57"/>
        <v>0.78462144303673242</v>
      </c>
      <c r="V182" s="382">
        <f t="shared" si="58"/>
        <v>60.624772653026533</v>
      </c>
      <c r="W182" s="400">
        <f t="shared" si="59"/>
        <v>54.507252628814221</v>
      </c>
      <c r="X182" s="157">
        <f t="shared" si="60"/>
        <v>45094</v>
      </c>
      <c r="Y182" s="383">
        <f t="shared" si="61"/>
        <v>52.961412679832335</v>
      </c>
      <c r="Z182" s="383">
        <f t="shared" si="62"/>
        <v>54.624180935013207</v>
      </c>
      <c r="AA182" s="384">
        <f t="shared" si="63"/>
        <v>56.984974709663632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4.1428355223084405E-2</v>
      </c>
      <c r="AD182" s="230">
        <f>(INDEX(Models!$BJ182:$BT182,,AH182)*(1-AF182)+INDEX(Models!$BJ182:$BT182,,AH182+1)*AF182-ERP_i)*AE182*Ramure*Pc/MaxiM</f>
        <v>1.3731617309329809E-4</v>
      </c>
      <c r="AE182" s="304">
        <f t="shared" si="65"/>
        <v>0.6</v>
      </c>
      <c r="AF182" s="177">
        <f t="shared" si="66"/>
        <v>0.78462144303673242</v>
      </c>
      <c r="AG182" s="799">
        <f t="shared" si="74"/>
        <v>0</v>
      </c>
      <c r="AH182" s="176">
        <f t="shared" si="67"/>
        <v>6</v>
      </c>
      <c r="AI182" s="224">
        <f t="shared" si="68"/>
        <v>0.78462144303673242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09">
        <f>'2022'!Wh/'2022'!Env_an*'2023'!Env_an</f>
        <v>56.993877268998354</v>
      </c>
      <c r="C183" s="829"/>
      <c r="D183" s="391">
        <f t="shared" si="50"/>
        <v>58.784374742842495</v>
      </c>
      <c r="E183" s="383">
        <f t="shared" si="75"/>
        <v>59.592436106557493</v>
      </c>
      <c r="F183" s="383">
        <f t="shared" si="51"/>
        <v>59.599951663952801</v>
      </c>
      <c r="G183" s="110">
        <f t="shared" si="76"/>
        <v>0.94095504905586103</v>
      </c>
      <c r="H183" s="412" t="b">
        <f>Wh_hp&gt;='2022'!Maxi_hp</f>
        <v>0</v>
      </c>
      <c r="I183" s="379">
        <f>IF(H183,Wh_hp,'2022'!Maxi_hp)</f>
        <v>59.600179801280198</v>
      </c>
      <c r="J183" s="85">
        <f>IF(H183,An,'2022'!An_max)</f>
        <v>2022</v>
      </c>
      <c r="K183" s="197">
        <f t="shared" si="52"/>
        <v>45095</v>
      </c>
      <c r="L183" s="147">
        <f>IF(t&lt;Tvie,1-EXP((T0-t)*PertePVj)+'2022'!Pspv,1-EXP((T0-t)*PertePVj)+Pspv)</f>
        <v>3.0458731281515439E-2</v>
      </c>
      <c r="M183" s="832"/>
      <c r="N183" s="832"/>
      <c r="O183" s="48">
        <f>IF(t&lt;Tnet,'2022'!Resal+('2022'!Salim-'2022'!Resal)*(1-EXP(('2022'!Tnet-t)/('2022'!Tau_j))),Resal+(Salim-Resal)*(1-EXP((Tnet-t)/(Tau_j))))*Salcycl</f>
        <v>1.355979745936378E-2</v>
      </c>
      <c r="P183" s="338">
        <f>(INDEX(Models!$BJ183:$BT183,,T183)*(1-R183)+INDEX(Models!$BJ183:$BT183,,T183+1)*R183-ERP_i)*Q183*Ramure*Pc/MaxiM</f>
        <v>1.3771408141839662E-4</v>
      </c>
      <c r="Q183" s="304">
        <f t="shared" si="53"/>
        <v>0.6</v>
      </c>
      <c r="R183" s="177">
        <f t="shared" si="54"/>
        <v>0.78964681581900431</v>
      </c>
      <c r="S183" s="799">
        <f t="shared" si="55"/>
        <v>0</v>
      </c>
      <c r="T183" s="176">
        <f t="shared" si="56"/>
        <v>6</v>
      </c>
      <c r="U183" s="250">
        <f t="shared" si="57"/>
        <v>0.78964681581900431</v>
      </c>
      <c r="V183" s="382">
        <f t="shared" si="58"/>
        <v>60.569540823986877</v>
      </c>
      <c r="W183" s="400">
        <f t="shared" si="59"/>
        <v>56.993877268998354</v>
      </c>
      <c r="X183" s="157">
        <f t="shared" si="60"/>
        <v>45095</v>
      </c>
      <c r="Y183" s="383">
        <f t="shared" si="61"/>
        <v>55.378233987462991</v>
      </c>
      <c r="Z183" s="383">
        <f t="shared" si="62"/>
        <v>57.117975040567956</v>
      </c>
      <c r="AA183" s="384">
        <f t="shared" si="63"/>
        <v>59.592436106557493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4.1523072853825616E-2</v>
      </c>
      <c r="AD183" s="230">
        <f>(INDEX(Models!$BJ183:$BT183,,AH183)*(1-AF183)+INDEX(Models!$BJ183:$BT183,,AH183+1)*AF183-ERP_i)*AE183*Ramure*Pc/MaxiM</f>
        <v>1.3771408141839662E-4</v>
      </c>
      <c r="AE183" s="304">
        <f t="shared" si="65"/>
        <v>0.6</v>
      </c>
      <c r="AF183" s="177">
        <f t="shared" si="66"/>
        <v>0.78964681581900431</v>
      </c>
      <c r="AG183" s="799">
        <f t="shared" si="74"/>
        <v>0</v>
      </c>
      <c r="AH183" s="176">
        <f t="shared" si="67"/>
        <v>6</v>
      </c>
      <c r="AI183" s="224">
        <f t="shared" si="68"/>
        <v>0.78964681581900431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09">
        <f>'2022'!Wh/'2022'!Env_an*'2023'!Env_an</f>
        <v>58.378857278160574</v>
      </c>
      <c r="C184" s="829"/>
      <c r="D184" s="391">
        <f t="shared" si="50"/>
        <v>60.214018733054488</v>
      </c>
      <c r="E184" s="383">
        <f t="shared" si="75"/>
        <v>61.048542526966152</v>
      </c>
      <c r="F184" s="383">
        <f t="shared" si="51"/>
        <v>61.056564060888832</v>
      </c>
      <c r="G184" s="110">
        <f t="shared" si="76"/>
        <v>0.96472812420940357</v>
      </c>
      <c r="H184" s="412" t="b">
        <f>Wh_hp&gt;='2022'!Maxi_hp</f>
        <v>0</v>
      </c>
      <c r="I184" s="379">
        <f>IF(H184,Wh_hp,'2022'!Maxi_hp)</f>
        <v>61.056703983579069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3.0477312318742511E-2</v>
      </c>
      <c r="M184" s="832"/>
      <c r="N184" s="832"/>
      <c r="O184" s="48">
        <f>IF(t&lt;Tnet,'2022'!Resal+('2022'!Salim-'2022'!Resal)*(1-EXP(('2022'!Tnet-t)/('2022'!Tau_j))),Resal+(Salim-Resal)*(1-EXP((Tnet-t)/(Tau_j))))*Salcycl</f>
        <v>1.3669839759778771E-2</v>
      </c>
      <c r="P184" s="338">
        <f>(INDEX(Models!$BJ184:$BT184,,T184)*(1-R184)+INDEX(Models!$BJ184:$BT184,,T184+1)*R184-ERP_i)*Q184*Ramure*Pc/MaxiM</f>
        <v>1.3834856411760633E-4</v>
      </c>
      <c r="Q184" s="304">
        <f t="shared" si="53"/>
        <v>0.6</v>
      </c>
      <c r="R184" s="177">
        <f t="shared" si="54"/>
        <v>0.79463865923341681</v>
      </c>
      <c r="S184" s="799">
        <f t="shared" si="55"/>
        <v>0</v>
      </c>
      <c r="T184" s="176">
        <f t="shared" si="56"/>
        <v>6</v>
      </c>
      <c r="U184" s="250">
        <f t="shared" si="57"/>
        <v>0.79463865923341681</v>
      </c>
      <c r="V184" s="382">
        <f t="shared" si="58"/>
        <v>60.512852138172654</v>
      </c>
      <c r="W184" s="400">
        <f t="shared" si="59"/>
        <v>58.378857278160574</v>
      </c>
      <c r="X184" s="157">
        <f t="shared" si="60"/>
        <v>45096</v>
      </c>
      <c r="Y184" s="383">
        <f t="shared" si="61"/>
        <v>56.724715605163823</v>
      </c>
      <c r="Z184" s="383">
        <f t="shared" si="62"/>
        <v>58.507878491042355</v>
      </c>
      <c r="AA184" s="384">
        <f t="shared" si="63"/>
        <v>61.048542526966152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4.1617112067852263E-2</v>
      </c>
      <c r="AD184" s="230">
        <f>(INDEX(Models!$BJ184:$BT184,,AH184)*(1-AF184)+INDEX(Models!$BJ184:$BT184,,AH184+1)*AF184-ERP_i)*AE184*Ramure*Pc/MaxiM</f>
        <v>1.3834856411760633E-4</v>
      </c>
      <c r="AE184" s="304">
        <f t="shared" si="65"/>
        <v>0.6</v>
      </c>
      <c r="AF184" s="177">
        <f t="shared" si="66"/>
        <v>0.79463865923341681</v>
      </c>
      <c r="AG184" s="799">
        <f t="shared" si="74"/>
        <v>0</v>
      </c>
      <c r="AH184" s="176">
        <f t="shared" si="67"/>
        <v>6</v>
      </c>
      <c r="AI184" s="224">
        <f t="shared" si="68"/>
        <v>0.79463865923341681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09">
        <f>'2022'!Wh/'2022'!Env_an*'2023'!Env_an</f>
        <v>32.932619158219822</v>
      </c>
      <c r="C185" s="829"/>
      <c r="D185" s="391">
        <f t="shared" si="50"/>
        <v>33.968519494075075</v>
      </c>
      <c r="E185" s="383">
        <f t="shared" si="75"/>
        <v>34.443133627317636</v>
      </c>
      <c r="F185" s="383">
        <f t="shared" si="51"/>
        <v>34.444809065473599</v>
      </c>
      <c r="G185" s="110">
        <f t="shared" si="76"/>
        <v>0.54469928473572538</v>
      </c>
      <c r="H185" s="412" t="b">
        <f>Wh_hp&gt;='2022'!Maxi_hp</f>
        <v>0</v>
      </c>
      <c r="I185" s="379">
        <f>IF(H185,Wh_hp,'2022'!Maxi_hp)</f>
        <v>56.990075158502776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3.0495892999868213E-2</v>
      </c>
      <c r="M185" s="832"/>
      <c r="N185" s="832"/>
      <c r="O185" s="48">
        <f>IF(t&lt;Tnet,'2022'!Resal+('2022'!Salim-'2022'!Resal)*(1-EXP(('2022'!Tnet-t)/('2022'!Tau_j))),Resal+(Salim-Resal)*(1-EXP((Tnet-t)/(Tau_j))))*Salcycl</f>
        <v>1.3779644395251246E-2</v>
      </c>
      <c r="P185" s="338">
        <f>(INDEX(Models!$BJ185:$BT185,,T185)*(1-R185)+INDEX(Models!$BJ185:$BT185,,T185+1)*R185-ERP_i)*Q185*Ramure*Pc/MaxiM</f>
        <v>1.3911773229231843E-4</v>
      </c>
      <c r="Q185" s="304">
        <f t="shared" si="53"/>
        <v>0.6</v>
      </c>
      <c r="R185" s="177">
        <f t="shared" si="54"/>
        <v>0.79959313731049919</v>
      </c>
      <c r="S185" s="799">
        <f t="shared" si="55"/>
        <v>0</v>
      </c>
      <c r="T185" s="176">
        <f t="shared" si="56"/>
        <v>6</v>
      </c>
      <c r="U185" s="250">
        <f t="shared" si="57"/>
        <v>0.79959313731049919</v>
      </c>
      <c r="V185" s="382">
        <f t="shared" si="58"/>
        <v>60.454713835961179</v>
      </c>
      <c r="W185" s="400">
        <f t="shared" si="59"/>
        <v>32.932619158219822</v>
      </c>
      <c r="X185" s="157">
        <f t="shared" si="60"/>
        <v>45097</v>
      </c>
      <c r="Y185" s="383">
        <f t="shared" si="61"/>
        <v>31.999932148792379</v>
      </c>
      <c r="Z185" s="383">
        <f t="shared" si="62"/>
        <v>33.006494678818342</v>
      </c>
      <c r="AA185" s="384">
        <f t="shared" si="63"/>
        <v>34.443133627317636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4.1710460030845192E-2</v>
      </c>
      <c r="AD185" s="230">
        <f>(INDEX(Models!$BJ185:$BT185,,AH185)*(1-AF185)+INDEX(Models!$BJ185:$BT185,,AH185+1)*AF185-ERP_i)*AE185*Ramure*Pc/MaxiM</f>
        <v>1.3911773229231843E-4</v>
      </c>
      <c r="AE185" s="304">
        <f t="shared" si="65"/>
        <v>0.6</v>
      </c>
      <c r="AF185" s="177">
        <f t="shared" si="66"/>
        <v>0.79959313731049919</v>
      </c>
      <c r="AG185" s="799">
        <f t="shared" si="74"/>
        <v>0</v>
      </c>
      <c r="AH185" s="176">
        <f t="shared" si="67"/>
        <v>6</v>
      </c>
      <c r="AI185" s="224">
        <f t="shared" si="68"/>
        <v>0.79959313731049919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09">
        <f>'2022'!Wh/'2022'!Env_an*'2023'!Env_an</f>
        <v>23.699900397948504</v>
      </c>
      <c r="C186" s="829"/>
      <c r="D186" s="391">
        <f t="shared" si="50"/>
        <v>24.445852718635734</v>
      </c>
      <c r="E186" s="383">
        <f t="shared" si="75"/>
        <v>24.790168421781111</v>
      </c>
      <c r="F186" s="383">
        <f t="shared" si="51"/>
        <v>24.790626704041259</v>
      </c>
      <c r="G186" s="110">
        <f t="shared" si="76"/>
        <v>0.39236642368704888</v>
      </c>
      <c r="H186" s="412" t="b">
        <f>Wh_hp&gt;='2022'!Maxi_hp</f>
        <v>0</v>
      </c>
      <c r="I186" s="379">
        <f>IF(H186,Wh_hp,'2022'!Maxi_hp)</f>
        <v>52.195932812822107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3.0514473324899427E-2</v>
      </c>
      <c r="M186" s="832"/>
      <c r="N186" s="832"/>
      <c r="O186" s="48">
        <f>IF(t&lt;Tnet,'2022'!Resal+('2022'!Salim-'2022'!Resal)*(1-EXP(('2022'!Tnet-t)/('2022'!Tau_j))),Resal+(Salim-Resal)*(1-EXP((Tnet-t)/(Tau_j))))*Salcycl</f>
        <v>1.3889203868532514E-2</v>
      </c>
      <c r="P186" s="338">
        <f>(INDEX(Models!$BJ186:$BT186,,T186)*(1-R186)+INDEX(Models!$BJ186:$BT186,,T186+1)*R186-ERP_i)*Q186*Ramure*Pc/MaxiM</f>
        <v>1.4002489543125666E-4</v>
      </c>
      <c r="Q186" s="304">
        <f t="shared" si="53"/>
        <v>0.6</v>
      </c>
      <c r="R186" s="177">
        <f t="shared" si="54"/>
        <v>0.80450653386012583</v>
      </c>
      <c r="S186" s="799">
        <f t="shared" si="55"/>
        <v>0</v>
      </c>
      <c r="T186" s="176">
        <f t="shared" si="56"/>
        <v>6</v>
      </c>
      <c r="U186" s="250">
        <f t="shared" si="57"/>
        <v>0.80450653386012583</v>
      </c>
      <c r="V186" s="382">
        <f t="shared" si="58"/>
        <v>60.395126741268172</v>
      </c>
      <c r="W186" s="400">
        <f t="shared" si="59"/>
        <v>23.699900397948504</v>
      </c>
      <c r="X186" s="157">
        <f t="shared" si="60"/>
        <v>45098</v>
      </c>
      <c r="Y186" s="383">
        <f t="shared" si="61"/>
        <v>23.029025785888553</v>
      </c>
      <c r="Z186" s="383">
        <f t="shared" si="62"/>
        <v>23.753862386030409</v>
      </c>
      <c r="AA186" s="384">
        <f t="shared" si="63"/>
        <v>24.790168421781111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4.1803105897424461E-2</v>
      </c>
      <c r="AD186" s="230">
        <f>(INDEX(Models!$BJ186:$BT186,,AH186)*(1-AF186)+INDEX(Models!$BJ186:$BT186,,AH186+1)*AF186-ERP_i)*AE186*Ramure*Pc/MaxiM</f>
        <v>1.4002489543125666E-4</v>
      </c>
      <c r="AE186" s="304">
        <f t="shared" si="65"/>
        <v>0.6</v>
      </c>
      <c r="AF186" s="177">
        <f t="shared" si="66"/>
        <v>0.80450653386012583</v>
      </c>
      <c r="AG186" s="799">
        <f t="shared" si="74"/>
        <v>0</v>
      </c>
      <c r="AH186" s="176">
        <f t="shared" si="67"/>
        <v>6</v>
      </c>
      <c r="AI186" s="224">
        <f t="shared" si="68"/>
        <v>0.80450653386012583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09">
        <f>'2022'!Wh/'2022'!Env_an*'2023'!Env_an</f>
        <v>45.902861331026195</v>
      </c>
      <c r="C187" s="829"/>
      <c r="D187" s="391">
        <f t="shared" si="50"/>
        <v>47.348557356168669</v>
      </c>
      <c r="E187" s="383">
        <f t="shared" si="75"/>
        <v>48.020776742409595</v>
      </c>
      <c r="F187" s="383">
        <f t="shared" si="51"/>
        <v>48.025236790291551</v>
      </c>
      <c r="G187" s="110">
        <f t="shared" si="76"/>
        <v>0.76077466577409036</v>
      </c>
      <c r="H187" s="412" t="b">
        <f>Wh_hp&gt;='2022'!Maxi_hp</f>
        <v>0</v>
      </c>
      <c r="I187" s="379">
        <f>IF(H187,Wh_hp,'2022'!Maxi_hp)</f>
        <v>63.676809848065162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3.0533053293842927E-2</v>
      </c>
      <c r="M187" s="832"/>
      <c r="N187" s="832"/>
      <c r="O187" s="48">
        <f>IF(t&lt;Tnet,'2022'!Resal+('2022'!Salim-'2022'!Resal)*(1-EXP(('2022'!Tnet-t)/('2022'!Tau_j))),Resal+(Salim-Resal)*(1-EXP((Tnet-t)/(Tau_j))))*Salcycl</f>
        <v>1.3998511307861831E-2</v>
      </c>
      <c r="P187" s="338">
        <f>(INDEX(Models!$BJ187:$BT187,,T187)*(1-R187)+INDEX(Models!$BJ187:$BT187,,T187+1)*R187-ERP_i)*Q187*Ramure*Pc/MaxiM</f>
        <v>1.410733192885323E-4</v>
      </c>
      <c r="Q187" s="304">
        <f t="shared" si="53"/>
        <v>0.6</v>
      </c>
      <c r="R187" s="177">
        <f t="shared" si="54"/>
        <v>0.80937526280021344</v>
      </c>
      <c r="S187" s="799">
        <f t="shared" si="55"/>
        <v>0</v>
      </c>
      <c r="T187" s="176">
        <f t="shared" si="56"/>
        <v>6</v>
      </c>
      <c r="U187" s="250">
        <f t="shared" si="57"/>
        <v>0.80937526280021344</v>
      </c>
      <c r="V187" s="382">
        <f t="shared" si="58"/>
        <v>60.334091639524821</v>
      </c>
      <c r="W187" s="400">
        <f t="shared" si="59"/>
        <v>45.902861331026195</v>
      </c>
      <c r="X187" s="157">
        <f t="shared" si="60"/>
        <v>45099</v>
      </c>
      <c r="Y187" s="383">
        <f t="shared" si="61"/>
        <v>44.604150790526909</v>
      </c>
      <c r="Z187" s="383">
        <f t="shared" si="62"/>
        <v>46.008944340055272</v>
      </c>
      <c r="AA187" s="384">
        <f t="shared" si="63"/>
        <v>48.020776742409595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4.189504083089049E-2</v>
      </c>
      <c r="AD187" s="230">
        <f>(INDEX(Models!$BJ187:$BT187,,AH187)*(1-AF187)+INDEX(Models!$BJ187:$BT187,,AH187+1)*AF187-ERP_i)*AE187*Ramure*Pc/MaxiM</f>
        <v>1.410733192885323E-4</v>
      </c>
      <c r="AE187" s="304">
        <f t="shared" si="65"/>
        <v>0.6</v>
      </c>
      <c r="AF187" s="177">
        <f t="shared" si="66"/>
        <v>0.80937526280021344</v>
      </c>
      <c r="AG187" s="799">
        <f t="shared" si="74"/>
        <v>0</v>
      </c>
      <c r="AH187" s="176">
        <f t="shared" si="67"/>
        <v>6</v>
      </c>
      <c r="AI187" s="224">
        <f t="shared" si="68"/>
        <v>0.80937526280021344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09">
        <f>'2022'!Wh/'2022'!Env_an*'2023'!Env_an</f>
        <v>43.297432617926418</v>
      </c>
      <c r="C188" s="829"/>
      <c r="D188" s="391">
        <f t="shared" si="50"/>
        <v>44.661927429663429</v>
      </c>
      <c r="E188" s="383">
        <f t="shared" si="75"/>
        <v>45.30101422810435</v>
      </c>
      <c r="F188" s="383">
        <f t="shared" si="51"/>
        <v>45.304866409398947</v>
      </c>
      <c r="G188" s="110">
        <f t="shared" si="76"/>
        <v>0.71833081373391361</v>
      </c>
      <c r="H188" s="412" t="b">
        <f>Wh_hp&gt;='2022'!Maxi_hp</f>
        <v>0</v>
      </c>
      <c r="I188" s="379">
        <f>IF(H188,Wh_hp,'2022'!Maxi_hp)</f>
        <v>54.409239843799597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3.0551632906705706E-2</v>
      </c>
      <c r="M188" s="832"/>
      <c r="N188" s="832"/>
      <c r="O188" s="48">
        <f>IF(t&lt;Tnet,'2022'!Resal+('2022'!Salim-'2022'!Resal)*(1-EXP(('2022'!Tnet-t)/('2022'!Tau_j))),Resal+(Salim-Resal)*(1-EXP((Tnet-t)/(Tau_j))))*Salcycl</f>
        <v>1.4107560489108001E-2</v>
      </c>
      <c r="P188" s="338">
        <f>(INDEX(Models!$BJ188:$BT188,,T188)*(1-R188)+INDEX(Models!$BJ188:$BT188,,T188+1)*R188-ERP_i)*Q188*Ramure*Pc/MaxiM</f>
        <v>1.4226476823772104E-4</v>
      </c>
      <c r="Q188" s="304">
        <f t="shared" si="53"/>
        <v>0.6</v>
      </c>
      <c r="R188" s="177">
        <f t="shared" si="54"/>
        <v>0.81419587763143531</v>
      </c>
      <c r="S188" s="799">
        <f t="shared" si="55"/>
        <v>0</v>
      </c>
      <c r="T188" s="176">
        <f t="shared" si="56"/>
        <v>6</v>
      </c>
      <c r="U188" s="250">
        <f t="shared" si="57"/>
        <v>0.81419587763143531</v>
      </c>
      <c r="V188" s="382">
        <f t="shared" si="58"/>
        <v>60.271609366413564</v>
      </c>
      <c r="W188" s="400">
        <f t="shared" si="59"/>
        <v>43.297432617926418</v>
      </c>
      <c r="X188" s="157">
        <f t="shared" si="60"/>
        <v>45100</v>
      </c>
      <c r="Y188" s="383">
        <f t="shared" si="61"/>
        <v>42.073084018545117</v>
      </c>
      <c r="Z188" s="383">
        <f t="shared" si="62"/>
        <v>43.398994156535863</v>
      </c>
      <c r="AA188" s="384">
        <f t="shared" si="63"/>
        <v>45.30101422810435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4.1986258011602939E-2</v>
      </c>
      <c r="AD188" s="230">
        <f>(INDEX(Models!$BJ188:$BT188,,AH188)*(1-AF188)+INDEX(Models!$BJ188:$BT188,,AH188+1)*AF188-ERP_i)*AE188*Ramure*Pc/MaxiM</f>
        <v>1.4226476823772104E-4</v>
      </c>
      <c r="AE188" s="304">
        <f t="shared" si="65"/>
        <v>0.6</v>
      </c>
      <c r="AF188" s="177">
        <f t="shared" si="66"/>
        <v>0.81419587763143531</v>
      </c>
      <c r="AG188" s="799">
        <f t="shared" si="74"/>
        <v>0</v>
      </c>
      <c r="AH188" s="176">
        <f t="shared" si="67"/>
        <v>6</v>
      </c>
      <c r="AI188" s="224">
        <f t="shared" si="68"/>
        <v>0.81419587763143531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09">
        <f>'2022'!Wh/'2022'!Env_an*'2023'!Env_an</f>
        <v>40.838918472239278</v>
      </c>
      <c r="C189" s="829"/>
      <c r="D189" s="391">
        <f t="shared" si="50"/>
        <v>42.126741910190574</v>
      </c>
      <c r="E189" s="383">
        <f t="shared" si="75"/>
        <v>42.734267030102451</v>
      </c>
      <c r="F189" s="383">
        <f t="shared" si="51"/>
        <v>42.737583729640264</v>
      </c>
      <c r="G189" s="110">
        <f t="shared" si="76"/>
        <v>0.67825604009837581</v>
      </c>
      <c r="H189" s="412" t="b">
        <f>Wh_hp&gt;='2022'!Maxi_hp</f>
        <v>0</v>
      </c>
      <c r="I189" s="379">
        <f>IF(H189,Wh_hp,'2022'!Maxi_hp)</f>
        <v>62.441537989908561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3.0570212163494315E-2</v>
      </c>
      <c r="M189" s="832"/>
      <c r="N189" s="832"/>
      <c r="O189" s="48">
        <f>IF(t&lt;Tnet,'2022'!Resal+('2022'!Salim-'2022'!Resal)*(1-EXP(('2022'!Tnet-t)/('2022'!Tau_j))),Resal+(Salim-Resal)*(1-EXP((Tnet-t)/(Tau_j))))*Salcycl</f>
        <v>1.4216345853877101E-2</v>
      </c>
      <c r="P189" s="338">
        <f>(INDEX(Models!$BJ189:$BT189,,T189)*(1-R189)+INDEX(Models!$BJ189:$BT189,,T189+1)*R189-ERP_i)*Q189*Ramure*Pc/MaxiM</f>
        <v>1.4360082564923357E-4</v>
      </c>
      <c r="Q189" s="304">
        <f t="shared" si="53"/>
        <v>0.6</v>
      </c>
      <c r="R189" s="177">
        <f t="shared" si="54"/>
        <v>0.81896508001297774</v>
      </c>
      <c r="S189" s="799">
        <f t="shared" si="55"/>
        <v>0</v>
      </c>
      <c r="T189" s="176">
        <f t="shared" si="56"/>
        <v>6</v>
      </c>
      <c r="U189" s="250">
        <f t="shared" si="57"/>
        <v>0.81896508001297774</v>
      </c>
      <c r="V189" s="382">
        <f t="shared" si="58"/>
        <v>60.207680725049649</v>
      </c>
      <c r="W189" s="400">
        <f t="shared" si="59"/>
        <v>40.838918472239278</v>
      </c>
      <c r="X189" s="157">
        <f t="shared" si="60"/>
        <v>45101</v>
      </c>
      <c r="Y189" s="383">
        <f t="shared" si="61"/>
        <v>39.684721122436862</v>
      </c>
      <c r="Z189" s="383">
        <f t="shared" si="62"/>
        <v>40.936147847284523</v>
      </c>
      <c r="AA189" s="384">
        <f t="shared" si="63"/>
        <v>42.734267030102451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4.20767526339298E-2</v>
      </c>
      <c r="AD189" s="230">
        <f>(INDEX(Models!$BJ189:$BT189,,AH189)*(1-AF189)+INDEX(Models!$BJ189:$BT189,,AH189+1)*AF189-ERP_i)*AE189*Ramure*Pc/MaxiM</f>
        <v>1.4360082564923357E-4</v>
      </c>
      <c r="AE189" s="304">
        <f t="shared" si="65"/>
        <v>0.6</v>
      </c>
      <c r="AF189" s="177">
        <f t="shared" si="66"/>
        <v>0.81896508001297774</v>
      </c>
      <c r="AG189" s="799">
        <f t="shared" si="74"/>
        <v>0</v>
      </c>
      <c r="AH189" s="176">
        <f t="shared" si="67"/>
        <v>6</v>
      </c>
      <c r="AI189" s="224">
        <f t="shared" si="68"/>
        <v>0.81896508001297774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09">
        <f>'2022'!Wh/'2022'!Env_an*'2023'!Env_an</f>
        <v>35.440009707967533</v>
      </c>
      <c r="C190" s="829"/>
      <c r="D190" s="391">
        <f t="shared" si="50"/>
        <v>36.558283400574076</v>
      </c>
      <c r="E190" s="383">
        <f t="shared" si="75"/>
        <v>37.089586630101813</v>
      </c>
      <c r="F190" s="383">
        <f t="shared" si="51"/>
        <v>37.091810466927861</v>
      </c>
      <c r="G190" s="110">
        <f t="shared" si="76"/>
        <v>0.58921904832138905</v>
      </c>
      <c r="H190" s="412" t="b">
        <f>Wh_hp&gt;='2022'!Maxi_hp</f>
        <v>0</v>
      </c>
      <c r="I190" s="379">
        <f>IF(H190,Wh_hp,'2022'!Maxi_hp)</f>
        <v>58.359170518097258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3.0588791064215637E-2</v>
      </c>
      <c r="M190" s="832"/>
      <c r="N190" s="832"/>
      <c r="O190" s="48">
        <f>IF(t&lt;Tnet,'2022'!Resal+('2022'!Salim-'2022'!Resal)*(1-EXP(('2022'!Tnet-t)/('2022'!Tau_j))),Resal+(Salim-Resal)*(1-EXP((Tnet-t)/(Tau_j))))*Salcycl</f>
        <v>1.4324862523448448E-2</v>
      </c>
      <c r="P190" s="338">
        <f>(INDEX(Models!$BJ190:$BT190,,T190)*(1-R190)+INDEX(Models!$BJ190:$BT190,,T190+1)*R190-ERP_i)*Q190*Ramure*Pc/MaxiM</f>
        <v>1.4508439665428764E-4</v>
      </c>
      <c r="Q190" s="304">
        <f t="shared" si="53"/>
        <v>0.6</v>
      </c>
      <c r="R190" s="177">
        <f t="shared" si="54"/>
        <v>0.82367972740395357</v>
      </c>
      <c r="S190" s="799">
        <f t="shared" si="55"/>
        <v>0</v>
      </c>
      <c r="T190" s="176">
        <f t="shared" si="56"/>
        <v>6</v>
      </c>
      <c r="U190" s="250">
        <f t="shared" si="57"/>
        <v>0.82367972740395357</v>
      </c>
      <c r="V190" s="382">
        <f t="shared" si="58"/>
        <v>60.142306394936512</v>
      </c>
      <c r="W190" s="400">
        <f t="shared" si="59"/>
        <v>35.440009707967533</v>
      </c>
      <c r="X190" s="157">
        <f t="shared" si="60"/>
        <v>45102</v>
      </c>
      <c r="Y190" s="383">
        <f t="shared" si="61"/>
        <v>34.438961146647387</v>
      </c>
      <c r="Z190" s="383">
        <f t="shared" si="62"/>
        <v>35.5256477635062</v>
      </c>
      <c r="AA190" s="384">
        <f t="shared" si="63"/>
        <v>37.089586630101813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4.2166521891789481E-2</v>
      </c>
      <c r="AD190" s="230">
        <f>(INDEX(Models!$BJ190:$BT190,,AH190)*(1-AF190)+INDEX(Models!$BJ190:$BT190,,AH190+1)*AF190-ERP_i)*AE190*Ramure*Pc/MaxiM</f>
        <v>1.4508439665428764E-4</v>
      </c>
      <c r="AE190" s="304">
        <f t="shared" si="65"/>
        <v>0.6</v>
      </c>
      <c r="AF190" s="177">
        <f t="shared" si="66"/>
        <v>0.82367972740395357</v>
      </c>
      <c r="AG190" s="799">
        <f t="shared" si="74"/>
        <v>0</v>
      </c>
      <c r="AH190" s="176">
        <f t="shared" si="67"/>
        <v>6</v>
      </c>
      <c r="AI190" s="224">
        <f t="shared" si="68"/>
        <v>0.82367972740395357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09">
        <f>'2022'!Wh/'2022'!Env_an*'2023'!Env_an</f>
        <v>12.582328213975233</v>
      </c>
      <c r="C191" s="829"/>
      <c r="D191" s="391">
        <f t="shared" si="50"/>
        <v>12.979599616822554</v>
      </c>
      <c r="E191" s="383">
        <f t="shared" si="75"/>
        <v>13.169678993787851</v>
      </c>
      <c r="F191" s="383">
        <f t="shared" si="51"/>
        <v>13.169678993787851</v>
      </c>
      <c r="G191" s="110">
        <f t="shared" si="76"/>
        <v>0.20941123876639059</v>
      </c>
      <c r="H191" s="412" t="b">
        <f>Wh_hp&gt;='2022'!Maxi_hp</f>
        <v>0</v>
      </c>
      <c r="I191" s="379">
        <f>IF(H191,Wh_hp,'2022'!Maxi_hp)</f>
        <v>60.460509614669505</v>
      </c>
      <c r="J191" s="85">
        <f>IF(H191,An,'2022'!An_max)</f>
        <v>2021</v>
      </c>
      <c r="K191" s="197">
        <f t="shared" si="52"/>
        <v>45103</v>
      </c>
      <c r="L191" s="147">
        <f>IF(t&lt;Tvie,1-EXP((T0-t)*PertePVj)+'2022'!Pspv,1-EXP((T0-t)*PertePVj)+Pspv)</f>
        <v>3.0607369608876667E-2</v>
      </c>
      <c r="M191" s="832"/>
      <c r="N191" s="832"/>
      <c r="O191" s="48">
        <f>IF(t&lt;Tnet,'2022'!Resal+('2022'!Salim-'2022'!Resal)*(1-EXP(('2022'!Tnet-t)/('2022'!Tau_j))),Resal+(Salim-Resal)*(1-EXP((Tnet-t)/(Tau_j))))*Salcycl</f>
        <v>1.4433106308434546E-2</v>
      </c>
      <c r="P191" s="338">
        <f>(INDEX(Models!$BJ191:$BT191,,T191)*(1-R191)+INDEX(Models!$BJ191:$BT191,,T191+1)*R191-ERP_i)*Q191*Ramure*Pc/MaxiM</f>
        <v>1.4671831236541576E-4</v>
      </c>
      <c r="Q191" s="304">
        <f t="shared" si="53"/>
        <v>0.6</v>
      </c>
      <c r="R191" s="177">
        <f t="shared" si="54"/>
        <v>0.82833683974478589</v>
      </c>
      <c r="S191" s="799">
        <f t="shared" si="55"/>
        <v>0</v>
      </c>
      <c r="T191" s="176">
        <f t="shared" si="56"/>
        <v>6</v>
      </c>
      <c r="U191" s="250">
        <f t="shared" si="57"/>
        <v>0.82833683974478589</v>
      </c>
      <c r="V191" s="382">
        <f t="shared" si="58"/>
        <v>60.075487018384187</v>
      </c>
      <c r="W191" s="400">
        <f t="shared" si="59"/>
        <v>12.582328213975233</v>
      </c>
      <c r="X191" s="157">
        <f t="shared" si="60"/>
        <v>45103</v>
      </c>
      <c r="Y191" s="383">
        <f t="shared" si="61"/>
        <v>12.227130298313556</v>
      </c>
      <c r="Z191" s="383">
        <f t="shared" si="62"/>
        <v>12.613186767657027</v>
      </c>
      <c r="AA191" s="384">
        <f t="shared" si="63"/>
        <v>13.169678993787851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4.2255564952898533E-2</v>
      </c>
      <c r="AD191" s="230">
        <f>(INDEX(Models!$BJ191:$BT191,,AH191)*(1-AF191)+INDEX(Models!$BJ191:$BT191,,AH191+1)*AF191-ERP_i)*AE191*Ramure*Pc/MaxiM</f>
        <v>1.4671831236541576E-4</v>
      </c>
      <c r="AE191" s="304">
        <f t="shared" si="65"/>
        <v>0.6</v>
      </c>
      <c r="AF191" s="177">
        <f t="shared" si="66"/>
        <v>0.82833683974478589</v>
      </c>
      <c r="AG191" s="799">
        <f t="shared" si="74"/>
        <v>0</v>
      </c>
      <c r="AH191" s="176">
        <f t="shared" si="67"/>
        <v>6</v>
      </c>
      <c r="AI191" s="224">
        <f t="shared" si="68"/>
        <v>0.82833683974478589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09">
        <f>'2022'!Wh/'2022'!Env_an*'2023'!Env_an</f>
        <v>15.288406178533759</v>
      </c>
      <c r="C192" s="829"/>
      <c r="D192" s="391">
        <f t="shared" si="50"/>
        <v>15.771420891447377</v>
      </c>
      <c r="E192" s="383">
        <f t="shared" si="75"/>
        <v>16.004138245404381</v>
      </c>
      <c r="F192" s="383">
        <f t="shared" si="51"/>
        <v>16.004138245404381</v>
      </c>
      <c r="G192" s="110">
        <f t="shared" si="76"/>
        <v>0.25473826240529052</v>
      </c>
      <c r="H192" s="412" t="b">
        <f>Wh_hp&gt;='2022'!Maxi_hp</f>
        <v>0</v>
      </c>
      <c r="I192" s="379">
        <f>IF(H192,Wh_hp,'2022'!Maxi_hp)</f>
        <v>59.284461981263078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3.0625947797484177E-2</v>
      </c>
      <c r="M192" s="832"/>
      <c r="N192" s="832"/>
      <c r="O192" s="48">
        <f>IF(t&lt;Tnet,'2022'!Resal+('2022'!Salim-'2022'!Resal)*(1-EXP(('2022'!Tnet-t)/('2022'!Tau_j))),Resal+(Salim-Resal)*(1-EXP((Tnet-t)/(Tau_j))))*Salcycl</f>
        <v>1.4541073714095697E-2</v>
      </c>
      <c r="P192" s="338">
        <f>(INDEX(Models!$BJ192:$BT192,,T192)*(1-R192)+INDEX(Models!$BJ192:$BT192,,T192+1)*R192-ERP_i)*Q192*Ramure*Pc/MaxiM</f>
        <v>1.4861841411568089E-4</v>
      </c>
      <c r="Q192" s="304">
        <f t="shared" si="53"/>
        <v>0.6</v>
      </c>
      <c r="R192" s="177">
        <f t="shared" si="54"/>
        <v>0.83293360516250303</v>
      </c>
      <c r="S192" s="799">
        <f t="shared" si="55"/>
        <v>0</v>
      </c>
      <c r="T192" s="176">
        <f t="shared" si="56"/>
        <v>6</v>
      </c>
      <c r="U192" s="250">
        <f t="shared" si="57"/>
        <v>0.83293360516250303</v>
      </c>
      <c r="V192" s="382">
        <f t="shared" si="58"/>
        <v>60.007216409181552</v>
      </c>
      <c r="W192" s="400">
        <f t="shared" si="59"/>
        <v>15.288406178533759</v>
      </c>
      <c r="X192" s="157">
        <f t="shared" si="60"/>
        <v>45104</v>
      </c>
      <c r="Y192" s="383">
        <f t="shared" si="61"/>
        <v>14.857073498159533</v>
      </c>
      <c r="Z192" s="383">
        <f t="shared" si="62"/>
        <v>15.326460889274641</v>
      </c>
      <c r="AA192" s="384">
        <f t="shared" si="63"/>
        <v>16.004138245404381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4.2343882921927138E-2</v>
      </c>
      <c r="AD192" s="230">
        <f>(INDEX(Models!$BJ192:$BT192,,AH192)*(1-AF192)+INDEX(Models!$BJ192:$BT192,,AH192+1)*AF192-ERP_i)*AE192*Ramure*Pc/MaxiM</f>
        <v>1.4861841411568089E-4</v>
      </c>
      <c r="AE192" s="304">
        <f t="shared" si="65"/>
        <v>0.6</v>
      </c>
      <c r="AF192" s="177">
        <f t="shared" si="66"/>
        <v>0.83293360516250303</v>
      </c>
      <c r="AG192" s="799">
        <f t="shared" si="74"/>
        <v>0</v>
      </c>
      <c r="AH192" s="176">
        <f t="shared" si="67"/>
        <v>6</v>
      </c>
      <c r="AI192" s="224">
        <f t="shared" si="68"/>
        <v>0.83293360516250303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09">
        <f>'2022'!Wh/'2022'!Env_an*'2023'!Env_an</f>
        <v>60.64997548466723</v>
      </c>
      <c r="C193" s="829"/>
      <c r="D193" s="391">
        <f t="shared" si="50"/>
        <v>62.567321367930013</v>
      </c>
      <c r="E193" s="383">
        <f t="shared" si="75"/>
        <v>63.497480848754151</v>
      </c>
      <c r="F193" s="383">
        <f t="shared" si="51"/>
        <v>63.507051622398627</v>
      </c>
      <c r="G193" s="110">
        <f t="shared" si="76"/>
        <v>1.0118869712014775</v>
      </c>
      <c r="H193" s="412" t="b">
        <f>Wh_hp&gt;='2022'!Maxi_hp</f>
        <v>1</v>
      </c>
      <c r="I193" s="379">
        <f>IF(H193,Wh_hp,'2022'!Maxi_hp)</f>
        <v>63.507051622398627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3.0644525630044828E-2</v>
      </c>
      <c r="M193" s="832"/>
      <c r="N193" s="832"/>
      <c r="O193" s="48">
        <f>IF(t&lt;Tnet,'2022'!Resal+('2022'!Salim-'2022'!Resal)*(1-EXP(('2022'!Tnet-t)/('2022'!Tau_j))),Resal+(Salim-Resal)*(1-EXP((Tnet-t)/(Tau_j))))*Salcycl</f>
        <v>1.4648761941276098E-2</v>
      </c>
      <c r="P193" s="338">
        <f>(INDEX(Models!$BJ193:$BT193,,T193)*(1-R193)+INDEX(Models!$BJ193:$BT193,,T193+1)*R193-ERP_i)*Q193*Ramure*Pc/MaxiM</f>
        <v>1.5070410922846648E-4</v>
      </c>
      <c r="Q193" s="304">
        <f t="shared" si="53"/>
        <v>0.6</v>
      </c>
      <c r="R193" s="177">
        <f t="shared" si="54"/>
        <v>0.83746738469333248</v>
      </c>
      <c r="S193" s="799">
        <f t="shared" si="55"/>
        <v>0</v>
      </c>
      <c r="T193" s="176">
        <f t="shared" si="56"/>
        <v>6</v>
      </c>
      <c r="U193" s="250">
        <f t="shared" si="57"/>
        <v>0.83746738469333248</v>
      </c>
      <c r="V193" s="382">
        <f t="shared" si="58"/>
        <v>59.937500146536792</v>
      </c>
      <c r="W193" s="400">
        <f t="shared" si="59"/>
        <v>60.64997548466723</v>
      </c>
      <c r="X193" s="157">
        <f t="shared" si="60"/>
        <v>45105</v>
      </c>
      <c r="Y193" s="383">
        <f t="shared" si="61"/>
        <v>58.939903958025333</v>
      </c>
      <c r="Z193" s="383">
        <f t="shared" si="62"/>
        <v>60.803188836720672</v>
      </c>
      <c r="AA193" s="384">
        <f t="shared" si="63"/>
        <v>63.497480848754151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4.2431478792852653E-2</v>
      </c>
      <c r="AD193" s="230">
        <f>(INDEX(Models!$BJ193:$BT193,,AH193)*(1-AF193)+INDEX(Models!$BJ193:$BT193,,AH193+1)*AF193-ERP_i)*AE193*Ramure*Pc/MaxiM</f>
        <v>1.5070410922846648E-4</v>
      </c>
      <c r="AE193" s="304">
        <f t="shared" si="65"/>
        <v>0.6</v>
      </c>
      <c r="AF193" s="177">
        <f t="shared" si="66"/>
        <v>0.83746738469333248</v>
      </c>
      <c r="AG193" s="799">
        <f t="shared" si="74"/>
        <v>0</v>
      </c>
      <c r="AH193" s="176">
        <f t="shared" si="67"/>
        <v>6</v>
      </c>
      <c r="AI193" s="224">
        <f t="shared" si="68"/>
        <v>0.83746738469333248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09">
        <f>'2022'!Wh/'2022'!Env_an*'2023'!Env_an</f>
        <v>58.909862859770698</v>
      </c>
      <c r="C194" s="829"/>
      <c r="D194" s="391">
        <f t="shared" si="50"/>
        <v>60.773362747840444</v>
      </c>
      <c r="E194" s="383">
        <f t="shared" si="75"/>
        <v>61.683576012790347</v>
      </c>
      <c r="F194" s="383">
        <f t="shared" si="51"/>
        <v>61.692798275187272</v>
      </c>
      <c r="G194" s="110">
        <f t="shared" si="76"/>
        <v>0.98401970765242386</v>
      </c>
      <c r="H194" s="412" t="b">
        <f>Wh_hp&gt;='2022'!Maxi_hp</f>
        <v>0</v>
      </c>
      <c r="I194" s="379">
        <f>IF(H194,Wh_hp,'2022'!Maxi_hp)</f>
        <v>61.692866587615413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3.0663103106565615E-2</v>
      </c>
      <c r="M194" s="832"/>
      <c r="N194" s="832"/>
      <c r="O194" s="48">
        <f>IF(t&lt;Tnet,'2022'!Resal+('2022'!Salim-'2022'!Resal)*(1-EXP(('2022'!Tnet-t)/('2022'!Tau_j))),Resal+(Salim-Resal)*(1-EXP((Tnet-t)/(Tau_j))))*Salcycl</f>
        <v>1.4756168882964346E-2</v>
      </c>
      <c r="P194" s="338">
        <f>(INDEX(Models!$BJ194:$BT194,,T194)*(1-R194)+INDEX(Models!$BJ194:$BT194,,T194+1)*R194-ERP_i)*Q194*Ramure*Pc/MaxiM</f>
        <v>1.5297844743558263E-4</v>
      </c>
      <c r="Q194" s="304">
        <f t="shared" si="53"/>
        <v>0.6</v>
      </c>
      <c r="R194" s="177">
        <f t="shared" si="54"/>
        <v>0.84193571602510486</v>
      </c>
      <c r="S194" s="799">
        <f t="shared" si="55"/>
        <v>0</v>
      </c>
      <c r="T194" s="176">
        <f t="shared" si="56"/>
        <v>6</v>
      </c>
      <c r="U194" s="250">
        <f t="shared" si="57"/>
        <v>0.84193571602510486</v>
      </c>
      <c r="V194" s="382">
        <f t="shared" si="58"/>
        <v>59.866338734550169</v>
      </c>
      <c r="W194" s="400">
        <f t="shared" si="59"/>
        <v>58.909862859770698</v>
      </c>
      <c r="X194" s="157">
        <f t="shared" si="60"/>
        <v>45106</v>
      </c>
      <c r="Y194" s="383">
        <f t="shared" si="61"/>
        <v>57.249901471497296</v>
      </c>
      <c r="Z194" s="383">
        <f t="shared" si="62"/>
        <v>59.060891682730563</v>
      </c>
      <c r="AA194" s="384">
        <f t="shared" si="63"/>
        <v>61.683576012790347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4.2518357390887322E-2</v>
      </c>
      <c r="AD194" s="230">
        <f>(INDEX(Models!$BJ194:$BT194,,AH194)*(1-AF194)+INDEX(Models!$BJ194:$BT194,,AH194+1)*AF194-ERP_i)*AE194*Ramure*Pc/MaxiM</f>
        <v>1.5297844743558263E-4</v>
      </c>
      <c r="AE194" s="304">
        <f t="shared" si="65"/>
        <v>0.6</v>
      </c>
      <c r="AF194" s="177">
        <f t="shared" si="66"/>
        <v>0.84193571602510486</v>
      </c>
      <c r="AG194" s="799">
        <f t="shared" si="74"/>
        <v>0</v>
      </c>
      <c r="AH194" s="176">
        <f t="shared" si="67"/>
        <v>6</v>
      </c>
      <c r="AI194" s="224">
        <f t="shared" si="68"/>
        <v>0.84193571602510486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09">
        <f>'2022'!Wh/'2022'!Env_an*'2023'!Env_an</f>
        <v>14.527877096667913</v>
      </c>
      <c r="C195" s="829"/>
      <c r="D195" s="391">
        <f t="shared" si="50"/>
        <v>14.987725704050375</v>
      </c>
      <c r="E195" s="383">
        <f t="shared" si="75"/>
        <v>15.213853670588145</v>
      </c>
      <c r="F195" s="383">
        <f t="shared" si="51"/>
        <v>15.213853670588145</v>
      </c>
      <c r="G195" s="110">
        <f t="shared" si="76"/>
        <v>0.24292878498009277</v>
      </c>
      <c r="H195" s="412" t="b">
        <f>Wh_hp&gt;='2022'!Maxi_hp</f>
        <v>0</v>
      </c>
      <c r="I195" s="379">
        <f>IF(H195,Wh_hp,'2022'!Maxi_hp)</f>
        <v>52.702185547178217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3.068168022705331E-2</v>
      </c>
      <c r="M195" s="832"/>
      <c r="N195" s="832"/>
      <c r="O195" s="48">
        <f>IF(t&lt;Tnet,'2022'!Resal+('2022'!Salim-'2022'!Resal)*(1-EXP(('2022'!Tnet-t)/('2022'!Tau_j))),Resal+(Salim-Resal)*(1-EXP((Tnet-t)/(Tau_j))))*Salcycl</f>
        <v>1.4863293116518322E-2</v>
      </c>
      <c r="P195" s="338">
        <f>(INDEX(Models!$BJ195:$BT195,,T195)*(1-R195)+INDEX(Models!$BJ195:$BT195,,T195+1)*R195-ERP_i)*Q195*Ramure*Pc/MaxiM</f>
        <v>1.5544437976101235E-4</v>
      </c>
      <c r="Q195" s="304">
        <f t="shared" si="53"/>
        <v>0.6</v>
      </c>
      <c r="R195" s="177">
        <f t="shared" si="54"/>
        <v>0.84633631627066053</v>
      </c>
      <c r="S195" s="799">
        <f t="shared" si="55"/>
        <v>0</v>
      </c>
      <c r="T195" s="176">
        <f t="shared" si="56"/>
        <v>6</v>
      </c>
      <c r="U195" s="250">
        <f t="shared" si="57"/>
        <v>0.84633631627066053</v>
      </c>
      <c r="V195" s="382">
        <f t="shared" si="58"/>
        <v>59.793732640673717</v>
      </c>
      <c r="W195" s="400">
        <f t="shared" si="59"/>
        <v>14.527877096667913</v>
      </c>
      <c r="X195" s="157">
        <f t="shared" si="60"/>
        <v>45107</v>
      </c>
      <c r="Y195" s="383">
        <f t="shared" si="61"/>
        <v>14.118775284787191</v>
      </c>
      <c r="Z195" s="383">
        <f t="shared" si="62"/>
        <v>14.565674656901537</v>
      </c>
      <c r="AA195" s="384">
        <f t="shared" si="63"/>
        <v>15.213853670588145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4.2604525304439242E-2</v>
      </c>
      <c r="AD195" s="230">
        <f>(INDEX(Models!$BJ195:$BT195,,AH195)*(1-AF195)+INDEX(Models!$BJ195:$BT195,,AH195+1)*AF195-ERP_i)*AE195*Ramure*Pc/MaxiM</f>
        <v>1.5544437976101235E-4</v>
      </c>
      <c r="AE195" s="304">
        <f t="shared" si="65"/>
        <v>0.6</v>
      </c>
      <c r="AF195" s="177">
        <f t="shared" si="66"/>
        <v>0.84633631627066053</v>
      </c>
      <c r="AG195" s="799">
        <f t="shared" si="74"/>
        <v>0</v>
      </c>
      <c r="AH195" s="176">
        <f t="shared" si="67"/>
        <v>6</v>
      </c>
      <c r="AI195" s="224">
        <f t="shared" si="68"/>
        <v>0.84633631627066053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09">
        <f>'2022'!Wh/'2022'!Env_an*'2023'!Env_an</f>
        <v>52.400125071495218</v>
      </c>
      <c r="C196" s="829"/>
      <c r="D196" s="391">
        <f t="shared" si="50"/>
        <v>54.059774027028197</v>
      </c>
      <c r="E196" s="383">
        <f t="shared" si="75"/>
        <v>54.881355263476578</v>
      </c>
      <c r="F196" s="383">
        <f t="shared" si="51"/>
        <v>54.888513916386323</v>
      </c>
      <c r="G196" s="110">
        <f t="shared" si="76"/>
        <v>0.87741046619132501</v>
      </c>
      <c r="H196" s="412" t="b">
        <f>Wh_hp&gt;='2022'!Maxi_hp</f>
        <v>0</v>
      </c>
      <c r="I196" s="379">
        <f>IF(H196,Wh_hp,'2022'!Maxi_hp)</f>
        <v>60.959454139649438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3.0700256991514685E-2</v>
      </c>
      <c r="M196" s="832"/>
      <c r="N196" s="832"/>
      <c r="O196" s="48">
        <f>IF(t&lt;Tnet,'2022'!Resal+('2022'!Salim-'2022'!Resal)*(1-EXP(('2022'!Tnet-t)/('2022'!Tau_j))),Resal+(Salim-Resal)*(1-EXP((Tnet-t)/(Tau_j))))*Salcycl</f>
        <v>1.4970133891630526E-2</v>
      </c>
      <c r="P196" s="338">
        <f>(INDEX(Models!$BJ196:$BT196,,T196)*(1-R196)+INDEX(Models!$BJ196:$BT196,,T196+1)*R196-ERP_i)*Q196*Ramure*Pc/MaxiM</f>
        <v>1.5810476177181753E-4</v>
      </c>
      <c r="Q196" s="304">
        <f t="shared" si="53"/>
        <v>0.6</v>
      </c>
      <c r="R196" s="177">
        <f t="shared" si="54"/>
        <v>0.85066708379160327</v>
      </c>
      <c r="S196" s="799">
        <f t="shared" si="55"/>
        <v>0</v>
      </c>
      <c r="T196" s="176">
        <f t="shared" si="56"/>
        <v>6</v>
      </c>
      <c r="U196" s="250">
        <f t="shared" si="57"/>
        <v>0.85066708379160327</v>
      </c>
      <c r="V196" s="382">
        <f t="shared" si="58"/>
        <v>59.71968229814577</v>
      </c>
      <c r="W196" s="400">
        <f t="shared" si="59"/>
        <v>52.400125071495218</v>
      </c>
      <c r="X196" s="157">
        <f t="shared" si="60"/>
        <v>45108</v>
      </c>
      <c r="Y196" s="383">
        <f t="shared" si="61"/>
        <v>50.925526158975273</v>
      </c>
      <c r="Z196" s="383">
        <f t="shared" si="62"/>
        <v>52.538470711767708</v>
      </c>
      <c r="AA196" s="384">
        <f t="shared" si="63"/>
        <v>54.881355263476578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4.2689990807644213E-2</v>
      </c>
      <c r="AD196" s="230">
        <f>(INDEX(Models!$BJ196:$BT196,,AH196)*(1-AF196)+INDEX(Models!$BJ196:$BT196,,AH196+1)*AF196-ERP_i)*AE196*Ramure*Pc/MaxiM</f>
        <v>1.5810476177181753E-4</v>
      </c>
      <c r="AE196" s="304">
        <f t="shared" si="65"/>
        <v>0.6</v>
      </c>
      <c r="AF196" s="177">
        <f t="shared" si="66"/>
        <v>0.85066708379160327</v>
      </c>
      <c r="AG196" s="799">
        <f t="shared" si="74"/>
        <v>0</v>
      </c>
      <c r="AH196" s="176">
        <f t="shared" si="67"/>
        <v>6</v>
      </c>
      <c r="AI196" s="224">
        <f t="shared" si="68"/>
        <v>0.85066708379160327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09">
        <f>'2022'!Wh/'2022'!Env_an*'2023'!Env_an</f>
        <v>57.883244395966237</v>
      </c>
      <c r="C197" s="829"/>
      <c r="D197" s="391">
        <f t="shared" si="50"/>
        <v>59.717702551679444</v>
      </c>
      <c r="E197" s="383">
        <f t="shared" si="75"/>
        <v>60.631829923115703</v>
      </c>
      <c r="F197" s="383">
        <f t="shared" si="51"/>
        <v>60.641179179397838</v>
      </c>
      <c r="G197" s="110">
        <f t="shared" si="76"/>
        <v>0.97046926460815885</v>
      </c>
      <c r="H197" s="412" t="b">
        <f>Wh_hp&gt;='2022'!Maxi_hp</f>
        <v>0</v>
      </c>
      <c r="I197" s="379">
        <f>IF(H197,Wh_hp,'2022'!Maxi_hp)</f>
        <v>60.641307786297681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3.0718833399956624E-2</v>
      </c>
      <c r="M197" s="832"/>
      <c r="N197" s="832"/>
      <c r="O197" s="48">
        <f>IF(t&lt;Tnet,'2022'!Resal+('2022'!Salim-'2022'!Resal)*(1-EXP(('2022'!Tnet-t)/('2022'!Tau_j))),Resal+(Salim-Resal)*(1-EXP((Tnet-t)/(Tau_j))))*Salcycl</f>
        <v>1.5076691114146095E-2</v>
      </c>
      <c r="P197" s="338">
        <f>(INDEX(Models!$BJ197:$BT197,,T197)*(1-R197)+INDEX(Models!$BJ197:$BT197,,T197+1)*R197-ERP_i)*Q197*Ramure*Pc/MaxiM</f>
        <v>1.6096235778340263E-4</v>
      </c>
      <c r="Q197" s="304">
        <f t="shared" si="53"/>
        <v>0.6</v>
      </c>
      <c r="R197" s="177">
        <f t="shared" si="54"/>
        <v>0.85492609909926398</v>
      </c>
      <c r="S197" s="799">
        <f t="shared" si="55"/>
        <v>0</v>
      </c>
      <c r="T197" s="176">
        <f t="shared" si="56"/>
        <v>6</v>
      </c>
      <c r="U197" s="250">
        <f t="shared" si="57"/>
        <v>0.85492609909926398</v>
      </c>
      <c r="V197" s="382">
        <f t="shared" si="58"/>
        <v>59.644188104577097</v>
      </c>
      <c r="W197" s="400">
        <f t="shared" si="59"/>
        <v>57.883244395966237</v>
      </c>
      <c r="X197" s="157">
        <f t="shared" si="60"/>
        <v>45109</v>
      </c>
      <c r="Y197" s="383">
        <f t="shared" si="61"/>
        <v>56.255448308080148</v>
      </c>
      <c r="Z197" s="383">
        <f t="shared" si="62"/>
        <v>58.038317720964194</v>
      </c>
      <c r="AA197" s="384">
        <f t="shared" si="63"/>
        <v>60.631829923115703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4.2774763774080661E-2</v>
      </c>
      <c r="AD197" s="230">
        <f>(INDEX(Models!$BJ197:$BT197,,AH197)*(1-AF197)+INDEX(Models!$BJ197:$BT197,,AH197+1)*AF197-ERP_i)*AE197*Ramure*Pc/MaxiM</f>
        <v>1.6096235778340263E-4</v>
      </c>
      <c r="AE197" s="304">
        <f t="shared" si="65"/>
        <v>0.6</v>
      </c>
      <c r="AF197" s="177">
        <f t="shared" si="66"/>
        <v>0.85492609909926398</v>
      </c>
      <c r="AG197" s="799">
        <f t="shared" si="74"/>
        <v>0</v>
      </c>
      <c r="AH197" s="176">
        <f t="shared" si="67"/>
        <v>6</v>
      </c>
      <c r="AI197" s="224">
        <f t="shared" si="68"/>
        <v>0.85492609909926398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09">
        <f>'2022'!Wh/'2022'!Env_an*'2023'!Env_an</f>
        <v>47.681730594666199</v>
      </c>
      <c r="C198" s="829"/>
      <c r="D198" s="391">
        <f t="shared" si="50"/>
        <v>49.193821220033854</v>
      </c>
      <c r="E198" s="383">
        <f t="shared" si="75"/>
        <v>49.952244414935734</v>
      </c>
      <c r="F198" s="383">
        <f t="shared" si="51"/>
        <v>49.958103637873585</v>
      </c>
      <c r="G198" s="110">
        <f t="shared" si="76"/>
        <v>0.80043147009453863</v>
      </c>
      <c r="H198" s="412" t="b">
        <f>Wh_hp&gt;='2022'!Maxi_hp</f>
        <v>0</v>
      </c>
      <c r="I198" s="379">
        <f>IF(H198,Wh_hp,'2022'!Maxi_hp)</f>
        <v>49.958829458254328</v>
      </c>
      <c r="J198" s="85">
        <f>IF(H198,An,'2022'!An_max)</f>
        <v>2022</v>
      </c>
      <c r="K198" s="197">
        <f t="shared" si="52"/>
        <v>45110</v>
      </c>
      <c r="L198" s="147">
        <f>IF(t&lt;Tvie,1-EXP((T0-t)*PertePVj)+'2022'!Pspv,1-EXP((T0-t)*PertePVj)+Pspv)</f>
        <v>3.0737409452386011E-2</v>
      </c>
      <c r="M198" s="832"/>
      <c r="N198" s="832"/>
      <c r="O198" s="48">
        <f>IF(t&lt;Tnet,'2022'!Resal+('2022'!Salim-'2022'!Resal)*(1-EXP(('2022'!Tnet-t)/('2022'!Tau_j))),Resal+(Salim-Resal)*(1-EXP((Tnet-t)/(Tau_j))))*Salcycl</f>
        <v>1.5182965325880576E-2</v>
      </c>
      <c r="P198" s="338">
        <f>(INDEX(Models!$BJ198:$BT198,,T198)*(1-R198)+INDEX(Models!$BJ198:$BT198,,T198+1)*R198-ERP_i)*Q198*Ramure*Pc/MaxiM</f>
        <v>1.6404198658967473E-4</v>
      </c>
      <c r="Q198" s="304">
        <f t="shared" si="53"/>
        <v>0.6</v>
      </c>
      <c r="R198" s="177">
        <f t="shared" si="54"/>
        <v>0.85911162486656045</v>
      </c>
      <c r="S198" s="799">
        <f t="shared" si="55"/>
        <v>0</v>
      </c>
      <c r="T198" s="176">
        <f t="shared" si="56"/>
        <v>6</v>
      </c>
      <c r="U198" s="250">
        <f t="shared" si="57"/>
        <v>0.85911162486656045</v>
      </c>
      <c r="V198" s="382">
        <f t="shared" si="58"/>
        <v>59.567249105522876</v>
      </c>
      <c r="W198" s="400">
        <f t="shared" si="59"/>
        <v>47.681730594666199</v>
      </c>
      <c r="X198" s="157">
        <f t="shared" si="60"/>
        <v>45110</v>
      </c>
      <c r="Y198" s="383">
        <f t="shared" si="61"/>
        <v>46.341751393744758</v>
      </c>
      <c r="Z198" s="383">
        <f t="shared" si="62"/>
        <v>47.811348385541834</v>
      </c>
      <c r="AA198" s="384">
        <f t="shared" si="63"/>
        <v>49.952244414935734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4.2858855582348344E-2</v>
      </c>
      <c r="AD198" s="230">
        <f>(INDEX(Models!$BJ198:$BT198,,AH198)*(1-AF198)+INDEX(Models!$BJ198:$BT198,,AH198+1)*AF198-ERP_i)*AE198*Ramure*Pc/MaxiM</f>
        <v>1.6404198658967473E-4</v>
      </c>
      <c r="AE198" s="304">
        <f t="shared" si="65"/>
        <v>0.6</v>
      </c>
      <c r="AF198" s="177">
        <f t="shared" si="66"/>
        <v>0.85911162486656045</v>
      </c>
      <c r="AG198" s="799">
        <f t="shared" si="74"/>
        <v>0</v>
      </c>
      <c r="AH198" s="176">
        <f t="shared" si="67"/>
        <v>6</v>
      </c>
      <c r="AI198" s="224">
        <f t="shared" si="68"/>
        <v>0.85911162486656045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09">
        <f>'2022'!Wh/'2022'!Env_an*'2023'!Env_an</f>
        <v>46.130329308464795</v>
      </c>
      <c r="C199" s="829"/>
      <c r="D199" s="391">
        <f t="shared" si="50"/>
        <v>47.594133780178417</v>
      </c>
      <c r="E199" s="383">
        <f t="shared" si="75"/>
        <v>48.333096446319445</v>
      </c>
      <c r="F199" s="383">
        <f t="shared" si="51"/>
        <v>48.33858785626699</v>
      </c>
      <c r="G199" s="110">
        <f t="shared" si="76"/>
        <v>0.77540308323462914</v>
      </c>
      <c r="H199" s="412" t="b">
        <f>Wh_hp&gt;='2022'!Maxi_hp</f>
        <v>0</v>
      </c>
      <c r="I199" s="379">
        <f>IF(H199,Wh_hp,'2022'!Maxi_hp)</f>
        <v>58.082093863284776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3.0755985148809506E-2</v>
      </c>
      <c r="M199" s="832"/>
      <c r="N199" s="832"/>
      <c r="O199" s="48">
        <f>IF(t&lt;Tnet,'2022'!Resal+('2022'!Salim-'2022'!Resal)*(1-EXP(('2022'!Tnet-t)/('2022'!Tau_j))),Resal+(Salim-Resal)*(1-EXP((Tnet-t)/(Tau_j))))*Salcycl</f>
        <v>1.5288957680618467E-2</v>
      </c>
      <c r="P199" s="338">
        <f>(INDEX(Models!$BJ199:$BT199,,T199)*(1-R199)+INDEX(Models!$BJ199:$BT199,,T199+1)*R199-ERP_i)*Q199*Ramure*Pc/MaxiM</f>
        <v>1.6725840134271025E-4</v>
      </c>
      <c r="Q199" s="304">
        <f t="shared" si="53"/>
        <v>0.6</v>
      </c>
      <c r="R199" s="177">
        <f t="shared" si="54"/>
        <v>0.86322210509051756</v>
      </c>
      <c r="S199" s="799">
        <f t="shared" si="55"/>
        <v>0</v>
      </c>
      <c r="T199" s="176">
        <f t="shared" si="56"/>
        <v>6</v>
      </c>
      <c r="U199" s="250">
        <f t="shared" si="57"/>
        <v>0.86322210509051756</v>
      </c>
      <c r="V199" s="382">
        <f t="shared" si="58"/>
        <v>59.488870865436169</v>
      </c>
      <c r="W199" s="400">
        <f t="shared" si="59"/>
        <v>46.130329308464795</v>
      </c>
      <c r="X199" s="157">
        <f t="shared" si="60"/>
        <v>45111</v>
      </c>
      <c r="Y199" s="383">
        <f t="shared" si="61"/>
        <v>44.83486620835702</v>
      </c>
      <c r="Z199" s="383">
        <f t="shared" si="62"/>
        <v>46.257563133098721</v>
      </c>
      <c r="AA199" s="384">
        <f t="shared" si="63"/>
        <v>48.333096446319445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4.2942279014254549E-2</v>
      </c>
      <c r="AD199" s="230">
        <f>(INDEX(Models!$BJ199:$BT199,,AH199)*(1-AF199)+INDEX(Models!$BJ199:$BT199,,AH199+1)*AF199-ERP_i)*AE199*Ramure*Pc/MaxiM</f>
        <v>1.6725840134271025E-4</v>
      </c>
      <c r="AE199" s="304">
        <f t="shared" si="65"/>
        <v>0.6</v>
      </c>
      <c r="AF199" s="177">
        <f t="shared" si="66"/>
        <v>0.86322210509051756</v>
      </c>
      <c r="AG199" s="799">
        <f t="shared" si="74"/>
        <v>0</v>
      </c>
      <c r="AH199" s="176">
        <f t="shared" si="67"/>
        <v>6</v>
      </c>
      <c r="AI199" s="224">
        <f t="shared" si="68"/>
        <v>0.86322210509051756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09">
        <f>'2022'!Wh/'2022'!Env_an*'2023'!Env_an</f>
        <v>57.826121628292569</v>
      </c>
      <c r="C200" s="829"/>
      <c r="D200" s="391">
        <f t="shared" si="50"/>
        <v>59.662199598765532</v>
      </c>
      <c r="E200" s="383">
        <f t="shared" si="75"/>
        <v>60.595040241866407</v>
      </c>
      <c r="F200" s="383">
        <f t="shared" si="51"/>
        <v>60.60498667071338</v>
      </c>
      <c r="G200" s="110">
        <f t="shared" si="76"/>
        <v>0.97334905044656306</v>
      </c>
      <c r="H200" s="412" t="b">
        <f>Wh_hp&gt;='2022'!Maxi_hp</f>
        <v>0</v>
      </c>
      <c r="I200" s="379">
        <f>IF(H200,Wh_hp,'2022'!Maxi_hp)</f>
        <v>61.390169549077257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3.0774560489233993E-2</v>
      </c>
      <c r="M200" s="832"/>
      <c r="N200" s="832"/>
      <c r="O200" s="48">
        <f>IF(t&lt;Tnet,'2022'!Resal+('2022'!Salim-'2022'!Resal)*(1-EXP(('2022'!Tnet-t)/('2022'!Tau_j))),Resal+(Salim-Resal)*(1-EXP((Tnet-t)/(Tau_j))))*Salcycl</f>
        <v>1.5394669916505106E-2</v>
      </c>
      <c r="P200" s="338">
        <f>(INDEX(Models!$BJ200:$BT200,,T200)*(1-R200)+INDEX(Models!$BJ200:$BT200,,T200+1)*R200-ERP_i)*Q200*Ramure*Pc/MaxiM</f>
        <v>1.7061316145536057E-4</v>
      </c>
      <c r="Q200" s="304">
        <f t="shared" si="53"/>
        <v>0.6</v>
      </c>
      <c r="R200" s="177">
        <f t="shared" si="54"/>
        <v>0.86725616345049139</v>
      </c>
      <c r="S200" s="799">
        <f t="shared" si="55"/>
        <v>0</v>
      </c>
      <c r="T200" s="176">
        <f t="shared" si="56"/>
        <v>6</v>
      </c>
      <c r="U200" s="250">
        <f t="shared" si="57"/>
        <v>0.86725616345049139</v>
      </c>
      <c r="V200" s="382">
        <f t="shared" si="58"/>
        <v>59.409053727472028</v>
      </c>
      <c r="W200" s="400">
        <f t="shared" si="59"/>
        <v>57.826121628292569</v>
      </c>
      <c r="X200" s="157">
        <f t="shared" si="60"/>
        <v>45112</v>
      </c>
      <c r="Y200" s="383">
        <f t="shared" si="61"/>
        <v>56.203382482626417</v>
      </c>
      <c r="Z200" s="383">
        <f t="shared" si="62"/>
        <v>57.987935718026641</v>
      </c>
      <c r="AA200" s="384">
        <f t="shared" si="63"/>
        <v>60.595040241866407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4.3025048146406931E-2</v>
      </c>
      <c r="AD200" s="230">
        <f>(INDEX(Models!$BJ200:$BT200,,AH200)*(1-AF200)+INDEX(Models!$BJ200:$BT200,,AH200+1)*AF200-ERP_i)*AE200*Ramure*Pc/MaxiM</f>
        <v>1.7061316145536057E-4</v>
      </c>
      <c r="AE200" s="304">
        <f t="shared" si="65"/>
        <v>0.6</v>
      </c>
      <c r="AF200" s="177">
        <f t="shared" si="66"/>
        <v>0.86725616345049139</v>
      </c>
      <c r="AG200" s="799">
        <f t="shared" si="74"/>
        <v>0</v>
      </c>
      <c r="AH200" s="176">
        <f t="shared" si="67"/>
        <v>6</v>
      </c>
      <c r="AI200" s="224">
        <f t="shared" si="68"/>
        <v>0.86725616345049139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09">
        <f>'2022'!Wh/'2022'!Env_an*'2023'!Env_an</f>
        <v>49.152006458024246</v>
      </c>
      <c r="C201" s="829"/>
      <c r="D201" s="391">
        <f t="shared" si="50"/>
        <v>50.713638395499387</v>
      </c>
      <c r="E201" s="383">
        <f t="shared" si="75"/>
        <v>51.512081025394743</v>
      </c>
      <c r="F201" s="383">
        <f t="shared" si="51"/>
        <v>51.518853018734362</v>
      </c>
      <c r="G201" s="110">
        <f t="shared" si="76"/>
        <v>0.82844654558202013</v>
      </c>
      <c r="H201" s="412" t="b">
        <f>Wh_hp&gt;='2022'!Maxi_hp</f>
        <v>0</v>
      </c>
      <c r="I201" s="379">
        <f>IF(H201,Wh_hp,'2022'!Maxi_hp)</f>
        <v>60.936475957669771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3.0793135473666355E-2</v>
      </c>
      <c r="M201" s="832"/>
      <c r="N201" s="832"/>
      <c r="O201" s="48">
        <f>IF(t&lt;Tnet,'2022'!Resal+('2022'!Salim-'2022'!Resal)*(1-EXP(('2022'!Tnet-t)/('2022'!Tau_j))),Resal+(Salim-Resal)*(1-EXP((Tnet-t)/(Tau_j))))*Salcycl</f>
        <v>1.5500104325075429E-2</v>
      </c>
      <c r="P201" s="338">
        <f>(INDEX(Models!$BJ201:$BT201,,T201)*(1-R201)+INDEX(Models!$BJ201:$BT201,,T201+1)*R201-ERP_i)*Q201*Ramure*Pc/MaxiM</f>
        <v>1.7410781443487968E-4</v>
      </c>
      <c r="Q201" s="304">
        <f t="shared" si="53"/>
        <v>0.6</v>
      </c>
      <c r="R201" s="177">
        <f t="shared" si="54"/>
        <v>0.87121260091161745</v>
      </c>
      <c r="S201" s="799">
        <f t="shared" si="55"/>
        <v>0</v>
      </c>
      <c r="T201" s="176">
        <f t="shared" si="56"/>
        <v>6</v>
      </c>
      <c r="U201" s="250">
        <f t="shared" si="57"/>
        <v>0.87121260091161745</v>
      </c>
      <c r="V201" s="382">
        <f t="shared" si="58"/>
        <v>59.327798003088169</v>
      </c>
      <c r="W201" s="400">
        <f t="shared" si="59"/>
        <v>49.152006458024246</v>
      </c>
      <c r="X201" s="157">
        <f t="shared" si="60"/>
        <v>45113</v>
      </c>
      <c r="Y201" s="383">
        <f t="shared" si="61"/>
        <v>47.773699480927313</v>
      </c>
      <c r="Z201" s="383">
        <f t="shared" si="62"/>
        <v>49.291540567322599</v>
      </c>
      <c r="AA201" s="384">
        <f t="shared" si="63"/>
        <v>51.512081025394743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4.3107178236061645E-2</v>
      </c>
      <c r="AD201" s="230">
        <f>(INDEX(Models!$BJ201:$BT201,,AH201)*(1-AF201)+INDEX(Models!$BJ201:$BT201,,AH201+1)*AF201-ERP_i)*AE201*Ramure*Pc/MaxiM</f>
        <v>1.7410781443487968E-4</v>
      </c>
      <c r="AE201" s="304">
        <f t="shared" si="65"/>
        <v>0.6</v>
      </c>
      <c r="AF201" s="177">
        <f t="shared" si="66"/>
        <v>0.87121260091161745</v>
      </c>
      <c r="AG201" s="799">
        <f t="shared" si="74"/>
        <v>0</v>
      </c>
      <c r="AH201" s="176">
        <f t="shared" si="67"/>
        <v>6</v>
      </c>
      <c r="AI201" s="224">
        <f t="shared" si="68"/>
        <v>0.87121260091161745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09">
        <f>'2022'!Wh/'2022'!Env_an*'2023'!Env_an</f>
        <v>57.250541887276619</v>
      </c>
      <c r="C202" s="829"/>
      <c r="D202" s="391">
        <f t="shared" si="50"/>
        <v>59.070608347226859</v>
      </c>
      <c r="E202" s="383">
        <f t="shared" si="75"/>
        <v>60.007033936695358</v>
      </c>
      <c r="F202" s="383">
        <f t="shared" si="51"/>
        <v>60.017188566794182</v>
      </c>
      <c r="G202" s="110">
        <f t="shared" si="76"/>
        <v>0.96632546081842652</v>
      </c>
      <c r="H202" s="412" t="b">
        <f>Wh_hp&gt;='2022'!Maxi_hp</f>
        <v>0</v>
      </c>
      <c r="I202" s="379">
        <f>IF(H202,Wh_hp,'2022'!Maxi_hp)</f>
        <v>60.017344561452532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3.0811710102113476E-2</v>
      </c>
      <c r="M202" s="832"/>
      <c r="N202" s="832"/>
      <c r="O202" s="48">
        <f>IF(t&lt;Tnet,'2022'!Resal+('2022'!Salim-'2022'!Resal)*(1-EXP(('2022'!Tnet-t)/('2022'!Tau_j))),Resal+(Salim-Resal)*(1-EXP((Tnet-t)/(Tau_j))))*Salcycl</f>
        <v>1.5605263717189947E-2</v>
      </c>
      <c r="P202" s="338">
        <f>(INDEX(Models!$BJ202:$BT202,,T202)*(1-R202)+INDEX(Models!$BJ202:$BT202,,T202+1)*R202-ERP_i)*Q202*Ramure*Pc/MaxiM</f>
        <v>1.7774390084850285E-4</v>
      </c>
      <c r="Q202" s="304">
        <f t="shared" si="53"/>
        <v>0.6</v>
      </c>
      <c r="R202" s="177">
        <f t="shared" si="54"/>
        <v>0.87509039262665711</v>
      </c>
      <c r="S202" s="799">
        <f t="shared" si="55"/>
        <v>0</v>
      </c>
      <c r="T202" s="176">
        <f t="shared" si="56"/>
        <v>6</v>
      </c>
      <c r="U202" s="250">
        <f t="shared" si="57"/>
        <v>0.87509039262665711</v>
      </c>
      <c r="V202" s="382">
        <f t="shared" si="58"/>
        <v>59.245103971113203</v>
      </c>
      <c r="W202" s="400">
        <f t="shared" si="59"/>
        <v>57.250541887276619</v>
      </c>
      <c r="X202" s="157">
        <f t="shared" si="60"/>
        <v>45114</v>
      </c>
      <c r="Y202" s="383">
        <f t="shared" si="61"/>
        <v>55.646342076151598</v>
      </c>
      <c r="Z202" s="383">
        <f t="shared" si="62"/>
        <v>57.415409014087949</v>
      </c>
      <c r="AA202" s="384">
        <f t="shared" si="63"/>
        <v>60.007033936695358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4.3188685602115459E-2</v>
      </c>
      <c r="AD202" s="230">
        <f>(INDEX(Models!$BJ202:$BT202,,AH202)*(1-AF202)+INDEX(Models!$BJ202:$BT202,,AH202+1)*AF202-ERP_i)*AE202*Ramure*Pc/MaxiM</f>
        <v>1.7774390084850285E-4</v>
      </c>
      <c r="AE202" s="304">
        <f t="shared" si="65"/>
        <v>0.6</v>
      </c>
      <c r="AF202" s="177">
        <f t="shared" si="66"/>
        <v>0.87509039262665711</v>
      </c>
      <c r="AG202" s="799">
        <f t="shared" si="74"/>
        <v>0</v>
      </c>
      <c r="AH202" s="176">
        <f t="shared" si="67"/>
        <v>6</v>
      </c>
      <c r="AI202" s="224">
        <f t="shared" si="68"/>
        <v>0.87509039262665711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09">
        <f>'2022'!Wh/'2022'!Env_an*'2023'!Env_an</f>
        <v>59.715808846438314</v>
      </c>
      <c r="C203" s="829"/>
      <c r="D203" s="391">
        <f t="shared" si="50"/>
        <v>61.615430077592663</v>
      </c>
      <c r="E203" s="383">
        <f t="shared" si="75"/>
        <v>62.598867766812397</v>
      </c>
      <c r="F203" s="383">
        <f t="shared" si="51"/>
        <v>62.610232961581055</v>
      </c>
      <c r="G203" s="110">
        <f t="shared" si="76"/>
        <v>1.0093784288127614</v>
      </c>
      <c r="H203" s="412" t="b">
        <f>Wh_hp&gt;='2022'!Maxi_hp</f>
        <v>0</v>
      </c>
      <c r="I203" s="379">
        <f>IF(H203,Wh_hp,'2022'!Maxi_hp)</f>
        <v>63.179240618782657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3.0830284374581907E-2</v>
      </c>
      <c r="M203" s="832"/>
      <c r="N203" s="832"/>
      <c r="O203" s="48">
        <f>IF(t&lt;Tnet,'2022'!Resal+('2022'!Salim-'2022'!Resal)*(1-EXP(('2022'!Tnet-t)/('2022'!Tau_j))),Resal+(Salim-Resal)*(1-EXP((Tnet-t)/(Tau_j))))*Salcycl</f>
        <v>1.5710151386174334E-2</v>
      </c>
      <c r="P203" s="338">
        <f>(INDEX(Models!$BJ203:$BT203,,T203)*(1-R203)+INDEX(Models!$BJ203:$BT203,,T203+1)*R203-ERP_i)*Q203*Ramure*Pc/MaxiM</f>
        <v>1.8152295928419888E-4</v>
      </c>
      <c r="Q203" s="304">
        <f t="shared" si="53"/>
        <v>0.6</v>
      </c>
      <c r="R203" s="177">
        <f t="shared" si="54"/>
        <v>0.87888868419225952</v>
      </c>
      <c r="S203" s="799">
        <f t="shared" si="55"/>
        <v>0</v>
      </c>
      <c r="T203" s="176">
        <f t="shared" si="56"/>
        <v>6</v>
      </c>
      <c r="U203" s="250">
        <f t="shared" si="57"/>
        <v>0.87888868419225952</v>
      </c>
      <c r="V203" s="382">
        <f t="shared" si="58"/>
        <v>59.160971883138522</v>
      </c>
      <c r="W203" s="400">
        <f t="shared" si="59"/>
        <v>59.715808846438314</v>
      </c>
      <c r="X203" s="157">
        <f t="shared" si="60"/>
        <v>45115</v>
      </c>
      <c r="Y203" s="383">
        <f t="shared" si="61"/>
        <v>58.043807432082843</v>
      </c>
      <c r="Z203" s="383">
        <f t="shared" si="62"/>
        <v>59.890240580439929</v>
      </c>
      <c r="AA203" s="384">
        <f t="shared" si="63"/>
        <v>62.598867766812397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4.3269587502163823E-2</v>
      </c>
      <c r="AD203" s="230">
        <f>(INDEX(Models!$BJ203:$BT203,,AH203)*(1-AF203)+INDEX(Models!$BJ203:$BT203,,AH203+1)*AF203-ERP_i)*AE203*Ramure*Pc/MaxiM</f>
        <v>1.8152295928419888E-4</v>
      </c>
      <c r="AE203" s="304">
        <f t="shared" si="65"/>
        <v>0.6</v>
      </c>
      <c r="AF203" s="177">
        <f t="shared" si="66"/>
        <v>0.87888868419225952</v>
      </c>
      <c r="AG203" s="799">
        <f t="shared" si="74"/>
        <v>0</v>
      </c>
      <c r="AH203" s="176">
        <f t="shared" si="67"/>
        <v>6</v>
      </c>
      <c r="AI203" s="224">
        <f t="shared" si="68"/>
        <v>0.87888868419225952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09">
        <f>'2022'!Wh/'2022'!Env_an*'2023'!Env_an</f>
        <v>59.016707048187179</v>
      </c>
      <c r="C204" s="829"/>
      <c r="D204" s="391">
        <f t="shared" si="50"/>
        <v>60.895256176577355</v>
      </c>
      <c r="E204" s="383">
        <f t="shared" si="75"/>
        <v>61.873775775611165</v>
      </c>
      <c r="F204" s="383">
        <f t="shared" si="51"/>
        <v>61.885235888677357</v>
      </c>
      <c r="G204" s="110">
        <f t="shared" si="76"/>
        <v>0.99900617769833344</v>
      </c>
      <c r="H204" s="412" t="b">
        <f>Wh_hp&gt;='2022'!Maxi_hp</f>
        <v>0</v>
      </c>
      <c r="I204" s="379">
        <f>IF(H204,Wh_hp,'2022'!Maxi_hp)</f>
        <v>61.885240787846676</v>
      </c>
      <c r="J204" s="85">
        <f>IF(H204,An,'2022'!An_max)</f>
        <v>2022</v>
      </c>
      <c r="K204" s="197">
        <f t="shared" si="52"/>
        <v>45116</v>
      </c>
      <c r="L204" s="147">
        <f>IF(t&lt;Tvie,1-EXP((T0-t)*PertePVj)+'2022'!Pspv,1-EXP((T0-t)*PertePVj)+Pspv)</f>
        <v>3.0848858291078751E-2</v>
      </c>
      <c r="M204" s="832"/>
      <c r="N204" s="832"/>
      <c r="O204" s="48">
        <f>IF(t&lt;Tnet,'2022'!Resal+('2022'!Salim-'2022'!Resal)*(1-EXP(('2022'!Tnet-t)/('2022'!Tau_j))),Resal+(Salim-Resal)*(1-EXP((Tnet-t)/(Tau_j))))*Salcycl</f>
        <v>1.5814771068480983E-2</v>
      </c>
      <c r="P204" s="338">
        <f>(INDEX(Models!$BJ204:$BT204,,T204)*(1-R204)+INDEX(Models!$BJ204:$BT204,,T204+1)*R204-ERP_i)*Q204*Ramure*Pc/MaxiM</f>
        <v>1.854465312677576E-4</v>
      </c>
      <c r="Q204" s="304">
        <f t="shared" si="53"/>
        <v>0.6</v>
      </c>
      <c r="R204" s="177">
        <f t="shared" si="54"/>
        <v>0.88260678731771158</v>
      </c>
      <c r="S204" s="799">
        <f t="shared" si="55"/>
        <v>0</v>
      </c>
      <c r="T204" s="176">
        <f t="shared" si="56"/>
        <v>6</v>
      </c>
      <c r="U204" s="250">
        <f t="shared" si="57"/>
        <v>0.88260678731771158</v>
      </c>
      <c r="V204" s="382">
        <f t="shared" si="58"/>
        <v>59.075401963041195</v>
      </c>
      <c r="W204" s="400">
        <f t="shared" si="59"/>
        <v>59.016707048187179</v>
      </c>
      <c r="X204" s="157">
        <f t="shared" si="60"/>
        <v>45116</v>
      </c>
      <c r="Y204" s="383">
        <f t="shared" si="61"/>
        <v>57.365561808107771</v>
      </c>
      <c r="Z204" s="383">
        <f t="shared" si="62"/>
        <v>59.191553658961872</v>
      </c>
      <c r="AA204" s="384">
        <f t="shared" si="63"/>
        <v>61.873775775611165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4.33499020065711E-2</v>
      </c>
      <c r="AD204" s="230">
        <f>(INDEX(Models!$BJ204:$BT204,,AH204)*(1-AF204)+INDEX(Models!$BJ204:$BT204,,AH204+1)*AF204-ERP_i)*AE204*Ramure*Pc/MaxiM</f>
        <v>1.854465312677576E-4</v>
      </c>
      <c r="AE204" s="304">
        <f t="shared" si="65"/>
        <v>0.6</v>
      </c>
      <c r="AF204" s="177">
        <f t="shared" si="66"/>
        <v>0.88260678731771158</v>
      </c>
      <c r="AG204" s="799">
        <f t="shared" si="74"/>
        <v>0</v>
      </c>
      <c r="AH204" s="176">
        <f t="shared" si="67"/>
        <v>6</v>
      </c>
      <c r="AI204" s="224">
        <f t="shared" si="68"/>
        <v>0.88260678731771158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09">
        <f>'2022'!Wh/'2022'!Env_an*'2023'!Env_an</f>
        <v>58.454545788386483</v>
      </c>
      <c r="C205" s="829"/>
      <c r="D205" s="391">
        <f t="shared" si="50"/>
        <v>60.316356822131048</v>
      </c>
      <c r="E205" s="383">
        <f t="shared" si="75"/>
        <v>61.292073112102138</v>
      </c>
      <c r="F205" s="383">
        <f t="shared" si="51"/>
        <v>61.303540704123677</v>
      </c>
      <c r="G205" s="110">
        <f t="shared" si="76"/>
        <v>0.99093988699100655</v>
      </c>
      <c r="H205" s="412" t="b">
        <f>Wh_hp&gt;='2022'!Maxi_hp</f>
        <v>0</v>
      </c>
      <c r="I205" s="379">
        <f>IF(H205,Wh_hp,'2022'!Maxi_hp)</f>
        <v>61.303585673539317</v>
      </c>
      <c r="J205" s="85">
        <f>IF(H205,An,'2022'!An_max)</f>
        <v>2022</v>
      </c>
      <c r="K205" s="197">
        <f t="shared" si="52"/>
        <v>45117</v>
      </c>
      <c r="L205" s="147">
        <f>IF(t&lt;Tvie,1-EXP((T0-t)*PertePVj)+'2022'!Pspv,1-EXP((T0-t)*PertePVj)+Pspv)</f>
        <v>3.0867431851610672E-2</v>
      </c>
      <c r="M205" s="832"/>
      <c r="N205" s="832"/>
      <c r="O205" s="48">
        <f>IF(t&lt;Tnet,'2022'!Resal+('2022'!Salim-'2022'!Resal)*(1-EXP(('2022'!Tnet-t)/('2022'!Tau_j))),Resal+(Salim-Resal)*(1-EXP((Tnet-t)/(Tau_j))))*Salcycl</f>
        <v>1.591912690221001E-2</v>
      </c>
      <c r="P205" s="338">
        <f>(INDEX(Models!$BJ205:$BT205,,T205)*(1-R205)+INDEX(Models!$BJ205:$BT205,,T205+1)*R205-ERP_i)*Q205*Ramure*Pc/MaxiM</f>
        <v>1.8951470891296536E-4</v>
      </c>
      <c r="Q205" s="304">
        <f t="shared" si="53"/>
        <v>0.6</v>
      </c>
      <c r="R205" s="177">
        <f t="shared" si="54"/>
        <v>0.88624417496554031</v>
      </c>
      <c r="S205" s="799">
        <f t="shared" si="55"/>
        <v>0</v>
      </c>
      <c r="T205" s="176">
        <f t="shared" si="56"/>
        <v>6</v>
      </c>
      <c r="U205" s="250">
        <f t="shared" si="57"/>
        <v>0.88624417496554031</v>
      </c>
      <c r="V205" s="382">
        <f t="shared" si="58"/>
        <v>58.988848046895313</v>
      </c>
      <c r="W205" s="400">
        <f t="shared" si="59"/>
        <v>58.454545788386483</v>
      </c>
      <c r="X205" s="157">
        <f t="shared" si="60"/>
        <v>45117</v>
      </c>
      <c r="Y205" s="383">
        <f t="shared" si="61"/>
        <v>56.820416875239431</v>
      </c>
      <c r="Z205" s="383">
        <f t="shared" si="62"/>
        <v>58.630179959589739</v>
      </c>
      <c r="AA205" s="384">
        <f t="shared" si="63"/>
        <v>61.292073112102138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4.3429647870514031E-2</v>
      </c>
      <c r="AD205" s="230">
        <f>(INDEX(Models!$BJ205:$BT205,,AH205)*(1-AF205)+INDEX(Models!$BJ205:$BT205,,AH205+1)*AF205-ERP_i)*AE205*Ramure*Pc/MaxiM</f>
        <v>1.8951470891296536E-4</v>
      </c>
      <c r="AE205" s="304">
        <f t="shared" si="65"/>
        <v>0.6</v>
      </c>
      <c r="AF205" s="177">
        <f t="shared" si="66"/>
        <v>0.88624417496554031</v>
      </c>
      <c r="AG205" s="799">
        <f t="shared" si="74"/>
        <v>0</v>
      </c>
      <c r="AH205" s="176">
        <f t="shared" si="67"/>
        <v>6</v>
      </c>
      <c r="AI205" s="224">
        <f t="shared" si="68"/>
        <v>0.88624417496554031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09">
        <f>'2022'!Wh/'2022'!Env_an*'2023'!Env_an</f>
        <v>56.918008039256485</v>
      </c>
      <c r="C206" s="829"/>
      <c r="D206" s="391">
        <f t="shared" si="50"/>
        <v>58.732005044005497</v>
      </c>
      <c r="E206" s="383">
        <f t="shared" si="75"/>
        <v>59.688405701994036</v>
      </c>
      <c r="F206" s="383">
        <f t="shared" si="51"/>
        <v>59.699421174496848</v>
      </c>
      <c r="G206" s="110">
        <f t="shared" si="76"/>
        <v>0.96631433184059345</v>
      </c>
      <c r="H206" s="412" t="b">
        <f>Wh_hp&gt;='2022'!Maxi_hp</f>
        <v>0</v>
      </c>
      <c r="I206" s="379">
        <f>IF(H206,Wh_hp,'2022'!Maxi_hp)</f>
        <v>60.983970970198122</v>
      </c>
      <c r="J206" s="85">
        <f>IF(H206,An,'2022'!An_max)</f>
        <v>2018</v>
      </c>
      <c r="K206" s="197">
        <f t="shared" si="52"/>
        <v>45118</v>
      </c>
      <c r="L206" s="147">
        <f>IF(t&lt;Tvie,1-EXP((T0-t)*PertePVj)+'2022'!Pspv,1-EXP((T0-t)*PertePVj)+Pspv)</f>
        <v>3.0886005056184551E-2</v>
      </c>
      <c r="M206" s="832"/>
      <c r="N206" s="832"/>
      <c r="O206" s="48">
        <f>IF(t&lt;Tnet,'2022'!Resal+('2022'!Salim-'2022'!Resal)*(1-EXP(('2022'!Tnet-t)/('2022'!Tau_j))),Resal+(Salim-Resal)*(1-EXP((Tnet-t)/(Tau_j))))*Salcycl</f>
        <v>1.6023223383843641E-2</v>
      </c>
      <c r="P206" s="338">
        <f>(INDEX(Models!$BJ206:$BT206,,T206)*(1-R206)+INDEX(Models!$BJ206:$BT206,,T206+1)*R206-ERP_i)*Q206*Ramure*Pc/MaxiM</f>
        <v>1.9384116935760009E-4</v>
      </c>
      <c r="Q206" s="304">
        <f t="shared" si="53"/>
        <v>0.6</v>
      </c>
      <c r="R206" s="177">
        <f t="shared" si="54"/>
        <v>0.88980047602390466</v>
      </c>
      <c r="S206" s="799">
        <f t="shared" si="55"/>
        <v>0</v>
      </c>
      <c r="T206" s="176">
        <f t="shared" si="56"/>
        <v>6</v>
      </c>
      <c r="U206" s="250">
        <f t="shared" si="57"/>
        <v>0.88980047602390466</v>
      </c>
      <c r="V206" s="382">
        <f t="shared" si="58"/>
        <v>58.901617487274493</v>
      </c>
      <c r="W206" s="400">
        <f t="shared" si="59"/>
        <v>56.918008039256485</v>
      </c>
      <c r="X206" s="157">
        <f t="shared" si="60"/>
        <v>45118</v>
      </c>
      <c r="Y206" s="383">
        <f t="shared" si="61"/>
        <v>55.328105883613937</v>
      </c>
      <c r="Z206" s="383">
        <f t="shared" si="62"/>
        <v>57.091432145525452</v>
      </c>
      <c r="AA206" s="384">
        <f t="shared" si="63"/>
        <v>59.688405701994036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4.3508844404966704E-2</v>
      </c>
      <c r="AD206" s="230">
        <f>(INDEX(Models!$BJ206:$BT206,,AH206)*(1-AF206)+INDEX(Models!$BJ206:$BT206,,AH206+1)*AF206-ERP_i)*AE206*Ramure*Pc/MaxiM</f>
        <v>1.9384116935760009E-4</v>
      </c>
      <c r="AE206" s="304">
        <f t="shared" si="65"/>
        <v>0.6</v>
      </c>
      <c r="AF206" s="177">
        <f t="shared" si="66"/>
        <v>0.88980047602390466</v>
      </c>
      <c r="AG206" s="799">
        <f t="shared" si="74"/>
        <v>0</v>
      </c>
      <c r="AH206" s="176">
        <f t="shared" si="67"/>
        <v>6</v>
      </c>
      <c r="AI206" s="224">
        <f t="shared" si="68"/>
        <v>0.88980047602390466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09">
        <f>'2022'!Wh/'2022'!Env_an*'2023'!Env_an</f>
        <v>56.6704069763137</v>
      </c>
      <c r="C207" s="829"/>
      <c r="D207" s="391">
        <f t="shared" ref="D207:D270" si="77">Wh/(1-Ppv)</f>
        <v>58.477633558305115</v>
      </c>
      <c r="E207" s="383">
        <f t="shared" si="75"/>
        <v>59.436164465217516</v>
      </c>
      <c r="F207" s="383">
        <f t="shared" ref="F207:F270" si="78">Wh_sa/(1-Pvg*MEDIAN((-Sdif+Wh/Env_an)/Csdif,0,1))</f>
        <v>59.44733965326423</v>
      </c>
      <c r="G207" s="110">
        <f t="shared" si="76"/>
        <v>0.96355112683194877</v>
      </c>
      <c r="H207" s="412" t="b">
        <f>Wh_hp&gt;='2022'!Maxi_hp</f>
        <v>0</v>
      </c>
      <c r="I207" s="379">
        <f>IF(H207,Wh_hp,'2022'!Maxi_hp)</f>
        <v>61.397076269848142</v>
      </c>
      <c r="J207" s="85">
        <f>IF(H207,An,'2022'!An_max)</f>
        <v>2018</v>
      </c>
      <c r="K207" s="197">
        <f t="shared" ref="K207:K270" si="79">t</f>
        <v>45119</v>
      </c>
      <c r="L207" s="147">
        <f>IF(t&lt;Tvie,1-EXP((T0-t)*PertePVj)+'2022'!Pspv,1-EXP((T0-t)*PertePVj)+Pspv)</f>
        <v>3.0904577904807273E-2</v>
      </c>
      <c r="M207" s="832"/>
      <c r="N207" s="832"/>
      <c r="O207" s="48">
        <f>IF(t&lt;Tnet,'2022'!Resal+('2022'!Salim-'2022'!Resal)*(1-EXP(('2022'!Tnet-t)/('2022'!Tau_j))),Resal+(Salim-Resal)*(1-EXP((Tnet-t)/(Tau_j))))*Salcycl</f>
        <v>1.6127065323559665E-2</v>
      </c>
      <c r="P207" s="338">
        <f>(INDEX(Models!$BJ207:$BT207,,T207)*(1-R207)+INDEX(Models!$BJ207:$BT207,,T207+1)*R207-ERP_i)*Q207*Ramure*Pc/MaxiM</f>
        <v>1.9830768890501159E-4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0.89327546957062287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0.89327546957062287</v>
      </c>
      <c r="V207" s="382">
        <f t="shared" ref="V207:V270" si="85">MaxiM*(1-Ppv)*(1-Pvg)*(1-Psa)</f>
        <v>58.813507947942306</v>
      </c>
      <c r="W207" s="400">
        <f t="shared" ref="W207:W270" si="86">Wh*(A207&gt;Tmaj)</f>
        <v>56.6704069763137</v>
      </c>
      <c r="X207" s="157">
        <f t="shared" ref="X207:X270" si="87">t</f>
        <v>45119</v>
      </c>
      <c r="Y207" s="383">
        <f t="shared" ref="Y207:Y270" si="88">Wh_pvt_s*(1-Ppv)</f>
        <v>55.088704098751776</v>
      </c>
      <c r="Z207" s="383">
        <f t="shared" ref="Z207:Z270" si="89">Wh_sa_s*(1-Psa_s)</f>
        <v>56.845489972132484</v>
      </c>
      <c r="AA207" s="384">
        <f t="shared" ref="AA207:AA270" si="90">Wh_hp*(1-Pvg_s*MEDIAN((-Sdif+Wh/Env_an)/Csdif,0,1))</f>
        <v>59.436164465217516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4.3587511347592353E-2</v>
      </c>
      <c r="AD207" s="230">
        <f>(INDEX(Models!$BJ207:$BT207,,AH207)*(1-AF207)+INDEX(Models!$BJ207:$BT207,,AH207+1)*AF207-ERP_i)*AE207*Ramure*Pc/MaxiM</f>
        <v>1.9830768890501159E-4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0.89327546957062287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0.89327546957062287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09">
        <f>'2022'!Wh/'2022'!Env_an*'2023'!Env_an</f>
        <v>56.381134115194328</v>
      </c>
      <c r="C208" s="829"/>
      <c r="D208" s="391">
        <f t="shared" si="77"/>
        <v>58.18025075959676</v>
      </c>
      <c r="E208" s="383">
        <f t="shared" si="75"/>
        <v>59.140134037373883</v>
      </c>
      <c r="F208" s="383">
        <f t="shared" si="78"/>
        <v>59.15145265260832</v>
      </c>
      <c r="G208" s="110">
        <f t="shared" si="76"/>
        <v>0.96008759877811956</v>
      </c>
      <c r="H208" s="412" t="b">
        <f>Wh_hp&gt;='2022'!Maxi_hp</f>
        <v>0</v>
      </c>
      <c r="I208" s="379">
        <f>IF(H208,Wh_hp,'2022'!Maxi_hp)</f>
        <v>59.151654034195076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3.0923150397485499E-2</v>
      </c>
      <c r="M208" s="832"/>
      <c r="N208" s="832"/>
      <c r="O208" s="48">
        <f>IF(t&lt;Tnet,'2022'!Resal+('2022'!Salim-'2022'!Resal)*(1-EXP(('2022'!Tnet-t)/('2022'!Tau_j))),Resal+(Salim-Resal)*(1-EXP((Tnet-t)/(Tau_j))))*Salcycl</f>
        <v>1.6230657799499112E-2</v>
      </c>
      <c r="P208" s="338">
        <f>(INDEX(Models!$BJ208:$BT208,,T208)*(1-R208)+INDEX(Models!$BJ208:$BT208,,T208+1)*R208-ERP_i)*Q208*Ramure*Pc/MaxiM</f>
        <v>2.0291634954765735E-4</v>
      </c>
      <c r="Q208" s="304">
        <f t="shared" si="80"/>
        <v>0.6</v>
      </c>
      <c r="R208" s="177">
        <f t="shared" si="81"/>
        <v>0.89666907878796831</v>
      </c>
      <c r="S208" s="799">
        <f t="shared" si="82"/>
        <v>0</v>
      </c>
      <c r="T208" s="176">
        <f t="shared" si="83"/>
        <v>6</v>
      </c>
      <c r="U208" s="250">
        <f t="shared" si="84"/>
        <v>0.89666907878796831</v>
      </c>
      <c r="V208" s="382">
        <f t="shared" si="85"/>
        <v>58.724310077242556</v>
      </c>
      <c r="W208" s="400">
        <f t="shared" si="86"/>
        <v>56.381134115194328</v>
      </c>
      <c r="X208" s="157">
        <f t="shared" si="87"/>
        <v>45120</v>
      </c>
      <c r="Y208" s="383">
        <f t="shared" si="88"/>
        <v>54.808797018860389</v>
      </c>
      <c r="Z208" s="383">
        <f t="shared" si="89"/>
        <v>56.557740535584223</v>
      </c>
      <c r="AA208" s="384">
        <f t="shared" si="90"/>
        <v>59.140134037373883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4.3665668734495955E-2</v>
      </c>
      <c r="AD208" s="230">
        <f>(INDEX(Models!$BJ208:$BT208,,AH208)*(1-AF208)+INDEX(Models!$BJ208:$BT208,,AH208+1)*AF208-ERP_i)*AE208*Ramure*Pc/MaxiM</f>
        <v>2.0291634954765735E-4</v>
      </c>
      <c r="AE208" s="304">
        <f t="shared" si="92"/>
        <v>0.6</v>
      </c>
      <c r="AF208" s="177">
        <f t="shared" si="93"/>
        <v>0.89666907878796831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0.89666907878796831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09">
        <f>'2022'!Wh/'2022'!Env_an*'2023'!Env_an</f>
        <v>55.790230478216564</v>
      </c>
      <c r="C209" s="829"/>
      <c r="D209" s="391">
        <f t="shared" si="77"/>
        <v>57.571594790063614</v>
      </c>
      <c r="E209" s="383">
        <f t="shared" si="75"/>
        <v>58.527584716506631</v>
      </c>
      <c r="F209" s="383">
        <f t="shared" si="78"/>
        <v>58.538899208433484</v>
      </c>
      <c r="G209" s="110">
        <f t="shared" si="76"/>
        <v>0.95148896579119557</v>
      </c>
      <c r="H209" s="412" t="b">
        <f>Wh_hp&gt;='2022'!Maxi_hp</f>
        <v>0</v>
      </c>
      <c r="I209" s="379">
        <f>IF(H209,Wh_hp,'2022'!Maxi_hp)</f>
        <v>61.162094530225126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3.0941722534226224E-2</v>
      </c>
      <c r="M209" s="832"/>
      <c r="N209" s="832"/>
      <c r="O209" s="48">
        <f>IF(t&lt;Tnet,'2022'!Resal+('2022'!Salim-'2022'!Resal)*(1-EXP(('2022'!Tnet-t)/('2022'!Tau_j))),Resal+(Salim-Resal)*(1-EXP((Tnet-t)/(Tau_j))))*Salcycl</f>
        <v>1.6334006111367854E-2</v>
      </c>
      <c r="P209" s="338">
        <f>(INDEX(Models!$BJ209:$BT209,,T209)*(1-R209)+INDEX(Models!$BJ209:$BT209,,T209+1)*R209-ERP_i)*Q209*Ramure*Pc/MaxiM</f>
        <v>2.0766932593471106E-4</v>
      </c>
      <c r="Q209" s="304">
        <f t="shared" si="80"/>
        <v>0.6</v>
      </c>
      <c r="R209" s="177">
        <f t="shared" si="81"/>
        <v>0.89998136458610123</v>
      </c>
      <c r="S209" s="799">
        <f t="shared" si="82"/>
        <v>0</v>
      </c>
      <c r="T209" s="176">
        <f t="shared" si="83"/>
        <v>6</v>
      </c>
      <c r="U209" s="250">
        <f t="shared" si="84"/>
        <v>0.89998136458610123</v>
      </c>
      <c r="V209" s="382">
        <f t="shared" si="85"/>
        <v>58.63381461490463</v>
      </c>
      <c r="W209" s="400">
        <f t="shared" si="86"/>
        <v>55.790230478216564</v>
      </c>
      <c r="X209" s="157">
        <f t="shared" si="87"/>
        <v>45121</v>
      </c>
      <c r="Y209" s="383">
        <f t="shared" si="88"/>
        <v>54.235665326620733</v>
      </c>
      <c r="Z209" s="383">
        <f t="shared" si="89"/>
        <v>55.967392867697043</v>
      </c>
      <c r="AA209" s="384">
        <f t="shared" si="90"/>
        <v>58.527584716506631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4.3743336773771416E-2</v>
      </c>
      <c r="AD209" s="230">
        <f>(INDEX(Models!$BJ209:$BT209,,AH209)*(1-AF209)+INDEX(Models!$BJ209:$BT209,,AH209+1)*AF209-ERP_i)*AE209*Ramure*Pc/MaxiM</f>
        <v>2.0766932593471106E-4</v>
      </c>
      <c r="AE209" s="304">
        <f t="shared" si="92"/>
        <v>0.6</v>
      </c>
      <c r="AF209" s="177">
        <f t="shared" si="93"/>
        <v>0.89998136458610123</v>
      </c>
      <c r="AG209" s="799">
        <f t="shared" si="99"/>
        <v>0</v>
      </c>
      <c r="AH209" s="176">
        <f t="shared" si="94"/>
        <v>6</v>
      </c>
      <c r="AI209" s="224">
        <f t="shared" si="95"/>
        <v>0.89998136458610123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09">
        <f>'2022'!Wh/'2022'!Env_an*'2023'!Env_an</f>
        <v>53.948164641322791</v>
      </c>
      <c r="C210" s="829"/>
      <c r="D210" s="391">
        <f t="shared" si="77"/>
        <v>55.671779313923608</v>
      </c>
      <c r="E210" s="383">
        <f t="shared" si="75"/>
        <v>56.602155494567718</v>
      </c>
      <c r="F210" s="383">
        <f t="shared" si="78"/>
        <v>56.612840635299577</v>
      </c>
      <c r="G210" s="110">
        <f t="shared" si="76"/>
        <v>0.92151022831681484</v>
      </c>
      <c r="H210" s="412" t="b">
        <f>Wh_hp&gt;='2022'!Maxi_hp</f>
        <v>0</v>
      </c>
      <c r="I210" s="379">
        <f>IF(H210,Wh_hp,'2022'!Maxi_hp)</f>
        <v>62.506291921724774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3.0960294315036108E-2</v>
      </c>
      <c r="M210" s="832"/>
      <c r="N210" s="832"/>
      <c r="O210" s="48">
        <f>IF(t&lt;Tnet,'2022'!Resal+('2022'!Salim-'2022'!Resal)*(1-EXP(('2022'!Tnet-t)/('2022'!Tau_j))),Resal+(Salim-Resal)*(1-EXP((Tnet-t)/(Tau_j))))*Salcycl</f>
        <v>1.6437115733753269E-2</v>
      </c>
      <c r="P210" s="338">
        <f>(INDEX(Models!$BJ210:$BT210,,T210)*(1-R210)+INDEX(Models!$BJ210:$BT210,,T210+1)*R210-ERP_i)*Q210*Ramure*Pc/MaxiM</f>
        <v>2.1256889393379873E-4</v>
      </c>
      <c r="Q210" s="304">
        <f t="shared" si="80"/>
        <v>0.6</v>
      </c>
      <c r="R210" s="177">
        <f t="shared" si="81"/>
        <v>0.90321251899125354</v>
      </c>
      <c r="S210" s="799">
        <f t="shared" si="82"/>
        <v>0</v>
      </c>
      <c r="T210" s="176">
        <f t="shared" si="83"/>
        <v>6</v>
      </c>
      <c r="U210" s="250">
        <f t="shared" si="84"/>
        <v>0.90321251899125354</v>
      </c>
      <c r="V210" s="382">
        <f t="shared" si="85"/>
        <v>58.541812393904607</v>
      </c>
      <c r="W210" s="400">
        <f t="shared" si="86"/>
        <v>53.948164641322791</v>
      </c>
      <c r="X210" s="157">
        <f t="shared" si="87"/>
        <v>45122</v>
      </c>
      <c r="Y210" s="383">
        <f t="shared" si="88"/>
        <v>52.44619128142228</v>
      </c>
      <c r="Z210" s="383">
        <f t="shared" si="89"/>
        <v>54.121818717790092</v>
      </c>
      <c r="AA210" s="384">
        <f t="shared" si="90"/>
        <v>56.602155494567718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4.3820535721747857E-2</v>
      </c>
      <c r="AD210" s="230">
        <f>(INDEX(Models!$BJ210:$BT210,,AH210)*(1-AF210)+INDEX(Models!$BJ210:$BT210,,AH210+1)*AF210-ERP_i)*AE210*Ramure*Pc/MaxiM</f>
        <v>2.1256889393379873E-4</v>
      </c>
      <c r="AE210" s="304">
        <f t="shared" si="92"/>
        <v>0.6</v>
      </c>
      <c r="AF210" s="177">
        <f t="shared" si="93"/>
        <v>0.90321251899125354</v>
      </c>
      <c r="AG210" s="799">
        <f t="shared" si="99"/>
        <v>0</v>
      </c>
      <c r="AH210" s="176">
        <f t="shared" si="94"/>
        <v>6</v>
      </c>
      <c r="AI210" s="224">
        <f t="shared" si="95"/>
        <v>0.90321251899125354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09">
        <f>'2022'!Wh/'2022'!Env_an*'2023'!Env_an</f>
        <v>55.516306533149255</v>
      </c>
      <c r="C211" s="829"/>
      <c r="D211" s="391">
        <f t="shared" si="77"/>
        <v>57.291120462032254</v>
      </c>
      <c r="E211" s="383">
        <f t="shared" si="75"/>
        <v>58.254651955032926</v>
      </c>
      <c r="F211" s="383">
        <f t="shared" si="78"/>
        <v>58.266423137576183</v>
      </c>
      <c r="G211" s="110">
        <f t="shared" si="76"/>
        <v>0.94982464801579869</v>
      </c>
      <c r="H211" s="412" t="b">
        <f>Wh_hp&gt;='2022'!Maxi_hp</f>
        <v>0</v>
      </c>
      <c r="I211" s="379">
        <f>IF(H211,Wh_hp,'2022'!Maxi_hp)</f>
        <v>60.8270261955942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3.0978865739922035E-2</v>
      </c>
      <c r="M211" s="832"/>
      <c r="N211" s="832"/>
      <c r="O211" s="48">
        <f>IF(t&lt;Tnet,'2022'!Resal+('2022'!Salim-'2022'!Resal)*(1-EXP(('2022'!Tnet-t)/('2022'!Tau_j))),Resal+(Salim-Resal)*(1-EXP((Tnet-t)/(Tau_j))))*Salcycl</f>
        <v>1.6539992269534658E-2</v>
      </c>
      <c r="P211" s="338">
        <f>(INDEX(Models!$BJ211:$BT211,,T211)*(1-R211)+INDEX(Models!$BJ211:$BT211,,T211+1)*R211-ERP_i)*Q211*Ramure*Pc/MaxiM</f>
        <v>2.1761743897760061E-4</v>
      </c>
      <c r="Q211" s="304">
        <f t="shared" si="80"/>
        <v>0.6</v>
      </c>
      <c r="R211" s="177">
        <f t="shared" si="81"/>
        <v>0.90636285835259489</v>
      </c>
      <c r="S211" s="799">
        <f t="shared" si="82"/>
        <v>0</v>
      </c>
      <c r="T211" s="176">
        <f t="shared" si="83"/>
        <v>6</v>
      </c>
      <c r="U211" s="250">
        <f t="shared" si="84"/>
        <v>0.90636285835259489</v>
      </c>
      <c r="V211" s="382">
        <f t="shared" si="85"/>
        <v>58.448094342782753</v>
      </c>
      <c r="W211" s="400">
        <f t="shared" si="86"/>
        <v>55.516306533149255</v>
      </c>
      <c r="X211" s="157">
        <f t="shared" si="87"/>
        <v>45123</v>
      </c>
      <c r="Y211" s="383">
        <f t="shared" si="88"/>
        <v>53.971987618753872</v>
      </c>
      <c r="Z211" s="383">
        <f t="shared" si="89"/>
        <v>55.697430851150244</v>
      </c>
      <c r="AA211" s="384">
        <f t="shared" si="90"/>
        <v>58.254651955032926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4.3897285762802475E-2</v>
      </c>
      <c r="AD211" s="230">
        <f>(INDEX(Models!$BJ211:$BT211,,AH211)*(1-AF211)+INDEX(Models!$BJ211:$BT211,,AH211+1)*AF211-ERP_i)*AE211*Ramure*Pc/MaxiM</f>
        <v>2.1761743897760061E-4</v>
      </c>
      <c r="AE211" s="304">
        <f t="shared" si="92"/>
        <v>0.6</v>
      </c>
      <c r="AF211" s="177">
        <f t="shared" si="93"/>
        <v>0.90636285835259489</v>
      </c>
      <c r="AG211" s="799">
        <f t="shared" si="99"/>
        <v>0</v>
      </c>
      <c r="AH211" s="176">
        <f t="shared" si="94"/>
        <v>6</v>
      </c>
      <c r="AI211" s="224">
        <f t="shared" si="95"/>
        <v>0.90636285835259489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09">
        <f>'2022'!Wh/'2022'!Env_an*'2023'!Env_an</f>
        <v>55.026621471610561</v>
      </c>
      <c r="C212" s="829"/>
      <c r="D212" s="391">
        <f t="shared" si="77"/>
        <v>56.78686885037483</v>
      </c>
      <c r="E212" s="383">
        <f t="shared" si="75"/>
        <v>57.747947227891871</v>
      </c>
      <c r="F212" s="383">
        <f t="shared" si="78"/>
        <v>57.759767896104698</v>
      </c>
      <c r="G212" s="110">
        <f t="shared" si="76"/>
        <v>0.94298731748206299</v>
      </c>
      <c r="H212" s="412" t="b">
        <f>Wh_hp&gt;='2022'!Maxi_hp</f>
        <v>0</v>
      </c>
      <c r="I212" s="379">
        <f>IF(H212,Wh_hp,'2022'!Maxi_hp)</f>
        <v>61.26677577265081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3.0997436808890888E-2</v>
      </c>
      <c r="M212" s="832"/>
      <c r="N212" s="832"/>
      <c r="O212" s="48">
        <f>IF(t&lt;Tnet,'2022'!Resal+('2022'!Salim-'2022'!Resal)*(1-EXP(('2022'!Tnet-t)/('2022'!Tau_j))),Resal+(Salim-Resal)*(1-EXP((Tnet-t)/(Tau_j))))*Salcycl</f>
        <v>1.664264140375956E-2</v>
      </c>
      <c r="P212" s="338">
        <f>(INDEX(Models!$BJ212:$BT212,,T212)*(1-R212)+INDEX(Models!$BJ212:$BT212,,T212+1)*R212-ERP_i)*Q212*Ramure*Pc/MaxiM</f>
        <v>2.2279255034496307E-4</v>
      </c>
      <c r="Q212" s="304">
        <f t="shared" si="80"/>
        <v>0.6</v>
      </c>
      <c r="R212" s="177">
        <f t="shared" si="81"/>
        <v>0.90943281641917129</v>
      </c>
      <c r="S212" s="799">
        <f t="shared" si="82"/>
        <v>0</v>
      </c>
      <c r="T212" s="176">
        <f t="shared" si="83"/>
        <v>6</v>
      </c>
      <c r="U212" s="250">
        <f t="shared" si="84"/>
        <v>0.90943281641917129</v>
      </c>
      <c r="V212" s="382">
        <f t="shared" si="85"/>
        <v>58.35245294331537</v>
      </c>
      <c r="W212" s="400">
        <f t="shared" si="86"/>
        <v>55.026621471610561</v>
      </c>
      <c r="X212" s="157">
        <f t="shared" si="87"/>
        <v>45124</v>
      </c>
      <c r="Y212" s="383">
        <f t="shared" si="88"/>
        <v>53.497237795051817</v>
      </c>
      <c r="Z212" s="383">
        <f t="shared" si="89"/>
        <v>55.208561697582383</v>
      </c>
      <c r="AA212" s="384">
        <f t="shared" si="90"/>
        <v>57.747947227891871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4.3973606893562146E-2</v>
      </c>
      <c r="AD212" s="230">
        <f>(INDEX(Models!$BJ212:$BT212,,AH212)*(1-AF212)+INDEX(Models!$BJ212:$BT212,,AH212+1)*AF212-ERP_i)*AE212*Ramure*Pc/MaxiM</f>
        <v>2.2279255034496307E-4</v>
      </c>
      <c r="AE212" s="304">
        <f t="shared" si="92"/>
        <v>0.6</v>
      </c>
      <c r="AF212" s="177">
        <f t="shared" si="93"/>
        <v>0.90943281641917129</v>
      </c>
      <c r="AG212" s="799">
        <f t="shared" si="99"/>
        <v>0</v>
      </c>
      <c r="AH212" s="176">
        <f t="shared" si="94"/>
        <v>6</v>
      </c>
      <c r="AI212" s="224">
        <f t="shared" si="95"/>
        <v>0.90943281641917129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09">
        <f>'2022'!Wh/'2022'!Env_an*'2023'!Env_an</f>
        <v>56.01726949443011</v>
      </c>
      <c r="C213" s="829"/>
      <c r="D213" s="391">
        <f t="shared" si="77"/>
        <v>57.810314648411506</v>
      </c>
      <c r="E213" s="383">
        <f t="shared" si="75"/>
        <v>58.794838263651791</v>
      </c>
      <c r="F213" s="383">
        <f t="shared" si="78"/>
        <v>58.807514777066793</v>
      </c>
      <c r="G213" s="110">
        <f t="shared" si="76"/>
        <v>0.96158055781549434</v>
      </c>
      <c r="H213" s="412" t="b">
        <f>Wh_hp&gt;='2022'!Maxi_hp</f>
        <v>0</v>
      </c>
      <c r="I213" s="379">
        <f>IF(H213,Wh_hp,'2022'!Maxi_hp)</f>
        <v>58.807726124673266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3.101600752194944E-2</v>
      </c>
      <c r="M213" s="832"/>
      <c r="N213" s="832"/>
      <c r="O213" s="48">
        <f>IF(t&lt;Tnet,'2022'!Resal+('2022'!Salim-'2022'!Resal)*(1-EXP(('2022'!Tnet-t)/('2022'!Tau_j))),Resal+(Salim-Resal)*(1-EXP((Tnet-t)/(Tau_j))))*Salcycl</f>
        <v>1.6745068858348023E-2</v>
      </c>
      <c r="P213" s="338">
        <f>(INDEX(Models!$BJ213:$BT213,,T213)*(1-R213)+INDEX(Models!$BJ213:$BT213,,T213+1)*R213-ERP_i)*Q213*Ramure*Pc/MaxiM</f>
        <v>2.2807327521539116E-4</v>
      </c>
      <c r="Q213" s="304">
        <f t="shared" si="80"/>
        <v>0.6</v>
      </c>
      <c r="R213" s="177">
        <f t="shared" si="81"/>
        <v>0.91242293733546176</v>
      </c>
      <c r="S213" s="799">
        <f t="shared" si="82"/>
        <v>0</v>
      </c>
      <c r="T213" s="176">
        <f t="shared" si="83"/>
        <v>6</v>
      </c>
      <c r="U213" s="250">
        <f t="shared" si="84"/>
        <v>0.91242293733546176</v>
      </c>
      <c r="V213" s="382">
        <f t="shared" si="85"/>
        <v>58.254680687601351</v>
      </c>
      <c r="W213" s="400">
        <f t="shared" si="86"/>
        <v>56.01726949443011</v>
      </c>
      <c r="X213" s="157">
        <f t="shared" si="87"/>
        <v>45125</v>
      </c>
      <c r="Y213" s="383">
        <f t="shared" si="88"/>
        <v>54.461700655645132</v>
      </c>
      <c r="Z213" s="383">
        <f t="shared" si="89"/>
        <v>56.204953929493108</v>
      </c>
      <c r="AA213" s="384">
        <f t="shared" si="90"/>
        <v>58.794838263651791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4.4049518812262906E-2</v>
      </c>
      <c r="AD213" s="230">
        <f>(INDEX(Models!$BJ213:$BT213,,AH213)*(1-AF213)+INDEX(Models!$BJ213:$BT213,,AH213+1)*AF213-ERP_i)*AE213*Ramure*Pc/MaxiM</f>
        <v>2.2807327521539116E-4</v>
      </c>
      <c r="AE213" s="304">
        <f t="shared" si="92"/>
        <v>0.6</v>
      </c>
      <c r="AF213" s="177">
        <f t="shared" si="93"/>
        <v>0.91242293733546176</v>
      </c>
      <c r="AG213" s="799">
        <f t="shared" si="99"/>
        <v>0</v>
      </c>
      <c r="AH213" s="176">
        <f t="shared" si="94"/>
        <v>6</v>
      </c>
      <c r="AI213" s="224">
        <f t="shared" si="95"/>
        <v>0.91242293733546176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09">
        <f>'2022'!Wh/'2022'!Env_an*'2023'!Env_an</f>
        <v>46.289521692920381</v>
      </c>
      <c r="C214" s="829"/>
      <c r="D214" s="391">
        <f t="shared" si="77"/>
        <v>47.772108927892113</v>
      </c>
      <c r="E214" s="383">
        <f t="shared" si="75"/>
        <v>48.590730588428194</v>
      </c>
      <c r="F214" s="383">
        <f t="shared" si="78"/>
        <v>48.598769596968118</v>
      </c>
      <c r="G214" s="110">
        <f t="shared" si="76"/>
        <v>0.79591977542680614</v>
      </c>
      <c r="H214" s="412" t="b">
        <f>Wh_hp&gt;='2022'!Maxi_hp</f>
        <v>0</v>
      </c>
      <c r="I214" s="379">
        <f>IF(H214,Wh_hp,'2022'!Maxi_hp)</f>
        <v>60.996282625351171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3.1034577879104575E-2</v>
      </c>
      <c r="M214" s="832"/>
      <c r="N214" s="832"/>
      <c r="O214" s="48">
        <f>IF(t&lt;Tnet,'2022'!Resal+('2022'!Salim-'2022'!Resal)*(1-EXP(('2022'!Tnet-t)/('2022'!Tau_j))),Resal+(Salim-Resal)*(1-EXP((Tnet-t)/(Tau_j))))*Salcycl</f>
        <v>1.6847280347973084E-2</v>
      </c>
      <c r="P214" s="338">
        <f>(INDEX(Models!$BJ214:$BT214,,T214)*(1-R214)+INDEX(Models!$BJ214:$BT214,,T214+1)*R214-ERP_i)*Q214*Ramure*Pc/MaxiM</f>
        <v>2.33462102050491E-4</v>
      </c>
      <c r="Q214" s="304">
        <f t="shared" si="80"/>
        <v>0.6</v>
      </c>
      <c r="R214" s="177">
        <f t="shared" si="81"/>
        <v>0.9153338686010255</v>
      </c>
      <c r="S214" s="799">
        <f t="shared" si="82"/>
        <v>0</v>
      </c>
      <c r="T214" s="176">
        <f t="shared" si="83"/>
        <v>6</v>
      </c>
      <c r="U214" s="250">
        <f t="shared" si="84"/>
        <v>0.9153338686010255</v>
      </c>
      <c r="V214" s="382">
        <f t="shared" si="85"/>
        <v>58.154568807134112</v>
      </c>
      <c r="W214" s="400">
        <f t="shared" si="86"/>
        <v>46.289521692920381</v>
      </c>
      <c r="X214" s="157">
        <f t="shared" si="87"/>
        <v>45126</v>
      </c>
      <c r="Y214" s="383">
        <f t="shared" si="88"/>
        <v>45.005210049789007</v>
      </c>
      <c r="Z214" s="383">
        <f t="shared" si="89"/>
        <v>46.446662618032839</v>
      </c>
      <c r="AA214" s="384">
        <f t="shared" si="90"/>
        <v>48.590730588428194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4.4125040813976918E-2</v>
      </c>
      <c r="AD214" s="230">
        <f>(INDEX(Models!$BJ214:$BT214,,AH214)*(1-AF214)+INDEX(Models!$BJ214:$BT214,,AH214+1)*AF214-ERP_i)*AE214*Ramure*Pc/MaxiM</f>
        <v>2.33462102050491E-4</v>
      </c>
      <c r="AE214" s="304">
        <f t="shared" si="92"/>
        <v>0.6</v>
      </c>
      <c r="AF214" s="177">
        <f t="shared" si="93"/>
        <v>0.9153338686010255</v>
      </c>
      <c r="AG214" s="799">
        <f t="shared" si="99"/>
        <v>0</v>
      </c>
      <c r="AH214" s="176">
        <f t="shared" si="94"/>
        <v>6</v>
      </c>
      <c r="AI214" s="224">
        <f t="shared" si="95"/>
        <v>0.9153338686010255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09">
        <f>'2022'!Wh/'2022'!Env_an*'2023'!Env_an</f>
        <v>45.836642095638027</v>
      </c>
      <c r="C215" s="829"/>
      <c r="D215" s="391">
        <f t="shared" si="77"/>
        <v>47.305630845868642</v>
      </c>
      <c r="E215" s="383">
        <f t="shared" si="75"/>
        <v>48.121251485226111</v>
      </c>
      <c r="F215" s="383">
        <f t="shared" si="78"/>
        <v>48.129295328626952</v>
      </c>
      <c r="G215" s="110">
        <f t="shared" si="76"/>
        <v>0.78952355045887812</v>
      </c>
      <c r="H215" s="412" t="b">
        <f>Wh_hp&gt;='2022'!Maxi_hp</f>
        <v>0</v>
      </c>
      <c r="I215" s="379">
        <f>IF(H215,Wh_hp,'2022'!Maxi_hp)</f>
        <v>59.776097909915435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3.1053147880362952E-2</v>
      </c>
      <c r="M215" s="832"/>
      <c r="N215" s="832"/>
      <c r="O215" s="48">
        <f>IF(t&lt;Tnet,'2022'!Resal+('2022'!Salim-'2022'!Resal)*(1-EXP(('2022'!Tnet-t)/('2022'!Tau_j))),Resal+(Salim-Resal)*(1-EXP((Tnet-t)/(Tau_j))))*Salcycl</f>
        <v>1.6949281537448697E-2</v>
      </c>
      <c r="P215" s="338">
        <f>(INDEX(Models!$BJ215:$BT215,,T215)*(1-R215)+INDEX(Models!$BJ215:$BT215,,T215+1)*R215-ERP_i)*Q215*Ramure*Pc/MaxiM</f>
        <v>2.389616621012998E-4</v>
      </c>
      <c r="Q215" s="304">
        <f t="shared" si="80"/>
        <v>0.6</v>
      </c>
      <c r="R215" s="177">
        <f t="shared" si="81"/>
        <v>0.91816635403646063</v>
      </c>
      <c r="S215" s="799">
        <f t="shared" si="82"/>
        <v>0</v>
      </c>
      <c r="T215" s="176">
        <f t="shared" si="83"/>
        <v>6</v>
      </c>
      <c r="U215" s="250">
        <f t="shared" si="84"/>
        <v>0.91816635403646063</v>
      </c>
      <c r="V215" s="382">
        <f t="shared" si="85"/>
        <v>58.051908636526505</v>
      </c>
      <c r="W215" s="400">
        <f t="shared" si="86"/>
        <v>45.836642095638027</v>
      </c>
      <c r="X215" s="157">
        <f t="shared" si="87"/>
        <v>45127</v>
      </c>
      <c r="Y215" s="383">
        <f t="shared" si="88"/>
        <v>44.566015675157765</v>
      </c>
      <c r="Z215" s="383">
        <f t="shared" si="89"/>
        <v>45.994282945103315</v>
      </c>
      <c r="AA215" s="384">
        <f t="shared" si="90"/>
        <v>48.121251485226111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4.4200191692350413E-2</v>
      </c>
      <c r="AD215" s="230">
        <f>(INDEX(Models!$BJ215:$BT215,,AH215)*(1-AF215)+INDEX(Models!$BJ215:$BT215,,AH215+1)*AF215-ERP_i)*AE215*Ramure*Pc/MaxiM</f>
        <v>2.389616621012998E-4</v>
      </c>
      <c r="AE215" s="304">
        <f t="shared" si="92"/>
        <v>0.6</v>
      </c>
      <c r="AF215" s="177">
        <f t="shared" si="93"/>
        <v>0.91816635403646063</v>
      </c>
      <c r="AG215" s="799">
        <f t="shared" si="99"/>
        <v>0</v>
      </c>
      <c r="AH215" s="176">
        <f t="shared" si="94"/>
        <v>6</v>
      </c>
      <c r="AI215" s="224">
        <f t="shared" si="95"/>
        <v>0.91816635403646063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09">
        <f>'2022'!Wh/'2022'!Env_an*'2023'!Env_an</f>
        <v>54.203953305753373</v>
      </c>
      <c r="C216" s="829"/>
      <c r="D216" s="391">
        <f t="shared" si="77"/>
        <v>55.942172693460265</v>
      </c>
      <c r="E216" s="383">
        <f t="shared" si="75"/>
        <v>56.912593769051917</v>
      </c>
      <c r="F216" s="383">
        <f t="shared" si="78"/>
        <v>56.925231673285275</v>
      </c>
      <c r="G216" s="110">
        <f t="shared" si="76"/>
        <v>0.93539277984047953</v>
      </c>
      <c r="H216" s="412" t="b">
        <f>Wh_hp&gt;='2022'!Maxi_hp</f>
        <v>0</v>
      </c>
      <c r="I216" s="379">
        <f>IF(H216,Wh_hp,'2022'!Maxi_hp)</f>
        <v>56.925596291857346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3.1071717525731568E-2</v>
      </c>
      <c r="M216" s="832"/>
      <c r="N216" s="832"/>
      <c r="O216" s="48">
        <f>IF(t&lt;Tnet,'2022'!Resal+('2022'!Salim-'2022'!Resal)*(1-EXP(('2022'!Tnet-t)/('2022'!Tau_j))),Resal+(Salim-Resal)*(1-EXP((Tnet-t)/(Tau_j))))*Salcycl</f>
        <v>1.705107800093527E-2</v>
      </c>
      <c r="P216" s="338">
        <f>(INDEX(Models!$BJ216:$BT216,,T216)*(1-R216)+INDEX(Models!$BJ216:$BT216,,T216+1)*R216-ERP_i)*Q216*Ramure*Pc/MaxiM</f>
        <v>2.4457473244790046E-4</v>
      </c>
      <c r="Q216" s="304">
        <f t="shared" si="80"/>
        <v>0.6</v>
      </c>
      <c r="R216" s="177">
        <f t="shared" si="81"/>
        <v>0.9209212267945206</v>
      </c>
      <c r="S216" s="799">
        <f t="shared" si="82"/>
        <v>0</v>
      </c>
      <c r="T216" s="176">
        <f t="shared" si="83"/>
        <v>6</v>
      </c>
      <c r="U216" s="250">
        <f t="shared" si="84"/>
        <v>0.9209212267945206</v>
      </c>
      <c r="V216" s="382">
        <f t="shared" si="85"/>
        <v>57.946491614363779</v>
      </c>
      <c r="W216" s="400">
        <f t="shared" si="86"/>
        <v>54.203953305753373</v>
      </c>
      <c r="X216" s="157">
        <f t="shared" si="87"/>
        <v>45128</v>
      </c>
      <c r="Y216" s="383">
        <f t="shared" si="88"/>
        <v>52.702711885457219</v>
      </c>
      <c r="Z216" s="383">
        <f t="shared" si="89"/>
        <v>54.392789269062163</v>
      </c>
      <c r="AA216" s="384">
        <f t="shared" si="90"/>
        <v>56.912593769051917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4.4274989648424364E-2</v>
      </c>
      <c r="AD216" s="230">
        <f>(INDEX(Models!$BJ216:$BT216,,AH216)*(1-AF216)+INDEX(Models!$BJ216:$BT216,,AH216+1)*AF216-ERP_i)*AE216*Ramure*Pc/MaxiM</f>
        <v>2.4457473244790046E-4</v>
      </c>
      <c r="AE216" s="304">
        <f t="shared" si="92"/>
        <v>0.6</v>
      </c>
      <c r="AF216" s="177">
        <f t="shared" si="93"/>
        <v>0.9209212267945206</v>
      </c>
      <c r="AG216" s="799">
        <f t="shared" si="99"/>
        <v>0</v>
      </c>
      <c r="AH216" s="176">
        <f t="shared" si="94"/>
        <v>6</v>
      </c>
      <c r="AI216" s="224">
        <f t="shared" si="95"/>
        <v>0.9209212267945206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09">
        <f>'2022'!Wh/'2022'!Env_an*'2023'!Env_an</f>
        <v>43.7651407808644</v>
      </c>
      <c r="C217" s="829"/>
      <c r="D217" s="391">
        <f t="shared" si="77"/>
        <v>45.169472640551241</v>
      </c>
      <c r="E217" s="383">
        <f t="shared" si="75"/>
        <v>45.957771364919779</v>
      </c>
      <c r="F217" s="383">
        <f t="shared" si="78"/>
        <v>45.965277482024149</v>
      </c>
      <c r="G217" s="110">
        <f t="shared" si="76"/>
        <v>0.75661761650738957</v>
      </c>
      <c r="H217" s="412" t="b">
        <f>Wh_hp&gt;='2022'!Maxi_hp</f>
        <v>0</v>
      </c>
      <c r="I217" s="379">
        <f>IF(H217,Wh_hp,'2022'!Maxi_hp)</f>
        <v>55.348148280408218</v>
      </c>
      <c r="J217" s="85">
        <f>IF(H217,An,'2022'!An_max)</f>
        <v>2020</v>
      </c>
      <c r="K217" s="197">
        <f t="shared" si="79"/>
        <v>45129</v>
      </c>
      <c r="L217" s="147">
        <f>IF(t&lt;Tvie,1-EXP((T0-t)*PertePVj)+'2022'!Pspv,1-EXP((T0-t)*PertePVj)+Pspv)</f>
        <v>3.1090286815217083E-2</v>
      </c>
      <c r="M217" s="832"/>
      <c r="N217" s="832"/>
      <c r="O217" s="48">
        <f>IF(t&lt;Tnet,'2022'!Resal+('2022'!Salim-'2022'!Resal)*(1-EXP(('2022'!Tnet-t)/('2022'!Tau_j))),Resal+(Salim-Resal)*(1-EXP((Tnet-t)/(Tau_j))))*Salcycl</f>
        <v>1.7152675183250029E-2</v>
      </c>
      <c r="P217" s="338">
        <f>(INDEX(Models!$BJ217:$BT217,,T217)*(1-R217)+INDEX(Models!$BJ217:$BT217,,T217+1)*R217-ERP_i)*Q217*Ramure*Pc/MaxiM</f>
        <v>2.5030423902239614E-4</v>
      </c>
      <c r="Q217" s="304">
        <f t="shared" si="80"/>
        <v>0.6</v>
      </c>
      <c r="R217" s="177">
        <f t="shared" si="81"/>
        <v>0.92359940245179972</v>
      </c>
      <c r="S217" s="799">
        <f t="shared" si="82"/>
        <v>0</v>
      </c>
      <c r="T217" s="176">
        <f t="shared" si="83"/>
        <v>6</v>
      </c>
      <c r="U217" s="250">
        <f t="shared" si="84"/>
        <v>0.92359940245179972</v>
      </c>
      <c r="V217" s="382">
        <f t="shared" si="85"/>
        <v>57.838109289726006</v>
      </c>
      <c r="W217" s="400">
        <f t="shared" si="86"/>
        <v>43.7651407808644</v>
      </c>
      <c r="X217" s="157">
        <f t="shared" si="87"/>
        <v>45129</v>
      </c>
      <c r="Y217" s="383">
        <f t="shared" si="88"/>
        <v>42.554097371397347</v>
      </c>
      <c r="Z217" s="383">
        <f t="shared" si="89"/>
        <v>43.919569380229511</v>
      </c>
      <c r="AA217" s="384">
        <f t="shared" si="90"/>
        <v>45.957771364919779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4.434945220703311E-2</v>
      </c>
      <c r="AD217" s="230">
        <f>(INDEX(Models!$BJ217:$BT217,,AH217)*(1-AF217)+INDEX(Models!$BJ217:$BT217,,AH217+1)*AF217-ERP_i)*AE217*Ramure*Pc/MaxiM</f>
        <v>2.5030423902239614E-4</v>
      </c>
      <c r="AE217" s="304">
        <f t="shared" si="92"/>
        <v>0.6</v>
      </c>
      <c r="AF217" s="177">
        <f t="shared" si="93"/>
        <v>0.92359940245179972</v>
      </c>
      <c r="AG217" s="799">
        <f t="shared" si="99"/>
        <v>0</v>
      </c>
      <c r="AH217" s="176">
        <f t="shared" si="94"/>
        <v>6</v>
      </c>
      <c r="AI217" s="224">
        <f t="shared" si="95"/>
        <v>0.92359940245179972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09">
        <f>'2022'!Wh/'2022'!Env_an*'2023'!Env_an</f>
        <v>50.289920078637763</v>
      </c>
      <c r="C218" s="829"/>
      <c r="D218" s="391">
        <f t="shared" si="77"/>
        <v>51.904613203483564</v>
      </c>
      <c r="E218" s="383">
        <f t="shared" si="75"/>
        <v>52.815902931504986</v>
      </c>
      <c r="F218" s="383">
        <f t="shared" si="78"/>
        <v>52.826944388784341</v>
      </c>
      <c r="G218" s="110">
        <f t="shared" si="76"/>
        <v>0.87113374958791012</v>
      </c>
      <c r="H218" s="412" t="b">
        <f>Wh_hp&gt;='2022'!Maxi_hp</f>
        <v>0</v>
      </c>
      <c r="I218" s="379">
        <f>IF(H218,Wh_hp,'2022'!Maxi_hp)</f>
        <v>56.109961045476417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3.1108855748826381E-2</v>
      </c>
      <c r="M218" s="832"/>
      <c r="N218" s="832"/>
      <c r="O218" s="48">
        <f>IF(t&lt;Tnet,'2022'!Resal+('2022'!Salim-'2022'!Resal)*(1-EXP(('2022'!Tnet-t)/('2022'!Tau_j))),Resal+(Salim-Resal)*(1-EXP((Tnet-t)/(Tau_j))))*Salcycl</f>
        <v>1.7254078363542102E-2</v>
      </c>
      <c r="P218" s="338">
        <f>(INDEX(Models!$BJ218:$BT218,,T218)*(1-R218)+INDEX(Models!$BJ218:$BT218,,T218+1)*R218-ERP_i)*Q218*Ramure*Pc/MaxiM</f>
        <v>2.5615325974187255E-4</v>
      </c>
      <c r="Q218" s="304">
        <f t="shared" si="80"/>
        <v>0.6</v>
      </c>
      <c r="R218" s="177">
        <f t="shared" si="81"/>
        <v>0.92620187221293171</v>
      </c>
      <c r="S218" s="799">
        <f t="shared" si="82"/>
        <v>0</v>
      </c>
      <c r="T218" s="176">
        <f t="shared" si="83"/>
        <v>6</v>
      </c>
      <c r="U218" s="250">
        <f t="shared" si="84"/>
        <v>0.92620187221293171</v>
      </c>
      <c r="V218" s="382">
        <f t="shared" si="85"/>
        <v>57.726553320875901</v>
      </c>
      <c r="W218" s="400">
        <f t="shared" si="86"/>
        <v>50.289920078637763</v>
      </c>
      <c r="X218" s="157">
        <f t="shared" si="87"/>
        <v>45130</v>
      </c>
      <c r="Y218" s="383">
        <f t="shared" si="88"/>
        <v>48.899578132127253</v>
      </c>
      <c r="Z218" s="383">
        <f t="shared" si="89"/>
        <v>50.469630589843241</v>
      </c>
      <c r="AA218" s="384">
        <f t="shared" si="90"/>
        <v>52.815902931504986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4.4423596141195149E-2</v>
      </c>
      <c r="AD218" s="230">
        <f>(INDEX(Models!$BJ218:$BT218,,AH218)*(1-AF218)+INDEX(Models!$BJ218:$BT218,,AH218+1)*AF218-ERP_i)*AE218*Ramure*Pc/MaxiM</f>
        <v>2.5615325974187255E-4</v>
      </c>
      <c r="AE218" s="304">
        <f t="shared" si="92"/>
        <v>0.6</v>
      </c>
      <c r="AF218" s="177">
        <f t="shared" si="93"/>
        <v>0.92620187221293171</v>
      </c>
      <c r="AG218" s="799">
        <f t="shared" si="99"/>
        <v>0</v>
      </c>
      <c r="AH218" s="176">
        <f t="shared" si="94"/>
        <v>6</v>
      </c>
      <c r="AI218" s="224">
        <f t="shared" si="95"/>
        <v>0.92620187221293171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09">
        <f>'2022'!Wh/'2022'!Env_an*'2023'!Env_an</f>
        <v>54.440429198536862</v>
      </c>
      <c r="C219" s="829"/>
      <c r="D219" s="391">
        <f t="shared" si="77"/>
        <v>56.18946243854306</v>
      </c>
      <c r="E219" s="383">
        <f t="shared" si="75"/>
        <v>57.181870534314463</v>
      </c>
      <c r="F219" s="383">
        <f t="shared" si="78"/>
        <v>57.195683700464663</v>
      </c>
      <c r="G219" s="110">
        <f t="shared" si="76"/>
        <v>0.9449277270483678</v>
      </c>
      <c r="H219" s="412" t="b">
        <f>Wh_hp&gt;='2022'!Maxi_hp</f>
        <v>0</v>
      </c>
      <c r="I219" s="379">
        <f>IF(H219,Wh_hp,'2022'!Maxi_hp)</f>
        <v>57.196015224186993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3.1127424326566455E-2</v>
      </c>
      <c r="M219" s="832"/>
      <c r="N219" s="832"/>
      <c r="O219" s="48">
        <f>IF(t&lt;Tnet,'2022'!Resal+('2022'!Salim-'2022'!Resal)*(1-EXP(('2022'!Tnet-t)/('2022'!Tau_j))),Resal+(Salim-Resal)*(1-EXP((Tnet-t)/(Tau_j))))*Salcycl</f>
        <v>1.7355292621563788E-2</v>
      </c>
      <c r="P219" s="338">
        <f>(INDEX(Models!$BJ219:$BT219,,T219)*(1-R219)+INDEX(Models!$BJ219:$BT219,,T219+1)*R219-ERP_i)*Q219*Ramure*Pc/MaxiM</f>
        <v>2.6212222771955268E-4</v>
      </c>
      <c r="Q219" s="304">
        <f t="shared" si="80"/>
        <v>0.6</v>
      </c>
      <c r="R219" s="177">
        <f t="shared" si="81"/>
        <v>0.92872969625580903</v>
      </c>
      <c r="S219" s="799">
        <f t="shared" si="82"/>
        <v>0</v>
      </c>
      <c r="T219" s="176">
        <f t="shared" si="83"/>
        <v>6</v>
      </c>
      <c r="U219" s="250">
        <f t="shared" si="84"/>
        <v>0.92872969625580903</v>
      </c>
      <c r="V219" s="382">
        <f t="shared" si="85"/>
        <v>57.612138023939096</v>
      </c>
      <c r="W219" s="400">
        <f t="shared" si="86"/>
        <v>54.440429198536862</v>
      </c>
      <c r="X219" s="157">
        <f t="shared" si="87"/>
        <v>45131</v>
      </c>
      <c r="Y219" s="383">
        <f t="shared" si="88"/>
        <v>52.93670155387089</v>
      </c>
      <c r="Z219" s="383">
        <f t="shared" si="89"/>
        <v>54.637423829522902</v>
      </c>
      <c r="AA219" s="384">
        <f t="shared" si="90"/>
        <v>57.181870534314463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4.4497437404826722E-2</v>
      </c>
      <c r="AD219" s="230">
        <f>(INDEX(Models!$BJ219:$BT219,,AH219)*(1-AF219)+INDEX(Models!$BJ219:$BT219,,AH219+1)*AF219-ERP_i)*AE219*Ramure*Pc/MaxiM</f>
        <v>2.6212222771955268E-4</v>
      </c>
      <c r="AE219" s="304">
        <f t="shared" si="92"/>
        <v>0.6</v>
      </c>
      <c r="AF219" s="177">
        <f t="shared" si="93"/>
        <v>0.92872969625580903</v>
      </c>
      <c r="AG219" s="799">
        <f t="shared" si="99"/>
        <v>0</v>
      </c>
      <c r="AH219" s="176">
        <f t="shared" si="94"/>
        <v>6</v>
      </c>
      <c r="AI219" s="224">
        <f t="shared" si="95"/>
        <v>0.92872969625580903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09">
        <f>'2022'!Wh/'2022'!Env_an*'2023'!Env_an</f>
        <v>27.742282340205808</v>
      </c>
      <c r="C220" s="829"/>
      <c r="D220" s="391">
        <f t="shared" si="77"/>
        <v>28.634120442127557</v>
      </c>
      <c r="E220" s="383">
        <f t="shared" si="75"/>
        <v>29.14284739374019</v>
      </c>
      <c r="F220" s="383">
        <f t="shared" si="78"/>
        <v>29.144885316498961</v>
      </c>
      <c r="G220" s="110">
        <f t="shared" si="76"/>
        <v>0.48241809107744871</v>
      </c>
      <c r="H220" s="412" t="b">
        <f>Wh_hp&gt;='2022'!Maxi_hp</f>
        <v>0</v>
      </c>
      <c r="I220" s="379">
        <f>IF(H220,Wh_hp,'2022'!Maxi_hp)</f>
        <v>59.315557328001788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3.1145992548443857E-2</v>
      </c>
      <c r="M220" s="832"/>
      <c r="N220" s="832"/>
      <c r="O220" s="48">
        <f>IF(t&lt;Tnet,'2022'!Resal+('2022'!Salim-'2022'!Resal)*(1-EXP(('2022'!Tnet-t)/('2022'!Tau_j))),Resal+(Salim-Resal)*(1-EXP((Tnet-t)/(Tau_j))))*Salcycl</f>
        <v>1.7456322806738079E-2</v>
      </c>
      <c r="P220" s="338">
        <f>(INDEX(Models!$BJ220:$BT220,,T220)*(1-R220)+INDEX(Models!$BJ220:$BT220,,T220+1)*R220-ERP_i)*Q220*Ramure*Pc/MaxiM</f>
        <v>2.6818087144184438E-4</v>
      </c>
      <c r="Q220" s="304">
        <f t="shared" si="80"/>
        <v>0.6</v>
      </c>
      <c r="R220" s="177">
        <f t="shared" si="81"/>
        <v>0.93118399724294409</v>
      </c>
      <c r="S220" s="799">
        <f t="shared" si="82"/>
        <v>0</v>
      </c>
      <c r="T220" s="176">
        <f t="shared" si="83"/>
        <v>6</v>
      </c>
      <c r="U220" s="250">
        <f t="shared" si="84"/>
        <v>0.93118399724294409</v>
      </c>
      <c r="V220" s="382">
        <f t="shared" si="85"/>
        <v>57.495318617796883</v>
      </c>
      <c r="W220" s="400">
        <f t="shared" si="86"/>
        <v>27.742282340205808</v>
      </c>
      <c r="X220" s="157">
        <f t="shared" si="87"/>
        <v>45132</v>
      </c>
      <c r="Y220" s="383">
        <f t="shared" si="88"/>
        <v>26.976695221696406</v>
      </c>
      <c r="Z220" s="383">
        <f t="shared" si="89"/>
        <v>27.8439218026822</v>
      </c>
      <c r="AA220" s="384">
        <f t="shared" si="90"/>
        <v>29.14284739374019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4.4570991074022445E-2</v>
      </c>
      <c r="AD220" s="230">
        <f>(INDEX(Models!$BJ220:$BT220,,AH220)*(1-AF220)+INDEX(Models!$BJ220:$BT220,,AH220+1)*AF220-ERP_i)*AE220*Ramure*Pc/MaxiM</f>
        <v>2.6818087144184438E-4</v>
      </c>
      <c r="AE220" s="304">
        <f t="shared" si="92"/>
        <v>0.6</v>
      </c>
      <c r="AF220" s="177">
        <f t="shared" si="93"/>
        <v>0.93118399724294409</v>
      </c>
      <c r="AG220" s="799">
        <f t="shared" si="99"/>
        <v>0</v>
      </c>
      <c r="AH220" s="176">
        <f t="shared" si="94"/>
        <v>6</v>
      </c>
      <c r="AI220" s="224">
        <f t="shared" si="95"/>
        <v>0.93118399724294409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09">
        <f>'2022'!Wh/'2022'!Env_an*'2023'!Env_an</f>
        <v>58.829349513641986</v>
      </c>
      <c r="C221" s="829"/>
      <c r="D221" s="391">
        <f t="shared" si="77"/>
        <v>60.721715071456352</v>
      </c>
      <c r="E221" s="383">
        <f t="shared" si="75"/>
        <v>61.806868994514559</v>
      </c>
      <c r="F221" s="383">
        <f t="shared" si="78"/>
        <v>61.823821811123047</v>
      </c>
      <c r="G221" s="110">
        <f t="shared" si="76"/>
        <v>1.0253284376351124</v>
      </c>
      <c r="H221" s="412" t="b">
        <f>Wh_hp&gt;='2022'!Maxi_hp</f>
        <v>0</v>
      </c>
      <c r="I221" s="379">
        <f>IF(H221,Wh_hp,'2022'!Maxi_hp)</f>
        <v>61.823821811123068</v>
      </c>
      <c r="J221" s="85">
        <f>IF(H221,An,'2022'!An_max)</f>
        <v>2022</v>
      </c>
      <c r="K221" s="197">
        <f t="shared" si="79"/>
        <v>45133</v>
      </c>
      <c r="L221" s="147">
        <f>IF(t&lt;Tvie,1-EXP((T0-t)*PertePVj)+'2022'!Pspv,1-EXP((T0-t)*PertePVj)+Pspv)</f>
        <v>3.1164560414465581E-2</v>
      </c>
      <c r="M221" s="832"/>
      <c r="N221" s="832"/>
      <c r="O221" s="48">
        <f>IF(t&lt;Tnet,'2022'!Resal+('2022'!Salim-'2022'!Resal)*(1-EXP(('2022'!Tnet-t)/('2022'!Tau_j))),Resal+(Salim-Resal)*(1-EXP((Tnet-t)/(Tau_j))))*Salcycl</f>
        <v>1.7557173510188925E-2</v>
      </c>
      <c r="P221" s="338">
        <f>(INDEX(Models!$BJ221:$BT221,,T221)*(1-R221)+INDEX(Models!$BJ221:$BT221,,T221+1)*R221-ERP_i)*Q221*Ramure*Pc/MaxiM</f>
        <v>2.7421172149925065E-4</v>
      </c>
      <c r="Q221" s="304">
        <f t="shared" si="80"/>
        <v>0.6</v>
      </c>
      <c r="R221" s="177">
        <f t="shared" si="81"/>
        <v>0.933565954020803</v>
      </c>
      <c r="S221" s="799">
        <f t="shared" si="82"/>
        <v>0</v>
      </c>
      <c r="T221" s="176">
        <f t="shared" si="83"/>
        <v>6</v>
      </c>
      <c r="U221" s="250">
        <f t="shared" si="84"/>
        <v>0.933565954020803</v>
      </c>
      <c r="V221" s="382">
        <f t="shared" si="85"/>
        <v>57.376102480225761</v>
      </c>
      <c r="W221" s="400">
        <f t="shared" si="86"/>
        <v>58.829349513641986</v>
      </c>
      <c r="X221" s="157">
        <f t="shared" si="87"/>
        <v>45133</v>
      </c>
      <c r="Y221" s="383">
        <f t="shared" si="88"/>
        <v>57.207355541018167</v>
      </c>
      <c r="Z221" s="383">
        <f t="shared" si="89"/>
        <v>59.047546367101667</v>
      </c>
      <c r="AA221" s="384">
        <f t="shared" si="90"/>
        <v>61.806868994514559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4.4644271297058891E-2</v>
      </c>
      <c r="AD221" s="230">
        <f>(INDEX(Models!$BJ221:$BT221,,AH221)*(1-AF221)+INDEX(Models!$BJ221:$BT221,,AH221+1)*AF221-ERP_i)*AE221*Ramure*Pc/MaxiM</f>
        <v>2.7421172149925065E-4</v>
      </c>
      <c r="AE221" s="304">
        <f t="shared" si="92"/>
        <v>0.6</v>
      </c>
      <c r="AF221" s="177">
        <f t="shared" si="93"/>
        <v>0.933565954020803</v>
      </c>
      <c r="AG221" s="799">
        <f t="shared" si="99"/>
        <v>0</v>
      </c>
      <c r="AH221" s="176">
        <f t="shared" si="94"/>
        <v>6</v>
      </c>
      <c r="AI221" s="224">
        <f t="shared" si="95"/>
        <v>0.933565954020803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09">
        <f>'2022'!Wh/'2022'!Env_an*'2023'!Env_an</f>
        <v>58.868431950312726</v>
      </c>
      <c r="C222" s="829"/>
      <c r="D222" s="391">
        <f t="shared" si="77"/>
        <v>60.763219187344525</v>
      </c>
      <c r="E222" s="383">
        <f t="shared" si="75"/>
        <v>61.855453446597039</v>
      </c>
      <c r="F222" s="383">
        <f t="shared" si="78"/>
        <v>61.872791150508768</v>
      </c>
      <c r="G222" s="110">
        <f t="shared" si="76"/>
        <v>1.0281889115450085</v>
      </c>
      <c r="H222" s="412" t="b">
        <f>Wh_hp&gt;='2022'!Maxi_hp</f>
        <v>1</v>
      </c>
      <c r="I222" s="379">
        <f>IF(H222,Wh_hp,'2022'!Maxi_hp)</f>
        <v>61.872791150508768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3.1183127924638288E-2</v>
      </c>
      <c r="M222" s="832"/>
      <c r="N222" s="832"/>
      <c r="O222" s="48">
        <f>IF(t&lt;Tnet,'2022'!Resal+('2022'!Salim-'2022'!Resal)*(1-EXP(('2022'!Tnet-t)/('2022'!Tau_j))),Resal+(Salim-Resal)*(1-EXP((Tnet-t)/(Tau_j))))*Salcycl</f>
        <v>1.7657849039866721E-2</v>
      </c>
      <c r="P222" s="338">
        <f>(INDEX(Models!$BJ222:$BT222,,T222)*(1-R222)+INDEX(Models!$BJ222:$BT222,,T222+1)*R222-ERP_i)*Q222*Ramure*Pc/MaxiM</f>
        <v>2.8021531903344701E-4</v>
      </c>
      <c r="Q222" s="304">
        <f t="shared" si="80"/>
        <v>0.6</v>
      </c>
      <c r="R222" s="177">
        <f t="shared" si="81"/>
        <v>0.93587679552576875</v>
      </c>
      <c r="S222" s="799">
        <f t="shared" si="82"/>
        <v>0</v>
      </c>
      <c r="T222" s="176">
        <f t="shared" si="83"/>
        <v>6</v>
      </c>
      <c r="U222" s="250">
        <f t="shared" si="84"/>
        <v>0.93587679552576875</v>
      </c>
      <c r="V222" s="382">
        <f t="shared" si="85"/>
        <v>57.254490190770539</v>
      </c>
      <c r="W222" s="400">
        <f t="shared" si="86"/>
        <v>58.868431950312726</v>
      </c>
      <c r="X222" s="157">
        <f t="shared" si="87"/>
        <v>45134</v>
      </c>
      <c r="Y222" s="383">
        <f t="shared" si="88"/>
        <v>57.246851393078686</v>
      </c>
      <c r="Z222" s="383">
        <f t="shared" si="89"/>
        <v>59.089445119227449</v>
      </c>
      <c r="AA222" s="384">
        <f t="shared" si="90"/>
        <v>61.855453446597039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4.4717291253189573E-2</v>
      </c>
      <c r="AD222" s="230">
        <f>(INDEX(Models!$BJ222:$BT222,,AH222)*(1-AF222)+INDEX(Models!$BJ222:$BT222,,AH222+1)*AF222-ERP_i)*AE222*Ramure*Pc/MaxiM</f>
        <v>2.8021531903344701E-4</v>
      </c>
      <c r="AE222" s="304">
        <f t="shared" si="92"/>
        <v>0.6</v>
      </c>
      <c r="AF222" s="177">
        <f t="shared" si="93"/>
        <v>0.93587679552576875</v>
      </c>
      <c r="AG222" s="799">
        <f t="shared" si="99"/>
        <v>0</v>
      </c>
      <c r="AH222" s="176">
        <f t="shared" si="94"/>
        <v>6</v>
      </c>
      <c r="AI222" s="224">
        <f t="shared" si="95"/>
        <v>0.93587679552576875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09">
        <f>'2022'!Wh/'2022'!Env_an*'2023'!Env_an</f>
        <v>45.897422045581983</v>
      </c>
      <c r="C223" s="829"/>
      <c r="D223" s="391">
        <f t="shared" si="77"/>
        <v>47.375621749589236</v>
      </c>
      <c r="E223" s="383">
        <f t="shared" si="75"/>
        <v>48.232145229764782</v>
      </c>
      <c r="F223" s="383">
        <f t="shared" si="78"/>
        <v>48.242073663299685</v>
      </c>
      <c r="G223" s="110">
        <f t="shared" si="76"/>
        <v>0.80331426958971075</v>
      </c>
      <c r="H223" s="412" t="b">
        <f>Wh_hp&gt;='2022'!Maxi_hp</f>
        <v>0</v>
      </c>
      <c r="I223" s="379">
        <f>IF(H223,Wh_hp,'2022'!Maxi_hp)</f>
        <v>56.218409152668862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3.1201695078968972E-2</v>
      </c>
      <c r="M223" s="832"/>
      <c r="N223" s="832"/>
      <c r="O223" s="48">
        <f>IF(t&lt;Tnet,'2022'!Resal+('2022'!Salim-'2022'!Resal)*(1-EXP(('2022'!Tnet-t)/('2022'!Tau_j))),Resal+(Salim-Resal)*(1-EXP((Tnet-t)/(Tau_j))))*Salcycl</f>
        <v>1.7758353398865109E-2</v>
      </c>
      <c r="P223" s="338">
        <f>(INDEX(Models!$BJ223:$BT223,,T223)*(1-R223)+INDEX(Models!$BJ223:$BT223,,T223+1)*R223-ERP_i)*Q223*Ramure*Pc/MaxiM</f>
        <v>2.8619222322481905E-4</v>
      </c>
      <c r="Q223" s="304">
        <f t="shared" si="80"/>
        <v>0.6</v>
      </c>
      <c r="R223" s="177">
        <f t="shared" si="81"/>
        <v>0.93811779491235026</v>
      </c>
      <c r="S223" s="799">
        <f t="shared" si="82"/>
        <v>0</v>
      </c>
      <c r="T223" s="176">
        <f t="shared" si="83"/>
        <v>6</v>
      </c>
      <c r="U223" s="250">
        <f t="shared" si="84"/>
        <v>0.93811779491235026</v>
      </c>
      <c r="V223" s="382">
        <f t="shared" si="85"/>
        <v>57.130482342943267</v>
      </c>
      <c r="W223" s="400">
        <f t="shared" si="86"/>
        <v>45.897422045581983</v>
      </c>
      <c r="X223" s="157">
        <f t="shared" si="87"/>
        <v>45135</v>
      </c>
      <c r="Y223" s="383">
        <f t="shared" si="88"/>
        <v>44.634305383824213</v>
      </c>
      <c r="Z223" s="383">
        <f t="shared" si="89"/>
        <v>46.071824400500432</v>
      </c>
      <c r="AA223" s="384">
        <f t="shared" si="90"/>
        <v>48.232145229764782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4.4790063120211054E-2</v>
      </c>
      <c r="AD223" s="230">
        <f>(INDEX(Models!$BJ223:$BT223,,AH223)*(1-AF223)+INDEX(Models!$BJ223:$BT223,,AH223+1)*AF223-ERP_i)*AE223*Ramure*Pc/MaxiM</f>
        <v>2.8619222322481905E-4</v>
      </c>
      <c r="AE223" s="304">
        <f t="shared" si="92"/>
        <v>0.6</v>
      </c>
      <c r="AF223" s="177">
        <f t="shared" si="93"/>
        <v>0.93811779491235026</v>
      </c>
      <c r="AG223" s="799">
        <f t="shared" si="99"/>
        <v>0</v>
      </c>
      <c r="AH223" s="176">
        <f t="shared" si="94"/>
        <v>6</v>
      </c>
      <c r="AI223" s="224">
        <f t="shared" si="95"/>
        <v>0.93811779491235026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09">
        <f>'2022'!Wh/'2022'!Env_an*'2023'!Env_an</f>
        <v>32.780843214876938</v>
      </c>
      <c r="C224" s="829"/>
      <c r="D224" s="391">
        <f t="shared" si="77"/>
        <v>33.837251053996205</v>
      </c>
      <c r="E224" s="383">
        <f t="shared" si="75"/>
        <v>34.452528081926069</v>
      </c>
      <c r="F224" s="383">
        <f t="shared" si="78"/>
        <v>34.456483550869521</v>
      </c>
      <c r="G224" s="110">
        <f t="shared" si="76"/>
        <v>0.57495935772655316</v>
      </c>
      <c r="H224" s="412" t="b">
        <f>Wh_hp&gt;='2022'!Maxi_hp</f>
        <v>0</v>
      </c>
      <c r="I224" s="379">
        <f>IF(H224,Wh_hp,'2022'!Maxi_hp)</f>
        <v>59.204840320642759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3.1220261877464406E-2</v>
      </c>
      <c r="M224" s="832"/>
      <c r="N224" s="832"/>
      <c r="O224" s="48">
        <f>IF(t&lt;Tnet,'2022'!Resal+('2022'!Salim-'2022'!Resal)*(1-EXP(('2022'!Tnet-t)/('2022'!Tau_j))),Resal+(Salim-Resal)*(1-EXP((Tnet-t)/(Tau_j))))*Salcycl</f>
        <v>1.7858690266989132E-2</v>
      </c>
      <c r="P224" s="338">
        <f>(INDEX(Models!$BJ224:$BT224,,T224)*(1-R224)+INDEX(Models!$BJ224:$BT224,,T224+1)*R224-ERP_i)*Q224*Ramure*Pc/MaxiM</f>
        <v>2.9214300201576611E-4</v>
      </c>
      <c r="Q224" s="304">
        <f t="shared" si="80"/>
        <v>0.6</v>
      </c>
      <c r="R224" s="177">
        <f t="shared" si="81"/>
        <v>0.94029026391638371</v>
      </c>
      <c r="S224" s="799">
        <f t="shared" si="82"/>
        <v>0</v>
      </c>
      <c r="T224" s="176">
        <f t="shared" si="83"/>
        <v>6</v>
      </c>
      <c r="U224" s="250">
        <f t="shared" si="84"/>
        <v>0.94029026391638371</v>
      </c>
      <c r="V224" s="382">
        <f t="shared" si="85"/>
        <v>57.004079549361904</v>
      </c>
      <c r="W224" s="400">
        <f t="shared" si="86"/>
        <v>32.780843214876938</v>
      </c>
      <c r="X224" s="157">
        <f t="shared" si="87"/>
        <v>45136</v>
      </c>
      <c r="Y224" s="383">
        <f t="shared" si="88"/>
        <v>31.879536184540079</v>
      </c>
      <c r="Z224" s="383">
        <f t="shared" si="89"/>
        <v>32.906898162756384</v>
      </c>
      <c r="AA224" s="384">
        <f t="shared" si="90"/>
        <v>34.452528081926069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4.4862598050693696E-2</v>
      </c>
      <c r="AD224" s="230">
        <f>(INDEX(Models!$BJ224:$BT224,,AH224)*(1-AF224)+INDEX(Models!$BJ224:$BT224,,AH224+1)*AF224-ERP_i)*AE224*Ramure*Pc/MaxiM</f>
        <v>2.9214300201576611E-4</v>
      </c>
      <c r="AE224" s="304">
        <f t="shared" si="92"/>
        <v>0.6</v>
      </c>
      <c r="AF224" s="177">
        <f t="shared" si="93"/>
        <v>0.94029026391638371</v>
      </c>
      <c r="AG224" s="799">
        <f t="shared" si="99"/>
        <v>0</v>
      </c>
      <c r="AH224" s="176">
        <f t="shared" si="94"/>
        <v>6</v>
      </c>
      <c r="AI224" s="224">
        <f t="shared" si="95"/>
        <v>0.94029026391638371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09">
        <f>'2022'!Wh/'2022'!Env_an*'2023'!Env_an</f>
        <v>50.699020178460195</v>
      </c>
      <c r="C225" s="829"/>
      <c r="D225" s="391">
        <f t="shared" si="77"/>
        <v>52.333868925140933</v>
      </c>
      <c r="E225" s="383">
        <f t="shared" si="75"/>
        <v>53.290913132464233</v>
      </c>
      <c r="F225" s="383">
        <f t="shared" si="78"/>
        <v>53.304336657647283</v>
      </c>
      <c r="G225" s="110">
        <f t="shared" si="76"/>
        <v>0.89136568785429582</v>
      </c>
      <c r="H225" s="412" t="b">
        <f>Wh_hp&gt;='2022'!Maxi_hp</f>
        <v>0</v>
      </c>
      <c r="I225" s="379">
        <f>IF(H225,Wh_hp,'2022'!Maxi_hp)</f>
        <v>53.305021788323607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3.1238828320131362E-2</v>
      </c>
      <c r="M225" s="832"/>
      <c r="N225" s="832"/>
      <c r="O225" s="48">
        <f>IF(t&lt;Tnet,'2022'!Resal+('2022'!Salim-'2022'!Resal)*(1-EXP(('2022'!Tnet-t)/('2022'!Tau_j))),Resal+(Salim-Resal)*(1-EXP((Tnet-t)/(Tau_j))))*Salcycl</f>
        <v>1.7958862985597488E-2</v>
      </c>
      <c r="P225" s="338">
        <f>(INDEX(Models!$BJ225:$BT225,,T225)*(1-R225)+INDEX(Models!$BJ225:$BT225,,T225+1)*R225-ERP_i)*Q225*Ramure*Pc/MaxiM</f>
        <v>2.9806822339429348E-4</v>
      </c>
      <c r="Q225" s="304">
        <f t="shared" si="80"/>
        <v>0.6</v>
      </c>
      <c r="R225" s="177">
        <f t="shared" si="81"/>
        <v>0.94239554746326615</v>
      </c>
      <c r="S225" s="799">
        <f t="shared" si="82"/>
        <v>0</v>
      </c>
      <c r="T225" s="176">
        <f t="shared" si="83"/>
        <v>6</v>
      </c>
      <c r="U225" s="250">
        <f t="shared" si="84"/>
        <v>0.94239554746326615</v>
      </c>
      <c r="V225" s="382">
        <f t="shared" si="85"/>
        <v>56.875282440609446</v>
      </c>
      <c r="W225" s="400">
        <f t="shared" si="86"/>
        <v>50.699020178460195</v>
      </c>
      <c r="X225" s="157">
        <f t="shared" si="87"/>
        <v>45137</v>
      </c>
      <c r="Y225" s="383">
        <f t="shared" si="88"/>
        <v>49.306350456676462</v>
      </c>
      <c r="Z225" s="383">
        <f t="shared" si="89"/>
        <v>50.896290951852848</v>
      </c>
      <c r="AA225" s="384">
        <f t="shared" si="90"/>
        <v>53.290913132464233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4.4934906156685953E-2</v>
      </c>
      <c r="AD225" s="230">
        <f>(INDEX(Models!$BJ225:$BT225,,AH225)*(1-AF225)+INDEX(Models!$BJ225:$BT225,,AH225+1)*AF225-ERP_i)*AE225*Ramure*Pc/MaxiM</f>
        <v>2.9806822339429348E-4</v>
      </c>
      <c r="AE225" s="304">
        <f t="shared" si="92"/>
        <v>0.6</v>
      </c>
      <c r="AF225" s="177">
        <f t="shared" si="93"/>
        <v>0.94239554746326615</v>
      </c>
      <c r="AG225" s="799">
        <f t="shared" si="99"/>
        <v>0</v>
      </c>
      <c r="AH225" s="176">
        <f t="shared" si="94"/>
        <v>6</v>
      </c>
      <c r="AI225" s="224">
        <f t="shared" si="95"/>
        <v>0.94239554746326615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09">
        <f>'2022'!Wh/'2022'!Env_an*'2023'!Env_an</f>
        <v>56.29164655314522</v>
      </c>
      <c r="C226" s="829"/>
      <c r="D226" s="391">
        <f t="shared" si="77"/>
        <v>58.107949653650103</v>
      </c>
      <c r="E226" s="383">
        <f t="shared" si="75"/>
        <v>59.176612678042673</v>
      </c>
      <c r="F226" s="383">
        <f t="shared" si="78"/>
        <v>59.1944132876202</v>
      </c>
      <c r="G226" s="110">
        <f t="shared" si="76"/>
        <v>0.99202333961427613</v>
      </c>
      <c r="H226" s="412" t="b">
        <f>Wh_hp&gt;='2022'!Maxi_hp</f>
        <v>0</v>
      </c>
      <c r="I226" s="379">
        <f>IF(H226,Wh_hp,'2022'!Maxi_hp)</f>
        <v>59.194470240108124</v>
      </c>
      <c r="J226" s="85">
        <f>IF(H226,An,'2022'!An_max)</f>
        <v>2022</v>
      </c>
      <c r="K226" s="197">
        <f t="shared" si="79"/>
        <v>45138</v>
      </c>
      <c r="L226" s="147">
        <f>IF(t&lt;Tvie,1-EXP((T0-t)*PertePVj)+'2022'!Pspv,1-EXP((T0-t)*PertePVj)+Pspv)</f>
        <v>3.1257394406976613E-2</v>
      </c>
      <c r="M226" s="832"/>
      <c r="N226" s="832"/>
      <c r="O226" s="48">
        <f>IF(t&lt;Tnet,'2022'!Resal+('2022'!Salim-'2022'!Resal)*(1-EXP(('2022'!Tnet-t)/('2022'!Tau_j))),Resal+(Salim-Resal)*(1-EXP((Tnet-t)/(Tau_j))))*Salcycl</f>
        <v>1.805887454570539E-2</v>
      </c>
      <c r="P226" s="338">
        <f>(INDEX(Models!$BJ226:$BT226,,T226)*(1-R226)+INDEX(Models!$BJ226:$BT226,,T226+1)*R226-ERP_i)*Q226*Ramure*Pc/MaxiM</f>
        <v>3.0417904698463408E-4</v>
      </c>
      <c r="Q226" s="304">
        <f t="shared" si="80"/>
        <v>0.6</v>
      </c>
      <c r="R226" s="177">
        <f t="shared" si="81"/>
        <v>0.94443501852873923</v>
      </c>
      <c r="S226" s="799">
        <f t="shared" si="82"/>
        <v>0</v>
      </c>
      <c r="T226" s="176">
        <f t="shared" si="83"/>
        <v>6</v>
      </c>
      <c r="U226" s="250">
        <f t="shared" si="84"/>
        <v>0.94443501852873923</v>
      </c>
      <c r="V226" s="382">
        <f t="shared" si="85"/>
        <v>56.744079713816767</v>
      </c>
      <c r="W226" s="400">
        <f t="shared" si="86"/>
        <v>56.29164655314522</v>
      </c>
      <c r="X226" s="157">
        <f t="shared" si="87"/>
        <v>45138</v>
      </c>
      <c r="Y226" s="383">
        <f t="shared" si="88"/>
        <v>54.746794100033156</v>
      </c>
      <c r="Z226" s="383">
        <f t="shared" si="89"/>
        <v>56.513251078205109</v>
      </c>
      <c r="AA226" s="384">
        <f t="shared" si="90"/>
        <v>59.176612678042673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4.5006996502620009E-2</v>
      </c>
      <c r="AD226" s="230">
        <f>(INDEX(Models!$BJ226:$BT226,,AH226)*(1-AF226)+INDEX(Models!$BJ226:$BT226,,AH226+1)*AF226-ERP_i)*AE226*Ramure*Pc/MaxiM</f>
        <v>3.0417904698463408E-4</v>
      </c>
      <c r="AE226" s="304">
        <f t="shared" si="92"/>
        <v>0.6</v>
      </c>
      <c r="AF226" s="177">
        <f t="shared" si="93"/>
        <v>0.94443501852873923</v>
      </c>
      <c r="AG226" s="799">
        <f t="shared" si="99"/>
        <v>0</v>
      </c>
      <c r="AH226" s="176">
        <f t="shared" si="94"/>
        <v>6</v>
      </c>
      <c r="AI226" s="224">
        <f t="shared" si="95"/>
        <v>0.94443501852873923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09">
        <f>'2022'!Wh/'2022'!Env_an*'2023'!Env_an</f>
        <v>55.90912317567998</v>
      </c>
      <c r="C227" s="829"/>
      <c r="D227" s="391">
        <f t="shared" si="77"/>
        <v>57.71418987769205</v>
      </c>
      <c r="E227" s="383">
        <f t="shared" si="75"/>
        <v>58.781588734194628</v>
      </c>
      <c r="F227" s="383">
        <f t="shared" si="78"/>
        <v>58.799523040539754</v>
      </c>
      <c r="G227" s="110">
        <f t="shared" si="76"/>
        <v>0.98760556581585812</v>
      </c>
      <c r="H227" s="412" t="b">
        <f>Wh_hp&gt;='2022'!Maxi_hp</f>
        <v>0</v>
      </c>
      <c r="I227" s="379">
        <f>IF(H227,Wh_hp,'2022'!Maxi_hp)</f>
        <v>58.799612686809596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3.1275960138007153E-2</v>
      </c>
      <c r="M227" s="832"/>
      <c r="N227" s="832"/>
      <c r="O227" s="48">
        <f>IF(t&lt;Tnet,'2022'!Resal+('2022'!Salim-'2022'!Resal)*(1-EXP(('2022'!Tnet-t)/('2022'!Tau_j))),Resal+(Salim-Resal)*(1-EXP((Tnet-t)/(Tau_j))))*Salcycl</f>
        <v>1.8158727579298067E-2</v>
      </c>
      <c r="P227" s="338">
        <f>(INDEX(Models!$BJ227:$BT227,,T227)*(1-R227)+INDEX(Models!$BJ227:$BT227,,T227+1)*R227-ERP_i)*Q227*Ramure*Pc/MaxiM</f>
        <v>3.1050314847305238E-4</v>
      </c>
      <c r="Q227" s="304">
        <f t="shared" si="80"/>
        <v>0.6</v>
      </c>
      <c r="R227" s="177">
        <f t="shared" si="81"/>
        <v>0.94641007325740845</v>
      </c>
      <c r="S227" s="799">
        <f t="shared" si="82"/>
        <v>0</v>
      </c>
      <c r="T227" s="176">
        <f t="shared" si="83"/>
        <v>6</v>
      </c>
      <c r="U227" s="250">
        <f t="shared" si="84"/>
        <v>0.94641007325740845</v>
      </c>
      <c r="V227" s="382">
        <f t="shared" si="85"/>
        <v>56.610470587166745</v>
      </c>
      <c r="W227" s="400">
        <f t="shared" si="86"/>
        <v>55.90912317567998</v>
      </c>
      <c r="X227" s="157">
        <f t="shared" si="87"/>
        <v>45139</v>
      </c>
      <c r="Y227" s="383">
        <f t="shared" si="88"/>
        <v>54.376205383286482</v>
      </c>
      <c r="Z227" s="383">
        <f t="shared" si="89"/>
        <v>56.13178071954637</v>
      </c>
      <c r="AA227" s="384">
        <f t="shared" si="90"/>
        <v>58.781588734194628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4.5078877106069212E-2</v>
      </c>
      <c r="AD227" s="230">
        <f>(INDEX(Models!$BJ227:$BT227,,AH227)*(1-AF227)+INDEX(Models!$BJ227:$BT227,,AH227+1)*AF227-ERP_i)*AE227*Ramure*Pc/MaxiM</f>
        <v>3.1050314847305238E-4</v>
      </c>
      <c r="AE227" s="304">
        <f t="shared" si="92"/>
        <v>0.6</v>
      </c>
      <c r="AF227" s="177">
        <f t="shared" si="93"/>
        <v>0.94641007325740845</v>
      </c>
      <c r="AG227" s="799">
        <f t="shared" si="99"/>
        <v>0</v>
      </c>
      <c r="AH227" s="176">
        <f t="shared" si="94"/>
        <v>6</v>
      </c>
      <c r="AI227" s="224">
        <f t="shared" si="95"/>
        <v>0.94641007325740845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09">
        <f>'2022'!Wh/'2022'!Env_an*'2023'!Env_an</f>
        <v>55.896628436673531</v>
      </c>
      <c r="C228" s="829"/>
      <c r="D228" s="391">
        <f t="shared" si="77"/>
        <v>57.702397590235684</v>
      </c>
      <c r="E228" s="383">
        <f t="shared" si="75"/>
        <v>58.775546459110828</v>
      </c>
      <c r="F228" s="383">
        <f t="shared" si="78"/>
        <v>58.793914203997474</v>
      </c>
      <c r="G228" s="110">
        <f t="shared" si="76"/>
        <v>0.98976375413423279</v>
      </c>
      <c r="H228" s="412" t="b">
        <f>Wh_hp&gt;='2022'!Maxi_hp</f>
        <v>0</v>
      </c>
      <c r="I228" s="379">
        <f>IF(H228,Wh_hp,'2022'!Maxi_hp)</f>
        <v>58.793989724542534</v>
      </c>
      <c r="J228" s="85">
        <f>IF(H228,An,'2022'!An_max)</f>
        <v>2022</v>
      </c>
      <c r="K228" s="197">
        <f t="shared" si="79"/>
        <v>45140</v>
      </c>
      <c r="L228" s="147">
        <f>IF(t&lt;Tvie,1-EXP((T0-t)*PertePVj)+'2022'!Pspv,1-EXP((T0-t)*PertePVj)+Pspv)</f>
        <v>3.1294525513229643E-2</v>
      </c>
      <c r="M228" s="832"/>
      <c r="N228" s="832"/>
      <c r="O228" s="48">
        <f>IF(t&lt;Tnet,'2022'!Resal+('2022'!Salim-'2022'!Resal)*(1-EXP(('2022'!Tnet-t)/('2022'!Tau_j))),Resal+(Salim-Resal)*(1-EXP((Tnet-t)/(Tau_j))))*Salcycl</f>
        <v>1.8258424353769606E-2</v>
      </c>
      <c r="P228" s="338">
        <f>(INDEX(Models!$BJ228:$BT228,,T228)*(1-R228)+INDEX(Models!$BJ228:$BT228,,T228+1)*R228-ERP_i)*Q228*Ramure*Pc/MaxiM</f>
        <v>3.1704305665761814E-4</v>
      </c>
      <c r="Q228" s="304">
        <f t="shared" si="80"/>
        <v>0.6</v>
      </c>
      <c r="R228" s="177">
        <f t="shared" si="81"/>
        <v>0.94832212634204527</v>
      </c>
      <c r="S228" s="799">
        <f t="shared" si="82"/>
        <v>0</v>
      </c>
      <c r="T228" s="176">
        <f t="shared" si="83"/>
        <v>6</v>
      </c>
      <c r="U228" s="250">
        <f t="shared" si="84"/>
        <v>0.94832212634204527</v>
      </c>
      <c r="V228" s="382">
        <f t="shared" si="85"/>
        <v>56.474455738753434</v>
      </c>
      <c r="W228" s="400">
        <f t="shared" si="86"/>
        <v>55.896628436673531</v>
      </c>
      <c r="X228" s="157">
        <f t="shared" si="87"/>
        <v>45140</v>
      </c>
      <c r="Y228" s="383">
        <f t="shared" si="88"/>
        <v>54.365492882399685</v>
      </c>
      <c r="Z228" s="383">
        <f t="shared" si="89"/>
        <v>56.12179791923139</v>
      </c>
      <c r="AA228" s="384">
        <f t="shared" si="90"/>
        <v>58.775546459110828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4.5150554945934958E-2</v>
      </c>
      <c r="AD228" s="230">
        <f>(INDEX(Models!$BJ228:$BT228,,AH228)*(1-AF228)+INDEX(Models!$BJ228:$BT228,,AH228+1)*AF228-ERP_i)*AE228*Ramure*Pc/MaxiM</f>
        <v>3.1704305665761814E-4</v>
      </c>
      <c r="AE228" s="304">
        <f t="shared" si="92"/>
        <v>0.6</v>
      </c>
      <c r="AF228" s="177">
        <f t="shared" si="93"/>
        <v>0.94832212634204527</v>
      </c>
      <c r="AG228" s="799">
        <f t="shared" si="99"/>
        <v>0</v>
      </c>
      <c r="AH228" s="176">
        <f t="shared" si="94"/>
        <v>6</v>
      </c>
      <c r="AI228" s="224">
        <f t="shared" si="95"/>
        <v>0.94832212634204527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09">
        <f>'2022'!Wh/'2022'!Env_an*'2023'!Env_an</f>
        <v>52.78408482636749</v>
      </c>
      <c r="C229" s="829"/>
      <c r="D229" s="391">
        <f t="shared" si="77"/>
        <v>54.49034596265146</v>
      </c>
      <c r="E229" s="383">
        <f t="shared" si="75"/>
        <v>55.509385415497228</v>
      </c>
      <c r="F229" s="383">
        <f t="shared" si="78"/>
        <v>55.525745318032214</v>
      </c>
      <c r="G229" s="110">
        <f t="shared" si="76"/>
        <v>0.93692330517198663</v>
      </c>
      <c r="H229" s="412" t="b">
        <f>Wh_hp&gt;='2022'!Maxi_hp</f>
        <v>0</v>
      </c>
      <c r="I229" s="379">
        <f>IF(H229,Wh_hp,'2022'!Maxi_hp)</f>
        <v>56.932913500318811</v>
      </c>
      <c r="J229" s="85">
        <f>IF(H229,An,'2022'!An_max)</f>
        <v>2018</v>
      </c>
      <c r="K229" s="197">
        <f t="shared" si="79"/>
        <v>45141</v>
      </c>
      <c r="L229" s="147">
        <f>IF(t&lt;Tvie,1-EXP((T0-t)*PertePVj)+'2022'!Pspv,1-EXP((T0-t)*PertePVj)+Pspv)</f>
        <v>3.1313090532650856E-2</v>
      </c>
      <c r="M229" s="832"/>
      <c r="N229" s="832"/>
      <c r="O229" s="48">
        <f>IF(t&lt;Tnet,'2022'!Resal+('2022'!Salim-'2022'!Resal)*(1-EXP(('2022'!Tnet-t)/('2022'!Tau_j))),Resal+(Salim-Resal)*(1-EXP((Tnet-t)/(Tau_j))))*Salcycl</f>
        <v>1.8357966769368475E-2</v>
      </c>
      <c r="P229" s="338">
        <f>(INDEX(Models!$BJ229:$BT229,,T229)*(1-R229)+INDEX(Models!$BJ229:$BT229,,T229+1)*R229-ERP_i)*Q229*Ramure*Pc/MaxiM</f>
        <v>3.2380129206467661E-4</v>
      </c>
      <c r="Q229" s="304">
        <f t="shared" si="80"/>
        <v>0.6</v>
      </c>
      <c r="R229" s="177">
        <f t="shared" si="81"/>
        <v>0.95017260666476822</v>
      </c>
      <c r="S229" s="799">
        <f t="shared" si="82"/>
        <v>0</v>
      </c>
      <c r="T229" s="176">
        <f t="shared" si="83"/>
        <v>6</v>
      </c>
      <c r="U229" s="250">
        <f t="shared" si="84"/>
        <v>0.95017260666476822</v>
      </c>
      <c r="V229" s="382">
        <f t="shared" si="85"/>
        <v>56.336035869889486</v>
      </c>
      <c r="W229" s="400">
        <f t="shared" si="86"/>
        <v>52.78408482636749</v>
      </c>
      <c r="X229" s="157">
        <f t="shared" si="87"/>
        <v>45141</v>
      </c>
      <c r="Y229" s="383">
        <f t="shared" si="88"/>
        <v>51.339571185075393</v>
      </c>
      <c r="Z229" s="383">
        <f t="shared" si="89"/>
        <v>52.999137991144558</v>
      </c>
      <c r="AA229" s="384">
        <f t="shared" si="90"/>
        <v>55.509385415497228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4.5222035977574605E-2</v>
      </c>
      <c r="AD229" s="230">
        <f>(INDEX(Models!$BJ229:$BT229,,AH229)*(1-AF229)+INDEX(Models!$BJ229:$BT229,,AH229+1)*AF229-ERP_i)*AE229*Ramure*Pc/MaxiM</f>
        <v>3.2380129206467661E-4</v>
      </c>
      <c r="AE229" s="304">
        <f t="shared" si="92"/>
        <v>0.6</v>
      </c>
      <c r="AF229" s="177">
        <f t="shared" si="93"/>
        <v>0.95017260666476822</v>
      </c>
      <c r="AG229" s="799">
        <f t="shared" si="99"/>
        <v>0</v>
      </c>
      <c r="AH229" s="176">
        <f t="shared" si="94"/>
        <v>6</v>
      </c>
      <c r="AI229" s="224">
        <f t="shared" si="95"/>
        <v>0.95017260666476822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09">
        <f>'2022'!Wh/'2022'!Env_an*'2023'!Env_an</f>
        <v>52.00082768945834</v>
      </c>
      <c r="C230" s="829"/>
      <c r="D230" s="391">
        <f t="shared" si="77"/>
        <v>53.682798625978727</v>
      </c>
      <c r="E230" s="383">
        <f t="shared" si="75"/>
        <v>54.69227340635085</v>
      </c>
      <c r="F230" s="383">
        <f t="shared" si="78"/>
        <v>54.708440294901344</v>
      </c>
      <c r="G230" s="110">
        <f t="shared" si="76"/>
        <v>0.92532782558137638</v>
      </c>
      <c r="H230" s="412" t="b">
        <f>Wh_hp&gt;='2022'!Maxi_hp</f>
        <v>0</v>
      </c>
      <c r="I230" s="379">
        <f>IF(H230,Wh_hp,'2022'!Maxi_hp)</f>
        <v>54.708974263466324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3.1331655196277897E-2</v>
      </c>
      <c r="M230" s="832"/>
      <c r="N230" s="832"/>
      <c r="O230" s="48">
        <f>IF(t&lt;Tnet,'2022'!Resal+('2022'!Salim-'2022'!Resal)*(1-EXP(('2022'!Tnet-t)/('2022'!Tau_j))),Resal+(Salim-Resal)*(1-EXP((Tnet-t)/(Tau_j))))*Salcycl</f>
        <v>1.845735635949821E-2</v>
      </c>
      <c r="P230" s="338">
        <f>(INDEX(Models!$BJ230:$BT230,,T230)*(1-R230)+INDEX(Models!$BJ230:$BT230,,T230+1)*R230-ERP_i)*Q230*Ramure*Pc/MaxiM</f>
        <v>3.3078036606599829E-4</v>
      </c>
      <c r="Q230" s="304">
        <f t="shared" si="80"/>
        <v>0.6</v>
      </c>
      <c r="R230" s="177">
        <f t="shared" si="81"/>
        <v>0.95196295319944502</v>
      </c>
      <c r="S230" s="799">
        <f t="shared" si="82"/>
        <v>0</v>
      </c>
      <c r="T230" s="176">
        <f t="shared" si="83"/>
        <v>6</v>
      </c>
      <c r="U230" s="250">
        <f t="shared" si="84"/>
        <v>0.95196295319944502</v>
      </c>
      <c r="V230" s="382">
        <f t="shared" si="85"/>
        <v>56.195211706615225</v>
      </c>
      <c r="W230" s="400">
        <f t="shared" si="86"/>
        <v>52.00082768945834</v>
      </c>
      <c r="X230" s="157">
        <f t="shared" si="87"/>
        <v>45142</v>
      </c>
      <c r="Y230" s="383">
        <f t="shared" si="88"/>
        <v>50.579093648435531</v>
      </c>
      <c r="Z230" s="383">
        <f t="shared" si="89"/>
        <v>52.215078483528018</v>
      </c>
      <c r="AA230" s="384">
        <f t="shared" si="90"/>
        <v>54.69227340635085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4.5293325154320316E-2</v>
      </c>
      <c r="AD230" s="230">
        <f>(INDEX(Models!$BJ230:$BT230,,AH230)*(1-AF230)+INDEX(Models!$BJ230:$BT230,,AH230+1)*AF230-ERP_i)*AE230*Ramure*Pc/MaxiM</f>
        <v>3.3078036606599829E-4</v>
      </c>
      <c r="AE230" s="304">
        <f t="shared" si="92"/>
        <v>0.6</v>
      </c>
      <c r="AF230" s="177">
        <f t="shared" si="93"/>
        <v>0.95196295319944502</v>
      </c>
      <c r="AG230" s="799">
        <f t="shared" si="99"/>
        <v>0</v>
      </c>
      <c r="AH230" s="176">
        <f t="shared" si="94"/>
        <v>6</v>
      </c>
      <c r="AI230" s="224">
        <f t="shared" si="95"/>
        <v>0.95196295319944502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09">
        <f>'2022'!Wh/'2022'!Env_an*'2023'!Env_an</f>
        <v>47.222827782636095</v>
      </c>
      <c r="C231" s="829"/>
      <c r="D231" s="391">
        <f t="shared" si="77"/>
        <v>48.751188234886314</v>
      </c>
      <c r="E231" s="383">
        <f t="shared" si="75"/>
        <v>49.672948996791035</v>
      </c>
      <c r="F231" s="383">
        <f t="shared" si="78"/>
        <v>49.685963157139376</v>
      </c>
      <c r="G231" s="110">
        <f t="shared" si="76"/>
        <v>0.84241862578221416</v>
      </c>
      <c r="H231" s="412" t="b">
        <f>Wh_hp&gt;='2022'!Maxi_hp</f>
        <v>0</v>
      </c>
      <c r="I231" s="379">
        <f>IF(H231,Wh_hp,'2022'!Maxi_hp)</f>
        <v>57.498472641811972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3.1350219504117205E-2</v>
      </c>
      <c r="M231" s="832"/>
      <c r="N231" s="832"/>
      <c r="O231" s="48">
        <f>IF(t&lt;Tnet,'2022'!Resal+('2022'!Salim-'2022'!Resal)*(1-EXP(('2022'!Tnet-t)/('2022'!Tau_j))),Resal+(Salim-Resal)*(1-EXP((Tnet-t)/(Tau_j))))*Salcycl</f>
        <v>1.8556594293692288E-2</v>
      </c>
      <c r="P231" s="338">
        <f>(INDEX(Models!$BJ231:$BT231,,T231)*(1-R231)+INDEX(Models!$BJ231:$BT231,,T231+1)*R231-ERP_i)*Q231*Ramure*Pc/MaxiM</f>
        <v>3.3798277997426222E-4</v>
      </c>
      <c r="Q231" s="304">
        <f t="shared" si="80"/>
        <v>0.6</v>
      </c>
      <c r="R231" s="177">
        <f t="shared" si="81"/>
        <v>0.95369461117308729</v>
      </c>
      <c r="S231" s="799">
        <f t="shared" si="82"/>
        <v>0</v>
      </c>
      <c r="T231" s="176">
        <f t="shared" si="83"/>
        <v>6</v>
      </c>
      <c r="U231" s="250">
        <f t="shared" si="84"/>
        <v>0.95369461117308729</v>
      </c>
      <c r="V231" s="382">
        <f t="shared" si="85"/>
        <v>56.051984001040282</v>
      </c>
      <c r="W231" s="400">
        <f t="shared" si="86"/>
        <v>47.222827782636095</v>
      </c>
      <c r="X231" s="157">
        <f t="shared" si="87"/>
        <v>45143</v>
      </c>
      <c r="Y231" s="383">
        <f t="shared" si="88"/>
        <v>45.932950410177639</v>
      </c>
      <c r="Z231" s="383">
        <f t="shared" si="89"/>
        <v>47.419564155233786</v>
      </c>
      <c r="AA231" s="384">
        <f t="shared" si="90"/>
        <v>49.672948996791035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4.536442645478566E-2</v>
      </c>
      <c r="AD231" s="230">
        <f>(INDEX(Models!$BJ231:$BT231,,AH231)*(1-AF231)+INDEX(Models!$BJ231:$BT231,,AH231+1)*AF231-ERP_i)*AE231*Ramure*Pc/MaxiM</f>
        <v>3.3798277997426222E-4</v>
      </c>
      <c r="AE231" s="304">
        <f t="shared" si="92"/>
        <v>0.6</v>
      </c>
      <c r="AF231" s="177">
        <f t="shared" si="93"/>
        <v>0.95369461117308729</v>
      </c>
      <c r="AG231" s="799">
        <f t="shared" si="99"/>
        <v>0</v>
      </c>
      <c r="AH231" s="176">
        <f t="shared" si="94"/>
        <v>6</v>
      </c>
      <c r="AI231" s="224">
        <f t="shared" si="95"/>
        <v>0.95369461117308729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09">
        <f>'2022'!Wh/'2022'!Env_an*'2023'!Env_an</f>
        <v>51.852885254118462</v>
      </c>
      <c r="C232" s="829"/>
      <c r="D232" s="391">
        <f t="shared" si="77"/>
        <v>53.532122822899403</v>
      </c>
      <c r="E232" s="383">
        <f t="shared" si="75"/>
        <v>54.549786254782362</v>
      </c>
      <c r="F232" s="383">
        <f t="shared" si="78"/>
        <v>54.566681956798348</v>
      </c>
      <c r="G232" s="110">
        <f t="shared" si="76"/>
        <v>0.92746219825640897</v>
      </c>
      <c r="H232" s="412" t="b">
        <f>Wh_hp&gt;='2022'!Maxi_hp</f>
        <v>0</v>
      </c>
      <c r="I232" s="379">
        <f>IF(H232,Wh_hp,'2022'!Maxi_hp)</f>
        <v>58.413322100606401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3.1368783456175886E-2</v>
      </c>
      <c r="M232" s="832"/>
      <c r="N232" s="832"/>
      <c r="O232" s="48">
        <f>IF(t&lt;Tnet,'2022'!Resal+('2022'!Salim-'2022'!Resal)*(1-EXP(('2022'!Tnet-t)/('2022'!Tau_j))),Resal+(Salim-Resal)*(1-EXP((Tnet-t)/(Tau_j))))*Salcycl</f>
        <v>1.8655681383054734E-2</v>
      </c>
      <c r="P232" s="338">
        <f>(INDEX(Models!$BJ232:$BT232,,T232)*(1-R232)+INDEX(Models!$BJ232:$BT232,,T232+1)*R232-ERP_i)*Q232*Ramure*Pc/MaxiM</f>
        <v>3.4541102417029955E-4</v>
      </c>
      <c r="Q232" s="304">
        <f t="shared" si="80"/>
        <v>0.6</v>
      </c>
      <c r="R232" s="177">
        <f t="shared" si="81"/>
        <v>0.95536902848261884</v>
      </c>
      <c r="S232" s="799">
        <f t="shared" si="82"/>
        <v>0</v>
      </c>
      <c r="T232" s="176">
        <f t="shared" si="83"/>
        <v>6</v>
      </c>
      <c r="U232" s="250">
        <f t="shared" si="84"/>
        <v>0.95536902848261884</v>
      </c>
      <c r="V232" s="382">
        <f t="shared" si="85"/>
        <v>55.906353527927713</v>
      </c>
      <c r="W232" s="400">
        <f t="shared" si="86"/>
        <v>51.852885254118462</v>
      </c>
      <c r="X232" s="157">
        <f t="shared" si="87"/>
        <v>45144</v>
      </c>
      <c r="Y232" s="383">
        <f t="shared" si="88"/>
        <v>50.437884738771068</v>
      </c>
      <c r="Z232" s="383">
        <f t="shared" si="89"/>
        <v>52.071298010339405</v>
      </c>
      <c r="AA232" s="384">
        <f t="shared" si="90"/>
        <v>54.549786254782362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4.5435342915310997E-2</v>
      </c>
      <c r="AD232" s="230">
        <f>(INDEX(Models!$BJ232:$BT232,,AH232)*(1-AF232)+INDEX(Models!$BJ232:$BT232,,AH232+1)*AF232-ERP_i)*AE232*Ramure*Pc/MaxiM</f>
        <v>3.4541102417029955E-4</v>
      </c>
      <c r="AE232" s="304">
        <f t="shared" si="92"/>
        <v>0.6</v>
      </c>
      <c r="AF232" s="177">
        <f t="shared" si="93"/>
        <v>0.95536902848261884</v>
      </c>
      <c r="AG232" s="799">
        <f t="shared" si="99"/>
        <v>0</v>
      </c>
      <c r="AH232" s="176">
        <f t="shared" si="94"/>
        <v>6</v>
      </c>
      <c r="AI232" s="224">
        <f t="shared" si="95"/>
        <v>0.95536902848261884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09">
        <f>'2022'!Wh/'2022'!Env_an*'2023'!Env_an</f>
        <v>54.564364779409452</v>
      </c>
      <c r="C233" s="829"/>
      <c r="D233" s="391">
        <f t="shared" si="77"/>
        <v>56.332492264443601</v>
      </c>
      <c r="E233" s="383">
        <f t="shared" ref="E233:E296" si="100">Wh_pvt/(1-Psa)</f>
        <v>57.409179500721201</v>
      </c>
      <c r="F233" s="383">
        <f t="shared" si="78"/>
        <v>57.428835118727008</v>
      </c>
      <c r="G233" s="110">
        <f t="shared" ref="G233:G296" si="101">+Wh_hp/MaxiM</f>
        <v>0.97856842871708194</v>
      </c>
      <c r="H233" s="412" t="b">
        <f>Wh_hp&gt;='2022'!Maxi_hp</f>
        <v>0</v>
      </c>
      <c r="I233" s="379">
        <f>IF(H233,Wh_hp,'2022'!Maxi_hp)</f>
        <v>57.429006468910806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3.1387347052460712E-2</v>
      </c>
      <c r="M233" s="832"/>
      <c r="N233" s="832"/>
      <c r="O233" s="48">
        <f>IF(t&lt;Tnet,'2022'!Resal+('2022'!Salim-'2022'!Resal)*(1-EXP(('2022'!Tnet-t)/('2022'!Tau_j))),Resal+(Salim-Resal)*(1-EXP((Tnet-t)/(Tau_j))))*Salcycl</f>
        <v>1.8754618087932644E-2</v>
      </c>
      <c r="P233" s="338">
        <f>(INDEX(Models!$BJ233:$BT233,,T233)*(1-R233)+INDEX(Models!$BJ233:$BT233,,T233+1)*R233-ERP_i)*Q233*Ramure*Pc/MaxiM</f>
        <v>3.5306471560935334E-4</v>
      </c>
      <c r="Q233" s="304">
        <f t="shared" si="80"/>
        <v>0.6</v>
      </c>
      <c r="R233" s="177">
        <f t="shared" si="81"/>
        <v>0.95698765236218253</v>
      </c>
      <c r="S233" s="799">
        <f t="shared" si="82"/>
        <v>0</v>
      </c>
      <c r="T233" s="176">
        <f t="shared" si="83"/>
        <v>6</v>
      </c>
      <c r="U233" s="250">
        <f t="shared" si="84"/>
        <v>0.95698765236218253</v>
      </c>
      <c r="V233" s="382">
        <f t="shared" si="85"/>
        <v>55.758773170634853</v>
      </c>
      <c r="W233" s="400">
        <f t="shared" si="86"/>
        <v>54.564364779409452</v>
      </c>
      <c r="X233" s="157">
        <f t="shared" si="87"/>
        <v>45145</v>
      </c>
      <c r="Y233" s="383">
        <f t="shared" si="88"/>
        <v>53.076789529437356</v>
      </c>
      <c r="Z233" s="383">
        <f t="shared" si="89"/>
        <v>54.796712976979904</v>
      </c>
      <c r="AA233" s="384">
        <f t="shared" si="90"/>
        <v>57.409179500721201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4.5506076666859144E-2</v>
      </c>
      <c r="AD233" s="230">
        <f>(INDEX(Models!$BJ233:$BT233,,AH233)*(1-AF233)+INDEX(Models!$BJ233:$BT233,,AH233+1)*AF233-ERP_i)*AE233*Ramure*Pc/MaxiM</f>
        <v>3.5306471560935334E-4</v>
      </c>
      <c r="AE233" s="304">
        <f t="shared" si="92"/>
        <v>0.6</v>
      </c>
      <c r="AF233" s="177">
        <f t="shared" si="93"/>
        <v>0.95698765236218253</v>
      </c>
      <c r="AG233" s="799">
        <f t="shared" si="99"/>
        <v>0</v>
      </c>
      <c r="AH233" s="176">
        <f t="shared" si="94"/>
        <v>6</v>
      </c>
      <c r="AI233" s="224">
        <f t="shared" si="95"/>
        <v>0.95698765236218253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09">
        <f>'2022'!Wh/'2022'!Env_an*'2023'!Env_an</f>
        <v>55.023035190769633</v>
      </c>
      <c r="C234" s="829"/>
      <c r="D234" s="391">
        <f t="shared" si="77"/>
        <v>56.80711432733694</v>
      </c>
      <c r="E234" s="383">
        <f t="shared" si="100"/>
        <v>57.898701977336664</v>
      </c>
      <c r="F234" s="383">
        <f t="shared" si="78"/>
        <v>57.919303568872671</v>
      </c>
      <c r="G234" s="110">
        <f t="shared" si="101"/>
        <v>0.9894476720205494</v>
      </c>
      <c r="H234" s="412" t="b">
        <f>Wh_hp&gt;='2022'!Maxi_hp</f>
        <v>0</v>
      </c>
      <c r="I234" s="379">
        <f>IF(H234,Wh_hp,'2022'!Maxi_hp)</f>
        <v>57.919390552745952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3.1405910292978345E-2</v>
      </c>
      <c r="M234" s="832"/>
      <c r="N234" s="832"/>
      <c r="O234" s="48">
        <f>IF(t&lt;Tnet,'2022'!Resal+('2022'!Salim-'2022'!Resal)*(1-EXP(('2022'!Tnet-t)/('2022'!Tau_j))),Resal+(Salim-Resal)*(1-EXP((Tnet-t)/(Tau_j))))*Salcycl</f>
        <v>1.8853404527566259E-2</v>
      </c>
      <c r="P234" s="338">
        <f>(INDEX(Models!$BJ234:$BT234,,T234)*(1-R234)+INDEX(Models!$BJ234:$BT234,,T234+1)*R234-ERP_i)*Q234*Ramure*Pc/MaxiM</f>
        <v>3.6113599630720872E-4</v>
      </c>
      <c r="Q234" s="304">
        <f t="shared" si="80"/>
        <v>0.6</v>
      </c>
      <c r="R234" s="177">
        <f t="shared" si="81"/>
        <v>0.958551926295104</v>
      </c>
      <c r="S234" s="799">
        <f t="shared" si="82"/>
        <v>0</v>
      </c>
      <c r="T234" s="176">
        <f t="shared" si="83"/>
        <v>6</v>
      </c>
      <c r="U234" s="250">
        <f t="shared" si="84"/>
        <v>0.958551926295104</v>
      </c>
      <c r="V234" s="382">
        <f t="shared" si="85"/>
        <v>55.609545856382752</v>
      </c>
      <c r="W234" s="400">
        <f t="shared" si="86"/>
        <v>55.023035190769633</v>
      </c>
      <c r="X234" s="157">
        <f t="shared" si="87"/>
        <v>45146</v>
      </c>
      <c r="Y234" s="383">
        <f t="shared" si="88"/>
        <v>53.524387663475871</v>
      </c>
      <c r="Z234" s="383">
        <f t="shared" si="89"/>
        <v>55.259874319144167</v>
      </c>
      <c r="AA234" s="384">
        <f t="shared" si="90"/>
        <v>57.898701977336664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4.5576628975644677E-2</v>
      </c>
      <c r="AD234" s="230">
        <f>(INDEX(Models!$BJ234:$BT234,,AH234)*(1-AF234)+INDEX(Models!$BJ234:$BT234,,AH234+1)*AF234-ERP_i)*AE234*Ramure*Pc/MaxiM</f>
        <v>3.6113599630720872E-4</v>
      </c>
      <c r="AE234" s="304">
        <f t="shared" si="92"/>
        <v>0.6</v>
      </c>
      <c r="AF234" s="177">
        <f t="shared" si="93"/>
        <v>0.958551926295104</v>
      </c>
      <c r="AG234" s="799">
        <f t="shared" si="99"/>
        <v>0</v>
      </c>
      <c r="AH234" s="176">
        <f t="shared" si="94"/>
        <v>6</v>
      </c>
      <c r="AI234" s="224">
        <f t="shared" si="95"/>
        <v>0.958551926295104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09">
        <f>'2022'!Wh/'2022'!Env_an*'2023'!Env_an</f>
        <v>52.95717723290204</v>
      </c>
      <c r="C235" s="829"/>
      <c r="D235" s="391">
        <f t="shared" si="77"/>
        <v>54.67532037139712</v>
      </c>
      <c r="E235" s="383">
        <f t="shared" si="100"/>
        <v>55.731546904991269</v>
      </c>
      <c r="F235" s="383">
        <f t="shared" si="78"/>
        <v>55.750827952425965</v>
      </c>
      <c r="G235" s="110">
        <f t="shared" si="101"/>
        <v>0.95487530189495273</v>
      </c>
      <c r="H235" s="412" t="b">
        <f>Wh_hp&gt;='2022'!Maxi_hp</f>
        <v>0</v>
      </c>
      <c r="I235" s="379">
        <f>IF(H235,Wh_hp,'2022'!Maxi_hp)</f>
        <v>56.144783633335642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3.1424473177735779E-2</v>
      </c>
      <c r="M235" s="832"/>
      <c r="N235" s="832"/>
      <c r="O235" s="48">
        <f>IF(t&lt;Tnet,'2022'!Resal+('2022'!Salim-'2022'!Resal)*(1-EXP(('2022'!Tnet-t)/('2022'!Tau_j))),Resal+(Salim-Resal)*(1-EXP((Tnet-t)/(Tau_j))))*Salcycl</f>
        <v>1.8952040491442914E-2</v>
      </c>
      <c r="P235" s="338">
        <f>(INDEX(Models!$BJ235:$BT235,,T235)*(1-R235)+INDEX(Models!$BJ235:$BT235,,T235+1)*R235-ERP_i)*Q235*Ramure*Pc/MaxiM</f>
        <v>3.696610069226515E-4</v>
      </c>
      <c r="Q235" s="304">
        <f t="shared" si="80"/>
        <v>0.6</v>
      </c>
      <c r="R235" s="177">
        <f t="shared" si="81"/>
        <v>0.96006328716373224</v>
      </c>
      <c r="S235" s="799">
        <f t="shared" si="82"/>
        <v>0</v>
      </c>
      <c r="T235" s="176">
        <f t="shared" si="83"/>
        <v>6</v>
      </c>
      <c r="U235" s="250">
        <f t="shared" si="84"/>
        <v>0.96006328716373224</v>
      </c>
      <c r="V235" s="382">
        <f t="shared" si="85"/>
        <v>55.458461822372037</v>
      </c>
      <c r="W235" s="400">
        <f t="shared" si="86"/>
        <v>52.95717723290204</v>
      </c>
      <c r="X235" s="157">
        <f t="shared" si="87"/>
        <v>45147</v>
      </c>
      <c r="Y235" s="383">
        <f t="shared" si="88"/>
        <v>51.516177633031468</v>
      </c>
      <c r="Z235" s="383">
        <f t="shared" si="89"/>
        <v>53.187568967437684</v>
      </c>
      <c r="AA235" s="384">
        <f t="shared" si="90"/>
        <v>55.731546904991269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4.5647000286757632E-2</v>
      </c>
      <c r="AD235" s="230">
        <f>(INDEX(Models!$BJ235:$BT235,,AH235)*(1-AF235)+INDEX(Models!$BJ235:$BT235,,AH235+1)*AF235-ERP_i)*AE235*Ramure*Pc/MaxiM</f>
        <v>3.696610069226515E-4</v>
      </c>
      <c r="AE235" s="304">
        <f t="shared" si="92"/>
        <v>0.6</v>
      </c>
      <c r="AF235" s="177">
        <f t="shared" si="93"/>
        <v>0.96006328716373224</v>
      </c>
      <c r="AG235" s="799">
        <f t="shared" si="99"/>
        <v>0</v>
      </c>
      <c r="AH235" s="176">
        <f t="shared" si="94"/>
        <v>6</v>
      </c>
      <c r="AI235" s="224">
        <f t="shared" si="95"/>
        <v>0.96006328716373224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09">
        <f>'2022'!Wh/'2022'!Env_an*'2023'!Env_an</f>
        <v>50.042259733203231</v>
      </c>
      <c r="C236" s="829"/>
      <c r="D236" s="391">
        <f t="shared" si="77"/>
        <v>51.666821444744066</v>
      </c>
      <c r="E236" s="383">
        <f t="shared" si="100"/>
        <v>52.670216749496255</v>
      </c>
      <c r="F236" s="383">
        <f t="shared" si="78"/>
        <v>52.687454465185304</v>
      </c>
      <c r="G236" s="110">
        <f t="shared" si="101"/>
        <v>0.90478979440544716</v>
      </c>
      <c r="H236" s="412" t="b">
        <f>Wh_hp&gt;='2022'!Maxi_hp</f>
        <v>0</v>
      </c>
      <c r="I236" s="379">
        <f>IF(H236,Wh_hp,'2022'!Maxi_hp)</f>
        <v>53.37794367209424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3.1443035706739786E-2</v>
      </c>
      <c r="M236" s="832"/>
      <c r="N236" s="832"/>
      <c r="O236" s="48">
        <f>IF(t&lt;Tnet,'2022'!Resal+('2022'!Salim-'2022'!Resal)*(1-EXP(('2022'!Tnet-t)/('2022'!Tau_j))),Resal+(Salim-Resal)*(1-EXP((Tnet-t)/(Tau_j))))*Salcycl</f>
        <v>1.9050525452067521E-2</v>
      </c>
      <c r="P236" s="338">
        <f>(INDEX(Models!$BJ236:$BT236,,T236)*(1-R236)+INDEX(Models!$BJ236:$BT236,,T236+1)*R236-ERP_i)*Q236*Ramure*Pc/MaxiM</f>
        <v>3.7864534864801198E-4</v>
      </c>
      <c r="Q236" s="304">
        <f t="shared" si="80"/>
        <v>0.6</v>
      </c>
      <c r="R236" s="177">
        <f t="shared" si="81"/>
        <v>0.96152316262962945</v>
      </c>
      <c r="S236" s="799">
        <f t="shared" si="82"/>
        <v>0</v>
      </c>
      <c r="T236" s="176">
        <f t="shared" si="83"/>
        <v>6</v>
      </c>
      <c r="U236" s="250">
        <f t="shared" si="84"/>
        <v>0.96152316262962945</v>
      </c>
      <c r="V236" s="382">
        <f t="shared" si="85"/>
        <v>55.305313145602113</v>
      </c>
      <c r="W236" s="400">
        <f t="shared" si="86"/>
        <v>50.042259733203231</v>
      </c>
      <c r="X236" s="157">
        <f t="shared" si="87"/>
        <v>45148</v>
      </c>
      <c r="Y236" s="383">
        <f t="shared" si="88"/>
        <v>48.681883687684881</v>
      </c>
      <c r="Z236" s="383">
        <f t="shared" si="89"/>
        <v>50.262282428795743</v>
      </c>
      <c r="AA236" s="384">
        <f t="shared" si="90"/>
        <v>52.670216749496255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4.5717190270031238E-2</v>
      </c>
      <c r="AD236" s="230">
        <f>(INDEX(Models!$BJ236:$BT236,,AH236)*(1-AF236)+INDEX(Models!$BJ236:$BT236,,AH236+1)*AF236-ERP_i)*AE236*Ramure*Pc/MaxiM</f>
        <v>3.7864534864801198E-4</v>
      </c>
      <c r="AE236" s="304">
        <f t="shared" si="92"/>
        <v>0.6</v>
      </c>
      <c r="AF236" s="177">
        <f t="shared" si="93"/>
        <v>0.96152316262962945</v>
      </c>
      <c r="AG236" s="799">
        <f t="shared" si="99"/>
        <v>0</v>
      </c>
      <c r="AH236" s="176">
        <f t="shared" si="94"/>
        <v>6</v>
      </c>
      <c r="AI236" s="224">
        <f t="shared" si="95"/>
        <v>0.96152316262962945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09">
        <f>'2022'!Wh/'2022'!Env_an*'2023'!Env_an</f>
        <v>48.389131798415825</v>
      </c>
      <c r="C237" s="829"/>
      <c r="D237" s="391">
        <f t="shared" si="77"/>
        <v>49.960984192777893</v>
      </c>
      <c r="E237" s="383">
        <f t="shared" si="100"/>
        <v>50.936357295144433</v>
      </c>
      <c r="F237" s="383">
        <f t="shared" si="78"/>
        <v>50.952668718524372</v>
      </c>
      <c r="G237" s="110">
        <f t="shared" si="101"/>
        <v>0.87735152620758916</v>
      </c>
      <c r="H237" s="412" t="b">
        <f>Wh_hp&gt;='2022'!Maxi_hp</f>
        <v>0</v>
      </c>
      <c r="I237" s="379">
        <f>IF(H237,Wh_hp,'2022'!Maxi_hp)</f>
        <v>51.914944304147305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3.1461597879997028E-2</v>
      </c>
      <c r="M237" s="832"/>
      <c r="N237" s="832"/>
      <c r="O237" s="48">
        <f>IF(t&lt;Tnet,'2022'!Resal+('2022'!Salim-'2022'!Resal)*(1-EXP(('2022'!Tnet-t)/('2022'!Tau_j))),Resal+(Salim-Resal)*(1-EXP((Tnet-t)/(Tau_j))))*Salcycl</f>
        <v>1.9148858578850795E-2</v>
      </c>
      <c r="P237" s="338">
        <f>(INDEX(Models!$BJ237:$BT237,,T237)*(1-R237)+INDEX(Models!$BJ237:$BT237,,T237+1)*R237-ERP_i)*Q237*Ramure*Pc/MaxiM</f>
        <v>3.8809475794533585E-4</v>
      </c>
      <c r="Q237" s="304">
        <f t="shared" si="80"/>
        <v>0.6</v>
      </c>
      <c r="R237" s="177">
        <f t="shared" si="81"/>
        <v>0.96293296873597201</v>
      </c>
      <c r="S237" s="799">
        <f t="shared" si="82"/>
        <v>0</v>
      </c>
      <c r="T237" s="176">
        <f t="shared" si="83"/>
        <v>6</v>
      </c>
      <c r="U237" s="250">
        <f t="shared" si="84"/>
        <v>0.96293296873597201</v>
      </c>
      <c r="V237" s="382">
        <f t="shared" si="85"/>
        <v>55.149892024511992</v>
      </c>
      <c r="W237" s="400">
        <f t="shared" si="86"/>
        <v>48.389131798415825</v>
      </c>
      <c r="X237" s="157">
        <f t="shared" si="87"/>
        <v>45149</v>
      </c>
      <c r="Y237" s="383">
        <f t="shared" si="88"/>
        <v>47.074960813349875</v>
      </c>
      <c r="Z237" s="383">
        <f t="shared" si="89"/>
        <v>48.6041242250271</v>
      </c>
      <c r="AA237" s="384">
        <f t="shared" si="90"/>
        <v>50.936357295144433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4.5787197867399522E-2</v>
      </c>
      <c r="AD237" s="230">
        <f>(INDEX(Models!$BJ237:$BT237,,AH237)*(1-AF237)+INDEX(Models!$BJ237:$BT237,,AH237+1)*AF237-ERP_i)*AE237*Ramure*Pc/MaxiM</f>
        <v>3.8809475794533585E-4</v>
      </c>
      <c r="AE237" s="304">
        <f t="shared" si="92"/>
        <v>0.6</v>
      </c>
      <c r="AF237" s="177">
        <f t="shared" si="93"/>
        <v>0.96293296873597201</v>
      </c>
      <c r="AG237" s="799">
        <f t="shared" si="99"/>
        <v>0</v>
      </c>
      <c r="AH237" s="176">
        <f t="shared" si="94"/>
        <v>6</v>
      </c>
      <c r="AI237" s="224">
        <f t="shared" si="95"/>
        <v>0.96293296873597201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09">
        <f>'2022'!Wh/'2022'!Env_an*'2023'!Env_an</f>
        <v>49.350721673488529</v>
      </c>
      <c r="C238" s="829"/>
      <c r="D238" s="391">
        <f t="shared" si="77"/>
        <v>50.954786489531749</v>
      </c>
      <c r="E238" s="383">
        <f t="shared" si="100"/>
        <v>51.954761803353904</v>
      </c>
      <c r="F238" s="383">
        <f t="shared" si="78"/>
        <v>51.972416151304856</v>
      </c>
      <c r="G238" s="110">
        <f t="shared" si="101"/>
        <v>0.8973641698221474</v>
      </c>
      <c r="H238" s="412" t="b">
        <f>Wh_hp&gt;='2022'!Maxi_hp</f>
        <v>0</v>
      </c>
      <c r="I238" s="379">
        <f>IF(H238,Wh_hp,'2022'!Maxi_hp)</f>
        <v>51.973251161233648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3.1480159697514609E-2</v>
      </c>
      <c r="M238" s="832"/>
      <c r="N238" s="832"/>
      <c r="O238" s="48">
        <f>IF(t&lt;Tnet,'2022'!Resal+('2022'!Salim-'2022'!Resal)*(1-EXP(('2022'!Tnet-t)/('2022'!Tau_j))),Resal+(Salim-Resal)*(1-EXP((Tnet-t)/(Tau_j))))*Salcycl</f>
        <v>1.9247038752809885E-2</v>
      </c>
      <c r="P238" s="338">
        <f>(INDEX(Models!$BJ238:$BT238,,T238)*(1-R238)+INDEX(Models!$BJ238:$BT238,,T238+1)*R238-ERP_i)*Q238*Ramure*Pc/MaxiM</f>
        <v>3.9801512674830715E-4</v>
      </c>
      <c r="Q238" s="304">
        <f t="shared" si="80"/>
        <v>0.6</v>
      </c>
      <c r="R238" s="177">
        <f t="shared" si="81"/>
        <v>0.96429410772353807</v>
      </c>
      <c r="S238" s="799">
        <f t="shared" si="82"/>
        <v>0</v>
      </c>
      <c r="T238" s="176">
        <f t="shared" si="83"/>
        <v>6</v>
      </c>
      <c r="U238" s="250">
        <f t="shared" si="84"/>
        <v>0.96429410772353807</v>
      </c>
      <c r="V238" s="382">
        <f t="shared" si="85"/>
        <v>54.99199078131506</v>
      </c>
      <c r="W238" s="400">
        <f t="shared" si="86"/>
        <v>49.350721673488529</v>
      </c>
      <c r="X238" s="157">
        <f t="shared" si="87"/>
        <v>45150</v>
      </c>
      <c r="Y238" s="383">
        <f t="shared" si="88"/>
        <v>48.011728169175264</v>
      </c>
      <c r="Z238" s="383">
        <f t="shared" si="89"/>
        <v>49.5722711825711</v>
      </c>
      <c r="AA238" s="384">
        <f t="shared" si="90"/>
        <v>51.954761803353904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4.5857021340996784E-2</v>
      </c>
      <c r="AD238" s="230">
        <f>(INDEX(Models!$BJ238:$BT238,,AH238)*(1-AF238)+INDEX(Models!$BJ238:$BT238,,AH238+1)*AF238-ERP_i)*AE238*Ramure*Pc/MaxiM</f>
        <v>3.9801512674830715E-4</v>
      </c>
      <c r="AE238" s="304">
        <f t="shared" si="92"/>
        <v>0.6</v>
      </c>
      <c r="AF238" s="177">
        <f t="shared" si="93"/>
        <v>0.96429410772353807</v>
      </c>
      <c r="AG238" s="799">
        <f t="shared" si="99"/>
        <v>0</v>
      </c>
      <c r="AH238" s="176">
        <f t="shared" si="94"/>
        <v>6</v>
      </c>
      <c r="AI238" s="224">
        <f t="shared" si="95"/>
        <v>0.96429410772353807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09">
        <f>'2022'!Wh/'2022'!Env_an*'2023'!Env_an</f>
        <v>37.139813315613509</v>
      </c>
      <c r="C239" s="829"/>
      <c r="D239" s="391">
        <f t="shared" si="77"/>
        <v>38.347717372216565</v>
      </c>
      <c r="E239" s="383">
        <f t="shared" si="100"/>
        <v>39.104190462124315</v>
      </c>
      <c r="F239" s="383">
        <f t="shared" si="78"/>
        <v>39.112801575759391</v>
      </c>
      <c r="G239" s="110">
        <f t="shared" si="101"/>
        <v>0.67721814309171413</v>
      </c>
      <c r="H239" s="412" t="b">
        <f>Wh_hp&gt;='2022'!Maxi_hp</f>
        <v>0</v>
      </c>
      <c r="I239" s="379">
        <f>IF(H239,Wh_hp,'2022'!Maxi_hp)</f>
        <v>49.870847104426645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3.1498721159299081E-2</v>
      </c>
      <c r="M239" s="832"/>
      <c r="N239" s="832"/>
      <c r="O239" s="48">
        <f>IF(t&lt;Tnet,'2022'!Resal+('2022'!Salim-'2022'!Resal)*(1-EXP(('2022'!Tnet-t)/('2022'!Tau_j))),Resal+(Salim-Resal)*(1-EXP((Tnet-t)/(Tau_j))))*Salcycl</f>
        <v>1.9345064581773125E-2</v>
      </c>
      <c r="P239" s="338">
        <f>(INDEX(Models!$BJ239:$BT239,,T239)*(1-R239)+INDEX(Models!$BJ239:$BT239,,T239+1)*R239-ERP_i)*Q239*Ramure*Pc/MaxiM</f>
        <v>4.0841252309531775E-4</v>
      </c>
      <c r="Q239" s="304">
        <f t="shared" si="80"/>
        <v>0.6</v>
      </c>
      <c r="R239" s="177">
        <f t="shared" si="81"/>
        <v>0.96560796605128163</v>
      </c>
      <c r="S239" s="799">
        <f t="shared" si="82"/>
        <v>0</v>
      </c>
      <c r="T239" s="176">
        <f t="shared" si="83"/>
        <v>6</v>
      </c>
      <c r="U239" s="250">
        <f t="shared" si="84"/>
        <v>0.96560796605128163</v>
      </c>
      <c r="V239" s="382">
        <f t="shared" si="85"/>
        <v>54.831401858439371</v>
      </c>
      <c r="W239" s="400">
        <f t="shared" si="86"/>
        <v>37.139813315613509</v>
      </c>
      <c r="X239" s="157">
        <f t="shared" si="87"/>
        <v>45151</v>
      </c>
      <c r="Y239" s="383">
        <f t="shared" si="88"/>
        <v>36.133103010632269</v>
      </c>
      <c r="Z239" s="383">
        <f t="shared" si="89"/>
        <v>37.308265667840629</v>
      </c>
      <c r="AA239" s="384">
        <f t="shared" si="90"/>
        <v>39.104190462124315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4.592665832126587E-2</v>
      </c>
      <c r="AD239" s="230">
        <f>(INDEX(Models!$BJ239:$BT239,,AH239)*(1-AF239)+INDEX(Models!$BJ239:$BT239,,AH239+1)*AF239-ERP_i)*AE239*Ramure*Pc/MaxiM</f>
        <v>4.0841252309531775E-4</v>
      </c>
      <c r="AE239" s="304">
        <f t="shared" si="92"/>
        <v>0.6</v>
      </c>
      <c r="AF239" s="177">
        <f t="shared" si="93"/>
        <v>0.96560796605128163</v>
      </c>
      <c r="AG239" s="799">
        <f t="shared" si="99"/>
        <v>0</v>
      </c>
      <c r="AH239" s="176">
        <f t="shared" si="94"/>
        <v>6</v>
      </c>
      <c r="AI239" s="224">
        <f t="shared" si="95"/>
        <v>0.96560796605128163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09">
        <f>'2022'!Wh/'2022'!Env_an*'2023'!Env_an</f>
        <v>35.252789199885967</v>
      </c>
      <c r="C240" s="829"/>
      <c r="D240" s="391">
        <f t="shared" si="77"/>
        <v>36.400018869046029</v>
      </c>
      <c r="E240" s="383">
        <f t="shared" si="100"/>
        <v>37.121775107865666</v>
      </c>
      <c r="F240" s="383">
        <f t="shared" si="78"/>
        <v>37.129447619115787</v>
      </c>
      <c r="G240" s="110">
        <f t="shared" si="101"/>
        <v>0.64471617936575298</v>
      </c>
      <c r="H240" s="412" t="b">
        <f>Wh_hp&gt;='2022'!Maxi_hp</f>
        <v>0</v>
      </c>
      <c r="I240" s="379">
        <f>IF(H240,Wh_hp,'2022'!Maxi_hp)</f>
        <v>56.99494858795164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3.1517282265357438E-2</v>
      </c>
      <c r="M240" s="832"/>
      <c r="N240" s="832"/>
      <c r="O240" s="48">
        <f>IF(t&lt;Tnet,'2022'!Resal+('2022'!Salim-'2022'!Resal)*(1-EXP(('2022'!Tnet-t)/('2022'!Tau_j))),Resal+(Salim-Resal)*(1-EXP((Tnet-t)/(Tau_j))))*Salcycl</f>
        <v>1.9442934415781817E-2</v>
      </c>
      <c r="P240" s="338">
        <f>(INDEX(Models!$BJ240:$BT240,,T240)*(1-R240)+INDEX(Models!$BJ240:$BT240,,T240+1)*R240-ERP_i)*Q240*Ramure*Pc/MaxiM</f>
        <v>4.194522461983523E-4</v>
      </c>
      <c r="Q240" s="304">
        <f t="shared" si="80"/>
        <v>0.6</v>
      </c>
      <c r="R240" s="177">
        <f t="shared" si="81"/>
        <v>0.9668759126122306</v>
      </c>
      <c r="S240" s="799">
        <f t="shared" si="82"/>
        <v>0</v>
      </c>
      <c r="T240" s="176">
        <f t="shared" si="83"/>
        <v>6</v>
      </c>
      <c r="U240" s="250">
        <f t="shared" si="84"/>
        <v>0.9668759126122306</v>
      </c>
      <c r="V240" s="382">
        <f t="shared" si="85"/>
        <v>54.667909120511816</v>
      </c>
      <c r="W240" s="400">
        <f t="shared" si="86"/>
        <v>35.252789199885967</v>
      </c>
      <c r="X240" s="157">
        <f t="shared" si="87"/>
        <v>45152</v>
      </c>
      <c r="Y240" s="383">
        <f t="shared" si="88"/>
        <v>34.298154953530187</v>
      </c>
      <c r="Z240" s="383">
        <f t="shared" si="89"/>
        <v>35.414318010502321</v>
      </c>
      <c r="AA240" s="384">
        <f t="shared" si="90"/>
        <v>37.121775107865666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4.5996105854365615E-2</v>
      </c>
      <c r="AD240" s="230">
        <f>(INDEX(Models!$BJ240:$BT240,,AH240)*(1-AF240)+INDEX(Models!$BJ240:$BT240,,AH240+1)*AF240-ERP_i)*AE240*Ramure*Pc/MaxiM</f>
        <v>4.194522461983523E-4</v>
      </c>
      <c r="AE240" s="304">
        <f t="shared" si="92"/>
        <v>0.6</v>
      </c>
      <c r="AF240" s="177">
        <f t="shared" si="93"/>
        <v>0.9668759126122306</v>
      </c>
      <c r="AG240" s="799">
        <f t="shared" si="99"/>
        <v>0</v>
      </c>
      <c r="AH240" s="176">
        <f t="shared" si="94"/>
        <v>6</v>
      </c>
      <c r="AI240" s="224">
        <f t="shared" si="95"/>
        <v>0.9668759126122306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09">
        <f>'2022'!Wh/'2022'!Env_an*'2023'!Env_an</f>
        <v>39.934026709488329</v>
      </c>
      <c r="C241" s="829"/>
      <c r="D241" s="391">
        <f t="shared" si="77"/>
        <v>41.234387892928041</v>
      </c>
      <c r="E241" s="383">
        <f t="shared" si="100"/>
        <v>42.056193089437016</v>
      </c>
      <c r="F241" s="383">
        <f t="shared" si="78"/>
        <v>42.067399068041119</v>
      </c>
      <c r="G241" s="110">
        <f t="shared" si="101"/>
        <v>0.73259613174633598</v>
      </c>
      <c r="H241" s="412" t="b">
        <f>Wh_hp&gt;='2022'!Maxi_hp</f>
        <v>0</v>
      </c>
      <c r="I241" s="379">
        <f>IF(H241,Wh_hp,'2022'!Maxi_hp)</f>
        <v>50.673625731633024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3.1535843015696452E-2</v>
      </c>
      <c r="M241" s="832"/>
      <c r="N241" s="832"/>
      <c r="O241" s="48">
        <f>IF(t&lt;Tnet,'2022'!Resal+('2022'!Salim-'2022'!Resal)*(1-EXP(('2022'!Tnet-t)/('2022'!Tau_j))),Resal+(Salim-Resal)*(1-EXP((Tnet-t)/(Tau_j))))*Salcycl</f>
        <v>1.9540646362387459E-2</v>
      </c>
      <c r="P241" s="338">
        <f>(INDEX(Models!$BJ241:$BT241,,T241)*(1-R241)+INDEX(Models!$BJ241:$BT241,,T241+1)*R241-ERP_i)*Q241*Ramure*Pc/MaxiM</f>
        <v>4.3092182031703144E-4</v>
      </c>
      <c r="Q241" s="304">
        <f t="shared" si="80"/>
        <v>0.6</v>
      </c>
      <c r="R241" s="177">
        <f t="shared" si="81"/>
        <v>0.96809929713527076</v>
      </c>
      <c r="S241" s="799">
        <f t="shared" si="82"/>
        <v>0</v>
      </c>
      <c r="T241" s="176">
        <f t="shared" si="83"/>
        <v>6</v>
      </c>
      <c r="U241" s="250">
        <f t="shared" si="84"/>
        <v>0.96809929713527076</v>
      </c>
      <c r="V241" s="382">
        <f t="shared" si="85"/>
        <v>54.501317264153428</v>
      </c>
      <c r="W241" s="400">
        <f t="shared" si="86"/>
        <v>39.934026709488329</v>
      </c>
      <c r="X241" s="157">
        <f t="shared" si="87"/>
        <v>45153</v>
      </c>
      <c r="Y241" s="383">
        <f t="shared" si="88"/>
        <v>38.853677343821623</v>
      </c>
      <c r="Z241" s="383">
        <f t="shared" si="89"/>
        <v>40.118859395692994</v>
      </c>
      <c r="AA241" s="384">
        <f t="shared" si="90"/>
        <v>42.056193089437016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4.606536044820024E-2</v>
      </c>
      <c r="AD241" s="230">
        <f>(INDEX(Models!$BJ241:$BT241,,AH241)*(1-AF241)+INDEX(Models!$BJ241:$BT241,,AH241+1)*AF241-ERP_i)*AE241*Ramure*Pc/MaxiM</f>
        <v>4.3092182031703144E-4</v>
      </c>
      <c r="AE241" s="304">
        <f t="shared" si="92"/>
        <v>0.6</v>
      </c>
      <c r="AF241" s="177">
        <f t="shared" si="93"/>
        <v>0.96809929713527076</v>
      </c>
      <c r="AG241" s="799">
        <f t="shared" si="99"/>
        <v>0</v>
      </c>
      <c r="AH241" s="176">
        <f t="shared" si="94"/>
        <v>6</v>
      </c>
      <c r="AI241" s="224">
        <f t="shared" si="95"/>
        <v>0.96809929713527076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09">
        <f>'2022'!Wh/'2022'!Env_an*'2023'!Env_an</f>
        <v>36.935122359862042</v>
      </c>
      <c r="C242" s="829"/>
      <c r="D242" s="391">
        <f t="shared" si="77"/>
        <v>38.138561928441668</v>
      </c>
      <c r="E242" s="383">
        <f t="shared" si="100"/>
        <v>38.902537677791742</v>
      </c>
      <c r="F242" s="383">
        <f t="shared" si="78"/>
        <v>38.911887143403057</v>
      </c>
      <c r="G242" s="110">
        <f t="shared" si="101"/>
        <v>0.67967374678852044</v>
      </c>
      <c r="H242" s="412" t="b">
        <f>Wh_hp&gt;='2022'!Maxi_hp</f>
        <v>0</v>
      </c>
      <c r="I242" s="379">
        <f>IF(H242,Wh_hp,'2022'!Maxi_hp)</f>
        <v>55.891220971481495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3.1554403410322784E-2</v>
      </c>
      <c r="M242" s="832"/>
      <c r="N242" s="832"/>
      <c r="O242" s="48">
        <f>IF(t&lt;Tnet,'2022'!Resal+('2022'!Salim-'2022'!Resal)*(1-EXP(('2022'!Tnet-t)/('2022'!Tau_j))),Resal+(Salim-Resal)*(1-EXP((Tnet-t)/(Tau_j))))*Salcycl</f>
        <v>1.9638198301552102E-2</v>
      </c>
      <c r="P242" s="338">
        <f>(INDEX(Models!$BJ242:$BT242,,T242)*(1-R242)+INDEX(Models!$BJ242:$BT242,,T242+1)*R242-ERP_i)*Q242*Ramure*Pc/MaxiM</f>
        <v>4.4282736307129153E-4</v>
      </c>
      <c r="Q242" s="304">
        <f t="shared" si="80"/>
        <v>0.6</v>
      </c>
      <c r="R242" s="177">
        <f t="shared" si="81"/>
        <v>0.96927944876328953</v>
      </c>
      <c r="S242" s="799">
        <f t="shared" si="82"/>
        <v>0</v>
      </c>
      <c r="T242" s="176">
        <f t="shared" si="83"/>
        <v>6</v>
      </c>
      <c r="U242" s="250">
        <f t="shared" si="84"/>
        <v>0.96927944876328953</v>
      </c>
      <c r="V242" s="382">
        <f t="shared" si="85"/>
        <v>54.331419091042449</v>
      </c>
      <c r="W242" s="400">
        <f t="shared" si="86"/>
        <v>36.935122359862042</v>
      </c>
      <c r="X242" s="157">
        <f t="shared" si="87"/>
        <v>45154</v>
      </c>
      <c r="Y242" s="383">
        <f t="shared" si="88"/>
        <v>35.936877508582654</v>
      </c>
      <c r="Z242" s="383">
        <f t="shared" si="89"/>
        <v>37.107791738774175</v>
      </c>
      <c r="AA242" s="384">
        <f t="shared" si="90"/>
        <v>38.902537677791742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4.6134418116433894E-2</v>
      </c>
      <c r="AD242" s="230">
        <f>(INDEX(Models!$BJ242:$BT242,,AH242)*(1-AF242)+INDEX(Models!$BJ242:$BT242,,AH242+1)*AF242-ERP_i)*AE242*Ramure*Pc/MaxiM</f>
        <v>4.4282736307129153E-4</v>
      </c>
      <c r="AE242" s="304">
        <f t="shared" si="92"/>
        <v>0.6</v>
      </c>
      <c r="AF242" s="177">
        <f t="shared" si="93"/>
        <v>0.96927944876328953</v>
      </c>
      <c r="AG242" s="799">
        <f t="shared" si="99"/>
        <v>0</v>
      </c>
      <c r="AH242" s="176">
        <f t="shared" si="94"/>
        <v>6</v>
      </c>
      <c r="AI242" s="224">
        <f t="shared" si="95"/>
        <v>0.96927944876328953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09">
        <f>'2022'!Wh/'2022'!Env_an*'2023'!Env_an</f>
        <v>29.632632523466594</v>
      </c>
      <c r="C243" s="829"/>
      <c r="D243" s="391">
        <f t="shared" si="77"/>
        <v>30.598724947838143</v>
      </c>
      <c r="E243" s="383">
        <f t="shared" si="100"/>
        <v>31.214766720219046</v>
      </c>
      <c r="F243" s="383">
        <f t="shared" si="78"/>
        <v>31.219784061700693</v>
      </c>
      <c r="G243" s="110">
        <f t="shared" si="101"/>
        <v>0.54699031054242908</v>
      </c>
      <c r="H243" s="412" t="b">
        <f>Wh_hp&gt;='2022'!Maxi_hp</f>
        <v>0</v>
      </c>
      <c r="I243" s="379">
        <f>IF(H243,Wh_hp,'2022'!Maxi_hp)</f>
        <v>54.973908818601828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3.1572963449243541E-2</v>
      </c>
      <c r="M243" s="832"/>
      <c r="N243" s="832"/>
      <c r="O243" s="48">
        <f>IF(t&lt;Tnet,'2022'!Resal+('2022'!Salim-'2022'!Resal)*(1-EXP(('2022'!Tnet-t)/('2022'!Tau_j))),Resal+(Salim-Resal)*(1-EXP((Tnet-t)/(Tau_j))))*Salcycl</f>
        <v>1.9735587899872752E-2</v>
      </c>
      <c r="P243" s="338">
        <f>(INDEX(Models!$BJ243:$BT243,,T243)*(1-R243)+INDEX(Models!$BJ243:$BT243,,T243+1)*R243-ERP_i)*Q243*Ramure*Pc/MaxiM</f>
        <v>4.5517524722768639E-4</v>
      </c>
      <c r="Q243" s="304">
        <f t="shared" si="80"/>
        <v>0.6</v>
      </c>
      <c r="R243" s="177">
        <f t="shared" si="81"/>
        <v>0.97041767479814212</v>
      </c>
      <c r="S243" s="799">
        <f t="shared" si="82"/>
        <v>0</v>
      </c>
      <c r="T243" s="176">
        <f t="shared" si="83"/>
        <v>6</v>
      </c>
      <c r="U243" s="250">
        <f t="shared" si="84"/>
        <v>0.97041767479814212</v>
      </c>
      <c r="V243" s="382">
        <f t="shared" si="85"/>
        <v>54.158007516729683</v>
      </c>
      <c r="W243" s="400">
        <f t="shared" si="86"/>
        <v>29.632632523466594</v>
      </c>
      <c r="X243" s="157">
        <f t="shared" si="87"/>
        <v>45155</v>
      </c>
      <c r="Y243" s="383">
        <f t="shared" si="88"/>
        <v>28.832534898057538</v>
      </c>
      <c r="Z243" s="383">
        <f t="shared" si="89"/>
        <v>29.772542287491568</v>
      </c>
      <c r="AA243" s="384">
        <f t="shared" si="90"/>
        <v>31.214766720219046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4.6203274419901158E-2</v>
      </c>
      <c r="AD243" s="230">
        <f>(INDEX(Models!$BJ243:$BT243,,AH243)*(1-AF243)+INDEX(Models!$BJ243:$BT243,,AH243+1)*AF243-ERP_i)*AE243*Ramure*Pc/MaxiM</f>
        <v>4.5517524722768639E-4</v>
      </c>
      <c r="AE243" s="304">
        <f t="shared" si="92"/>
        <v>0.6</v>
      </c>
      <c r="AF243" s="177">
        <f t="shared" si="93"/>
        <v>0.97041767479814212</v>
      </c>
      <c r="AG243" s="799">
        <f t="shared" si="99"/>
        <v>0</v>
      </c>
      <c r="AH243" s="176">
        <f t="shared" si="94"/>
        <v>6</v>
      </c>
      <c r="AI243" s="224">
        <f t="shared" si="95"/>
        <v>0.97041767479814212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09">
        <f>'2022'!Wh/'2022'!Env_an*'2023'!Env_an</f>
        <v>37.595755533013097</v>
      </c>
      <c r="C244" s="829"/>
      <c r="D244" s="391">
        <f t="shared" si="77"/>
        <v>38.822208222115442</v>
      </c>
      <c r="E244" s="383">
        <f t="shared" si="100"/>
        <v>39.607741130409543</v>
      </c>
      <c r="F244" s="383">
        <f t="shared" si="78"/>
        <v>39.618241903772343</v>
      </c>
      <c r="G244" s="110">
        <f t="shared" si="101"/>
        <v>0.69632298594807629</v>
      </c>
      <c r="H244" s="412" t="b">
        <f>Wh_hp&gt;='2022'!Maxi_hp</f>
        <v>0</v>
      </c>
      <c r="I244" s="379">
        <f>IF(H244,Wh_hp,'2022'!Maxi_hp)</f>
        <v>54.287330596628593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3.1591523132465271E-2</v>
      </c>
      <c r="M244" s="832"/>
      <c r="N244" s="832"/>
      <c r="O244" s="48">
        <f>IF(t&lt;Tnet,'2022'!Resal+('2022'!Salim-'2022'!Resal)*(1-EXP(('2022'!Tnet-t)/('2022'!Tau_j))),Resal+(Salim-Resal)*(1-EXP((Tnet-t)/(Tau_j))))*Salcycl</f>
        <v>1.9832812623868438E-2</v>
      </c>
      <c r="P244" s="338">
        <f>(INDEX(Models!$BJ244:$BT244,,T244)*(1-R244)+INDEX(Models!$BJ244:$BT244,,T244+1)*R244-ERP_i)*Q244*Ramure*Pc/MaxiM</f>
        <v>4.6797212162324651E-4</v>
      </c>
      <c r="Q244" s="304">
        <f t="shared" si="80"/>
        <v>0.6</v>
      </c>
      <c r="R244" s="177">
        <f t="shared" si="81"/>
        <v>0.97151525960295571</v>
      </c>
      <c r="S244" s="799">
        <f t="shared" si="82"/>
        <v>0</v>
      </c>
      <c r="T244" s="176">
        <f t="shared" si="83"/>
        <v>6</v>
      </c>
      <c r="U244" s="250">
        <f t="shared" si="84"/>
        <v>0.97151525960295571</v>
      </c>
      <c r="V244" s="382">
        <f t="shared" si="85"/>
        <v>53.980875569148644</v>
      </c>
      <c r="W244" s="400">
        <f t="shared" si="86"/>
        <v>37.595755533013097</v>
      </c>
      <c r="X244" s="157">
        <f t="shared" si="87"/>
        <v>45156</v>
      </c>
      <c r="Y244" s="383">
        <f t="shared" si="88"/>
        <v>36.581644471563067</v>
      </c>
      <c r="Z244" s="383">
        <f t="shared" si="89"/>
        <v>37.775014723014394</v>
      </c>
      <c r="AA244" s="384">
        <f t="shared" si="90"/>
        <v>39.607741130409543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4.6271924504880234E-2</v>
      </c>
      <c r="AD244" s="230">
        <f>(INDEX(Models!$BJ244:$BT244,,AH244)*(1-AF244)+INDEX(Models!$BJ244:$BT244,,AH244+1)*AF244-ERP_i)*AE244*Ramure*Pc/MaxiM</f>
        <v>4.6797212162324651E-4</v>
      </c>
      <c r="AE244" s="304">
        <f t="shared" si="92"/>
        <v>0.6</v>
      </c>
      <c r="AF244" s="177">
        <f t="shared" si="93"/>
        <v>0.97151525960295571</v>
      </c>
      <c r="AG244" s="799">
        <f t="shared" si="99"/>
        <v>0</v>
      </c>
      <c r="AH244" s="176">
        <f t="shared" si="94"/>
        <v>6</v>
      </c>
      <c r="AI244" s="224">
        <f t="shared" si="95"/>
        <v>0.97151525960295571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09">
        <f>'2022'!Wh/'2022'!Env_an*'2023'!Env_an</f>
        <v>42.824199309596366</v>
      </c>
      <c r="C245" s="829"/>
      <c r="D245" s="391">
        <f t="shared" si="77"/>
        <v>44.222062346933988</v>
      </c>
      <c r="E245" s="383">
        <f t="shared" si="100"/>
        <v>45.121324466594949</v>
      </c>
      <c r="F245" s="383">
        <f t="shared" si="78"/>
        <v>45.136715022543548</v>
      </c>
      <c r="G245" s="110">
        <f t="shared" si="101"/>
        <v>0.7958798766047589</v>
      </c>
      <c r="H245" s="412" t="b">
        <f>Wh_hp&gt;='2022'!Maxi_hp</f>
        <v>0</v>
      </c>
      <c r="I245" s="379">
        <f>IF(H245,Wh_hp,'2022'!Maxi_hp)</f>
        <v>46.197672752985881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3.161008245999497E-2</v>
      </c>
      <c r="M245" s="832"/>
      <c r="N245" s="832"/>
      <c r="O245" s="48">
        <f>IF(t&lt;Tnet,'2022'!Resal+('2022'!Salim-'2022'!Resal)*(1-EXP(('2022'!Tnet-t)/('2022'!Tau_j))),Resal+(Salim-Resal)*(1-EXP((Tnet-t)/(Tau_j))))*Salcycl</f>
        <v>1.9929869752088512E-2</v>
      </c>
      <c r="P245" s="338">
        <f>(INDEX(Models!$BJ245:$BT245,,T245)*(1-R245)+INDEX(Models!$BJ245:$BT245,,T245+1)*R245-ERP_i)*Q245*Ramure*Pc/MaxiM</f>
        <v>4.8122493285353084E-4</v>
      </c>
      <c r="Q245" s="304">
        <f t="shared" si="80"/>
        <v>0.6</v>
      </c>
      <c r="R245" s="177">
        <f t="shared" si="81"/>
        <v>0.97257346365239505</v>
      </c>
      <c r="S245" s="799">
        <f t="shared" si="82"/>
        <v>0</v>
      </c>
      <c r="T245" s="176">
        <f t="shared" si="83"/>
        <v>6</v>
      </c>
      <c r="U245" s="250">
        <f t="shared" si="84"/>
        <v>0.97257346365239505</v>
      </c>
      <c r="V245" s="382">
        <f t="shared" si="85"/>
        <v>53.799816391646779</v>
      </c>
      <c r="W245" s="400">
        <f t="shared" si="86"/>
        <v>42.824199309596366</v>
      </c>
      <c r="X245" s="157">
        <f t="shared" si="87"/>
        <v>45157</v>
      </c>
      <c r="Y245" s="383">
        <f t="shared" si="88"/>
        <v>41.670191858796372</v>
      </c>
      <c r="Z245" s="383">
        <f t="shared" si="89"/>
        <v>43.030385905556415</v>
      </c>
      <c r="AA245" s="384">
        <f t="shared" si="90"/>
        <v>45.121324466594949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4.6340363137756219E-2</v>
      </c>
      <c r="AD245" s="230">
        <f>(INDEX(Models!$BJ245:$BT245,,AH245)*(1-AF245)+INDEX(Models!$BJ245:$BT245,,AH245+1)*AF245-ERP_i)*AE245*Ramure*Pc/MaxiM</f>
        <v>4.8122493285353084E-4</v>
      </c>
      <c r="AE245" s="304">
        <f t="shared" si="92"/>
        <v>0.6</v>
      </c>
      <c r="AF245" s="177">
        <f t="shared" si="93"/>
        <v>0.97257346365239505</v>
      </c>
      <c r="AG245" s="799">
        <f t="shared" si="99"/>
        <v>0</v>
      </c>
      <c r="AH245" s="176">
        <f t="shared" si="94"/>
        <v>6</v>
      </c>
      <c r="AI245" s="224">
        <f t="shared" si="95"/>
        <v>0.97257346365239505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09">
        <f>'2022'!Wh/'2022'!Env_an*'2023'!Env_an</f>
        <v>51.426662067171094</v>
      </c>
      <c r="C246" s="829"/>
      <c r="D246" s="391">
        <f t="shared" si="77"/>
        <v>53.106343565562334</v>
      </c>
      <c r="E246" s="383">
        <f t="shared" si="100"/>
        <v>54.191626058793574</v>
      </c>
      <c r="F246" s="383">
        <f t="shared" si="78"/>
        <v>54.216895825870999</v>
      </c>
      <c r="G246" s="110">
        <f t="shared" si="101"/>
        <v>0.9591632727865006</v>
      </c>
      <c r="H246" s="412" t="b">
        <f>Wh_hp&gt;='2022'!Maxi_hp</f>
        <v>0</v>
      </c>
      <c r="I246" s="379">
        <f>IF(H246,Wh_hp,'2022'!Maxi_hp)</f>
        <v>54.217324757132701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3.162864143183941E-2</v>
      </c>
      <c r="M246" s="832"/>
      <c r="N246" s="832"/>
      <c r="O246" s="48">
        <f>IF(t&lt;Tnet,'2022'!Resal+('2022'!Salim-'2022'!Resal)*(1-EXP(('2022'!Tnet-t)/('2022'!Tau_j))),Resal+(Salim-Resal)*(1-EXP((Tnet-t)/(Tau_j))))*Salcycl</f>
        <v>2.0026756385825954E-2</v>
      </c>
      <c r="P246" s="338">
        <f>(INDEX(Models!$BJ246:$BT246,,T246)*(1-R246)+INDEX(Models!$BJ246:$BT246,,T246+1)*R246-ERP_i)*Q246*Ramure*Pc/MaxiM</f>
        <v>4.9494094789902634E-4</v>
      </c>
      <c r="Q246" s="304">
        <f t="shared" si="80"/>
        <v>0.6</v>
      </c>
      <c r="R246" s="177">
        <f t="shared" si="81"/>
        <v>0.97359352272168032</v>
      </c>
      <c r="S246" s="799">
        <f t="shared" si="82"/>
        <v>0</v>
      </c>
      <c r="T246" s="176">
        <f t="shared" si="83"/>
        <v>6</v>
      </c>
      <c r="U246" s="250">
        <f t="shared" si="84"/>
        <v>0.97359352272168032</v>
      </c>
      <c r="V246" s="382">
        <f t="shared" si="85"/>
        <v>53.614623234638678</v>
      </c>
      <c r="W246" s="400">
        <f t="shared" si="86"/>
        <v>51.426662067171094</v>
      </c>
      <c r="X246" s="157">
        <f t="shared" si="87"/>
        <v>45158</v>
      </c>
      <c r="Y246" s="383">
        <f t="shared" si="88"/>
        <v>50.042206542387675</v>
      </c>
      <c r="Z246" s="383">
        <f t="shared" si="89"/>
        <v>51.676669388880278</v>
      </c>
      <c r="AA246" s="384">
        <f t="shared" si="90"/>
        <v>54.191626058793574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4.6408584735670513E-2</v>
      </c>
      <c r="AD246" s="230">
        <f>(INDEX(Models!$BJ246:$BT246,,AH246)*(1-AF246)+INDEX(Models!$BJ246:$BT246,,AH246+1)*AF246-ERP_i)*AE246*Ramure*Pc/MaxiM</f>
        <v>4.9494094789902634E-4</v>
      </c>
      <c r="AE246" s="304">
        <f t="shared" si="92"/>
        <v>0.6</v>
      </c>
      <c r="AF246" s="177">
        <f t="shared" si="93"/>
        <v>0.97359352272168032</v>
      </c>
      <c r="AG246" s="799">
        <f t="shared" si="99"/>
        <v>0</v>
      </c>
      <c r="AH246" s="176">
        <f t="shared" si="94"/>
        <v>6</v>
      </c>
      <c r="AI246" s="224">
        <f t="shared" si="95"/>
        <v>0.97359352272168032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09">
        <f>'2022'!Wh/'2022'!Env_an*'2023'!Env_an</f>
        <v>34.737910810796592</v>
      </c>
      <c r="C247" s="829"/>
      <c r="D247" s="391">
        <f t="shared" si="77"/>
        <v>35.8731970543367</v>
      </c>
      <c r="E247" s="383">
        <f t="shared" si="100"/>
        <v>36.609915572223301</v>
      </c>
      <c r="F247" s="383">
        <f t="shared" si="78"/>
        <v>36.619243033744667</v>
      </c>
      <c r="G247" s="110">
        <f t="shared" si="101"/>
        <v>0.65004537716916411</v>
      </c>
      <c r="H247" s="412" t="b">
        <f>Wh_hp&gt;='2022'!Maxi_hp</f>
        <v>0</v>
      </c>
      <c r="I247" s="379">
        <f>IF(H247,Wh_hp,'2022'!Maxi_hp)</f>
        <v>54.553633144965026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3.1647200048005364E-2</v>
      </c>
      <c r="M247" s="832"/>
      <c r="N247" s="832"/>
      <c r="O247" s="48">
        <f>IF(t&lt;Tnet,'2022'!Resal+('2022'!Salim-'2022'!Resal)*(1-EXP(('2022'!Tnet-t)/('2022'!Tau_j))),Resal+(Salim-Resal)*(1-EXP((Tnet-t)/(Tau_j))))*Salcycl</f>
        <v>2.0123469458246095E-2</v>
      </c>
      <c r="P247" s="338">
        <f>(INDEX(Models!$BJ247:$BT247,,T247)*(1-R247)+INDEX(Models!$BJ247:$BT247,,T247+1)*R247-ERP_i)*Q247*Ramure*Pc/MaxiM</f>
        <v>5.0912281724663244E-4</v>
      </c>
      <c r="Q247" s="304">
        <f t="shared" si="80"/>
        <v>0.6</v>
      </c>
      <c r="R247" s="177">
        <f t="shared" si="81"/>
        <v>0.97457664720534454</v>
      </c>
      <c r="S247" s="799">
        <f t="shared" si="82"/>
        <v>0</v>
      </c>
      <c r="T247" s="176">
        <f t="shared" si="83"/>
        <v>6</v>
      </c>
      <c r="U247" s="250">
        <f t="shared" si="84"/>
        <v>0.97457664720534454</v>
      </c>
      <c r="V247" s="382">
        <f t="shared" si="85"/>
        <v>53.425610233275698</v>
      </c>
      <c r="W247" s="400">
        <f t="shared" si="86"/>
        <v>34.737910810796592</v>
      </c>
      <c r="X247" s="157">
        <f t="shared" si="87"/>
        <v>45159</v>
      </c>
      <c r="Y247" s="383">
        <f t="shared" si="88"/>
        <v>33.803658287226106</v>
      </c>
      <c r="Z247" s="383">
        <f t="shared" si="89"/>
        <v>34.908411778126627</v>
      </c>
      <c r="AA247" s="384">
        <f t="shared" si="90"/>
        <v>36.609915572223301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4.6476583392823706E-2</v>
      </c>
      <c r="AD247" s="230">
        <f>(INDEX(Models!$BJ247:$BT247,,AH247)*(1-AF247)+INDEX(Models!$BJ247:$BT247,,AH247+1)*AF247-ERP_i)*AE247*Ramure*Pc/MaxiM</f>
        <v>5.0912281724663244E-4</v>
      </c>
      <c r="AE247" s="304">
        <f t="shared" si="92"/>
        <v>0.6</v>
      </c>
      <c r="AF247" s="177">
        <f t="shared" si="93"/>
        <v>0.97457664720534454</v>
      </c>
      <c r="AG247" s="799">
        <f t="shared" si="99"/>
        <v>0</v>
      </c>
      <c r="AH247" s="176">
        <f t="shared" si="94"/>
        <v>6</v>
      </c>
      <c r="AI247" s="224">
        <f t="shared" si="95"/>
        <v>0.97457664720534454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09">
        <f>'2022'!Wh/'2022'!Env_an*'2023'!Env_an</f>
        <v>27.684832643188795</v>
      </c>
      <c r="C248" s="829"/>
      <c r="D248" s="391">
        <f t="shared" si="77"/>
        <v>28.590161796642168</v>
      </c>
      <c r="E248" s="383">
        <f t="shared" si="100"/>
        <v>29.180185311180196</v>
      </c>
      <c r="F248" s="383">
        <f t="shared" si="78"/>
        <v>29.184991851071459</v>
      </c>
      <c r="G248" s="110">
        <f t="shared" si="101"/>
        <v>0.51987996648884682</v>
      </c>
      <c r="H248" s="412" t="b">
        <f>Wh_hp&gt;='2022'!Maxi_hp</f>
        <v>0</v>
      </c>
      <c r="I248" s="379">
        <f>IF(H248,Wh_hp,'2022'!Maxi_hp)</f>
        <v>56.59830554422004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3.1665758308499714E-2</v>
      </c>
      <c r="M248" s="832"/>
      <c r="N248" s="832"/>
      <c r="O248" s="48">
        <f>IF(t&lt;Tnet,'2022'!Resal+('2022'!Salim-'2022'!Resal)*(1-EXP(('2022'!Tnet-t)/('2022'!Tau_j))),Resal+(Salim-Resal)*(1-EXP((Tnet-t)/(Tau_j))))*Salcycl</f>
        <v>2.0220005741771688E-2</v>
      </c>
      <c r="P248" s="338">
        <f>(INDEX(Models!$BJ248:$BT248,,T248)*(1-R248)+INDEX(Models!$BJ248:$BT248,,T248+1)*R248-ERP_i)*Q248*Ramure*Pc/MaxiM</f>
        <v>5.2386153041726472E-4</v>
      </c>
      <c r="Q248" s="304">
        <f t="shared" si="80"/>
        <v>0.6</v>
      </c>
      <c r="R248" s="177">
        <f t="shared" si="81"/>
        <v>0.97552402155696294</v>
      </c>
      <c r="S248" s="799">
        <f t="shared" si="82"/>
        <v>0</v>
      </c>
      <c r="T248" s="176">
        <f t="shared" si="83"/>
        <v>6</v>
      </c>
      <c r="U248" s="250">
        <f t="shared" si="84"/>
        <v>0.97552402155696294</v>
      </c>
      <c r="V248" s="382">
        <f t="shared" si="85"/>
        <v>53.233225447809509</v>
      </c>
      <c r="W248" s="400">
        <f t="shared" si="86"/>
        <v>27.684832643188795</v>
      </c>
      <c r="X248" s="157">
        <f t="shared" si="87"/>
        <v>45160</v>
      </c>
      <c r="Y248" s="383">
        <f t="shared" si="88"/>
        <v>26.941007345828275</v>
      </c>
      <c r="Z248" s="383">
        <f t="shared" si="89"/>
        <v>27.822012468305708</v>
      </c>
      <c r="AA248" s="384">
        <f t="shared" si="90"/>
        <v>29.180185311180196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4.6544352902176858E-2</v>
      </c>
      <c r="AD248" s="230">
        <f>(INDEX(Models!$BJ248:$BT248,,AH248)*(1-AF248)+INDEX(Models!$BJ248:$BT248,,AH248+1)*AF248-ERP_i)*AE248*Ramure*Pc/MaxiM</f>
        <v>5.2386153041726472E-4</v>
      </c>
      <c r="AE248" s="304">
        <f t="shared" si="92"/>
        <v>0.6</v>
      </c>
      <c r="AF248" s="177">
        <f t="shared" si="93"/>
        <v>0.97552402155696294</v>
      </c>
      <c r="AG248" s="799">
        <f t="shared" si="99"/>
        <v>0</v>
      </c>
      <c r="AH248" s="176">
        <f t="shared" si="94"/>
        <v>6</v>
      </c>
      <c r="AI248" s="224">
        <f t="shared" si="95"/>
        <v>0.97552402155696294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09">
        <f>'2022'!Wh/'2022'!Env_an*'2023'!Env_an</f>
        <v>50.206729633652984</v>
      </c>
      <c r="C249" s="829"/>
      <c r="D249" s="391">
        <f t="shared" si="77"/>
        <v>51.849547078816087</v>
      </c>
      <c r="E249" s="383">
        <f t="shared" si="100"/>
        <v>52.924786185995067</v>
      </c>
      <c r="F249" s="383">
        <f t="shared" si="78"/>
        <v>52.951148853171325</v>
      </c>
      <c r="G249" s="110">
        <f t="shared" si="101"/>
        <v>0.94658842141173472</v>
      </c>
      <c r="H249" s="412" t="b">
        <f>Wh_hp&gt;='2022'!Maxi_hp</f>
        <v>0</v>
      </c>
      <c r="I249" s="379">
        <f>IF(H249,Wh_hp,'2022'!Maxi_hp)</f>
        <v>53.920594526150673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3.1684316213329122E-2</v>
      </c>
      <c r="M249" s="832"/>
      <c r="N249" s="832"/>
      <c r="O249" s="48">
        <f>IF(t&lt;Tnet,'2022'!Resal+('2022'!Salim-'2022'!Resal)*(1-EXP(('2022'!Tnet-t)/('2022'!Tau_j))),Resal+(Salim-Resal)*(1-EXP((Tnet-t)/(Tau_j))))*Salcycl</f>
        <v>2.0316361853597989E-2</v>
      </c>
      <c r="P249" s="338">
        <f>(INDEX(Models!$BJ249:$BT249,,T249)*(1-R249)+INDEX(Models!$BJ249:$BT249,,T249+1)*R249-ERP_i)*Q249*Ramure*Pc/MaxiM</f>
        <v>5.389617388951519E-4</v>
      </c>
      <c r="Q249" s="304">
        <f t="shared" si="80"/>
        <v>0.6</v>
      </c>
      <c r="R249" s="177">
        <f t="shared" si="81"/>
        <v>0.97643680384134934</v>
      </c>
      <c r="S249" s="799">
        <f t="shared" si="82"/>
        <v>0</v>
      </c>
      <c r="T249" s="176">
        <f t="shared" si="83"/>
        <v>6</v>
      </c>
      <c r="U249" s="250">
        <f t="shared" si="84"/>
        <v>0.97643680384134934</v>
      </c>
      <c r="V249" s="382">
        <f t="shared" si="85"/>
        <v>53.037480993298317</v>
      </c>
      <c r="W249" s="400">
        <f t="shared" si="86"/>
        <v>50.206729633652984</v>
      </c>
      <c r="X249" s="157">
        <f t="shared" si="87"/>
        <v>45161</v>
      </c>
      <c r="Y249" s="383">
        <f t="shared" si="88"/>
        <v>48.85913918836399</v>
      </c>
      <c r="Z249" s="383">
        <f t="shared" si="89"/>
        <v>50.457862044841278</v>
      </c>
      <c r="AA249" s="384">
        <f t="shared" si="90"/>
        <v>52.924786185995067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4.6611886772375599E-2</v>
      </c>
      <c r="AD249" s="230">
        <f>(INDEX(Models!$BJ249:$BT249,,AH249)*(1-AF249)+INDEX(Models!$BJ249:$BT249,,AH249+1)*AF249-ERP_i)*AE249*Ramure*Pc/MaxiM</f>
        <v>5.389617388951519E-4</v>
      </c>
      <c r="AE249" s="304">
        <f t="shared" si="92"/>
        <v>0.6</v>
      </c>
      <c r="AF249" s="177">
        <f t="shared" si="93"/>
        <v>0.97643680384134934</v>
      </c>
      <c r="AG249" s="799">
        <f t="shared" si="99"/>
        <v>0</v>
      </c>
      <c r="AH249" s="176">
        <f t="shared" si="94"/>
        <v>6</v>
      </c>
      <c r="AI249" s="224">
        <f t="shared" si="95"/>
        <v>0.97643680384134934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09">
        <f>'2022'!Wh/'2022'!Env_an*'2023'!Env_an</f>
        <v>47.863510337217832</v>
      </c>
      <c r="C250" s="829"/>
      <c r="D250" s="391">
        <f t="shared" si="77"/>
        <v>49.430602487895946</v>
      </c>
      <c r="E250" s="383">
        <f t="shared" si="100"/>
        <v>50.460631864574779</v>
      </c>
      <c r="F250" s="383">
        <f t="shared" si="78"/>
        <v>50.484857294747307</v>
      </c>
      <c r="G250" s="110">
        <f t="shared" si="101"/>
        <v>0.90577986833565871</v>
      </c>
      <c r="H250" s="412" t="b">
        <f>Wh_hp&gt;='2022'!Maxi_hp</f>
        <v>0</v>
      </c>
      <c r="I250" s="379">
        <f>IF(H250,Wh_hp,'2022'!Maxi_hp)</f>
        <v>53.710943273979339</v>
      </c>
      <c r="J250" s="85">
        <f>IF(H250,An,'2022'!An_max)</f>
        <v>2018</v>
      </c>
      <c r="K250" s="197">
        <f t="shared" si="79"/>
        <v>45162</v>
      </c>
      <c r="L250" s="147">
        <f>IF(t&lt;Tvie,1-EXP((T0-t)*PertePVj)+'2022'!Pspv,1-EXP((T0-t)*PertePVj)+Pspv)</f>
        <v>3.1702873762500583E-2</v>
      </c>
      <c r="M250" s="832"/>
      <c r="N250" s="832"/>
      <c r="O250" s="48">
        <f>IF(t&lt;Tnet,'2022'!Resal+('2022'!Salim-'2022'!Resal)*(1-EXP(('2022'!Tnet-t)/('2022'!Tau_j))),Resal+(Salim-Resal)*(1-EXP((Tnet-t)/(Tau_j))))*Salcycl</f>
        <v>2.0412534259246089E-2</v>
      </c>
      <c r="P250" s="338">
        <f>(INDEX(Models!$BJ250:$BT250,,T250)*(1-R250)+INDEX(Models!$BJ250:$BT250,,T250+1)*R250-ERP_i)*Q250*Ramure*Pc/MaxiM</f>
        <v>5.5442795362766221E-4</v>
      </c>
      <c r="Q250" s="304">
        <f t="shared" si="80"/>
        <v>0.6</v>
      </c>
      <c r="R250" s="177">
        <f t="shared" si="81"/>
        <v>0.97731612539101353</v>
      </c>
      <c r="S250" s="799">
        <f t="shared" si="82"/>
        <v>0</v>
      </c>
      <c r="T250" s="176">
        <f t="shared" si="83"/>
        <v>6</v>
      </c>
      <c r="U250" s="250">
        <f t="shared" si="84"/>
        <v>0.97731612539101353</v>
      </c>
      <c r="V250" s="382">
        <f t="shared" si="85"/>
        <v>52.838378276434376</v>
      </c>
      <c r="W250" s="400">
        <f t="shared" si="86"/>
        <v>47.863510337217832</v>
      </c>
      <c r="X250" s="157">
        <f t="shared" si="87"/>
        <v>45162</v>
      </c>
      <c r="Y250" s="383">
        <f t="shared" si="88"/>
        <v>46.580098871007671</v>
      </c>
      <c r="Z250" s="383">
        <f t="shared" si="89"/>
        <v>48.105171035675177</v>
      </c>
      <c r="AA250" s="384">
        <f t="shared" si="90"/>
        <v>50.460631864574779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4.6679178239803623E-2</v>
      </c>
      <c r="AD250" s="230">
        <f>(INDEX(Models!$BJ250:$BT250,,AH250)*(1-AF250)+INDEX(Models!$BJ250:$BT250,,AH250+1)*AF250-ERP_i)*AE250*Ramure*Pc/MaxiM</f>
        <v>5.5442795362766221E-4</v>
      </c>
      <c r="AE250" s="304">
        <f t="shared" si="92"/>
        <v>0.6</v>
      </c>
      <c r="AF250" s="177">
        <f t="shared" si="93"/>
        <v>0.97731612539101353</v>
      </c>
      <c r="AG250" s="799">
        <f t="shared" si="99"/>
        <v>0</v>
      </c>
      <c r="AH250" s="176">
        <f t="shared" si="94"/>
        <v>6</v>
      </c>
      <c r="AI250" s="224">
        <f t="shared" si="95"/>
        <v>0.97731612539101353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09">
        <f>'2022'!Wh/'2022'!Env_an*'2023'!Env_an</f>
        <v>33.556864264476758</v>
      </c>
      <c r="C251" s="829"/>
      <c r="D251" s="391">
        <f t="shared" si="77"/>
        <v>34.656208799094685</v>
      </c>
      <c r="E251" s="383">
        <f t="shared" si="100"/>
        <v>35.38183790369569</v>
      </c>
      <c r="F251" s="383">
        <f t="shared" si="78"/>
        <v>35.391569589457113</v>
      </c>
      <c r="G251" s="110">
        <f t="shared" si="101"/>
        <v>0.63733954409908533</v>
      </c>
      <c r="H251" s="412" t="b">
        <f>Wh_hp&gt;='2022'!Maxi_hp</f>
        <v>0</v>
      </c>
      <c r="I251" s="379">
        <f>IF(H251,Wh_hp,'2022'!Maxi_hp)</f>
        <v>50.59926404911738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3.1721430956020868E-2</v>
      </c>
      <c r="M251" s="832"/>
      <c r="N251" s="832"/>
      <c r="O251" s="48">
        <f>IF(t&lt;Tnet,'2022'!Resal+('2022'!Salim-'2022'!Resal)*(1-EXP(('2022'!Tnet-t)/('2022'!Tau_j))),Resal+(Salim-Resal)*(1-EXP((Tnet-t)/(Tau_j))))*Salcycl</f>
        <v>2.0508519274099357E-2</v>
      </c>
      <c r="P251" s="338">
        <f>(INDEX(Models!$BJ251:$BT251,,T251)*(1-R251)+INDEX(Models!$BJ251:$BT251,,T251+1)*R251-ERP_i)*Q251*Ramure*Pc/MaxiM</f>
        <v>5.7026494521192263E-4</v>
      </c>
      <c r="Q251" s="304">
        <f t="shared" si="80"/>
        <v>0.6</v>
      </c>
      <c r="R251" s="177">
        <f t="shared" si="81"/>
        <v>0.97816309055897821</v>
      </c>
      <c r="S251" s="799">
        <f t="shared" si="82"/>
        <v>0</v>
      </c>
      <c r="T251" s="176">
        <f t="shared" si="83"/>
        <v>6</v>
      </c>
      <c r="U251" s="250">
        <f t="shared" si="84"/>
        <v>0.97816309055897821</v>
      </c>
      <c r="V251" s="382">
        <f t="shared" si="85"/>
        <v>52.635918702461126</v>
      </c>
      <c r="W251" s="400">
        <f t="shared" si="86"/>
        <v>33.556864264476758</v>
      </c>
      <c r="X251" s="157">
        <f t="shared" si="87"/>
        <v>45163</v>
      </c>
      <c r="Y251" s="383">
        <f t="shared" si="88"/>
        <v>32.657974393099799</v>
      </c>
      <c r="Z251" s="383">
        <f t="shared" si="89"/>
        <v>33.727870715288418</v>
      </c>
      <c r="AA251" s="384">
        <f t="shared" si="90"/>
        <v>35.38183790369569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4.6746220275756478E-2</v>
      </c>
      <c r="AD251" s="230">
        <f>(INDEX(Models!$BJ251:$BT251,,AH251)*(1-AF251)+INDEX(Models!$BJ251:$BT251,,AH251+1)*AF251-ERP_i)*AE251*Ramure*Pc/MaxiM</f>
        <v>5.7026494521192263E-4</v>
      </c>
      <c r="AE251" s="304">
        <f t="shared" si="92"/>
        <v>0.6</v>
      </c>
      <c r="AF251" s="177">
        <f t="shared" si="93"/>
        <v>0.97816309055897821</v>
      </c>
      <c r="AG251" s="799">
        <f t="shared" si="99"/>
        <v>0</v>
      </c>
      <c r="AH251" s="176">
        <f t="shared" si="94"/>
        <v>6</v>
      </c>
      <c r="AI251" s="224">
        <f t="shared" si="95"/>
        <v>0.97816309055897821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09">
        <f>'2022'!Wh/'2022'!Env_an*'2023'!Env_an</f>
        <v>44.562701307610709</v>
      </c>
      <c r="C252" s="829"/>
      <c r="D252" s="391">
        <f t="shared" si="77"/>
        <v>46.023486197760192</v>
      </c>
      <c r="E252" s="383">
        <f t="shared" si="100"/>
        <v>46.991718272408768</v>
      </c>
      <c r="F252" s="383">
        <f t="shared" si="78"/>
        <v>47.013380034379956</v>
      </c>
      <c r="G252" s="110">
        <f t="shared" si="101"/>
        <v>0.84983803505293398</v>
      </c>
      <c r="H252" s="412" t="b">
        <f>Wh_hp&gt;='2022'!Maxi_hp</f>
        <v>0</v>
      </c>
      <c r="I252" s="379">
        <f>IF(H252,Wh_hp,'2022'!Maxi_hp)</f>
        <v>53.844483293966427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3.1739987793896751E-2</v>
      </c>
      <c r="M252" s="832"/>
      <c r="N252" s="832"/>
      <c r="O252" s="48">
        <f>IF(t&lt;Tnet,'2022'!Resal+('2022'!Salim-'2022'!Resal)*(1-EXP(('2022'!Tnet-t)/('2022'!Tau_j))),Resal+(Salim-Resal)*(1-EXP((Tnet-t)/(Tau_j))))*Salcycl</f>
        <v>2.0604313062905683E-2</v>
      </c>
      <c r="P252" s="338">
        <f>(INDEX(Models!$BJ252:$BT252,,T252)*(1-R252)+INDEX(Models!$BJ252:$BT252,,T252+1)*R252-ERP_i)*Q252*Ramure*Pc/MaxiM</f>
        <v>5.8647720052932163E-4</v>
      </c>
      <c r="Q252" s="304">
        <f t="shared" si="80"/>
        <v>0.6</v>
      </c>
      <c r="R252" s="177">
        <f t="shared" si="81"/>
        <v>0.97897877656038179</v>
      </c>
      <c r="S252" s="799">
        <f t="shared" si="82"/>
        <v>0</v>
      </c>
      <c r="T252" s="176">
        <f t="shared" si="83"/>
        <v>6</v>
      </c>
      <c r="U252" s="250">
        <f t="shared" si="84"/>
        <v>0.97897877656038179</v>
      </c>
      <c r="V252" s="382">
        <f t="shared" si="85"/>
        <v>52.43010370515367</v>
      </c>
      <c r="W252" s="400">
        <f t="shared" si="86"/>
        <v>44.562701307610709</v>
      </c>
      <c r="X252" s="157">
        <f t="shared" si="87"/>
        <v>45164</v>
      </c>
      <c r="Y252" s="383">
        <f t="shared" si="88"/>
        <v>43.370200511178382</v>
      </c>
      <c r="Z252" s="383">
        <f t="shared" si="89"/>
        <v>44.791894702294726</v>
      </c>
      <c r="AA252" s="384">
        <f t="shared" si="90"/>
        <v>46.991718272408768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4.6813005588809777E-2</v>
      </c>
      <c r="AD252" s="230">
        <f>(INDEX(Models!$BJ252:$BT252,,AH252)*(1-AF252)+INDEX(Models!$BJ252:$BT252,,AH252+1)*AF252-ERP_i)*AE252*Ramure*Pc/MaxiM</f>
        <v>5.8647720052932163E-4</v>
      </c>
      <c r="AE252" s="304">
        <f t="shared" si="92"/>
        <v>0.6</v>
      </c>
      <c r="AF252" s="177">
        <f t="shared" si="93"/>
        <v>0.97897877656038179</v>
      </c>
      <c r="AG252" s="799">
        <f t="shared" si="99"/>
        <v>0</v>
      </c>
      <c r="AH252" s="176">
        <f t="shared" si="94"/>
        <v>6</v>
      </c>
      <c r="AI252" s="224">
        <f t="shared" si="95"/>
        <v>0.97897877656038179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09">
        <f>'2022'!Wh/'2022'!Env_an*'2023'!Env_an</f>
        <v>50.677052765877534</v>
      </c>
      <c r="C253" s="829"/>
      <c r="D253" s="391">
        <f t="shared" si="77"/>
        <v>52.339271848250881</v>
      </c>
      <c r="E253" s="383">
        <f t="shared" si="100"/>
        <v>53.445590856379425</v>
      </c>
      <c r="F253" s="383">
        <f t="shared" si="78"/>
        <v>53.476478800533918</v>
      </c>
      <c r="G253" s="110">
        <f t="shared" si="101"/>
        <v>0.97041084217730156</v>
      </c>
      <c r="H253" s="412" t="b">
        <f>Wh_hp&gt;='2022'!Maxi_hp</f>
        <v>0</v>
      </c>
      <c r="I253" s="379">
        <f>IF(H253,Wh_hp,'2022'!Maxi_hp)</f>
        <v>53.476850706483603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3.1758544276135114E-2</v>
      </c>
      <c r="M253" s="832"/>
      <c r="N253" s="832"/>
      <c r="O253" s="48">
        <f>IF(t&lt;Tnet,'2022'!Resal+('2022'!Salim-'2022'!Resal)*(1-EXP(('2022'!Tnet-t)/('2022'!Tau_j))),Resal+(Salim-Resal)*(1-EXP((Tnet-t)/(Tau_j))))*Salcycl</f>
        <v>2.0699911637266359E-2</v>
      </c>
      <c r="P253" s="338">
        <f>(INDEX(Models!$BJ253:$BT253,,T253)*(1-R253)+INDEX(Models!$BJ253:$BT253,,T253+1)*R253-ERP_i)*Q253*Ramure*Pc/MaxiM</f>
        <v>6.030692573251406E-4</v>
      </c>
      <c r="Q253" s="304">
        <f t="shared" si="80"/>
        <v>0.6</v>
      </c>
      <c r="R253" s="177">
        <f t="shared" si="81"/>
        <v>0.97976423339562901</v>
      </c>
      <c r="S253" s="799">
        <f t="shared" si="82"/>
        <v>0</v>
      </c>
      <c r="T253" s="176">
        <f t="shared" si="83"/>
        <v>6</v>
      </c>
      <c r="U253" s="250">
        <f t="shared" si="84"/>
        <v>0.97976423339562901</v>
      </c>
      <c r="V253" s="382">
        <f t="shared" si="85"/>
        <v>52.220934725918134</v>
      </c>
      <c r="W253" s="400">
        <f t="shared" si="86"/>
        <v>50.677052765877534</v>
      </c>
      <c r="X253" s="157">
        <f t="shared" si="87"/>
        <v>45165</v>
      </c>
      <c r="Y253" s="383">
        <f t="shared" si="88"/>
        <v>49.322303853093125</v>
      </c>
      <c r="Z253" s="383">
        <f t="shared" si="89"/>
        <v>50.940086856970389</v>
      </c>
      <c r="AA253" s="384">
        <f t="shared" si="90"/>
        <v>53.445590856379425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4.6879526622540343E-2</v>
      </c>
      <c r="AD253" s="230">
        <f>(INDEX(Models!$BJ253:$BT253,,AH253)*(1-AF253)+INDEX(Models!$BJ253:$BT253,,AH253+1)*AF253-ERP_i)*AE253*Ramure*Pc/MaxiM</f>
        <v>6.030692573251406E-4</v>
      </c>
      <c r="AE253" s="304">
        <f t="shared" si="92"/>
        <v>0.6</v>
      </c>
      <c r="AF253" s="177">
        <f t="shared" si="93"/>
        <v>0.97976423339562901</v>
      </c>
      <c r="AG253" s="799">
        <f t="shared" si="99"/>
        <v>0</v>
      </c>
      <c r="AH253" s="176">
        <f t="shared" si="94"/>
        <v>6</v>
      </c>
      <c r="AI253" s="224">
        <f t="shared" si="95"/>
        <v>0.97976423339562901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09">
        <f>'2022'!Wh/'2022'!Env_an*'2023'!Env_an</f>
        <v>49.573564819867151</v>
      </c>
      <c r="C254" s="829"/>
      <c r="D254" s="391">
        <f t="shared" si="77"/>
        <v>51.200570488972943</v>
      </c>
      <c r="E254" s="383">
        <f t="shared" si="100"/>
        <v>52.287913912543601</v>
      </c>
      <c r="F254" s="383">
        <f t="shared" si="78"/>
        <v>52.318191541092567</v>
      </c>
      <c r="G254" s="110">
        <f t="shared" si="101"/>
        <v>0.95314415396180607</v>
      </c>
      <c r="H254" s="412" t="b">
        <f>Wh_hp&gt;='2022'!Maxi_hp</f>
        <v>0</v>
      </c>
      <c r="I254" s="379">
        <f>IF(H254,Wh_hp,'2022'!Maxi_hp)</f>
        <v>54.734917062438733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3.177710040274262E-2</v>
      </c>
      <c r="M254" s="832"/>
      <c r="N254" s="832"/>
      <c r="O254" s="48">
        <f>IF(t&lt;Tnet,'2022'!Resal+('2022'!Salim-'2022'!Resal)*(1-EXP(('2022'!Tnet-t)/('2022'!Tau_j))),Resal+(Salim-Resal)*(1-EXP((Tnet-t)/(Tau_j))))*Salcycl</f>
        <v>2.0795310851171828E-2</v>
      </c>
      <c r="P254" s="338">
        <f>(INDEX(Models!$BJ254:$BT254,,T254)*(1-R254)+INDEX(Models!$BJ254:$BT254,,T254+1)*R254-ERP_i)*Q254*Ramure*Pc/MaxiM</f>
        <v>6.2020009043591224E-4</v>
      </c>
      <c r="Q254" s="304">
        <f t="shared" si="80"/>
        <v>0.6</v>
      </c>
      <c r="R254" s="177">
        <f t="shared" si="81"/>
        <v>0.98052048384818891</v>
      </c>
      <c r="S254" s="799">
        <f t="shared" si="82"/>
        <v>0</v>
      </c>
      <c r="T254" s="176">
        <f t="shared" si="83"/>
        <v>6</v>
      </c>
      <c r="U254" s="250">
        <f t="shared" si="84"/>
        <v>0.98052048384818891</v>
      </c>
      <c r="V254" s="382">
        <f t="shared" si="85"/>
        <v>52.00840518148668</v>
      </c>
      <c r="W254" s="400">
        <f t="shared" si="86"/>
        <v>49.573564819867151</v>
      </c>
      <c r="X254" s="157">
        <f t="shared" si="87"/>
        <v>45166</v>
      </c>
      <c r="Y254" s="383">
        <f t="shared" si="88"/>
        <v>48.249662094394736</v>
      </c>
      <c r="Z254" s="383">
        <f t="shared" si="89"/>
        <v>49.83321724208826</v>
      </c>
      <c r="AA254" s="384">
        <f t="shared" si="90"/>
        <v>52.287913912543601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4.6945775548840045E-2</v>
      </c>
      <c r="AD254" s="230">
        <f>(INDEX(Models!$BJ254:$BT254,,AH254)*(1-AF254)+INDEX(Models!$BJ254:$BT254,,AH254+1)*AF254-ERP_i)*AE254*Ramure*Pc/MaxiM</f>
        <v>6.2020009043591224E-4</v>
      </c>
      <c r="AE254" s="304">
        <f t="shared" si="92"/>
        <v>0.6</v>
      </c>
      <c r="AF254" s="177">
        <f t="shared" si="93"/>
        <v>0.98052048384818891</v>
      </c>
      <c r="AG254" s="799">
        <f t="shared" si="99"/>
        <v>0</v>
      </c>
      <c r="AH254" s="176">
        <f t="shared" si="94"/>
        <v>6</v>
      </c>
      <c r="AI254" s="224">
        <f t="shared" si="95"/>
        <v>0.98052048384818891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09">
        <f>'2022'!Wh/'2022'!Env_an*'2023'!Env_an</f>
        <v>33.920938191731175</v>
      </c>
      <c r="C255" s="829"/>
      <c r="D255" s="391">
        <f t="shared" si="77"/>
        <v>35.034895689145614</v>
      </c>
      <c r="E255" s="383">
        <f t="shared" si="100"/>
        <v>35.782408318949784</v>
      </c>
      <c r="F255" s="383">
        <f t="shared" si="78"/>
        <v>35.793982445484573</v>
      </c>
      <c r="G255" s="110">
        <f t="shared" si="101"/>
        <v>0.65473292510243042</v>
      </c>
      <c r="H255" s="412" t="b">
        <f>Wh_hp&gt;='2022'!Maxi_hp</f>
        <v>0</v>
      </c>
      <c r="I255" s="379">
        <f>IF(H255,Wh_hp,'2022'!Maxi_hp)</f>
        <v>54.247939934538053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3.1795656173726261E-2</v>
      </c>
      <c r="M255" s="832"/>
      <c r="N255" s="832"/>
      <c r="O255" s="48">
        <f>IF(t&lt;Tnet,'2022'!Resal+('2022'!Salim-'2022'!Resal)*(1-EXP(('2022'!Tnet-t)/('2022'!Tau_j))),Resal+(Salim-Resal)*(1-EXP((Tnet-t)/(Tau_j))))*Salcycl</f>
        <v>2.0890506394682838E-2</v>
      </c>
      <c r="P255" s="338">
        <f>(INDEX(Models!$BJ255:$BT255,,T255)*(1-R255)+INDEX(Models!$BJ255:$BT255,,T255+1)*R255-ERP_i)*Q255*Ramure*Pc/MaxiM</f>
        <v>6.3770919145234169E-4</v>
      </c>
      <c r="Q255" s="304">
        <f t="shared" si="80"/>
        <v>0.6</v>
      </c>
      <c r="R255" s="177">
        <f t="shared" si="81"/>
        <v>0.98124852355048353</v>
      </c>
      <c r="S255" s="799">
        <f t="shared" si="82"/>
        <v>0</v>
      </c>
      <c r="T255" s="176">
        <f t="shared" si="83"/>
        <v>6</v>
      </c>
      <c r="U255" s="250">
        <f t="shared" si="84"/>
        <v>0.98124852355048353</v>
      </c>
      <c r="V255" s="382">
        <f t="shared" si="85"/>
        <v>51.792525194109956</v>
      </c>
      <c r="W255" s="400">
        <f t="shared" si="86"/>
        <v>33.920938191731175</v>
      </c>
      <c r="X255" s="157">
        <f t="shared" si="87"/>
        <v>45167</v>
      </c>
      <c r="Y255" s="383">
        <f t="shared" si="88"/>
        <v>33.015976182057152</v>
      </c>
      <c r="Z255" s="383">
        <f t="shared" si="89"/>
        <v>34.100214890154689</v>
      </c>
      <c r="AA255" s="384">
        <f t="shared" si="90"/>
        <v>35.782408318949784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4.7011744257141927E-2</v>
      </c>
      <c r="AD255" s="230">
        <f>(INDEX(Models!$BJ255:$BT255,,AH255)*(1-AF255)+INDEX(Models!$BJ255:$BT255,,AH255+1)*AF255-ERP_i)*AE255*Ramure*Pc/MaxiM</f>
        <v>6.3770919145234169E-4</v>
      </c>
      <c r="AE255" s="304">
        <f t="shared" si="92"/>
        <v>0.6</v>
      </c>
      <c r="AF255" s="177">
        <f t="shared" si="93"/>
        <v>0.98124852355048353</v>
      </c>
      <c r="AG255" s="799">
        <f t="shared" si="99"/>
        <v>0</v>
      </c>
      <c r="AH255" s="176">
        <f t="shared" si="94"/>
        <v>6</v>
      </c>
      <c r="AI255" s="224">
        <f t="shared" si="95"/>
        <v>0.98124852355048353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09">
        <f>'2022'!Wh/'2022'!Env_an*'2023'!Env_an</f>
        <v>49.243911606914097</v>
      </c>
      <c r="C256" s="829"/>
      <c r="D256" s="391">
        <f t="shared" si="77"/>
        <v>50.862047549508667</v>
      </c>
      <c r="E256" s="383">
        <f t="shared" si="100"/>
        <v>51.952292051518747</v>
      </c>
      <c r="F256" s="383">
        <f t="shared" si="78"/>
        <v>51.984173921601894</v>
      </c>
      <c r="G256" s="110">
        <f t="shared" si="101"/>
        <v>0.95479309698141546</v>
      </c>
      <c r="H256" s="412" t="b">
        <f>Wh_hp&gt;='2022'!Maxi_hp</f>
        <v>0</v>
      </c>
      <c r="I256" s="379">
        <f>IF(H256,Wh_hp,'2022'!Maxi_hp)</f>
        <v>52.905760781813107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3.1814211589092811E-2</v>
      </c>
      <c r="M256" s="832"/>
      <c r="N256" s="832"/>
      <c r="O256" s="48">
        <f>IF(t&lt;Tnet,'2022'!Resal+('2022'!Salim-'2022'!Resal)*(1-EXP(('2022'!Tnet-t)/('2022'!Tau_j))),Resal+(Salim-Resal)*(1-EXP((Tnet-t)/(Tau_j))))*Salcycl</f>
        <v>2.0985493785893618E-2</v>
      </c>
      <c r="P256" s="338">
        <f>(INDEX(Models!$BJ256:$BT256,,T256)*(1-R256)+INDEX(Models!$BJ256:$BT256,,T256+1)*R256-ERP_i)*Q256*Ramure*Pc/MaxiM</f>
        <v>6.5560126552583657E-4</v>
      </c>
      <c r="Q256" s="304">
        <f t="shared" si="80"/>
        <v>0.6</v>
      </c>
      <c r="R256" s="177">
        <f t="shared" si="81"/>
        <v>0.98194932111165811</v>
      </c>
      <c r="S256" s="799">
        <f t="shared" si="82"/>
        <v>0</v>
      </c>
      <c r="T256" s="176">
        <f t="shared" si="83"/>
        <v>6</v>
      </c>
      <c r="U256" s="250">
        <f t="shared" si="84"/>
        <v>0.98194932111165811</v>
      </c>
      <c r="V256" s="382">
        <f t="shared" si="85"/>
        <v>51.573296227143913</v>
      </c>
      <c r="W256" s="400">
        <f t="shared" si="86"/>
        <v>49.243911606914097</v>
      </c>
      <c r="X256" s="157">
        <f t="shared" si="87"/>
        <v>45168</v>
      </c>
      <c r="Y256" s="383">
        <f t="shared" si="88"/>
        <v>47.931501306859893</v>
      </c>
      <c r="Z256" s="383">
        <f t="shared" si="89"/>
        <v>49.506511953176194</v>
      </c>
      <c r="AA256" s="384">
        <f t="shared" si="90"/>
        <v>51.952292051518747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4.7077424339953738E-2</v>
      </c>
      <c r="AD256" s="230">
        <f>(INDEX(Models!$BJ256:$BT256,,AH256)*(1-AF256)+INDEX(Models!$BJ256:$BT256,,AH256+1)*AF256-ERP_i)*AE256*Ramure*Pc/MaxiM</f>
        <v>6.5560126552583657E-4</v>
      </c>
      <c r="AE256" s="304">
        <f t="shared" si="92"/>
        <v>0.6</v>
      </c>
      <c r="AF256" s="177">
        <f t="shared" si="93"/>
        <v>0.98194932111165811</v>
      </c>
      <c r="AG256" s="799">
        <f t="shared" si="99"/>
        <v>0</v>
      </c>
      <c r="AH256" s="176">
        <f t="shared" si="94"/>
        <v>6</v>
      </c>
      <c r="AI256" s="224">
        <f t="shared" si="95"/>
        <v>0.98194932111165811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09">
        <f>'2022'!Wh/'2022'!Env_an*'2023'!Env_an</f>
        <v>25.435263299347135</v>
      </c>
      <c r="C257" s="829"/>
      <c r="D257" s="391">
        <f t="shared" si="77"/>
        <v>26.271559729724764</v>
      </c>
      <c r="E257" s="383">
        <f t="shared" si="100"/>
        <v>26.837297155863695</v>
      </c>
      <c r="F257" s="383">
        <f t="shared" si="78"/>
        <v>26.84234449036844</v>
      </c>
      <c r="G257" s="110">
        <f t="shared" si="101"/>
        <v>0.49508368149598864</v>
      </c>
      <c r="H257" s="412" t="b">
        <f>Wh_hp&gt;='2022'!Maxi_hp</f>
        <v>0</v>
      </c>
      <c r="I257" s="379">
        <f>IF(H257,Wh_hp,'2022'!Maxi_hp)</f>
        <v>52.429420207764473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3.1832766648849042E-2</v>
      </c>
      <c r="M257" s="832"/>
      <c r="N257" s="832"/>
      <c r="O257" s="48">
        <f>IF(t&lt;Tnet,'2022'!Resal+('2022'!Salim-'2022'!Resal)*(1-EXP(('2022'!Tnet-t)/('2022'!Tau_j))),Resal+(Salim-Resal)*(1-EXP((Tnet-t)/(Tau_j))))*Salcycl</f>
        <v>2.1080268361350966E-2</v>
      </c>
      <c r="P257" s="338">
        <f>(INDEX(Models!$BJ257:$BT257,,T257)*(1-R257)+INDEX(Models!$BJ257:$BT257,,T257+1)*R257-ERP_i)*Q257*Ramure*Pc/MaxiM</f>
        <v>6.7388103358902434E-4</v>
      </c>
      <c r="Q257" s="304">
        <f t="shared" si="80"/>
        <v>0.6</v>
      </c>
      <c r="R257" s="177">
        <f t="shared" si="81"/>
        <v>0.98262381830135836</v>
      </c>
      <c r="S257" s="799">
        <f t="shared" si="82"/>
        <v>0</v>
      </c>
      <c r="T257" s="176">
        <f t="shared" si="83"/>
        <v>6</v>
      </c>
      <c r="U257" s="250">
        <f t="shared" si="84"/>
        <v>0.98262381830135836</v>
      </c>
      <c r="V257" s="382">
        <f t="shared" si="85"/>
        <v>51.350719759314885</v>
      </c>
      <c r="W257" s="400">
        <f t="shared" si="86"/>
        <v>25.435263299347135</v>
      </c>
      <c r="X257" s="157">
        <f t="shared" si="87"/>
        <v>45169</v>
      </c>
      <c r="Y257" s="383">
        <f t="shared" si="88"/>
        <v>24.758080571274395</v>
      </c>
      <c r="Z257" s="383">
        <f t="shared" si="89"/>
        <v>25.572111633625926</v>
      </c>
      <c r="AA257" s="384">
        <f t="shared" si="90"/>
        <v>26.837297155863695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4.7142807075165528E-2</v>
      </c>
      <c r="AD257" s="230">
        <f>(INDEX(Models!$BJ257:$BT257,,AH257)*(1-AF257)+INDEX(Models!$BJ257:$BT257,,AH257+1)*AF257-ERP_i)*AE257*Ramure*Pc/MaxiM</f>
        <v>6.7388103358902434E-4</v>
      </c>
      <c r="AE257" s="304">
        <f t="shared" si="92"/>
        <v>0.6</v>
      </c>
      <c r="AF257" s="177">
        <f t="shared" si="93"/>
        <v>0.98262381830135836</v>
      </c>
      <c r="AG257" s="799">
        <f t="shared" si="99"/>
        <v>0</v>
      </c>
      <c r="AH257" s="176">
        <f t="shared" si="94"/>
        <v>6</v>
      </c>
      <c r="AI257" s="224">
        <f t="shared" si="95"/>
        <v>0.98262381830135836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09">
        <f>'2022'!Wh/'2022'!Env_an*'2023'!Env_an</f>
        <v>41.634525936282166</v>
      </c>
      <c r="C258" s="829"/>
      <c r="D258" s="391">
        <f t="shared" si="77"/>
        <v>43.004268718795359</v>
      </c>
      <c r="E258" s="383">
        <f t="shared" si="100"/>
        <v>43.934575681958826</v>
      </c>
      <c r="F258" s="383">
        <f t="shared" si="78"/>
        <v>43.956945304713614</v>
      </c>
      <c r="G258" s="110">
        <f t="shared" si="101"/>
        <v>0.81422084544828455</v>
      </c>
      <c r="H258" s="412" t="b">
        <f>Wh_hp&gt;='2022'!Maxi_hp</f>
        <v>0</v>
      </c>
      <c r="I258" s="379">
        <f>IF(H258,Wh_hp,'2022'!Maxi_hp)</f>
        <v>47.872949450269061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3.1851321353001727E-2</v>
      </c>
      <c r="M258" s="832"/>
      <c r="N258" s="832"/>
      <c r="O258" s="48">
        <f>IF(t&lt;Tnet,'2022'!Resal+('2022'!Salim-'2022'!Resal)*(1-EXP(('2022'!Tnet-t)/('2022'!Tau_j))),Resal+(Salim-Resal)*(1-EXP((Tnet-t)/(Tau_j))))*Salcycl</f>
        <v>2.1174825265138267E-2</v>
      </c>
      <c r="P258" s="338">
        <f>(INDEX(Models!$BJ258:$BT258,,T258)*(1-R258)+INDEX(Models!$BJ258:$BT258,,T258+1)*R258-ERP_i)*Q258*Ramure*Pc/MaxiM</f>
        <v>6.9255322441215872E-4</v>
      </c>
      <c r="Q258" s="304">
        <f t="shared" si="80"/>
        <v>0.6</v>
      </c>
      <c r="R258" s="177">
        <f t="shared" si="81"/>
        <v>0.98327293028397977</v>
      </c>
      <c r="S258" s="799">
        <f t="shared" si="82"/>
        <v>0</v>
      </c>
      <c r="T258" s="176">
        <f t="shared" si="83"/>
        <v>6</v>
      </c>
      <c r="U258" s="250">
        <f t="shared" si="84"/>
        <v>0.98327293028397977</v>
      </c>
      <c r="V258" s="382">
        <f t="shared" si="85"/>
        <v>51.124797280314013</v>
      </c>
      <c r="W258" s="400">
        <f t="shared" si="86"/>
        <v>41.634525936282166</v>
      </c>
      <c r="X258" s="157">
        <f t="shared" si="87"/>
        <v>45170</v>
      </c>
      <c r="Y258" s="383">
        <f t="shared" si="88"/>
        <v>40.527204565388672</v>
      </c>
      <c r="Z258" s="383">
        <f t="shared" si="89"/>
        <v>41.860517355687584</v>
      </c>
      <c r="AA258" s="384">
        <f t="shared" si="90"/>
        <v>43.934575681958826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4.7207883405664147E-2</v>
      </c>
      <c r="AD258" s="230">
        <f>(INDEX(Models!$BJ258:$BT258,,AH258)*(1-AF258)+INDEX(Models!$BJ258:$BT258,,AH258+1)*AF258-ERP_i)*AE258*Ramure*Pc/MaxiM</f>
        <v>6.9255322441215872E-4</v>
      </c>
      <c r="AE258" s="304">
        <f t="shared" si="92"/>
        <v>0.6</v>
      </c>
      <c r="AF258" s="177">
        <f t="shared" si="93"/>
        <v>0.98327293028397977</v>
      </c>
      <c r="AG258" s="799">
        <f t="shared" si="99"/>
        <v>0</v>
      </c>
      <c r="AH258" s="176">
        <f t="shared" si="94"/>
        <v>6</v>
      </c>
      <c r="AI258" s="224">
        <f t="shared" si="95"/>
        <v>0.98327293028397977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09">
        <f>'2022'!Wh/'2022'!Env_an*'2023'!Env_an</f>
        <v>40.069107668241962</v>
      </c>
      <c r="C259" s="829"/>
      <c r="D259" s="391">
        <f t="shared" si="77"/>
        <v>41.388142629357951</v>
      </c>
      <c r="E259" s="383">
        <f t="shared" si="100"/>
        <v>42.287563560932043</v>
      </c>
      <c r="F259" s="383">
        <f t="shared" si="78"/>
        <v>42.308522023323761</v>
      </c>
      <c r="G259" s="110">
        <f t="shared" si="101"/>
        <v>0.78711113097063201</v>
      </c>
      <c r="H259" s="412" t="b">
        <f>Wh_hp&gt;='2022'!Maxi_hp</f>
        <v>0</v>
      </c>
      <c r="I259" s="379">
        <f>IF(H259,Wh_hp,'2022'!Maxi_hp)</f>
        <v>52.448101483562709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3.1869875701557859E-2</v>
      </c>
      <c r="M259" s="832"/>
      <c r="N259" s="832"/>
      <c r="O259" s="48">
        <f>IF(t&lt;Tnet,'2022'!Resal+('2022'!Salim-'2022'!Resal)*(1-EXP(('2022'!Tnet-t)/('2022'!Tau_j))),Resal+(Salim-Resal)*(1-EXP((Tnet-t)/(Tau_j))))*Salcycl</f>
        <v>2.1269159436866532E-2</v>
      </c>
      <c r="P259" s="338">
        <f>(INDEX(Models!$BJ259:$BT259,,T259)*(1-R259)+INDEX(Models!$BJ259:$BT259,,T259+1)*R259-ERP_i)*Q259*Ramure*Pc/MaxiM</f>
        <v>7.1162256528998276E-4</v>
      </c>
      <c r="Q259" s="304">
        <f t="shared" si="80"/>
        <v>0.6</v>
      </c>
      <c r="R259" s="177">
        <f t="shared" si="81"/>
        <v>0.98389754589818645</v>
      </c>
      <c r="S259" s="799">
        <f t="shared" si="82"/>
        <v>0</v>
      </c>
      <c r="T259" s="176">
        <f t="shared" si="83"/>
        <v>6</v>
      </c>
      <c r="U259" s="250">
        <f t="shared" si="84"/>
        <v>0.98389754589818645</v>
      </c>
      <c r="V259" s="382">
        <f t="shared" si="85"/>
        <v>50.895530294550362</v>
      </c>
      <c r="W259" s="400">
        <f t="shared" si="86"/>
        <v>40.069107668241962</v>
      </c>
      <c r="X259" s="157">
        <f t="shared" si="87"/>
        <v>45171</v>
      </c>
      <c r="Y259" s="383">
        <f t="shared" si="88"/>
        <v>39.004528545775273</v>
      </c>
      <c r="Z259" s="383">
        <f t="shared" si="89"/>
        <v>40.288518626605075</v>
      </c>
      <c r="AA259" s="384">
        <f t="shared" si="90"/>
        <v>42.287563560932043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4.7272643916846803E-2</v>
      </c>
      <c r="AD259" s="230">
        <f>(INDEX(Models!$BJ259:$BT259,,AH259)*(1-AF259)+INDEX(Models!$BJ259:$BT259,,AH259+1)*AF259-ERP_i)*AE259*Ramure*Pc/MaxiM</f>
        <v>7.1162256528998276E-4</v>
      </c>
      <c r="AE259" s="304">
        <f t="shared" si="92"/>
        <v>0.6</v>
      </c>
      <c r="AF259" s="177">
        <f t="shared" si="93"/>
        <v>0.98389754589818645</v>
      </c>
      <c r="AG259" s="799">
        <f t="shared" si="99"/>
        <v>0</v>
      </c>
      <c r="AH259" s="176">
        <f t="shared" si="94"/>
        <v>6</v>
      </c>
      <c r="AI259" s="224">
        <f t="shared" si="95"/>
        <v>0.98389754589818645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09">
        <f>'2022'!Wh/'2022'!Env_an*'2023'!Env_an</f>
        <v>39.119527215646329</v>
      </c>
      <c r="C260" s="829"/>
      <c r="D260" s="391">
        <f t="shared" si="77"/>
        <v>40.408077349290053</v>
      </c>
      <c r="E260" s="383">
        <f t="shared" si="100"/>
        <v>41.290170222372147</v>
      </c>
      <c r="F260" s="383">
        <f t="shared" si="78"/>
        <v>41.31054152071011</v>
      </c>
      <c r="G260" s="110">
        <f t="shared" si="101"/>
        <v>0.77196918744049114</v>
      </c>
      <c r="H260" s="412" t="b">
        <f>Wh_hp&gt;='2022'!Maxi_hp</f>
        <v>0</v>
      </c>
      <c r="I260" s="379">
        <f>IF(H260,Wh_hp,'2022'!Maxi_hp)</f>
        <v>55.043508007448153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3.188842969452399E-2</v>
      </c>
      <c r="M260" s="832"/>
      <c r="N260" s="832"/>
      <c r="O260" s="48">
        <f>IF(t&lt;Tnet,'2022'!Resal+('2022'!Salim-'2022'!Resal)*(1-EXP(('2022'!Tnet-t)/('2022'!Tau_j))),Resal+(Salim-Resal)*(1-EXP((Tnet-t)/(Tau_j))))*Salcycl</f>
        <v>2.1363265598845875E-2</v>
      </c>
      <c r="P260" s="338">
        <f>(INDEX(Models!$BJ260:$BT260,,T260)*(1-R260)+INDEX(Models!$BJ260:$BT260,,T260+1)*R260-ERP_i)*Q260*Ramure*Pc/MaxiM</f>
        <v>7.3109377150637098E-4</v>
      </c>
      <c r="Q260" s="304">
        <f t="shared" si="80"/>
        <v>0.6</v>
      </c>
      <c r="R260" s="177">
        <f t="shared" si="81"/>
        <v>0.98449852797681192</v>
      </c>
      <c r="S260" s="799">
        <f t="shared" si="82"/>
        <v>0</v>
      </c>
      <c r="T260" s="176">
        <f t="shared" si="83"/>
        <v>6</v>
      </c>
      <c r="U260" s="250">
        <f t="shared" si="84"/>
        <v>0.98449852797681192</v>
      </c>
      <c r="V260" s="382">
        <f t="shared" si="85"/>
        <v>50.662920319626096</v>
      </c>
      <c r="W260" s="400">
        <f t="shared" si="86"/>
        <v>39.119527215646329</v>
      </c>
      <c r="X260" s="157">
        <f t="shared" si="87"/>
        <v>45172</v>
      </c>
      <c r="Y260" s="383">
        <f t="shared" si="88"/>
        <v>38.081263213085222</v>
      </c>
      <c r="Z260" s="383">
        <f t="shared" si="89"/>
        <v>39.335614180366768</v>
      </c>
      <c r="AA260" s="384">
        <f t="shared" si="90"/>
        <v>41.290170222372147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4.7337078812679449E-2</v>
      </c>
      <c r="AD260" s="230">
        <f>(INDEX(Models!$BJ260:$BT260,,AH260)*(1-AF260)+INDEX(Models!$BJ260:$BT260,,AH260+1)*AF260-ERP_i)*AE260*Ramure*Pc/MaxiM</f>
        <v>7.3109377150637098E-4</v>
      </c>
      <c r="AE260" s="304">
        <f t="shared" si="92"/>
        <v>0.6</v>
      </c>
      <c r="AF260" s="177">
        <f t="shared" si="93"/>
        <v>0.98449852797681192</v>
      </c>
      <c r="AG260" s="799">
        <f t="shared" si="99"/>
        <v>0</v>
      </c>
      <c r="AH260" s="176">
        <f t="shared" si="94"/>
        <v>6</v>
      </c>
      <c r="AI260" s="224">
        <f t="shared" si="95"/>
        <v>0.98449852797681192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09">
        <f>'2022'!Wh/'2022'!Env_an*'2023'!Env_an</f>
        <v>47.278880443481292</v>
      </c>
      <c r="C261" s="829"/>
      <c r="D261" s="391">
        <f t="shared" si="77"/>
        <v>48.837125802437932</v>
      </c>
      <c r="E261" s="383">
        <f t="shared" si="100"/>
        <v>49.908008847702888</v>
      </c>
      <c r="F261" s="383">
        <f t="shared" si="78"/>
        <v>49.942169143156939</v>
      </c>
      <c r="G261" s="110">
        <f t="shared" si="101"/>
        <v>0.93750849664555147</v>
      </c>
      <c r="H261" s="412" t="b">
        <f>Wh_hp&gt;='2022'!Maxi_hp</f>
        <v>0</v>
      </c>
      <c r="I261" s="379">
        <f>IF(H261,Wh_hp,'2022'!Maxi_hp)</f>
        <v>53.392231312994895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3.1906983331907224E-2</v>
      </c>
      <c r="M261" s="832"/>
      <c r="N261" s="832"/>
      <c r="O261" s="48">
        <f>IF(t&lt;Tnet,'2022'!Resal+('2022'!Salim-'2022'!Resal)*(1-EXP(('2022'!Tnet-t)/('2022'!Tau_j))),Resal+(Salim-Resal)*(1-EXP((Tnet-t)/(Tau_j))))*Salcycl</f>
        <v>2.1457138242738066E-2</v>
      </c>
      <c r="P261" s="338">
        <f>(INDEX(Models!$BJ261:$BT261,,T261)*(1-R261)+INDEX(Models!$BJ261:$BT261,,T261+1)*R261-ERP_i)*Q261*Ramure*Pc/MaxiM</f>
        <v>7.5097153441066374E-4</v>
      </c>
      <c r="Q261" s="304">
        <f t="shared" si="80"/>
        <v>0.6</v>
      </c>
      <c r="R261" s="177">
        <f t="shared" si="81"/>
        <v>0.98507671370257621</v>
      </c>
      <c r="S261" s="799">
        <f t="shared" si="82"/>
        <v>0</v>
      </c>
      <c r="T261" s="176">
        <f t="shared" si="83"/>
        <v>6</v>
      </c>
      <c r="U261" s="250">
        <f t="shared" si="84"/>
        <v>0.98507671370257621</v>
      </c>
      <c r="V261" s="382">
        <f t="shared" si="85"/>
        <v>50.42696889232235</v>
      </c>
      <c r="W261" s="400">
        <f t="shared" si="86"/>
        <v>47.278880443481292</v>
      </c>
      <c r="X261" s="157">
        <f t="shared" si="87"/>
        <v>45173</v>
      </c>
      <c r="Y261" s="383">
        <f t="shared" si="88"/>
        <v>46.025378735290481</v>
      </c>
      <c r="Z261" s="383">
        <f t="shared" si="89"/>
        <v>47.542310442127814</v>
      </c>
      <c r="AA261" s="384">
        <f t="shared" si="90"/>
        <v>49.908008847702888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4.7401177890990215E-2</v>
      </c>
      <c r="AD261" s="230">
        <f>(INDEX(Models!$BJ261:$BT261,,AH261)*(1-AF261)+INDEX(Models!$BJ261:$BT261,,AH261+1)*AF261-ERP_i)*AE261*Ramure*Pc/MaxiM</f>
        <v>7.5097153441066374E-4</v>
      </c>
      <c r="AE261" s="304">
        <f t="shared" si="92"/>
        <v>0.6</v>
      </c>
      <c r="AF261" s="177">
        <f t="shared" si="93"/>
        <v>0.98507671370257621</v>
      </c>
      <c r="AG261" s="799">
        <f t="shared" si="99"/>
        <v>0</v>
      </c>
      <c r="AH261" s="176">
        <f t="shared" si="94"/>
        <v>6</v>
      </c>
      <c r="AI261" s="224">
        <f t="shared" si="95"/>
        <v>0.98507671370257621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09">
        <f>'2022'!Wh/'2022'!Env_an*'2023'!Env_an</f>
        <v>41.32463203802471</v>
      </c>
      <c r="C262" s="829"/>
      <c r="D262" s="391">
        <f t="shared" si="77"/>
        <v>42.687451844843416</v>
      </c>
      <c r="E262" s="383">
        <f t="shared" si="100"/>
        <v>43.627661616481021</v>
      </c>
      <c r="F262" s="383">
        <f t="shared" si="78"/>
        <v>43.652849033267813</v>
      </c>
      <c r="G262" s="110">
        <f t="shared" si="101"/>
        <v>0.82324190723766777</v>
      </c>
      <c r="H262" s="412" t="b">
        <f>Wh_hp&gt;='2022'!Maxi_hp</f>
        <v>0</v>
      </c>
      <c r="I262" s="379">
        <f>IF(H262,Wh_hp,'2022'!Maxi_hp)</f>
        <v>53.427461866974461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3.1925536613714112E-2</v>
      </c>
      <c r="M262" s="832"/>
      <c r="N262" s="832"/>
      <c r="O262" s="48">
        <f>IF(t&lt;Tnet,'2022'!Resal+('2022'!Salim-'2022'!Resal)*(1-EXP(('2022'!Tnet-t)/('2022'!Tau_j))),Resal+(Salim-Resal)*(1-EXP((Tnet-t)/(Tau_j))))*Salcycl</f>
        <v>2.1550771616015842E-2</v>
      </c>
      <c r="P262" s="338">
        <f>(INDEX(Models!$BJ262:$BT262,,T262)*(1-R262)+INDEX(Models!$BJ262:$BT262,,T262+1)*R262-ERP_i)*Q262*Ramure*Pc/MaxiM</f>
        <v>7.7167325572821135E-4</v>
      </c>
      <c r="Q262" s="304">
        <f t="shared" si="80"/>
        <v>0.6</v>
      </c>
      <c r="R262" s="177">
        <f t="shared" si="81"/>
        <v>0.985632914995348</v>
      </c>
      <c r="S262" s="799">
        <f t="shared" si="82"/>
        <v>0</v>
      </c>
      <c r="T262" s="176">
        <f t="shared" si="83"/>
        <v>6</v>
      </c>
      <c r="U262" s="250">
        <f t="shared" si="84"/>
        <v>0.985632914995348</v>
      </c>
      <c r="V262" s="382">
        <f t="shared" si="85"/>
        <v>50.187656832294721</v>
      </c>
      <c r="W262" s="400">
        <f t="shared" si="86"/>
        <v>41.32463203802471</v>
      </c>
      <c r="X262" s="157">
        <f t="shared" si="87"/>
        <v>45174</v>
      </c>
      <c r="Y262" s="383">
        <f t="shared" si="88"/>
        <v>40.23015206894334</v>
      </c>
      <c r="Z262" s="383">
        <f t="shared" si="89"/>
        <v>41.556877689160267</v>
      </c>
      <c r="AA262" s="384">
        <f t="shared" si="90"/>
        <v>43.627661616481021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4.7464930518725773E-2</v>
      </c>
      <c r="AD262" s="230">
        <f>(INDEX(Models!$BJ262:$BT262,,AH262)*(1-AF262)+INDEX(Models!$BJ262:$BT262,,AH262+1)*AF262-ERP_i)*AE262*Ramure*Pc/MaxiM</f>
        <v>7.7167325572821135E-4</v>
      </c>
      <c r="AE262" s="304">
        <f t="shared" si="92"/>
        <v>0.6</v>
      </c>
      <c r="AF262" s="177">
        <f t="shared" si="93"/>
        <v>0.985632914995348</v>
      </c>
      <c r="AG262" s="799">
        <f t="shared" si="99"/>
        <v>0</v>
      </c>
      <c r="AH262" s="176">
        <f t="shared" si="94"/>
        <v>6</v>
      </c>
      <c r="AI262" s="224">
        <f t="shared" si="95"/>
        <v>0.985632914995348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09">
        <f>'2022'!Wh/'2022'!Env_an*'2023'!Env_an</f>
        <v>46.763782582637546</v>
      </c>
      <c r="C263" s="829"/>
      <c r="D263" s="391">
        <f t="shared" si="77"/>
        <v>48.306902604844417</v>
      </c>
      <c r="E263" s="383">
        <f t="shared" si="100"/>
        <v>49.375595887949245</v>
      </c>
      <c r="F263" s="383">
        <f t="shared" si="78"/>
        <v>49.411218720805664</v>
      </c>
      <c r="G263" s="110">
        <f t="shared" si="101"/>
        <v>0.93623814636182223</v>
      </c>
      <c r="H263" s="412" t="b">
        <f>Wh_hp&gt;='2022'!Maxi_hp</f>
        <v>0</v>
      </c>
      <c r="I263" s="379">
        <f>IF(H263,Wh_hp,'2022'!Maxi_hp)</f>
        <v>54.427802265876565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3.1944089539951648E-2</v>
      </c>
      <c r="M263" s="832"/>
      <c r="N263" s="832"/>
      <c r="O263" s="48">
        <f>IF(t&lt;Tnet,'2022'!Resal+('2022'!Salim-'2022'!Resal)*(1-EXP(('2022'!Tnet-t)/('2022'!Tau_j))),Resal+(Salim-Resal)*(1-EXP((Tnet-t)/(Tau_j))))*Salcycl</f>
        <v>2.1644159708574893E-2</v>
      </c>
      <c r="P263" s="338">
        <f>(INDEX(Models!$BJ263:$BT263,,T263)*(1-R263)+INDEX(Models!$BJ263:$BT263,,T263+1)*R263-ERP_i)*Q263*Ramure*Pc/MaxiM</f>
        <v>7.9311300120420191E-4</v>
      </c>
      <c r="Q263" s="304">
        <f t="shared" si="80"/>
        <v>0.6</v>
      </c>
      <c r="R263" s="177">
        <f t="shared" si="81"/>
        <v>0.98616791892697964</v>
      </c>
      <c r="S263" s="799">
        <f t="shared" si="82"/>
        <v>0</v>
      </c>
      <c r="T263" s="176">
        <f t="shared" si="83"/>
        <v>6</v>
      </c>
      <c r="U263" s="250">
        <f t="shared" si="84"/>
        <v>0.98616791892697964</v>
      </c>
      <c r="V263" s="382">
        <f t="shared" si="85"/>
        <v>49.9449905339754</v>
      </c>
      <c r="W263" s="400">
        <f t="shared" si="86"/>
        <v>46.763782582637546</v>
      </c>
      <c r="X263" s="157">
        <f t="shared" si="87"/>
        <v>45175</v>
      </c>
      <c r="Y263" s="383">
        <f t="shared" si="88"/>
        <v>45.526562486839254</v>
      </c>
      <c r="Z263" s="383">
        <f t="shared" si="89"/>
        <v>47.028856489501422</v>
      </c>
      <c r="AA263" s="384">
        <f t="shared" si="90"/>
        <v>49.375595887949245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4.7528325607925991E-2</v>
      </c>
      <c r="AD263" s="230">
        <f>(INDEX(Models!$BJ263:$BT263,,AH263)*(1-AF263)+INDEX(Models!$BJ263:$BT263,,AH263+1)*AF263-ERP_i)*AE263*Ramure*Pc/MaxiM</f>
        <v>7.9311300120420191E-4</v>
      </c>
      <c r="AE263" s="304">
        <f t="shared" si="92"/>
        <v>0.6</v>
      </c>
      <c r="AF263" s="177">
        <f t="shared" si="93"/>
        <v>0.98616791892697964</v>
      </c>
      <c r="AG263" s="799">
        <f t="shared" si="99"/>
        <v>0</v>
      </c>
      <c r="AH263" s="176">
        <f t="shared" si="94"/>
        <v>6</v>
      </c>
      <c r="AI263" s="224">
        <f t="shared" si="95"/>
        <v>0.98616791892697964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09">
        <f>'2022'!Wh/'2022'!Env_an*'2023'!Env_an</f>
        <v>37.226202936355136</v>
      </c>
      <c r="C264" s="829"/>
      <c r="D264" s="391">
        <f t="shared" si="77"/>
        <v>38.455337113765935</v>
      </c>
      <c r="E264" s="383">
        <f t="shared" si="100"/>
        <v>39.309826456590393</v>
      </c>
      <c r="F264" s="383">
        <f t="shared" si="78"/>
        <v>39.330396065990577</v>
      </c>
      <c r="G264" s="110">
        <f t="shared" si="101"/>
        <v>0.74881460630298291</v>
      </c>
      <c r="H264" s="412" t="b">
        <f>Wh_hp&gt;='2022'!Maxi_hp</f>
        <v>0</v>
      </c>
      <c r="I264" s="379">
        <f>IF(H264,Wh_hp,'2022'!Maxi_hp)</f>
        <v>49.351657913110358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3.1962642110626605E-2</v>
      </c>
      <c r="M264" s="832"/>
      <c r="N264" s="832"/>
      <c r="O264" s="48">
        <f>IF(t&lt;Tnet,'2022'!Resal+('2022'!Salim-'2022'!Resal)*(1-EXP(('2022'!Tnet-t)/('2022'!Tau_j))),Resal+(Salim-Resal)*(1-EXP((Tnet-t)/(Tau_j))))*Salcycl</f>
        <v>2.1737296239861738E-2</v>
      </c>
      <c r="P264" s="338">
        <f>(INDEX(Models!$BJ264:$BT264,,T264)*(1-R264)+INDEX(Models!$BJ264:$BT264,,T264+1)*R264-ERP_i)*Q264*Ramure*Pc/MaxiM</f>
        <v>8.1529890998183197E-4</v>
      </c>
      <c r="Q264" s="304">
        <f t="shared" si="80"/>
        <v>0.6</v>
      </c>
      <c r="R264" s="177">
        <f t="shared" si="81"/>
        <v>0.98668248816001736</v>
      </c>
      <c r="S264" s="799">
        <f t="shared" si="82"/>
        <v>0</v>
      </c>
      <c r="T264" s="176">
        <f t="shared" si="83"/>
        <v>6</v>
      </c>
      <c r="U264" s="250">
        <f t="shared" si="84"/>
        <v>0.98668248816001736</v>
      </c>
      <c r="V264" s="382">
        <f t="shared" si="85"/>
        <v>49.698971645303168</v>
      </c>
      <c r="W264" s="400">
        <f t="shared" si="86"/>
        <v>37.226202936355136</v>
      </c>
      <c r="X264" s="157">
        <f t="shared" si="87"/>
        <v>45176</v>
      </c>
      <c r="Y264" s="383">
        <f t="shared" si="88"/>
        <v>36.242368729437651</v>
      </c>
      <c r="Z264" s="383">
        <f t="shared" si="89"/>
        <v>37.439018684627463</v>
      </c>
      <c r="AA264" s="384">
        <f t="shared" si="90"/>
        <v>39.309826456590393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4.7591351593191368E-2</v>
      </c>
      <c r="AD264" s="230">
        <f>(INDEX(Models!$BJ264:$BT264,,AH264)*(1-AF264)+INDEX(Models!$BJ264:$BT264,,AH264+1)*AF264-ERP_i)*AE264*Ramure*Pc/MaxiM</f>
        <v>8.1529890998183197E-4</v>
      </c>
      <c r="AE264" s="304">
        <f t="shared" si="92"/>
        <v>0.6</v>
      </c>
      <c r="AF264" s="177">
        <f t="shared" si="93"/>
        <v>0.98668248816001736</v>
      </c>
      <c r="AG264" s="799">
        <f t="shared" si="99"/>
        <v>0</v>
      </c>
      <c r="AH264" s="176">
        <f t="shared" si="94"/>
        <v>6</v>
      </c>
      <c r="AI264" s="224">
        <f t="shared" si="95"/>
        <v>0.98668248816001736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09">
        <f>'2022'!Wh/'2022'!Env_an*'2023'!Env_an</f>
        <v>36.178533748739227</v>
      </c>
      <c r="C265" s="829"/>
      <c r="D265" s="391">
        <f t="shared" si="77"/>
        <v>37.373792261752385</v>
      </c>
      <c r="E265" s="383">
        <f t="shared" si="100"/>
        <v>38.207876887084417</v>
      </c>
      <c r="F265" s="383">
        <f t="shared" si="78"/>
        <v>38.227635355264837</v>
      </c>
      <c r="G265" s="110">
        <f t="shared" si="101"/>
        <v>0.7313891212170448</v>
      </c>
      <c r="H265" s="412" t="b">
        <f>Wh_hp&gt;='2022'!Maxi_hp</f>
        <v>0</v>
      </c>
      <c r="I265" s="379">
        <f>IF(H265,Wh_hp,'2022'!Maxi_hp)</f>
        <v>48.219770599083176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3.1981194325745754E-2</v>
      </c>
      <c r="M265" s="832"/>
      <c r="N265" s="832"/>
      <c r="O265" s="48">
        <f>IF(t&lt;Tnet,'2022'!Resal+('2022'!Salim-'2022'!Resal)*(1-EXP(('2022'!Tnet-t)/('2022'!Tau_j))),Resal+(Salim-Resal)*(1-EXP((Tnet-t)/(Tau_j))))*Salcycl</f>
        <v>2.183017464689271E-2</v>
      </c>
      <c r="P265" s="338">
        <f>(INDEX(Models!$BJ265:$BT265,,T265)*(1-R265)+INDEX(Models!$BJ265:$BT265,,T265+1)*R265-ERP_i)*Q265*Ramure*Pc/MaxiM</f>
        <v>8.3823911133053611E-4</v>
      </c>
      <c r="Q265" s="304">
        <f t="shared" si="80"/>
        <v>0.6</v>
      </c>
      <c r="R265" s="177">
        <f t="shared" si="81"/>
        <v>0.98717736140686307</v>
      </c>
      <c r="S265" s="799">
        <f t="shared" si="82"/>
        <v>0</v>
      </c>
      <c r="T265" s="176">
        <f t="shared" si="83"/>
        <v>6</v>
      </c>
      <c r="U265" s="250">
        <f t="shared" si="84"/>
        <v>0.98717736140686307</v>
      </c>
      <c r="V265" s="382">
        <f t="shared" si="85"/>
        <v>49.449601843090946</v>
      </c>
      <c r="W265" s="400">
        <f t="shared" si="86"/>
        <v>36.178533748739227</v>
      </c>
      <c r="X265" s="157">
        <f t="shared" si="87"/>
        <v>45177</v>
      </c>
      <c r="Y265" s="383">
        <f t="shared" si="88"/>
        <v>35.223415339834752</v>
      </c>
      <c r="Z265" s="383">
        <f t="shared" si="89"/>
        <v>36.387118859019047</v>
      </c>
      <c r="AA265" s="384">
        <f t="shared" si="90"/>
        <v>38.207876887084417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4.7653996411427098E-2</v>
      </c>
      <c r="AD265" s="230">
        <f>(INDEX(Models!$BJ265:$BT265,,AH265)*(1-AF265)+INDEX(Models!$BJ265:$BT265,,AH265+1)*AF265-ERP_i)*AE265*Ramure*Pc/MaxiM</f>
        <v>8.3823911133053611E-4</v>
      </c>
      <c r="AE265" s="304">
        <f t="shared" si="92"/>
        <v>0.6</v>
      </c>
      <c r="AF265" s="177">
        <f t="shared" si="93"/>
        <v>0.98717736140686307</v>
      </c>
      <c r="AG265" s="799">
        <f t="shared" si="99"/>
        <v>0</v>
      </c>
      <c r="AH265" s="176">
        <f t="shared" si="94"/>
        <v>6</v>
      </c>
      <c r="AI265" s="224">
        <f t="shared" si="95"/>
        <v>0.98717736140686307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09">
        <f>'2022'!Wh/'2022'!Env_an*'2023'!Env_an</f>
        <v>24.230011998407534</v>
      </c>
      <c r="C266" s="829"/>
      <c r="D266" s="391">
        <f t="shared" si="77"/>
        <v>25.030997567327265</v>
      </c>
      <c r="E266" s="383">
        <f t="shared" si="100"/>
        <v>25.592046580888436</v>
      </c>
      <c r="F266" s="383">
        <f t="shared" si="78"/>
        <v>25.598114554162983</v>
      </c>
      <c r="G266" s="110">
        <f t="shared" si="101"/>
        <v>0.49220328251310469</v>
      </c>
      <c r="H266" s="412" t="b">
        <f>Wh_hp&gt;='2022'!Maxi_hp</f>
        <v>0</v>
      </c>
      <c r="I266" s="379">
        <f>IF(H266,Wh_hp,'2022'!Maxi_hp)</f>
        <v>50.375328728188094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3.1999746185315869E-2</v>
      </c>
      <c r="M266" s="832"/>
      <c r="N266" s="832"/>
      <c r="O266" s="48">
        <f>IF(t&lt;Tnet,'2022'!Resal+('2022'!Salim-'2022'!Resal)*(1-EXP(('2022'!Tnet-t)/('2022'!Tau_j))),Resal+(Salim-Resal)*(1-EXP((Tnet-t)/(Tau_j))))*Salcycl</f>
        <v>2.1922788073547379E-2</v>
      </c>
      <c r="P266" s="338">
        <f>(INDEX(Models!$BJ266:$BT266,,T266)*(1-R266)+INDEX(Models!$BJ266:$BT266,,T266+1)*R266-ERP_i)*Q266*Ramure*Pc/MaxiM</f>
        <v>8.6194170437996957E-4</v>
      </c>
      <c r="Q266" s="304">
        <f t="shared" si="80"/>
        <v>0.6</v>
      </c>
      <c r="R266" s="177">
        <f t="shared" si="81"/>
        <v>0.98765325390621839</v>
      </c>
      <c r="S266" s="799">
        <f t="shared" si="82"/>
        <v>0</v>
      </c>
      <c r="T266" s="176">
        <f t="shared" si="83"/>
        <v>6</v>
      </c>
      <c r="U266" s="250">
        <f t="shared" si="84"/>
        <v>0.98765325390621839</v>
      </c>
      <c r="V266" s="382">
        <f t="shared" si="85"/>
        <v>49.196882829906187</v>
      </c>
      <c r="W266" s="400">
        <f t="shared" si="86"/>
        <v>24.230011998407534</v>
      </c>
      <c r="X266" s="157">
        <f t="shared" si="87"/>
        <v>45178</v>
      </c>
      <c r="Y266" s="383">
        <f t="shared" si="88"/>
        <v>23.591027853402871</v>
      </c>
      <c r="Z266" s="383">
        <f t="shared" si="89"/>
        <v>24.370890152596161</v>
      </c>
      <c r="AA266" s="384">
        <f t="shared" si="90"/>
        <v>25.592046580888436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4.7716247484646493E-2</v>
      </c>
      <c r="AD266" s="230">
        <f>(INDEX(Models!$BJ266:$BT266,,AH266)*(1-AF266)+INDEX(Models!$BJ266:$BT266,,AH266+1)*AF266-ERP_i)*AE266*Ramure*Pc/MaxiM</f>
        <v>8.6194170437996957E-4</v>
      </c>
      <c r="AE266" s="304">
        <f t="shared" si="92"/>
        <v>0.6</v>
      </c>
      <c r="AF266" s="177">
        <f t="shared" si="93"/>
        <v>0.98765325390621839</v>
      </c>
      <c r="AG266" s="799">
        <f t="shared" si="99"/>
        <v>0</v>
      </c>
      <c r="AH266" s="176">
        <f t="shared" si="94"/>
        <v>6</v>
      </c>
      <c r="AI266" s="224">
        <f t="shared" si="95"/>
        <v>0.98765325390621839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09">
        <f>'2022'!Wh/'2022'!Env_an*'2023'!Env_an</f>
        <v>47.927773010051673</v>
      </c>
      <c r="C267" s="829"/>
      <c r="D267" s="391">
        <f t="shared" si="77"/>
        <v>49.513098125350858</v>
      </c>
      <c r="E267" s="383">
        <f t="shared" si="100"/>
        <v>50.627672893371283</v>
      </c>
      <c r="F267" s="383">
        <f t="shared" si="78"/>
        <v>50.67126046379822</v>
      </c>
      <c r="G267" s="110">
        <f t="shared" si="101"/>
        <v>0.97927495382257501</v>
      </c>
      <c r="H267" s="412" t="b">
        <f>Wh_hp&gt;='2022'!Maxi_hp</f>
        <v>0</v>
      </c>
      <c r="I267" s="379">
        <f>IF(H267,Wh_hp,'2022'!Maxi_hp)</f>
        <v>50.671626429813287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3.2018297689343944E-2</v>
      </c>
      <c r="M267" s="832"/>
      <c r="N267" s="832"/>
      <c r="O267" s="48">
        <f>IF(t&lt;Tnet,'2022'!Resal+('2022'!Salim-'2022'!Resal)*(1-EXP(('2022'!Tnet-t)/('2022'!Tau_j))),Resal+(Salim-Resal)*(1-EXP((Tnet-t)/(Tau_j))))*Salcycl</f>
        <v>2.2015129361522695E-2</v>
      </c>
      <c r="P267" s="338">
        <f>(INDEX(Models!$BJ267:$BT267,,T267)*(1-R267)+INDEX(Models!$BJ267:$BT267,,T267+1)*R267-ERP_i)*Q267*Ramure*Pc/MaxiM</f>
        <v>8.8641473638137209E-4</v>
      </c>
      <c r="Q267" s="304">
        <f t="shared" si="80"/>
        <v>0.6</v>
      </c>
      <c r="R267" s="177">
        <f t="shared" si="81"/>
        <v>0.9881108579138832</v>
      </c>
      <c r="S267" s="799">
        <f t="shared" si="82"/>
        <v>0</v>
      </c>
      <c r="T267" s="176">
        <f t="shared" si="83"/>
        <v>6</v>
      </c>
      <c r="U267" s="250">
        <f t="shared" si="84"/>
        <v>0.9881108579138832</v>
      </c>
      <c r="V267" s="382">
        <f t="shared" si="85"/>
        <v>48.940816337021651</v>
      </c>
      <c r="W267" s="400">
        <f t="shared" si="86"/>
        <v>47.927773010051673</v>
      </c>
      <c r="X267" s="157">
        <f t="shared" si="87"/>
        <v>45179</v>
      </c>
      <c r="Y267" s="383">
        <f t="shared" si="88"/>
        <v>46.665216248273182</v>
      </c>
      <c r="Z267" s="383">
        <f t="shared" si="89"/>
        <v>48.208779294979728</v>
      </c>
      <c r="AA267" s="384">
        <f t="shared" si="90"/>
        <v>50.627672893371283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4.777809170660631E-2</v>
      </c>
      <c r="AD267" s="230">
        <f>(INDEX(Models!$BJ267:$BT267,,AH267)*(1-AF267)+INDEX(Models!$BJ267:$BT267,,AH267+1)*AF267-ERP_i)*AE267*Ramure*Pc/MaxiM</f>
        <v>8.8641473638137209E-4</v>
      </c>
      <c r="AE267" s="304">
        <f t="shared" si="92"/>
        <v>0.6</v>
      </c>
      <c r="AF267" s="177">
        <f t="shared" si="93"/>
        <v>0.9881108579138832</v>
      </c>
      <c r="AG267" s="799">
        <f t="shared" si="99"/>
        <v>0</v>
      </c>
      <c r="AH267" s="176">
        <f t="shared" si="94"/>
        <v>6</v>
      </c>
      <c r="AI267" s="224">
        <f t="shared" si="95"/>
        <v>0.9881108579138832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09">
        <f>'2022'!Wh/'2022'!Env_an*'2023'!Env_an</f>
        <v>47.337024115236879</v>
      </c>
      <c r="C268" s="829"/>
      <c r="D268" s="391">
        <f t="shared" si="77"/>
        <v>48.903746034549698</v>
      </c>
      <c r="E268" s="383">
        <f t="shared" si="100"/>
        <v>50.009311436420148</v>
      </c>
      <c r="F268" s="383">
        <f t="shared" si="78"/>
        <v>50.053164656243801</v>
      </c>
      <c r="G268" s="110">
        <f t="shared" si="101"/>
        <v>0.9723495335903577</v>
      </c>
      <c r="H268" s="412" t="b">
        <f>Wh_hp&gt;='2022'!Maxi_hp</f>
        <v>0</v>
      </c>
      <c r="I268" s="379">
        <f>IF(H268,Wh_hp,'2022'!Maxi_hp)</f>
        <v>50.053661459050645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3.2036848837836529E-2</v>
      </c>
      <c r="M268" s="832"/>
      <c r="N268" s="832"/>
      <c r="O268" s="48">
        <f>IF(t&lt;Tnet,'2022'!Resal+('2022'!Salim-'2022'!Resal)*(1-EXP(('2022'!Tnet-t)/('2022'!Tau_j))),Resal+(Salim-Resal)*(1-EXP((Tnet-t)/(Tau_j))))*Salcycl</f>
        <v>2.2107191043332468E-2</v>
      </c>
      <c r="P268" s="338">
        <f>(INDEX(Models!$BJ268:$BT268,,T268)*(1-R268)+INDEX(Models!$BJ268:$BT268,,T268+1)*R268-ERP_i)*Q268*Ramure*Pc/MaxiM</f>
        <v>9.1211638274055705E-4</v>
      </c>
      <c r="Q268" s="304">
        <f t="shared" si="80"/>
        <v>0.6</v>
      </c>
      <c r="R268" s="177">
        <f t="shared" si="81"/>
        <v>0.98855084320521991</v>
      </c>
      <c r="S268" s="799">
        <f t="shared" si="82"/>
        <v>0</v>
      </c>
      <c r="T268" s="176">
        <f t="shared" si="83"/>
        <v>6</v>
      </c>
      <c r="U268" s="250">
        <f t="shared" si="84"/>
        <v>0.98855084320521991</v>
      </c>
      <c r="V268" s="382">
        <f t="shared" si="85"/>
        <v>48.681382189336126</v>
      </c>
      <c r="W268" s="400">
        <f t="shared" si="86"/>
        <v>47.337024115236879</v>
      </c>
      <c r="X268" s="157">
        <f t="shared" si="87"/>
        <v>45180</v>
      </c>
      <c r="Y268" s="383">
        <f t="shared" si="88"/>
        <v>46.091395096323303</v>
      </c>
      <c r="Z268" s="383">
        <f t="shared" si="89"/>
        <v>47.616890210112537</v>
      </c>
      <c r="AA268" s="384">
        <f t="shared" si="90"/>
        <v>50.009311436420148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4.7839515434025551E-2</v>
      </c>
      <c r="AD268" s="230">
        <f>(INDEX(Models!$BJ268:$BT268,,AH268)*(1-AF268)+INDEX(Models!$BJ268:$BT268,,AH268+1)*AF268-ERP_i)*AE268*Ramure*Pc/MaxiM</f>
        <v>9.1211638274055705E-4</v>
      </c>
      <c r="AE268" s="304">
        <f t="shared" si="92"/>
        <v>0.6</v>
      </c>
      <c r="AF268" s="177">
        <f t="shared" si="93"/>
        <v>0.98855084320521991</v>
      </c>
      <c r="AG268" s="799">
        <f t="shared" si="99"/>
        <v>0</v>
      </c>
      <c r="AH268" s="176">
        <f t="shared" si="94"/>
        <v>6</v>
      </c>
      <c r="AI268" s="224">
        <f t="shared" si="95"/>
        <v>0.98855084320521991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09">
        <f>'2022'!Wh/'2022'!Env_an*'2023'!Env_an</f>
        <v>34.358734982271692</v>
      </c>
      <c r="C269" s="829"/>
      <c r="D269" s="391">
        <f t="shared" si="77"/>
        <v>35.496592438416805</v>
      </c>
      <c r="E269" s="383">
        <f t="shared" si="100"/>
        <v>36.302469705073726</v>
      </c>
      <c r="F269" s="383">
        <f t="shared" si="78"/>
        <v>36.322425730103753</v>
      </c>
      <c r="G269" s="110">
        <f t="shared" si="101"/>
        <v>0.70934212134466401</v>
      </c>
      <c r="H269" s="412" t="b">
        <f>Wh_hp&gt;='2022'!Maxi_hp</f>
        <v>0</v>
      </c>
      <c r="I269" s="379">
        <f>IF(H269,Wh_hp,'2022'!Maxi_hp)</f>
        <v>50.716513586551613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3.2055399630800729E-2</v>
      </c>
      <c r="M269" s="832"/>
      <c r="N269" s="832"/>
      <c r="O269" s="48">
        <f>IF(t&lt;Tnet,'2022'!Resal+('2022'!Salim-'2022'!Resal)*(1-EXP(('2022'!Tnet-t)/('2022'!Tau_j))),Resal+(Salim-Resal)*(1-EXP((Tnet-t)/(Tau_j))))*Salcycl</f>
        <v>2.2198965337729935E-2</v>
      </c>
      <c r="P269" s="338">
        <f>(INDEX(Models!$BJ269:$BT269,,T269)*(1-R269)+INDEX(Models!$BJ269:$BT269,,T269+1)*R269-ERP_i)*Q269*Ramure*Pc/MaxiM</f>
        <v>9.3889603657622495E-4</v>
      </c>
      <c r="Q269" s="304">
        <f t="shared" si="80"/>
        <v>0.6</v>
      </c>
      <c r="R269" s="177">
        <f t="shared" si="81"/>
        <v>0.98897385758680689</v>
      </c>
      <c r="S269" s="799">
        <f t="shared" si="82"/>
        <v>0</v>
      </c>
      <c r="T269" s="176">
        <f t="shared" si="83"/>
        <v>6</v>
      </c>
      <c r="U269" s="250">
        <f t="shared" si="84"/>
        <v>0.98897385758680689</v>
      </c>
      <c r="V269" s="382">
        <f t="shared" si="85"/>
        <v>48.418590211241224</v>
      </c>
      <c r="W269" s="400">
        <f t="shared" si="86"/>
        <v>34.358734982271692</v>
      </c>
      <c r="X269" s="157">
        <f t="shared" si="87"/>
        <v>45181</v>
      </c>
      <c r="Y269" s="383">
        <f t="shared" si="88"/>
        <v>33.45561426463248</v>
      </c>
      <c r="Z269" s="383">
        <f t="shared" si="89"/>
        <v>34.563563092217919</v>
      </c>
      <c r="AA269" s="384">
        <f t="shared" si="90"/>
        <v>36.302469705073726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4.7900504483108938E-2</v>
      </c>
      <c r="AD269" s="230">
        <f>(INDEX(Models!$BJ269:$BT269,,AH269)*(1-AF269)+INDEX(Models!$BJ269:$BT269,,AH269+1)*AF269-ERP_i)*AE269*Ramure*Pc/MaxiM</f>
        <v>9.3889603657622495E-4</v>
      </c>
      <c r="AE269" s="304">
        <f t="shared" si="92"/>
        <v>0.6</v>
      </c>
      <c r="AF269" s="177">
        <f t="shared" si="93"/>
        <v>0.98897385758680689</v>
      </c>
      <c r="AG269" s="799">
        <f t="shared" si="99"/>
        <v>0</v>
      </c>
      <c r="AH269" s="176">
        <f t="shared" si="94"/>
        <v>6</v>
      </c>
      <c r="AI269" s="224">
        <f t="shared" si="95"/>
        <v>0.98897385758680689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09">
        <f>'2022'!Wh/'2022'!Env_an*'2023'!Env_an</f>
        <v>14.584410730432726</v>
      </c>
      <c r="C270" s="829"/>
      <c r="D270" s="391">
        <f t="shared" si="77"/>
        <v>15.067691102497957</v>
      </c>
      <c r="E270" s="383">
        <f t="shared" si="100"/>
        <v>15.411213905305814</v>
      </c>
      <c r="F270" s="383">
        <f t="shared" si="78"/>
        <v>15.411275203931678</v>
      </c>
      <c r="G270" s="110">
        <f t="shared" si="101"/>
        <v>0.30258836921684973</v>
      </c>
      <c r="H270" s="412" t="b">
        <f>Wh_hp&gt;='2022'!Maxi_hp</f>
        <v>0</v>
      </c>
      <c r="I270" s="379">
        <f>IF(H270,Wh_hp,'2022'!Maxi_hp)</f>
        <v>48.946025733501244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3.2073950068243096E-2</v>
      </c>
      <c r="M270" s="832"/>
      <c r="N270" s="832"/>
      <c r="O270" s="48">
        <f>IF(t&lt;Tnet,'2022'!Resal+('2022'!Salim-'2022'!Resal)*(1-EXP(('2022'!Tnet-t)/('2022'!Tau_j))),Resal+(Salim-Resal)*(1-EXP((Tnet-t)/(Tau_j))))*Salcycl</f>
        <v>2.2290444147919388E-2</v>
      </c>
      <c r="P270" s="338">
        <f>(INDEX(Models!$BJ270:$BT270,,T270)*(1-R270)+INDEX(Models!$BJ270:$BT270,,T270+1)*R270-ERP_i)*Q270*Ramure*Pc/MaxiM</f>
        <v>9.6676479439538807E-4</v>
      </c>
      <c r="Q270" s="304">
        <f t="shared" si="80"/>
        <v>0.6</v>
      </c>
      <c r="R270" s="177">
        <f t="shared" si="81"/>
        <v>0.98938052741501692</v>
      </c>
      <c r="S270" s="799">
        <f t="shared" si="82"/>
        <v>0</v>
      </c>
      <c r="T270" s="176">
        <f t="shared" si="83"/>
        <v>6</v>
      </c>
      <c r="U270" s="250">
        <f t="shared" si="84"/>
        <v>0.98938052741501692</v>
      </c>
      <c r="V270" s="382">
        <f t="shared" si="85"/>
        <v>48.152442300437137</v>
      </c>
      <c r="W270" s="400">
        <f t="shared" si="86"/>
        <v>14.584410730432726</v>
      </c>
      <c r="X270" s="157">
        <f t="shared" si="87"/>
        <v>45182</v>
      </c>
      <c r="Y270" s="383">
        <f t="shared" si="88"/>
        <v>14.201484562201715</v>
      </c>
      <c r="Z270" s="383">
        <f t="shared" si="89"/>
        <v>14.672075995064894</v>
      </c>
      <c r="AA270" s="384">
        <f t="shared" si="90"/>
        <v>15.411213905305814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4.7961044132055604E-2</v>
      </c>
      <c r="AD270" s="230">
        <f>(INDEX(Models!$BJ270:$BT270,,AH270)*(1-AF270)+INDEX(Models!$BJ270:$BT270,,AH270+1)*AF270-ERP_i)*AE270*Ramure*Pc/MaxiM</f>
        <v>9.6676479439538807E-4</v>
      </c>
      <c r="AE270" s="304">
        <f t="shared" si="92"/>
        <v>0.6</v>
      </c>
      <c r="AF270" s="177">
        <f t="shared" si="93"/>
        <v>0.98938052741501692</v>
      </c>
      <c r="AG270" s="799">
        <f t="shared" si="99"/>
        <v>0</v>
      </c>
      <c r="AH270" s="176">
        <f t="shared" si="94"/>
        <v>6</v>
      </c>
      <c r="AI270" s="224">
        <f t="shared" si="95"/>
        <v>0.98938052741501692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09">
        <f>'2022'!Wh/'2022'!Env_an*'2023'!Env_an</f>
        <v>36.571421356813367</v>
      </c>
      <c r="C271" s="829"/>
      <c r="D271" s="391">
        <f t="shared" ref="D271:D334" si="102">Wh/(1-Ppv)</f>
        <v>37.784004527795695</v>
      </c>
      <c r="E271" s="383">
        <f t="shared" si="100"/>
        <v>38.649032449224123</v>
      </c>
      <c r="F271" s="383">
        <f t="shared" ref="F271:F334" si="103">Wh_sa/(1-Pvg*MEDIAN((-Sdif+Wh/Env_an)/Csdif,0,1))</f>
        <v>38.674545972753712</v>
      </c>
      <c r="G271" s="110">
        <f t="shared" si="101"/>
        <v>0.76351042031861194</v>
      </c>
      <c r="H271" s="412" t="b">
        <f>Wh_hp&gt;='2022'!Maxi_hp</f>
        <v>0</v>
      </c>
      <c r="I271" s="379">
        <f>IF(H271,Wh_hp,'2022'!Maxi_hp)</f>
        <v>48.424336454195235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3.2092500150170622E-2</v>
      </c>
      <c r="M271" s="832"/>
      <c r="N271" s="832"/>
      <c r="O271" s="48">
        <f>IF(t&lt;Tnet,'2022'!Resal+('2022'!Salim-'2022'!Resal)*(1-EXP(('2022'!Tnet-t)/('2022'!Tau_j))),Resal+(Salim-Resal)*(1-EXP((Tnet-t)/(Tau_j))))*Salcycl</f>
        <v>2.2381619062905988E-2</v>
      </c>
      <c r="P271" s="338">
        <f>(INDEX(Models!$BJ271:$BT271,,T271)*(1-R271)+INDEX(Models!$BJ271:$BT271,,T271+1)*R271-ERP_i)*Q271*Ramure*Pc/MaxiM</f>
        <v>9.957336568134894E-4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0.98977145811945255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0.98977145811945255</v>
      </c>
      <c r="V271" s="382">
        <f t="shared" ref="V271:V334" si="110">MaxiM*(1-Ppv)*(1-Pvg)*(1-Psa)</f>
        <v>47.882940392778309</v>
      </c>
      <c r="W271" s="400">
        <f t="shared" ref="W271:W334" si="111">Wh*(A271&gt;Tmaj)</f>
        <v>36.571421356813367</v>
      </c>
      <c r="X271" s="157">
        <f t="shared" ref="X271:X334" si="112">t</f>
        <v>45183</v>
      </c>
      <c r="Y271" s="383">
        <f t="shared" ref="Y271:Y334" si="113">Wh_pvt_s*(1-Ppv)</f>
        <v>35.612281288845672</v>
      </c>
      <c r="Z271" s="383">
        <f t="shared" ref="Z271:Z334" si="114">Wh_sa_s*(1-Psa_s)</f>
        <v>36.793062657713584</v>
      </c>
      <c r="AA271" s="384">
        <f t="shared" ref="AA271:AA334" si="115">Wh_hp*(1-Pvg_s*MEDIAN((-Sdif+Wh/Env_an)/Csdif,0,1))</f>
        <v>38.649032449224123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4.8021119130184052E-2</v>
      </c>
      <c r="AD271" s="230">
        <f>(INDEX(Models!$BJ271:$BT271,,AH271)*(1-AF271)+INDEX(Models!$BJ271:$BT271,,AH271+1)*AF271-ERP_i)*AE271*Ramure*Pc/MaxiM</f>
        <v>9.957336568134894E-4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0.98977145811945255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0.98977145811945255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09">
        <f>'2022'!Wh/'2022'!Env_an*'2023'!Env_an</f>
        <v>41.883817500241314</v>
      </c>
      <c r="C272" s="829"/>
      <c r="D272" s="391">
        <f t="shared" si="102"/>
        <v>43.273370870595173</v>
      </c>
      <c r="E272" s="383">
        <f t="shared" si="100"/>
        <v>44.268186875088915</v>
      </c>
      <c r="F272" s="383">
        <f t="shared" si="103"/>
        <v>44.305827236638038</v>
      </c>
      <c r="G272" s="110">
        <f t="shared" si="101"/>
        <v>0.87957052954590953</v>
      </c>
      <c r="H272" s="412" t="b">
        <f>Wh_hp&gt;='2022'!Maxi_hp</f>
        <v>0</v>
      </c>
      <c r="I272" s="379">
        <f>IF(H272,Wh_hp,'2022'!Maxi_hp)</f>
        <v>49.537413864977964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3.2111049876590081E-2</v>
      </c>
      <c r="M272" s="832"/>
      <c r="N272" s="832"/>
      <c r="O272" s="48">
        <f>IF(t&lt;Tnet,'2022'!Resal+('2022'!Salim-'2022'!Resal)*(1-EXP(('2022'!Tnet-t)/('2022'!Tau_j))),Resal+(Salim-Resal)*(1-EXP((Tnet-t)/(Tau_j))))*Salcycl</f>
        <v>2.2472481362311208E-2</v>
      </c>
      <c r="P272" s="338">
        <f>(INDEX(Models!$BJ272:$BT272,,T272)*(1-R272)+INDEX(Models!$BJ272:$BT272,,T272+1)*R272-ERP_i)*Q272*Ramure*Pc/MaxiM</f>
        <v>1.0258134982695955E-3</v>
      </c>
      <c r="Q272" s="304">
        <f t="shared" si="105"/>
        <v>0.6</v>
      </c>
      <c r="R272" s="177">
        <f t="shared" si="106"/>
        <v>0.99014723472935062</v>
      </c>
      <c r="S272" s="799">
        <f t="shared" si="107"/>
        <v>0</v>
      </c>
      <c r="T272" s="176">
        <f t="shared" si="108"/>
        <v>6</v>
      </c>
      <c r="U272" s="250">
        <f t="shared" si="109"/>
        <v>0.99014723472935062</v>
      </c>
      <c r="V272" s="382">
        <f t="shared" si="110"/>
        <v>47.610086463198904</v>
      </c>
      <c r="W272" s="400">
        <f t="shared" si="111"/>
        <v>41.883817500241314</v>
      </c>
      <c r="X272" s="157">
        <f t="shared" si="112"/>
        <v>45184</v>
      </c>
      <c r="Y272" s="383">
        <f t="shared" si="113"/>
        <v>40.786589534907961</v>
      </c>
      <c r="Z272" s="383">
        <f t="shared" si="114"/>
        <v>42.139740855299053</v>
      </c>
      <c r="AA272" s="384">
        <f t="shared" si="115"/>
        <v>44.268186875088915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4.8080713714245368E-2</v>
      </c>
      <c r="AD272" s="230">
        <f>(INDEX(Models!$BJ272:$BT272,,AH272)*(1-AF272)+INDEX(Models!$BJ272:$BT272,,AH272+1)*AF272-ERP_i)*AE272*Ramure*Pc/MaxiM</f>
        <v>1.0258134982695955E-3</v>
      </c>
      <c r="AE272" s="304">
        <f t="shared" si="117"/>
        <v>0.6</v>
      </c>
      <c r="AF272" s="177">
        <f t="shared" si="118"/>
        <v>0.99014723472935062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0.99014723472935062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09">
        <f>'2022'!Wh/'2022'!Env_an*'2023'!Env_an</f>
        <v>33.464006730153919</v>
      </c>
      <c r="C273" s="829"/>
      <c r="D273" s="391">
        <f t="shared" si="102"/>
        <v>34.574883893687215</v>
      </c>
      <c r="E273" s="383">
        <f t="shared" si="100"/>
        <v>35.373005802702444</v>
      </c>
      <c r="F273" s="383">
        <f t="shared" si="103"/>
        <v>35.394757484665419</v>
      </c>
      <c r="G273" s="110">
        <f t="shared" si="101"/>
        <v>0.7066648462081967</v>
      </c>
      <c r="H273" s="412" t="b">
        <f>Wh_hp&gt;='2022'!Maxi_hp</f>
        <v>0</v>
      </c>
      <c r="I273" s="379">
        <f>IF(H273,Wh_hp,'2022'!Maxi_hp)</f>
        <v>43.865326468567289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3.2129599247508245E-2</v>
      </c>
      <c r="M273" s="832"/>
      <c r="N273" s="832"/>
      <c r="O273" s="48">
        <f>IF(t&lt;Tnet,'2022'!Resal+('2022'!Salim-'2022'!Resal)*(1-EXP(('2022'!Tnet-t)/('2022'!Tau_j))),Resal+(Salim-Resal)*(1-EXP((Tnet-t)/(Tau_j))))*Salcycl</f>
        <v>2.2563022024954846E-2</v>
      </c>
      <c r="P273" s="338">
        <f>(INDEX(Models!$BJ273:$BT273,,T273)*(1-R273)+INDEX(Models!$BJ273:$BT273,,T273+1)*R273-ERP_i)*Q273*Ramure*Pc/MaxiM</f>
        <v>1.0570150364501922E-3</v>
      </c>
      <c r="Q273" s="304">
        <f t="shared" si="105"/>
        <v>0.6</v>
      </c>
      <c r="R273" s="177">
        <f t="shared" si="106"/>
        <v>0.99050842240124626</v>
      </c>
      <c r="S273" s="799">
        <f t="shared" si="107"/>
        <v>0</v>
      </c>
      <c r="T273" s="176">
        <f t="shared" si="108"/>
        <v>6</v>
      </c>
      <c r="U273" s="250">
        <f t="shared" si="109"/>
        <v>0.99050842240124626</v>
      </c>
      <c r="V273" s="382">
        <f t="shared" si="110"/>
        <v>47.333882524998209</v>
      </c>
      <c r="W273" s="400">
        <f t="shared" si="111"/>
        <v>33.464006730153919</v>
      </c>
      <c r="X273" s="157">
        <f t="shared" si="112"/>
        <v>45185</v>
      </c>
      <c r="Y273" s="383">
        <f t="shared" si="113"/>
        <v>32.588347348683172</v>
      </c>
      <c r="Z273" s="383">
        <f t="shared" si="114"/>
        <v>33.670155966487513</v>
      </c>
      <c r="AA273" s="384">
        <f t="shared" si="115"/>
        <v>35.373005802702444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4.8139811632429523E-2</v>
      </c>
      <c r="AD273" s="230">
        <f>(INDEX(Models!$BJ273:$BT273,,AH273)*(1-AF273)+INDEX(Models!$BJ273:$BT273,,AH273+1)*AF273-ERP_i)*AE273*Ramure*Pc/MaxiM</f>
        <v>1.0570150364501922E-3</v>
      </c>
      <c r="AE273" s="304">
        <f t="shared" si="117"/>
        <v>0.6</v>
      </c>
      <c r="AF273" s="177">
        <f t="shared" si="118"/>
        <v>0.99050842240124626</v>
      </c>
      <c r="AG273" s="799">
        <f t="shared" si="124"/>
        <v>0</v>
      </c>
      <c r="AH273" s="176">
        <f t="shared" si="119"/>
        <v>6</v>
      </c>
      <c r="AI273" s="224">
        <f t="shared" si="120"/>
        <v>0.99050842240124626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09">
        <f>'2022'!Wh/'2022'!Env_an*'2023'!Env_an</f>
        <v>46.76139386082469</v>
      </c>
      <c r="C274" s="829"/>
      <c r="D274" s="391">
        <f t="shared" si="102"/>
        <v>48.314619408847449</v>
      </c>
      <c r="E274" s="383">
        <f t="shared" si="100"/>
        <v>49.4344699117758</v>
      </c>
      <c r="F274" s="383">
        <f t="shared" si="103"/>
        <v>49.487900047587949</v>
      </c>
      <c r="G274" s="110">
        <f t="shared" si="101"/>
        <v>0.99376486089089189</v>
      </c>
      <c r="H274" s="412" t="b">
        <f>Wh_hp&gt;='2022'!Maxi_hp</f>
        <v>0</v>
      </c>
      <c r="I274" s="379">
        <f>IF(H274,Wh_hp,'2022'!Maxi_hp)</f>
        <v>49.488032874572205</v>
      </c>
      <c r="J274" s="85">
        <f>IF(H274,An,'2022'!An_max)</f>
        <v>2022</v>
      </c>
      <c r="K274" s="197">
        <f t="shared" si="104"/>
        <v>45186</v>
      </c>
      <c r="L274" s="147">
        <f>IF(t&lt;Tvie,1-EXP((T0-t)*PertePVj)+'2022'!Pspv,1-EXP((T0-t)*PertePVj)+Pspv)</f>
        <v>3.2148148262931997E-2</v>
      </c>
      <c r="M274" s="832"/>
      <c r="N274" s="832"/>
      <c r="O274" s="48">
        <f>IF(t&lt;Tnet,'2022'!Resal+('2022'!Salim-'2022'!Resal)*(1-EXP(('2022'!Tnet-t)/('2022'!Tau_j))),Resal+(Salim-Resal)*(1-EXP((Tnet-t)/(Tau_j))))*Salcycl</f>
        <v>2.2653231741473333E-2</v>
      </c>
      <c r="P274" s="338">
        <f>(INDEX(Models!$BJ274:$BT274,,T274)*(1-R274)+INDEX(Models!$BJ274:$BT274,,T274+1)*R274-ERP_i)*Q274*Ramure*Pc/MaxiM</f>
        <v>1.0893488017169255E-3</v>
      </c>
      <c r="Q274" s="304">
        <f t="shared" si="105"/>
        <v>0.6</v>
      </c>
      <c r="R274" s="177">
        <f t="shared" si="106"/>
        <v>0.99085556694634458</v>
      </c>
      <c r="S274" s="799">
        <f t="shared" si="107"/>
        <v>0</v>
      </c>
      <c r="T274" s="176">
        <f t="shared" si="108"/>
        <v>6</v>
      </c>
      <c r="U274" s="250">
        <f t="shared" si="109"/>
        <v>0.99085556694634458</v>
      </c>
      <c r="V274" s="382">
        <f t="shared" si="110"/>
        <v>47.054330634505611</v>
      </c>
      <c r="W274" s="400">
        <f t="shared" si="111"/>
        <v>46.76139386082469</v>
      </c>
      <c r="X274" s="157">
        <f t="shared" si="112"/>
        <v>45186</v>
      </c>
      <c r="Y274" s="383">
        <f t="shared" si="113"/>
        <v>45.539179254729461</v>
      </c>
      <c r="Z274" s="383">
        <f t="shared" si="114"/>
        <v>47.051807746193049</v>
      </c>
      <c r="AA274" s="384">
        <f t="shared" si="115"/>
        <v>49.4344699117758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4.8198396176494143E-2</v>
      </c>
      <c r="AD274" s="230">
        <f>(INDEX(Models!$BJ274:$BT274,,AH274)*(1-AF274)+INDEX(Models!$BJ274:$BT274,,AH274+1)*AF274-ERP_i)*AE274*Ramure*Pc/MaxiM</f>
        <v>1.0893488017169255E-3</v>
      </c>
      <c r="AE274" s="304">
        <f t="shared" si="117"/>
        <v>0.6</v>
      </c>
      <c r="AF274" s="177">
        <f t="shared" si="118"/>
        <v>0.99085556694634458</v>
      </c>
      <c r="AG274" s="799">
        <f t="shared" si="124"/>
        <v>0</v>
      </c>
      <c r="AH274" s="176">
        <f t="shared" si="119"/>
        <v>6</v>
      </c>
      <c r="AI274" s="224">
        <f t="shared" si="120"/>
        <v>0.99085556694634458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09">
        <f>'2022'!Wh/'2022'!Env_an*'2023'!Env_an</f>
        <v>46.753071774343411</v>
      </c>
      <c r="C275" s="829"/>
      <c r="D275" s="391">
        <f t="shared" si="102"/>
        <v>48.306946687716326</v>
      </c>
      <c r="E275" s="383">
        <f t="shared" si="100"/>
        <v>49.431164654603158</v>
      </c>
      <c r="F275" s="383">
        <f t="shared" si="103"/>
        <v>49.486699049498938</v>
      </c>
      <c r="G275" s="110">
        <f t="shared" si="101"/>
        <v>0.99961161402862719</v>
      </c>
      <c r="H275" s="412" t="b">
        <f>Wh_hp&gt;='2022'!Maxi_hp</f>
        <v>0</v>
      </c>
      <c r="I275" s="379">
        <f>IF(H275,Wh_hp,'2022'!Maxi_hp)</f>
        <v>49.486707580546806</v>
      </c>
      <c r="J275" s="85">
        <f>IF(H275,An,'2022'!An_max)</f>
        <v>2022</v>
      </c>
      <c r="K275" s="197">
        <f t="shared" si="104"/>
        <v>45187</v>
      </c>
      <c r="L275" s="147">
        <f>IF(t&lt;Tvie,1-EXP((T0-t)*PertePVj)+'2022'!Pspv,1-EXP((T0-t)*PertePVj)+Pspv)</f>
        <v>3.2166696922867999E-2</v>
      </c>
      <c r="M275" s="832"/>
      <c r="N275" s="832"/>
      <c r="O275" s="48">
        <f>IF(t&lt;Tnet,'2022'!Resal+('2022'!Salim-'2022'!Resal)*(1-EXP(('2022'!Tnet-t)/('2022'!Tau_j))),Resal+(Salim-Resal)*(1-EXP((Tnet-t)/(Tau_j))))*Salcycl</f>
        <v>2.2743100931208723E-2</v>
      </c>
      <c r="P275" s="338">
        <f>(INDEX(Models!$BJ275:$BT275,,T275)*(1-R275)+INDEX(Models!$BJ275:$BT275,,T275+1)*R275-ERP_i)*Q275*Ramure*Pc/MaxiM</f>
        <v>1.1228305014206259E-3</v>
      </c>
      <c r="Q275" s="304">
        <f t="shared" si="105"/>
        <v>0.6</v>
      </c>
      <c r="R275" s="177">
        <f t="shared" si="106"/>
        <v>0.99118919535620242</v>
      </c>
      <c r="S275" s="799">
        <f t="shared" si="107"/>
        <v>0</v>
      </c>
      <c r="T275" s="176">
        <f t="shared" si="108"/>
        <v>6</v>
      </c>
      <c r="U275" s="250">
        <f t="shared" si="109"/>
        <v>0.99118919535620242</v>
      </c>
      <c r="V275" s="382">
        <f t="shared" si="110"/>
        <v>46.771207942778226</v>
      </c>
      <c r="W275" s="400">
        <f t="shared" si="111"/>
        <v>46.753071774343411</v>
      </c>
      <c r="X275" s="157">
        <f t="shared" si="112"/>
        <v>45187</v>
      </c>
      <c r="Y275" s="383">
        <f t="shared" si="113"/>
        <v>45.532484381458438</v>
      </c>
      <c r="Z275" s="383">
        <f t="shared" si="114"/>
        <v>47.045792118014873</v>
      </c>
      <c r="AA275" s="384">
        <f t="shared" si="115"/>
        <v>49.431164654603158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4.8256450222362912E-2</v>
      </c>
      <c r="AD275" s="230">
        <f>(INDEX(Models!$BJ275:$BT275,,AH275)*(1-AF275)+INDEX(Models!$BJ275:$BT275,,AH275+1)*AF275-ERP_i)*AE275*Ramure*Pc/MaxiM</f>
        <v>1.1228305014206259E-3</v>
      </c>
      <c r="AE275" s="304">
        <f t="shared" si="117"/>
        <v>0.6</v>
      </c>
      <c r="AF275" s="177">
        <f t="shared" si="118"/>
        <v>0.99118919535620242</v>
      </c>
      <c r="AG275" s="799">
        <f t="shared" si="124"/>
        <v>0</v>
      </c>
      <c r="AH275" s="176">
        <f t="shared" si="119"/>
        <v>6</v>
      </c>
      <c r="AI275" s="224">
        <f t="shared" si="120"/>
        <v>0.99118919535620242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09">
        <f>'2022'!Wh/'2022'!Env_an*'2023'!Env_an</f>
        <v>46.117699534880558</v>
      </c>
      <c r="C276" s="829"/>
      <c r="D276" s="391">
        <f t="shared" si="102"/>
        <v>47.651370582496256</v>
      </c>
      <c r="E276" s="383">
        <f t="shared" si="100"/>
        <v>48.76479868880444</v>
      </c>
      <c r="F276" s="383">
        <f t="shared" si="103"/>
        <v>48.820686543970261</v>
      </c>
      <c r="G276" s="110">
        <f t="shared" si="101"/>
        <v>0.9920995243349755</v>
      </c>
      <c r="H276" s="412" t="b">
        <f>Wh_hp&gt;='2022'!Maxi_hp</f>
        <v>0</v>
      </c>
      <c r="I276" s="379">
        <f>IF(H276,Wh_hp,'2022'!Maxi_hp)</f>
        <v>48.820863149439049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3.2185245227323245E-2</v>
      </c>
      <c r="M276" s="832"/>
      <c r="N276" s="832"/>
      <c r="O276" s="48">
        <f>IF(t&lt;Tnet,'2022'!Resal+('2022'!Salim-'2022'!Resal)*(1-EXP(('2022'!Tnet-t)/('2022'!Tau_j))),Resal+(Salim-Resal)*(1-EXP((Tnet-t)/(Tau_j))))*Salcycl</f>
        <v>2.2832619763563322E-2</v>
      </c>
      <c r="P276" s="338">
        <f>(INDEX(Models!$BJ276:$BT276,,T276)*(1-R276)+INDEX(Models!$BJ276:$BT276,,T276+1)*R276-ERP_i)*Q276*Ramure*Pc/MaxiM</f>
        <v>1.1578036612881993E-3</v>
      </c>
      <c r="Q276" s="304">
        <f t="shared" si="105"/>
        <v>0.6</v>
      </c>
      <c r="R276" s="177">
        <f t="shared" si="106"/>
        <v>0.99150981632546409</v>
      </c>
      <c r="S276" s="799">
        <f t="shared" si="107"/>
        <v>0</v>
      </c>
      <c r="T276" s="176">
        <f t="shared" si="108"/>
        <v>6</v>
      </c>
      <c r="U276" s="250">
        <f t="shared" si="109"/>
        <v>0.99150981632546409</v>
      </c>
      <c r="V276" s="382">
        <f t="shared" si="110"/>
        <v>46.484345635539654</v>
      </c>
      <c r="W276" s="400">
        <f t="shared" si="111"/>
        <v>46.117699534880558</v>
      </c>
      <c r="X276" s="157">
        <f t="shared" si="112"/>
        <v>45188</v>
      </c>
      <c r="Y276" s="383">
        <f t="shared" si="113"/>
        <v>44.91510042550118</v>
      </c>
      <c r="Z276" s="383">
        <f t="shared" si="114"/>
        <v>46.408778336977278</v>
      </c>
      <c r="AA276" s="384">
        <f t="shared" si="115"/>
        <v>48.76479868880444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4.8313956279451772E-2</v>
      </c>
      <c r="AD276" s="230">
        <f>(INDEX(Models!$BJ276:$BT276,,AH276)*(1-AF276)+INDEX(Models!$BJ276:$BT276,,AH276+1)*AF276-ERP_i)*AE276*Ramure*Pc/MaxiM</f>
        <v>1.1578036612881993E-3</v>
      </c>
      <c r="AE276" s="304">
        <f t="shared" si="117"/>
        <v>0.6</v>
      </c>
      <c r="AF276" s="177">
        <f t="shared" si="118"/>
        <v>0.99150981632546409</v>
      </c>
      <c r="AG276" s="799">
        <f t="shared" si="124"/>
        <v>0</v>
      </c>
      <c r="AH276" s="176">
        <f t="shared" si="119"/>
        <v>6</v>
      </c>
      <c r="AI276" s="224">
        <f t="shared" si="120"/>
        <v>0.99150981632546409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09">
        <f>'2022'!Wh/'2022'!Env_an*'2023'!Env_an</f>
        <v>47.872439721025252</v>
      </c>
      <c r="C277" s="829"/>
      <c r="D277" s="391">
        <f t="shared" si="102"/>
        <v>49.465413672308621</v>
      </c>
      <c r="E277" s="383">
        <f t="shared" si="100"/>
        <v>50.625848133602481</v>
      </c>
      <c r="F277" s="383">
        <f t="shared" si="103"/>
        <v>50.686359696372008</v>
      </c>
      <c r="G277" s="110">
        <f t="shared" si="101"/>
        <v>1.0363374963227205</v>
      </c>
      <c r="H277" s="412" t="b">
        <f>Wh_hp&gt;='2022'!Maxi_hp</f>
        <v>1</v>
      </c>
      <c r="I277" s="379">
        <f>IF(H277,Wh_hp,'2022'!Maxi_hp)</f>
        <v>50.686359696372008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3.2203793176304396E-2</v>
      </c>
      <c r="M277" s="832"/>
      <c r="N277" s="832"/>
      <c r="O277" s="48">
        <f>IF(t&lt;Tnet,'2022'!Resal+('2022'!Salim-'2022'!Resal)*(1-EXP(('2022'!Tnet-t)/('2022'!Tau_j))),Resal+(Salim-Resal)*(1-EXP((Tnet-t)/(Tau_j))))*Salcycl</f>
        <v>2.292177818397147E-2</v>
      </c>
      <c r="P277" s="338">
        <f>(INDEX(Models!$BJ277:$BT277,,T277)*(1-R277)+INDEX(Models!$BJ277:$BT277,,T277+1)*R277-ERP_i)*Q277*Ramure*Pc/MaxiM</f>
        <v>1.1938431391011629E-3</v>
      </c>
      <c r="Q277" s="304">
        <f t="shared" si="105"/>
        <v>0.6</v>
      </c>
      <c r="R277" s="177">
        <f t="shared" si="106"/>
        <v>0.99181792077052278</v>
      </c>
      <c r="S277" s="799">
        <f t="shared" si="107"/>
        <v>0</v>
      </c>
      <c r="T277" s="176">
        <f t="shared" si="108"/>
        <v>6</v>
      </c>
      <c r="U277" s="250">
        <f t="shared" si="109"/>
        <v>0.99181792077052278</v>
      </c>
      <c r="V277" s="382">
        <f t="shared" si="110"/>
        <v>46.193870134867289</v>
      </c>
      <c r="W277" s="400">
        <f t="shared" si="111"/>
        <v>47.872439721025252</v>
      </c>
      <c r="X277" s="157">
        <f t="shared" si="112"/>
        <v>45189</v>
      </c>
      <c r="Y277" s="383">
        <f t="shared" si="113"/>
        <v>46.625547345701136</v>
      </c>
      <c r="Z277" s="383">
        <f t="shared" si="114"/>
        <v>48.177030470832335</v>
      </c>
      <c r="AA277" s="384">
        <f t="shared" si="115"/>
        <v>50.625848133602481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4.8370896548886884E-2</v>
      </c>
      <c r="AD277" s="230">
        <f>(INDEX(Models!$BJ277:$BT277,,AH277)*(1-AF277)+INDEX(Models!$BJ277:$BT277,,AH277+1)*AF277-ERP_i)*AE277*Ramure*Pc/MaxiM</f>
        <v>1.1938431391011629E-3</v>
      </c>
      <c r="AE277" s="304">
        <f t="shared" si="117"/>
        <v>0.6</v>
      </c>
      <c r="AF277" s="177">
        <f t="shared" si="118"/>
        <v>0.99181792077052278</v>
      </c>
      <c r="AG277" s="799">
        <f t="shared" si="124"/>
        <v>0</v>
      </c>
      <c r="AH277" s="176">
        <f t="shared" si="119"/>
        <v>6</v>
      </c>
      <c r="AI277" s="224">
        <f t="shared" si="120"/>
        <v>0.99181792077052278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09">
        <f>'2022'!Wh/'2022'!Env_an*'2023'!Env_an</f>
        <v>46.639277919469244</v>
      </c>
      <c r="C278" s="829"/>
      <c r="D278" s="391">
        <f t="shared" si="102"/>
        <v>48.192141526152241</v>
      </c>
      <c r="E278" s="383">
        <f t="shared" si="100"/>
        <v>49.327188039394102</v>
      </c>
      <c r="F278" s="383">
        <f t="shared" si="103"/>
        <v>49.387982440515259</v>
      </c>
      <c r="G278" s="110">
        <f t="shared" si="101"/>
        <v>1.0161087633722288</v>
      </c>
      <c r="H278" s="412" t="b">
        <f>Wh_hp&gt;='2022'!Maxi_hp</f>
        <v>1</v>
      </c>
      <c r="I278" s="379">
        <f>IF(H278,Wh_hp,'2022'!Maxi_hp)</f>
        <v>49.387982440515259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3.2222340769818447E-2</v>
      </c>
      <c r="M278" s="832"/>
      <c r="N278" s="832"/>
      <c r="O278" s="48">
        <f>IF(t&lt;Tnet,'2022'!Resal+('2022'!Salim-'2022'!Resal)*(1-EXP(('2022'!Tnet-t)/('2022'!Tau_j))),Resal+(Salim-Resal)*(1-EXP((Tnet-t)/(Tau_j))))*Salcycl</f>
        <v>2.3010565944593789E-2</v>
      </c>
      <c r="P278" s="338">
        <f>(INDEX(Models!$BJ278:$BT278,,T278)*(1-R278)+INDEX(Models!$BJ278:$BT278,,T278+1)*R278-ERP_i)*Q278*Ramure*Pc/MaxiM</f>
        <v>1.230955348183727E-3</v>
      </c>
      <c r="Q278" s="304">
        <f t="shared" si="105"/>
        <v>0.6</v>
      </c>
      <c r="R278" s="177">
        <f t="shared" si="106"/>
        <v>0.99211398234311043</v>
      </c>
      <c r="S278" s="799">
        <f t="shared" si="107"/>
        <v>0</v>
      </c>
      <c r="T278" s="176">
        <f t="shared" si="108"/>
        <v>6</v>
      </c>
      <c r="U278" s="250">
        <f t="shared" si="109"/>
        <v>0.99211398234311043</v>
      </c>
      <c r="V278" s="382">
        <f t="shared" si="110"/>
        <v>45.899887493032075</v>
      </c>
      <c r="W278" s="400">
        <f t="shared" si="111"/>
        <v>46.639277919469244</v>
      </c>
      <c r="X278" s="157">
        <f t="shared" si="112"/>
        <v>45190</v>
      </c>
      <c r="Y278" s="383">
        <f t="shared" si="113"/>
        <v>45.425942452765199</v>
      </c>
      <c r="Z278" s="383">
        <f t="shared" si="114"/>
        <v>46.93840782489157</v>
      </c>
      <c r="AA278" s="384">
        <f t="shared" si="115"/>
        <v>49.327188039394102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4.8427252990678953E-2</v>
      </c>
      <c r="AD278" s="230">
        <f>(INDEX(Models!$BJ278:$BT278,,AH278)*(1-AF278)+INDEX(Models!$BJ278:$BT278,,AH278+1)*AF278-ERP_i)*AE278*Ramure*Pc/MaxiM</f>
        <v>1.230955348183727E-3</v>
      </c>
      <c r="AE278" s="304">
        <f t="shared" si="117"/>
        <v>0.6</v>
      </c>
      <c r="AF278" s="177">
        <f t="shared" si="118"/>
        <v>0.99211398234311043</v>
      </c>
      <c r="AG278" s="799">
        <f t="shared" si="124"/>
        <v>0</v>
      </c>
      <c r="AH278" s="176">
        <f t="shared" si="119"/>
        <v>6</v>
      </c>
      <c r="AI278" s="224">
        <f t="shared" si="120"/>
        <v>0.99211398234311043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09">
        <f>'2022'!Wh/'2022'!Env_an*'2023'!Env_an</f>
        <v>45.130571219061601</v>
      </c>
      <c r="C279" s="829"/>
      <c r="D279" s="391">
        <f t="shared" si="102"/>
        <v>46.634095881732911</v>
      </c>
      <c r="E279" s="383">
        <f t="shared" si="100"/>
        <v>47.73676613663509</v>
      </c>
      <c r="F279" s="383">
        <f t="shared" si="103"/>
        <v>47.79653010376262</v>
      </c>
      <c r="G279" s="110">
        <f t="shared" si="101"/>
        <v>0.98963257848109887</v>
      </c>
      <c r="H279" s="412" t="b">
        <f>Wh_hp&gt;='2022'!Maxi_hp</f>
        <v>0</v>
      </c>
      <c r="I279" s="379">
        <f>IF(H279,Wh_hp,'2022'!Maxi_hp)</f>
        <v>47.796779205155985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3.2240888007871948E-2</v>
      </c>
      <c r="M279" s="832"/>
      <c r="N279" s="832"/>
      <c r="O279" s="48">
        <f>IF(t&lt;Tnet,'2022'!Resal+('2022'!Salim-'2022'!Resal)*(1-EXP(('2022'!Tnet-t)/('2022'!Tau_j))),Resal+(Salim-Resal)*(1-EXP((Tnet-t)/(Tau_j))))*Salcycl</f>
        <v>2.3098972639789914E-2</v>
      </c>
      <c r="P279" s="338">
        <f>(INDEX(Models!$BJ279:$BT279,,T279)*(1-R279)+INDEX(Models!$BJ279:$BT279,,T279+1)*R279-ERP_i)*Q279*Ramure*Pc/MaxiM</f>
        <v>1.2691460758644968E-3</v>
      </c>
      <c r="Q279" s="304">
        <f t="shared" si="105"/>
        <v>0.6</v>
      </c>
      <c r="R279" s="177">
        <f t="shared" si="106"/>
        <v>0.99239845793792059</v>
      </c>
      <c r="S279" s="799">
        <f t="shared" si="107"/>
        <v>0</v>
      </c>
      <c r="T279" s="176">
        <f t="shared" si="108"/>
        <v>6</v>
      </c>
      <c r="U279" s="250">
        <f t="shared" si="109"/>
        <v>0.99239845793792059</v>
      </c>
      <c r="V279" s="382">
        <f t="shared" si="110"/>
        <v>45.602503747777895</v>
      </c>
      <c r="W279" s="400">
        <f t="shared" si="111"/>
        <v>45.130571219061601</v>
      </c>
      <c r="X279" s="157">
        <f t="shared" si="112"/>
        <v>45191</v>
      </c>
      <c r="Y279" s="383">
        <f t="shared" si="113"/>
        <v>43.957887439968665</v>
      </c>
      <c r="Z279" s="383">
        <f t="shared" si="114"/>
        <v>45.422344150789279</v>
      </c>
      <c r="AA279" s="384">
        <f t="shared" si="115"/>
        <v>47.73676613663509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4.8483007399817035E-2</v>
      </c>
      <c r="AD279" s="230">
        <f>(INDEX(Models!$BJ279:$BT279,,AH279)*(1-AF279)+INDEX(Models!$BJ279:$BT279,,AH279+1)*AF279-ERP_i)*AE279*Ramure*Pc/MaxiM</f>
        <v>1.2691460758644968E-3</v>
      </c>
      <c r="AE279" s="304">
        <f t="shared" si="117"/>
        <v>0.6</v>
      </c>
      <c r="AF279" s="177">
        <f t="shared" si="118"/>
        <v>0.99239845793792059</v>
      </c>
      <c r="AG279" s="799">
        <f t="shared" si="124"/>
        <v>0</v>
      </c>
      <c r="AH279" s="176">
        <f t="shared" si="119"/>
        <v>6</v>
      </c>
      <c r="AI279" s="224">
        <f t="shared" si="120"/>
        <v>0.99239845793792059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09">
        <f>'2022'!Wh/'2022'!Env_an*'2023'!Env_an</f>
        <v>28.643792959235739</v>
      </c>
      <c r="C280" s="829"/>
      <c r="D280" s="391">
        <f t="shared" si="102"/>
        <v>29.598627971117303</v>
      </c>
      <c r="E280" s="383">
        <f t="shared" si="100"/>
        <v>30.301222035146388</v>
      </c>
      <c r="F280" s="383">
        <f t="shared" si="103"/>
        <v>30.320054016259686</v>
      </c>
      <c r="G280" s="110">
        <f t="shared" si="101"/>
        <v>0.63185298817646629</v>
      </c>
      <c r="H280" s="412" t="b">
        <f>Wh_hp&gt;='2022'!Maxi_hp</f>
        <v>0</v>
      </c>
      <c r="I280" s="379">
        <f>IF(H280,Wh_hp,'2022'!Maxi_hp)</f>
        <v>41.863369362780062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3.2259434890472005E-2</v>
      </c>
      <c r="M280" s="832"/>
      <c r="N280" s="832"/>
      <c r="O280" s="48">
        <f>IF(t&lt;Tnet,'2022'!Resal+('2022'!Salim-'2022'!Resal)*(1-EXP(('2022'!Tnet-t)/('2022'!Tau_j))),Resal+(Salim-Resal)*(1-EXP((Tnet-t)/(Tau_j))))*Salcycl</f>
        <v>2.318698774637358E-2</v>
      </c>
      <c r="P280" s="338">
        <f>(INDEX(Models!$BJ280:$BT280,,T280)*(1-R280)+INDEX(Models!$BJ280:$BT280,,T280+1)*R280-ERP_i)*Q280*Ramure*Pc/MaxiM</f>
        <v>1.3084273897532991E-3</v>
      </c>
      <c r="Q280" s="304">
        <f t="shared" si="105"/>
        <v>0.6</v>
      </c>
      <c r="R280" s="177">
        <f t="shared" si="106"/>
        <v>0.99267178819348589</v>
      </c>
      <c r="S280" s="799">
        <f t="shared" si="107"/>
        <v>0</v>
      </c>
      <c r="T280" s="176">
        <f t="shared" si="108"/>
        <v>6</v>
      </c>
      <c r="U280" s="250">
        <f t="shared" si="109"/>
        <v>0.99267178819348589</v>
      </c>
      <c r="V280" s="382">
        <f t="shared" si="110"/>
        <v>45.301824602476216</v>
      </c>
      <c r="W280" s="400">
        <f t="shared" si="111"/>
        <v>28.643792959235739</v>
      </c>
      <c r="X280" s="157">
        <f t="shared" si="112"/>
        <v>45192</v>
      </c>
      <c r="Y280" s="383">
        <f t="shared" si="113"/>
        <v>27.900402781142727</v>
      </c>
      <c r="Z280" s="383">
        <f t="shared" si="114"/>
        <v>28.830457032650052</v>
      </c>
      <c r="AA280" s="384">
        <f t="shared" si="115"/>
        <v>30.301222035146388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4.8538141491138317E-2</v>
      </c>
      <c r="AD280" s="230">
        <f>(INDEX(Models!$BJ280:$BT280,,AH280)*(1-AF280)+INDEX(Models!$BJ280:$BT280,,AH280+1)*AF280-ERP_i)*AE280*Ramure*Pc/MaxiM</f>
        <v>1.3084273897532991E-3</v>
      </c>
      <c r="AE280" s="304">
        <f t="shared" si="117"/>
        <v>0.6</v>
      </c>
      <c r="AF280" s="177">
        <f t="shared" si="118"/>
        <v>0.99267178819348589</v>
      </c>
      <c r="AG280" s="799">
        <f t="shared" si="124"/>
        <v>0</v>
      </c>
      <c r="AH280" s="176">
        <f t="shared" si="119"/>
        <v>6</v>
      </c>
      <c r="AI280" s="224">
        <f t="shared" si="120"/>
        <v>0.99267178819348589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09">
        <f>'2022'!Wh/'2022'!Env_an*'2023'!Env_an</f>
        <v>17.350858030571306</v>
      </c>
      <c r="C281" s="829"/>
      <c r="D281" s="391">
        <f t="shared" si="102"/>
        <v>17.929588970176315</v>
      </c>
      <c r="E281" s="383">
        <f t="shared" si="100"/>
        <v>18.356837021387708</v>
      </c>
      <c r="F281" s="383">
        <f t="shared" si="103"/>
        <v>18.359865018247088</v>
      </c>
      <c r="G281" s="110">
        <f t="shared" si="101"/>
        <v>0.38513556711170827</v>
      </c>
      <c r="H281" s="412" t="b">
        <f>Wh_hp&gt;='2022'!Maxi_hp</f>
        <v>0</v>
      </c>
      <c r="I281" s="379">
        <f>IF(H281,Wh_hp,'2022'!Maxi_hp)</f>
        <v>40.4343470381435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3.2277981417625168E-2</v>
      </c>
      <c r="M281" s="832"/>
      <c r="N281" s="832"/>
      <c r="O281" s="48">
        <f>IF(t&lt;Tnet,'2022'!Resal+('2022'!Salim-'2022'!Resal)*(1-EXP(('2022'!Tnet-t)/('2022'!Tau_j))),Resal+(Salim-Resal)*(1-EXP((Tnet-t)/(Tau_j))))*Salcycl</f>
        <v>2.3274600668601139E-2</v>
      </c>
      <c r="P281" s="338">
        <f>(INDEX(Models!$BJ281:$BT281,,T281)*(1-R281)+INDEX(Models!$BJ281:$BT281,,T281+1)*R281-ERP_i)*Q281*Ramure*Pc/MaxiM</f>
        <v>1.3488078955988824E-3</v>
      </c>
      <c r="Q281" s="304">
        <f t="shared" si="105"/>
        <v>0.6</v>
      </c>
      <c r="R281" s="177">
        <f t="shared" si="106"/>
        <v>0.99293439798562189</v>
      </c>
      <c r="S281" s="799">
        <f t="shared" si="107"/>
        <v>0</v>
      </c>
      <c r="T281" s="176">
        <f t="shared" si="108"/>
        <v>6</v>
      </c>
      <c r="U281" s="250">
        <f t="shared" si="109"/>
        <v>0.99293439798562189</v>
      </c>
      <c r="V281" s="382">
        <f t="shared" si="110"/>
        <v>44.997955874300921</v>
      </c>
      <c r="W281" s="400">
        <f t="shared" si="111"/>
        <v>17.350858030571306</v>
      </c>
      <c r="X281" s="157">
        <f t="shared" si="112"/>
        <v>45193</v>
      </c>
      <c r="Y281" s="383">
        <f t="shared" si="113"/>
        <v>16.901100448580053</v>
      </c>
      <c r="Z281" s="383">
        <f t="shared" si="114"/>
        <v>17.464829903672786</v>
      </c>
      <c r="AA281" s="384">
        <f t="shared" si="115"/>
        <v>18.356837021387708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4.8592636992725723E-2</v>
      </c>
      <c r="AD281" s="230">
        <f>(INDEX(Models!$BJ281:$BT281,,AH281)*(1-AF281)+INDEX(Models!$BJ281:$BT281,,AH281+1)*AF281-ERP_i)*AE281*Ramure*Pc/MaxiM</f>
        <v>1.3488078955988824E-3</v>
      </c>
      <c r="AE281" s="304">
        <f t="shared" si="117"/>
        <v>0.6</v>
      </c>
      <c r="AF281" s="177">
        <f t="shared" si="118"/>
        <v>0.99293439798562189</v>
      </c>
      <c r="AG281" s="799">
        <f t="shared" si="124"/>
        <v>0</v>
      </c>
      <c r="AH281" s="176">
        <f t="shared" si="119"/>
        <v>6</v>
      </c>
      <c r="AI281" s="224">
        <f t="shared" si="120"/>
        <v>0.99293439798562189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09">
        <f>'2022'!Wh/'2022'!Env_an*'2023'!Env_an</f>
        <v>36.538683083555576</v>
      </c>
      <c r="C282" s="829"/>
      <c r="D282" s="391">
        <f t="shared" si="102"/>
        <v>37.758139890242909</v>
      </c>
      <c r="E282" s="383">
        <f t="shared" si="100"/>
        <v>38.661338375562096</v>
      </c>
      <c r="F282" s="383">
        <f t="shared" si="103"/>
        <v>38.701193643511871</v>
      </c>
      <c r="G282" s="110">
        <f t="shared" si="101"/>
        <v>0.81728973308684583</v>
      </c>
      <c r="H282" s="412" t="b">
        <f>Wh_hp&gt;='2022'!Maxi_hp</f>
        <v>0</v>
      </c>
      <c r="I282" s="379">
        <f>IF(H282,Wh_hp,'2022'!Maxi_hp)</f>
        <v>38.705104282673666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3.2296527589338431E-2</v>
      </c>
      <c r="M282" s="832"/>
      <c r="N282" s="832"/>
      <c r="O282" s="48">
        <f>IF(t&lt;Tnet,'2022'!Resal+('2022'!Salim-'2022'!Resal)*(1-EXP(('2022'!Tnet-t)/('2022'!Tau_j))),Resal+(Salim-Resal)*(1-EXP((Tnet-t)/(Tau_j))))*Salcycl</f>
        <v>2.3361800787789107E-2</v>
      </c>
      <c r="P282" s="338">
        <f>(INDEX(Models!$BJ282:$BT282,,T282)*(1-R282)+INDEX(Models!$BJ282:$BT282,,T282+1)*R282-ERP_i)*Q282*Ramure*Pc/MaxiM</f>
        <v>1.3927598652568353E-3</v>
      </c>
      <c r="Q282" s="304">
        <f t="shared" si="105"/>
        <v>0.6</v>
      </c>
      <c r="R282" s="177">
        <f t="shared" si="106"/>
        <v>0.99318669691284023</v>
      </c>
      <c r="S282" s="799">
        <f t="shared" si="107"/>
        <v>0</v>
      </c>
      <c r="T282" s="176">
        <f t="shared" si="108"/>
        <v>6</v>
      </c>
      <c r="U282" s="250">
        <f t="shared" si="109"/>
        <v>0.99318669691284023</v>
      </c>
      <c r="V282" s="382">
        <f t="shared" si="110"/>
        <v>44.690893074676971</v>
      </c>
      <c r="W282" s="400">
        <f t="shared" si="111"/>
        <v>36.538683083555576</v>
      </c>
      <c r="X282" s="157">
        <f t="shared" si="112"/>
        <v>45194</v>
      </c>
      <c r="Y282" s="383">
        <f t="shared" si="113"/>
        <v>35.592714836595782</v>
      </c>
      <c r="Z282" s="383">
        <f t="shared" si="114"/>
        <v>36.780600515910315</v>
      </c>
      <c r="AA282" s="384">
        <f t="shared" si="115"/>
        <v>38.661338375562096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4.8646475747476901E-2</v>
      </c>
      <c r="AD282" s="230">
        <f>(INDEX(Models!$BJ282:$BT282,,AH282)*(1-AF282)+INDEX(Models!$BJ282:$BT282,,AH282+1)*AF282-ERP_i)*AE282*Ramure*Pc/MaxiM</f>
        <v>1.3927598652568353E-3</v>
      </c>
      <c r="AE282" s="304">
        <f t="shared" si="117"/>
        <v>0.6</v>
      </c>
      <c r="AF282" s="177">
        <f t="shared" si="118"/>
        <v>0.99318669691284023</v>
      </c>
      <c r="AG282" s="799">
        <f t="shared" si="124"/>
        <v>0</v>
      </c>
      <c r="AH282" s="176">
        <f t="shared" si="119"/>
        <v>6</v>
      </c>
      <c r="AI282" s="224">
        <f t="shared" si="120"/>
        <v>0.99318669691284023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09">
        <f>'2022'!Wh/'2022'!Env_an*'2023'!Env_an</f>
        <v>33.454190595321847</v>
      </c>
      <c r="C283" s="829"/>
      <c r="D283" s="391">
        <f t="shared" si="102"/>
        <v>34.571366852906074</v>
      </c>
      <c r="E283" s="383">
        <f t="shared" si="100"/>
        <v>35.401481229716495</v>
      </c>
      <c r="F283" s="383">
        <f t="shared" si="103"/>
        <v>35.434556704287587</v>
      </c>
      <c r="G283" s="110">
        <f t="shared" si="101"/>
        <v>0.75341724237932628</v>
      </c>
      <c r="H283" s="412" t="b">
        <f>Wh_hp&gt;='2022'!Maxi_hp</f>
        <v>0</v>
      </c>
      <c r="I283" s="379">
        <f>IF(H283,Wh_hp,'2022'!Maxi_hp)</f>
        <v>39.693686966189702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3.2315073405618566E-2</v>
      </c>
      <c r="M283" s="832"/>
      <c r="N283" s="832"/>
      <c r="O283" s="48">
        <f>IF(t&lt;Tnet,'2022'!Resal+('2022'!Salim-'2022'!Resal)*(1-EXP(('2022'!Tnet-t)/('2022'!Tau_j))),Resal+(Salim-Resal)*(1-EXP((Tnet-t)/(Tau_j))))*Salcycl</f>
        <v>2.3448577516400927E-2</v>
      </c>
      <c r="P283" s="338">
        <f>(INDEX(Models!$BJ283:$BT283,,T283)*(1-R283)+INDEX(Models!$BJ283:$BT283,,T283+1)*R283-ERP_i)*Q283*Ramure*Pc/MaxiM</f>
        <v>1.4398367942476545E-3</v>
      </c>
      <c r="Q283" s="304">
        <f t="shared" si="105"/>
        <v>0.6</v>
      </c>
      <c r="R283" s="177">
        <f t="shared" si="106"/>
        <v>0.99342907977321815</v>
      </c>
      <c r="S283" s="799">
        <f t="shared" si="107"/>
        <v>0</v>
      </c>
      <c r="T283" s="176">
        <f t="shared" si="108"/>
        <v>6</v>
      </c>
      <c r="U283" s="250">
        <f t="shared" si="109"/>
        <v>0.99342907977321815</v>
      </c>
      <c r="V283" s="382">
        <f t="shared" si="110"/>
        <v>44.380764421461002</v>
      </c>
      <c r="W283" s="400">
        <f t="shared" si="111"/>
        <v>33.454190595321847</v>
      </c>
      <c r="X283" s="157">
        <f t="shared" si="112"/>
        <v>45195</v>
      </c>
      <c r="Y283" s="383">
        <f t="shared" si="113"/>
        <v>32.589152839327099</v>
      </c>
      <c r="Z283" s="383">
        <f t="shared" si="114"/>
        <v>33.677441844650431</v>
      </c>
      <c r="AA283" s="384">
        <f t="shared" si="115"/>
        <v>35.401481229716495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4.8699639822383407E-2</v>
      </c>
      <c r="AD283" s="230">
        <f>(INDEX(Models!$BJ283:$BT283,,AH283)*(1-AF283)+INDEX(Models!$BJ283:$BT283,,AH283+1)*AF283-ERP_i)*AE283*Ramure*Pc/MaxiM</f>
        <v>1.4398367942476545E-3</v>
      </c>
      <c r="AE283" s="304">
        <f t="shared" si="117"/>
        <v>0.6</v>
      </c>
      <c r="AF283" s="177">
        <f t="shared" si="118"/>
        <v>0.99342907977321815</v>
      </c>
      <c r="AG283" s="799">
        <f t="shared" si="124"/>
        <v>0</v>
      </c>
      <c r="AH283" s="176">
        <f t="shared" si="119"/>
        <v>6</v>
      </c>
      <c r="AI283" s="224">
        <f t="shared" si="120"/>
        <v>0.99342907977321815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09">
        <f>'2022'!Wh/'2022'!Env_an*'2023'!Env_an</f>
        <v>17.739180163023399</v>
      </c>
      <c r="C284" s="829"/>
      <c r="D284" s="391">
        <f t="shared" si="102"/>
        <v>18.331917393103669</v>
      </c>
      <c r="E284" s="383">
        <f t="shared" si="100"/>
        <v>18.773756251267489</v>
      </c>
      <c r="F284" s="383">
        <f t="shared" si="103"/>
        <v>18.777855109976276</v>
      </c>
      <c r="G284" s="110">
        <f t="shared" si="101"/>
        <v>0.40203196930437213</v>
      </c>
      <c r="H284" s="412" t="b">
        <f>Wh_hp&gt;='2022'!Maxi_hp</f>
        <v>0</v>
      </c>
      <c r="I284" s="379">
        <f>IF(H284,Wh_hp,'2022'!Maxi_hp)</f>
        <v>37.960845399345402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3.2333618866472347E-2</v>
      </c>
      <c r="M284" s="832"/>
      <c r="N284" s="832"/>
      <c r="O284" s="48">
        <f>IF(t&lt;Tnet,'2022'!Resal+('2022'!Salim-'2022'!Resal)*(1-EXP(('2022'!Tnet-t)/('2022'!Tau_j))),Resal+(Salim-Resal)*(1-EXP((Tnet-t)/(Tau_j))))*Salcycl</f>
        <v>2.3534920356387923E-2</v>
      </c>
      <c r="P284" s="338">
        <f>(INDEX(Models!$BJ284:$BT284,,T284)*(1-R284)+INDEX(Models!$BJ284:$BT284,,T284+1)*R284-ERP_i)*Q284*Ramure*Pc/MaxiM</f>
        <v>1.4900629863040201E-3</v>
      </c>
      <c r="Q284" s="304">
        <f t="shared" si="105"/>
        <v>0.6</v>
      </c>
      <c r="R284" s="177">
        <f t="shared" si="106"/>
        <v>0.99366192703228728</v>
      </c>
      <c r="S284" s="799">
        <f t="shared" si="107"/>
        <v>0</v>
      </c>
      <c r="T284" s="176">
        <f t="shared" si="108"/>
        <v>6</v>
      </c>
      <c r="U284" s="250">
        <f t="shared" si="109"/>
        <v>0.99366192703228728</v>
      </c>
      <c r="V284" s="382">
        <f t="shared" si="110"/>
        <v>44.067676775779965</v>
      </c>
      <c r="W284" s="400">
        <f t="shared" si="111"/>
        <v>17.739180163023399</v>
      </c>
      <c r="X284" s="157">
        <f t="shared" si="112"/>
        <v>45196</v>
      </c>
      <c r="Y284" s="383">
        <f t="shared" si="113"/>
        <v>17.281066187988277</v>
      </c>
      <c r="Z284" s="383">
        <f t="shared" si="114"/>
        <v>17.858495990886009</v>
      </c>
      <c r="AA284" s="384">
        <f t="shared" si="115"/>
        <v>18.773756251267489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4.8752111624954547E-2</v>
      </c>
      <c r="AD284" s="230">
        <f>(INDEX(Models!$BJ284:$BT284,,AH284)*(1-AF284)+INDEX(Models!$BJ284:$BT284,,AH284+1)*AF284-ERP_i)*AE284*Ramure*Pc/MaxiM</f>
        <v>1.4900629863040201E-3</v>
      </c>
      <c r="AE284" s="304">
        <f t="shared" si="117"/>
        <v>0.6</v>
      </c>
      <c r="AF284" s="177">
        <f t="shared" si="118"/>
        <v>0.99366192703228728</v>
      </c>
      <c r="AG284" s="799">
        <f t="shared" si="124"/>
        <v>0</v>
      </c>
      <c r="AH284" s="176">
        <f t="shared" si="119"/>
        <v>6</v>
      </c>
      <c r="AI284" s="224">
        <f t="shared" si="120"/>
        <v>0.99366192703228728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09">
        <f>'2022'!Wh/'2022'!Env_an*'2023'!Env_an</f>
        <v>20.105611119920688</v>
      </c>
      <c r="C285" s="829"/>
      <c r="D285" s="391">
        <f t="shared" si="102"/>
        <v>20.777818511379348</v>
      </c>
      <c r="E285" s="383">
        <f t="shared" si="100"/>
        <v>21.280480898086996</v>
      </c>
      <c r="F285" s="383">
        <f t="shared" si="103"/>
        <v>21.287969447390999</v>
      </c>
      <c r="G285" s="110">
        <f t="shared" si="101"/>
        <v>0.45899076096994396</v>
      </c>
      <c r="H285" s="412" t="b">
        <f>Wh_hp&gt;='2022'!Maxi_hp</f>
        <v>0</v>
      </c>
      <c r="I285" s="379">
        <f>IF(H285,Wh_hp,'2022'!Maxi_hp)</f>
        <v>38.326040675068562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3.2352163971906545E-2</v>
      </c>
      <c r="M285" s="832"/>
      <c r="N285" s="832"/>
      <c r="O285" s="48">
        <f>IF(t&lt;Tnet,'2022'!Resal+('2022'!Salim-'2022'!Resal)*(1-EXP(('2022'!Tnet-t)/('2022'!Tau_j))),Resal+(Salim-Resal)*(1-EXP((Tnet-t)/(Tau_j))))*Salcycl</f>
        <v>2.3620818961513062E-2</v>
      </c>
      <c r="P285" s="338">
        <f>(INDEX(Models!$BJ285:$BT285,,T285)*(1-R285)+INDEX(Models!$BJ285:$BT285,,T285+1)*R285-ERP_i)*Q285*Ramure*Pc/MaxiM</f>
        <v>1.5434613997151118E-3</v>
      </c>
      <c r="Q285" s="304">
        <f t="shared" si="105"/>
        <v>0.6</v>
      </c>
      <c r="R285" s="177">
        <f t="shared" si="106"/>
        <v>0.99388560528157399</v>
      </c>
      <c r="S285" s="799">
        <f t="shared" si="107"/>
        <v>0</v>
      </c>
      <c r="T285" s="176">
        <f t="shared" si="108"/>
        <v>6</v>
      </c>
      <c r="U285" s="250">
        <f t="shared" si="109"/>
        <v>0.99388560528157399</v>
      </c>
      <c r="V285" s="382">
        <f t="shared" si="110"/>
        <v>43.751737046146069</v>
      </c>
      <c r="W285" s="400">
        <f t="shared" si="111"/>
        <v>20.105611119920688</v>
      </c>
      <c r="X285" s="157">
        <f t="shared" si="112"/>
        <v>45197</v>
      </c>
      <c r="Y285" s="383">
        <f t="shared" si="113"/>
        <v>19.58704136569672</v>
      </c>
      <c r="Z285" s="383">
        <f t="shared" si="114"/>
        <v>20.241910989121518</v>
      </c>
      <c r="AA285" s="384">
        <f t="shared" si="115"/>
        <v>21.280480898086996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4.8803874026119382E-2</v>
      </c>
      <c r="AD285" s="230">
        <f>(INDEX(Models!$BJ285:$BT285,,AH285)*(1-AF285)+INDEX(Models!$BJ285:$BT285,,AH285+1)*AF285-ERP_i)*AE285*Ramure*Pc/MaxiM</f>
        <v>1.5434613997151118E-3</v>
      </c>
      <c r="AE285" s="304">
        <f t="shared" si="117"/>
        <v>0.6</v>
      </c>
      <c r="AF285" s="177">
        <f t="shared" si="118"/>
        <v>0.99388560528157399</v>
      </c>
      <c r="AG285" s="799">
        <f t="shared" si="124"/>
        <v>0</v>
      </c>
      <c r="AH285" s="176">
        <f t="shared" si="119"/>
        <v>6</v>
      </c>
      <c r="AI285" s="224">
        <f t="shared" si="120"/>
        <v>0.99388560528157399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09">
        <f>'2022'!Wh/'2022'!Env_an*'2023'!Env_an</f>
        <v>24.156819070100543</v>
      </c>
      <c r="C286" s="829"/>
      <c r="D286" s="391">
        <f t="shared" si="102"/>
        <v>24.964952268232331</v>
      </c>
      <c r="E286" s="383">
        <f t="shared" si="100"/>
        <v>25.571148648505357</v>
      </c>
      <c r="F286" s="383">
        <f t="shared" si="103"/>
        <v>25.586131520025088</v>
      </c>
      <c r="G286" s="110">
        <f t="shared" si="101"/>
        <v>0.55562059713481304</v>
      </c>
      <c r="H286" s="412" t="b">
        <f>Wh_hp&gt;='2022'!Maxi_hp</f>
        <v>0</v>
      </c>
      <c r="I286" s="379">
        <f>IF(H286,Wh_hp,'2022'!Maxi_hp)</f>
        <v>44.025423023353014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3.2370708721928154E-2</v>
      </c>
      <c r="M286" s="832"/>
      <c r="N286" s="832"/>
      <c r="O286" s="48">
        <f>IF(t&lt;Tnet,'2022'!Resal+('2022'!Salim-'2022'!Resal)*(1-EXP(('2022'!Tnet-t)/('2022'!Tau_j))),Resal+(Salim-Resal)*(1-EXP((Tnet-t)/(Tau_j))))*Salcycl</f>
        <v>2.3706263203333282E-2</v>
      </c>
      <c r="P286" s="338">
        <f>(INDEX(Models!$BJ286:$BT286,,T286)*(1-R286)+INDEX(Models!$BJ286:$BT286,,T286+1)*R286-ERP_i)*Q286*Ramure*Pc/MaxiM</f>
        <v>1.6000534816871302E-3</v>
      </c>
      <c r="Q286" s="304">
        <f t="shared" si="105"/>
        <v>0.6</v>
      </c>
      <c r="R286" s="177">
        <f t="shared" si="106"/>
        <v>0.99410046768748428</v>
      </c>
      <c r="S286" s="799">
        <f t="shared" si="107"/>
        <v>0</v>
      </c>
      <c r="T286" s="176">
        <f t="shared" si="108"/>
        <v>6</v>
      </c>
      <c r="U286" s="250">
        <f t="shared" si="109"/>
        <v>0.99410046768748428</v>
      </c>
      <c r="V286" s="382">
        <f t="shared" si="110"/>
        <v>43.433052193863261</v>
      </c>
      <c r="W286" s="400">
        <f t="shared" si="111"/>
        <v>24.156819070100543</v>
      </c>
      <c r="X286" s="157">
        <f t="shared" si="112"/>
        <v>45198</v>
      </c>
      <c r="Y286" s="383">
        <f t="shared" si="113"/>
        <v>23.534556220881417</v>
      </c>
      <c r="Z286" s="383">
        <f t="shared" si="114"/>
        <v>24.321872470185681</v>
      </c>
      <c r="AA286" s="384">
        <f t="shared" si="115"/>
        <v>25.571148648505357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4.8854910488844869E-2</v>
      </c>
      <c r="AD286" s="230">
        <f>(INDEX(Models!$BJ286:$BT286,,AH286)*(1-AF286)+INDEX(Models!$BJ286:$BT286,,AH286+1)*AF286-ERP_i)*AE286*Ramure*Pc/MaxiM</f>
        <v>1.6000534816871302E-3</v>
      </c>
      <c r="AE286" s="304">
        <f t="shared" si="117"/>
        <v>0.6</v>
      </c>
      <c r="AF286" s="177">
        <f t="shared" si="118"/>
        <v>0.99410046768748428</v>
      </c>
      <c r="AG286" s="799">
        <f t="shared" si="124"/>
        <v>0</v>
      </c>
      <c r="AH286" s="176">
        <f t="shared" si="119"/>
        <v>6</v>
      </c>
      <c r="AI286" s="224">
        <f t="shared" si="120"/>
        <v>0.99410046768748428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09">
        <f>'2022'!Wh/'2022'!Env_an*'2023'!Env_an</f>
        <v>28.665671301786332</v>
      </c>
      <c r="C287" s="829"/>
      <c r="D287" s="391">
        <f t="shared" si="102"/>
        <v>29.625209717972432</v>
      </c>
      <c r="E287" s="383">
        <f t="shared" si="100"/>
        <v>30.347207513597212</v>
      </c>
      <c r="F287" s="383">
        <f t="shared" si="103"/>
        <v>30.373489643477708</v>
      </c>
      <c r="G287" s="110">
        <f t="shared" si="101"/>
        <v>0.6643870583348086</v>
      </c>
      <c r="H287" s="412" t="b">
        <f>Wh_hp&gt;='2022'!Maxi_hp</f>
        <v>0</v>
      </c>
      <c r="I287" s="379">
        <f>IF(H287,Wh_hp,'2022'!Maxi_hp)</f>
        <v>36.159220038545989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3.2389253116543726E-2</v>
      </c>
      <c r="M287" s="832"/>
      <c r="N287" s="832"/>
      <c r="O287" s="48">
        <f>IF(t&lt;Tnet,'2022'!Resal+('2022'!Salim-'2022'!Resal)*(1-EXP(('2022'!Tnet-t)/('2022'!Tau_j))),Resal+(Salim-Resal)*(1-EXP((Tnet-t)/(Tau_j))))*Salcycl</f>
        <v>2.3791243240462497E-2</v>
      </c>
      <c r="P287" s="338">
        <f>(INDEX(Models!$BJ287:$BT287,,T287)*(1-R287)+INDEX(Models!$BJ287:$BT287,,T287+1)*R287-ERP_i)*Q287*Ramure*Pc/MaxiM</f>
        <v>1.659859009899372E-3</v>
      </c>
      <c r="Q287" s="304">
        <f t="shared" si="105"/>
        <v>0.6</v>
      </c>
      <c r="R287" s="177">
        <f t="shared" si="106"/>
        <v>0.99430685443029321</v>
      </c>
      <c r="S287" s="799">
        <f t="shared" si="107"/>
        <v>0</v>
      </c>
      <c r="T287" s="176">
        <f t="shared" si="108"/>
        <v>6</v>
      </c>
      <c r="U287" s="250">
        <f t="shared" si="109"/>
        <v>0.99430685443029321</v>
      </c>
      <c r="V287" s="382">
        <f t="shared" si="110"/>
        <v>43.111729227049373</v>
      </c>
      <c r="W287" s="400">
        <f t="shared" si="111"/>
        <v>28.665671301786332</v>
      </c>
      <c r="X287" s="157">
        <f t="shared" si="112"/>
        <v>45199</v>
      </c>
      <c r="Y287" s="383">
        <f t="shared" si="113"/>
        <v>27.928217787177751</v>
      </c>
      <c r="Z287" s="383">
        <f t="shared" si="114"/>
        <v>28.863071102848718</v>
      </c>
      <c r="AA287" s="384">
        <f t="shared" si="115"/>
        <v>30.347207513597212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4.8905205201615981E-2</v>
      </c>
      <c r="AD287" s="230">
        <f>(INDEX(Models!$BJ287:$BT287,,AH287)*(1-AF287)+INDEX(Models!$BJ287:$BT287,,AH287+1)*AF287-ERP_i)*AE287*Ramure*Pc/MaxiM</f>
        <v>1.659859009899372E-3</v>
      </c>
      <c r="AE287" s="304">
        <f t="shared" si="117"/>
        <v>0.6</v>
      </c>
      <c r="AF287" s="177">
        <f t="shared" si="118"/>
        <v>0.99430685443029321</v>
      </c>
      <c r="AG287" s="799">
        <f t="shared" si="124"/>
        <v>0</v>
      </c>
      <c r="AH287" s="176">
        <f t="shared" si="119"/>
        <v>6</v>
      </c>
      <c r="AI287" s="224">
        <f t="shared" si="120"/>
        <v>0.99430685443029321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09">
        <f>'2022'!Wh/'2022'!Env_an*'2023'!Env_an</f>
        <v>37.454689627405493</v>
      </c>
      <c r="C288" s="829"/>
      <c r="D288" s="391">
        <f t="shared" si="102"/>
        <v>38.709168508497008</v>
      </c>
      <c r="E288" s="383">
        <f t="shared" si="100"/>
        <v>39.655984873099229</v>
      </c>
      <c r="F288" s="383">
        <f t="shared" si="103"/>
        <v>39.71222198543839</v>
      </c>
      <c r="G288" s="110">
        <f t="shared" si="101"/>
        <v>0.87508862747206828</v>
      </c>
      <c r="H288" s="412" t="b">
        <f>Wh_hp&gt;='2022'!Maxi_hp</f>
        <v>0</v>
      </c>
      <c r="I288" s="379">
        <f>IF(H288,Wh_hp,'2022'!Maxi_hp)</f>
        <v>44.503895100671492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3.2407797155760254E-2</v>
      </c>
      <c r="M288" s="832"/>
      <c r="N288" s="832"/>
      <c r="O288" s="48">
        <f>IF(t&lt;Tnet,'2022'!Resal+('2022'!Salim-'2022'!Resal)*(1-EXP(('2022'!Tnet-t)/('2022'!Tau_j))),Resal+(Salim-Resal)*(1-EXP((Tnet-t)/(Tau_j))))*Salcycl</f>
        <v>2.3875749590687719E-2</v>
      </c>
      <c r="P288" s="338">
        <f>(INDEX(Models!$BJ288:$BT288,,T288)*(1-R288)+INDEX(Models!$BJ288:$BT288,,T288+1)*R288-ERP_i)*Q288*Ramure*Pc/MaxiM</f>
        <v>1.7228959426560156E-3</v>
      </c>
      <c r="Q288" s="304">
        <f t="shared" si="105"/>
        <v>0.6</v>
      </c>
      <c r="R288" s="177">
        <f t="shared" si="106"/>
        <v>0.99450509313304147</v>
      </c>
      <c r="S288" s="799">
        <f t="shared" si="107"/>
        <v>0</v>
      </c>
      <c r="T288" s="176">
        <f t="shared" si="108"/>
        <v>6</v>
      </c>
      <c r="U288" s="250">
        <f t="shared" si="109"/>
        <v>0.99450509313304147</v>
      </c>
      <c r="V288" s="382">
        <f t="shared" si="110"/>
        <v>42.787875203815716</v>
      </c>
      <c r="W288" s="400">
        <f t="shared" si="111"/>
        <v>37.454689627405493</v>
      </c>
      <c r="X288" s="157">
        <f t="shared" si="112"/>
        <v>45200</v>
      </c>
      <c r="Y288" s="383">
        <f t="shared" si="113"/>
        <v>36.492388033111666</v>
      </c>
      <c r="Z288" s="383">
        <f t="shared" si="114"/>
        <v>37.714636316665427</v>
      </c>
      <c r="AA288" s="384">
        <f t="shared" si="115"/>
        <v>39.655984873099229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4.8954743215839952E-2</v>
      </c>
      <c r="AD288" s="230">
        <f>(INDEX(Models!$BJ288:$BT288,,AH288)*(1-AF288)+INDEX(Models!$BJ288:$BT288,,AH288+1)*AF288-ERP_i)*AE288*Ramure*Pc/MaxiM</f>
        <v>1.7228959426560156E-3</v>
      </c>
      <c r="AE288" s="304">
        <f t="shared" si="117"/>
        <v>0.6</v>
      </c>
      <c r="AF288" s="177">
        <f t="shared" si="118"/>
        <v>0.99450509313304147</v>
      </c>
      <c r="AG288" s="799">
        <f t="shared" si="124"/>
        <v>0</v>
      </c>
      <c r="AH288" s="176">
        <f t="shared" si="119"/>
        <v>6</v>
      </c>
      <c r="AI288" s="224">
        <f t="shared" si="120"/>
        <v>0.99450509313304147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09">
        <f>'2022'!Wh/'2022'!Env_an*'2023'!Env_an</f>
        <v>39.937132808279365</v>
      </c>
      <c r="C289" s="829"/>
      <c r="D289" s="391">
        <f t="shared" si="102"/>
        <v>41.275547789233613</v>
      </c>
      <c r="E289" s="383">
        <f t="shared" si="100"/>
        <v>42.288777302538783</v>
      </c>
      <c r="F289" s="383">
        <f t="shared" si="103"/>
        <v>42.358133375131118</v>
      </c>
      <c r="G289" s="110">
        <f t="shared" si="101"/>
        <v>0.94043962317401031</v>
      </c>
      <c r="H289" s="412" t="b">
        <f>Wh_hp&gt;='2022'!Maxi_hp</f>
        <v>0</v>
      </c>
      <c r="I289" s="379">
        <f>IF(H289,Wh_hp,'2022'!Maxi_hp)</f>
        <v>42.359955312979814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3.2426340839584511E-2</v>
      </c>
      <c r="M289" s="832"/>
      <c r="N289" s="832"/>
      <c r="O289" s="48">
        <f>IF(t&lt;Tnet,'2022'!Resal+('2022'!Salim-'2022'!Resal)*(1-EXP(('2022'!Tnet-t)/('2022'!Tau_j))),Resal+(Salim-Resal)*(1-EXP((Tnet-t)/(Tau_j))))*Salcycl</f>
        <v>2.3959773205463237E-2</v>
      </c>
      <c r="P289" s="338">
        <f>(INDEX(Models!$BJ289:$BT289,,T289)*(1-R289)+INDEX(Models!$BJ289:$BT289,,T289+1)*R289-ERP_i)*Q289*Ramure*Pc/MaxiM</f>
        <v>1.7892478656951823E-3</v>
      </c>
      <c r="Q289" s="304">
        <f t="shared" si="105"/>
        <v>0.6</v>
      </c>
      <c r="R289" s="177">
        <f t="shared" si="106"/>
        <v>0.99469549928019785</v>
      </c>
      <c r="S289" s="799">
        <f t="shared" si="107"/>
        <v>0</v>
      </c>
      <c r="T289" s="176">
        <f t="shared" si="108"/>
        <v>6</v>
      </c>
      <c r="U289" s="250">
        <f t="shared" si="109"/>
        <v>0.99469549928019785</v>
      </c>
      <c r="V289" s="382">
        <f t="shared" si="110"/>
        <v>42.459990453541955</v>
      </c>
      <c r="W289" s="400">
        <f t="shared" si="111"/>
        <v>39.937132808279365</v>
      </c>
      <c r="X289" s="157">
        <f t="shared" si="112"/>
        <v>45201</v>
      </c>
      <c r="Y289" s="383">
        <f t="shared" si="113"/>
        <v>38.912405508797825</v>
      </c>
      <c r="Z289" s="383">
        <f t="shared" si="114"/>
        <v>40.216478756318104</v>
      </c>
      <c r="AA289" s="384">
        <f t="shared" si="115"/>
        <v>42.288777302538783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4.9003510586159073E-2</v>
      </c>
      <c r="AD289" s="230">
        <f>(INDEX(Models!$BJ289:$BT289,,AH289)*(1-AF289)+INDEX(Models!$BJ289:$BT289,,AH289+1)*AF289-ERP_i)*AE289*Ramure*Pc/MaxiM</f>
        <v>1.7892478656951823E-3</v>
      </c>
      <c r="AE289" s="304">
        <f t="shared" si="117"/>
        <v>0.6</v>
      </c>
      <c r="AF289" s="177">
        <f t="shared" si="118"/>
        <v>0.99469549928019785</v>
      </c>
      <c r="AG289" s="799">
        <f t="shared" si="124"/>
        <v>0</v>
      </c>
      <c r="AH289" s="176">
        <f t="shared" si="119"/>
        <v>6</v>
      </c>
      <c r="AI289" s="224">
        <f t="shared" si="120"/>
        <v>0.99469549928019785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09">
        <f>'2022'!Wh/'2022'!Env_an*'2023'!Env_an</f>
        <v>38.552424170231433</v>
      </c>
      <c r="C290" s="829"/>
      <c r="D290" s="391">
        <f t="shared" si="102"/>
        <v>39.845196970594444</v>
      </c>
      <c r="E290" s="383">
        <f t="shared" si="100"/>
        <v>40.826808399420472</v>
      </c>
      <c r="F290" s="383">
        <f t="shared" si="103"/>
        <v>40.893696279066127</v>
      </c>
      <c r="G290" s="110">
        <f t="shared" si="101"/>
        <v>0.91494460835775748</v>
      </c>
      <c r="H290" s="412" t="b">
        <f>Wh_hp&gt;='2022'!Maxi_hp</f>
        <v>0</v>
      </c>
      <c r="I290" s="379">
        <f>IF(H290,Wh_hp,'2022'!Maxi_hp)</f>
        <v>40.896316490611177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3.2444884168023269E-2</v>
      </c>
      <c r="M290" s="832"/>
      <c r="N290" s="832"/>
      <c r="O290" s="48">
        <f>IF(t&lt;Tnet,'2022'!Resal+('2022'!Salim-'2022'!Resal)*(1-EXP(('2022'!Tnet-t)/('2022'!Tau_j))),Resal+(Salim-Resal)*(1-EXP((Tnet-t)/(Tau_j))))*Salcycl</f>
        <v>2.404330554626358E-2</v>
      </c>
      <c r="P290" s="338">
        <f>(INDEX(Models!$BJ290:$BT290,,T290)*(1-R290)+INDEX(Models!$BJ290:$BT290,,T290+1)*R290-ERP_i)*Q290*Ramure*Pc/MaxiM</f>
        <v>1.8612601404544517E-3</v>
      </c>
      <c r="Q290" s="304">
        <f t="shared" si="105"/>
        <v>0.6</v>
      </c>
      <c r="R290" s="177">
        <f t="shared" si="106"/>
        <v>0.99487837662598588</v>
      </c>
      <c r="S290" s="799">
        <f t="shared" si="107"/>
        <v>0</v>
      </c>
      <c r="T290" s="176">
        <f t="shared" si="108"/>
        <v>6</v>
      </c>
      <c r="U290" s="250">
        <f t="shared" si="109"/>
        <v>0.99487837662598588</v>
      </c>
      <c r="V290" s="382">
        <f t="shared" si="110"/>
        <v>42.12682587542124</v>
      </c>
      <c r="W290" s="400">
        <f t="shared" si="111"/>
        <v>38.552424170231433</v>
      </c>
      <c r="X290" s="157">
        <f t="shared" si="112"/>
        <v>45202</v>
      </c>
      <c r="Y290" s="383">
        <f t="shared" si="113"/>
        <v>37.564546004900876</v>
      </c>
      <c r="Z290" s="383">
        <f t="shared" si="114"/>
        <v>38.82419243124982</v>
      </c>
      <c r="AA290" s="384">
        <f t="shared" si="115"/>
        <v>40.826808399420472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4.9051494512587952E-2</v>
      </c>
      <c r="AD290" s="230">
        <f>(INDEX(Models!$BJ290:$BT290,,AH290)*(1-AF290)+INDEX(Models!$BJ290:$BT290,,AH290+1)*AF290-ERP_i)*AE290*Ramure*Pc/MaxiM</f>
        <v>1.8612601404544517E-3</v>
      </c>
      <c r="AE290" s="304">
        <f t="shared" si="117"/>
        <v>0.6</v>
      </c>
      <c r="AF290" s="177">
        <f t="shared" si="118"/>
        <v>0.99487837662598588</v>
      </c>
      <c r="AG290" s="799">
        <f t="shared" si="124"/>
        <v>0</v>
      </c>
      <c r="AH290" s="176">
        <f t="shared" si="119"/>
        <v>6</v>
      </c>
      <c r="AI290" s="224">
        <f t="shared" si="120"/>
        <v>0.99487837662598588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09">
        <f>'2022'!Wh/'2022'!Env_an*'2023'!Env_an</f>
        <v>42.466525231060437</v>
      </c>
      <c r="C291" s="829"/>
      <c r="D291" s="391">
        <f t="shared" si="102"/>
        <v>43.891390178232349</v>
      </c>
      <c r="E291" s="383">
        <f t="shared" si="100"/>
        <v>44.976508657959279</v>
      </c>
      <c r="F291" s="383">
        <f t="shared" si="103"/>
        <v>45.063870180118194</v>
      </c>
      <c r="G291" s="110">
        <f t="shared" si="101"/>
        <v>1.0162124309112455</v>
      </c>
      <c r="H291" s="412" t="b">
        <f>Wh_hp&gt;='2022'!Maxi_hp</f>
        <v>1</v>
      </c>
      <c r="I291" s="379">
        <f>IF(H291,Wh_hp,'2022'!Maxi_hp)</f>
        <v>45.063870180118194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3.2463427141083412E-2</v>
      </c>
      <c r="M291" s="832"/>
      <c r="N291" s="832"/>
      <c r="O291" s="48">
        <f>IF(t&lt;Tnet,'2022'!Resal+('2022'!Salim-'2022'!Resal)*(1-EXP(('2022'!Tnet-t)/('2022'!Tau_j))),Resal+(Salim-Resal)*(1-EXP((Tnet-t)/(Tau_j))))*Salcycl</f>
        <v>2.4126338662236371E-2</v>
      </c>
      <c r="P291" s="338">
        <f>(INDEX(Models!$BJ291:$BT291,,T291)*(1-R291)+INDEX(Models!$BJ291:$BT291,,T291+1)*R291-ERP_i)*Q291*Ramure*Pc/MaxiM</f>
        <v>1.9386156095722103E-3</v>
      </c>
      <c r="Q291" s="304">
        <f t="shared" si="105"/>
        <v>0.6</v>
      </c>
      <c r="R291" s="177">
        <f t="shared" si="106"/>
        <v>0.99505401759231638</v>
      </c>
      <c r="S291" s="799">
        <f t="shared" si="107"/>
        <v>0</v>
      </c>
      <c r="T291" s="176">
        <f t="shared" si="108"/>
        <v>6</v>
      </c>
      <c r="U291" s="250">
        <f t="shared" si="109"/>
        <v>0.99505401759231638</v>
      </c>
      <c r="V291" s="382">
        <f t="shared" si="110"/>
        <v>41.789023573526237</v>
      </c>
      <c r="W291" s="400">
        <f t="shared" si="111"/>
        <v>42.466525231060437</v>
      </c>
      <c r="X291" s="157">
        <f t="shared" si="112"/>
        <v>45203</v>
      </c>
      <c r="Y291" s="383">
        <f t="shared" si="113"/>
        <v>41.37981825920712</v>
      </c>
      <c r="Z291" s="383">
        <f t="shared" si="114"/>
        <v>42.768221295176822</v>
      </c>
      <c r="AA291" s="384">
        <f t="shared" si="115"/>
        <v>44.976508657959279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4.909868348333149E-2</v>
      </c>
      <c r="AD291" s="230">
        <f>(INDEX(Models!$BJ291:$BT291,,AH291)*(1-AF291)+INDEX(Models!$BJ291:$BT291,,AH291+1)*AF291-ERP_i)*AE291*Ramure*Pc/MaxiM</f>
        <v>1.9386156095722103E-3</v>
      </c>
      <c r="AE291" s="304">
        <f t="shared" si="117"/>
        <v>0.6</v>
      </c>
      <c r="AF291" s="177">
        <f t="shared" si="118"/>
        <v>0.99505401759231638</v>
      </c>
      <c r="AG291" s="799">
        <f t="shared" si="124"/>
        <v>0</v>
      </c>
      <c r="AH291" s="176">
        <f t="shared" si="119"/>
        <v>6</v>
      </c>
      <c r="AI291" s="224">
        <f t="shared" si="120"/>
        <v>0.99505401759231638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09">
        <f>'2022'!Wh/'2022'!Env_an*'2023'!Env_an</f>
        <v>43.294490578204183</v>
      </c>
      <c r="C292" s="829"/>
      <c r="D292" s="391">
        <f t="shared" si="102"/>
        <v>44.747993551510042</v>
      </c>
      <c r="E292" s="383">
        <f t="shared" si="100"/>
        <v>45.858167756182489</v>
      </c>
      <c r="F292" s="383">
        <f t="shared" si="103"/>
        <v>45.951050325579985</v>
      </c>
      <c r="G292" s="110">
        <f t="shared" si="101"/>
        <v>1.0445694605831346</v>
      </c>
      <c r="H292" s="412" t="b">
        <f>Wh_hp&gt;='2022'!Maxi_hp</f>
        <v>1</v>
      </c>
      <c r="I292" s="379">
        <f>IF(H292,Wh_hp,'2022'!Maxi_hp)</f>
        <v>45.951050325579985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3.2481969758771712E-2</v>
      </c>
      <c r="M292" s="832"/>
      <c r="N292" s="832"/>
      <c r="O292" s="48">
        <f>IF(t&lt;Tnet,'2022'!Resal+('2022'!Salim-'2022'!Resal)*(1-EXP(('2022'!Tnet-t)/('2022'!Tau_j))),Resal+(Salim-Resal)*(1-EXP((Tnet-t)/(Tau_j))))*Salcycl</f>
        <v>2.4208865268560063E-2</v>
      </c>
      <c r="P292" s="338">
        <f>(INDEX(Models!$BJ292:$BT292,,T292)*(1-R292)+INDEX(Models!$BJ292:$BT292,,T292+1)*R292-ERP_i)*Q292*Ramure*Pc/MaxiM</f>
        <v>2.0213372434229058E-3</v>
      </c>
      <c r="Q292" s="304">
        <f t="shared" si="105"/>
        <v>0.6</v>
      </c>
      <c r="R292" s="177">
        <f t="shared" si="106"/>
        <v>0.99522270365629806</v>
      </c>
      <c r="S292" s="799">
        <f t="shared" si="107"/>
        <v>0</v>
      </c>
      <c r="T292" s="176">
        <f t="shared" si="108"/>
        <v>6</v>
      </c>
      <c r="U292" s="250">
        <f t="shared" si="109"/>
        <v>0.99522270365629806</v>
      </c>
      <c r="V292" s="382">
        <f t="shared" si="110"/>
        <v>41.44721075229873</v>
      </c>
      <c r="W292" s="400">
        <f t="shared" si="111"/>
        <v>43.294490578204183</v>
      </c>
      <c r="X292" s="157">
        <f t="shared" si="112"/>
        <v>45204</v>
      </c>
      <c r="Y292" s="383">
        <f t="shared" si="113"/>
        <v>42.18810609637255</v>
      </c>
      <c r="Z292" s="383">
        <f t="shared" si="114"/>
        <v>43.604465010180661</v>
      </c>
      <c r="AA292" s="384">
        <f t="shared" si="115"/>
        <v>45.858167756182489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4.9145067417090391E-2</v>
      </c>
      <c r="AD292" s="230">
        <f>(INDEX(Models!$BJ292:$BT292,,AH292)*(1-AF292)+INDEX(Models!$BJ292:$BT292,,AH292+1)*AF292-ERP_i)*AE292*Ramure*Pc/MaxiM</f>
        <v>2.0213372434229058E-3</v>
      </c>
      <c r="AE292" s="304">
        <f t="shared" si="117"/>
        <v>0.6</v>
      </c>
      <c r="AF292" s="177">
        <f t="shared" si="118"/>
        <v>0.99522270365629806</v>
      </c>
      <c r="AG292" s="799">
        <f t="shared" si="124"/>
        <v>0</v>
      </c>
      <c r="AH292" s="176">
        <f t="shared" si="119"/>
        <v>6</v>
      </c>
      <c r="AI292" s="224">
        <f t="shared" si="120"/>
        <v>0.99522270365629806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09">
        <f>'2022'!Wh/'2022'!Env_an*'2023'!Env_an</f>
        <v>11.959315613794907</v>
      </c>
      <c r="C293" s="829"/>
      <c r="D293" s="391">
        <f t="shared" si="102"/>
        <v>12.361056271748293</v>
      </c>
      <c r="E293" s="383">
        <f t="shared" si="100"/>
        <v>12.668792372116968</v>
      </c>
      <c r="F293" s="383">
        <f t="shared" si="103"/>
        <v>12.668792372116968</v>
      </c>
      <c r="G293" s="110">
        <f t="shared" si="101"/>
        <v>0.29035287625147965</v>
      </c>
      <c r="H293" s="412" t="b">
        <f>Wh_hp&gt;='2022'!Maxi_hp</f>
        <v>0</v>
      </c>
      <c r="I293" s="379">
        <f>IF(H293,Wh_hp,'2022'!Maxi_hp)</f>
        <v>29.938480404074163</v>
      </c>
      <c r="J293" s="85">
        <f>IF(H293,An,'2022'!An_max)</f>
        <v>2020</v>
      </c>
      <c r="K293" s="197">
        <f t="shared" si="104"/>
        <v>45205</v>
      </c>
      <c r="L293" s="147">
        <f>IF(t&lt;Tvie,1-EXP((T0-t)*PertePVj)+'2022'!Pspv,1-EXP((T0-t)*PertePVj)+Pspv)</f>
        <v>3.2500512021094941E-2</v>
      </c>
      <c r="M293" s="832"/>
      <c r="N293" s="832"/>
      <c r="O293" s="48">
        <f>IF(t&lt;Tnet,'2022'!Resal+('2022'!Salim-'2022'!Resal)*(1-EXP(('2022'!Tnet-t)/('2022'!Tau_j))),Resal+(Salim-Resal)*(1-EXP((Tnet-t)/(Tau_j))))*Salcycl</f>
        <v>2.4290878824881471E-2</v>
      </c>
      <c r="P293" s="338">
        <f>(INDEX(Models!$BJ293:$BT293,,T293)*(1-R293)+INDEX(Models!$BJ293:$BT293,,T293+1)*R293-ERP_i)*Q293*Ramure*Pc/MaxiM</f>
        <v>2.1094421604590354E-3</v>
      </c>
      <c r="Q293" s="304">
        <f t="shared" si="105"/>
        <v>0.6</v>
      </c>
      <c r="R293" s="177">
        <f t="shared" si="106"/>
        <v>0.99538470572733728</v>
      </c>
      <c r="S293" s="799">
        <f t="shared" si="107"/>
        <v>0</v>
      </c>
      <c r="T293" s="176">
        <f t="shared" si="108"/>
        <v>6</v>
      </c>
      <c r="U293" s="250">
        <f t="shared" si="109"/>
        <v>0.99538470572733728</v>
      </c>
      <c r="V293" s="382">
        <f t="shared" si="110"/>
        <v>41.10201449801589</v>
      </c>
      <c r="W293" s="400">
        <f t="shared" si="111"/>
        <v>11.959315613794907</v>
      </c>
      <c r="X293" s="157">
        <f t="shared" si="112"/>
        <v>45205</v>
      </c>
      <c r="Y293" s="383">
        <f t="shared" si="113"/>
        <v>11.654118019684544</v>
      </c>
      <c r="Z293" s="383">
        <f t="shared" si="114"/>
        <v>12.045606395130873</v>
      </c>
      <c r="AA293" s="384">
        <f t="shared" si="115"/>
        <v>12.668792372116968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4.9190637803621991E-2</v>
      </c>
      <c r="AD293" s="230">
        <f>(INDEX(Models!$BJ293:$BT293,,AH293)*(1-AF293)+INDEX(Models!$BJ293:$BT293,,AH293+1)*AF293-ERP_i)*AE293*Ramure*Pc/MaxiM</f>
        <v>2.1094421604590354E-3</v>
      </c>
      <c r="AE293" s="304">
        <f t="shared" si="117"/>
        <v>0.6</v>
      </c>
      <c r="AF293" s="177">
        <f t="shared" si="118"/>
        <v>0.99538470572733728</v>
      </c>
      <c r="AG293" s="799">
        <f t="shared" si="124"/>
        <v>0</v>
      </c>
      <c r="AH293" s="176">
        <f t="shared" si="119"/>
        <v>6</v>
      </c>
      <c r="AI293" s="224">
        <f t="shared" si="120"/>
        <v>0.99538470572733728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09">
        <f>'2022'!Wh/'2022'!Env_an*'2023'!Env_an</f>
        <v>30.039364869773372</v>
      </c>
      <c r="C294" s="829"/>
      <c r="D294" s="391">
        <f t="shared" si="102"/>
        <v>31.04905062134392</v>
      </c>
      <c r="E294" s="383">
        <f t="shared" si="100"/>
        <v>31.824693952478924</v>
      </c>
      <c r="F294" s="383">
        <f t="shared" si="103"/>
        <v>31.868530519482306</v>
      </c>
      <c r="G294" s="110">
        <f t="shared" si="101"/>
        <v>0.73647815341973377</v>
      </c>
      <c r="H294" s="412" t="b">
        <f>Wh_hp&gt;='2022'!Maxi_hp</f>
        <v>0</v>
      </c>
      <c r="I294" s="379">
        <f>IF(H294,Wh_hp,'2022'!Maxi_hp)</f>
        <v>43.826307821277801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3.2519053928059982E-2</v>
      </c>
      <c r="M294" s="832"/>
      <c r="N294" s="832"/>
      <c r="O294" s="48">
        <f>IF(t&lt;Tnet,'2022'!Resal+('2022'!Salim-'2022'!Resal)*(1-EXP(('2022'!Tnet-t)/('2022'!Tau_j))),Resal+(Salim-Resal)*(1-EXP((Tnet-t)/(Tau_j))))*Salcycl</f>
        <v>2.4372373613182417E-2</v>
      </c>
      <c r="P294" s="338">
        <f>(INDEX(Models!$BJ294:$BT294,,T294)*(1-R294)+INDEX(Models!$BJ294:$BT294,,T294+1)*R294-ERP_i)*Q294*Ramure*Pc/MaxiM</f>
        <v>2.2029406719764155E-3</v>
      </c>
      <c r="Q294" s="304">
        <f t="shared" si="105"/>
        <v>0.6</v>
      </c>
      <c r="R294" s="177">
        <f t="shared" si="106"/>
        <v>0.99554028451386012</v>
      </c>
      <c r="S294" s="799">
        <f t="shared" si="107"/>
        <v>0</v>
      </c>
      <c r="T294" s="176">
        <f t="shared" si="108"/>
        <v>6</v>
      </c>
      <c r="U294" s="250">
        <f t="shared" si="109"/>
        <v>0.99554028451386012</v>
      </c>
      <c r="V294" s="382">
        <f t="shared" si="110"/>
        <v>40.754061780884911</v>
      </c>
      <c r="W294" s="400">
        <f t="shared" si="111"/>
        <v>30.039364869773372</v>
      </c>
      <c r="X294" s="157">
        <f t="shared" si="112"/>
        <v>45206</v>
      </c>
      <c r="Y294" s="383">
        <f t="shared" si="113"/>
        <v>29.273838006899791</v>
      </c>
      <c r="Z294" s="383">
        <f t="shared" si="114"/>
        <v>30.257792802798047</v>
      </c>
      <c r="AA294" s="384">
        <f t="shared" si="115"/>
        <v>31.824693952478924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4.9235387841297044E-2</v>
      </c>
      <c r="AD294" s="230">
        <f>(INDEX(Models!$BJ294:$BT294,,AH294)*(1-AF294)+INDEX(Models!$BJ294:$BT294,,AH294+1)*AF294-ERP_i)*AE294*Ramure*Pc/MaxiM</f>
        <v>2.2029406719764155E-3</v>
      </c>
      <c r="AE294" s="304">
        <f t="shared" si="117"/>
        <v>0.6</v>
      </c>
      <c r="AF294" s="177">
        <f t="shared" si="118"/>
        <v>0.99554028451386012</v>
      </c>
      <c r="AG294" s="799">
        <f t="shared" si="124"/>
        <v>0</v>
      </c>
      <c r="AH294" s="176">
        <f t="shared" si="119"/>
        <v>6</v>
      </c>
      <c r="AI294" s="224">
        <f t="shared" si="120"/>
        <v>0.99554028451386012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09">
        <f>'2022'!Wh/'2022'!Env_an*'2023'!Env_an</f>
        <v>17.335676020724701</v>
      </c>
      <c r="C295" s="829"/>
      <c r="D295" s="391">
        <f t="shared" si="102"/>
        <v>17.918707682827048</v>
      </c>
      <c r="E295" s="383">
        <f t="shared" si="100"/>
        <v>18.367863379551096</v>
      </c>
      <c r="F295" s="383">
        <f t="shared" si="103"/>
        <v>18.375661792770856</v>
      </c>
      <c r="G295" s="110">
        <f t="shared" si="101"/>
        <v>0.42825275191409135</v>
      </c>
      <c r="H295" s="412" t="b">
        <f>Wh_hp&gt;='2022'!Maxi_hp</f>
        <v>0</v>
      </c>
      <c r="I295" s="379">
        <f>IF(H295,Wh_hp,'2022'!Maxi_hp)</f>
        <v>40.63677888339361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3.2537595479673609E-2</v>
      </c>
      <c r="M295" s="832"/>
      <c r="N295" s="832"/>
      <c r="O295" s="48">
        <f>IF(t&lt;Tnet,'2022'!Resal+('2022'!Salim-'2022'!Resal)*(1-EXP(('2022'!Tnet-t)/('2022'!Tau_j))),Resal+(Salim-Resal)*(1-EXP((Tnet-t)/(Tau_j))))*Salcycl</f>
        <v>2.4453344814405205E-2</v>
      </c>
      <c r="P295" s="338">
        <f>(INDEX(Models!$BJ295:$BT295,,T295)*(1-R295)+INDEX(Models!$BJ295:$BT295,,T295+1)*R295-ERP_i)*Q295*Ramure*Pc/MaxiM</f>
        <v>2.3018353113699735E-3</v>
      </c>
      <c r="Q295" s="304">
        <f t="shared" si="105"/>
        <v>0.6</v>
      </c>
      <c r="R295" s="177">
        <f t="shared" si="106"/>
        <v>0.99568969087972126</v>
      </c>
      <c r="S295" s="799">
        <f t="shared" si="107"/>
        <v>0</v>
      </c>
      <c r="T295" s="176">
        <f t="shared" si="108"/>
        <v>6</v>
      </c>
      <c r="U295" s="250">
        <f t="shared" si="109"/>
        <v>0.99568969087972126</v>
      </c>
      <c r="V295" s="382">
        <f t="shared" si="110"/>
        <v>40.403979447663367</v>
      </c>
      <c r="W295" s="400">
        <f t="shared" si="111"/>
        <v>17.335676020724701</v>
      </c>
      <c r="X295" s="157">
        <f t="shared" si="112"/>
        <v>45207</v>
      </c>
      <c r="Y295" s="383">
        <f t="shared" si="113"/>
        <v>16.894513179736226</v>
      </c>
      <c r="Z295" s="383">
        <f t="shared" si="114"/>
        <v>17.462707698820221</v>
      </c>
      <c r="AA295" s="384">
        <f t="shared" si="115"/>
        <v>18.367863379551096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4.92793125703768E-2</v>
      </c>
      <c r="AD295" s="230">
        <f>(INDEX(Models!$BJ295:$BT295,,AH295)*(1-AF295)+INDEX(Models!$BJ295:$BT295,,AH295+1)*AF295-ERP_i)*AE295*Ramure*Pc/MaxiM</f>
        <v>2.3018353113699735E-3</v>
      </c>
      <c r="AE295" s="304">
        <f t="shared" si="117"/>
        <v>0.6</v>
      </c>
      <c r="AF295" s="177">
        <f t="shared" si="118"/>
        <v>0.99568969087972126</v>
      </c>
      <c r="AG295" s="799">
        <f t="shared" si="124"/>
        <v>0</v>
      </c>
      <c r="AH295" s="176">
        <f t="shared" si="119"/>
        <v>6</v>
      </c>
      <c r="AI295" s="224">
        <f t="shared" si="120"/>
        <v>0.99568969087972126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09">
        <f>'2022'!Wh/'2022'!Env_an*'2023'!Env_an</f>
        <v>39.58035792186385</v>
      </c>
      <c r="C296" s="829"/>
      <c r="D296" s="391">
        <f t="shared" si="102"/>
        <v>40.9123044988564</v>
      </c>
      <c r="E296" s="383">
        <f t="shared" si="100"/>
        <v>41.941283070617118</v>
      </c>
      <c r="F296" s="383">
        <f t="shared" si="103"/>
        <v>42.040741711029348</v>
      </c>
      <c r="G296" s="110">
        <f t="shared" si="101"/>
        <v>0.98817455895312967</v>
      </c>
      <c r="H296" s="412" t="b">
        <f>Wh_hp&gt;='2022'!Maxi_hp</f>
        <v>0</v>
      </c>
      <c r="I296" s="379">
        <f>IF(H296,Wh_hp,'2022'!Maxi_hp)</f>
        <v>42.04123090982015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3.2556136675942593E-2</v>
      </c>
      <c r="M296" s="832"/>
      <c r="N296" s="832"/>
      <c r="O296" s="48">
        <f>IF(t&lt;Tnet,'2022'!Resal+('2022'!Salim-'2022'!Resal)*(1-EXP(('2022'!Tnet-t)/('2022'!Tau_j))),Resal+(Salim-Resal)*(1-EXP((Tnet-t)/(Tau_j))))*Salcycl</f>
        <v>2.4533788583153509E-2</v>
      </c>
      <c r="P296" s="338">
        <f>(INDEX(Models!$BJ296:$BT296,,T296)*(1-R296)+INDEX(Models!$BJ296:$BT296,,T296+1)*R296-ERP_i)*Q296*Ramure*Pc/MaxiM</f>
        <v>2.4062804957785946E-3</v>
      </c>
      <c r="Q296" s="304">
        <f t="shared" si="105"/>
        <v>0.6</v>
      </c>
      <c r="R296" s="177">
        <f t="shared" si="106"/>
        <v>0.99583316619038387</v>
      </c>
      <c r="S296" s="799">
        <f t="shared" si="107"/>
        <v>0</v>
      </c>
      <c r="T296" s="176">
        <f t="shared" si="108"/>
        <v>6</v>
      </c>
      <c r="U296" s="250">
        <f t="shared" si="109"/>
        <v>0.99583316619038387</v>
      </c>
      <c r="V296" s="382">
        <f t="shared" si="110"/>
        <v>40.052387769668265</v>
      </c>
      <c r="W296" s="400">
        <f t="shared" si="111"/>
        <v>39.58035792186385</v>
      </c>
      <c r="X296" s="157">
        <f t="shared" si="112"/>
        <v>45208</v>
      </c>
      <c r="Y296" s="383">
        <f t="shared" si="113"/>
        <v>38.574538902164669</v>
      </c>
      <c r="Z296" s="383">
        <f t="shared" si="114"/>
        <v>39.872637952992676</v>
      </c>
      <c r="AA296" s="384">
        <f t="shared" si="115"/>
        <v>41.941283070617118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4.9322409000731655E-2</v>
      </c>
      <c r="AD296" s="230">
        <f>(INDEX(Models!$BJ296:$BT296,,AH296)*(1-AF296)+INDEX(Models!$BJ296:$BT296,,AH296+1)*AF296-ERP_i)*AE296*Ramure*Pc/MaxiM</f>
        <v>2.4062804957785946E-3</v>
      </c>
      <c r="AE296" s="304">
        <f t="shared" si="117"/>
        <v>0.6</v>
      </c>
      <c r="AF296" s="177">
        <f t="shared" si="118"/>
        <v>0.99583316619038387</v>
      </c>
      <c r="AG296" s="799">
        <f t="shared" si="124"/>
        <v>0</v>
      </c>
      <c r="AH296" s="176">
        <f t="shared" si="119"/>
        <v>6</v>
      </c>
      <c r="AI296" s="224">
        <f t="shared" si="120"/>
        <v>0.99583316619038387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09">
        <f>'2022'!Wh/'2022'!Env_an*'2023'!Env_an</f>
        <v>31.774573531407327</v>
      </c>
      <c r="C297" s="829"/>
      <c r="D297" s="391">
        <f t="shared" si="102"/>
        <v>32.84447160205643</v>
      </c>
      <c r="E297" s="383">
        <f t="shared" ref="E297:E360" si="125">Wh_pvt/(1-Psa)</f>
        <v>33.673296081189918</v>
      </c>
      <c r="F297" s="383">
        <f t="shared" si="103"/>
        <v>33.733908493751819</v>
      </c>
      <c r="G297" s="110">
        <f t="shared" ref="G297:G360" si="126">+Wh_hp/MaxiM</f>
        <v>0.79979194926039732</v>
      </c>
      <c r="H297" s="412" t="b">
        <f>Wh_hp&gt;='2022'!Maxi_hp</f>
        <v>0</v>
      </c>
      <c r="I297" s="379">
        <f>IF(H297,Wh_hp,'2022'!Maxi_hp)</f>
        <v>33.740851067404463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3.2574677516873707E-2</v>
      </c>
      <c r="M297" s="832"/>
      <c r="N297" s="832"/>
      <c r="O297" s="48">
        <f>IF(t&lt;Tnet,'2022'!Resal+('2022'!Salim-'2022'!Resal)*(1-EXP(('2022'!Tnet-t)/('2022'!Tau_j))),Resal+(Salim-Resal)*(1-EXP((Tnet-t)/(Tau_j))))*Salcycl</f>
        <v>2.4613702119777744E-2</v>
      </c>
      <c r="P297" s="338">
        <f>(INDEX(Models!$BJ297:$BT297,,T297)*(1-R297)+INDEX(Models!$BJ297:$BT297,,T297+1)*R297-ERP_i)*Q297*Ramure*Pc/MaxiM</f>
        <v>2.5136483104093526E-3</v>
      </c>
      <c r="Q297" s="304">
        <f t="shared" si="105"/>
        <v>0.6</v>
      </c>
      <c r="R297" s="177">
        <f t="shared" si="106"/>
        <v>0.9959709426489749</v>
      </c>
      <c r="S297" s="799">
        <f t="shared" si="107"/>
        <v>0</v>
      </c>
      <c r="T297" s="176">
        <f t="shared" si="108"/>
        <v>6</v>
      </c>
      <c r="U297" s="250">
        <f t="shared" si="109"/>
        <v>0.9959709426489749</v>
      </c>
      <c r="V297" s="382">
        <f t="shared" si="110"/>
        <v>39.7000174549189</v>
      </c>
      <c r="W297" s="400">
        <f t="shared" si="111"/>
        <v>31.774573531407327</v>
      </c>
      <c r="X297" s="157">
        <f t="shared" si="112"/>
        <v>45209</v>
      </c>
      <c r="Y297" s="383">
        <f t="shared" si="113"/>
        <v>30.968275915134512</v>
      </c>
      <c r="Z297" s="383">
        <f t="shared" si="114"/>
        <v>32.011024722453094</v>
      </c>
      <c r="AA297" s="384">
        <f t="shared" si="115"/>
        <v>33.673296081189918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4.9364676232730789E-2</v>
      </c>
      <c r="AD297" s="230">
        <f>(INDEX(Models!$BJ297:$BT297,,AH297)*(1-AF297)+INDEX(Models!$BJ297:$BT297,,AH297+1)*AF297-ERP_i)*AE297*Ramure*Pc/MaxiM</f>
        <v>2.5136483104093526E-3</v>
      </c>
      <c r="AE297" s="304">
        <f t="shared" si="117"/>
        <v>0.6</v>
      </c>
      <c r="AF297" s="177">
        <f t="shared" si="118"/>
        <v>0.9959709426489749</v>
      </c>
      <c r="AG297" s="799">
        <f t="shared" si="124"/>
        <v>0</v>
      </c>
      <c r="AH297" s="176">
        <f t="shared" si="119"/>
        <v>6</v>
      </c>
      <c r="AI297" s="224">
        <f t="shared" si="120"/>
        <v>0.9959709426489749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09">
        <f>'2022'!Wh/'2022'!Env_an*'2023'!Env_an</f>
        <v>23.110458821765391</v>
      </c>
      <c r="C298" s="829"/>
      <c r="D298" s="391">
        <f t="shared" si="102"/>
        <v>23.8890808415115</v>
      </c>
      <c r="E298" s="383">
        <f t="shared" si="125"/>
        <v>24.493911037868976</v>
      </c>
      <c r="F298" s="383">
        <f t="shared" si="103"/>
        <v>24.520321337713895</v>
      </c>
      <c r="G298" s="110">
        <f t="shared" si="126"/>
        <v>0.58643310763759415</v>
      </c>
      <c r="H298" s="412" t="b">
        <f>Wh_hp&gt;='2022'!Maxi_hp</f>
        <v>0</v>
      </c>
      <c r="I298" s="379">
        <f>IF(H298,Wh_hp,'2022'!Maxi_hp)</f>
        <v>42.372842429013986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3.2593218002473945E-2</v>
      </c>
      <c r="M298" s="832"/>
      <c r="N298" s="832"/>
      <c r="O298" s="48">
        <f>IF(t&lt;Tnet,'2022'!Resal+('2022'!Salim-'2022'!Resal)*(1-EXP(('2022'!Tnet-t)/('2022'!Tau_j))),Resal+(Salim-Resal)*(1-EXP((Tnet-t)/(Tau_j))))*Salcycl</f>
        <v>2.4693083739153587E-2</v>
      </c>
      <c r="P298" s="338">
        <f>(INDEX(Models!$BJ298:$BT298,,T298)*(1-R298)+INDEX(Models!$BJ298:$BT298,,T298+1)*R298-ERP_i)*Q298*Ramure*Pc/MaxiM</f>
        <v>2.6238874731896651E-3</v>
      </c>
      <c r="Q298" s="304">
        <f t="shared" si="105"/>
        <v>0.6</v>
      </c>
      <c r="R298" s="177">
        <f t="shared" si="106"/>
        <v>0.99610324362234115</v>
      </c>
      <c r="S298" s="799">
        <f t="shared" si="107"/>
        <v>0</v>
      </c>
      <c r="T298" s="176">
        <f t="shared" si="108"/>
        <v>6</v>
      </c>
      <c r="U298" s="250">
        <f t="shared" si="109"/>
        <v>0.99610324362234115</v>
      </c>
      <c r="V298" s="382">
        <f t="shared" si="110"/>
        <v>39.347493348149797</v>
      </c>
      <c r="W298" s="400">
        <f t="shared" si="111"/>
        <v>23.110458821765391</v>
      </c>
      <c r="X298" s="157">
        <f t="shared" si="112"/>
        <v>45210</v>
      </c>
      <c r="Y298" s="383">
        <f t="shared" si="113"/>
        <v>22.524869306335098</v>
      </c>
      <c r="Z298" s="383">
        <f t="shared" si="114"/>
        <v>23.2837620383694</v>
      </c>
      <c r="AA298" s="384">
        <f t="shared" si="115"/>
        <v>24.493911037868976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4.9406115570053977E-2</v>
      </c>
      <c r="AD298" s="230">
        <f>(INDEX(Models!$BJ298:$BT298,,AH298)*(1-AF298)+INDEX(Models!$BJ298:$BT298,,AH298+1)*AF298-ERP_i)*AE298*Ramure*Pc/MaxiM</f>
        <v>2.6238874731896651E-3</v>
      </c>
      <c r="AE298" s="304">
        <f t="shared" si="117"/>
        <v>0.6</v>
      </c>
      <c r="AF298" s="177">
        <f t="shared" si="118"/>
        <v>0.99610324362234115</v>
      </c>
      <c r="AG298" s="799">
        <f t="shared" si="124"/>
        <v>0</v>
      </c>
      <c r="AH298" s="176">
        <f t="shared" si="119"/>
        <v>6</v>
      </c>
      <c r="AI298" s="224">
        <f t="shared" si="120"/>
        <v>0.99610324362234115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09">
        <f>'2022'!Wh/'2022'!Env_an*'2023'!Env_an</f>
        <v>28.683068228490882</v>
      </c>
      <c r="C299" s="829"/>
      <c r="D299" s="391">
        <f t="shared" si="102"/>
        <v>29.650007088288469</v>
      </c>
      <c r="E299" s="383">
        <f t="shared" si="125"/>
        <v>30.403151928897984</v>
      </c>
      <c r="F299" s="383">
        <f t="shared" si="103"/>
        <v>30.45501555546868</v>
      </c>
      <c r="G299" s="110">
        <f t="shared" si="126"/>
        <v>0.73478745043046023</v>
      </c>
      <c r="H299" s="412" t="b">
        <f>Wh_hp&gt;='2022'!Maxi_hp</f>
        <v>0</v>
      </c>
      <c r="I299" s="379">
        <f>IF(H299,Wh_hp,'2022'!Maxi_hp)</f>
        <v>40.061070375868503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3.2611758132749968E-2</v>
      </c>
      <c r="M299" s="832"/>
      <c r="N299" s="832"/>
      <c r="O299" s="48">
        <f>IF(t&lt;Tnet,'2022'!Resal+('2022'!Salim-'2022'!Resal)*(1-EXP(('2022'!Tnet-t)/('2022'!Tau_j))),Resal+(Salim-Resal)*(1-EXP((Tnet-t)/(Tau_j))))*Salcycl</f>
        <v>2.4771932935468286E-2</v>
      </c>
      <c r="P299" s="338">
        <f>(INDEX(Models!$BJ299:$BT299,,T299)*(1-R299)+INDEX(Models!$BJ299:$BT299,,T299+1)*R299-ERP_i)*Q299*Ramure*Pc/MaxiM</f>
        <v>2.7369369064595864E-3</v>
      </c>
      <c r="Q299" s="304">
        <f t="shared" si="105"/>
        <v>0.6</v>
      </c>
      <c r="R299" s="177">
        <f t="shared" si="106"/>
        <v>0.99623028395724267</v>
      </c>
      <c r="S299" s="799">
        <f t="shared" si="107"/>
        <v>0</v>
      </c>
      <c r="T299" s="176">
        <f t="shared" si="108"/>
        <v>6</v>
      </c>
      <c r="U299" s="250">
        <f t="shared" si="109"/>
        <v>0.99623028395724267</v>
      </c>
      <c r="V299" s="382">
        <f t="shared" si="110"/>
        <v>38.995440035898255</v>
      </c>
      <c r="W299" s="400">
        <f t="shared" si="111"/>
        <v>28.683068228490882</v>
      </c>
      <c r="X299" s="157">
        <f t="shared" si="112"/>
        <v>45211</v>
      </c>
      <c r="Y299" s="383">
        <f t="shared" si="113"/>
        <v>27.957341673335375</v>
      </c>
      <c r="Z299" s="383">
        <f t="shared" si="114"/>
        <v>28.899815465373234</v>
      </c>
      <c r="AA299" s="384">
        <f t="shared" si="115"/>
        <v>30.403151928897984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4.9446730623210144E-2</v>
      </c>
      <c r="AD299" s="230">
        <f>(INDEX(Models!$BJ299:$BT299,,AH299)*(1-AF299)+INDEX(Models!$BJ299:$BT299,,AH299+1)*AF299-ERP_i)*AE299*Ramure*Pc/MaxiM</f>
        <v>2.7369369064595864E-3</v>
      </c>
      <c r="AE299" s="304">
        <f t="shared" si="117"/>
        <v>0.6</v>
      </c>
      <c r="AF299" s="177">
        <f t="shared" si="118"/>
        <v>0.99623028395724267</v>
      </c>
      <c r="AG299" s="799">
        <f t="shared" si="124"/>
        <v>0</v>
      </c>
      <c r="AH299" s="176">
        <f t="shared" si="119"/>
        <v>6</v>
      </c>
      <c r="AI299" s="224">
        <f t="shared" si="120"/>
        <v>0.99623028395724267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09">
        <f>'2022'!Wh/'2022'!Env_an*'2023'!Env_an</f>
        <v>24.015009228830458</v>
      </c>
      <c r="C300" s="829"/>
      <c r="D300" s="391">
        <f t="shared" si="102"/>
        <v>24.825058275950965</v>
      </c>
      <c r="E300" s="383">
        <f t="shared" si="125"/>
        <v>25.457688203490772</v>
      </c>
      <c r="F300" s="383">
        <f t="shared" si="103"/>
        <v>25.491080205121289</v>
      </c>
      <c r="G300" s="110">
        <f t="shared" si="126"/>
        <v>0.62047437807494688</v>
      </c>
      <c r="H300" s="412" t="b">
        <f>Wh_hp&gt;='2022'!Maxi_hp</f>
        <v>0</v>
      </c>
      <c r="I300" s="379">
        <f>IF(H300,Wh_hp,'2022'!Maxi_hp)</f>
        <v>39.39832701671196</v>
      </c>
      <c r="J300" s="85">
        <f>IF(H300,An,'2022'!An_max)</f>
        <v>2018</v>
      </c>
      <c r="K300" s="197">
        <f t="shared" si="104"/>
        <v>45212</v>
      </c>
      <c r="L300" s="147">
        <f>IF(t&lt;Tvie,1-EXP((T0-t)*PertePVj)+'2022'!Pspv,1-EXP((T0-t)*PertePVj)+Pspv)</f>
        <v>3.2630297907708661E-2</v>
      </c>
      <c r="M300" s="832"/>
      <c r="N300" s="832"/>
      <c r="O300" s="48">
        <f>IF(t&lt;Tnet,'2022'!Resal+('2022'!Salim-'2022'!Resal)*(1-EXP(('2022'!Tnet-t)/('2022'!Tau_j))),Resal+(Salim-Resal)*(1-EXP((Tnet-t)/(Tau_j))))*Salcycl</f>
        <v>2.4850250442342191E-2</v>
      </c>
      <c r="P300" s="338">
        <f>(INDEX(Models!$BJ300:$BT300,,T300)*(1-R300)+INDEX(Models!$BJ300:$BT300,,T300+1)*R300-ERP_i)*Q300*Ramure*Pc/MaxiM</f>
        <v>2.8527252139042688E-3</v>
      </c>
      <c r="Q300" s="304">
        <f t="shared" si="105"/>
        <v>0.6</v>
      </c>
      <c r="R300" s="177">
        <f t="shared" si="106"/>
        <v>0.99635227028683682</v>
      </c>
      <c r="S300" s="799">
        <f t="shared" si="107"/>
        <v>0</v>
      </c>
      <c r="T300" s="176">
        <f t="shared" si="108"/>
        <v>6</v>
      </c>
      <c r="U300" s="250">
        <f t="shared" si="109"/>
        <v>0.99635227028683682</v>
      </c>
      <c r="V300" s="382">
        <f t="shared" si="110"/>
        <v>38.644481837598512</v>
      </c>
      <c r="W300" s="400">
        <f t="shared" si="111"/>
        <v>24.015009228830458</v>
      </c>
      <c r="X300" s="157">
        <f t="shared" si="112"/>
        <v>45212</v>
      </c>
      <c r="Y300" s="383">
        <f t="shared" si="113"/>
        <v>23.408291728433387</v>
      </c>
      <c r="Z300" s="383">
        <f t="shared" si="114"/>
        <v>24.197875618602051</v>
      </c>
      <c r="AA300" s="384">
        <f t="shared" si="115"/>
        <v>25.457688203490772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4.9486527402593246E-2</v>
      </c>
      <c r="AD300" s="230">
        <f>(INDEX(Models!$BJ300:$BT300,,AH300)*(1-AF300)+INDEX(Models!$BJ300:$BT300,,AH300+1)*AF300-ERP_i)*AE300*Ramure*Pc/MaxiM</f>
        <v>2.8527252139042688E-3</v>
      </c>
      <c r="AE300" s="304">
        <f t="shared" si="117"/>
        <v>0.6</v>
      </c>
      <c r="AF300" s="177">
        <f t="shared" si="118"/>
        <v>0.99635227028683682</v>
      </c>
      <c r="AG300" s="799">
        <f t="shared" si="124"/>
        <v>0</v>
      </c>
      <c r="AH300" s="176">
        <f t="shared" si="119"/>
        <v>6</v>
      </c>
      <c r="AI300" s="224">
        <f t="shared" si="120"/>
        <v>0.99635227028683682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09">
        <f>'2022'!Wh/'2022'!Env_an*'2023'!Env_an</f>
        <v>18.666788721571766</v>
      </c>
      <c r="C301" s="829"/>
      <c r="D301" s="391">
        <f t="shared" si="102"/>
        <v>19.296807035408204</v>
      </c>
      <c r="E301" s="383">
        <f t="shared" si="125"/>
        <v>19.790136311088482</v>
      </c>
      <c r="F301" s="383">
        <f t="shared" si="103"/>
        <v>19.805894112715428</v>
      </c>
      <c r="G301" s="110">
        <f t="shared" si="126"/>
        <v>0.48638275506964945</v>
      </c>
      <c r="H301" s="412" t="b">
        <f>Wh_hp&gt;='2022'!Maxi_hp</f>
        <v>0</v>
      </c>
      <c r="I301" s="379">
        <f>IF(H301,Wh_hp,'2022'!Maxi_hp)</f>
        <v>42.332847154201126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3.2648837327356794E-2</v>
      </c>
      <c r="M301" s="832"/>
      <c r="N301" s="832"/>
      <c r="O301" s="48">
        <f>IF(t&lt;Tnet,'2022'!Resal+('2022'!Salim-'2022'!Resal)*(1-EXP(('2022'!Tnet-t)/('2022'!Tau_j))),Resal+(Salim-Resal)*(1-EXP((Tnet-t)/(Tau_j))))*Salcycl</f>
        <v>2.4928038287632466E-2</v>
      </c>
      <c r="P301" s="338">
        <f>(INDEX(Models!$BJ301:$BT301,,T301)*(1-R301)+INDEX(Models!$BJ301:$BT301,,T301+1)*R301-ERP_i)*Q301*Ramure*Pc/MaxiM</f>
        <v>2.9711701811060936E-3</v>
      </c>
      <c r="Q301" s="304">
        <f t="shared" si="105"/>
        <v>0.6</v>
      </c>
      <c r="R301" s="177">
        <f t="shared" si="106"/>
        <v>0.99646940132761763</v>
      </c>
      <c r="S301" s="799">
        <f t="shared" si="107"/>
        <v>0</v>
      </c>
      <c r="T301" s="176">
        <f t="shared" si="108"/>
        <v>6</v>
      </c>
      <c r="U301" s="250">
        <f t="shared" si="109"/>
        <v>0.99646940132761763</v>
      </c>
      <c r="V301" s="382">
        <f t="shared" si="110"/>
        <v>38.29524279253868</v>
      </c>
      <c r="W301" s="400">
        <f t="shared" si="111"/>
        <v>18.666788721571766</v>
      </c>
      <c r="X301" s="157">
        <f t="shared" si="112"/>
        <v>45213</v>
      </c>
      <c r="Y301" s="383">
        <f t="shared" si="113"/>
        <v>18.195894359204431</v>
      </c>
      <c r="Z301" s="383">
        <f t="shared" si="114"/>
        <v>18.810019630236408</v>
      </c>
      <c r="AA301" s="384">
        <f t="shared" si="115"/>
        <v>19.790136311088482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4.9525514399964589E-2</v>
      </c>
      <c r="AD301" s="230">
        <f>(INDEX(Models!$BJ301:$BT301,,AH301)*(1-AF301)+INDEX(Models!$BJ301:$BT301,,AH301+1)*AF301-ERP_i)*AE301*Ramure*Pc/MaxiM</f>
        <v>2.9711701811060936E-3</v>
      </c>
      <c r="AE301" s="304">
        <f t="shared" si="117"/>
        <v>0.6</v>
      </c>
      <c r="AF301" s="177">
        <f t="shared" si="118"/>
        <v>0.99646940132761763</v>
      </c>
      <c r="AG301" s="799">
        <f t="shared" si="124"/>
        <v>0</v>
      </c>
      <c r="AH301" s="176">
        <f t="shared" si="119"/>
        <v>6</v>
      </c>
      <c r="AI301" s="224">
        <f t="shared" si="120"/>
        <v>0.99646940132761763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09">
        <f>'2022'!Wh/'2022'!Env_an*'2023'!Env_an</f>
        <v>38.355286375287783</v>
      </c>
      <c r="C302" s="829"/>
      <c r="D302" s="391">
        <f t="shared" si="102"/>
        <v>39.650566350400432</v>
      </c>
      <c r="E302" s="383">
        <f t="shared" si="125"/>
        <v>40.667468596482486</v>
      </c>
      <c r="F302" s="383">
        <f t="shared" si="103"/>
        <v>40.793609711418071</v>
      </c>
      <c r="G302" s="110">
        <f t="shared" si="126"/>
        <v>1.0107235166651864</v>
      </c>
      <c r="H302" s="412" t="b">
        <f>Wh_hp&gt;='2022'!Maxi_hp</f>
        <v>1</v>
      </c>
      <c r="I302" s="379">
        <f>IF(H302,Wh_hp,'2022'!Maxi_hp)</f>
        <v>40.793609711418071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3.2667376391701142E-2</v>
      </c>
      <c r="M302" s="832"/>
      <c r="N302" s="832"/>
      <c r="O302" s="48">
        <f>IF(t&lt;Tnet,'2022'!Resal+('2022'!Salim-'2022'!Resal)*(1-EXP(('2022'!Tnet-t)/('2022'!Tau_j))),Resal+(Salim-Resal)*(1-EXP((Tnet-t)/(Tau_j))))*Salcycl</f>
        <v>2.5005299842292373E-2</v>
      </c>
      <c r="P302" s="338">
        <f>(INDEX(Models!$BJ302:$BT302,,T302)*(1-R302)+INDEX(Models!$BJ302:$BT302,,T302+1)*R302-ERP_i)*Q302*Ramure*Pc/MaxiM</f>
        <v>3.0921783050808713E-3</v>
      </c>
      <c r="Q302" s="304">
        <f t="shared" si="105"/>
        <v>0.6</v>
      </c>
      <c r="R302" s="177">
        <f t="shared" si="106"/>
        <v>0.99658186816698358</v>
      </c>
      <c r="S302" s="799">
        <f t="shared" si="107"/>
        <v>0</v>
      </c>
      <c r="T302" s="176">
        <f t="shared" si="108"/>
        <v>6</v>
      </c>
      <c r="U302" s="250">
        <f t="shared" si="109"/>
        <v>0.99658186816698358</v>
      </c>
      <c r="V302" s="382">
        <f t="shared" si="110"/>
        <v>37.948346647596011</v>
      </c>
      <c r="W302" s="400">
        <f t="shared" si="111"/>
        <v>38.355286375287783</v>
      </c>
      <c r="X302" s="157">
        <f t="shared" si="112"/>
        <v>45214</v>
      </c>
      <c r="Y302" s="383">
        <f t="shared" si="113"/>
        <v>37.389184125975333</v>
      </c>
      <c r="Z302" s="383">
        <f t="shared" si="114"/>
        <v>38.651838275140513</v>
      </c>
      <c r="AA302" s="384">
        <f t="shared" si="115"/>
        <v>40.667468596482486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4.9563702657320345E-2</v>
      </c>
      <c r="AD302" s="230">
        <f>(INDEX(Models!$BJ302:$BT302,,AH302)*(1-AF302)+INDEX(Models!$BJ302:$BT302,,AH302+1)*AF302-ERP_i)*AE302*Ramure*Pc/MaxiM</f>
        <v>3.0921783050808713E-3</v>
      </c>
      <c r="AE302" s="304">
        <f t="shared" si="117"/>
        <v>0.6</v>
      </c>
      <c r="AF302" s="177">
        <f t="shared" si="118"/>
        <v>0.99658186816698358</v>
      </c>
      <c r="AG302" s="799">
        <f t="shared" si="124"/>
        <v>0</v>
      </c>
      <c r="AH302" s="176">
        <f t="shared" si="119"/>
        <v>6</v>
      </c>
      <c r="AI302" s="224">
        <f t="shared" si="120"/>
        <v>0.99658186816698358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09">
        <f>'2022'!Wh/'2022'!Env_an*'2023'!Env_an</f>
        <v>33.851816148418678</v>
      </c>
      <c r="C303" s="829"/>
      <c r="D303" s="391">
        <f t="shared" si="102"/>
        <v>34.99568204048682</v>
      </c>
      <c r="E303" s="383">
        <f t="shared" si="125"/>
        <v>35.896027636579809</v>
      </c>
      <c r="F303" s="383">
        <f t="shared" si="103"/>
        <v>35.995292359314703</v>
      </c>
      <c r="G303" s="110">
        <f t="shared" si="126"/>
        <v>0.89985892544085455</v>
      </c>
      <c r="H303" s="412" t="b">
        <f>Wh_hp&gt;='2022'!Maxi_hp</f>
        <v>0</v>
      </c>
      <c r="I303" s="379">
        <f>IF(H303,Wh_hp,'2022'!Maxi_hp)</f>
        <v>38.803370286376357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3.2685915100748475E-2</v>
      </c>
      <c r="M303" s="832"/>
      <c r="N303" s="832"/>
      <c r="O303" s="48">
        <f>IF(t&lt;Tnet,'2022'!Resal+('2022'!Salim-'2022'!Resal)*(1-EXP(('2022'!Tnet-t)/('2022'!Tau_j))),Resal+(Salim-Resal)*(1-EXP((Tnet-t)/(Tau_j))))*Salcycl</f>
        <v>2.508203986269195E-2</v>
      </c>
      <c r="P303" s="338">
        <f>(INDEX(Models!$BJ303:$BT303,,T303)*(1-R303)+INDEX(Models!$BJ303:$BT303,,T303+1)*R303-ERP_i)*Q303*Ramure*Pc/MaxiM</f>
        <v>3.2158723135280232E-3</v>
      </c>
      <c r="Q303" s="304">
        <f t="shared" si="105"/>
        <v>0.6</v>
      </c>
      <c r="R303" s="177">
        <f t="shared" si="106"/>
        <v>0.99668985454161663</v>
      </c>
      <c r="S303" s="799">
        <f t="shared" si="107"/>
        <v>0</v>
      </c>
      <c r="T303" s="176">
        <f t="shared" si="108"/>
        <v>6</v>
      </c>
      <c r="U303" s="250">
        <f t="shared" si="109"/>
        <v>0.99668985454161663</v>
      </c>
      <c r="V303" s="382">
        <f t="shared" si="110"/>
        <v>37.601742687421662</v>
      </c>
      <c r="W303" s="400">
        <f t="shared" si="111"/>
        <v>33.851816148418678</v>
      </c>
      <c r="X303" s="157">
        <f t="shared" si="112"/>
        <v>45215</v>
      </c>
      <c r="Y303" s="383">
        <f t="shared" si="113"/>
        <v>33.000447164637954</v>
      </c>
      <c r="Z303" s="383">
        <f t="shared" si="114"/>
        <v>34.11554497118177</v>
      </c>
      <c r="AA303" s="384">
        <f t="shared" si="115"/>
        <v>35.896027636579809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4.9601105822184119E-2</v>
      </c>
      <c r="AD303" s="230">
        <f>(INDEX(Models!$BJ303:$BT303,,AH303)*(1-AF303)+INDEX(Models!$BJ303:$BT303,,AH303+1)*AF303-ERP_i)*AE303*Ramure*Pc/MaxiM</f>
        <v>3.2158723135280232E-3</v>
      </c>
      <c r="AE303" s="304">
        <f t="shared" si="117"/>
        <v>0.6</v>
      </c>
      <c r="AF303" s="177">
        <f t="shared" si="118"/>
        <v>0.99668985454161663</v>
      </c>
      <c r="AG303" s="799">
        <f t="shared" si="124"/>
        <v>0</v>
      </c>
      <c r="AH303" s="176">
        <f t="shared" si="119"/>
        <v>6</v>
      </c>
      <c r="AI303" s="224">
        <f t="shared" si="120"/>
        <v>0.99668985454161663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09">
        <f>'2022'!Wh/'2022'!Env_an*'2023'!Env_an</f>
        <v>20.095717241221656</v>
      </c>
      <c r="C304" s="829"/>
      <c r="D304" s="391">
        <f t="shared" si="102"/>
        <v>20.77515740973848</v>
      </c>
      <c r="E304" s="383">
        <f t="shared" si="125"/>
        <v>21.311313061123325</v>
      </c>
      <c r="F304" s="383">
        <f t="shared" si="103"/>
        <v>21.335693944768227</v>
      </c>
      <c r="G304" s="110">
        <f t="shared" si="126"/>
        <v>0.53824643701829644</v>
      </c>
      <c r="H304" s="412" t="b">
        <f>Wh_hp&gt;='2022'!Maxi_hp</f>
        <v>0</v>
      </c>
      <c r="I304" s="379">
        <f>IF(H304,Wh_hp,'2022'!Maxi_hp)</f>
        <v>35.6425652403491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3.2704453454505789E-2</v>
      </c>
      <c r="M304" s="832"/>
      <c r="N304" s="832"/>
      <c r="O304" s="48">
        <f>IF(t&lt;Tnet,'2022'!Resal+('2022'!Salim-'2022'!Resal)*(1-EXP(('2022'!Tnet-t)/('2022'!Tau_j))),Resal+(Salim-Resal)*(1-EXP((Tnet-t)/(Tau_j))))*Salcycl</f>
        <v>2.5158264525845467E-2</v>
      </c>
      <c r="P304" s="338">
        <f>(INDEX(Models!$BJ304:$BT304,,T304)*(1-R304)+INDEX(Models!$BJ304:$BT304,,T304+1)*R304-ERP_i)*Q304*Ramure*Pc/MaxiM</f>
        <v>3.3408404983644802E-3</v>
      </c>
      <c r="Q304" s="304">
        <f t="shared" si="105"/>
        <v>0.6</v>
      </c>
      <c r="R304" s="177">
        <f t="shared" si="106"/>
        <v>0.99679353710686147</v>
      </c>
      <c r="S304" s="799">
        <f t="shared" si="107"/>
        <v>0</v>
      </c>
      <c r="T304" s="176">
        <f t="shared" si="108"/>
        <v>6</v>
      </c>
      <c r="U304" s="250">
        <f t="shared" si="109"/>
        <v>0.99679353710686147</v>
      </c>
      <c r="V304" s="382">
        <f t="shared" si="110"/>
        <v>37.253370704018657</v>
      </c>
      <c r="W304" s="400">
        <f t="shared" si="111"/>
        <v>20.095717241221656</v>
      </c>
      <c r="X304" s="157">
        <f t="shared" si="112"/>
        <v>45216</v>
      </c>
      <c r="Y304" s="383">
        <f t="shared" si="113"/>
        <v>19.591089050585229</v>
      </c>
      <c r="Z304" s="383">
        <f t="shared" si="114"/>
        <v>20.253467640320427</v>
      </c>
      <c r="AA304" s="384">
        <f t="shared" si="115"/>
        <v>21.311313061123325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4.9637740188456458E-2</v>
      </c>
      <c r="AD304" s="230">
        <f>(INDEX(Models!$BJ304:$BT304,,AH304)*(1-AF304)+INDEX(Models!$BJ304:$BT304,,AH304+1)*AF304-ERP_i)*AE304*Ramure*Pc/MaxiM</f>
        <v>3.3408404983644802E-3</v>
      </c>
      <c r="AE304" s="304">
        <f t="shared" si="117"/>
        <v>0.6</v>
      </c>
      <c r="AF304" s="177">
        <f t="shared" si="118"/>
        <v>0.99679353710686147</v>
      </c>
      <c r="AG304" s="799">
        <f t="shared" si="124"/>
        <v>0</v>
      </c>
      <c r="AH304" s="176">
        <f t="shared" si="119"/>
        <v>6</v>
      </c>
      <c r="AI304" s="224">
        <f t="shared" si="120"/>
        <v>0.99679353710686147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09">
        <f>'2022'!Wh/'2022'!Env_an*'2023'!Env_an</f>
        <v>35.446619506427268</v>
      </c>
      <c r="C305" s="829"/>
      <c r="D305" s="391">
        <f t="shared" si="102"/>
        <v>36.645779020089442</v>
      </c>
      <c r="E305" s="383">
        <f t="shared" si="125"/>
        <v>37.594436329310994</v>
      </c>
      <c r="F305" s="383">
        <f t="shared" si="103"/>
        <v>37.717743443262506</v>
      </c>
      <c r="G305" s="110">
        <f t="shared" si="126"/>
        <v>0.96032474476750951</v>
      </c>
      <c r="H305" s="412" t="b">
        <f>Wh_hp&gt;='2022'!Maxi_hp</f>
        <v>0</v>
      </c>
      <c r="I305" s="379">
        <f>IF(H305,Wh_hp,'2022'!Maxi_hp)</f>
        <v>38.775386152374139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3.2722991452979744E-2</v>
      </c>
      <c r="M305" s="832"/>
      <c r="N305" s="832"/>
      <c r="O305" s="48">
        <f>IF(t&lt;Tnet,'2022'!Resal+('2022'!Salim-'2022'!Resal)*(1-EXP(('2022'!Tnet-t)/('2022'!Tau_j))),Resal+(Salim-Resal)*(1-EXP((Tnet-t)/(Tau_j))))*Salcycl</f>
        <v>2.5233981457036085E-2</v>
      </c>
      <c r="P305" s="338">
        <f>(INDEX(Models!$BJ305:$BT305,,T305)*(1-R305)+INDEX(Models!$BJ305:$BT305,,T305+1)*R305-ERP_i)*Q305*Ramure*Pc/MaxiM</f>
        <v>3.4646474294216349E-3</v>
      </c>
      <c r="Q305" s="304">
        <f t="shared" si="105"/>
        <v>0.6</v>
      </c>
      <c r="R305" s="177">
        <f t="shared" si="106"/>
        <v>0.99689308569730195</v>
      </c>
      <c r="S305" s="799">
        <f t="shared" si="107"/>
        <v>0</v>
      </c>
      <c r="T305" s="176">
        <f t="shared" si="108"/>
        <v>6</v>
      </c>
      <c r="U305" s="250">
        <f t="shared" si="109"/>
        <v>0.99689308569730195</v>
      </c>
      <c r="V305" s="382">
        <f t="shared" si="110"/>
        <v>36.90383828751434</v>
      </c>
      <c r="W305" s="400">
        <f t="shared" si="111"/>
        <v>35.446619506427268</v>
      </c>
      <c r="X305" s="157">
        <f t="shared" si="112"/>
        <v>45217</v>
      </c>
      <c r="Y305" s="383">
        <f t="shared" si="113"/>
        <v>34.557890602045852</v>
      </c>
      <c r="Z305" s="383">
        <f t="shared" si="114"/>
        <v>35.726984407451631</v>
      </c>
      <c r="AA305" s="384">
        <f t="shared" si="115"/>
        <v>37.594436329310994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4.9673624722054395E-2</v>
      </c>
      <c r="AD305" s="230">
        <f>(INDEX(Models!$BJ305:$BT305,,AH305)*(1-AF305)+INDEX(Models!$BJ305:$BT305,,AH305+1)*AF305-ERP_i)*AE305*Ramure*Pc/MaxiM</f>
        <v>3.4646474294216349E-3</v>
      </c>
      <c r="AE305" s="304">
        <f t="shared" si="117"/>
        <v>0.6</v>
      </c>
      <c r="AF305" s="177">
        <f t="shared" si="118"/>
        <v>0.99689308569730195</v>
      </c>
      <c r="AG305" s="799">
        <f t="shared" si="124"/>
        <v>0</v>
      </c>
      <c r="AH305" s="176">
        <f t="shared" si="119"/>
        <v>6</v>
      </c>
      <c r="AI305" s="224">
        <f t="shared" si="120"/>
        <v>0.99689308569730195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09">
        <f>'2022'!Wh/'2022'!Env_an*'2023'!Env_an</f>
        <v>16.475201295787304</v>
      </c>
      <c r="C306" s="829"/>
      <c r="D306" s="391">
        <f t="shared" si="102"/>
        <v>17.032883961608107</v>
      </c>
      <c r="E306" s="383">
        <f t="shared" si="125"/>
        <v>17.475166439683708</v>
      </c>
      <c r="F306" s="383">
        <f t="shared" si="103"/>
        <v>17.488673655399392</v>
      </c>
      <c r="G306" s="110">
        <f t="shared" si="126"/>
        <v>0.44944305523004058</v>
      </c>
      <c r="H306" s="412" t="b">
        <f>Wh_hp&gt;='2022'!Maxi_hp</f>
        <v>0</v>
      </c>
      <c r="I306" s="379">
        <f>IF(H306,Wh_hp,'2022'!Maxi_hp)</f>
        <v>38.555741543850147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3.2741529096177224E-2</v>
      </c>
      <c r="M306" s="832"/>
      <c r="N306" s="832"/>
      <c r="O306" s="48">
        <f>IF(t&lt;Tnet,'2022'!Resal+('2022'!Salim-'2022'!Resal)*(1-EXP(('2022'!Tnet-t)/('2022'!Tau_j))),Resal+(Salim-Resal)*(1-EXP((Tnet-t)/(Tau_j))))*Salcycl</f>
        <v>2.5309199749379178E-2</v>
      </c>
      <c r="P306" s="338">
        <f>(INDEX(Models!$BJ306:$BT306,,T306)*(1-R306)+INDEX(Models!$BJ306:$BT306,,T306+1)*R306-ERP_i)*Q306*Ramure*Pc/MaxiM</f>
        <v>3.5872120787547785E-3</v>
      </c>
      <c r="Q306" s="304">
        <f t="shared" si="105"/>
        <v>0.6</v>
      </c>
      <c r="R306" s="177">
        <f t="shared" si="106"/>
        <v>0.99698866357873206</v>
      </c>
      <c r="S306" s="799">
        <f t="shared" si="107"/>
        <v>0</v>
      </c>
      <c r="T306" s="176">
        <f t="shared" si="108"/>
        <v>6</v>
      </c>
      <c r="U306" s="250">
        <f t="shared" si="109"/>
        <v>0.99698866357873206</v>
      </c>
      <c r="V306" s="382">
        <f t="shared" si="110"/>
        <v>36.553662778372818</v>
      </c>
      <c r="W306" s="400">
        <f t="shared" si="111"/>
        <v>16.475201295787304</v>
      </c>
      <c r="X306" s="157">
        <f t="shared" si="112"/>
        <v>45218</v>
      </c>
      <c r="Y306" s="383">
        <f t="shared" si="113"/>
        <v>16.062775105145011</v>
      </c>
      <c r="Z306" s="383">
        <f t="shared" si="114"/>
        <v>16.606497216959681</v>
      </c>
      <c r="AA306" s="384">
        <f t="shared" si="115"/>
        <v>17.475166439683708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4.9708781070685347E-2</v>
      </c>
      <c r="AD306" s="230">
        <f>(INDEX(Models!$BJ306:$BT306,,AH306)*(1-AF306)+INDEX(Models!$BJ306:$BT306,,AH306+1)*AF306-ERP_i)*AE306*Ramure*Pc/MaxiM</f>
        <v>3.5872120787547785E-3</v>
      </c>
      <c r="AE306" s="304">
        <f t="shared" si="117"/>
        <v>0.6</v>
      </c>
      <c r="AF306" s="177">
        <f t="shared" si="118"/>
        <v>0.99698866357873206</v>
      </c>
      <c r="AG306" s="799">
        <f t="shared" si="124"/>
        <v>0</v>
      </c>
      <c r="AH306" s="176">
        <f t="shared" si="119"/>
        <v>6</v>
      </c>
      <c r="AI306" s="224">
        <f t="shared" si="120"/>
        <v>0.99698866357873206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09">
        <f>'2022'!Wh/'2022'!Env_an*'2023'!Env_an</f>
        <v>6.9374363732357613</v>
      </c>
      <c r="C307" s="829"/>
      <c r="D307" s="391">
        <f t="shared" si="102"/>
        <v>7.1724048316544362</v>
      </c>
      <c r="E307" s="383">
        <f t="shared" si="125"/>
        <v>7.3592105160649401</v>
      </c>
      <c r="F307" s="383">
        <f t="shared" si="103"/>
        <v>7.3592105160649401</v>
      </c>
      <c r="G307" s="110">
        <f t="shared" si="126"/>
        <v>0.19091346885218952</v>
      </c>
      <c r="H307" s="412" t="b">
        <f>Wh_hp&gt;='2022'!Maxi_hp</f>
        <v>0</v>
      </c>
      <c r="I307" s="379">
        <f>IF(H307,Wh_hp,'2022'!Maxi_hp)</f>
        <v>31.702695928532638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3.2760066384105002E-2</v>
      </c>
      <c r="M307" s="832"/>
      <c r="N307" s="832"/>
      <c r="O307" s="48">
        <f>IF(t&lt;Tnet,'2022'!Resal+('2022'!Salim-'2022'!Resal)*(1-EXP(('2022'!Tnet-t)/('2022'!Tau_j))),Resal+(Salim-Resal)*(1-EXP((Tnet-t)/(Tau_j))))*Salcycl</f>
        <v>2.5383929974922278E-2</v>
      </c>
      <c r="P307" s="338">
        <f>(INDEX(Models!$BJ307:$BT307,,T307)*(1-R307)+INDEX(Models!$BJ307:$BT307,,T307+1)*R307-ERP_i)*Q307*Ramure*Pc/MaxiM</f>
        <v>3.7084495023352992E-3</v>
      </c>
      <c r="Q307" s="304">
        <f t="shared" si="105"/>
        <v>0.6</v>
      </c>
      <c r="R307" s="177">
        <f t="shared" si="106"/>
        <v>0.99708042769172545</v>
      </c>
      <c r="S307" s="799">
        <f t="shared" si="107"/>
        <v>0</v>
      </c>
      <c r="T307" s="176">
        <f t="shared" si="108"/>
        <v>6</v>
      </c>
      <c r="U307" s="250">
        <f t="shared" si="109"/>
        <v>0.99708042769172545</v>
      </c>
      <c r="V307" s="382">
        <f t="shared" si="110"/>
        <v>36.203361042699356</v>
      </c>
      <c r="W307" s="400">
        <f t="shared" si="111"/>
        <v>6.9374363732357613</v>
      </c>
      <c r="X307" s="157">
        <f t="shared" si="112"/>
        <v>45219</v>
      </c>
      <c r="Y307" s="383">
        <f t="shared" si="113"/>
        <v>6.7640438714128015</v>
      </c>
      <c r="Z307" s="383">
        <f t="shared" si="114"/>
        <v>6.9931395885675887</v>
      </c>
      <c r="AA307" s="384">
        <f t="shared" si="115"/>
        <v>7.3592105160649401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4.9743233557217797E-2</v>
      </c>
      <c r="AD307" s="230">
        <f>(INDEX(Models!$BJ307:$BT307,,AH307)*(1-AF307)+INDEX(Models!$BJ307:$BT307,,AH307+1)*AF307-ERP_i)*AE307*Ramure*Pc/MaxiM</f>
        <v>3.7084495023352992E-3</v>
      </c>
      <c r="AE307" s="304">
        <f t="shared" si="117"/>
        <v>0.6</v>
      </c>
      <c r="AF307" s="177">
        <f t="shared" si="118"/>
        <v>0.99708042769172545</v>
      </c>
      <c r="AG307" s="799">
        <f t="shared" si="124"/>
        <v>0</v>
      </c>
      <c r="AH307" s="176">
        <f t="shared" si="119"/>
        <v>6</v>
      </c>
      <c r="AI307" s="224">
        <f t="shared" si="120"/>
        <v>0.99708042769172545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09">
        <f>'2022'!Wh/'2022'!Env_an*'2023'!Env_an</f>
        <v>16.882919676749818</v>
      </c>
      <c r="C308" s="829"/>
      <c r="D308" s="391">
        <f t="shared" si="102"/>
        <v>17.45507257660374</v>
      </c>
      <c r="E308" s="383">
        <f t="shared" si="125"/>
        <v>17.911055527197668</v>
      </c>
      <c r="F308" s="383">
        <f t="shared" si="103"/>
        <v>17.927810382008083</v>
      </c>
      <c r="G308" s="110">
        <f t="shared" si="126"/>
        <v>0.46952302109818256</v>
      </c>
      <c r="H308" s="412" t="b">
        <f>Wh_hp&gt;='2022'!Maxi_hp</f>
        <v>0</v>
      </c>
      <c r="I308" s="379">
        <f>IF(H308,Wh_hp,'2022'!Maxi_hp)</f>
        <v>24.418087613545492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3.277860331676985E-2</v>
      </c>
      <c r="M308" s="832"/>
      <c r="N308" s="832"/>
      <c r="O308" s="48">
        <f>IF(t&lt;Tnet,'2022'!Resal+('2022'!Salim-'2022'!Resal)*(1-EXP(('2022'!Tnet-t)/('2022'!Tau_j))),Resal+(Salim-Resal)*(1-EXP((Tnet-t)/(Tau_j))))*Salcycl</f>
        <v>2.5458184186940958E-2</v>
      </c>
      <c r="P308" s="338">
        <f>(INDEX(Models!$BJ308:$BT308,,T308)*(1-R308)+INDEX(Models!$BJ308:$BT308,,T308+1)*R308-ERP_i)*Q308*Ramure*Pc/MaxiM</f>
        <v>3.8282711187515215E-3</v>
      </c>
      <c r="Q308" s="304">
        <f t="shared" si="105"/>
        <v>0.6</v>
      </c>
      <c r="R308" s="177">
        <f t="shared" si="106"/>
        <v>0.99716852888701069</v>
      </c>
      <c r="S308" s="799">
        <f t="shared" si="107"/>
        <v>0</v>
      </c>
      <c r="T308" s="176">
        <f t="shared" si="108"/>
        <v>6</v>
      </c>
      <c r="U308" s="250">
        <f t="shared" si="109"/>
        <v>0.99716852888701069</v>
      </c>
      <c r="V308" s="382">
        <f t="shared" si="110"/>
        <v>35.85344946644215</v>
      </c>
      <c r="W308" s="400">
        <f t="shared" si="111"/>
        <v>16.882919676749818</v>
      </c>
      <c r="X308" s="157">
        <f t="shared" si="112"/>
        <v>45220</v>
      </c>
      <c r="Y308" s="383">
        <f t="shared" si="113"/>
        <v>16.461621419530314</v>
      </c>
      <c r="Z308" s="383">
        <f t="shared" si="114"/>
        <v>17.019496752222466</v>
      </c>
      <c r="AA308" s="384">
        <f t="shared" si="115"/>
        <v>17.911055527197668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4.977700915623786E-2</v>
      </c>
      <c r="AD308" s="230">
        <f>(INDEX(Models!$BJ308:$BT308,,AH308)*(1-AF308)+INDEX(Models!$BJ308:$BT308,,AH308+1)*AF308-ERP_i)*AE308*Ramure*Pc/MaxiM</f>
        <v>3.8282711187515215E-3</v>
      </c>
      <c r="AE308" s="304">
        <f t="shared" si="117"/>
        <v>0.6</v>
      </c>
      <c r="AF308" s="177">
        <f t="shared" si="118"/>
        <v>0.99716852888701069</v>
      </c>
      <c r="AG308" s="799">
        <f t="shared" si="124"/>
        <v>0</v>
      </c>
      <c r="AH308" s="176">
        <f t="shared" si="119"/>
        <v>6</v>
      </c>
      <c r="AI308" s="224">
        <f t="shared" si="120"/>
        <v>0.99716852888701069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09">
        <f>'2022'!Wh/'2022'!Env_an*'2023'!Env_an</f>
        <v>34.108187313244052</v>
      </c>
      <c r="C309" s="829"/>
      <c r="D309" s="391">
        <f t="shared" si="102"/>
        <v>35.26477093906886</v>
      </c>
      <c r="E309" s="383">
        <f t="shared" si="125"/>
        <v>36.188741002676615</v>
      </c>
      <c r="F309" s="383">
        <f t="shared" si="103"/>
        <v>36.324043139135597</v>
      </c>
      <c r="G309" s="110">
        <f t="shared" si="126"/>
        <v>0.96045995250634431</v>
      </c>
      <c r="H309" s="412" t="b">
        <f>Wh_hp&gt;='2022'!Maxi_hp</f>
        <v>0</v>
      </c>
      <c r="I309" s="379">
        <f>IF(H309,Wh_hp,'2022'!Maxi_hp)</f>
        <v>36.326275641473238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3.2797139894178651E-2</v>
      </c>
      <c r="M309" s="832"/>
      <c r="N309" s="832"/>
      <c r="O309" s="48">
        <f>IF(t&lt;Tnet,'2022'!Resal+('2022'!Salim-'2022'!Resal)*(1-EXP(('2022'!Tnet-t)/('2022'!Tau_j))),Resal+(Salim-Resal)*(1-EXP((Tnet-t)/(Tau_j))))*Salcycl</f>
        <v>2.5531975913155355E-2</v>
      </c>
      <c r="P309" s="338">
        <f>(INDEX(Models!$BJ309:$BT309,,T309)*(1-R309)+INDEX(Models!$BJ309:$BT309,,T309+1)*R309-ERP_i)*Q309*Ramure*Pc/MaxiM</f>
        <v>3.9465849902602839E-3</v>
      </c>
      <c r="Q309" s="304">
        <f t="shared" si="105"/>
        <v>0.6</v>
      </c>
      <c r="R309" s="177">
        <f t="shared" si="106"/>
        <v>0.99725311215285672</v>
      </c>
      <c r="S309" s="799">
        <f t="shared" si="107"/>
        <v>0</v>
      </c>
      <c r="T309" s="176">
        <f t="shared" si="108"/>
        <v>6</v>
      </c>
      <c r="U309" s="250">
        <f t="shared" si="109"/>
        <v>0.99725311215285672</v>
      </c>
      <c r="V309" s="382">
        <f t="shared" si="110"/>
        <v>35.504443952613968</v>
      </c>
      <c r="W309" s="400">
        <f t="shared" si="111"/>
        <v>34.108187313244052</v>
      </c>
      <c r="X309" s="157">
        <f t="shared" si="112"/>
        <v>45221</v>
      </c>
      <c r="Y309" s="383">
        <f t="shared" si="113"/>
        <v>33.258406652441295</v>
      </c>
      <c r="Z309" s="383">
        <f t="shared" si="114"/>
        <v>34.386174839063756</v>
      </c>
      <c r="AA309" s="384">
        <f t="shared" si="115"/>
        <v>36.188741002676615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4.981013745351176E-2</v>
      </c>
      <c r="AD309" s="230">
        <f>(INDEX(Models!$BJ309:$BT309,,AH309)*(1-AF309)+INDEX(Models!$BJ309:$BT309,,AH309+1)*AF309-ERP_i)*AE309*Ramure*Pc/MaxiM</f>
        <v>3.9465849902602839E-3</v>
      </c>
      <c r="AE309" s="304">
        <f t="shared" si="117"/>
        <v>0.6</v>
      </c>
      <c r="AF309" s="177">
        <f t="shared" si="118"/>
        <v>0.99725311215285672</v>
      </c>
      <c r="AG309" s="799">
        <f t="shared" si="124"/>
        <v>0</v>
      </c>
      <c r="AH309" s="176">
        <f t="shared" si="119"/>
        <v>6</v>
      </c>
      <c r="AI309" s="224">
        <f t="shared" si="120"/>
        <v>0.99725311215285672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09">
        <f>'2022'!Wh/'2022'!Env_an*'2023'!Env_an</f>
        <v>17.529274075744478</v>
      </c>
      <c r="C310" s="829"/>
      <c r="D310" s="391">
        <f t="shared" si="102"/>
        <v>18.124026251125418</v>
      </c>
      <c r="E310" s="383">
        <f t="shared" si="125"/>
        <v>18.600292700410861</v>
      </c>
      <c r="F310" s="383">
        <f t="shared" si="103"/>
        <v>18.621748757330248</v>
      </c>
      <c r="G310" s="110">
        <f t="shared" si="126"/>
        <v>0.49714866241288502</v>
      </c>
      <c r="H310" s="412" t="b">
        <f>Wh_hp&gt;='2022'!Maxi_hp</f>
        <v>0</v>
      </c>
      <c r="I310" s="379">
        <f>IF(H310,Wh_hp,'2022'!Maxi_hp)</f>
        <v>37.404529448025627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3.2815676116338066E-2</v>
      </c>
      <c r="M310" s="832"/>
      <c r="N310" s="832"/>
      <c r="O310" s="48">
        <f>IF(t&lt;Tnet,'2022'!Resal+('2022'!Salim-'2022'!Resal)*(1-EXP(('2022'!Tnet-t)/('2022'!Tau_j))),Resal+(Salim-Resal)*(1-EXP((Tnet-t)/(Tau_j))))*Salcycl</f>
        <v>2.5605320139662283E-2</v>
      </c>
      <c r="P310" s="338">
        <f>(INDEX(Models!$BJ310:$BT310,,T310)*(1-R310)+INDEX(Models!$BJ310:$BT310,,T310+1)*R310-ERP_i)*Q310*Ramure*Pc/MaxiM</f>
        <v>4.0611277946482824E-3</v>
      </c>
      <c r="Q310" s="304">
        <f t="shared" si="105"/>
        <v>0.6</v>
      </c>
      <c r="R310" s="177">
        <f t="shared" si="106"/>
        <v>0.99733431683467844</v>
      </c>
      <c r="S310" s="799">
        <f t="shared" si="107"/>
        <v>0</v>
      </c>
      <c r="T310" s="176">
        <f t="shared" si="108"/>
        <v>6</v>
      </c>
      <c r="U310" s="250">
        <f t="shared" si="109"/>
        <v>0.99733431683467844</v>
      </c>
      <c r="V310" s="382">
        <f t="shared" si="110"/>
        <v>35.156936461573963</v>
      </c>
      <c r="W310" s="400">
        <f t="shared" si="111"/>
        <v>17.529274075744478</v>
      </c>
      <c r="X310" s="157">
        <f t="shared" si="112"/>
        <v>45222</v>
      </c>
      <c r="Y310" s="383">
        <f t="shared" si="113"/>
        <v>17.09324664550655</v>
      </c>
      <c r="Z310" s="383">
        <f t="shared" si="114"/>
        <v>17.673204810505815</v>
      </c>
      <c r="AA310" s="384">
        <f t="shared" si="115"/>
        <v>18.600292700410861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4.9842650588211891E-2</v>
      </c>
      <c r="AD310" s="230">
        <f>(INDEX(Models!$BJ310:$BT310,,AH310)*(1-AF310)+INDEX(Models!$BJ310:$BT310,,AH310+1)*AF310-ERP_i)*AE310*Ramure*Pc/MaxiM</f>
        <v>4.0611277946482824E-3</v>
      </c>
      <c r="AE310" s="304">
        <f t="shared" si="117"/>
        <v>0.6</v>
      </c>
      <c r="AF310" s="177">
        <f t="shared" si="118"/>
        <v>0.99733431683467844</v>
      </c>
      <c r="AG310" s="799">
        <f t="shared" si="124"/>
        <v>0</v>
      </c>
      <c r="AH310" s="176">
        <f t="shared" si="119"/>
        <v>6</v>
      </c>
      <c r="AI310" s="224">
        <f t="shared" si="120"/>
        <v>0.99733431683467844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09">
        <f>'2022'!Wh/'2022'!Env_an*'2023'!Env_an</f>
        <v>25.934497555620858</v>
      </c>
      <c r="C311" s="829"/>
      <c r="D311" s="391">
        <f t="shared" si="102"/>
        <v>26.814945148961208</v>
      </c>
      <c r="E311" s="383">
        <f t="shared" si="125"/>
        <v>27.521652563898083</v>
      </c>
      <c r="F311" s="383">
        <f t="shared" si="103"/>
        <v>27.594833787773108</v>
      </c>
      <c r="G311" s="110">
        <f t="shared" si="126"/>
        <v>0.74386401204651764</v>
      </c>
      <c r="H311" s="412" t="b">
        <f>Wh_hp&gt;='2022'!Maxi_hp</f>
        <v>0</v>
      </c>
      <c r="I311" s="379">
        <f>IF(H311,Wh_hp,'2022'!Maxi_hp)</f>
        <v>38.420312161688102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3.283421198325509E-2</v>
      </c>
      <c r="M311" s="832"/>
      <c r="N311" s="832"/>
      <c r="O311" s="48">
        <f>IF(t&lt;Tnet,'2022'!Resal+('2022'!Salim-'2022'!Resal)*(1-EXP(('2022'!Tnet-t)/('2022'!Tau_j))),Resal+(Salim-Resal)*(1-EXP((Tnet-t)/(Tau_j))))*Salcycl</f>
        <v>2.5678233285449933E-2</v>
      </c>
      <c r="P311" s="338">
        <f>(INDEX(Models!$BJ311:$BT311,,T311)*(1-R311)+INDEX(Models!$BJ311:$BT311,,T311+1)*R311-ERP_i)*Q311*Ramure*Pc/MaxiM</f>
        <v>4.1716773073338809E-3</v>
      </c>
      <c r="Q311" s="304">
        <f t="shared" si="105"/>
        <v>0.6</v>
      </c>
      <c r="R311" s="177">
        <f t="shared" si="106"/>
        <v>0.99741227684707112</v>
      </c>
      <c r="S311" s="799">
        <f t="shared" si="107"/>
        <v>0</v>
      </c>
      <c r="T311" s="176">
        <f t="shared" si="108"/>
        <v>6</v>
      </c>
      <c r="U311" s="250">
        <f t="shared" si="109"/>
        <v>0.99741227684707112</v>
      </c>
      <c r="V311" s="382">
        <f t="shared" si="110"/>
        <v>34.811444042279334</v>
      </c>
      <c r="W311" s="400">
        <f t="shared" si="111"/>
        <v>25.934497555620858</v>
      </c>
      <c r="X311" s="157">
        <f t="shared" si="112"/>
        <v>45223</v>
      </c>
      <c r="Y311" s="383">
        <f t="shared" si="113"/>
        <v>25.29043909508086</v>
      </c>
      <c r="Z311" s="383">
        <f t="shared" si="114"/>
        <v>26.149021613906587</v>
      </c>
      <c r="AA311" s="384">
        <f t="shared" si="115"/>
        <v>27.521652563898083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4.9874583177903484E-2</v>
      </c>
      <c r="AD311" s="230">
        <f>(INDEX(Models!$BJ311:$BT311,,AH311)*(1-AF311)+INDEX(Models!$BJ311:$BT311,,AH311+1)*AF311-ERP_i)*AE311*Ramure*Pc/MaxiM</f>
        <v>4.1716773073338809E-3</v>
      </c>
      <c r="AE311" s="304">
        <f t="shared" si="117"/>
        <v>0.6</v>
      </c>
      <c r="AF311" s="177">
        <f t="shared" si="118"/>
        <v>0.99741227684707112</v>
      </c>
      <c r="AG311" s="799">
        <f t="shared" si="124"/>
        <v>0</v>
      </c>
      <c r="AH311" s="176">
        <f t="shared" si="119"/>
        <v>6</v>
      </c>
      <c r="AI311" s="224">
        <f t="shared" si="120"/>
        <v>0.99741227684707112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09">
        <f>'2022'!Wh/'2022'!Env_an*'2023'!Env_an</f>
        <v>22.929387750315062</v>
      </c>
      <c r="C312" s="829"/>
      <c r="D312" s="391">
        <f t="shared" si="102"/>
        <v>23.708269543158337</v>
      </c>
      <c r="E312" s="383">
        <f t="shared" si="125"/>
        <v>24.334911352037928</v>
      </c>
      <c r="F312" s="383">
        <f t="shared" si="103"/>
        <v>24.38935203043356</v>
      </c>
      <c r="G312" s="110">
        <f t="shared" si="126"/>
        <v>0.66386363513964519</v>
      </c>
      <c r="H312" s="412" t="b">
        <f>Wh_hp&gt;='2022'!Maxi_hp</f>
        <v>0</v>
      </c>
      <c r="I312" s="379">
        <f>IF(H312,Wh_hp,'2022'!Maxi_hp)</f>
        <v>35.228620832517834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3.2852747494936496E-2</v>
      </c>
      <c r="M312" s="832"/>
      <c r="N312" s="832"/>
      <c r="O312" s="48">
        <f>IF(t&lt;Tnet,'2022'!Resal+('2022'!Salim-'2022'!Resal)*(1-EXP(('2022'!Tnet-t)/('2022'!Tau_j))),Resal+(Salim-Resal)*(1-EXP((Tnet-t)/(Tau_j))))*Salcycl</f>
        <v>2.5750733167438197E-2</v>
      </c>
      <c r="P312" s="338">
        <f>(INDEX(Models!$BJ312:$BT312,,T312)*(1-R312)+INDEX(Models!$BJ312:$BT312,,T312+1)*R312-ERP_i)*Q312*Ramure*Pc/MaxiM</f>
        <v>4.2781651199687958E-3</v>
      </c>
      <c r="Q312" s="304">
        <f t="shared" si="105"/>
        <v>0.6</v>
      </c>
      <c r="R312" s="177">
        <f t="shared" si="106"/>
        <v>0.99748712087847935</v>
      </c>
      <c r="S312" s="799">
        <f t="shared" si="107"/>
        <v>0</v>
      </c>
      <c r="T312" s="176">
        <f t="shared" si="108"/>
        <v>6</v>
      </c>
      <c r="U312" s="250">
        <f t="shared" si="109"/>
        <v>0.99748712087847935</v>
      </c>
      <c r="V312" s="382">
        <f t="shared" si="110"/>
        <v>34.468477710002894</v>
      </c>
      <c r="W312" s="400">
        <f t="shared" si="111"/>
        <v>22.929387750315062</v>
      </c>
      <c r="X312" s="157">
        <f t="shared" si="112"/>
        <v>45224</v>
      </c>
      <c r="Y312" s="383">
        <f t="shared" si="113"/>
        <v>22.360883506646573</v>
      </c>
      <c r="Z312" s="383">
        <f t="shared" si="114"/>
        <v>23.120453941970435</v>
      </c>
      <c r="AA312" s="384">
        <f t="shared" si="115"/>
        <v>24.334911352037928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4.9905972226432109E-2</v>
      </c>
      <c r="AD312" s="230">
        <f>(INDEX(Models!$BJ312:$BT312,,AH312)*(1-AF312)+INDEX(Models!$BJ312:$BT312,,AH312+1)*AF312-ERP_i)*AE312*Ramure*Pc/MaxiM</f>
        <v>4.2781651199687958E-3</v>
      </c>
      <c r="AE312" s="304">
        <f t="shared" si="117"/>
        <v>0.6</v>
      </c>
      <c r="AF312" s="177">
        <f t="shared" si="118"/>
        <v>0.99748712087847935</v>
      </c>
      <c r="AG312" s="799">
        <f t="shared" si="124"/>
        <v>0</v>
      </c>
      <c r="AH312" s="176">
        <f t="shared" si="119"/>
        <v>6</v>
      </c>
      <c r="AI312" s="224">
        <f t="shared" si="120"/>
        <v>0.99748712087847935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09">
        <f>'2022'!Wh/'2022'!Env_an*'2023'!Env_an</f>
        <v>12.781664707397564</v>
      </c>
      <c r="C313" s="829"/>
      <c r="D313" s="391">
        <f t="shared" si="102"/>
        <v>13.216094691551062</v>
      </c>
      <c r="E313" s="383">
        <f t="shared" si="125"/>
        <v>13.566418121924148</v>
      </c>
      <c r="F313" s="383">
        <f t="shared" si="103"/>
        <v>13.572747164443298</v>
      </c>
      <c r="G313" s="110">
        <f t="shared" si="126"/>
        <v>0.37304871998235095</v>
      </c>
      <c r="H313" s="412" t="b">
        <f>Wh_hp&gt;='2022'!Maxi_hp</f>
        <v>0</v>
      </c>
      <c r="I313" s="379">
        <f>IF(H313,Wh_hp,'2022'!Maxi_hp)</f>
        <v>35.899581400046522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3.2871282651389055E-2</v>
      </c>
      <c r="M313" s="832"/>
      <c r="N313" s="832"/>
      <c r="O313" s="48">
        <f>IF(t&lt;Tnet,'2022'!Resal+('2022'!Salim-'2022'!Resal)*(1-EXP(('2022'!Tnet-t)/('2022'!Tau_j))),Resal+(Salim-Resal)*(1-EXP((Tnet-t)/(Tau_j))))*Salcycl</f>
        <v>2.582283895606477E-2</v>
      </c>
      <c r="P313" s="338">
        <f>(INDEX(Models!$BJ313:$BT313,,T313)*(1-R313)+INDEX(Models!$BJ313:$BT313,,T313+1)*R313-ERP_i)*Q313*Ramure*Pc/MaxiM</f>
        <v>4.3804899491179938E-3</v>
      </c>
      <c r="Q313" s="304">
        <f t="shared" si="105"/>
        <v>0.6</v>
      </c>
      <c r="R313" s="177">
        <f t="shared" si="106"/>
        <v>0.99755897258870885</v>
      </c>
      <c r="S313" s="799">
        <f t="shared" si="107"/>
        <v>0</v>
      </c>
      <c r="T313" s="176">
        <f t="shared" si="108"/>
        <v>6</v>
      </c>
      <c r="U313" s="250">
        <f t="shared" si="109"/>
        <v>0.99755897258870885</v>
      </c>
      <c r="V313" s="382">
        <f t="shared" si="110"/>
        <v>34.128549136524718</v>
      </c>
      <c r="W313" s="400">
        <f t="shared" si="111"/>
        <v>12.781664707397564</v>
      </c>
      <c r="X313" s="157">
        <f t="shared" si="112"/>
        <v>45225</v>
      </c>
      <c r="Y313" s="383">
        <f t="shared" si="113"/>
        <v>12.465277395209817</v>
      </c>
      <c r="Z313" s="383">
        <f t="shared" si="114"/>
        <v>12.88895383996398</v>
      </c>
      <c r="AA313" s="384">
        <f t="shared" si="115"/>
        <v>13.566418121924148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4.9936857014995346E-2</v>
      </c>
      <c r="AD313" s="230">
        <f>(INDEX(Models!$BJ313:$BT313,,AH313)*(1-AF313)+INDEX(Models!$BJ313:$BT313,,AH313+1)*AF313-ERP_i)*AE313*Ramure*Pc/MaxiM</f>
        <v>4.3804899491179938E-3</v>
      </c>
      <c r="AE313" s="304">
        <f t="shared" si="117"/>
        <v>0.6</v>
      </c>
      <c r="AF313" s="177">
        <f t="shared" si="118"/>
        <v>0.99755897258870885</v>
      </c>
      <c r="AG313" s="799">
        <f t="shared" si="124"/>
        <v>0</v>
      </c>
      <c r="AH313" s="176">
        <f t="shared" si="119"/>
        <v>6</v>
      </c>
      <c r="AI313" s="224">
        <f t="shared" si="120"/>
        <v>0.99755897258870885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09">
        <f>'2022'!Wh/'2022'!Env_an*'2023'!Env_an</f>
        <v>14.786176524602045</v>
      </c>
      <c r="C314" s="829"/>
      <c r="D314" s="391">
        <f t="shared" si="102"/>
        <v>15.289029927960296</v>
      </c>
      <c r="E314" s="383">
        <f t="shared" si="125"/>
        <v>15.695457057007678</v>
      </c>
      <c r="F314" s="383">
        <f t="shared" si="103"/>
        <v>15.709283007100115</v>
      </c>
      <c r="G314" s="110">
        <f t="shared" si="126"/>
        <v>0.43598628746869794</v>
      </c>
      <c r="H314" s="412" t="b">
        <f>Wh_hp&gt;='2022'!Maxi_hp</f>
        <v>0</v>
      </c>
      <c r="I314" s="379">
        <f>IF(H314,Wh_hp,'2022'!Maxi_hp)</f>
        <v>30.879725572368368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3.2889817452619541E-2</v>
      </c>
      <c r="M314" s="832"/>
      <c r="N314" s="832"/>
      <c r="O314" s="48">
        <f>IF(t&lt;Tnet,'2022'!Resal+('2022'!Salim-'2022'!Resal)*(1-EXP(('2022'!Tnet-t)/('2022'!Tau_j))),Resal+(Salim-Resal)*(1-EXP((Tnet-t)/(Tau_j))))*Salcycl</f>
        <v>2.5894571121515685E-2</v>
      </c>
      <c r="P314" s="338">
        <f>(INDEX(Models!$BJ314:$BT314,,T314)*(1-R314)+INDEX(Models!$BJ314:$BT314,,T314+1)*R314-ERP_i)*Q314*Ramure*Pc/MaxiM</f>
        <v>4.4785507715313427E-3</v>
      </c>
      <c r="Q314" s="304">
        <f t="shared" si="105"/>
        <v>0.6</v>
      </c>
      <c r="R314" s="177">
        <f t="shared" si="106"/>
        <v>0.99762795079948607</v>
      </c>
      <c r="S314" s="799">
        <f t="shared" si="107"/>
        <v>0</v>
      </c>
      <c r="T314" s="176">
        <f t="shared" si="108"/>
        <v>6</v>
      </c>
      <c r="U314" s="250">
        <f t="shared" si="109"/>
        <v>0.99762795079948607</v>
      </c>
      <c r="V314" s="382">
        <f t="shared" si="110"/>
        <v>33.792169496959332</v>
      </c>
      <c r="W314" s="400">
        <f t="shared" si="111"/>
        <v>14.786176524602045</v>
      </c>
      <c r="X314" s="157">
        <f t="shared" si="112"/>
        <v>45226</v>
      </c>
      <c r="Y314" s="383">
        <f t="shared" si="113"/>
        <v>14.420771202732942</v>
      </c>
      <c r="Z314" s="383">
        <f t="shared" si="114"/>
        <v>14.911197775571392</v>
      </c>
      <c r="AA314" s="384">
        <f t="shared" si="115"/>
        <v>15.695457057007678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4.9967278976825374E-2</v>
      </c>
      <c r="AD314" s="230">
        <f>(INDEX(Models!$BJ314:$BT314,,AH314)*(1-AF314)+INDEX(Models!$BJ314:$BT314,,AH314+1)*AF314-ERP_i)*AE314*Ramure*Pc/MaxiM</f>
        <v>4.4785507715313427E-3</v>
      </c>
      <c r="AE314" s="304">
        <f t="shared" si="117"/>
        <v>0.6</v>
      </c>
      <c r="AF314" s="177">
        <f t="shared" si="118"/>
        <v>0.99762795079948607</v>
      </c>
      <c r="AG314" s="799">
        <f t="shared" si="124"/>
        <v>0</v>
      </c>
      <c r="AH314" s="176">
        <f t="shared" si="119"/>
        <v>6</v>
      </c>
      <c r="AI314" s="224">
        <f t="shared" si="120"/>
        <v>0.99762795079948607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09">
        <f>'2022'!Wh/'2022'!Env_an*'2023'!Env_an</f>
        <v>17.78656787763413</v>
      </c>
      <c r="C315" s="829"/>
      <c r="D315" s="391">
        <f t="shared" si="102"/>
        <v>18.391812102351896</v>
      </c>
      <c r="E315" s="383">
        <f t="shared" si="125"/>
        <v>18.882103893837254</v>
      </c>
      <c r="F315" s="383">
        <f t="shared" si="103"/>
        <v>18.910708730080728</v>
      </c>
      <c r="G315" s="110">
        <f t="shared" si="126"/>
        <v>0.52995053926259994</v>
      </c>
      <c r="H315" s="412" t="b">
        <f>Wh_hp&gt;='2022'!Maxi_hp</f>
        <v>0</v>
      </c>
      <c r="I315" s="379">
        <f>IF(H315,Wh_hp,'2022'!Maxi_hp)</f>
        <v>35.461193234664123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3.2908351898634725E-2</v>
      </c>
      <c r="M315" s="832"/>
      <c r="N315" s="832"/>
      <c r="O315" s="48">
        <f>IF(t&lt;Tnet,'2022'!Resal+('2022'!Salim-'2022'!Resal)*(1-EXP(('2022'!Tnet-t)/('2022'!Tau_j))),Resal+(Salim-Resal)*(1-EXP((Tnet-t)/(Tau_j))))*Salcycl</f>
        <v>2.5965951370778121E-2</v>
      </c>
      <c r="P315" s="338">
        <f>(INDEX(Models!$BJ315:$BT315,,T315)*(1-R315)+INDEX(Models!$BJ315:$BT315,,T315+1)*R315-ERP_i)*Q315*Ramure*Pc/MaxiM</f>
        <v>4.572247286369859E-3</v>
      </c>
      <c r="Q315" s="304">
        <f t="shared" si="105"/>
        <v>0.6</v>
      </c>
      <c r="R315" s="177">
        <f t="shared" si="106"/>
        <v>0.99769416967826818</v>
      </c>
      <c r="S315" s="799">
        <f t="shared" si="107"/>
        <v>0</v>
      </c>
      <c r="T315" s="176">
        <f t="shared" si="108"/>
        <v>6</v>
      </c>
      <c r="U315" s="250">
        <f t="shared" si="109"/>
        <v>0.99769416967826818</v>
      </c>
      <c r="V315" s="382">
        <f t="shared" si="110"/>
        <v>33.459849488413887</v>
      </c>
      <c r="W315" s="400">
        <f t="shared" si="111"/>
        <v>17.78656787763413</v>
      </c>
      <c r="X315" s="157">
        <f t="shared" si="112"/>
        <v>45227</v>
      </c>
      <c r="Y315" s="383">
        <f t="shared" si="113"/>
        <v>17.347738366353983</v>
      </c>
      <c r="Z315" s="383">
        <f t="shared" si="114"/>
        <v>17.938050029086476</v>
      </c>
      <c r="AA315" s="384">
        <f t="shared" si="115"/>
        <v>18.882103893837254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4.9997281556050557E-2</v>
      </c>
      <c r="AD315" s="230">
        <f>(INDEX(Models!$BJ315:$BT315,,AH315)*(1-AF315)+INDEX(Models!$BJ315:$BT315,,AH315+1)*AF315-ERP_i)*AE315*Ramure*Pc/MaxiM</f>
        <v>4.572247286369859E-3</v>
      </c>
      <c r="AE315" s="304">
        <f t="shared" si="117"/>
        <v>0.6</v>
      </c>
      <c r="AF315" s="177">
        <f t="shared" si="118"/>
        <v>0.99769416967826818</v>
      </c>
      <c r="AG315" s="799">
        <f t="shared" si="124"/>
        <v>0</v>
      </c>
      <c r="AH315" s="176">
        <f t="shared" si="119"/>
        <v>6</v>
      </c>
      <c r="AI315" s="224">
        <f t="shared" si="120"/>
        <v>0.99769416967826818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09">
        <f>'2022'!Wh/'2022'!Env_an*'2023'!Env_an</f>
        <v>27.62295768114608</v>
      </c>
      <c r="C316" s="829"/>
      <c r="D316" s="391">
        <f t="shared" si="102"/>
        <v>28.563463590245661</v>
      </c>
      <c r="E316" s="383">
        <f t="shared" si="125"/>
        <v>29.327052121882929</v>
      </c>
      <c r="F316" s="383">
        <f t="shared" si="103"/>
        <v>29.431657879728721</v>
      </c>
      <c r="G316" s="110">
        <f t="shared" si="126"/>
        <v>0.83279546246105396</v>
      </c>
      <c r="H316" s="412" t="b">
        <f>Wh_hp&gt;='2022'!Maxi_hp</f>
        <v>0</v>
      </c>
      <c r="I316" s="379">
        <f>IF(H316,Wh_hp,'2022'!Maxi_hp)</f>
        <v>29.777598995663187</v>
      </c>
      <c r="J316" s="85">
        <f>IF(H316,An,'2022'!An_max)</f>
        <v>2018</v>
      </c>
      <c r="K316" s="197">
        <f t="shared" si="104"/>
        <v>45228</v>
      </c>
      <c r="L316" s="147">
        <f>IF(t&lt;Tvie,1-EXP((T0-t)*PertePVj)+'2022'!Pspv,1-EXP((T0-t)*PertePVj)+Pspv)</f>
        <v>3.292688598944149E-2</v>
      </c>
      <c r="M316" s="832"/>
      <c r="N316" s="832"/>
      <c r="O316" s="48">
        <f>IF(t&lt;Tnet,'2022'!Resal+('2022'!Salim-'2022'!Resal)*(1-EXP(('2022'!Tnet-t)/('2022'!Tau_j))),Resal+(Salim-Resal)*(1-EXP((Tnet-t)/(Tau_j))))*Salcycl</f>
        <v>2.6037002575772111E-2</v>
      </c>
      <c r="P316" s="338">
        <f>(INDEX(Models!$BJ316:$BT316,,T316)*(1-R316)+INDEX(Models!$BJ316:$BT316,,T316+1)*R316-ERP_i)*Q316*Ramure*Pc/MaxiM</f>
        <v>4.6614803636770867E-3</v>
      </c>
      <c r="Q316" s="304">
        <f t="shared" si="105"/>
        <v>0.6</v>
      </c>
      <c r="R316" s="177">
        <f t="shared" si="106"/>
        <v>0.99775773891550434</v>
      </c>
      <c r="S316" s="799">
        <f t="shared" si="107"/>
        <v>0</v>
      </c>
      <c r="T316" s="176">
        <f t="shared" si="108"/>
        <v>6</v>
      </c>
      <c r="U316" s="250">
        <f t="shared" si="109"/>
        <v>0.99775773891550434</v>
      </c>
      <c r="V316" s="382">
        <f t="shared" si="110"/>
        <v>33.132099347454812</v>
      </c>
      <c r="W316" s="400">
        <f t="shared" si="111"/>
        <v>27.62295768114608</v>
      </c>
      <c r="X316" s="157">
        <f t="shared" si="112"/>
        <v>45228</v>
      </c>
      <c r="Y316" s="383">
        <f t="shared" si="113"/>
        <v>26.942570232415914</v>
      </c>
      <c r="Z316" s="383">
        <f t="shared" si="114"/>
        <v>27.859910323307524</v>
      </c>
      <c r="AA316" s="384">
        <f t="shared" si="115"/>
        <v>29.327052121882929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5.0026910051442525E-2</v>
      </c>
      <c r="AD316" s="230">
        <f>(INDEX(Models!$BJ316:$BT316,,AH316)*(1-AF316)+INDEX(Models!$BJ316:$BT316,,AH316+1)*AF316-ERP_i)*AE316*Ramure*Pc/MaxiM</f>
        <v>4.6614803636770867E-3</v>
      </c>
      <c r="AE316" s="304">
        <f t="shared" si="117"/>
        <v>0.6</v>
      </c>
      <c r="AF316" s="177">
        <f t="shared" si="118"/>
        <v>0.99775773891550434</v>
      </c>
      <c r="AG316" s="799">
        <f t="shared" si="124"/>
        <v>0</v>
      </c>
      <c r="AH316" s="176">
        <f t="shared" si="119"/>
        <v>6</v>
      </c>
      <c r="AI316" s="224">
        <f t="shared" si="120"/>
        <v>0.99775773891550434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09">
        <f>'2022'!Wh/'2022'!Env_an*'2023'!Env_an</f>
        <v>23.748172022134501</v>
      </c>
      <c r="C317" s="829"/>
      <c r="D317" s="391">
        <f t="shared" si="102"/>
        <v>24.557219940349604</v>
      </c>
      <c r="E317" s="383">
        <f t="shared" si="125"/>
        <v>25.215540946537217</v>
      </c>
      <c r="F317" s="383">
        <f t="shared" si="103"/>
        <v>25.288221002530705</v>
      </c>
      <c r="G317" s="110">
        <f t="shared" si="126"/>
        <v>0.7225056489327677</v>
      </c>
      <c r="H317" s="412" t="b">
        <f>Wh_hp&gt;='2022'!Maxi_hp</f>
        <v>0</v>
      </c>
      <c r="I317" s="379">
        <f>IF(H317,Wh_hp,'2022'!Maxi_hp)</f>
        <v>28.491037803008169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3.2945419725046721E-2</v>
      </c>
      <c r="M317" s="832"/>
      <c r="N317" s="832"/>
      <c r="O317" s="48">
        <f>IF(t&lt;Tnet,'2022'!Resal+('2022'!Salim-'2022'!Resal)*(1-EXP(('2022'!Tnet-t)/('2022'!Tau_j))),Resal+(Salim-Resal)*(1-EXP((Tnet-t)/(Tau_j))))*Salcycl</f>
        <v>2.6107748692895515E-2</v>
      </c>
      <c r="P317" s="338">
        <f>(INDEX(Models!$BJ317:$BT317,,T317)*(1-R317)+INDEX(Models!$BJ317:$BT317,,T317+1)*R317-ERP_i)*Q317*Ramure*Pc/MaxiM</f>
        <v>4.7464352847627796E-3</v>
      </c>
      <c r="Q317" s="304">
        <f t="shared" si="105"/>
        <v>0.6</v>
      </c>
      <c r="R317" s="177">
        <f t="shared" si="106"/>
        <v>0.99781876389554713</v>
      </c>
      <c r="S317" s="799">
        <f t="shared" si="107"/>
        <v>0</v>
      </c>
      <c r="T317" s="176">
        <f t="shared" si="108"/>
        <v>6</v>
      </c>
      <c r="U317" s="250">
        <f t="shared" si="109"/>
        <v>0.99781876389554713</v>
      </c>
      <c r="V317" s="382">
        <f t="shared" si="110"/>
        <v>32.807464664128908</v>
      </c>
      <c r="W317" s="400">
        <f t="shared" si="111"/>
        <v>23.748172022134501</v>
      </c>
      <c r="X317" s="157">
        <f t="shared" si="112"/>
        <v>45229</v>
      </c>
      <c r="Y317" s="383">
        <f t="shared" si="113"/>
        <v>23.164193443025297</v>
      </c>
      <c r="Z317" s="383">
        <f t="shared" si="114"/>
        <v>23.953346497194861</v>
      </c>
      <c r="AA317" s="384">
        <f t="shared" si="115"/>
        <v>25.215540946537217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5.0056211445889641E-2</v>
      </c>
      <c r="AD317" s="230">
        <f>(INDEX(Models!$BJ317:$BT317,,AH317)*(1-AF317)+INDEX(Models!$BJ317:$BT317,,AH317+1)*AF317-ERP_i)*AE317*Ramure*Pc/MaxiM</f>
        <v>4.7464352847627796E-3</v>
      </c>
      <c r="AE317" s="304">
        <f t="shared" si="117"/>
        <v>0.6</v>
      </c>
      <c r="AF317" s="177">
        <f t="shared" si="118"/>
        <v>0.99781876389554713</v>
      </c>
      <c r="AG317" s="799">
        <f t="shared" si="124"/>
        <v>0</v>
      </c>
      <c r="AH317" s="176">
        <f t="shared" si="119"/>
        <v>6</v>
      </c>
      <c r="AI317" s="224">
        <f t="shared" si="120"/>
        <v>0.99781876389554713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09">
        <f>'2022'!Wh/'2022'!Env_an*'2023'!Env_an</f>
        <v>22.587131966487693</v>
      </c>
      <c r="C318" s="829"/>
      <c r="D318" s="391">
        <f t="shared" si="102"/>
        <v>23.35707344004609</v>
      </c>
      <c r="E318" s="383">
        <f t="shared" si="125"/>
        <v>23.984956787792967</v>
      </c>
      <c r="F318" s="383">
        <f t="shared" si="103"/>
        <v>24.050577218126687</v>
      </c>
      <c r="G318" s="110">
        <f t="shared" si="126"/>
        <v>0.69386000806060999</v>
      </c>
      <c r="H318" s="412" t="b">
        <f>Wh_hp&gt;='2022'!Maxi_hp</f>
        <v>0</v>
      </c>
      <c r="I318" s="379">
        <f>IF(H318,Wh_hp,'2022'!Maxi_hp)</f>
        <v>34.120858369867321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3.2963953105457078E-2</v>
      </c>
      <c r="M318" s="832"/>
      <c r="N318" s="832"/>
      <c r="O318" s="48">
        <f>IF(t&lt;Tnet,'2022'!Resal+('2022'!Salim-'2022'!Resal)*(1-EXP(('2022'!Tnet-t)/('2022'!Tau_j))),Resal+(Salim-Resal)*(1-EXP((Tnet-t)/(Tau_j))))*Salcycl</f>
        <v>2.6178214674392689E-2</v>
      </c>
      <c r="P318" s="338">
        <f>(INDEX(Models!$BJ318:$BT318,,T318)*(1-R318)+INDEX(Models!$BJ318:$BT318,,T318+1)*R318-ERP_i)*Q318*Ramure*Pc/MaxiM</f>
        <v>4.8312120020590522E-3</v>
      </c>
      <c r="Q318" s="304">
        <f t="shared" si="105"/>
        <v>0.6</v>
      </c>
      <c r="R318" s="177">
        <f t="shared" si="106"/>
        <v>0.99787734586140797</v>
      </c>
      <c r="S318" s="799">
        <f t="shared" si="107"/>
        <v>0</v>
      </c>
      <c r="T318" s="176">
        <f t="shared" si="108"/>
        <v>6</v>
      </c>
      <c r="U318" s="250">
        <f t="shared" si="109"/>
        <v>0.99787734586140797</v>
      </c>
      <c r="V318" s="382">
        <f t="shared" si="110"/>
        <v>32.484227442983773</v>
      </c>
      <c r="W318" s="400">
        <f t="shared" si="111"/>
        <v>22.587131966487693</v>
      </c>
      <c r="X318" s="157">
        <f t="shared" si="112"/>
        <v>45230</v>
      </c>
      <c r="Y318" s="383">
        <f t="shared" si="113"/>
        <v>22.03262495750819</v>
      </c>
      <c r="Z318" s="383">
        <f t="shared" si="114"/>
        <v>22.783664609258242</v>
      </c>
      <c r="AA318" s="384">
        <f t="shared" si="115"/>
        <v>23.984956787792967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5.0085234222565625E-2</v>
      </c>
      <c r="AD318" s="230">
        <f>(INDEX(Models!$BJ318:$BT318,,AH318)*(1-AF318)+INDEX(Models!$BJ318:$BT318,,AH318+1)*AF318-ERP_i)*AE318*Ramure*Pc/MaxiM</f>
        <v>4.8312120020590522E-3</v>
      </c>
      <c r="AE318" s="304">
        <f t="shared" si="117"/>
        <v>0.6</v>
      </c>
      <c r="AF318" s="177">
        <f t="shared" si="118"/>
        <v>0.99787734586140797</v>
      </c>
      <c r="AG318" s="799">
        <f t="shared" si="124"/>
        <v>0</v>
      </c>
      <c r="AH318" s="176">
        <f t="shared" si="119"/>
        <v>6</v>
      </c>
      <c r="AI318" s="224">
        <f t="shared" si="120"/>
        <v>0.99787734586140797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09">
        <f>'2022'!Wh/'2022'!Env_an*'2023'!Env_an</f>
        <v>20.022420389579491</v>
      </c>
      <c r="C319" s="829"/>
      <c r="D319" s="391">
        <f t="shared" si="102"/>
        <v>20.705333773598284</v>
      </c>
      <c r="E319" s="383">
        <f t="shared" si="125"/>
        <v>21.263466303273933</v>
      </c>
      <c r="F319" s="383">
        <f t="shared" si="103"/>
        <v>21.311753943525293</v>
      </c>
      <c r="G319" s="110">
        <f t="shared" si="126"/>
        <v>0.62088205726814982</v>
      </c>
      <c r="H319" s="412" t="b">
        <f>Wh_hp&gt;='2022'!Maxi_hp</f>
        <v>0</v>
      </c>
      <c r="I319" s="379">
        <f>IF(H319,Wh_hp,'2022'!Maxi_hp)</f>
        <v>32.848992554762482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3.2982486130679445E-2</v>
      </c>
      <c r="M319" s="832"/>
      <c r="N319" s="832"/>
      <c r="O319" s="48">
        <f>IF(t&lt;Tnet,'2022'!Resal+('2022'!Salim-'2022'!Resal)*(1-EXP(('2022'!Tnet-t)/('2022'!Tau_j))),Resal+(Salim-Resal)*(1-EXP((Tnet-t)/(Tau_j))))*Salcycl</f>
        <v>2.6248426372031057E-2</v>
      </c>
      <c r="P319" s="338">
        <f>(INDEX(Models!$BJ319:$BT319,,T319)*(1-R319)+INDEX(Models!$BJ319:$BT319,,T319+1)*R319-ERP_i)*Q319*Ramure*Pc/MaxiM</f>
        <v>4.9174041546424822E-3</v>
      </c>
      <c r="Q319" s="304">
        <f t="shared" si="105"/>
        <v>0.6</v>
      </c>
      <c r="R319" s="177">
        <f t="shared" si="106"/>
        <v>0.99793358207354965</v>
      </c>
      <c r="S319" s="799">
        <f t="shared" si="107"/>
        <v>0</v>
      </c>
      <c r="T319" s="176">
        <f t="shared" si="108"/>
        <v>6</v>
      </c>
      <c r="U319" s="250">
        <f t="shared" si="109"/>
        <v>0.99793358207354965</v>
      </c>
      <c r="V319" s="382">
        <f t="shared" si="110"/>
        <v>32.162642735902246</v>
      </c>
      <c r="W319" s="400">
        <f t="shared" si="111"/>
        <v>20.022420389579491</v>
      </c>
      <c r="X319" s="157">
        <f t="shared" si="112"/>
        <v>45231</v>
      </c>
      <c r="Y319" s="383">
        <f t="shared" si="113"/>
        <v>19.531692441128989</v>
      </c>
      <c r="Z319" s="383">
        <f t="shared" si="114"/>
        <v>20.197868353983541</v>
      </c>
      <c r="AA319" s="384">
        <f t="shared" si="115"/>
        <v>21.263466303273933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5.01140281688843E-2</v>
      </c>
      <c r="AD319" s="230">
        <f>(INDEX(Models!$BJ319:$BT319,,AH319)*(1-AF319)+INDEX(Models!$BJ319:$BT319,,AH319+1)*AF319-ERP_i)*AE319*Ramure*Pc/MaxiM</f>
        <v>4.9174041546424822E-3</v>
      </c>
      <c r="AE319" s="304">
        <f t="shared" si="117"/>
        <v>0.6</v>
      </c>
      <c r="AF319" s="177">
        <f t="shared" si="118"/>
        <v>0.99793358207354965</v>
      </c>
      <c r="AG319" s="799">
        <f t="shared" si="124"/>
        <v>0</v>
      </c>
      <c r="AH319" s="176">
        <f t="shared" si="119"/>
        <v>6</v>
      </c>
      <c r="AI319" s="224">
        <f t="shared" si="120"/>
        <v>0.99793358207354965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09">
        <f>'2022'!Wh/'2022'!Env_an*'2023'!Env_an</f>
        <v>29.702925463335347</v>
      </c>
      <c r="C320" s="829"/>
      <c r="D320" s="391">
        <f t="shared" si="102"/>
        <v>30.716604712962113</v>
      </c>
      <c r="E320" s="383">
        <f t="shared" si="125"/>
        <v>31.546868136473741</v>
      </c>
      <c r="F320" s="383">
        <f t="shared" si="103"/>
        <v>31.690249712545864</v>
      </c>
      <c r="G320" s="110">
        <f t="shared" si="126"/>
        <v>0.93234211314381998</v>
      </c>
      <c r="H320" s="412" t="b">
        <f>Wh_hp&gt;='2022'!Maxi_hp</f>
        <v>0</v>
      </c>
      <c r="I320" s="379">
        <f>IF(H320,Wh_hp,'2022'!Maxi_hp)</f>
        <v>31.694440919259218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3.3001018800720594E-2</v>
      </c>
      <c r="M320" s="832"/>
      <c r="N320" s="832"/>
      <c r="O320" s="48">
        <f>IF(t&lt;Tnet,'2022'!Resal+('2022'!Salim-'2022'!Resal)*(1-EXP(('2022'!Tnet-t)/('2022'!Tau_j))),Resal+(Salim-Resal)*(1-EXP((Tnet-t)/(Tau_j))))*Salcycl</f>
        <v>2.6318410433639843E-2</v>
      </c>
      <c r="P320" s="338">
        <f>(INDEX(Models!$BJ320:$BT320,,T320)*(1-R320)+INDEX(Models!$BJ320:$BT320,,T320+1)*R320-ERP_i)*Q320*Ramure*Pc/MaxiM</f>
        <v>5.0050046018854247E-3</v>
      </c>
      <c r="Q320" s="304">
        <f t="shared" si="105"/>
        <v>0.6</v>
      </c>
      <c r="R320" s="177">
        <f t="shared" si="106"/>
        <v>0.99798756596290383</v>
      </c>
      <c r="S320" s="799">
        <f t="shared" si="107"/>
        <v>0</v>
      </c>
      <c r="T320" s="176">
        <f t="shared" si="108"/>
        <v>6</v>
      </c>
      <c r="U320" s="250">
        <f t="shared" si="109"/>
        <v>0.99798756596290383</v>
      </c>
      <c r="V320" s="382">
        <f t="shared" si="110"/>
        <v>31.843018652924073</v>
      </c>
      <c r="W320" s="400">
        <f t="shared" si="111"/>
        <v>29.702925463335347</v>
      </c>
      <c r="X320" s="157">
        <f t="shared" si="112"/>
        <v>45232</v>
      </c>
      <c r="Y320" s="383">
        <f t="shared" si="113"/>
        <v>28.976148407613422</v>
      </c>
      <c r="Z320" s="383">
        <f t="shared" si="114"/>
        <v>29.965024752846155</v>
      </c>
      <c r="AA320" s="384">
        <f t="shared" si="115"/>
        <v>31.546868136473741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5.0142644169444382E-2</v>
      </c>
      <c r="AD320" s="230">
        <f>(INDEX(Models!$BJ320:$BT320,,AH320)*(1-AF320)+INDEX(Models!$BJ320:$BT320,,AH320+1)*AF320-ERP_i)*AE320*Ramure*Pc/MaxiM</f>
        <v>5.0050046018854247E-3</v>
      </c>
      <c r="AE320" s="304">
        <f t="shared" si="117"/>
        <v>0.6</v>
      </c>
      <c r="AF320" s="177">
        <f t="shared" si="118"/>
        <v>0.99798756596290383</v>
      </c>
      <c r="AG320" s="799">
        <f t="shared" si="124"/>
        <v>0</v>
      </c>
      <c r="AH320" s="176">
        <f t="shared" si="119"/>
        <v>6</v>
      </c>
      <c r="AI320" s="224">
        <f t="shared" si="120"/>
        <v>0.99798756596290383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09">
        <f>'2022'!Wh/'2022'!Env_an*'2023'!Env_an</f>
        <v>10.426230176621321</v>
      </c>
      <c r="C321" s="829"/>
      <c r="D321" s="391">
        <f t="shared" si="102"/>
        <v>10.78225541028246</v>
      </c>
      <c r="E321" s="383">
        <f t="shared" si="125"/>
        <v>11.074491235597545</v>
      </c>
      <c r="F321" s="383">
        <f t="shared" si="103"/>
        <v>11.076967698687392</v>
      </c>
      <c r="G321" s="110">
        <f t="shared" si="126"/>
        <v>0.32911087373657605</v>
      </c>
      <c r="H321" s="412" t="b">
        <f>Wh_hp&gt;='2022'!Maxi_hp</f>
        <v>0</v>
      </c>
      <c r="I321" s="379">
        <f>IF(H321,Wh_hp,'2022'!Maxi_hp)</f>
        <v>29.614967506581426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3.3019551115587298E-2</v>
      </c>
      <c r="M321" s="832"/>
      <c r="N321" s="832"/>
      <c r="O321" s="48">
        <f>IF(t&lt;Tnet,'2022'!Resal+('2022'!Salim-'2022'!Resal)*(1-EXP(('2022'!Tnet-t)/('2022'!Tau_j))),Resal+(Salim-Resal)*(1-EXP((Tnet-t)/(Tau_j))))*Salcycl</f>
        <v>2.6388194193131945E-2</v>
      </c>
      <c r="P321" s="338">
        <f>(INDEX(Models!$BJ321:$BT321,,T321)*(1-R321)+INDEX(Models!$BJ321:$BT321,,T321+1)*R321-ERP_i)*Q321*Ramure*Pc/MaxiM</f>
        <v>5.0940076505897429E-3</v>
      </c>
      <c r="Q321" s="304">
        <f t="shared" si="105"/>
        <v>0.6</v>
      </c>
      <c r="R321" s="177">
        <f t="shared" si="106"/>
        <v>0.998039387278297</v>
      </c>
      <c r="S321" s="799">
        <f t="shared" si="107"/>
        <v>0</v>
      </c>
      <c r="T321" s="176">
        <f t="shared" si="108"/>
        <v>6</v>
      </c>
      <c r="U321" s="250">
        <f t="shared" si="109"/>
        <v>0.998039387278297</v>
      </c>
      <c r="V321" s="382">
        <f t="shared" si="110"/>
        <v>31.525663025556486</v>
      </c>
      <c r="W321" s="400">
        <f t="shared" si="111"/>
        <v>10.426230176621321</v>
      </c>
      <c r="X321" s="157">
        <f t="shared" si="112"/>
        <v>45233</v>
      </c>
      <c r="Y321" s="383">
        <f t="shared" si="113"/>
        <v>10.171543038367288</v>
      </c>
      <c r="Z321" s="383">
        <f t="shared" si="114"/>
        <v>10.518871451953354</v>
      </c>
      <c r="AA321" s="384">
        <f t="shared" si="115"/>
        <v>11.074491235597545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5.0171133989272726E-2</v>
      </c>
      <c r="AD321" s="230">
        <f>(INDEX(Models!$BJ321:$BT321,,AH321)*(1-AF321)+INDEX(Models!$BJ321:$BT321,,AH321+1)*AF321-ERP_i)*AE321*Ramure*Pc/MaxiM</f>
        <v>5.0940076505897429E-3</v>
      </c>
      <c r="AE321" s="304">
        <f t="shared" si="117"/>
        <v>0.6</v>
      </c>
      <c r="AF321" s="177">
        <f t="shared" si="118"/>
        <v>0.998039387278297</v>
      </c>
      <c r="AG321" s="799">
        <f t="shared" si="124"/>
        <v>0</v>
      </c>
      <c r="AH321" s="176">
        <f t="shared" si="119"/>
        <v>6</v>
      </c>
      <c r="AI321" s="224">
        <f t="shared" si="120"/>
        <v>0.998039387278297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09">
        <f>'2022'!Wh/'2022'!Env_an*'2023'!Env_an</f>
        <v>18.005925859567785</v>
      </c>
      <c r="C322" s="829"/>
      <c r="D322" s="391">
        <f t="shared" si="102"/>
        <v>18.621132378029017</v>
      </c>
      <c r="E322" s="383">
        <f t="shared" si="125"/>
        <v>19.127196010891666</v>
      </c>
      <c r="F322" s="383">
        <f t="shared" si="103"/>
        <v>19.166504426394656</v>
      </c>
      <c r="G322" s="110">
        <f t="shared" si="126"/>
        <v>0.57510028728462681</v>
      </c>
      <c r="H322" s="412" t="b">
        <f>Wh_hp&gt;='2022'!Maxi_hp</f>
        <v>0</v>
      </c>
      <c r="I322" s="379">
        <f>IF(H322,Wh_hp,'2022'!Maxi_hp)</f>
        <v>19.183080529065357</v>
      </c>
      <c r="J322" s="85">
        <f>IF(H322,An,'2022'!An_max)</f>
        <v>2022</v>
      </c>
      <c r="K322" s="197">
        <f t="shared" si="104"/>
        <v>45234</v>
      </c>
      <c r="L322" s="147">
        <f>IF(t&lt;Tvie,1-EXP((T0-t)*PertePVj)+'2022'!Pspv,1-EXP((T0-t)*PertePVj)+Pspv)</f>
        <v>3.3038083075286551E-2</v>
      </c>
      <c r="M322" s="832"/>
      <c r="N322" s="832"/>
      <c r="O322" s="48">
        <f>IF(t&lt;Tnet,'2022'!Resal+('2022'!Salim-'2022'!Resal)*(1-EXP(('2022'!Tnet-t)/('2022'!Tau_j))),Resal+(Salim-Resal)*(1-EXP((Tnet-t)/(Tau_j))))*Salcycl</f>
        <v>2.6457805554691849E-2</v>
      </c>
      <c r="P322" s="338">
        <f>(INDEX(Models!$BJ322:$BT322,,T322)*(1-R322)+INDEX(Models!$BJ322:$BT322,,T322+1)*R322-ERP_i)*Q322*Ramure*Pc/MaxiM</f>
        <v>5.18440899435619E-3</v>
      </c>
      <c r="Q322" s="304">
        <f t="shared" si="105"/>
        <v>0.6</v>
      </c>
      <c r="R322" s="177">
        <f t="shared" si="106"/>
        <v>0.99808913222846929</v>
      </c>
      <c r="S322" s="799">
        <f t="shared" si="107"/>
        <v>0</v>
      </c>
      <c r="T322" s="176">
        <f t="shared" si="108"/>
        <v>6</v>
      </c>
      <c r="U322" s="250">
        <f t="shared" si="109"/>
        <v>0.99808913222846929</v>
      </c>
      <c r="V322" s="382">
        <f t="shared" si="110"/>
        <v>31.210883413908196</v>
      </c>
      <c r="W322" s="400">
        <f t="shared" si="111"/>
        <v>18.005925859567785</v>
      </c>
      <c r="X322" s="157">
        <f t="shared" si="112"/>
        <v>45234</v>
      </c>
      <c r="Y322" s="383">
        <f t="shared" si="113"/>
        <v>17.566815882027761</v>
      </c>
      <c r="Z322" s="383">
        <f t="shared" si="114"/>
        <v>18.167019377450305</v>
      </c>
      <c r="AA322" s="384">
        <f t="shared" si="115"/>
        <v>19.127196010891666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5.0199550048768547E-2</v>
      </c>
      <c r="AD322" s="230">
        <f>(INDEX(Models!$BJ322:$BT322,,AH322)*(1-AF322)+INDEX(Models!$BJ322:$BT322,,AH322+1)*AF322-ERP_i)*AE322*Ramure*Pc/MaxiM</f>
        <v>5.18440899435619E-3</v>
      </c>
      <c r="AE322" s="304">
        <f t="shared" si="117"/>
        <v>0.6</v>
      </c>
      <c r="AF322" s="177">
        <f t="shared" si="118"/>
        <v>0.99808913222846929</v>
      </c>
      <c r="AG322" s="799">
        <f t="shared" si="124"/>
        <v>0</v>
      </c>
      <c r="AH322" s="176">
        <f t="shared" si="119"/>
        <v>6</v>
      </c>
      <c r="AI322" s="224">
        <f t="shared" si="120"/>
        <v>0.99808913222846929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09">
        <f>'2022'!Wh/'2022'!Env_an*'2023'!Env_an</f>
        <v>30.670554688641896</v>
      </c>
      <c r="C323" s="829"/>
      <c r="D323" s="391">
        <f t="shared" si="102"/>
        <v>31.719080097420839</v>
      </c>
      <c r="E323" s="383">
        <f t="shared" si="125"/>
        <v>32.583429626216834</v>
      </c>
      <c r="F323" s="383">
        <f t="shared" si="103"/>
        <v>32.754423513220971</v>
      </c>
      <c r="G323" s="110">
        <f t="shared" si="126"/>
        <v>0.99255152086897558</v>
      </c>
      <c r="H323" s="412" t="b">
        <f>Wh_hp&gt;='2022'!Maxi_hp</f>
        <v>0</v>
      </c>
      <c r="I323" s="379">
        <f>IF(H323,Wh_hp,'2022'!Maxi_hp)</f>
        <v>32.754929856109037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3.3056614679824903E-2</v>
      </c>
      <c r="M323" s="832"/>
      <c r="N323" s="832"/>
      <c r="O323" s="48">
        <f>IF(t&lt;Tnet,'2022'!Resal+('2022'!Salim-'2022'!Resal)*(1-EXP(('2022'!Tnet-t)/('2022'!Tau_j))),Resal+(Salim-Resal)*(1-EXP((Tnet-t)/(Tau_j))))*Salcycl</f>
        <v>2.6527272871869092E-2</v>
      </c>
      <c r="P323" s="338">
        <f>(INDEX(Models!$BJ323:$BT323,,T323)*(1-R323)+INDEX(Models!$BJ323:$BT323,,T323+1)*R323-ERP_i)*Q323*Ramure*Pc/MaxiM</f>
        <v>5.2762056087018172E-3</v>
      </c>
      <c r="Q323" s="304">
        <f t="shared" si="105"/>
        <v>0.6</v>
      </c>
      <c r="R323" s="177">
        <f t="shared" si="106"/>
        <v>0.99813688361885877</v>
      </c>
      <c r="S323" s="799">
        <f t="shared" si="107"/>
        <v>0</v>
      </c>
      <c r="T323" s="176">
        <f t="shared" si="108"/>
        <v>6</v>
      </c>
      <c r="U323" s="250">
        <f t="shared" si="109"/>
        <v>0.99813688361885877</v>
      </c>
      <c r="V323" s="382">
        <f t="shared" si="110"/>
        <v>30.898987114458755</v>
      </c>
      <c r="W323" s="400">
        <f t="shared" si="111"/>
        <v>30.670554688641896</v>
      </c>
      <c r="X323" s="157">
        <f t="shared" si="112"/>
        <v>45235</v>
      </c>
      <c r="Y323" s="383">
        <f t="shared" si="113"/>
        <v>29.923833443875704</v>
      </c>
      <c r="Z323" s="383">
        <f t="shared" si="114"/>
        <v>30.946830908789245</v>
      </c>
      <c r="AA323" s="384">
        <f t="shared" si="115"/>
        <v>32.583429626216834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5.0227945191833739E-2</v>
      </c>
      <c r="AD323" s="230">
        <f>(INDEX(Models!$BJ323:$BT323,,AH323)*(1-AF323)+INDEX(Models!$BJ323:$BT323,,AH323+1)*AF323-ERP_i)*AE323*Ramure*Pc/MaxiM</f>
        <v>5.2762056087018172E-3</v>
      </c>
      <c r="AE323" s="304">
        <f t="shared" si="117"/>
        <v>0.6</v>
      </c>
      <c r="AF323" s="177">
        <f t="shared" si="118"/>
        <v>0.99813688361885877</v>
      </c>
      <c r="AG323" s="799">
        <f t="shared" si="124"/>
        <v>0</v>
      </c>
      <c r="AH323" s="176">
        <f t="shared" si="119"/>
        <v>6</v>
      </c>
      <c r="AI323" s="224">
        <f t="shared" si="120"/>
        <v>0.99813688361885877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09">
        <f>'2022'!Wh/'2022'!Env_an*'2023'!Env_an</f>
        <v>30.625824893897594</v>
      </c>
      <c r="C324" s="829"/>
      <c r="D324" s="391">
        <f t="shared" si="102"/>
        <v>31.673428152106855</v>
      </c>
      <c r="E324" s="383">
        <f t="shared" si="125"/>
        <v>32.538851785188136</v>
      </c>
      <c r="F324" s="383">
        <f t="shared" si="103"/>
        <v>32.714436469052195</v>
      </c>
      <c r="G324" s="110">
        <f t="shared" si="126"/>
        <v>1.0011597115070361</v>
      </c>
      <c r="H324" s="412" t="b">
        <f>Wh_hp&gt;='2022'!Maxi_hp</f>
        <v>1</v>
      </c>
      <c r="I324" s="379">
        <f>IF(H324,Wh_hp,'2022'!Maxi_hp)</f>
        <v>32.714436469052195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3.3075145929209349E-2</v>
      </c>
      <c r="M324" s="832"/>
      <c r="N324" s="832"/>
      <c r="O324" s="48">
        <f>IF(t&lt;Tnet,'2022'!Resal+('2022'!Salim-'2022'!Resal)*(1-EXP(('2022'!Tnet-t)/('2022'!Tau_j))),Resal+(Salim-Resal)*(1-EXP((Tnet-t)/(Tau_j))))*Salcycl</f>
        <v>2.6596624822367815E-2</v>
      </c>
      <c r="P324" s="338">
        <f>(INDEX(Models!$BJ324:$BT324,,T324)*(1-R324)+INDEX(Models!$BJ324:$BT324,,T324+1)*R324-ERP_i)*Q324*Ramure*Pc/MaxiM</f>
        <v>5.3671926774641401E-3</v>
      </c>
      <c r="Q324" s="304">
        <f t="shared" si="105"/>
        <v>0.6</v>
      </c>
      <c r="R324" s="177">
        <f t="shared" si="106"/>
        <v>0.99818272098332794</v>
      </c>
      <c r="S324" s="799">
        <f t="shared" si="107"/>
        <v>0</v>
      </c>
      <c r="T324" s="176">
        <f t="shared" si="108"/>
        <v>6</v>
      </c>
      <c r="U324" s="250">
        <f t="shared" si="109"/>
        <v>0.99818272098332794</v>
      </c>
      <c r="V324" s="382">
        <f t="shared" si="110"/>
        <v>30.590348914257472</v>
      </c>
      <c r="W324" s="400">
        <f t="shared" si="111"/>
        <v>30.625824893897594</v>
      </c>
      <c r="X324" s="157">
        <f t="shared" si="112"/>
        <v>45236</v>
      </c>
      <c r="Y324" s="383">
        <f t="shared" si="113"/>
        <v>29.881427138232297</v>
      </c>
      <c r="Z324" s="383">
        <f t="shared" si="114"/>
        <v>30.903567130817194</v>
      </c>
      <c r="AA324" s="384">
        <f t="shared" si="115"/>
        <v>32.538851785188136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5.0256372448745507E-2</v>
      </c>
      <c r="AD324" s="230">
        <f>(INDEX(Models!$BJ324:$BT324,,AH324)*(1-AF324)+INDEX(Models!$BJ324:$BT324,,AH324+1)*AF324-ERP_i)*AE324*Ramure*Pc/MaxiM</f>
        <v>5.3671926774641401E-3</v>
      </c>
      <c r="AE324" s="304">
        <f t="shared" si="117"/>
        <v>0.6</v>
      </c>
      <c r="AF324" s="177">
        <f t="shared" si="118"/>
        <v>0.99818272098332794</v>
      </c>
      <c r="AG324" s="799">
        <f t="shared" si="124"/>
        <v>0</v>
      </c>
      <c r="AH324" s="176">
        <f t="shared" si="119"/>
        <v>6</v>
      </c>
      <c r="AI324" s="224">
        <f t="shared" si="120"/>
        <v>0.99818272098332794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09">
        <f>'2022'!Wh/'2022'!Env_an*'2023'!Env_an</f>
        <v>28.726379195790916</v>
      </c>
      <c r="C325" s="829"/>
      <c r="D325" s="391">
        <f t="shared" si="102"/>
        <v>29.709578381302602</v>
      </c>
      <c r="E325" s="383">
        <f t="shared" si="125"/>
        <v>30.523515085513527</v>
      </c>
      <c r="F325" s="383">
        <f t="shared" si="103"/>
        <v>30.678691326169968</v>
      </c>
      <c r="G325" s="110">
        <f t="shared" si="126"/>
        <v>0.94814569107726199</v>
      </c>
      <c r="H325" s="412" t="b">
        <f>Wh_hp&gt;='2022'!Maxi_hp</f>
        <v>0</v>
      </c>
      <c r="I325" s="379">
        <f>IF(H325,Wh_hp,'2022'!Maxi_hp)</f>
        <v>30.682125298124948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3.3093676823446661E-2</v>
      </c>
      <c r="M325" s="832"/>
      <c r="N325" s="832"/>
      <c r="O325" s="48">
        <f>IF(t&lt;Tnet,'2022'!Resal+('2022'!Salim-'2022'!Resal)*(1-EXP(('2022'!Tnet-t)/('2022'!Tau_j))),Resal+(Salim-Resal)*(1-EXP((Tnet-t)/(Tau_j))))*Salcycl</f>
        <v>2.6665890279367586E-2</v>
      </c>
      <c r="P325" s="338">
        <f>(INDEX(Models!$BJ325:$BT325,,T325)*(1-R325)+INDEX(Models!$BJ325:$BT325,,T325+1)*R325-ERP_i)*Q325*Ramure*Pc/MaxiM</f>
        <v>5.4595573300832935E-3</v>
      </c>
      <c r="Q325" s="304">
        <f t="shared" si="105"/>
        <v>0.6</v>
      </c>
      <c r="R325" s="177">
        <f t="shared" si="106"/>
        <v>0.99822672071099905</v>
      </c>
      <c r="S325" s="799">
        <f t="shared" si="107"/>
        <v>0</v>
      </c>
      <c r="T325" s="176">
        <f t="shared" si="108"/>
        <v>6</v>
      </c>
      <c r="U325" s="250">
        <f t="shared" si="109"/>
        <v>0.99822672071099905</v>
      </c>
      <c r="V325" s="382">
        <f t="shared" si="110"/>
        <v>30.285206960343903</v>
      </c>
      <c r="W325" s="400">
        <f t="shared" si="111"/>
        <v>28.726379195790916</v>
      </c>
      <c r="X325" s="157">
        <f t="shared" si="112"/>
        <v>45237</v>
      </c>
      <c r="Y325" s="383">
        <f t="shared" si="113"/>
        <v>28.029302841521194</v>
      </c>
      <c r="Z325" s="383">
        <f t="shared" si="114"/>
        <v>28.988643645888281</v>
      </c>
      <c r="AA325" s="384">
        <f t="shared" si="115"/>
        <v>30.523515085513527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5.02848847953851E-2</v>
      </c>
      <c r="AD325" s="230">
        <f>(INDEX(Models!$BJ325:$BT325,,AH325)*(1-AF325)+INDEX(Models!$BJ325:$BT325,,AH325+1)*AF325-ERP_i)*AE325*Ramure*Pc/MaxiM</f>
        <v>5.4595573300832935E-3</v>
      </c>
      <c r="AE325" s="304">
        <f t="shared" si="117"/>
        <v>0.6</v>
      </c>
      <c r="AF325" s="177">
        <f t="shared" si="118"/>
        <v>0.99822672071099905</v>
      </c>
      <c r="AG325" s="799">
        <f t="shared" si="124"/>
        <v>0</v>
      </c>
      <c r="AH325" s="176">
        <f t="shared" si="119"/>
        <v>6</v>
      </c>
      <c r="AI325" s="224">
        <f t="shared" si="120"/>
        <v>0.99822672071099905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09">
        <f>'2022'!Wh/'2022'!Env_an*'2023'!Env_an</f>
        <v>20.714856246861782</v>
      </c>
      <c r="C326" s="829"/>
      <c r="D326" s="391">
        <f t="shared" si="102"/>
        <v>21.424260813507868</v>
      </c>
      <c r="E326" s="383">
        <f t="shared" si="125"/>
        <v>22.012774501012096</v>
      </c>
      <c r="F326" s="383">
        <f t="shared" si="103"/>
        <v>22.081245284212088</v>
      </c>
      <c r="G326" s="110">
        <f t="shared" si="126"/>
        <v>0.68916713377466365</v>
      </c>
      <c r="H326" s="412" t="b">
        <f>Wh_hp&gt;='2022'!Maxi_hp</f>
        <v>0</v>
      </c>
      <c r="I326" s="379">
        <f>IF(H326,Wh_hp,'2022'!Maxi_hp)</f>
        <v>24.301685975957074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3.31122073625435E-2</v>
      </c>
      <c r="M326" s="832"/>
      <c r="N326" s="832"/>
      <c r="O326" s="48">
        <f>IF(t&lt;Tnet,'2022'!Resal+('2022'!Salim-'2022'!Resal)*(1-EXP(('2022'!Tnet-t)/('2022'!Tau_j))),Resal+(Salim-Resal)*(1-EXP((Tnet-t)/(Tau_j))))*Salcycl</f>
        <v>2.6735098180248582E-2</v>
      </c>
      <c r="P326" s="338">
        <f>(INDEX(Models!$BJ326:$BT326,,T326)*(1-R326)+INDEX(Models!$BJ326:$BT326,,T326+1)*R326-ERP_i)*Q326*Ramure*Pc/MaxiM</f>
        <v>5.5532993536386395E-3</v>
      </c>
      <c r="Q326" s="304">
        <f t="shared" si="105"/>
        <v>0.6</v>
      </c>
      <c r="R326" s="177">
        <f t="shared" si="106"/>
        <v>0.99826895616836508</v>
      </c>
      <c r="S326" s="799">
        <f t="shared" si="107"/>
        <v>0</v>
      </c>
      <c r="T326" s="176">
        <f t="shared" si="108"/>
        <v>6</v>
      </c>
      <c r="U326" s="250">
        <f t="shared" si="109"/>
        <v>0.99826895616836508</v>
      </c>
      <c r="V326" s="382">
        <f t="shared" si="110"/>
        <v>29.983867806361211</v>
      </c>
      <c r="W326" s="400">
        <f t="shared" si="111"/>
        <v>20.714856246861782</v>
      </c>
      <c r="X326" s="157">
        <f t="shared" si="112"/>
        <v>45238</v>
      </c>
      <c r="Y326" s="383">
        <f t="shared" si="113"/>
        <v>20.213015559419667</v>
      </c>
      <c r="Z326" s="383">
        <f t="shared" si="114"/>
        <v>20.905234002678863</v>
      </c>
      <c r="AA326" s="384">
        <f t="shared" si="115"/>
        <v>22.012774501012096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5.0313534910481642E-2</v>
      </c>
      <c r="AD326" s="230">
        <f>(INDEX(Models!$BJ326:$BT326,,AH326)*(1-AF326)+INDEX(Models!$BJ326:$BT326,,AH326+1)*AF326-ERP_i)*AE326*Ramure*Pc/MaxiM</f>
        <v>5.5532993536386395E-3</v>
      </c>
      <c r="AE326" s="304">
        <f t="shared" si="117"/>
        <v>0.6</v>
      </c>
      <c r="AF326" s="177">
        <f t="shared" si="118"/>
        <v>0.99826895616836508</v>
      </c>
      <c r="AG326" s="799">
        <f t="shared" si="124"/>
        <v>0</v>
      </c>
      <c r="AH326" s="176">
        <f t="shared" si="119"/>
        <v>6</v>
      </c>
      <c r="AI326" s="224">
        <f t="shared" si="120"/>
        <v>0.99826895616836508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09">
        <f>'2022'!Wh/'2022'!Env_an*'2023'!Env_an</f>
        <v>10.203141248293029</v>
      </c>
      <c r="C327" s="829"/>
      <c r="D327" s="391">
        <f t="shared" si="102"/>
        <v>10.552762037756686</v>
      </c>
      <c r="E327" s="383">
        <f t="shared" si="125"/>
        <v>10.843411857066826</v>
      </c>
      <c r="F327" s="383">
        <f t="shared" si="103"/>
        <v>10.847236378662936</v>
      </c>
      <c r="G327" s="110">
        <f t="shared" si="126"/>
        <v>0.34187394602629334</v>
      </c>
      <c r="H327" s="412" t="b">
        <f>Wh_hp&gt;='2022'!Maxi_hp</f>
        <v>0</v>
      </c>
      <c r="I327" s="379">
        <f>IF(H327,Wh_hp,'2022'!Maxi_hp)</f>
        <v>24.305673600704964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3.3130737546506861E-2</v>
      </c>
      <c r="M327" s="832"/>
      <c r="N327" s="832"/>
      <c r="O327" s="48">
        <f>IF(t&lt;Tnet,'2022'!Resal+('2022'!Salim-'2022'!Resal)*(1-EXP(('2022'!Tnet-t)/('2022'!Tau_j))),Resal+(Salim-Resal)*(1-EXP((Tnet-t)/(Tau_j))))*Salcycl</f>
        <v>2.6804277393624825E-2</v>
      </c>
      <c r="P327" s="338">
        <f>(INDEX(Models!$BJ327:$BT327,,T327)*(1-R327)+INDEX(Models!$BJ327:$BT327,,T327+1)*R327-ERP_i)*Q327*Ramure*Pc/MaxiM</f>
        <v>5.6484188697730102E-3</v>
      </c>
      <c r="Q327" s="304">
        <f t="shared" si="105"/>
        <v>0.6</v>
      </c>
      <c r="R327" s="177">
        <f t="shared" si="106"/>
        <v>0.99830949781683453</v>
      </c>
      <c r="S327" s="799">
        <f t="shared" si="107"/>
        <v>0</v>
      </c>
      <c r="T327" s="176">
        <f t="shared" si="108"/>
        <v>6</v>
      </c>
      <c r="U327" s="250">
        <f t="shared" si="109"/>
        <v>0.99830949781683453</v>
      </c>
      <c r="V327" s="382">
        <f t="shared" si="110"/>
        <v>29.686637776729196</v>
      </c>
      <c r="W327" s="400">
        <f t="shared" si="111"/>
        <v>10.203141248293029</v>
      </c>
      <c r="X327" s="157">
        <f t="shared" si="112"/>
        <v>45239</v>
      </c>
      <c r="Y327" s="383">
        <f t="shared" si="113"/>
        <v>9.9563640293563669</v>
      </c>
      <c r="Z327" s="383">
        <f t="shared" si="114"/>
        <v>10.2975287518102</v>
      </c>
      <c r="AA327" s="384">
        <f t="shared" si="115"/>
        <v>10.843411857066826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5.0342374932560184E-2</v>
      </c>
      <c r="AD327" s="230">
        <f>(INDEX(Models!$BJ327:$BT327,,AH327)*(1-AF327)+INDEX(Models!$BJ327:$BT327,,AH327+1)*AF327-ERP_i)*AE327*Ramure*Pc/MaxiM</f>
        <v>5.6484188697730102E-3</v>
      </c>
      <c r="AE327" s="304">
        <f t="shared" si="117"/>
        <v>0.6</v>
      </c>
      <c r="AF327" s="177">
        <f t="shared" si="118"/>
        <v>0.99830949781683453</v>
      </c>
      <c r="AG327" s="799">
        <f t="shared" si="124"/>
        <v>0</v>
      </c>
      <c r="AH327" s="176">
        <f t="shared" si="119"/>
        <v>6</v>
      </c>
      <c r="AI327" s="224">
        <f t="shared" si="120"/>
        <v>0.99830949781683453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09">
        <f>'2022'!Wh/'2022'!Env_an*'2023'!Env_an</f>
        <v>20.600447969326339</v>
      </c>
      <c r="C328" s="829"/>
      <c r="D328" s="391">
        <f t="shared" si="102"/>
        <v>21.306751160443799</v>
      </c>
      <c r="E328" s="383">
        <f t="shared" si="125"/>
        <v>21.895149510242796</v>
      </c>
      <c r="F328" s="383">
        <f t="shared" si="103"/>
        <v>21.967416282976544</v>
      </c>
      <c r="G328" s="110">
        <f t="shared" si="126"/>
        <v>0.6991163764967101</v>
      </c>
      <c r="H328" s="412" t="b">
        <f>Wh_hp&gt;='2022'!Maxi_hp</f>
        <v>0</v>
      </c>
      <c r="I328" s="379">
        <f>IF(H328,Wh_hp,'2022'!Maxi_hp)</f>
        <v>21.982513703587411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3.3149267375343405E-2</v>
      </c>
      <c r="M328" s="832"/>
      <c r="N328" s="832"/>
      <c r="O328" s="48">
        <f>IF(t&lt;Tnet,'2022'!Resal+('2022'!Salim-'2022'!Resal)*(1-EXP(('2022'!Tnet-t)/('2022'!Tau_j))),Resal+(Salim-Resal)*(1-EXP((Tnet-t)/(Tau_j))))*Salcycl</f>
        <v>2.6873456585612184E-2</v>
      </c>
      <c r="P328" s="338">
        <f>(INDEX(Models!$BJ328:$BT328,,T328)*(1-R328)+INDEX(Models!$BJ328:$BT328,,T328+1)*R328-ERP_i)*Q328*Ramure*Pc/MaxiM</f>
        <v>5.7449159444372547E-3</v>
      </c>
      <c r="Q328" s="304">
        <f t="shared" si="105"/>
        <v>0.6</v>
      </c>
      <c r="R328" s="177">
        <f t="shared" si="106"/>
        <v>0.99834841332586977</v>
      </c>
      <c r="S328" s="799">
        <f t="shared" si="107"/>
        <v>0</v>
      </c>
      <c r="T328" s="176">
        <f t="shared" si="108"/>
        <v>6</v>
      </c>
      <c r="U328" s="250">
        <f t="shared" si="109"/>
        <v>0.99834841332586977</v>
      </c>
      <c r="V328" s="382">
        <f t="shared" si="110"/>
        <v>29.393822978840607</v>
      </c>
      <c r="W328" s="400">
        <f t="shared" si="111"/>
        <v>20.600447969326339</v>
      </c>
      <c r="X328" s="157">
        <f t="shared" si="112"/>
        <v>45240</v>
      </c>
      <c r="Y328" s="383">
        <f t="shared" si="113"/>
        <v>20.103010794179532</v>
      </c>
      <c r="Z328" s="383">
        <f t="shared" si="114"/>
        <v>20.792258945294474</v>
      </c>
      <c r="AA328" s="384">
        <f t="shared" si="115"/>
        <v>21.895149510242796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5.0371456218299804E-2</v>
      </c>
      <c r="AD328" s="230">
        <f>(INDEX(Models!$BJ328:$BT328,,AH328)*(1-AF328)+INDEX(Models!$BJ328:$BT328,,AH328+1)*AF328-ERP_i)*AE328*Ramure*Pc/MaxiM</f>
        <v>5.7449159444372547E-3</v>
      </c>
      <c r="AE328" s="304">
        <f t="shared" si="117"/>
        <v>0.6</v>
      </c>
      <c r="AF328" s="177">
        <f t="shared" si="118"/>
        <v>0.99834841332586977</v>
      </c>
      <c r="AG328" s="799">
        <f t="shared" si="124"/>
        <v>0</v>
      </c>
      <c r="AH328" s="176">
        <f t="shared" si="119"/>
        <v>6</v>
      </c>
      <c r="AI328" s="224">
        <f t="shared" si="120"/>
        <v>0.99834841332586977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09">
        <f>'2022'!Wh/'2022'!Env_an*'2023'!Env_an</f>
        <v>28.178689752629975</v>
      </c>
      <c r="C329" s="829"/>
      <c r="D329" s="391">
        <f t="shared" si="102"/>
        <v>29.145377719933865</v>
      </c>
      <c r="E329" s="383">
        <f t="shared" si="125"/>
        <v>29.952374484249262</v>
      </c>
      <c r="F329" s="383">
        <f t="shared" si="103"/>
        <v>30.120353795235882</v>
      </c>
      <c r="G329" s="110">
        <f t="shared" si="126"/>
        <v>0.96789041222968675</v>
      </c>
      <c r="H329" s="412" t="b">
        <f>Wh_hp&gt;='2022'!Maxi_hp</f>
        <v>0</v>
      </c>
      <c r="I329" s="379">
        <f>IF(H329,Wh_hp,'2022'!Maxi_hp)</f>
        <v>30.122601545435955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3.3167796849060127E-2</v>
      </c>
      <c r="M329" s="832"/>
      <c r="N329" s="832"/>
      <c r="O329" s="48">
        <f>IF(t&lt;Tnet,'2022'!Resal+('2022'!Salim-'2022'!Resal)*(1-EXP(('2022'!Tnet-t)/('2022'!Tau_j))),Resal+(Salim-Resal)*(1-EXP((Tnet-t)/(Tau_j))))*Salcycl</f>
        <v>2.6942664086273486E-2</v>
      </c>
      <c r="P329" s="338">
        <f>(INDEX(Models!$BJ329:$BT329,,T329)*(1-R329)+INDEX(Models!$BJ329:$BT329,,T329+1)*R329-ERP_i)*Q329*Ramure*Pc/MaxiM</f>
        <v>5.8427901323219846E-3</v>
      </c>
      <c r="Q329" s="304">
        <f t="shared" si="105"/>
        <v>0.6</v>
      </c>
      <c r="R329" s="177">
        <f t="shared" si="106"/>
        <v>0.99838576768186682</v>
      </c>
      <c r="S329" s="799">
        <f t="shared" si="107"/>
        <v>0</v>
      </c>
      <c r="T329" s="176">
        <f t="shared" si="108"/>
        <v>6</v>
      </c>
      <c r="U329" s="250">
        <f t="shared" si="109"/>
        <v>0.99838576768186682</v>
      </c>
      <c r="V329" s="382">
        <f t="shared" si="110"/>
        <v>29.105729312049895</v>
      </c>
      <c r="W329" s="400">
        <f t="shared" si="111"/>
        <v>28.178689752629975</v>
      </c>
      <c r="X329" s="157">
        <f t="shared" si="112"/>
        <v>45241</v>
      </c>
      <c r="Y329" s="383">
        <f t="shared" si="113"/>
        <v>27.499366623556529</v>
      </c>
      <c r="Z329" s="383">
        <f t="shared" si="114"/>
        <v>28.442749976609317</v>
      </c>
      <c r="AA329" s="384">
        <f t="shared" si="115"/>
        <v>29.952374484249262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5.040082910400951E-2</v>
      </c>
      <c r="AD329" s="230">
        <f>(INDEX(Models!$BJ329:$BT329,,AH329)*(1-AF329)+INDEX(Models!$BJ329:$BT329,,AH329+1)*AF329-ERP_i)*AE329*Ramure*Pc/MaxiM</f>
        <v>5.8427901323219846E-3</v>
      </c>
      <c r="AE329" s="304">
        <f t="shared" si="117"/>
        <v>0.6</v>
      </c>
      <c r="AF329" s="177">
        <f t="shared" si="118"/>
        <v>0.99838576768186682</v>
      </c>
      <c r="AG329" s="799">
        <f t="shared" si="124"/>
        <v>0</v>
      </c>
      <c r="AH329" s="176">
        <f t="shared" si="119"/>
        <v>6</v>
      </c>
      <c r="AI329" s="224">
        <f t="shared" si="120"/>
        <v>0.99838576768186682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09">
        <f>'2022'!Wh/'2022'!Env_an*'2023'!Env_an</f>
        <v>27.748153273960341</v>
      </c>
      <c r="C330" s="829"/>
      <c r="D330" s="391">
        <f t="shared" si="102"/>
        <v>28.70062145297323</v>
      </c>
      <c r="E330" s="383">
        <f t="shared" si="125"/>
        <v>29.497403176604372</v>
      </c>
      <c r="F330" s="383">
        <f t="shared" si="103"/>
        <v>29.664282080679417</v>
      </c>
      <c r="G330" s="110">
        <f t="shared" si="126"/>
        <v>0.96241360555773647</v>
      </c>
      <c r="H330" s="412" t="b">
        <f>Wh_hp&gt;='2022'!Maxi_hp</f>
        <v>0</v>
      </c>
      <c r="I330" s="379">
        <f>IF(H330,Wh_hp,'2022'!Maxi_hp)</f>
        <v>29.666919468360309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3.3186325967663577E-2</v>
      </c>
      <c r="M330" s="832"/>
      <c r="N330" s="832"/>
      <c r="O330" s="48">
        <f>IF(t&lt;Tnet,'2022'!Resal+('2022'!Salim-'2022'!Resal)*(1-EXP(('2022'!Tnet-t)/('2022'!Tau_j))),Resal+(Salim-Resal)*(1-EXP((Tnet-t)/(Tau_j))))*Salcycl</f>
        <v>2.7011927757189916E-2</v>
      </c>
      <c r="P330" s="338">
        <f>(INDEX(Models!$BJ330:$BT330,,T330)*(1-R330)+INDEX(Models!$BJ330:$BT330,,T330+1)*R330-ERP_i)*Q330*Ramure*Pc/MaxiM</f>
        <v>5.9420399525377168E-3</v>
      </c>
      <c r="Q330" s="304">
        <f t="shared" si="105"/>
        <v>0.6</v>
      </c>
      <c r="R330" s="177">
        <f t="shared" si="106"/>
        <v>0.99842162329293016</v>
      </c>
      <c r="S330" s="799">
        <f t="shared" si="107"/>
        <v>0</v>
      </c>
      <c r="T330" s="176">
        <f t="shared" si="108"/>
        <v>6</v>
      </c>
      <c r="U330" s="250">
        <f t="shared" si="109"/>
        <v>0.99842162329293016</v>
      </c>
      <c r="V330" s="382">
        <f t="shared" si="110"/>
        <v>28.822662482338774</v>
      </c>
      <c r="W330" s="400">
        <f t="shared" si="111"/>
        <v>27.748153273960341</v>
      </c>
      <c r="X330" s="157">
        <f t="shared" si="112"/>
        <v>45242</v>
      </c>
      <c r="Y330" s="383">
        <f t="shared" si="113"/>
        <v>27.08028967454354</v>
      </c>
      <c r="Z330" s="383">
        <f t="shared" si="114"/>
        <v>28.009833126995886</v>
      </c>
      <c r="AA330" s="384">
        <f t="shared" si="115"/>
        <v>29.497403176604372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5.0430542671916906E-2</v>
      </c>
      <c r="AD330" s="230">
        <f>(INDEX(Models!$BJ330:$BT330,,AH330)*(1-AF330)+INDEX(Models!$BJ330:$BT330,,AH330+1)*AF330-ERP_i)*AE330*Ramure*Pc/MaxiM</f>
        <v>5.9420399525377168E-3</v>
      </c>
      <c r="AE330" s="304">
        <f t="shared" si="117"/>
        <v>0.6</v>
      </c>
      <c r="AF330" s="177">
        <f t="shared" si="118"/>
        <v>0.99842162329293016</v>
      </c>
      <c r="AG330" s="799">
        <f t="shared" si="124"/>
        <v>0</v>
      </c>
      <c r="AH330" s="176">
        <f t="shared" si="119"/>
        <v>6</v>
      </c>
      <c r="AI330" s="224">
        <f t="shared" si="120"/>
        <v>0.99842162329293016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09">
        <f>'2022'!Wh/'2022'!Env_an*'2023'!Env_an</f>
        <v>26.685367125162685</v>
      </c>
      <c r="C331" s="829"/>
      <c r="D331" s="391">
        <f t="shared" si="102"/>
        <v>27.601883662481793</v>
      </c>
      <c r="E331" s="383">
        <f t="shared" si="125"/>
        <v>28.370184424748714</v>
      </c>
      <c r="F331" s="383">
        <f t="shared" si="103"/>
        <v>28.526544182242692</v>
      </c>
      <c r="G331" s="110">
        <f t="shared" si="126"/>
        <v>0.93438875600755067</v>
      </c>
      <c r="H331" s="412" t="b">
        <f>Wh_hp&gt;='2022'!Maxi_hp</f>
        <v>0</v>
      </c>
      <c r="I331" s="379">
        <f>IF(H331,Wh_hp,'2022'!Maxi_hp)</f>
        <v>29.071978311267806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3.3204854731160749E-2</v>
      </c>
      <c r="M331" s="832"/>
      <c r="N331" s="832"/>
      <c r="O331" s="48">
        <f>IF(t&lt;Tnet,'2022'!Resal+('2022'!Salim-'2022'!Resal)*(1-EXP(('2022'!Tnet-t)/('2022'!Tau_j))),Resal+(Salim-Resal)*(1-EXP((Tnet-t)/(Tau_j))))*Salcycl</f>
        <v>2.7081274861107132E-2</v>
      </c>
      <c r="P331" s="338">
        <f>(INDEX(Models!$BJ331:$BT331,,T331)*(1-R331)+INDEX(Models!$BJ331:$BT331,,T331+1)*R331-ERP_i)*Q331*Ramure*Pc/MaxiM</f>
        <v>6.0430606034140551E-3</v>
      </c>
      <c r="Q331" s="304">
        <f t="shared" si="105"/>
        <v>0.6</v>
      </c>
      <c r="R331" s="177">
        <f t="shared" si="106"/>
        <v>0.99845604008968081</v>
      </c>
      <c r="S331" s="799">
        <f t="shared" si="107"/>
        <v>0</v>
      </c>
      <c r="T331" s="176">
        <f t="shared" si="108"/>
        <v>6</v>
      </c>
      <c r="U331" s="250">
        <f t="shared" si="109"/>
        <v>0.99845604008968081</v>
      </c>
      <c r="V331" s="382">
        <f t="shared" si="110"/>
        <v>28.543035135918338</v>
      </c>
      <c r="W331" s="400">
        <f t="shared" si="111"/>
        <v>26.685367125162685</v>
      </c>
      <c r="X331" s="157">
        <f t="shared" si="112"/>
        <v>45243</v>
      </c>
      <c r="Y331" s="383">
        <f t="shared" si="113"/>
        <v>26.044114113517999</v>
      </c>
      <c r="Z331" s="383">
        <f t="shared" si="114"/>
        <v>26.938606633441299</v>
      </c>
      <c r="AA331" s="384">
        <f t="shared" si="115"/>
        <v>28.370184424748714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5.0460644522937192E-2</v>
      </c>
      <c r="AD331" s="230">
        <f>(INDEX(Models!$BJ331:$BT331,,AH331)*(1-AF331)+INDEX(Models!$BJ331:$BT331,,AH331+1)*AF331-ERP_i)*AE331*Ramure*Pc/MaxiM</f>
        <v>6.0430606034140551E-3</v>
      </c>
      <c r="AE331" s="304">
        <f t="shared" si="117"/>
        <v>0.6</v>
      </c>
      <c r="AF331" s="177">
        <f t="shared" si="118"/>
        <v>0.99845604008968081</v>
      </c>
      <c r="AG331" s="799">
        <f t="shared" si="124"/>
        <v>0</v>
      </c>
      <c r="AH331" s="176">
        <f t="shared" si="119"/>
        <v>6</v>
      </c>
      <c r="AI331" s="224">
        <f t="shared" si="120"/>
        <v>0.99845604008968081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09">
        <f>'2022'!Wh/'2022'!Env_an*'2023'!Env_an</f>
        <v>9.8806071244885612</v>
      </c>
      <c r="C332" s="829"/>
      <c r="D332" s="391">
        <f t="shared" si="102"/>
        <v>10.220155258383613</v>
      </c>
      <c r="E332" s="383">
        <f t="shared" si="125"/>
        <v>10.505384126676976</v>
      </c>
      <c r="F332" s="383">
        <f t="shared" si="103"/>
        <v>10.509952859427683</v>
      </c>
      <c r="G332" s="110">
        <f t="shared" si="126"/>
        <v>0.34756803874022163</v>
      </c>
      <c r="H332" s="412" t="b">
        <f>Wh_hp&gt;='2022'!Maxi_hp</f>
        <v>0</v>
      </c>
      <c r="I332" s="379">
        <f>IF(H332,Wh_hp,'2022'!Maxi_hp)</f>
        <v>19.875209801097167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3.3223383139558416E-2</v>
      </c>
      <c r="M332" s="832"/>
      <c r="N332" s="832"/>
      <c r="O332" s="48">
        <f>IF(t&lt;Tnet,'2022'!Resal+('2022'!Salim-'2022'!Resal)*(1-EXP(('2022'!Tnet-t)/('2022'!Tau_j))),Resal+(Salim-Resal)*(1-EXP((Tnet-t)/(Tau_j))))*Salcycl</f>
        <v>2.7150731934595621E-2</v>
      </c>
      <c r="P332" s="338">
        <f>(INDEX(Models!$BJ332:$BT332,,T332)*(1-R332)+INDEX(Models!$BJ332:$BT332,,T332+1)*R332-ERP_i)*Q332*Ramure*Pc/MaxiM</f>
        <v>6.1395221324853392E-3</v>
      </c>
      <c r="Q332" s="304">
        <f t="shared" si="105"/>
        <v>0.6</v>
      </c>
      <c r="R332" s="177">
        <f t="shared" si="106"/>
        <v>0.99848907562224243</v>
      </c>
      <c r="S332" s="799">
        <f t="shared" si="107"/>
        <v>0</v>
      </c>
      <c r="T332" s="176">
        <f t="shared" si="108"/>
        <v>6</v>
      </c>
      <c r="U332" s="250">
        <f t="shared" si="109"/>
        <v>0.99848907562224243</v>
      </c>
      <c r="V332" s="382">
        <f t="shared" si="110"/>
        <v>28.265589646992989</v>
      </c>
      <c r="W332" s="400">
        <f t="shared" si="111"/>
        <v>9.8806071244885612</v>
      </c>
      <c r="X332" s="157">
        <f t="shared" si="112"/>
        <v>45244</v>
      </c>
      <c r="Y332" s="383">
        <f t="shared" si="113"/>
        <v>9.6435531321354464</v>
      </c>
      <c r="Z332" s="383">
        <f t="shared" si="114"/>
        <v>9.9749548799105217</v>
      </c>
      <c r="AA332" s="384">
        <f t="shared" si="115"/>
        <v>10.505384126676976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5.049118055754874E-2</v>
      </c>
      <c r="AD332" s="230">
        <f>(INDEX(Models!$BJ332:$BT332,,AH332)*(1-AF332)+INDEX(Models!$BJ332:$BT332,,AH332+1)*AF332-ERP_i)*AE332*Ramure*Pc/MaxiM</f>
        <v>6.1395221324853392E-3</v>
      </c>
      <c r="AE332" s="304">
        <f t="shared" si="117"/>
        <v>0.6</v>
      </c>
      <c r="AF332" s="177">
        <f t="shared" si="118"/>
        <v>0.99848907562224243</v>
      </c>
      <c r="AG332" s="799">
        <f t="shared" si="124"/>
        <v>0</v>
      </c>
      <c r="AH332" s="176">
        <f t="shared" si="119"/>
        <v>6</v>
      </c>
      <c r="AI332" s="224">
        <f t="shared" si="120"/>
        <v>0.99848907562224243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09">
        <f>'2022'!Wh/'2022'!Env_an*'2023'!Env_an</f>
        <v>12.678315187904813</v>
      </c>
      <c r="C333" s="829"/>
      <c r="D333" s="391">
        <f t="shared" si="102"/>
        <v>13.1142581941552</v>
      </c>
      <c r="E333" s="383">
        <f t="shared" si="125"/>
        <v>13.481221418029968</v>
      </c>
      <c r="F333" s="383">
        <f t="shared" si="103"/>
        <v>13.499589847681769</v>
      </c>
      <c r="G333" s="110">
        <f t="shared" si="126"/>
        <v>0.45073606242903669</v>
      </c>
      <c r="H333" s="412" t="b">
        <f>Wh_hp&gt;='2022'!Maxi_hp</f>
        <v>0</v>
      </c>
      <c r="I333" s="379">
        <f>IF(H333,Wh_hp,'2022'!Maxi_hp)</f>
        <v>26.911873928380832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3.3241911192863349E-2</v>
      </c>
      <c r="M333" s="832"/>
      <c r="N333" s="832"/>
      <c r="O333" s="48">
        <f>IF(t&lt;Tnet,'2022'!Resal+('2022'!Salim-'2022'!Resal)*(1-EXP(('2022'!Tnet-t)/('2022'!Tau_j))),Resal+(Salim-Resal)*(1-EXP((Tnet-t)/(Tau_j))))*Salcycl</f>
        <v>2.7220324664646911E-2</v>
      </c>
      <c r="P333" s="338">
        <f>(INDEX(Models!$BJ333:$BT333,,T333)*(1-R333)+INDEX(Models!$BJ333:$BT333,,T333+1)*R333-ERP_i)*Q333*Ramure*Pc/MaxiM</f>
        <v>6.2275679887303466E-3</v>
      </c>
      <c r="Q333" s="304">
        <f t="shared" si="105"/>
        <v>0.6</v>
      </c>
      <c r="R333" s="177">
        <f t="shared" si="106"/>
        <v>0.99852078515353759</v>
      </c>
      <c r="S333" s="799">
        <f t="shared" si="107"/>
        <v>0</v>
      </c>
      <c r="T333" s="176">
        <f t="shared" si="108"/>
        <v>6</v>
      </c>
      <c r="U333" s="250">
        <f t="shared" si="109"/>
        <v>0.99852078515353759</v>
      </c>
      <c r="V333" s="382">
        <f t="shared" si="110"/>
        <v>27.990942030162262</v>
      </c>
      <c r="W333" s="400">
        <f t="shared" si="111"/>
        <v>12.678315187904813</v>
      </c>
      <c r="X333" s="157">
        <f t="shared" si="112"/>
        <v>45245</v>
      </c>
      <c r="Y333" s="383">
        <f t="shared" si="113"/>
        <v>12.374620054147931</v>
      </c>
      <c r="Z333" s="383">
        <f t="shared" si="114"/>
        <v>12.800120523860034</v>
      </c>
      <c r="AA333" s="384">
        <f t="shared" si="115"/>
        <v>13.481221418029968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5.0522194766345098E-2</v>
      </c>
      <c r="AD333" s="230">
        <f>(INDEX(Models!$BJ333:$BT333,,AH333)*(1-AF333)+INDEX(Models!$BJ333:$BT333,,AH333+1)*AF333-ERP_i)*AE333*Ramure*Pc/MaxiM</f>
        <v>6.2275679887303466E-3</v>
      </c>
      <c r="AE333" s="304">
        <f t="shared" si="117"/>
        <v>0.6</v>
      </c>
      <c r="AF333" s="177">
        <f t="shared" si="118"/>
        <v>0.99852078515353759</v>
      </c>
      <c r="AG333" s="799">
        <f t="shared" si="124"/>
        <v>0</v>
      </c>
      <c r="AH333" s="176">
        <f t="shared" si="119"/>
        <v>6</v>
      </c>
      <c r="AI333" s="224">
        <f t="shared" si="120"/>
        <v>0.99852078515353759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09">
        <f>'2022'!Wh/'2022'!Env_an*'2023'!Env_an</f>
        <v>27.295971958432371</v>
      </c>
      <c r="C334" s="829"/>
      <c r="D334" s="391">
        <f t="shared" si="102"/>
        <v>28.235083218402682</v>
      </c>
      <c r="E334" s="383">
        <f t="shared" si="125"/>
        <v>29.027238823343051</v>
      </c>
      <c r="F334" s="383">
        <f t="shared" si="103"/>
        <v>29.207434024735146</v>
      </c>
      <c r="G334" s="110">
        <f t="shared" si="126"/>
        <v>0.98458107678626772</v>
      </c>
      <c r="H334" s="412" t="b">
        <f>Wh_hp&gt;='2022'!Maxi_hp</f>
        <v>0</v>
      </c>
      <c r="I334" s="379">
        <f>IF(H334,Wh_hp,'2022'!Maxi_hp)</f>
        <v>29.2085670452397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3.3260438891082433E-2</v>
      </c>
      <c r="M334" s="832"/>
      <c r="N334" s="832"/>
      <c r="O334" s="48">
        <f>IF(t&lt;Tnet,'2022'!Resal+('2022'!Salim-'2022'!Resal)*(1-EXP(('2022'!Tnet-t)/('2022'!Tau_j))),Resal+(Salim-Resal)*(1-EXP((Tnet-t)/(Tau_j))))*Salcycl</f>
        <v>2.7290077770102467E-2</v>
      </c>
      <c r="P334" s="338">
        <f>(INDEX(Models!$BJ334:$BT334,,T334)*(1-R334)+INDEX(Models!$BJ334:$BT334,,T334+1)*R334-ERP_i)*Q334*Ramure*Pc/MaxiM</f>
        <v>6.3071973598272397E-3</v>
      </c>
      <c r="Q334" s="304">
        <f t="shared" si="105"/>
        <v>0.6</v>
      </c>
      <c r="R334" s="177">
        <f t="shared" si="106"/>
        <v>0.99855122174902711</v>
      </c>
      <c r="S334" s="799">
        <f t="shared" si="107"/>
        <v>0</v>
      </c>
      <c r="T334" s="176">
        <f t="shared" si="108"/>
        <v>6</v>
      </c>
      <c r="U334" s="250">
        <f t="shared" si="109"/>
        <v>0.99855122174902711</v>
      </c>
      <c r="V334" s="382">
        <f t="shared" si="110"/>
        <v>27.719596310590536</v>
      </c>
      <c r="W334" s="400">
        <f t="shared" si="111"/>
        <v>27.295971958432371</v>
      </c>
      <c r="X334" s="157">
        <f t="shared" si="112"/>
        <v>45246</v>
      </c>
      <c r="Y334" s="383">
        <f t="shared" si="113"/>
        <v>26.643152491932678</v>
      </c>
      <c r="Z334" s="383">
        <f t="shared" si="114"/>
        <v>27.55980365732745</v>
      </c>
      <c r="AA334" s="384">
        <f t="shared" si="115"/>
        <v>29.027238823343051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5.0553729031764534E-2</v>
      </c>
      <c r="AD334" s="230">
        <f>(INDEX(Models!$BJ334:$BT334,,AH334)*(1-AF334)+INDEX(Models!$BJ334:$BT334,,AH334+1)*AF334-ERP_i)*AE334*Ramure*Pc/MaxiM</f>
        <v>6.3071973598272397E-3</v>
      </c>
      <c r="AE334" s="304">
        <f t="shared" si="117"/>
        <v>0.6</v>
      </c>
      <c r="AF334" s="177">
        <f t="shared" si="118"/>
        <v>0.99855122174902711</v>
      </c>
      <c r="AG334" s="799">
        <f t="shared" si="124"/>
        <v>0</v>
      </c>
      <c r="AH334" s="176">
        <f t="shared" si="119"/>
        <v>6</v>
      </c>
      <c r="AI334" s="224">
        <f t="shared" si="120"/>
        <v>0.99855122174902711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09">
        <f>'2022'!Wh/'2022'!Env_an*'2023'!Env_an</f>
        <v>13.973561730266832</v>
      </c>
      <c r="C335" s="829"/>
      <c r="D335" s="391">
        <f t="shared" ref="D335:D379" si="127">Wh/(1-Ppv)</f>
        <v>14.454595733615145</v>
      </c>
      <c r="E335" s="383">
        <f t="shared" si="125"/>
        <v>14.861198341503773</v>
      </c>
      <c r="F335" s="383">
        <f t="shared" ref="F335:F379" si="128">Wh_sa/(1-Pvg*MEDIAN((-Sdif+Wh/Env_an)/Csdif,0,1))</f>
        <v>14.8895564189271</v>
      </c>
      <c r="G335" s="110">
        <f t="shared" si="126"/>
        <v>0.5067353304255664</v>
      </c>
      <c r="H335" s="412" t="b">
        <f>Wh_hp&gt;='2022'!Maxi_hp</f>
        <v>0</v>
      </c>
      <c r="I335" s="379">
        <f>IF(H335,Wh_hp,'2022'!Maxi_hp)</f>
        <v>23.200751935750731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3.3278966234222329E-2</v>
      </c>
      <c r="M335" s="832"/>
      <c r="N335" s="832"/>
      <c r="O335" s="48">
        <f>IF(t&lt;Tnet,'2022'!Resal+('2022'!Salim-'2022'!Resal)*(1-EXP(('2022'!Tnet-t)/('2022'!Tau_j))),Resal+(Salim-Resal)*(1-EXP((Tnet-t)/(Tau_j))))*Salcycl</f>
        <v>2.7360014888778202E-2</v>
      </c>
      <c r="P335" s="338">
        <f>(INDEX(Models!$BJ335:$BT335,,T335)*(1-R335)+INDEX(Models!$BJ335:$BT335,,T335+1)*R335-ERP_i)*Q335*Ramure*Pc/MaxiM</f>
        <v>6.37839764723842E-3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0.99858043636302141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0.99858043636302141</v>
      </c>
      <c r="V335" s="382">
        <f t="shared" ref="V335:V379" si="135">MaxiM*(1-Ppv)*(1-Pvg)*(1-Psa)</f>
        <v>27.452056683628971</v>
      </c>
      <c r="W335" s="400">
        <f t="shared" ref="W335:W379" si="136">Wh*(A335&gt;Tmaj)</f>
        <v>13.973561730266832</v>
      </c>
      <c r="X335" s="157">
        <f t="shared" ref="X335:X379" si="137">t</f>
        <v>45247</v>
      </c>
      <c r="Y335" s="383">
        <f t="shared" ref="Y335:Y379" si="138">Wh_pvt_s*(1-Ppv)</f>
        <v>13.639885069281412</v>
      </c>
      <c r="Z335" s="383">
        <f t="shared" ref="Z335:Z379" si="139">Wh_sa_s*(1-Psa_s)</f>
        <v>14.109432393488353</v>
      </c>
      <c r="AA335" s="384">
        <f t="shared" ref="AA335:AA379" si="140">Wh_hp*(1-Pvg_s*MEDIAN((-Sdif+Wh/Env_an)/Csdif,0,1))</f>
        <v>14.861198341503773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5.0585822942414913E-2</v>
      </c>
      <c r="AD335" s="230">
        <f>(INDEX(Models!$BJ335:$BT335,,AH335)*(1-AF335)+INDEX(Models!$BJ335:$BT335,,AH335+1)*AF335-ERP_i)*AE335*Ramure*Pc/MaxiM</f>
        <v>6.37839764723842E-3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0.99858043636302141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0.99858043636302141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09">
        <f>'2022'!Wh/'2022'!Env_an*'2023'!Env_an</f>
        <v>15.995342436159477</v>
      </c>
      <c r="C336" s="829"/>
      <c r="D336" s="391">
        <f t="shared" si="127"/>
        <v>16.546292498481698</v>
      </c>
      <c r="E336" s="383">
        <f t="shared" si="125"/>
        <v>17.01296070673002</v>
      </c>
      <c r="F336" s="383">
        <f t="shared" si="128"/>
        <v>17.058214163135251</v>
      </c>
      <c r="G336" s="110">
        <f t="shared" si="126"/>
        <v>0.58607112420439156</v>
      </c>
      <c r="H336" s="412" t="b">
        <f>Wh_hp&gt;='2022'!Maxi_hp</f>
        <v>0</v>
      </c>
      <c r="I336" s="379">
        <f>IF(H336,Wh_hp,'2022'!Maxi_hp)</f>
        <v>27.250192771666942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3.329749322228992E-2</v>
      </c>
      <c r="M336" s="832"/>
      <c r="N336" s="832"/>
      <c r="O336" s="48">
        <f>IF(t&lt;Tnet,'2022'!Resal+('2022'!Salim-'2022'!Resal)*(1-EXP(('2022'!Tnet-t)/('2022'!Tau_j))),Resal+(Salim-Resal)*(1-EXP((Tnet-t)/(Tau_j))))*Salcycl</f>
        <v>2.7430158471106931E-2</v>
      </c>
      <c r="P336" s="338">
        <f>(INDEX(Models!$BJ336:$BT336,,T336)*(1-R336)+INDEX(Models!$BJ336:$BT336,,T336+1)*R336-ERP_i)*Q336*Ramure*Pc/MaxiM</f>
        <v>6.4411437738387811E-3</v>
      </c>
      <c r="Q336" s="304">
        <f t="shared" si="130"/>
        <v>0.6</v>
      </c>
      <c r="R336" s="177">
        <f t="shared" si="131"/>
        <v>0.99860847792168483</v>
      </c>
      <c r="S336" s="799">
        <f t="shared" si="132"/>
        <v>0</v>
      </c>
      <c r="T336" s="176">
        <f t="shared" si="133"/>
        <v>6</v>
      </c>
      <c r="U336" s="250">
        <f t="shared" si="134"/>
        <v>0.99860847792168483</v>
      </c>
      <c r="V336" s="382">
        <f t="shared" si="135"/>
        <v>27.188827569522847</v>
      </c>
      <c r="W336" s="400">
        <f t="shared" si="136"/>
        <v>15.995342436159477</v>
      </c>
      <c r="X336" s="157">
        <f t="shared" si="137"/>
        <v>45248</v>
      </c>
      <c r="Y336" s="383">
        <f t="shared" si="138"/>
        <v>15.613975807953288</v>
      </c>
      <c r="Z336" s="383">
        <f t="shared" si="139"/>
        <v>16.151789923457464</v>
      </c>
      <c r="AA336" s="384">
        <f t="shared" si="140"/>
        <v>17.01296070673002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5.0618513621317709E-2</v>
      </c>
      <c r="AD336" s="230">
        <f>(INDEX(Models!$BJ336:$BT336,,AH336)*(1-AF336)+INDEX(Models!$BJ336:$BT336,,AH336+1)*AF336-ERP_i)*AE336*Ramure*Pc/MaxiM</f>
        <v>6.4411437738387811E-3</v>
      </c>
      <c r="AE336" s="304">
        <f t="shared" si="142"/>
        <v>0.6</v>
      </c>
      <c r="AF336" s="177">
        <f t="shared" si="143"/>
        <v>0.99860847792168483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0.99860847792168483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09">
        <f>'2022'!Wh/'2022'!Env_an*'2023'!Env_an</f>
        <v>7.3099056735371688</v>
      </c>
      <c r="C337" s="829"/>
      <c r="D337" s="391">
        <f t="shared" si="127"/>
        <v>7.5618359501963726</v>
      </c>
      <c r="E337" s="383">
        <f t="shared" si="125"/>
        <v>7.7756710219250795</v>
      </c>
      <c r="F337" s="383">
        <f t="shared" si="128"/>
        <v>7.7756710219250795</v>
      </c>
      <c r="G337" s="110">
        <f t="shared" si="126"/>
        <v>0.26967372371783216</v>
      </c>
      <c r="H337" s="412" t="b">
        <f>Wh_hp&gt;='2022'!Maxi_hp</f>
        <v>0</v>
      </c>
      <c r="I337" s="379">
        <f>IF(H337,Wh_hp,'2022'!Maxi_hp)</f>
        <v>28.562272949049884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3.3316019855292089E-2</v>
      </c>
      <c r="M337" s="832"/>
      <c r="N337" s="832"/>
      <c r="O337" s="48">
        <f>IF(t&lt;Tnet,'2022'!Resal+('2022'!Salim-'2022'!Resal)*(1-EXP(('2022'!Tnet-t)/('2022'!Tau_j))),Resal+(Salim-Resal)*(1-EXP((Tnet-t)/(Tau_j))))*Salcycl</f>
        <v>2.7500529681072621E-2</v>
      </c>
      <c r="P337" s="338">
        <f>(INDEX(Models!$BJ337:$BT337,,T337)*(1-R337)+INDEX(Models!$BJ337:$BT337,,T337+1)*R337-ERP_i)*Q337*Ramure*Pc/MaxiM</f>
        <v>6.4953976062516513E-3</v>
      </c>
      <c r="Q337" s="304">
        <f t="shared" si="130"/>
        <v>0.6</v>
      </c>
      <c r="R337" s="177">
        <f t="shared" si="131"/>
        <v>0.99863539340285534</v>
      </c>
      <c r="S337" s="799">
        <f t="shared" si="132"/>
        <v>0</v>
      </c>
      <c r="T337" s="176">
        <f t="shared" si="133"/>
        <v>6</v>
      </c>
      <c r="U337" s="250">
        <f t="shared" si="134"/>
        <v>0.99863539340285534</v>
      </c>
      <c r="V337" s="382">
        <f t="shared" si="135"/>
        <v>26.930413648020995</v>
      </c>
      <c r="W337" s="400">
        <f t="shared" si="136"/>
        <v>7.3099056735371688</v>
      </c>
      <c r="X337" s="157">
        <f t="shared" si="137"/>
        <v>45249</v>
      </c>
      <c r="Y337" s="383">
        <f t="shared" si="138"/>
        <v>7.1358861831136347</v>
      </c>
      <c r="Z337" s="383">
        <f t="shared" si="139"/>
        <v>7.3818190118816567</v>
      </c>
      <c r="AA337" s="384">
        <f t="shared" si="140"/>
        <v>7.7756710219250795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5.0651835569287595E-2</v>
      </c>
      <c r="AD337" s="230">
        <f>(INDEX(Models!$BJ337:$BT337,,AH337)*(1-AF337)+INDEX(Models!$BJ337:$BT337,,AH337+1)*AF337-ERP_i)*AE337*Ramure*Pc/MaxiM</f>
        <v>6.4953976062516513E-3</v>
      </c>
      <c r="AE337" s="304">
        <f t="shared" si="142"/>
        <v>0.6</v>
      </c>
      <c r="AF337" s="177">
        <f t="shared" si="143"/>
        <v>0.99863539340285534</v>
      </c>
      <c r="AG337" s="799">
        <f t="shared" si="149"/>
        <v>0</v>
      </c>
      <c r="AH337" s="176">
        <f t="shared" si="144"/>
        <v>6</v>
      </c>
      <c r="AI337" s="224">
        <f t="shared" si="145"/>
        <v>0.99863539340285534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09">
        <f>'2022'!Wh/'2022'!Env_an*'2023'!Env_an</f>
        <v>16.085548839746401</v>
      </c>
      <c r="C338" s="829"/>
      <c r="D338" s="391">
        <f t="shared" si="127"/>
        <v>16.640243814861179</v>
      </c>
      <c r="E338" s="383">
        <f t="shared" si="125"/>
        <v>17.112042475764589</v>
      </c>
      <c r="F338" s="383">
        <f t="shared" si="128"/>
        <v>17.160670213485254</v>
      </c>
      <c r="G338" s="110">
        <f t="shared" si="126"/>
        <v>0.60072538463409952</v>
      </c>
      <c r="H338" s="412" t="b">
        <f>Wh_hp&gt;='2022'!Maxi_hp</f>
        <v>0</v>
      </c>
      <c r="I338" s="379">
        <f>IF(H338,Wh_hp,'2022'!Maxi_hp)</f>
        <v>28.66422438766487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3.3334546133235499E-2</v>
      </c>
      <c r="M338" s="832"/>
      <c r="N338" s="832"/>
      <c r="O338" s="48">
        <f>IF(t&lt;Tnet,'2022'!Resal+('2022'!Salim-'2022'!Resal)*(1-EXP(('2022'!Tnet-t)/('2022'!Tau_j))),Resal+(Salim-Resal)*(1-EXP((Tnet-t)/(Tau_j))))*Salcycl</f>
        <v>2.7571148305154662E-2</v>
      </c>
      <c r="P338" s="338">
        <f>(INDEX(Models!$BJ338:$BT338,,T338)*(1-R338)+INDEX(Models!$BJ338:$BT338,,T338+1)*R338-ERP_i)*Q338*Ramure*Pc/MaxiM</f>
        <v>6.5470711568013347E-3</v>
      </c>
      <c r="Q338" s="304">
        <f t="shared" si="130"/>
        <v>0.6</v>
      </c>
      <c r="R338" s="177">
        <f t="shared" si="131"/>
        <v>0.99866122791279432</v>
      </c>
      <c r="S338" s="799">
        <f t="shared" si="132"/>
        <v>0</v>
      </c>
      <c r="T338" s="176">
        <f t="shared" si="133"/>
        <v>6</v>
      </c>
      <c r="U338" s="250">
        <f t="shared" si="134"/>
        <v>0.99866122791279432</v>
      </c>
      <c r="V338" s="382">
        <f t="shared" si="135"/>
        <v>26.677159762874464</v>
      </c>
      <c r="W338" s="400">
        <f t="shared" si="136"/>
        <v>16.085548839746401</v>
      </c>
      <c r="X338" s="157">
        <f t="shared" si="137"/>
        <v>45250</v>
      </c>
      <c r="Y338" s="383">
        <f t="shared" si="138"/>
        <v>15.703194708385798</v>
      </c>
      <c r="Z338" s="383">
        <f t="shared" si="139"/>
        <v>16.244704562029554</v>
      </c>
      <c r="AA338" s="384">
        <f t="shared" si="140"/>
        <v>17.112042475764589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5.0685820524547419E-2</v>
      </c>
      <c r="AD338" s="230">
        <f>(INDEX(Models!$BJ338:$BT338,,AH338)*(1-AF338)+INDEX(Models!$BJ338:$BT338,,AH338+1)*AF338-ERP_i)*AE338*Ramure*Pc/MaxiM</f>
        <v>6.5470711568013347E-3</v>
      </c>
      <c r="AE338" s="304">
        <f t="shared" si="142"/>
        <v>0.6</v>
      </c>
      <c r="AF338" s="177">
        <f t="shared" si="143"/>
        <v>0.99866122791279432</v>
      </c>
      <c r="AG338" s="799">
        <f t="shared" si="149"/>
        <v>0</v>
      </c>
      <c r="AH338" s="176">
        <f t="shared" si="144"/>
        <v>6</v>
      </c>
      <c r="AI338" s="224">
        <f t="shared" si="145"/>
        <v>0.99866122791279432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09">
        <f>'2022'!Wh/'2022'!Env_an*'2023'!Env_an</f>
        <v>3.2308784927425762</v>
      </c>
      <c r="C339" s="829"/>
      <c r="D339" s="391">
        <f t="shared" si="127"/>
        <v>3.3423563447461477</v>
      </c>
      <c r="E339" s="383">
        <f t="shared" si="125"/>
        <v>3.4373723022229399</v>
      </c>
      <c r="F339" s="383">
        <f t="shared" si="128"/>
        <v>3.4373723022229399</v>
      </c>
      <c r="G339" s="110">
        <f t="shared" si="126"/>
        <v>0.12143847250956334</v>
      </c>
      <c r="H339" s="412" t="b">
        <f>Wh_hp&gt;='2022'!Maxi_hp</f>
        <v>0</v>
      </c>
      <c r="I339" s="379">
        <f>IF(H339,Wh_hp,'2022'!Maxi_hp)</f>
        <v>27.981917732937102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3.3353072056127031E-2</v>
      </c>
      <c r="M339" s="832"/>
      <c r="N339" s="832"/>
      <c r="O339" s="48">
        <f>IF(t&lt;Tnet,'2022'!Resal+('2022'!Salim-'2022'!Resal)*(1-EXP(('2022'!Tnet-t)/('2022'!Tau_j))),Resal+(Salim-Resal)*(1-EXP((Tnet-t)/(Tau_j))))*Salcycl</f>
        <v>2.7642032669939667E-2</v>
      </c>
      <c r="P339" s="338">
        <f>(INDEX(Models!$BJ339:$BT339,,T339)*(1-R339)+INDEX(Models!$BJ339:$BT339,,T339+1)*R339-ERP_i)*Q339*Ramure*Pc/MaxiM</f>
        <v>6.5983119665973455E-3</v>
      </c>
      <c r="Q339" s="304">
        <f t="shared" si="130"/>
        <v>0.6</v>
      </c>
      <c r="R339" s="177">
        <f t="shared" si="131"/>
        <v>0.99868602475997936</v>
      </c>
      <c r="S339" s="799">
        <f t="shared" si="132"/>
        <v>0</v>
      </c>
      <c r="T339" s="176">
        <f t="shared" si="133"/>
        <v>6</v>
      </c>
      <c r="U339" s="250">
        <f t="shared" si="134"/>
        <v>0.99868602475997936</v>
      </c>
      <c r="V339" s="382">
        <f t="shared" si="135"/>
        <v>26.429516793111315</v>
      </c>
      <c r="W339" s="400">
        <f t="shared" si="136"/>
        <v>3.2308784927425762</v>
      </c>
      <c r="X339" s="157">
        <f t="shared" si="137"/>
        <v>45251</v>
      </c>
      <c r="Y339" s="383">
        <f t="shared" si="138"/>
        <v>3.154195092542432</v>
      </c>
      <c r="Z339" s="383">
        <f t="shared" si="139"/>
        <v>3.2630270695129919</v>
      </c>
      <c r="AA339" s="384">
        <f t="shared" si="140"/>
        <v>3.4373723022229399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5.0720497339551841E-2</v>
      </c>
      <c r="AD339" s="230">
        <f>(INDEX(Models!$BJ339:$BT339,,AH339)*(1-AF339)+INDEX(Models!$BJ339:$BT339,,AH339+1)*AF339-ERP_i)*AE339*Ramure*Pc/MaxiM</f>
        <v>6.5983119665973455E-3</v>
      </c>
      <c r="AE339" s="304">
        <f t="shared" si="142"/>
        <v>0.6</v>
      </c>
      <c r="AF339" s="177">
        <f t="shared" si="143"/>
        <v>0.99868602475997936</v>
      </c>
      <c r="AG339" s="799">
        <f t="shared" si="149"/>
        <v>0</v>
      </c>
      <c r="AH339" s="176">
        <f t="shared" si="144"/>
        <v>6</v>
      </c>
      <c r="AI339" s="224">
        <f t="shared" si="145"/>
        <v>0.99868602475997936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09">
        <f>'2022'!Wh/'2022'!Env_an*'2023'!Env_an</f>
        <v>7.9929074118622463</v>
      </c>
      <c r="C340" s="829"/>
      <c r="D340" s="391">
        <f t="shared" si="127"/>
        <v>8.2688522209933346</v>
      </c>
      <c r="E340" s="383">
        <f t="shared" si="125"/>
        <v>8.5045402419613119</v>
      </c>
      <c r="F340" s="383">
        <f t="shared" si="128"/>
        <v>8.5049613483963213</v>
      </c>
      <c r="G340" s="110">
        <f t="shared" si="126"/>
        <v>0.30319827871847121</v>
      </c>
      <c r="H340" s="412" t="b">
        <f>Wh_hp&gt;='2022'!Maxi_hp</f>
        <v>0</v>
      </c>
      <c r="I340" s="379">
        <f>IF(H340,Wh_hp,'2022'!Maxi_hp)</f>
        <v>29.203443370360098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3.3371597623973459E-2</v>
      </c>
      <c r="M340" s="832"/>
      <c r="N340" s="832"/>
      <c r="O340" s="48">
        <f>IF(t&lt;Tnet,'2022'!Resal+('2022'!Salim-'2022'!Resal)*(1-EXP(('2022'!Tnet-t)/('2022'!Tau_j))),Resal+(Salim-Resal)*(1-EXP((Tnet-t)/(Tau_j))))*Salcycl</f>
        <v>2.7713199568989495E-2</v>
      </c>
      <c r="P340" s="338">
        <f>(INDEX(Models!$BJ340:$BT340,,T340)*(1-R340)+INDEX(Models!$BJ340:$BT340,,T340+1)*R340-ERP_i)*Q340*Ramure*Pc/MaxiM</f>
        <v>6.6490521558343696E-3</v>
      </c>
      <c r="Q340" s="304">
        <f t="shared" si="130"/>
        <v>0.6</v>
      </c>
      <c r="R340" s="177">
        <f t="shared" si="131"/>
        <v>0.99870982552604803</v>
      </c>
      <c r="S340" s="799">
        <f t="shared" si="132"/>
        <v>0</v>
      </c>
      <c r="T340" s="176">
        <f t="shared" si="133"/>
        <v>6</v>
      </c>
      <c r="U340" s="250">
        <f t="shared" si="134"/>
        <v>0.99870982552604803</v>
      </c>
      <c r="V340" s="382">
        <f t="shared" si="135"/>
        <v>26.187995948851434</v>
      </c>
      <c r="W340" s="400">
        <f t="shared" si="136"/>
        <v>7.9929074118622463</v>
      </c>
      <c r="X340" s="157">
        <f t="shared" si="137"/>
        <v>45252</v>
      </c>
      <c r="Y340" s="383">
        <f t="shared" si="138"/>
        <v>7.8034796565464504</v>
      </c>
      <c r="Z340" s="383">
        <f t="shared" si="139"/>
        <v>8.0728847169864473</v>
      </c>
      <c r="AA340" s="384">
        <f t="shared" si="140"/>
        <v>8.5045402419613119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5.0755891875857218E-2</v>
      </c>
      <c r="AD340" s="230">
        <f>(INDEX(Models!$BJ340:$BT340,,AH340)*(1-AF340)+INDEX(Models!$BJ340:$BT340,,AH340+1)*AF340-ERP_i)*AE340*Ramure*Pc/MaxiM</f>
        <v>6.6490521558343696E-3</v>
      </c>
      <c r="AE340" s="304">
        <f t="shared" si="142"/>
        <v>0.6</v>
      </c>
      <c r="AF340" s="177">
        <f t="shared" si="143"/>
        <v>0.99870982552604803</v>
      </c>
      <c r="AG340" s="799">
        <f t="shared" si="149"/>
        <v>0</v>
      </c>
      <c r="AH340" s="176">
        <f t="shared" si="144"/>
        <v>6</v>
      </c>
      <c r="AI340" s="224">
        <f t="shared" si="145"/>
        <v>0.99870982552604803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09">
        <f>'2022'!Wh/'2022'!Env_an*'2023'!Env_an</f>
        <v>13.404592978050253</v>
      </c>
      <c r="C341" s="829"/>
      <c r="D341" s="391">
        <f t="shared" si="127"/>
        <v>13.8676350146449</v>
      </c>
      <c r="E341" s="383">
        <f t="shared" si="125"/>
        <v>14.263954192027171</v>
      </c>
      <c r="F341" s="383">
        <f t="shared" si="128"/>
        <v>14.293568866270345</v>
      </c>
      <c r="G341" s="110">
        <f t="shared" si="126"/>
        <v>0.514097832512319</v>
      </c>
      <c r="H341" s="412" t="b">
        <f>Wh_hp&gt;='2022'!Maxi_hp</f>
        <v>0</v>
      </c>
      <c r="I341" s="379">
        <f>IF(H341,Wh_hp,'2022'!Maxi_hp)</f>
        <v>29.107219927904186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3.3390122836781555E-2</v>
      </c>
      <c r="M341" s="832"/>
      <c r="N341" s="832"/>
      <c r="O341" s="48">
        <f>IF(t&lt;Tnet,'2022'!Resal+('2022'!Salim-'2022'!Resal)*(1-EXP(('2022'!Tnet-t)/('2022'!Tau_j))),Resal+(Salim-Resal)*(1-EXP((Tnet-t)/(Tau_j))))*Salcycl</f>
        <v>2.7784664199482084E-2</v>
      </c>
      <c r="P341" s="338">
        <f>(INDEX(Models!$BJ341:$BT341,,T341)*(1-R341)+INDEX(Models!$BJ341:$BT341,,T341+1)*R341-ERP_i)*Q341*Ramure*Pc/MaxiM</f>
        <v>6.6991694133712275E-3</v>
      </c>
      <c r="Q341" s="304">
        <f t="shared" si="130"/>
        <v>0.6</v>
      </c>
      <c r="R341" s="177">
        <f t="shared" si="131"/>
        <v>0.9987326701339978</v>
      </c>
      <c r="S341" s="799">
        <f t="shared" si="132"/>
        <v>0</v>
      </c>
      <c r="T341" s="176">
        <f t="shared" si="133"/>
        <v>6</v>
      </c>
      <c r="U341" s="250">
        <f t="shared" si="134"/>
        <v>0.9987326701339978</v>
      </c>
      <c r="V341" s="382">
        <f t="shared" si="135"/>
        <v>25.953109566445551</v>
      </c>
      <c r="W341" s="400">
        <f t="shared" si="136"/>
        <v>13.404592978050253</v>
      </c>
      <c r="X341" s="157">
        <f t="shared" si="137"/>
        <v>45253</v>
      </c>
      <c r="Y341" s="383">
        <f t="shared" si="138"/>
        <v>13.087374846037777</v>
      </c>
      <c r="Z341" s="383">
        <f t="shared" si="139"/>
        <v>13.539459046752414</v>
      </c>
      <c r="AA341" s="384">
        <f t="shared" si="140"/>
        <v>14.263954192027171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5.0792026917733088E-2</v>
      </c>
      <c r="AD341" s="230">
        <f>(INDEX(Models!$BJ341:$BT341,,AH341)*(1-AF341)+INDEX(Models!$BJ341:$BT341,,AH341+1)*AF341-ERP_i)*AE341*Ramure*Pc/MaxiM</f>
        <v>6.6991694133712275E-3</v>
      </c>
      <c r="AE341" s="304">
        <f t="shared" si="142"/>
        <v>0.6</v>
      </c>
      <c r="AF341" s="177">
        <f t="shared" si="143"/>
        <v>0.9987326701339978</v>
      </c>
      <c r="AG341" s="799">
        <f t="shared" si="149"/>
        <v>0</v>
      </c>
      <c r="AH341" s="176">
        <f t="shared" si="144"/>
        <v>6</v>
      </c>
      <c r="AI341" s="224">
        <f t="shared" si="145"/>
        <v>0.9987326701339978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09">
        <f>'2022'!Wh/'2022'!Env_an*'2023'!Env_an</f>
        <v>14.066990305215372</v>
      </c>
      <c r="C342" s="829"/>
      <c r="D342" s="391">
        <f t="shared" si="127"/>
        <v>14.553192796173724</v>
      </c>
      <c r="E342" s="383">
        <f t="shared" si="125"/>
        <v>14.970209541692006</v>
      </c>
      <c r="F342" s="383">
        <f t="shared" si="128"/>
        <v>15.005915846408746</v>
      </c>
      <c r="G342" s="110">
        <f t="shared" si="126"/>
        <v>0.54441916244678501</v>
      </c>
      <c r="H342" s="412" t="b">
        <f>Wh_hp&gt;='2022'!Maxi_hp</f>
        <v>0</v>
      </c>
      <c r="I342" s="379">
        <f>IF(H342,Wh_hp,'2022'!Maxi_hp)</f>
        <v>27.112988230859333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3.3408647694558313E-2</v>
      </c>
      <c r="M342" s="832"/>
      <c r="N342" s="832"/>
      <c r="O342" s="48">
        <f>IF(t&lt;Tnet,'2022'!Resal+('2022'!Salim-'2022'!Resal)*(1-EXP(('2022'!Tnet-t)/('2022'!Tau_j))),Resal+(Salim-Resal)*(1-EXP((Tnet-t)/(Tau_j))))*Salcycl</f>
        <v>2.7856440109064056E-2</v>
      </c>
      <c r="P342" s="338">
        <f>(INDEX(Models!$BJ342:$BT342,,T342)*(1-R342)+INDEX(Models!$BJ342:$BT342,,T342+1)*R342-ERP_i)*Q342*Ramure*Pc/MaxiM</f>
        <v>6.7485546926610452E-3</v>
      </c>
      <c r="Q342" s="304">
        <f t="shared" si="130"/>
        <v>0.6</v>
      </c>
      <c r="R342" s="177">
        <f t="shared" si="131"/>
        <v>0.99875459691374568</v>
      </c>
      <c r="S342" s="799">
        <f t="shared" si="132"/>
        <v>0</v>
      </c>
      <c r="T342" s="176">
        <f t="shared" si="133"/>
        <v>6</v>
      </c>
      <c r="U342" s="250">
        <f t="shared" si="134"/>
        <v>0.99875459691374568</v>
      </c>
      <c r="V342" s="382">
        <f t="shared" si="135"/>
        <v>25.725369302181527</v>
      </c>
      <c r="W342" s="400">
        <f t="shared" si="136"/>
        <v>14.066990305215372</v>
      </c>
      <c r="X342" s="157">
        <f t="shared" si="137"/>
        <v>45254</v>
      </c>
      <c r="Y342" s="383">
        <f t="shared" si="138"/>
        <v>13.734576765839869</v>
      </c>
      <c r="Z342" s="383">
        <f t="shared" si="139"/>
        <v>14.209289927000878</v>
      </c>
      <c r="AA342" s="384">
        <f t="shared" si="140"/>
        <v>14.970209541692006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5.0828922105062575E-2</v>
      </c>
      <c r="AD342" s="230">
        <f>(INDEX(Models!$BJ342:$BT342,,AH342)*(1-AF342)+INDEX(Models!$BJ342:$BT342,,AH342+1)*AF342-ERP_i)*AE342*Ramure*Pc/MaxiM</f>
        <v>6.7485546926610452E-3</v>
      </c>
      <c r="AE342" s="304">
        <f t="shared" si="142"/>
        <v>0.6</v>
      </c>
      <c r="AF342" s="177">
        <f t="shared" si="143"/>
        <v>0.99875459691374568</v>
      </c>
      <c r="AG342" s="799">
        <f t="shared" si="149"/>
        <v>0</v>
      </c>
      <c r="AH342" s="176">
        <f t="shared" si="144"/>
        <v>6</v>
      </c>
      <c r="AI342" s="224">
        <f t="shared" si="145"/>
        <v>0.99875459691374568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09">
        <f>'2022'!Wh/'2022'!Env_an*'2023'!Env_an</f>
        <v>4.874503960200987</v>
      </c>
      <c r="C343" s="829"/>
      <c r="D343" s="391">
        <f t="shared" si="127"/>
        <v>5.0430798590543855</v>
      </c>
      <c r="E343" s="383">
        <f t="shared" si="125"/>
        <v>5.1879723478987678</v>
      </c>
      <c r="F343" s="383">
        <f t="shared" si="128"/>
        <v>5.1879723478987678</v>
      </c>
      <c r="G343" s="110">
        <f t="shared" si="126"/>
        <v>0.18981835298056937</v>
      </c>
      <c r="H343" s="412" t="b">
        <f>Wh_hp&gt;='2022'!Maxi_hp</f>
        <v>0</v>
      </c>
      <c r="I343" s="379">
        <f>IF(H343,Wh_hp,'2022'!Maxi_hp)</f>
        <v>25.709723482797013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3.3427172197310284E-2</v>
      </c>
      <c r="M343" s="832"/>
      <c r="N343" s="832"/>
      <c r="O343" s="48">
        <f>IF(t&lt;Tnet,'2022'!Resal+('2022'!Salim-'2022'!Resal)*(1-EXP(('2022'!Tnet-t)/('2022'!Tau_j))),Resal+(Salim-Resal)*(1-EXP((Tnet-t)/(Tau_j))))*Salcycl</f>
        <v>2.7928539153271772E-2</v>
      </c>
      <c r="P343" s="338">
        <f>(INDEX(Models!$BJ343:$BT343,,T343)*(1-R343)+INDEX(Models!$BJ343:$BT343,,T343+1)*R343-ERP_i)*Q343*Ramure*Pc/MaxiM</f>
        <v>6.7971192855275061E-3</v>
      </c>
      <c r="Q343" s="304">
        <f t="shared" si="130"/>
        <v>0.6</v>
      </c>
      <c r="R343" s="177">
        <f t="shared" si="131"/>
        <v>0.99877564266514307</v>
      </c>
      <c r="S343" s="799">
        <f t="shared" si="132"/>
        <v>0</v>
      </c>
      <c r="T343" s="176">
        <f t="shared" si="133"/>
        <v>6</v>
      </c>
      <c r="U343" s="250">
        <f t="shared" si="134"/>
        <v>0.99877564266514307</v>
      </c>
      <c r="V343" s="382">
        <f t="shared" si="135"/>
        <v>25.505285971063657</v>
      </c>
      <c r="W343" s="400">
        <f t="shared" si="136"/>
        <v>4.874503960200987</v>
      </c>
      <c r="X343" s="157">
        <f t="shared" si="137"/>
        <v>45255</v>
      </c>
      <c r="Y343" s="383">
        <f t="shared" si="138"/>
        <v>4.7594798666675446</v>
      </c>
      <c r="Z343" s="383">
        <f t="shared" si="139"/>
        <v>4.9240778653867929</v>
      </c>
      <c r="AA343" s="384">
        <f t="shared" si="140"/>
        <v>5.1879723478987678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5.0866593885924842E-2</v>
      </c>
      <c r="AD343" s="230">
        <f>(INDEX(Models!$BJ343:$BT343,,AH343)*(1-AF343)+INDEX(Models!$BJ343:$BT343,,AH343+1)*AF343-ERP_i)*AE343*Ramure*Pc/MaxiM</f>
        <v>6.7971192855275061E-3</v>
      </c>
      <c r="AE343" s="304">
        <f t="shared" si="142"/>
        <v>0.6</v>
      </c>
      <c r="AF343" s="177">
        <f t="shared" si="143"/>
        <v>0.99877564266514307</v>
      </c>
      <c r="AG343" s="799">
        <f t="shared" si="149"/>
        <v>0</v>
      </c>
      <c r="AH343" s="176">
        <f t="shared" si="144"/>
        <v>6</v>
      </c>
      <c r="AI343" s="224">
        <f t="shared" si="145"/>
        <v>0.99877564266514307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09">
        <f>'2022'!Wh/'2022'!Env_an*'2023'!Env_an</f>
        <v>11.200777985240931</v>
      </c>
      <c r="C344" s="829"/>
      <c r="D344" s="391">
        <f t="shared" si="127"/>
        <v>11.588358711855086</v>
      </c>
      <c r="E344" s="383">
        <f t="shared" si="125"/>
        <v>11.922191660321632</v>
      </c>
      <c r="F344" s="383">
        <f t="shared" si="128"/>
        <v>11.938866302847661</v>
      </c>
      <c r="G344" s="110">
        <f t="shared" si="126"/>
        <v>0.44041855919279466</v>
      </c>
      <c r="H344" s="412" t="b">
        <f>Wh_hp&gt;='2022'!Maxi_hp</f>
        <v>0</v>
      </c>
      <c r="I344" s="379">
        <f>IF(H344,Wh_hp,'2022'!Maxi_hp)</f>
        <v>26.915508219914461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3.3445696345044462E-2</v>
      </c>
      <c r="M344" s="832"/>
      <c r="N344" s="832"/>
      <c r="O344" s="48">
        <f>IF(t&lt;Tnet,'2022'!Resal+('2022'!Salim-'2022'!Resal)*(1-EXP(('2022'!Tnet-t)/('2022'!Tau_j))),Resal+(Salim-Resal)*(1-EXP((Tnet-t)/(Tau_j))))*Salcycl</f>
        <v>2.8000971463793774E-2</v>
      </c>
      <c r="P344" s="338">
        <f>(INDEX(Models!$BJ344:$BT344,,T344)*(1-R344)+INDEX(Models!$BJ344:$BT344,,T344+1)*R344-ERP_i)*Q344*Ramure*Pc/MaxiM</f>
        <v>6.8447604453082643E-3</v>
      </c>
      <c r="Q344" s="304">
        <f t="shared" si="130"/>
        <v>0.6</v>
      </c>
      <c r="R344" s="177">
        <f t="shared" si="131"/>
        <v>0.99879584271854149</v>
      </c>
      <c r="S344" s="799">
        <f t="shared" si="132"/>
        <v>0</v>
      </c>
      <c r="T344" s="176">
        <f t="shared" si="133"/>
        <v>6</v>
      </c>
      <c r="U344" s="250">
        <f t="shared" si="134"/>
        <v>0.99879584271854149</v>
      </c>
      <c r="V344" s="382">
        <f t="shared" si="135"/>
        <v>25.293370454653093</v>
      </c>
      <c r="W344" s="400">
        <f t="shared" si="136"/>
        <v>11.200777985240931</v>
      </c>
      <c r="X344" s="157">
        <f t="shared" si="137"/>
        <v>45256</v>
      </c>
      <c r="Y344" s="383">
        <f t="shared" si="138"/>
        <v>10.93684401762259</v>
      </c>
      <c r="Z344" s="383">
        <f t="shared" si="139"/>
        <v>11.315291832301302</v>
      </c>
      <c r="AA344" s="384">
        <f t="shared" si="140"/>
        <v>11.922191660321632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5.0905055489097607E-2</v>
      </c>
      <c r="AD344" s="230">
        <f>(INDEX(Models!$BJ344:$BT344,,AH344)*(1-AF344)+INDEX(Models!$BJ344:$BT344,,AH344+1)*AF344-ERP_i)*AE344*Ramure*Pc/MaxiM</f>
        <v>6.8447604453082643E-3</v>
      </c>
      <c r="AE344" s="304">
        <f t="shared" si="142"/>
        <v>0.6</v>
      </c>
      <c r="AF344" s="177">
        <f t="shared" si="143"/>
        <v>0.99879584271854149</v>
      </c>
      <c r="AG344" s="799">
        <f t="shared" si="149"/>
        <v>0</v>
      </c>
      <c r="AH344" s="176">
        <f t="shared" si="144"/>
        <v>6</v>
      </c>
      <c r="AI344" s="224">
        <f t="shared" si="145"/>
        <v>0.99879584271854149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09">
        <f>'2022'!Wh/'2022'!Env_an*'2023'!Env_an</f>
        <v>14.74439741848823</v>
      </c>
      <c r="C345" s="829"/>
      <c r="D345" s="391">
        <f t="shared" si="127"/>
        <v>15.254890430015802</v>
      </c>
      <c r="E345" s="383">
        <f t="shared" si="125"/>
        <v>15.695522533990717</v>
      </c>
      <c r="F345" s="383">
        <f t="shared" si="128"/>
        <v>15.740111580131204</v>
      </c>
      <c r="G345" s="110">
        <f t="shared" si="126"/>
        <v>0.58532630631878479</v>
      </c>
      <c r="H345" s="412" t="b">
        <f>Wh_hp&gt;='2022'!Maxi_hp</f>
        <v>0</v>
      </c>
      <c r="I345" s="379">
        <f>IF(H345,Wh_hp,'2022'!Maxi_hp)</f>
        <v>23.300191289146664</v>
      </c>
      <c r="J345" s="85">
        <f>IF(H345,An,'2022'!An_max)</f>
        <v>2020</v>
      </c>
      <c r="K345" s="197">
        <f t="shared" si="129"/>
        <v>45257</v>
      </c>
      <c r="L345" s="147">
        <f>IF(t&lt;Tvie,1-EXP((T0-t)*PertePVj)+'2022'!Pspv,1-EXP((T0-t)*PertePVj)+Pspv)</f>
        <v>3.3464220137767509E-2</v>
      </c>
      <c r="M345" s="832"/>
      <c r="N345" s="832"/>
      <c r="O345" s="48">
        <f>IF(t&lt;Tnet,'2022'!Resal+('2022'!Salim-'2022'!Resal)*(1-EXP(('2022'!Tnet-t)/('2022'!Tau_j))),Resal+(Salim-Resal)*(1-EXP((Tnet-t)/(Tau_j))))*Salcycl</f>
        <v>2.8073745427759297E-2</v>
      </c>
      <c r="P345" s="338">
        <f>(INDEX(Models!$BJ345:$BT345,,T345)*(1-R345)+INDEX(Models!$BJ345:$BT345,,T345+1)*R345-ERP_i)*Q345*Ramure*Pc/MaxiM</f>
        <v>6.8920783182671577E-3</v>
      </c>
      <c r="Q345" s="304">
        <f t="shared" si="130"/>
        <v>0.6</v>
      </c>
      <c r="R345" s="177">
        <f t="shared" si="131"/>
        <v>0.99881523099300207</v>
      </c>
      <c r="S345" s="799">
        <f t="shared" si="132"/>
        <v>0</v>
      </c>
      <c r="T345" s="176">
        <f t="shared" si="133"/>
        <v>6</v>
      </c>
      <c r="U345" s="250">
        <f t="shared" si="134"/>
        <v>0.99881523099300207</v>
      </c>
      <c r="V345" s="382">
        <f t="shared" si="135"/>
        <v>25.0875042629186</v>
      </c>
      <c r="W345" s="400">
        <f t="shared" si="136"/>
        <v>14.74439741848823</v>
      </c>
      <c r="X345" s="157">
        <f t="shared" si="137"/>
        <v>45257</v>
      </c>
      <c r="Y345" s="383">
        <f t="shared" si="138"/>
        <v>14.397444351182511</v>
      </c>
      <c r="Z345" s="383">
        <f t="shared" si="139"/>
        <v>14.895924859848112</v>
      </c>
      <c r="AA345" s="384">
        <f t="shared" si="140"/>
        <v>15.695522533990717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5.0944316916558346E-2</v>
      </c>
      <c r="AD345" s="230">
        <f>(INDEX(Models!$BJ345:$BT345,,AH345)*(1-AF345)+INDEX(Models!$BJ345:$BT345,,AH345+1)*AF345-ERP_i)*AE345*Ramure*Pc/MaxiM</f>
        <v>6.8920783182671577E-3</v>
      </c>
      <c r="AE345" s="304">
        <f t="shared" si="142"/>
        <v>0.6</v>
      </c>
      <c r="AF345" s="177">
        <f t="shared" si="143"/>
        <v>0.99881523099300207</v>
      </c>
      <c r="AG345" s="799">
        <f t="shared" si="149"/>
        <v>0</v>
      </c>
      <c r="AH345" s="176">
        <f t="shared" si="144"/>
        <v>6</v>
      </c>
      <c r="AI345" s="224">
        <f t="shared" si="145"/>
        <v>0.99881523099300207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09">
        <f>'2022'!Wh/'2022'!Env_an*'2023'!Env_an</f>
        <v>10.696749814660018</v>
      </c>
      <c r="C346" s="829"/>
      <c r="D346" s="391">
        <f t="shared" si="127"/>
        <v>11.067313846243209</v>
      </c>
      <c r="E346" s="383">
        <f t="shared" si="125"/>
        <v>11.387846041924389</v>
      </c>
      <c r="F346" s="383">
        <f t="shared" si="128"/>
        <v>11.402530937047256</v>
      </c>
      <c r="G346" s="110">
        <f t="shared" si="126"/>
        <v>0.42740376845525441</v>
      </c>
      <c r="H346" s="412" t="b">
        <f>Wh_hp&gt;='2022'!Maxi_hp</f>
        <v>0</v>
      </c>
      <c r="I346" s="379">
        <f>IF(H346,Wh_hp,'2022'!Maxi_hp)</f>
        <v>16.384266753107251</v>
      </c>
      <c r="J346" s="85">
        <f>IF(H346,An,'2022'!An_max)</f>
        <v>2020</v>
      </c>
      <c r="K346" s="197">
        <f t="shared" si="129"/>
        <v>45258</v>
      </c>
      <c r="L346" s="147">
        <f>IF(t&lt;Tvie,1-EXP((T0-t)*PertePVj)+'2022'!Pspv,1-EXP((T0-t)*PertePVj)+Pspv)</f>
        <v>3.3482743575486307E-2</v>
      </c>
      <c r="M346" s="832"/>
      <c r="N346" s="832"/>
      <c r="O346" s="48">
        <f>IF(t&lt;Tnet,'2022'!Resal+('2022'!Salim-'2022'!Resal)*(1-EXP(('2022'!Tnet-t)/('2022'!Tau_j))),Resal+(Salim-Resal)*(1-EXP((Tnet-t)/(Tau_j))))*Salcycl</f>
        <v>2.8146867678149119E-2</v>
      </c>
      <c r="P346" s="338">
        <f>(INDEX(Models!$BJ346:$BT346,,T346)*(1-R346)+INDEX(Models!$BJ346:$BT346,,T346+1)*R346-ERP_i)*Q346*Ramure*Pc/MaxiM</f>
        <v>6.943307364244233E-3</v>
      </c>
      <c r="Q346" s="304">
        <f t="shared" si="130"/>
        <v>0.6</v>
      </c>
      <c r="R346" s="177">
        <f t="shared" si="131"/>
        <v>0.99883384005223674</v>
      </c>
      <c r="S346" s="799">
        <f t="shared" si="132"/>
        <v>0</v>
      </c>
      <c r="T346" s="176">
        <f t="shared" si="133"/>
        <v>6</v>
      </c>
      <c r="U346" s="250">
        <f t="shared" si="134"/>
        <v>0.99883384005223674</v>
      </c>
      <c r="V346" s="382">
        <f t="shared" si="135"/>
        <v>24.885547845459481</v>
      </c>
      <c r="W346" s="400">
        <f t="shared" si="136"/>
        <v>10.696749814660018</v>
      </c>
      <c r="X346" s="157">
        <f t="shared" si="137"/>
        <v>45258</v>
      </c>
      <c r="Y346" s="383">
        <f t="shared" si="138"/>
        <v>10.445387545420324</v>
      </c>
      <c r="Z346" s="383">
        <f t="shared" si="139"/>
        <v>10.807243715504342</v>
      </c>
      <c r="AA346" s="384">
        <f t="shared" si="140"/>
        <v>11.387846041924389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5.0984384955904495E-2</v>
      </c>
      <c r="AD346" s="230">
        <f>(INDEX(Models!$BJ346:$BT346,,AH346)*(1-AF346)+INDEX(Models!$BJ346:$BT346,,AH346+1)*AF346-ERP_i)*AE346*Ramure*Pc/MaxiM</f>
        <v>6.943307364244233E-3</v>
      </c>
      <c r="AE346" s="304">
        <f t="shared" si="142"/>
        <v>0.6</v>
      </c>
      <c r="AF346" s="177">
        <f t="shared" si="143"/>
        <v>0.99883384005223674</v>
      </c>
      <c r="AG346" s="799">
        <f t="shared" si="149"/>
        <v>0</v>
      </c>
      <c r="AH346" s="176">
        <f t="shared" si="144"/>
        <v>6</v>
      </c>
      <c r="AI346" s="224">
        <f t="shared" si="145"/>
        <v>0.99883384005223674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09">
        <f>'2022'!Wh/'2022'!Env_an*'2023'!Env_an</f>
        <v>15.578351184821145</v>
      </c>
      <c r="C347" s="829"/>
      <c r="D347" s="391">
        <f t="shared" si="127"/>
        <v>16.118335852295441</v>
      </c>
      <c r="E347" s="383">
        <f t="shared" si="125"/>
        <v>16.586410034179909</v>
      </c>
      <c r="F347" s="383">
        <f t="shared" si="128"/>
        <v>16.641535486998617</v>
      </c>
      <c r="G347" s="110">
        <f t="shared" si="126"/>
        <v>0.62867249972126094</v>
      </c>
      <c r="H347" s="412" t="b">
        <f>Wh_hp&gt;='2022'!Maxi_hp</f>
        <v>0</v>
      </c>
      <c r="I347" s="379">
        <f>IF(H347,Wh_hp,'2022'!Maxi_hp)</f>
        <v>16.659001140689998</v>
      </c>
      <c r="J347" s="85">
        <f>IF(H347,An,'2022'!An_max)</f>
        <v>2022</v>
      </c>
      <c r="K347" s="197">
        <f t="shared" si="129"/>
        <v>45259</v>
      </c>
      <c r="L347" s="147">
        <f>IF(t&lt;Tvie,1-EXP((T0-t)*PertePVj)+'2022'!Pspv,1-EXP((T0-t)*PertePVj)+Pspv)</f>
        <v>3.3501266658207629E-2</v>
      </c>
      <c r="M347" s="832"/>
      <c r="N347" s="832"/>
      <c r="O347" s="48">
        <f>IF(t&lt;Tnet,'2022'!Resal+('2022'!Salim-'2022'!Resal)*(1-EXP(('2022'!Tnet-t)/('2022'!Tau_j))),Resal+(Salim-Resal)*(1-EXP((Tnet-t)/(Tau_j))))*Salcycl</f>
        <v>2.8220343095335162E-2</v>
      </c>
      <c r="P347" s="338">
        <f>(INDEX(Models!$BJ347:$BT347,,T347)*(1-R347)+INDEX(Models!$BJ347:$BT347,,T347+1)*R347-ERP_i)*Q347*Ramure*Pc/MaxiM</f>
        <v>7.0051154272428463E-3</v>
      </c>
      <c r="Q347" s="304">
        <f t="shared" si="130"/>
        <v>0.6</v>
      </c>
      <c r="R347" s="177">
        <f t="shared" si="131"/>
        <v>0.99885170115836597</v>
      </c>
      <c r="S347" s="799">
        <f t="shared" si="132"/>
        <v>0</v>
      </c>
      <c r="T347" s="176">
        <f t="shared" si="133"/>
        <v>6</v>
      </c>
      <c r="U347" s="250">
        <f t="shared" si="134"/>
        <v>0.99885170115836597</v>
      </c>
      <c r="V347" s="382">
        <f t="shared" si="135"/>
        <v>24.687950388090542</v>
      </c>
      <c r="W347" s="400">
        <f t="shared" si="136"/>
        <v>15.578351184821145</v>
      </c>
      <c r="X347" s="157">
        <f t="shared" si="137"/>
        <v>45259</v>
      </c>
      <c r="Y347" s="383">
        <f t="shared" si="138"/>
        <v>15.212771341898849</v>
      </c>
      <c r="Z347" s="383">
        <f t="shared" si="139"/>
        <v>15.740084096436171</v>
      </c>
      <c r="AA347" s="384">
        <f t="shared" si="140"/>
        <v>16.586410034179909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5.1025263212455312E-2</v>
      </c>
      <c r="AD347" s="230">
        <f>(INDEX(Models!$BJ347:$BT347,,AH347)*(1-AF347)+INDEX(Models!$BJ347:$BT347,,AH347+1)*AF347-ERP_i)*AE347*Ramure*Pc/MaxiM</f>
        <v>7.0051154272428463E-3</v>
      </c>
      <c r="AE347" s="304">
        <f t="shared" si="142"/>
        <v>0.6</v>
      </c>
      <c r="AF347" s="177">
        <f t="shared" si="143"/>
        <v>0.99885170115836597</v>
      </c>
      <c r="AG347" s="799">
        <f t="shared" si="149"/>
        <v>0</v>
      </c>
      <c r="AH347" s="176">
        <f t="shared" si="144"/>
        <v>6</v>
      </c>
      <c r="AI347" s="224">
        <f t="shared" si="145"/>
        <v>0.99885170115836597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09">
        <f>'2022'!Wh/'2022'!Env_an*'2023'!Env_an</f>
        <v>4.0707674124177204</v>
      </c>
      <c r="C348" s="829"/>
      <c r="D348" s="391">
        <f t="shared" si="127"/>
        <v>4.2119511271020471</v>
      </c>
      <c r="E348" s="383">
        <f t="shared" si="125"/>
        <v>4.334594913352884</v>
      </c>
      <c r="F348" s="383">
        <f t="shared" si="128"/>
        <v>4.334594913352884</v>
      </c>
      <c r="G348" s="110">
        <f t="shared" si="126"/>
        <v>0.16500926919450803</v>
      </c>
      <c r="H348" s="412" t="b">
        <f>Wh_hp&gt;='2022'!Maxi_hp</f>
        <v>0</v>
      </c>
      <c r="I348" s="379">
        <f>IF(H348,Wh_hp,'2022'!Maxi_hp)</f>
        <v>25.310170680267795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3.3519789385938359E-2</v>
      </c>
      <c r="M348" s="832"/>
      <c r="N348" s="832"/>
      <c r="O348" s="48">
        <f>IF(t&lt;Tnet,'2022'!Resal+('2022'!Salim-'2022'!Resal)*(1-EXP(('2022'!Tnet-t)/('2022'!Tau_j))),Resal+(Salim-Resal)*(1-EXP((Tnet-t)/(Tau_j))))*Salcycl</f>
        <v>2.8294174819665004E-2</v>
      </c>
      <c r="P348" s="338">
        <f>(INDEX(Models!$BJ348:$BT348,,T348)*(1-R348)+INDEX(Models!$BJ348:$BT348,,T348+1)*R348-ERP_i)*Q348*Ramure*Pc/MaxiM</f>
        <v>7.0773982483264422E-3</v>
      </c>
      <c r="Q348" s="304">
        <f t="shared" si="130"/>
        <v>0.6</v>
      </c>
      <c r="R348" s="177">
        <f t="shared" si="131"/>
        <v>0.99886884432357492</v>
      </c>
      <c r="S348" s="799">
        <f t="shared" si="132"/>
        <v>0</v>
      </c>
      <c r="T348" s="176">
        <f t="shared" si="133"/>
        <v>6</v>
      </c>
      <c r="U348" s="250">
        <f t="shared" si="134"/>
        <v>0.99886884432357492</v>
      </c>
      <c r="V348" s="382">
        <f t="shared" si="135"/>
        <v>24.495332837934043</v>
      </c>
      <c r="W348" s="400">
        <f t="shared" si="136"/>
        <v>4.0707674124177204</v>
      </c>
      <c r="X348" s="157">
        <f t="shared" si="137"/>
        <v>45260</v>
      </c>
      <c r="Y348" s="383">
        <f t="shared" si="138"/>
        <v>3.9753654116396651</v>
      </c>
      <c r="Z348" s="383">
        <f t="shared" si="139"/>
        <v>4.1132403622769287</v>
      </c>
      <c r="AA348" s="384">
        <f t="shared" si="140"/>
        <v>4.334594913352884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5.1066952160642332E-2</v>
      </c>
      <c r="AD348" s="230">
        <f>(INDEX(Models!$BJ348:$BT348,,AH348)*(1-AF348)+INDEX(Models!$BJ348:$BT348,,AH348+1)*AF348-ERP_i)*AE348*Ramure*Pc/MaxiM</f>
        <v>7.0773982483264422E-3</v>
      </c>
      <c r="AE348" s="304">
        <f t="shared" si="142"/>
        <v>0.6</v>
      </c>
      <c r="AF348" s="177">
        <f t="shared" si="143"/>
        <v>0.99886884432357492</v>
      </c>
      <c r="AG348" s="799">
        <f t="shared" si="149"/>
        <v>0</v>
      </c>
      <c r="AH348" s="176">
        <f t="shared" si="144"/>
        <v>6</v>
      </c>
      <c r="AI348" s="224">
        <f t="shared" si="145"/>
        <v>0.99886884432357492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09">
        <f>'2022'!Wh/'2022'!Env_an*'2023'!Env_an</f>
        <v>3.8530706576275588</v>
      </c>
      <c r="C349" s="829"/>
      <c r="D349" s="391">
        <f t="shared" si="127"/>
        <v>3.9867805465098685</v>
      </c>
      <c r="E349" s="383">
        <f t="shared" si="125"/>
        <v>4.103181082133796</v>
      </c>
      <c r="F349" s="383">
        <f t="shared" si="128"/>
        <v>4.103181082133796</v>
      </c>
      <c r="G349" s="110">
        <f t="shared" si="126"/>
        <v>0.15737340970446226</v>
      </c>
      <c r="H349" s="412" t="b">
        <f>Wh_hp&gt;='2022'!Maxi_hp</f>
        <v>0</v>
      </c>
      <c r="I349" s="379">
        <f>IF(H349,Wh_hp,'2022'!Maxi_hp)</f>
        <v>26.146261330818092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3.3538311758685269E-2</v>
      </c>
      <c r="M349" s="832"/>
      <c r="N349" s="832"/>
      <c r="O349" s="48">
        <f>IF(t&lt;Tnet,'2022'!Resal+('2022'!Salim-'2022'!Resal)*(1-EXP(('2022'!Tnet-t)/('2022'!Tau_j))),Resal+(Salim-Resal)*(1-EXP((Tnet-t)/(Tau_j))))*Salcycl</f>
        <v>2.8368364274918879E-2</v>
      </c>
      <c r="P349" s="338">
        <f>(INDEX(Models!$BJ349:$BT349,,T349)*(1-R349)+INDEX(Models!$BJ349:$BT349,,T349+1)*R349-ERP_i)*Q349*Ramure*Pc/MaxiM</f>
        <v>7.1600380070657461E-3</v>
      </c>
      <c r="Q349" s="304">
        <f t="shared" si="130"/>
        <v>0.6</v>
      </c>
      <c r="R349" s="177">
        <f t="shared" si="131"/>
        <v>0.99888529835975048</v>
      </c>
      <c r="S349" s="799">
        <f t="shared" si="132"/>
        <v>0</v>
      </c>
      <c r="T349" s="176">
        <f t="shared" si="133"/>
        <v>6</v>
      </c>
      <c r="U349" s="250">
        <f t="shared" si="134"/>
        <v>0.99888529835975048</v>
      </c>
      <c r="V349" s="382">
        <f t="shared" si="135"/>
        <v>24.308315696146259</v>
      </c>
      <c r="W349" s="400">
        <f t="shared" si="136"/>
        <v>3.8530706576275588</v>
      </c>
      <c r="X349" s="157">
        <f t="shared" si="137"/>
        <v>45261</v>
      </c>
      <c r="Y349" s="383">
        <f t="shared" si="138"/>
        <v>3.7628893544667625</v>
      </c>
      <c r="Z349" s="383">
        <f t="shared" si="139"/>
        <v>3.8934697570000427</v>
      </c>
      <c r="AA349" s="384">
        <f t="shared" si="140"/>
        <v>4.103181082133796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5.1109449214143822E-2</v>
      </c>
      <c r="AD349" s="230">
        <f>(INDEX(Models!$BJ349:$BT349,,AH349)*(1-AF349)+INDEX(Models!$BJ349:$BT349,,AH349+1)*AF349-ERP_i)*AE349*Ramure*Pc/MaxiM</f>
        <v>7.1600380070657461E-3</v>
      </c>
      <c r="AE349" s="304">
        <f t="shared" si="142"/>
        <v>0.6</v>
      </c>
      <c r="AF349" s="177">
        <f t="shared" si="143"/>
        <v>0.99888529835975048</v>
      </c>
      <c r="AG349" s="799">
        <f t="shared" si="149"/>
        <v>0</v>
      </c>
      <c r="AH349" s="176">
        <f t="shared" si="144"/>
        <v>6</v>
      </c>
      <c r="AI349" s="224">
        <f t="shared" si="145"/>
        <v>0.99888529835975048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09">
        <f>'2022'!Wh/'2022'!Env_an*'2023'!Env_an</f>
        <v>5.7883289897992842</v>
      </c>
      <c r="C350" s="829"/>
      <c r="D350" s="391">
        <f t="shared" si="127"/>
        <v>5.9893113139985754</v>
      </c>
      <c r="E350" s="383">
        <f t="shared" si="125"/>
        <v>6.16465196235748</v>
      </c>
      <c r="F350" s="383">
        <f t="shared" si="128"/>
        <v>6.16465196235748</v>
      </c>
      <c r="G350" s="110">
        <f t="shared" si="126"/>
        <v>0.23816567348113071</v>
      </c>
      <c r="H350" s="412" t="b">
        <f>Wh_hp&gt;='2022'!Maxi_hp</f>
        <v>0</v>
      </c>
      <c r="I350" s="379">
        <f>IF(H350,Wh_hp,'2022'!Maxi_hp)</f>
        <v>9.9498204075695913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3.355683377645502E-2</v>
      </c>
      <c r="M350" s="832"/>
      <c r="N350" s="832"/>
      <c r="O350" s="48">
        <f>IF(t&lt;Tnet,'2022'!Resal+('2022'!Salim-'2022'!Resal)*(1-EXP(('2022'!Tnet-t)/('2022'!Tau_j))),Resal+(Salim-Resal)*(1-EXP((Tnet-t)/(Tau_j))))*Salcycl</f>
        <v>2.8442911202378858E-2</v>
      </c>
      <c r="P350" s="338">
        <f>(INDEX(Models!$BJ350:$BT350,,T350)*(1-R350)+INDEX(Models!$BJ350:$BT350,,T350+1)*R350-ERP_i)*Q350*Ramure*Pc/MaxiM</f>
        <v>7.2529003794660814E-3</v>
      </c>
      <c r="Q350" s="304">
        <f t="shared" si="130"/>
        <v>0.6</v>
      </c>
      <c r="R350" s="177">
        <f t="shared" si="131"/>
        <v>0.99890109092617241</v>
      </c>
      <c r="S350" s="799">
        <f t="shared" si="132"/>
        <v>0</v>
      </c>
      <c r="T350" s="176">
        <f t="shared" si="133"/>
        <v>6</v>
      </c>
      <c r="U350" s="250">
        <f t="shared" si="134"/>
        <v>0.99890109092617241</v>
      </c>
      <c r="V350" s="382">
        <f t="shared" si="135"/>
        <v>24.127519017672221</v>
      </c>
      <c r="W350" s="400">
        <f t="shared" si="136"/>
        <v>5.7883289897992842</v>
      </c>
      <c r="X350" s="157">
        <f t="shared" si="137"/>
        <v>45262</v>
      </c>
      <c r="Y350" s="383">
        <f t="shared" si="138"/>
        <v>5.6530286426379215</v>
      </c>
      <c r="Z350" s="383">
        <f t="shared" si="139"/>
        <v>5.8493130690008286</v>
      </c>
      <c r="AA350" s="384">
        <f t="shared" si="140"/>
        <v>6.16465196235748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5.115274881407246E-2</v>
      </c>
      <c r="AD350" s="230">
        <f>(INDEX(Models!$BJ350:$BT350,,AH350)*(1-AF350)+INDEX(Models!$BJ350:$BT350,,AH350+1)*AF350-ERP_i)*AE350*Ramure*Pc/MaxiM</f>
        <v>7.2529003794660814E-3</v>
      </c>
      <c r="AE350" s="304">
        <f t="shared" si="142"/>
        <v>0.6</v>
      </c>
      <c r="AF350" s="177">
        <f t="shared" si="143"/>
        <v>0.99890109092617241</v>
      </c>
      <c r="AG350" s="799">
        <f t="shared" si="149"/>
        <v>0</v>
      </c>
      <c r="AH350" s="176">
        <f t="shared" si="144"/>
        <v>6</v>
      </c>
      <c r="AI350" s="224">
        <f t="shared" si="145"/>
        <v>0.99890109092617241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09">
        <f>'2022'!Wh/'2022'!Env_an*'2023'!Env_an</f>
        <v>9.7003108795746549</v>
      </c>
      <c r="C351" s="829"/>
      <c r="D351" s="391">
        <f t="shared" si="127"/>
        <v>10.037317378204477</v>
      </c>
      <c r="E351" s="383">
        <f t="shared" si="125"/>
        <v>10.331962355878188</v>
      </c>
      <c r="F351" s="383">
        <f t="shared" si="128"/>
        <v>10.343370968260427</v>
      </c>
      <c r="G351" s="110">
        <f t="shared" si="126"/>
        <v>0.40242821556750663</v>
      </c>
      <c r="H351" s="412" t="b">
        <f>Wh_hp&gt;='2022'!Maxi_hp</f>
        <v>0</v>
      </c>
      <c r="I351" s="379">
        <f>IF(H351,Wh_hp,'2022'!Maxi_hp)</f>
        <v>16.647333469246274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3.3575355439254606E-2</v>
      </c>
      <c r="M351" s="832"/>
      <c r="N351" s="832"/>
      <c r="O351" s="48">
        <f>IF(t&lt;Tnet,'2022'!Resal+('2022'!Salim-'2022'!Resal)*(1-EXP(('2022'!Tnet-t)/('2022'!Tau_j))),Resal+(Salim-Resal)*(1-EXP((Tnet-t)/(Tau_j))))*Salcycl</f>
        <v>2.8517813705164863E-2</v>
      </c>
      <c r="P351" s="338">
        <f>(INDEX(Models!$BJ351:$BT351,,T351)*(1-R351)+INDEX(Models!$BJ351:$BT351,,T351+1)*R351-ERP_i)*Q351*Ramure*Pc/MaxiM</f>
        <v>7.3558314832628067E-3</v>
      </c>
      <c r="Q351" s="304">
        <f t="shared" si="130"/>
        <v>0.6</v>
      </c>
      <c r="R351" s="177">
        <f t="shared" si="131"/>
        <v>0.99891624857533501</v>
      </c>
      <c r="S351" s="799">
        <f t="shared" si="132"/>
        <v>0</v>
      </c>
      <c r="T351" s="176">
        <f t="shared" si="133"/>
        <v>6</v>
      </c>
      <c r="U351" s="250">
        <f t="shared" si="134"/>
        <v>0.99891624857533501</v>
      </c>
      <c r="V351" s="382">
        <f t="shared" si="135"/>
        <v>23.953562410285194</v>
      </c>
      <c r="W351" s="400">
        <f t="shared" si="136"/>
        <v>9.7003108795746549</v>
      </c>
      <c r="X351" s="157">
        <f t="shared" si="137"/>
        <v>45263</v>
      </c>
      <c r="Y351" s="383">
        <f t="shared" si="138"/>
        <v>9.4738593468612127</v>
      </c>
      <c r="Z351" s="383">
        <f t="shared" si="139"/>
        <v>9.8029985060730986</v>
      </c>
      <c r="AA351" s="384">
        <f t="shared" si="140"/>
        <v>10.331962355878188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5.1196842534385022E-2</v>
      </c>
      <c r="AD351" s="230">
        <f>(INDEX(Models!$BJ351:$BT351,,AH351)*(1-AF351)+INDEX(Models!$BJ351:$BT351,,AH351+1)*AF351-ERP_i)*AE351*Ramure*Pc/MaxiM</f>
        <v>7.3558314832628067E-3</v>
      </c>
      <c r="AE351" s="304">
        <f t="shared" si="142"/>
        <v>0.6</v>
      </c>
      <c r="AF351" s="177">
        <f t="shared" si="143"/>
        <v>0.99891624857533501</v>
      </c>
      <c r="AG351" s="799">
        <f t="shared" si="149"/>
        <v>0</v>
      </c>
      <c r="AH351" s="176">
        <f t="shared" si="144"/>
        <v>6</v>
      </c>
      <c r="AI351" s="224">
        <f t="shared" si="145"/>
        <v>0.99891624857533501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09">
        <f>'2022'!Wh/'2022'!Env_an*'2023'!Env_an</f>
        <v>17.78812808921635</v>
      </c>
      <c r="C352" s="829"/>
      <c r="D352" s="391">
        <f t="shared" si="127"/>
        <v>18.406472870165352</v>
      </c>
      <c r="E352" s="383">
        <f t="shared" si="125"/>
        <v>18.948261814437522</v>
      </c>
      <c r="F352" s="383">
        <f t="shared" si="128"/>
        <v>19.039153218088529</v>
      </c>
      <c r="G352" s="110">
        <f t="shared" si="126"/>
        <v>0.74578195586974561</v>
      </c>
      <c r="H352" s="412" t="b">
        <f>Wh_hp&gt;='2022'!Maxi_hp</f>
        <v>0</v>
      </c>
      <c r="I352" s="379">
        <f>IF(H352,Wh_hp,'2022'!Maxi_hp)</f>
        <v>19.053523549254066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3.359387674709069E-2</v>
      </c>
      <c r="M352" s="832"/>
      <c r="N352" s="832"/>
      <c r="O352" s="48">
        <f>IF(t&lt;Tnet,'2022'!Resal+('2022'!Salim-'2022'!Resal)*(1-EXP(('2022'!Tnet-t)/('2022'!Tau_j))),Resal+(Salim-Resal)*(1-EXP((Tnet-t)/(Tau_j))))*Salcycl</f>
        <v>2.8593068302410495E-2</v>
      </c>
      <c r="P352" s="338">
        <f>(INDEX(Models!$BJ352:$BT352,,T352)*(1-R352)+INDEX(Models!$BJ352:$BT352,,T352+1)*R352-ERP_i)*Q352*Ramure*Pc/MaxiM</f>
        <v>7.462546273046545E-3</v>
      </c>
      <c r="Q352" s="304">
        <f t="shared" si="130"/>
        <v>0.6</v>
      </c>
      <c r="R352" s="177">
        <f t="shared" si="131"/>
        <v>0.99893079679697006</v>
      </c>
      <c r="S352" s="799">
        <f t="shared" si="132"/>
        <v>0</v>
      </c>
      <c r="T352" s="176">
        <f t="shared" si="133"/>
        <v>6</v>
      </c>
      <c r="U352" s="250">
        <f t="shared" si="134"/>
        <v>0.99893079679697006</v>
      </c>
      <c r="V352" s="382">
        <f t="shared" si="135"/>
        <v>23.787211421346981</v>
      </c>
      <c r="W352" s="400">
        <f t="shared" si="136"/>
        <v>17.78812808921635</v>
      </c>
      <c r="X352" s="157">
        <f t="shared" si="137"/>
        <v>45264</v>
      </c>
      <c r="Y352" s="383">
        <f t="shared" si="138"/>
        <v>17.373392420639863</v>
      </c>
      <c r="Z352" s="383">
        <f t="shared" si="139"/>
        <v>17.977320303146747</v>
      </c>
      <c r="AA352" s="384">
        <f t="shared" si="140"/>
        <v>18.948261814437522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5.1241719203551042E-2</v>
      </c>
      <c r="AD352" s="230">
        <f>(INDEX(Models!$BJ352:$BT352,,AH352)*(1-AF352)+INDEX(Models!$BJ352:$BT352,,AH352+1)*AF352-ERP_i)*AE352*Ramure*Pc/MaxiM</f>
        <v>7.462546273046545E-3</v>
      </c>
      <c r="AE352" s="304">
        <f t="shared" si="142"/>
        <v>0.6</v>
      </c>
      <c r="AF352" s="177">
        <f t="shared" si="143"/>
        <v>0.99893079679697006</v>
      </c>
      <c r="AG352" s="799">
        <f t="shared" si="149"/>
        <v>0</v>
      </c>
      <c r="AH352" s="176">
        <f t="shared" si="144"/>
        <v>6</v>
      </c>
      <c r="AI352" s="224">
        <f t="shared" si="145"/>
        <v>0.99893079679697006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09">
        <f>'2022'!Wh/'2022'!Env_an*'2023'!Env_an</f>
        <v>23.580351721997197</v>
      </c>
      <c r="C353" s="829"/>
      <c r="D353" s="391">
        <f t="shared" si="127"/>
        <v>24.4005114157873</v>
      </c>
      <c r="E353" s="383">
        <f t="shared" si="125"/>
        <v>25.120688133889143</v>
      </c>
      <c r="F353" s="383">
        <f t="shared" si="128"/>
        <v>25.311650327540306</v>
      </c>
      <c r="G353" s="110">
        <f t="shared" si="126"/>
        <v>0.99790914285185339</v>
      </c>
      <c r="H353" s="412" t="b">
        <f>Wh_hp&gt;='2022'!Maxi_hp</f>
        <v>0</v>
      </c>
      <c r="I353" s="379">
        <f>IF(H353,Wh_hp,'2022'!Maxi_hp)</f>
        <v>25.311808746595222</v>
      </c>
      <c r="J353" s="85">
        <f>IF(H353,An,'2022'!An_max)</f>
        <v>2022</v>
      </c>
      <c r="K353" s="197">
        <f t="shared" si="129"/>
        <v>45265</v>
      </c>
      <c r="L353" s="147">
        <f>IF(t&lt;Tvie,1-EXP((T0-t)*PertePVj)+'2022'!Pspv,1-EXP((T0-t)*PertePVj)+Pspv)</f>
        <v>3.3612397699970153E-2</v>
      </c>
      <c r="M353" s="832"/>
      <c r="N353" s="832"/>
      <c r="O353" s="48">
        <f>IF(t&lt;Tnet,'2022'!Resal+('2022'!Salim-'2022'!Resal)*(1-EXP(('2022'!Tnet-t)/('2022'!Tau_j))),Resal+(Salim-Resal)*(1-EXP((Tnet-t)/(Tau_j))))*Salcycl</f>
        <v>2.8668669992773253E-2</v>
      </c>
      <c r="P353" s="338">
        <f>(INDEX(Models!$BJ353:$BT353,,T353)*(1-R353)+INDEX(Models!$BJ353:$BT353,,T353+1)*R353-ERP_i)*Q353*Ramure*Pc/MaxiM</f>
        <v>7.5667972118626673E-3</v>
      </c>
      <c r="Q353" s="304">
        <f t="shared" si="130"/>
        <v>0.6</v>
      </c>
      <c r="R353" s="177">
        <f t="shared" si="131"/>
        <v>0.99894476006033894</v>
      </c>
      <c r="S353" s="799">
        <f t="shared" si="132"/>
        <v>0</v>
      </c>
      <c r="T353" s="176">
        <f t="shared" si="133"/>
        <v>6</v>
      </c>
      <c r="U353" s="250">
        <f t="shared" si="134"/>
        <v>0.99894476006033894</v>
      </c>
      <c r="V353" s="382">
        <f t="shared" si="135"/>
        <v>23.629225827721406</v>
      </c>
      <c r="W353" s="400">
        <f t="shared" si="136"/>
        <v>23.580351721997197</v>
      </c>
      <c r="X353" s="157">
        <f t="shared" si="137"/>
        <v>45265</v>
      </c>
      <c r="Y353" s="383">
        <f t="shared" si="138"/>
        <v>23.03125300741635</v>
      </c>
      <c r="Z353" s="383">
        <f t="shared" si="139"/>
        <v>23.832314231475358</v>
      </c>
      <c r="AA353" s="384">
        <f t="shared" si="140"/>
        <v>25.120688133889143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5.128736504139382E-2</v>
      </c>
      <c r="AD353" s="230">
        <f>(INDEX(Models!$BJ353:$BT353,,AH353)*(1-AF353)+INDEX(Models!$BJ353:$BT353,,AH353+1)*AF353-ERP_i)*AE353*Ramure*Pc/MaxiM</f>
        <v>7.5667972118626673E-3</v>
      </c>
      <c r="AE353" s="304">
        <f t="shared" si="142"/>
        <v>0.6</v>
      </c>
      <c r="AF353" s="177">
        <f t="shared" si="143"/>
        <v>0.99894476006033894</v>
      </c>
      <c r="AG353" s="799">
        <f t="shared" si="149"/>
        <v>0</v>
      </c>
      <c r="AH353" s="176">
        <f t="shared" si="144"/>
        <v>6</v>
      </c>
      <c r="AI353" s="224">
        <f t="shared" si="145"/>
        <v>0.99894476006033894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09">
        <f>'2022'!Wh/'2022'!Env_an*'2023'!Env_an</f>
        <v>11.591103378468004</v>
      </c>
      <c r="C354" s="829"/>
      <c r="D354" s="391">
        <f t="shared" si="127"/>
        <v>11.99448906007235</v>
      </c>
      <c r="E354" s="383">
        <f t="shared" si="125"/>
        <v>12.349469781378378</v>
      </c>
      <c r="F354" s="383">
        <f t="shared" si="128"/>
        <v>12.375724002710346</v>
      </c>
      <c r="G354" s="110">
        <f t="shared" si="126"/>
        <v>0.49090989687069303</v>
      </c>
      <c r="H354" s="412" t="b">
        <f>Wh_hp&gt;='2022'!Maxi_hp</f>
        <v>0</v>
      </c>
      <c r="I354" s="379">
        <f>IF(H354,Wh_hp,'2022'!Maxi_hp)</f>
        <v>18.881092862283797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3.363091829789977E-2</v>
      </c>
      <c r="M354" s="832"/>
      <c r="N354" s="832"/>
      <c r="O354" s="48">
        <f>IF(t&lt;Tnet,'2022'!Resal+('2022'!Salim-'2022'!Resal)*(1-EXP(('2022'!Tnet-t)/('2022'!Tau_j))),Resal+(Salim-Resal)*(1-EXP((Tnet-t)/(Tau_j))))*Salcycl</f>
        <v>2.874461232670078E-2</v>
      </c>
      <c r="P354" s="338">
        <f>(INDEX(Models!$BJ354:$BT354,,T354)*(1-R354)+INDEX(Models!$BJ354:$BT354,,T354+1)*R354-ERP_i)*Q354*Ramure*Pc/MaxiM</f>
        <v>7.6683191407423213E-3</v>
      </c>
      <c r="Q354" s="304">
        <f t="shared" si="130"/>
        <v>0.6</v>
      </c>
      <c r="R354" s="177">
        <f t="shared" si="131"/>
        <v>0.99895816185486197</v>
      </c>
      <c r="S354" s="799">
        <f t="shared" si="132"/>
        <v>0</v>
      </c>
      <c r="T354" s="176">
        <f t="shared" si="133"/>
        <v>6</v>
      </c>
      <c r="U354" s="250">
        <f t="shared" si="134"/>
        <v>0.99895816185486197</v>
      </c>
      <c r="V354" s="382">
        <f t="shared" si="135"/>
        <v>23.480219465889824</v>
      </c>
      <c r="W354" s="400">
        <f t="shared" si="136"/>
        <v>11.591103378468004</v>
      </c>
      <c r="X354" s="157">
        <f t="shared" si="137"/>
        <v>45266</v>
      </c>
      <c r="Y354" s="383">
        <f t="shared" si="138"/>
        <v>11.321521151798542</v>
      </c>
      <c r="Z354" s="383">
        <f t="shared" si="139"/>
        <v>11.715525016443557</v>
      </c>
      <c r="AA354" s="384">
        <f t="shared" si="140"/>
        <v>12.349469781378378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5.1333763809903753E-2</v>
      </c>
      <c r="AD354" s="230">
        <f>(INDEX(Models!$BJ354:$BT354,,AH354)*(1-AF354)+INDEX(Models!$BJ354:$BT354,,AH354+1)*AF354-ERP_i)*AE354*Ramure*Pc/MaxiM</f>
        <v>7.6683191407423213E-3</v>
      </c>
      <c r="AE354" s="304">
        <f t="shared" si="142"/>
        <v>0.6</v>
      </c>
      <c r="AF354" s="177">
        <f t="shared" si="143"/>
        <v>0.99895816185486197</v>
      </c>
      <c r="AG354" s="799">
        <f t="shared" si="149"/>
        <v>0</v>
      </c>
      <c r="AH354" s="176">
        <f t="shared" si="144"/>
        <v>6</v>
      </c>
      <c r="AI354" s="224">
        <f t="shared" si="145"/>
        <v>0.99895816185486197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09">
        <f>'2022'!Wh/'2022'!Env_an*'2023'!Env_an</f>
        <v>20.885621967454863</v>
      </c>
      <c r="C355" s="829"/>
      <c r="D355" s="391">
        <f t="shared" si="127"/>
        <v>21.612883357690826</v>
      </c>
      <c r="E355" s="383">
        <f t="shared" si="125"/>
        <v>22.254271204166997</v>
      </c>
      <c r="F355" s="383">
        <f t="shared" si="128"/>
        <v>22.40211863917262</v>
      </c>
      <c r="G355" s="110">
        <f t="shared" si="126"/>
        <v>0.89376021855195786</v>
      </c>
      <c r="H355" s="412" t="b">
        <f>Wh_hp&gt;='2022'!Maxi_hp</f>
        <v>0</v>
      </c>
      <c r="I355" s="379">
        <f>IF(H355,Wh_hp,'2022'!Maxi_hp)</f>
        <v>22.409348727529608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3.3649438540886423E-2</v>
      </c>
      <c r="M355" s="832"/>
      <c r="N355" s="832"/>
      <c r="O355" s="48">
        <f>IF(t&lt;Tnet,'2022'!Resal+('2022'!Salim-'2022'!Resal)*(1-EXP(('2022'!Tnet-t)/('2022'!Tau_j))),Resal+(Salim-Resal)*(1-EXP((Tnet-t)/(Tau_j))))*Salcycl</f>
        <v>2.8820887486806342E-2</v>
      </c>
      <c r="P355" s="338">
        <f>(INDEX(Models!$BJ355:$BT355,,T355)*(1-R355)+INDEX(Models!$BJ355:$BT355,,T355+1)*R355-ERP_i)*Q355*Ramure*Pc/MaxiM</f>
        <v>7.7668225294427323E-3</v>
      </c>
      <c r="Q355" s="304">
        <f t="shared" si="130"/>
        <v>0.6</v>
      </c>
      <c r="R355" s="177">
        <f t="shared" si="131"/>
        <v>0.99897102472914701</v>
      </c>
      <c r="S355" s="799">
        <f t="shared" si="132"/>
        <v>0</v>
      </c>
      <c r="T355" s="176">
        <f t="shared" si="133"/>
        <v>6</v>
      </c>
      <c r="U355" s="250">
        <f t="shared" si="134"/>
        <v>0.99897102472914701</v>
      </c>
      <c r="V355" s="382">
        <f t="shared" si="135"/>
        <v>23.340806261813412</v>
      </c>
      <c r="W355" s="400">
        <f t="shared" si="136"/>
        <v>20.885621967454863</v>
      </c>
      <c r="X355" s="157">
        <f t="shared" si="137"/>
        <v>45267</v>
      </c>
      <c r="Y355" s="383">
        <f t="shared" si="138"/>
        <v>20.40045931957907</v>
      </c>
      <c r="Z355" s="383">
        <f t="shared" si="139"/>
        <v>21.110826788133672</v>
      </c>
      <c r="AA355" s="384">
        <f t="shared" si="140"/>
        <v>22.254271204166997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5.1380896976721505E-2</v>
      </c>
      <c r="AD355" s="230">
        <f>(INDEX(Models!$BJ355:$BT355,,AH355)*(1-AF355)+INDEX(Models!$BJ355:$BT355,,AH355+1)*AF355-ERP_i)*AE355*Ramure*Pc/MaxiM</f>
        <v>7.7668225294427323E-3</v>
      </c>
      <c r="AE355" s="304">
        <f t="shared" si="142"/>
        <v>0.6</v>
      </c>
      <c r="AF355" s="177">
        <f t="shared" si="143"/>
        <v>0.99897102472914701</v>
      </c>
      <c r="AG355" s="799">
        <f t="shared" si="149"/>
        <v>0</v>
      </c>
      <c r="AH355" s="176">
        <f t="shared" si="144"/>
        <v>6</v>
      </c>
      <c r="AI355" s="224">
        <f t="shared" si="145"/>
        <v>0.99897102472914701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09">
        <f>'2022'!Wh/'2022'!Env_an*'2023'!Env_an</f>
        <v>4.1944341306603272</v>
      </c>
      <c r="C356" s="829"/>
      <c r="D356" s="391">
        <f t="shared" si="127"/>
        <v>4.3405723397529217</v>
      </c>
      <c r="E356" s="383">
        <f t="shared" si="125"/>
        <v>4.4697364890479072</v>
      </c>
      <c r="F356" s="383">
        <f t="shared" si="128"/>
        <v>4.4697364890479072</v>
      </c>
      <c r="G356" s="110">
        <f t="shared" si="126"/>
        <v>0.17928352522629559</v>
      </c>
      <c r="H356" s="412" t="b">
        <f>Wh_hp&gt;='2022'!Maxi_hp</f>
        <v>0</v>
      </c>
      <c r="I356" s="379">
        <f>IF(H356,Wh_hp,'2022'!Maxi_hp)</f>
        <v>17.076709643331426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3.3667958428936773E-2</v>
      </c>
      <c r="M356" s="832"/>
      <c r="N356" s="832"/>
      <c r="O356" s="48">
        <f>IF(t&lt;Tnet,'2022'!Resal+('2022'!Salim-'2022'!Resal)*(1-EXP(('2022'!Tnet-t)/('2022'!Tau_j))),Resal+(Salim-Resal)*(1-EXP((Tnet-t)/(Tau_j))))*Salcycl</f>
        <v>2.8897486375645133E-2</v>
      </c>
      <c r="P356" s="338">
        <f>(INDEX(Models!$BJ356:$BT356,,T356)*(1-R356)+INDEX(Models!$BJ356:$BT356,,T356+1)*R356-ERP_i)*Q356*Ramure*Pc/MaxiM</f>
        <v>7.8619949555705504E-3</v>
      </c>
      <c r="Q356" s="304">
        <f t="shared" si="130"/>
        <v>0.6</v>
      </c>
      <c r="R356" s="177">
        <f t="shared" si="131"/>
        <v>0.99898337032848095</v>
      </c>
      <c r="S356" s="799">
        <f t="shared" si="132"/>
        <v>0</v>
      </c>
      <c r="T356" s="176">
        <f t="shared" si="133"/>
        <v>6</v>
      </c>
      <c r="U356" s="250">
        <f t="shared" si="134"/>
        <v>0.99898337032848095</v>
      </c>
      <c r="V356" s="382">
        <f t="shared" si="135"/>
        <v>23.211600203816381</v>
      </c>
      <c r="W356" s="400">
        <f t="shared" si="136"/>
        <v>4.1944341306603272</v>
      </c>
      <c r="X356" s="157">
        <f t="shared" si="137"/>
        <v>45268</v>
      </c>
      <c r="Y356" s="383">
        <f t="shared" si="138"/>
        <v>4.0971160059530138</v>
      </c>
      <c r="Z356" s="383">
        <f t="shared" si="139"/>
        <v>4.2398635558973288</v>
      </c>
      <c r="AA356" s="384">
        <f t="shared" si="140"/>
        <v>4.4697364890479072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5.1428743889898515E-2</v>
      </c>
      <c r="AD356" s="230">
        <f>(INDEX(Models!$BJ356:$BT356,,AH356)*(1-AF356)+INDEX(Models!$BJ356:$BT356,,AH356+1)*AF356-ERP_i)*AE356*Ramure*Pc/MaxiM</f>
        <v>7.8619949555705504E-3</v>
      </c>
      <c r="AE356" s="304">
        <f t="shared" si="142"/>
        <v>0.6</v>
      </c>
      <c r="AF356" s="177">
        <f t="shared" si="143"/>
        <v>0.99898337032848095</v>
      </c>
      <c r="AG356" s="799">
        <f t="shared" si="149"/>
        <v>0</v>
      </c>
      <c r="AH356" s="176">
        <f t="shared" si="144"/>
        <v>6</v>
      </c>
      <c r="AI356" s="224">
        <f t="shared" si="145"/>
        <v>0.99898337032848095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09">
        <f>'2022'!Wh/'2022'!Env_an*'2023'!Env_an</f>
        <v>5.1188486118137551</v>
      </c>
      <c r="C357" s="829"/>
      <c r="D357" s="391">
        <f t="shared" si="127"/>
        <v>5.297295851783355</v>
      </c>
      <c r="E357" s="383">
        <f t="shared" si="125"/>
        <v>5.4553616760944621</v>
      </c>
      <c r="F357" s="383">
        <f t="shared" si="128"/>
        <v>5.4553616760944621</v>
      </c>
      <c r="G357" s="110">
        <f t="shared" si="126"/>
        <v>0.21989730586786102</v>
      </c>
      <c r="H357" s="412" t="b">
        <f>Wh_hp&gt;='2022'!Maxi_hp</f>
        <v>0</v>
      </c>
      <c r="I357" s="379">
        <f>IF(H357,Wh_hp,'2022'!Maxi_hp)</f>
        <v>11.827516861952027</v>
      </c>
      <c r="J357" s="85">
        <f>IF(H357,An,'2022'!An_max)</f>
        <v>2018</v>
      </c>
      <c r="K357" s="197">
        <f t="shared" si="129"/>
        <v>45269</v>
      </c>
      <c r="L357" s="147">
        <f>IF(t&lt;Tvie,1-EXP((T0-t)*PertePVj)+'2022'!Pspv,1-EXP((T0-t)*PertePVj)+Pspv)</f>
        <v>3.3686477962057704E-2</v>
      </c>
      <c r="M357" s="832"/>
      <c r="N357" s="832"/>
      <c r="O357" s="48">
        <f>IF(t&lt;Tnet,'2022'!Resal+('2022'!Salim-'2022'!Resal)*(1-EXP(('2022'!Tnet-t)/('2022'!Tau_j))),Resal+(Salim-Resal)*(1-EXP((Tnet-t)/(Tau_j))))*Salcycl</f>
        <v>2.897439871012681E-2</v>
      </c>
      <c r="P357" s="338">
        <f>(INDEX(Models!$BJ357:$BT357,,T357)*(1-R357)+INDEX(Models!$BJ357:$BT357,,T357+1)*R357-ERP_i)*Q357*Ramure*Pc/MaxiM</f>
        <v>7.9535030276442487E-3</v>
      </c>
      <c r="Q357" s="304">
        <f t="shared" si="130"/>
        <v>0.6</v>
      </c>
      <c r="R357" s="177">
        <f t="shared" si="131"/>
        <v>0.99899521943084113</v>
      </c>
      <c r="S357" s="799">
        <f t="shared" si="132"/>
        <v>0</v>
      </c>
      <c r="T357" s="176">
        <f t="shared" si="133"/>
        <v>6</v>
      </c>
      <c r="U357" s="250">
        <f t="shared" si="134"/>
        <v>0.99899521943084113</v>
      </c>
      <c r="V357" s="382">
        <f t="shared" si="135"/>
        <v>23.093215325399012</v>
      </c>
      <c r="W357" s="400">
        <f t="shared" si="136"/>
        <v>5.1188486118137551</v>
      </c>
      <c r="X357" s="157">
        <f t="shared" si="137"/>
        <v>45269</v>
      </c>
      <c r="Y357" s="383">
        <f t="shared" si="138"/>
        <v>5.0002226429978798</v>
      </c>
      <c r="Z357" s="383">
        <f t="shared" si="139"/>
        <v>5.174534484886931</v>
      </c>
      <c r="AA357" s="384">
        <f t="shared" si="140"/>
        <v>5.4553616760944621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5.1477281962463352E-2</v>
      </c>
      <c r="AD357" s="230">
        <f>(INDEX(Models!$BJ357:$BT357,,AH357)*(1-AF357)+INDEX(Models!$BJ357:$BT357,,AH357+1)*AF357-ERP_i)*AE357*Ramure*Pc/MaxiM</f>
        <v>7.9535030276442487E-3</v>
      </c>
      <c r="AE357" s="304">
        <f t="shared" si="142"/>
        <v>0.6</v>
      </c>
      <c r="AF357" s="177">
        <f t="shared" si="143"/>
        <v>0.99899521943084113</v>
      </c>
      <c r="AG357" s="799">
        <f t="shared" si="149"/>
        <v>0</v>
      </c>
      <c r="AH357" s="176">
        <f t="shared" si="144"/>
        <v>6</v>
      </c>
      <c r="AI357" s="224">
        <f t="shared" si="145"/>
        <v>0.99899521943084113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09">
        <f>'2022'!Wh/'2022'!Env_an*'2023'!Env_an</f>
        <v>12.3910188948742</v>
      </c>
      <c r="C358" s="829"/>
      <c r="D358" s="391">
        <f t="shared" si="127"/>
        <v>12.82322567973865</v>
      </c>
      <c r="E358" s="383">
        <f t="shared" si="125"/>
        <v>13.206907651360682</v>
      </c>
      <c r="F358" s="383">
        <f t="shared" si="128"/>
        <v>13.24327548460403</v>
      </c>
      <c r="G358" s="110">
        <f t="shared" si="126"/>
        <v>0.53619973293596568</v>
      </c>
      <c r="H358" s="412" t="b">
        <f>Wh_hp&gt;='2022'!Maxi_hp</f>
        <v>0</v>
      </c>
      <c r="I358" s="379">
        <f>IF(H358,Wh_hp,'2022'!Maxi_hp)</f>
        <v>21.581579026303849</v>
      </c>
      <c r="J358" s="85">
        <f>IF(H358,An,'2022'!An_max)</f>
        <v>2018</v>
      </c>
      <c r="K358" s="197">
        <f t="shared" si="129"/>
        <v>45270</v>
      </c>
      <c r="L358" s="147">
        <f>IF(t&lt;Tvie,1-EXP((T0-t)*PertePVj)+'2022'!Pspv,1-EXP((T0-t)*PertePVj)+Pspv)</f>
        <v>3.3704997140256099E-2</v>
      </c>
      <c r="M358" s="832"/>
      <c r="N358" s="832"/>
      <c r="O358" s="48">
        <f>IF(t&lt;Tnet,'2022'!Resal+('2022'!Salim-'2022'!Resal)*(1-EXP(('2022'!Tnet-t)/('2022'!Tau_j))),Resal+(Salim-Resal)*(1-EXP((Tnet-t)/(Tau_j))))*Salcycl</f>
        <v>2.9051613121751665E-2</v>
      </c>
      <c r="P358" s="338">
        <f>(INDEX(Models!$BJ358:$BT358,,T358)*(1-R358)+INDEX(Models!$BJ358:$BT358,,T358+1)*R358-ERP_i)*Q358*Ramure*Pc/MaxiM</f>
        <v>8.0409947638400165E-3</v>
      </c>
      <c r="Q358" s="304">
        <f t="shared" si="130"/>
        <v>0.6</v>
      </c>
      <c r="R358" s="177">
        <f t="shared" si="131"/>
        <v>0.99900659198148567</v>
      </c>
      <c r="S358" s="799">
        <f t="shared" si="132"/>
        <v>0</v>
      </c>
      <c r="T358" s="176">
        <f t="shared" si="133"/>
        <v>6</v>
      </c>
      <c r="U358" s="250">
        <f t="shared" si="134"/>
        <v>0.99900659198148567</v>
      </c>
      <c r="V358" s="382">
        <f t="shared" si="135"/>
        <v>22.986265703074892</v>
      </c>
      <c r="W358" s="400">
        <f t="shared" si="136"/>
        <v>12.3910188948742</v>
      </c>
      <c r="X358" s="157">
        <f t="shared" si="137"/>
        <v>45270</v>
      </c>
      <c r="Y358" s="383">
        <f t="shared" si="138"/>
        <v>12.104199750850395</v>
      </c>
      <c r="Z358" s="383">
        <f t="shared" si="139"/>
        <v>12.526402097732156</v>
      </c>
      <c r="AA358" s="384">
        <f t="shared" si="140"/>
        <v>13.206907651360682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5.1526486865259152E-2</v>
      </c>
      <c r="AD358" s="230">
        <f>(INDEX(Models!$BJ358:$BT358,,AH358)*(1-AF358)+INDEX(Models!$BJ358:$BT358,,AH358+1)*AF358-ERP_i)*AE358*Ramure*Pc/MaxiM</f>
        <v>8.0409947638400165E-3</v>
      </c>
      <c r="AE358" s="304">
        <f t="shared" si="142"/>
        <v>0.6</v>
      </c>
      <c r="AF358" s="177">
        <f t="shared" si="143"/>
        <v>0.99900659198148567</v>
      </c>
      <c r="AG358" s="799">
        <f t="shared" si="149"/>
        <v>0</v>
      </c>
      <c r="AH358" s="176">
        <f t="shared" si="144"/>
        <v>6</v>
      </c>
      <c r="AI358" s="224">
        <f t="shared" si="145"/>
        <v>0.99900659198148567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09">
        <f>'2022'!Wh/'2022'!Env_an*'2023'!Env_an</f>
        <v>17.72901856976268</v>
      </c>
      <c r="C359" s="829"/>
      <c r="D359" s="391">
        <f t="shared" si="127"/>
        <v>18.347769880213388</v>
      </c>
      <c r="E359" s="383">
        <f t="shared" si="125"/>
        <v>18.898259497150104</v>
      </c>
      <c r="F359" s="383">
        <f t="shared" si="128"/>
        <v>19.002936242755062</v>
      </c>
      <c r="G359" s="110">
        <f t="shared" si="126"/>
        <v>0.77253516380777887</v>
      </c>
      <c r="H359" s="412" t="b">
        <f>Wh_hp&gt;='2022'!Maxi_hp</f>
        <v>0</v>
      </c>
      <c r="I359" s="379">
        <f>IF(H359,Wh_hp,'2022'!Maxi_hp)</f>
        <v>19.016268227893452</v>
      </c>
      <c r="J359" s="85">
        <f>IF(H359,An,'2022'!An_max)</f>
        <v>2022</v>
      </c>
      <c r="K359" s="197">
        <f t="shared" si="129"/>
        <v>45271</v>
      </c>
      <c r="L359" s="147">
        <f>IF(t&lt;Tvie,1-EXP((T0-t)*PertePVj)+'2022'!Pspv,1-EXP((T0-t)*PertePVj)+Pspv)</f>
        <v>3.3723515963538508E-2</v>
      </c>
      <c r="M359" s="832"/>
      <c r="N359" s="832"/>
      <c r="O359" s="48">
        <f>IF(t&lt;Tnet,'2022'!Resal+('2022'!Salim-'2022'!Resal)*(1-EXP(('2022'!Tnet-t)/('2022'!Tau_j))),Resal+(Salim-Resal)*(1-EXP((Tnet-t)/(Tau_j))))*Salcycl</f>
        <v>2.9129117261816183E-2</v>
      </c>
      <c r="P359" s="338">
        <f>(INDEX(Models!$BJ359:$BT359,,T359)*(1-R359)+INDEX(Models!$BJ359:$BT359,,T359+1)*R359-ERP_i)*Q359*Ramure*Pc/MaxiM</f>
        <v>8.1250194813453948E-3</v>
      </c>
      <c r="Q359" s="304">
        <f t="shared" si="130"/>
        <v>0.6</v>
      </c>
      <c r="R359" s="177">
        <f t="shared" si="131"/>
        <v>0.99901750712617687</v>
      </c>
      <c r="S359" s="799">
        <f t="shared" si="132"/>
        <v>0</v>
      </c>
      <c r="T359" s="176">
        <f t="shared" si="133"/>
        <v>6</v>
      </c>
      <c r="U359" s="250">
        <f t="shared" si="134"/>
        <v>0.99901750712617687</v>
      </c>
      <c r="V359" s="382">
        <f t="shared" si="135"/>
        <v>22.888760617365556</v>
      </c>
      <c r="W359" s="400">
        <f t="shared" si="136"/>
        <v>17.72901856976268</v>
      </c>
      <c r="X359" s="157">
        <f t="shared" si="137"/>
        <v>45271</v>
      </c>
      <c r="Y359" s="383">
        <f t="shared" si="138"/>
        <v>17.319111231013547</v>
      </c>
      <c r="Z359" s="383">
        <f t="shared" si="139"/>
        <v>17.923556577374004</v>
      </c>
      <c r="AA359" s="384">
        <f t="shared" si="140"/>
        <v>18.898259497150104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5.1576332726465404E-2</v>
      </c>
      <c r="AD359" s="230">
        <f>(INDEX(Models!$BJ359:$BT359,,AH359)*(1-AF359)+INDEX(Models!$BJ359:$BT359,,AH359+1)*AF359-ERP_i)*AE359*Ramure*Pc/MaxiM</f>
        <v>8.1250194813453948E-3</v>
      </c>
      <c r="AE359" s="304">
        <f t="shared" si="142"/>
        <v>0.6</v>
      </c>
      <c r="AF359" s="177">
        <f t="shared" si="143"/>
        <v>0.99901750712617687</v>
      </c>
      <c r="AG359" s="799">
        <f t="shared" si="149"/>
        <v>0</v>
      </c>
      <c r="AH359" s="176">
        <f t="shared" si="144"/>
        <v>6</v>
      </c>
      <c r="AI359" s="224">
        <f t="shared" si="145"/>
        <v>0.99901750712617687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09">
        <f>'2022'!Wh/'2022'!Env_an*'2023'!Env_an</f>
        <v>5.4182028433092055</v>
      </c>
      <c r="C360" s="829"/>
      <c r="D360" s="391">
        <f t="shared" si="127"/>
        <v>5.607408204002442</v>
      </c>
      <c r="E360" s="383">
        <f t="shared" si="125"/>
        <v>5.7761104729055219</v>
      </c>
      <c r="F360" s="383">
        <f t="shared" si="128"/>
        <v>5.7761104729055219</v>
      </c>
      <c r="G360" s="110">
        <f t="shared" si="126"/>
        <v>0.23570456953734412</v>
      </c>
      <c r="H360" s="412" t="b">
        <f>Wh_hp&gt;='2022'!Maxi_hp</f>
        <v>0</v>
      </c>
      <c r="I360" s="379">
        <f>IF(H360,Wh_hp,'2022'!Maxi_hp)</f>
        <v>23.902821263615333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3.3742034431912038E-2</v>
      </c>
      <c r="M360" s="832"/>
      <c r="N360" s="832"/>
      <c r="O360" s="48">
        <f>IF(t&lt;Tnet,'2022'!Resal+('2022'!Salim-'2022'!Resal)*(1-EXP(('2022'!Tnet-t)/('2022'!Tau_j))),Resal+(Salim-Resal)*(1-EXP((Tnet-t)/(Tau_j))))*Salcycl</f>
        <v>2.9206897910700653E-2</v>
      </c>
      <c r="P360" s="338">
        <f>(INDEX(Models!$BJ360:$BT360,,T360)*(1-R360)+INDEX(Models!$BJ360:$BT360,,T360+1)*R360-ERP_i)*Q360*Ramure*Pc/MaxiM</f>
        <v>8.206193988398728E-3</v>
      </c>
      <c r="Q360" s="304">
        <f t="shared" si="130"/>
        <v>0.6</v>
      </c>
      <c r="R360" s="177">
        <f t="shared" si="131"/>
        <v>0.99902798324309172</v>
      </c>
      <c r="S360" s="799">
        <f t="shared" si="132"/>
        <v>0</v>
      </c>
      <c r="T360" s="176">
        <f t="shared" si="133"/>
        <v>6</v>
      </c>
      <c r="U360" s="250">
        <f t="shared" si="134"/>
        <v>0.99902798324309172</v>
      </c>
      <c r="V360" s="382">
        <f t="shared" si="135"/>
        <v>22.798624694703346</v>
      </c>
      <c r="W360" s="400">
        <f t="shared" si="136"/>
        <v>5.4182028433092055</v>
      </c>
      <c r="X360" s="157">
        <f t="shared" si="137"/>
        <v>45272</v>
      </c>
      <c r="Y360" s="383">
        <f t="shared" si="138"/>
        <v>5.2930726425883732</v>
      </c>
      <c r="Z360" s="383">
        <f t="shared" si="139"/>
        <v>5.477908417009985</v>
      </c>
      <c r="AA360" s="384">
        <f t="shared" si="140"/>
        <v>5.7761104729055219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5.1626792336181587E-2</v>
      </c>
      <c r="AD360" s="230">
        <f>(INDEX(Models!$BJ360:$BT360,,AH360)*(1-AF360)+INDEX(Models!$BJ360:$BT360,,AH360+1)*AF360-ERP_i)*AE360*Ramure*Pc/MaxiM</f>
        <v>8.206193988398728E-3</v>
      </c>
      <c r="AE360" s="304">
        <f t="shared" si="142"/>
        <v>0.6</v>
      </c>
      <c r="AF360" s="177">
        <f t="shared" si="143"/>
        <v>0.99902798324309172</v>
      </c>
      <c r="AG360" s="799">
        <f t="shared" si="149"/>
        <v>0</v>
      </c>
      <c r="AH360" s="176">
        <f t="shared" si="144"/>
        <v>6</v>
      </c>
      <c r="AI360" s="224">
        <f t="shared" si="145"/>
        <v>0.99902798324309172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09">
        <f>'2022'!Wh/'2022'!Env_an*'2023'!Env_an</f>
        <v>5.4853727982365372</v>
      </c>
      <c r="C361" s="829"/>
      <c r="D361" s="391">
        <f t="shared" si="127"/>
        <v>5.6770325540804203</v>
      </c>
      <c r="E361" s="383">
        <f t="shared" ref="E361:E379" si="150">Wh_pvt/(1-Psa)</f>
        <v>5.8482996652560155</v>
      </c>
      <c r="F361" s="383">
        <f t="shared" si="128"/>
        <v>5.8482996652560155</v>
      </c>
      <c r="G361" s="110">
        <f t="shared" ref="G361:G379" si="151">+Wh_hp/MaxiM</f>
        <v>0.2394720900313114</v>
      </c>
      <c r="H361" s="412" t="b">
        <f>Wh_hp&gt;='2022'!Maxi_hp</f>
        <v>0</v>
      </c>
      <c r="I361" s="379">
        <f>IF(H361,Wh_hp,'2022'!Maxi_hp)</f>
        <v>25.0294040728553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3.3760552545383238E-2</v>
      </c>
      <c r="M361" s="832"/>
      <c r="N361" s="832"/>
      <c r="O361" s="48">
        <f>IF(t&lt;Tnet,'2022'!Resal+('2022'!Salim-'2022'!Resal)*(1-EXP(('2022'!Tnet-t)/('2022'!Tau_j))),Resal+(Salim-Resal)*(1-EXP((Tnet-t)/(Tau_j))))*Salcycl</f>
        <v>2.9284941090326002E-2</v>
      </c>
      <c r="P361" s="338">
        <f>(INDEX(Models!$BJ361:$BT361,,T361)*(1-R361)+INDEX(Models!$BJ361:$BT361,,T361+1)*R361-ERP_i)*Q361*Ramure*Pc/MaxiM</f>
        <v>8.2777208851040601E-3</v>
      </c>
      <c r="Q361" s="304">
        <f t="shared" si="130"/>
        <v>0.6</v>
      </c>
      <c r="R361" s="177">
        <f t="shared" si="131"/>
        <v>0.99903803797346757</v>
      </c>
      <c r="S361" s="799">
        <f t="shared" si="132"/>
        <v>0</v>
      </c>
      <c r="T361" s="176">
        <f t="shared" si="133"/>
        <v>6</v>
      </c>
      <c r="U361" s="250">
        <f t="shared" si="134"/>
        <v>0.99903803797346757</v>
      </c>
      <c r="V361" s="382">
        <f t="shared" si="135"/>
        <v>22.716494488149777</v>
      </c>
      <c r="W361" s="400">
        <f t="shared" si="136"/>
        <v>5.4853727982365372</v>
      </c>
      <c r="X361" s="157">
        <f t="shared" si="137"/>
        <v>45273</v>
      </c>
      <c r="Y361" s="383">
        <f t="shared" si="138"/>
        <v>5.3588337248870381</v>
      </c>
      <c r="Z361" s="383">
        <f t="shared" si="139"/>
        <v>5.5460721863549631</v>
      </c>
      <c r="AA361" s="384">
        <f t="shared" si="140"/>
        <v>5.8482996652560155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5.1677837354427381E-2</v>
      </c>
      <c r="AD361" s="230">
        <f>(INDEX(Models!$BJ361:$BT361,,AH361)*(1-AF361)+INDEX(Models!$BJ361:$BT361,,AH361+1)*AF361-ERP_i)*AE361*Ramure*Pc/MaxiM</f>
        <v>8.2777208851040601E-3</v>
      </c>
      <c r="AE361" s="304">
        <f t="shared" si="142"/>
        <v>0.6</v>
      </c>
      <c r="AF361" s="177">
        <f t="shared" si="143"/>
        <v>0.99903803797346757</v>
      </c>
      <c r="AG361" s="799">
        <f t="shared" si="149"/>
        <v>0</v>
      </c>
      <c r="AH361" s="176">
        <f t="shared" si="144"/>
        <v>6</v>
      </c>
      <c r="AI361" s="224">
        <f t="shared" si="145"/>
        <v>0.99903803797346757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09">
        <f>'2022'!Wh/'2022'!Env_an*'2023'!Env_an</f>
        <v>17.514847350082832</v>
      </c>
      <c r="C362" s="829"/>
      <c r="D362" s="391">
        <f t="shared" si="127"/>
        <v>18.127166170570067</v>
      </c>
      <c r="E362" s="383">
        <f t="shared" si="150"/>
        <v>18.675540399382637</v>
      </c>
      <c r="F362" s="383">
        <f t="shared" si="128"/>
        <v>18.781491753004584</v>
      </c>
      <c r="G362" s="110">
        <f t="shared" si="151"/>
        <v>0.7714275785985244</v>
      </c>
      <c r="H362" s="412" t="b">
        <f>Wh_hp&gt;='2022'!Maxi_hp</f>
        <v>0</v>
      </c>
      <c r="I362" s="379">
        <f>IF(H362,Wh_hp,'2022'!Maxi_hp)</f>
        <v>24.68921870882129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3.3779070303959102E-2</v>
      </c>
      <c r="M362" s="832"/>
      <c r="N362" s="832"/>
      <c r="O362" s="48">
        <f>IF(t&lt;Tnet,'2022'!Resal+('2022'!Salim-'2022'!Resal)*(1-EXP(('2022'!Tnet-t)/('2022'!Tau_j))),Resal+(Salim-Resal)*(1-EXP((Tnet-t)/(Tau_j))))*Salcycl</f>
        <v>2.9363232178850267E-2</v>
      </c>
      <c r="P362" s="338">
        <f>(INDEX(Models!$BJ362:$BT362,,T362)*(1-R362)+INDEX(Models!$BJ362:$BT362,,T362+1)*R362-ERP_i)*Q362*Ramure*Pc/MaxiM</f>
        <v>8.3393123553997788E-3</v>
      </c>
      <c r="Q362" s="304">
        <f t="shared" si="130"/>
        <v>0.6</v>
      </c>
      <c r="R362" s="177">
        <f t="shared" si="131"/>
        <v>0.99904768825103685</v>
      </c>
      <c r="S362" s="799">
        <f t="shared" si="132"/>
        <v>0</v>
      </c>
      <c r="T362" s="176">
        <f t="shared" si="133"/>
        <v>6</v>
      </c>
      <c r="U362" s="250">
        <f t="shared" si="134"/>
        <v>0.99904768825103685</v>
      </c>
      <c r="V362" s="382">
        <f t="shared" si="135"/>
        <v>22.642855706044514</v>
      </c>
      <c r="W362" s="400">
        <f t="shared" si="136"/>
        <v>17.514847350082832</v>
      </c>
      <c r="X362" s="157">
        <f t="shared" si="137"/>
        <v>45274</v>
      </c>
      <c r="Y362" s="383">
        <f t="shared" si="138"/>
        <v>17.111255911072181</v>
      </c>
      <c r="Z362" s="383">
        <f t="shared" si="139"/>
        <v>17.709465180448053</v>
      </c>
      <c r="AA362" s="384">
        <f t="shared" si="140"/>
        <v>18.675540399382637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5.1729438520907327E-2</v>
      </c>
      <c r="AD362" s="230">
        <f>(INDEX(Models!$BJ362:$BT362,,AH362)*(1-AF362)+INDEX(Models!$BJ362:$BT362,,AH362+1)*AF362-ERP_i)*AE362*Ramure*Pc/MaxiM</f>
        <v>8.3393123553997788E-3</v>
      </c>
      <c r="AE362" s="304">
        <f t="shared" si="142"/>
        <v>0.6</v>
      </c>
      <c r="AF362" s="177">
        <f t="shared" si="143"/>
        <v>0.99904768825103685</v>
      </c>
      <c r="AG362" s="799">
        <f t="shared" si="149"/>
        <v>0</v>
      </c>
      <c r="AH362" s="176">
        <f t="shared" si="144"/>
        <v>6</v>
      </c>
      <c r="AI362" s="224">
        <f t="shared" si="145"/>
        <v>0.99904768825103685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09">
        <f>'2022'!Wh/'2022'!Env_an*'2023'!Env_an</f>
        <v>5.9855444551443604</v>
      </c>
      <c r="C363" s="829"/>
      <c r="D363" s="391">
        <f t="shared" si="127"/>
        <v>6.1949177304819782</v>
      </c>
      <c r="E363" s="383">
        <f t="shared" si="150"/>
        <v>6.3828397408905877</v>
      </c>
      <c r="F363" s="383">
        <f t="shared" si="128"/>
        <v>6.3828397408905877</v>
      </c>
      <c r="G363" s="110">
        <f t="shared" si="151"/>
        <v>0.26287849357808268</v>
      </c>
      <c r="H363" s="412" t="b">
        <f>Wh_hp&gt;='2022'!Maxi_hp</f>
        <v>0</v>
      </c>
      <c r="I363" s="379">
        <f>IF(H363,Wh_hp,'2022'!Maxi_hp)</f>
        <v>24.850474320764231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3.3797587707646293E-2</v>
      </c>
      <c r="M363" s="832"/>
      <c r="N363" s="832"/>
      <c r="O363" s="48">
        <f>IF(t&lt;Tnet,'2022'!Resal+('2022'!Salim-'2022'!Resal)*(1-EXP(('2022'!Tnet-t)/('2022'!Tau_j))),Resal+(Salim-Resal)*(1-EXP((Tnet-t)/(Tau_j))))*Salcycl</f>
        <v>2.9441756026666092E-2</v>
      </c>
      <c r="P363" s="338">
        <f>(INDEX(Models!$BJ363:$BT363,,T363)*(1-R363)+INDEX(Models!$BJ363:$BT363,,T363+1)*R363-ERP_i)*Q363*Ramure*Pc/MaxiM</f>
        <v>8.390674895492771E-3</v>
      </c>
      <c r="Q363" s="304">
        <f t="shared" si="130"/>
        <v>0.6</v>
      </c>
      <c r="R363" s="177">
        <f t="shared" si="131"/>
        <v>0.9990569503302934</v>
      </c>
      <c r="S363" s="799">
        <f t="shared" si="132"/>
        <v>0</v>
      </c>
      <c r="T363" s="176">
        <f t="shared" si="133"/>
        <v>6</v>
      </c>
      <c r="U363" s="250">
        <f t="shared" si="134"/>
        <v>0.9990569503302934</v>
      </c>
      <c r="V363" s="382">
        <f t="shared" si="135"/>
        <v>22.578194270524296</v>
      </c>
      <c r="W363" s="400">
        <f t="shared" si="136"/>
        <v>5.9855444551443604</v>
      </c>
      <c r="X363" s="157">
        <f t="shared" si="137"/>
        <v>45275</v>
      </c>
      <c r="Y363" s="383">
        <f t="shared" si="138"/>
        <v>5.847772275332904</v>
      </c>
      <c r="Z363" s="383">
        <f t="shared" si="139"/>
        <v>6.0523263044425972</v>
      </c>
      <c r="AA363" s="384">
        <f t="shared" si="140"/>
        <v>6.3828397408905877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5.1781565864894262E-2</v>
      </c>
      <c r="AD363" s="230">
        <f>(INDEX(Models!$BJ363:$BT363,,AH363)*(1-AF363)+INDEX(Models!$BJ363:$BT363,,AH363+1)*AF363-ERP_i)*AE363*Ramure*Pc/MaxiM</f>
        <v>8.390674895492771E-3</v>
      </c>
      <c r="AE363" s="304">
        <f t="shared" si="142"/>
        <v>0.6</v>
      </c>
      <c r="AF363" s="177">
        <f t="shared" si="143"/>
        <v>0.9990569503302934</v>
      </c>
      <c r="AG363" s="799">
        <f t="shared" si="149"/>
        <v>0</v>
      </c>
      <c r="AH363" s="176">
        <f t="shared" si="144"/>
        <v>6</v>
      </c>
      <c r="AI363" s="224">
        <f t="shared" si="145"/>
        <v>0.9990569503302934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09">
        <f>'2022'!Wh/'2022'!Env_an*'2023'!Env_an</f>
        <v>5.286497653454779</v>
      </c>
      <c r="C364" s="829"/>
      <c r="D364" s="391">
        <f t="shared" si="127"/>
        <v>5.4715232570940326</v>
      </c>
      <c r="E364" s="383">
        <f t="shared" si="150"/>
        <v>5.63795859736386</v>
      </c>
      <c r="F364" s="383">
        <f t="shared" si="128"/>
        <v>5.63795859736386</v>
      </c>
      <c r="G364" s="110">
        <f t="shared" si="151"/>
        <v>0.23273655106006277</v>
      </c>
      <c r="H364" s="412" t="b">
        <f>Wh_hp&gt;='2022'!Maxi_hp</f>
        <v>0</v>
      </c>
      <c r="I364" s="379">
        <f>IF(H364,Wh_hp,'2022'!Maxi_hp)</f>
        <v>24.489416018785828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3.3816104756451693E-2</v>
      </c>
      <c r="M364" s="832"/>
      <c r="N364" s="832"/>
      <c r="O364" s="48">
        <f>IF(t&lt;Tnet,'2022'!Resal+('2022'!Salim-'2022'!Resal)*(1-EXP(('2022'!Tnet-t)/('2022'!Tau_j))),Resal+(Salim-Resal)*(1-EXP((Tnet-t)/(Tau_j))))*Salcycl</f>
        <v>2.9520497072760908E-2</v>
      </c>
      <c r="P364" s="338">
        <f>(INDEX(Models!$BJ364:$BT364,,T364)*(1-R364)+INDEX(Models!$BJ364:$BT364,,T364+1)*R364-ERP_i)*Q364*Ramure*Pc/MaxiM</f>
        <v>8.4315140270187841E-3</v>
      </c>
      <c r="Q364" s="304">
        <f t="shared" si="130"/>
        <v>0.6</v>
      </c>
      <c r="R364" s="177">
        <f t="shared" si="131"/>
        <v>0.99906583981363861</v>
      </c>
      <c r="S364" s="799">
        <f t="shared" si="132"/>
        <v>0</v>
      </c>
      <c r="T364" s="176">
        <f t="shared" si="133"/>
        <v>6</v>
      </c>
      <c r="U364" s="250">
        <f t="shared" si="134"/>
        <v>0.99906583981363861</v>
      </c>
      <c r="V364" s="382">
        <f t="shared" si="135"/>
        <v>22.522996282535267</v>
      </c>
      <c r="W364" s="400">
        <f t="shared" si="136"/>
        <v>5.286497653454779</v>
      </c>
      <c r="X364" s="157">
        <f t="shared" si="137"/>
        <v>45276</v>
      </c>
      <c r="Y364" s="383">
        <f t="shared" si="138"/>
        <v>5.1649481728106812</v>
      </c>
      <c r="Z364" s="383">
        <f t="shared" si="139"/>
        <v>5.3457195863410041</v>
      </c>
      <c r="AA364" s="384">
        <f t="shared" si="140"/>
        <v>5.63795859736386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5.1834188913607429E-2</v>
      </c>
      <c r="AD364" s="230">
        <f>(INDEX(Models!$BJ364:$BT364,,AH364)*(1-AF364)+INDEX(Models!$BJ364:$BT364,,AH364+1)*AF364-ERP_i)*AE364*Ramure*Pc/MaxiM</f>
        <v>8.4315140270187841E-3</v>
      </c>
      <c r="AE364" s="304">
        <f t="shared" si="142"/>
        <v>0.6</v>
      </c>
      <c r="AF364" s="177">
        <f t="shared" si="143"/>
        <v>0.99906583981363861</v>
      </c>
      <c r="AG364" s="799">
        <f t="shared" si="149"/>
        <v>0</v>
      </c>
      <c r="AH364" s="176">
        <f t="shared" si="144"/>
        <v>6</v>
      </c>
      <c r="AI364" s="224">
        <f t="shared" si="145"/>
        <v>0.99906583981363861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09">
        <f>'2022'!Wh/'2022'!Env_an*'2023'!Env_an</f>
        <v>3.5839594566617086</v>
      </c>
      <c r="C365" s="829"/>
      <c r="D365" s="391">
        <f t="shared" si="127"/>
        <v>3.7094678987999492</v>
      </c>
      <c r="E365" s="383">
        <f t="shared" si="150"/>
        <v>3.8226151649558862</v>
      </c>
      <c r="F365" s="383">
        <f t="shared" si="128"/>
        <v>3.8226151649558862</v>
      </c>
      <c r="G365" s="110">
        <f t="shared" si="151"/>
        <v>0.15809562633023527</v>
      </c>
      <c r="H365" s="412" t="b">
        <f>Wh_hp&gt;='2022'!Maxi_hp</f>
        <v>0</v>
      </c>
      <c r="I365" s="379">
        <f>IF(H365,Wh_hp,'2022'!Maxi_hp)</f>
        <v>24.995973707121568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3.3834621450382074E-2</v>
      </c>
      <c r="M365" s="832"/>
      <c r="N365" s="832"/>
      <c r="O365" s="48">
        <f>IF(t&lt;Tnet,'2022'!Resal+('2022'!Salim-'2022'!Resal)*(1-EXP(('2022'!Tnet-t)/('2022'!Tau_j))),Resal+(Salim-Resal)*(1-EXP((Tnet-t)/(Tau_j))))*Salcycl</f>
        <v>2.9599439460509389E-2</v>
      </c>
      <c r="P365" s="338">
        <f>(INDEX(Models!$BJ365:$BT365,,T365)*(1-R365)+INDEX(Models!$BJ365:$BT365,,T365+1)*R365-ERP_i)*Q365*Ramure*Pc/MaxiM</f>
        <v>8.461539260998921E-3</v>
      </c>
      <c r="Q365" s="304">
        <f t="shared" si="130"/>
        <v>0.6</v>
      </c>
      <c r="R365" s="177">
        <f t="shared" si="131"/>
        <v>0.99907437167745106</v>
      </c>
      <c r="S365" s="799">
        <f t="shared" si="132"/>
        <v>0</v>
      </c>
      <c r="T365" s="176">
        <f t="shared" si="133"/>
        <v>6</v>
      </c>
      <c r="U365" s="250">
        <f t="shared" si="134"/>
        <v>0.99907437167745106</v>
      </c>
      <c r="V365" s="382">
        <f t="shared" si="135"/>
        <v>22.477747964933531</v>
      </c>
      <c r="W365" s="400">
        <f t="shared" si="136"/>
        <v>3.5839594566617086</v>
      </c>
      <c r="X365" s="157">
        <f t="shared" si="137"/>
        <v>45277</v>
      </c>
      <c r="Y365" s="383">
        <f t="shared" si="138"/>
        <v>3.5016442674511601</v>
      </c>
      <c r="Z365" s="383">
        <f t="shared" si="139"/>
        <v>3.624270073419249</v>
      </c>
      <c r="AA365" s="384">
        <f t="shared" si="140"/>
        <v>3.8226151649558862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5.1887276897496996E-2</v>
      </c>
      <c r="AD365" s="230">
        <f>(INDEX(Models!$BJ365:$BT365,,AH365)*(1-AF365)+INDEX(Models!$BJ365:$BT365,,AH365+1)*AF365-ERP_i)*AE365*Ramure*Pc/MaxiM</f>
        <v>8.461539260998921E-3</v>
      </c>
      <c r="AE365" s="304">
        <f t="shared" si="142"/>
        <v>0.6</v>
      </c>
      <c r="AF365" s="177">
        <f t="shared" si="143"/>
        <v>0.99907437167745106</v>
      </c>
      <c r="AG365" s="799">
        <f t="shared" si="149"/>
        <v>0</v>
      </c>
      <c r="AH365" s="176">
        <f t="shared" si="144"/>
        <v>6</v>
      </c>
      <c r="AI365" s="224">
        <f t="shared" si="145"/>
        <v>0.99907437167745106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09">
        <f>'2022'!Wh/'2022'!Env_an*'2023'!Env_an</f>
        <v>21.378078905432925</v>
      </c>
      <c r="C366" s="829"/>
      <c r="D366" s="391">
        <f t="shared" si="127"/>
        <v>22.127152446078043</v>
      </c>
      <c r="E366" s="383">
        <f t="shared" si="150"/>
        <v>22.803940732435507</v>
      </c>
      <c r="F366" s="383">
        <f t="shared" si="128"/>
        <v>22.985594839702575</v>
      </c>
      <c r="G366" s="110">
        <f t="shared" si="151"/>
        <v>0.95199820282516723</v>
      </c>
      <c r="H366" s="412" t="b">
        <f>Wh_hp&gt;='2022'!Maxi_hp</f>
        <v>0</v>
      </c>
      <c r="I366" s="379">
        <f>IF(H366,Wh_hp,'2022'!Maxi_hp)</f>
        <v>25.161787004742354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3.385313778944421E-2</v>
      </c>
      <c r="M366" s="832"/>
      <c r="N366" s="832"/>
      <c r="O366" s="48">
        <f>IF(t&lt;Tnet,'2022'!Resal+('2022'!Salim-'2022'!Resal)*(1-EXP(('2022'!Tnet-t)/('2022'!Tau_j))),Resal+(Salim-Resal)*(1-EXP((Tnet-t)/(Tau_j))))*Salcycl</f>
        <v>2.9678567151984591E-2</v>
      </c>
      <c r="P366" s="338">
        <f>(INDEX(Models!$BJ366:$BT366,,T366)*(1-R366)+INDEX(Models!$BJ366:$BT366,,T366+1)*R366-ERP_i)*Q366*Ramure*Pc/MaxiM</f>
        <v>8.4776161564025856E-3</v>
      </c>
      <c r="Q366" s="304">
        <f t="shared" si="130"/>
        <v>0.6</v>
      </c>
      <c r="R366" s="177">
        <f t="shared" si="131"/>
        <v>0.99908256029712028</v>
      </c>
      <c r="S366" s="799">
        <f t="shared" si="132"/>
        <v>0</v>
      </c>
      <c r="T366" s="176">
        <f t="shared" si="133"/>
        <v>6</v>
      </c>
      <c r="U366" s="250">
        <f t="shared" si="134"/>
        <v>0.99908256029712028</v>
      </c>
      <c r="V366" s="382">
        <f t="shared" si="135"/>
        <v>22.44300022267802</v>
      </c>
      <c r="W366" s="400">
        <f t="shared" si="136"/>
        <v>21.378078905432925</v>
      </c>
      <c r="X366" s="157">
        <f t="shared" si="137"/>
        <v>45278</v>
      </c>
      <c r="Y366" s="383">
        <f t="shared" si="138"/>
        <v>20.887598398771065</v>
      </c>
      <c r="Z366" s="383">
        <f t="shared" si="139"/>
        <v>21.619485831563935</v>
      </c>
      <c r="AA366" s="384">
        <f t="shared" si="140"/>
        <v>22.803940732435507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5.1940798950895692E-2</v>
      </c>
      <c r="AD366" s="230">
        <f>(INDEX(Models!$BJ366:$BT366,,AH366)*(1-AF366)+INDEX(Models!$BJ366:$BT366,,AH366+1)*AF366-ERP_i)*AE366*Ramure*Pc/MaxiM</f>
        <v>8.4776161564025856E-3</v>
      </c>
      <c r="AE366" s="304">
        <f t="shared" si="142"/>
        <v>0.6</v>
      </c>
      <c r="AF366" s="177">
        <f t="shared" si="143"/>
        <v>0.99908256029712028</v>
      </c>
      <c r="AG366" s="799">
        <f t="shared" si="149"/>
        <v>0</v>
      </c>
      <c r="AH366" s="176">
        <f t="shared" si="144"/>
        <v>6</v>
      </c>
      <c r="AI366" s="224">
        <f t="shared" si="145"/>
        <v>0.99908256029712028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09">
        <f>'2022'!Wh/'2022'!Env_an*'2023'!Env_an</f>
        <v>18.191480544800989</v>
      </c>
      <c r="C367" s="829"/>
      <c r="D367" s="391">
        <f t="shared" si="127"/>
        <v>18.829258675470943</v>
      </c>
      <c r="E367" s="383">
        <f t="shared" si="150"/>
        <v>19.406762474646069</v>
      </c>
      <c r="F367" s="383">
        <f t="shared" si="128"/>
        <v>19.52782874924398</v>
      </c>
      <c r="G367" s="110">
        <f t="shared" si="151"/>
        <v>0.80956132008464088</v>
      </c>
      <c r="H367" s="412" t="b">
        <f>Wh_hp&gt;='2022'!Maxi_hp</f>
        <v>0</v>
      </c>
      <c r="I367" s="379">
        <f>IF(H367,Wh_hp,'2022'!Maxi_hp)</f>
        <v>24.884744497458982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3.3871653773644983E-2</v>
      </c>
      <c r="M367" s="832"/>
      <c r="N367" s="832"/>
      <c r="O367" s="48">
        <f>IF(t&lt;Tnet,'2022'!Resal+('2022'!Salim-'2022'!Resal)*(1-EXP(('2022'!Tnet-t)/('2022'!Tau_j))),Resal+(Salim-Resal)*(1-EXP((Tnet-t)/(Tau_j))))*Salcycl</f>
        <v>2.9757864039898649E-2</v>
      </c>
      <c r="P367" s="338">
        <f>(INDEX(Models!$BJ367:$BT367,,T367)*(1-R367)+INDEX(Models!$BJ367:$BT367,,T367+1)*R367-ERP_i)*Q367*Ramure*Pc/MaxiM</f>
        <v>8.4856080030569735E-3</v>
      </c>
      <c r="Q367" s="304">
        <f t="shared" si="130"/>
        <v>0.6</v>
      </c>
      <c r="R367" s="177">
        <f t="shared" si="131"/>
        <v>0.99909041947108657</v>
      </c>
      <c r="S367" s="799">
        <f t="shared" si="132"/>
        <v>0</v>
      </c>
      <c r="T367" s="176">
        <f t="shared" si="133"/>
        <v>6</v>
      </c>
      <c r="U367" s="250">
        <f t="shared" si="134"/>
        <v>0.99909041947108657</v>
      </c>
      <c r="V367" s="382">
        <f t="shared" si="135"/>
        <v>22.419100625936682</v>
      </c>
      <c r="W367" s="400">
        <f t="shared" si="136"/>
        <v>18.191480544800989</v>
      </c>
      <c r="X367" s="157">
        <f t="shared" si="137"/>
        <v>45279</v>
      </c>
      <c r="Y367" s="383">
        <f t="shared" si="138"/>
        <v>17.774552238014824</v>
      </c>
      <c r="Z367" s="383">
        <f t="shared" si="139"/>
        <v>18.39771321009394</v>
      </c>
      <c r="AA367" s="384">
        <f t="shared" si="140"/>
        <v>19.406762474646069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5.1994724306560589E-2</v>
      </c>
      <c r="AD367" s="230">
        <f>(INDEX(Models!$BJ367:$BT367,,AH367)*(1-AF367)+INDEX(Models!$BJ367:$BT367,,AH367+1)*AF367-ERP_i)*AE367*Ramure*Pc/MaxiM</f>
        <v>8.4856080030569735E-3</v>
      </c>
      <c r="AE367" s="304">
        <f t="shared" si="142"/>
        <v>0.6</v>
      </c>
      <c r="AF367" s="177">
        <f t="shared" si="143"/>
        <v>0.99909041947108657</v>
      </c>
      <c r="AG367" s="799">
        <f t="shared" si="149"/>
        <v>0</v>
      </c>
      <c r="AH367" s="176">
        <f t="shared" si="144"/>
        <v>6</v>
      </c>
      <c r="AI367" s="224">
        <f t="shared" si="145"/>
        <v>0.99909041947108657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09">
        <f>'2022'!Wh/'2022'!Env_an*'2023'!Env_an</f>
        <v>4.6368221395030265</v>
      </c>
      <c r="C368" s="829"/>
      <c r="D368" s="391">
        <f t="shared" si="127"/>
        <v>4.7994772360795626</v>
      </c>
      <c r="E368" s="383">
        <f t="shared" si="150"/>
        <v>4.9470849638079821</v>
      </c>
      <c r="F368" s="383">
        <f t="shared" si="128"/>
        <v>4.9470849638079821</v>
      </c>
      <c r="G368" s="110">
        <f t="shared" si="151"/>
        <v>0.20518466148585079</v>
      </c>
      <c r="H368" s="412" t="b">
        <f>Wh_hp&gt;='2022'!Maxi_hp</f>
        <v>0</v>
      </c>
      <c r="I368" s="379">
        <f>IF(H368,Wh_hp,'2022'!Maxi_hp)</f>
        <v>24.174700505084488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3.3890169402991055E-2</v>
      </c>
      <c r="M368" s="832"/>
      <c r="N368" s="832"/>
      <c r="O368" s="48">
        <f>IF(t&lt;Tnet,'2022'!Resal+('2022'!Salim-'2022'!Resal)*(1-EXP(('2022'!Tnet-t)/('2022'!Tau_j))),Resal+(Salim-Resal)*(1-EXP((Tnet-t)/(Tau_j))))*Salcycl</f>
        <v>2.9837314056316486E-2</v>
      </c>
      <c r="P368" s="338">
        <f>(INDEX(Models!$BJ368:$BT368,,T368)*(1-R368)+INDEX(Models!$BJ368:$BT368,,T368+1)*R368-ERP_i)*Q368*Ramure*Pc/MaxiM</f>
        <v>8.4852566017202622E-3</v>
      </c>
      <c r="Q368" s="304">
        <f t="shared" si="130"/>
        <v>0.6</v>
      </c>
      <c r="R368" s="177">
        <f t="shared" si="131"/>
        <v>0.9990979624439249</v>
      </c>
      <c r="S368" s="799">
        <f t="shared" si="132"/>
        <v>0</v>
      </c>
      <c r="T368" s="176">
        <f t="shared" si="133"/>
        <v>6</v>
      </c>
      <c r="U368" s="250">
        <f t="shared" si="134"/>
        <v>0.9990979624439249</v>
      </c>
      <c r="V368" s="382">
        <f t="shared" si="135"/>
        <v>22.40653604679822</v>
      </c>
      <c r="W368" s="400">
        <f t="shared" si="136"/>
        <v>4.6368221395030265</v>
      </c>
      <c r="X368" s="157">
        <f t="shared" si="137"/>
        <v>45280</v>
      </c>
      <c r="Y368" s="383">
        <f t="shared" si="138"/>
        <v>4.5306628912863474</v>
      </c>
      <c r="Z368" s="383">
        <f t="shared" si="139"/>
        <v>4.6895940273028973</v>
      </c>
      <c r="AA368" s="384">
        <f t="shared" si="140"/>
        <v>4.9470849638079821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5.2049022482703142E-2</v>
      </c>
      <c r="AD368" s="230">
        <f>(INDEX(Models!$BJ368:$BT368,,AH368)*(1-AF368)+INDEX(Models!$BJ368:$BT368,,AH368+1)*AF368-ERP_i)*AE368*Ramure*Pc/MaxiM</f>
        <v>8.4852566017202622E-3</v>
      </c>
      <c r="AE368" s="304">
        <f t="shared" si="142"/>
        <v>0.6</v>
      </c>
      <c r="AF368" s="177">
        <f t="shared" si="143"/>
        <v>0.9990979624439249</v>
      </c>
      <c r="AG368" s="799">
        <f t="shared" si="149"/>
        <v>0</v>
      </c>
      <c r="AH368" s="176">
        <f t="shared" si="144"/>
        <v>6</v>
      </c>
      <c r="AI368" s="224">
        <f t="shared" si="145"/>
        <v>0.9990979624439249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09">
        <f>'2022'!Wh/'2022'!Env_an*'2023'!Env_an</f>
        <v>21.229393892386767</v>
      </c>
      <c r="C369" s="829"/>
      <c r="D369" s="391">
        <f t="shared" si="127"/>
        <v>21.974520995771247</v>
      </c>
      <c r="E369" s="383">
        <f t="shared" si="150"/>
        <v>22.652204769576443</v>
      </c>
      <c r="F369" s="383">
        <f t="shared" si="128"/>
        <v>22.831213970486274</v>
      </c>
      <c r="G369" s="110">
        <f t="shared" si="151"/>
        <v>0.94688859496302813</v>
      </c>
      <c r="H369" s="412" t="b">
        <f>Wh_hp&gt;='2022'!Maxi_hp</f>
        <v>0</v>
      </c>
      <c r="I369" s="379">
        <f>IF(H369,Wh_hp,'2022'!Maxi_hp)</f>
        <v>22.834906208285311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3.390868467748942E-2</v>
      </c>
      <c r="M369" s="832"/>
      <c r="N369" s="832"/>
      <c r="O369" s="48">
        <f>IF(t&lt;Tnet,'2022'!Resal+('2022'!Salim-'2022'!Resal)*(1-EXP(('2022'!Tnet-t)/('2022'!Tau_j))),Resal+(Salim-Resal)*(1-EXP((Tnet-t)/(Tau_j))))*Salcycl</f>
        <v>2.991690127732614E-2</v>
      </c>
      <c r="P369" s="338">
        <f>(INDEX(Models!$BJ369:$BT369,,T369)*(1-R369)+INDEX(Models!$BJ369:$BT369,,T369+1)*R369-ERP_i)*Q369*Ramure*Pc/MaxiM</f>
        <v>8.4763224110464535E-3</v>
      </c>
      <c r="Q369" s="304">
        <f t="shared" si="130"/>
        <v>0.6</v>
      </c>
      <c r="R369" s="177">
        <f t="shared" si="131"/>
        <v>0.99910520192851182</v>
      </c>
      <c r="S369" s="799">
        <f t="shared" si="132"/>
        <v>0</v>
      </c>
      <c r="T369" s="176">
        <f t="shared" si="133"/>
        <v>6</v>
      </c>
      <c r="U369" s="250">
        <f t="shared" si="134"/>
        <v>0.99910520192851182</v>
      </c>
      <c r="V369" s="382">
        <f t="shared" si="135"/>
        <v>22.405793260708148</v>
      </c>
      <c r="W369" s="400">
        <f t="shared" si="136"/>
        <v>21.229393892386767</v>
      </c>
      <c r="X369" s="157">
        <f t="shared" si="137"/>
        <v>45281</v>
      </c>
      <c r="Y369" s="383">
        <f t="shared" si="138"/>
        <v>20.743856607778685</v>
      </c>
      <c r="Z369" s="383">
        <f t="shared" si="139"/>
        <v>21.471941915608419</v>
      </c>
      <c r="AA369" s="384">
        <f t="shared" si="140"/>
        <v>22.652204769576443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5.2103663461192183E-2</v>
      </c>
      <c r="AD369" s="230">
        <f>(INDEX(Models!$BJ369:$BT369,,AH369)*(1-AF369)+INDEX(Models!$BJ369:$BT369,,AH369+1)*AF369-ERP_i)*AE369*Ramure*Pc/MaxiM</f>
        <v>8.4763224110464535E-3</v>
      </c>
      <c r="AE369" s="304">
        <f t="shared" si="142"/>
        <v>0.6</v>
      </c>
      <c r="AF369" s="177">
        <f t="shared" si="143"/>
        <v>0.99910520192851182</v>
      </c>
      <c r="AG369" s="799">
        <f t="shared" si="149"/>
        <v>0</v>
      </c>
      <c r="AH369" s="176">
        <f t="shared" si="144"/>
        <v>6</v>
      </c>
      <c r="AI369" s="224">
        <f t="shared" si="145"/>
        <v>0.99910520192851182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09">
        <f>'2022'!Wh/'2022'!Env_an*'2023'!Env_an</f>
        <v>17.948920499868375</v>
      </c>
      <c r="C370" s="829"/>
      <c r="D370" s="391">
        <f t="shared" si="127"/>
        <v>18.579262859262428</v>
      </c>
      <c r="E370" s="383">
        <f t="shared" si="150"/>
        <v>19.153812297193078</v>
      </c>
      <c r="F370" s="383">
        <f t="shared" si="128"/>
        <v>19.270397286796531</v>
      </c>
      <c r="G370" s="110">
        <f t="shared" si="151"/>
        <v>0.79873034969919288</v>
      </c>
      <c r="H370" s="412" t="b">
        <f>Wh_hp&gt;='2022'!Maxi_hp</f>
        <v>0</v>
      </c>
      <c r="I370" s="379">
        <f>IF(H370,Wh_hp,'2022'!Maxi_hp)</f>
        <v>24.5370383220707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3.392719959714674E-2</v>
      </c>
      <c r="M370" s="832"/>
      <c r="N370" s="832"/>
      <c r="O370" s="48">
        <f>IF(t&lt;Tnet,'2022'!Resal+('2022'!Salim-'2022'!Resal)*(1-EXP(('2022'!Tnet-t)/('2022'!Tau_j))),Resal+(Salim-Resal)*(1-EXP((Tnet-t)/(Tau_j))))*Salcycl</f>
        <v>2.9996610022895911E-2</v>
      </c>
      <c r="P370" s="338">
        <f>(INDEX(Models!$BJ370:$BT370,,T370)*(1-R370)+INDEX(Models!$BJ370:$BT370,,T370+1)*R370-ERP_i)*Q370*Ramure*Pc/MaxiM</f>
        <v>8.4585887302355157E-3</v>
      </c>
      <c r="Q370" s="304">
        <f t="shared" si="130"/>
        <v>0.6</v>
      </c>
      <c r="R370" s="177">
        <f t="shared" si="131"/>
        <v>0.99911215012730903</v>
      </c>
      <c r="S370" s="799">
        <f t="shared" si="132"/>
        <v>0</v>
      </c>
      <c r="T370" s="176">
        <f t="shared" si="133"/>
        <v>6</v>
      </c>
      <c r="U370" s="250">
        <f t="shared" si="134"/>
        <v>0.99911215012730903</v>
      </c>
      <c r="V370" s="382">
        <f t="shared" si="135"/>
        <v>22.417358926658167</v>
      </c>
      <c r="W370" s="400">
        <f t="shared" si="136"/>
        <v>17.948920499868375</v>
      </c>
      <c r="X370" s="157">
        <f t="shared" si="137"/>
        <v>45282</v>
      </c>
      <c r="Y370" s="383">
        <f t="shared" si="138"/>
        <v>17.538835214786999</v>
      </c>
      <c r="Z370" s="383">
        <f t="shared" si="139"/>
        <v>18.154775921103759</v>
      </c>
      <c r="AA370" s="384">
        <f t="shared" si="140"/>
        <v>19.153812297193078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5.2158617855711249E-2</v>
      </c>
      <c r="AD370" s="230">
        <f>(INDEX(Models!$BJ370:$BT370,,AH370)*(1-AF370)+INDEX(Models!$BJ370:$BT370,,AH370+1)*AF370-ERP_i)*AE370*Ramure*Pc/MaxiM</f>
        <v>8.4585887302355157E-3</v>
      </c>
      <c r="AE370" s="304">
        <f t="shared" si="142"/>
        <v>0.6</v>
      </c>
      <c r="AF370" s="177">
        <f t="shared" si="143"/>
        <v>0.99911215012730903</v>
      </c>
      <c r="AG370" s="799">
        <f t="shared" si="149"/>
        <v>0</v>
      </c>
      <c r="AH370" s="176">
        <f t="shared" si="144"/>
        <v>6</v>
      </c>
      <c r="AI370" s="224">
        <f t="shared" si="145"/>
        <v>0.99911215012730903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09">
        <f>'2022'!Wh/'2022'!Env_an*'2023'!Env_an</f>
        <v>18.190032318386272</v>
      </c>
      <c r="C371" s="829"/>
      <c r="D371" s="391">
        <f t="shared" si="127"/>
        <v>18.82920306347674</v>
      </c>
      <c r="E371" s="383">
        <f t="shared" si="150"/>
        <v>19.413079079482561</v>
      </c>
      <c r="F371" s="383">
        <f t="shared" si="128"/>
        <v>19.533203778720516</v>
      </c>
      <c r="G371" s="110">
        <f t="shared" si="151"/>
        <v>0.80868420097752547</v>
      </c>
      <c r="H371" s="412" t="b">
        <f>Wh_hp&gt;='2022'!Maxi_hp</f>
        <v>0</v>
      </c>
      <c r="I371" s="379">
        <f>IF(H371,Wh_hp,'2022'!Maxi_hp)</f>
        <v>20.621523847427799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3.3945714161969787E-2</v>
      </c>
      <c r="M371" s="832"/>
      <c r="N371" s="832"/>
      <c r="O371" s="48">
        <f>IF(t&lt;Tnet,'2022'!Resal+('2022'!Salim-'2022'!Resal)*(1-EXP(('2022'!Tnet-t)/('2022'!Tau_j))),Resal+(Salim-Resal)*(1-EXP((Tnet-t)/(Tau_j))))*Salcycl</f>
        <v>3.0076424951202815E-2</v>
      </c>
      <c r="P371" s="338">
        <f>(INDEX(Models!$BJ371:$BT371,,T371)*(1-R371)+INDEX(Models!$BJ371:$BT371,,T371+1)*R371-ERP_i)*Q371*Ramure*Pc/MaxiM</f>
        <v>8.4318433493335392E-3</v>
      </c>
      <c r="Q371" s="304">
        <f t="shared" si="130"/>
        <v>0.6</v>
      </c>
      <c r="R371" s="177">
        <f t="shared" si="131"/>
        <v>0.99911215012730903</v>
      </c>
      <c r="S371" s="799">
        <f t="shared" si="132"/>
        <v>0</v>
      </c>
      <c r="T371" s="176">
        <f t="shared" si="133"/>
        <v>6</v>
      </c>
      <c r="U371" s="250">
        <f t="shared" si="134"/>
        <v>0.99911215012730903</v>
      </c>
      <c r="V371" s="382">
        <f t="shared" si="135"/>
        <v>22.44172006226017</v>
      </c>
      <c r="W371" s="400">
        <f t="shared" si="136"/>
        <v>18.190032318386272</v>
      </c>
      <c r="X371" s="157">
        <f t="shared" si="137"/>
        <v>45283</v>
      </c>
      <c r="Y371" s="383">
        <f t="shared" si="138"/>
        <v>17.774864962912737</v>
      </c>
      <c r="Z371" s="383">
        <f t="shared" si="139"/>
        <v>18.399447343161928</v>
      </c>
      <c r="AA371" s="384">
        <f t="shared" si="140"/>
        <v>19.413079079482561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5.2213857068759723E-2</v>
      </c>
      <c r="AD371" s="230">
        <f>(INDEX(Models!$BJ371:$BT371,,AH371)*(1-AF371)+INDEX(Models!$BJ371:$BT371,,AH371+1)*AF371-ERP_i)*AE371*Ramure*Pc/MaxiM</f>
        <v>8.4318433493335392E-3</v>
      </c>
      <c r="AE371" s="304">
        <f t="shared" si="142"/>
        <v>0.6</v>
      </c>
      <c r="AF371" s="177">
        <f t="shared" si="143"/>
        <v>0.99911215012730903</v>
      </c>
      <c r="AG371" s="799">
        <f t="shared" si="149"/>
        <v>0</v>
      </c>
      <c r="AH371" s="176">
        <f t="shared" si="144"/>
        <v>6</v>
      </c>
      <c r="AI371" s="224">
        <f t="shared" si="145"/>
        <v>0.99911215012730903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09">
        <f>'2022'!Wh/'2022'!Env_an*'2023'!Env_an</f>
        <v>21.618502958332286</v>
      </c>
      <c r="C372" s="829"/>
      <c r="D372" s="391">
        <f t="shared" si="127"/>
        <v>22.378573954771049</v>
      </c>
      <c r="E372" s="383">
        <f t="shared" si="150"/>
        <v>23.074413612693096</v>
      </c>
      <c r="F372" s="383">
        <f t="shared" si="128"/>
        <v>23.259011393652045</v>
      </c>
      <c r="G372" s="110">
        <f t="shared" si="151"/>
        <v>0.96125917057642729</v>
      </c>
      <c r="H372" s="412" t="b">
        <f>Wh_hp&gt;='2022'!Maxi_hp</f>
        <v>0</v>
      </c>
      <c r="I372" s="379">
        <f>IF(H372,Wh_hp,'2022'!Maxi_hp)</f>
        <v>23.261737833249224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3.3964228371965555E-2</v>
      </c>
      <c r="M372" s="832"/>
      <c r="N372" s="832"/>
      <c r="O372" s="48">
        <f>IF(t&lt;Tnet,'2022'!Resal+('2022'!Salim-'2022'!Resal)*(1-EXP(('2022'!Tnet-t)/('2022'!Tau_j))),Resal+(Salim-Resal)*(1-EXP((Tnet-t)/(Tau_j))))*Salcycl</f>
        <v>3.0156331146775805E-2</v>
      </c>
      <c r="P372" s="338">
        <f>(INDEX(Models!$BJ372:$BT372,,T372)*(1-R372)+INDEX(Models!$BJ372:$BT372,,T372+1)*R372-ERP_i)*Q372*Ramure*Pc/MaxiM</f>
        <v>8.395937879638193E-3</v>
      </c>
      <c r="Q372" s="304">
        <f t="shared" si="130"/>
        <v>0.6</v>
      </c>
      <c r="R372" s="177">
        <f t="shared" si="131"/>
        <v>0.99911215012730903</v>
      </c>
      <c r="S372" s="799">
        <f t="shared" si="132"/>
        <v>0</v>
      </c>
      <c r="T372" s="176">
        <f t="shared" si="133"/>
        <v>6</v>
      </c>
      <c r="U372" s="250">
        <f t="shared" si="134"/>
        <v>0.99911215012730903</v>
      </c>
      <c r="V372" s="382">
        <f t="shared" si="135"/>
        <v>22.479362768443803</v>
      </c>
      <c r="W372" s="400">
        <f t="shared" si="136"/>
        <v>21.618502958332286</v>
      </c>
      <c r="X372" s="157">
        <f t="shared" si="137"/>
        <v>45284</v>
      </c>
      <c r="Y372" s="383">
        <f t="shared" si="138"/>
        <v>21.125588014263645</v>
      </c>
      <c r="Z372" s="383">
        <f t="shared" si="139"/>
        <v>21.868328932231208</v>
      </c>
      <c r="AA372" s="384">
        <f t="shared" si="140"/>
        <v>23.074413612693096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5.226935343650202E-2</v>
      </c>
      <c r="AD372" s="230">
        <f>(INDEX(Models!$BJ372:$BT372,,AH372)*(1-AF372)+INDEX(Models!$BJ372:$BT372,,AH372+1)*AF372-ERP_i)*AE372*Ramure*Pc/MaxiM</f>
        <v>8.395937879638193E-3</v>
      </c>
      <c r="AE372" s="304">
        <f t="shared" si="142"/>
        <v>0.6</v>
      </c>
      <c r="AF372" s="177">
        <f t="shared" si="143"/>
        <v>0.99911215012730903</v>
      </c>
      <c r="AG372" s="799">
        <f t="shared" si="149"/>
        <v>0</v>
      </c>
      <c r="AH372" s="176">
        <f t="shared" si="144"/>
        <v>6</v>
      </c>
      <c r="AI372" s="224">
        <f t="shared" si="145"/>
        <v>0.99911215012730903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09">
        <f>'2022'!Wh/'2022'!Env_an*'2023'!Env_an</f>
        <v>12.213529477467095</v>
      </c>
      <c r="C373" s="829"/>
      <c r="D373" s="391">
        <f t="shared" si="127"/>
        <v>12.643179383384137</v>
      </c>
      <c r="E373" s="383">
        <f t="shared" si="150"/>
        <v>13.037381754482299</v>
      </c>
      <c r="F373" s="383">
        <f t="shared" si="128"/>
        <v>13.075142493270892</v>
      </c>
      <c r="G373" s="110">
        <f t="shared" si="151"/>
        <v>0.53911458842500748</v>
      </c>
      <c r="H373" s="412" t="b">
        <f>Wh_hp&gt;='2022'!Maxi_hp</f>
        <v>0</v>
      </c>
      <c r="I373" s="379">
        <f>IF(H373,Wh_hp,'2022'!Maxi_hp)</f>
        <v>13.093361004637606</v>
      </c>
      <c r="J373" s="85">
        <f>IF(H373,An,'2022'!An_max)</f>
        <v>2022</v>
      </c>
      <c r="K373" s="197">
        <f t="shared" si="129"/>
        <v>45285</v>
      </c>
      <c r="L373" s="147">
        <f>IF(t&lt;Tvie,1-EXP((T0-t)*PertePVj)+'2022'!Pspv,1-EXP((T0-t)*PertePVj)+Pspv)</f>
        <v>3.3982742227140594E-2</v>
      </c>
      <c r="M373" s="832"/>
      <c r="N373" s="832"/>
      <c r="O373" s="48">
        <f>IF(t&lt;Tnet,'2022'!Resal+('2022'!Salim-'2022'!Resal)*(1-EXP(('2022'!Tnet-t)/('2022'!Tau_j))),Resal+(Salim-Resal)*(1-EXP((Tnet-t)/(Tau_j))))*Salcycl</f>
        <v>3.0236314201862884E-2</v>
      </c>
      <c r="P373" s="338">
        <f>(INDEX(Models!$BJ373:$BT373,,T373)*(1-R373)+INDEX(Models!$BJ373:$BT373,,T373+1)*R373-ERP_i)*Q373*Ramure*Pc/MaxiM</f>
        <v>8.3507446927203275E-3</v>
      </c>
      <c r="Q373" s="304">
        <f t="shared" si="130"/>
        <v>0.6</v>
      </c>
      <c r="R373" s="177">
        <f t="shared" si="131"/>
        <v>0.99911215012730903</v>
      </c>
      <c r="S373" s="799">
        <f t="shared" si="132"/>
        <v>0</v>
      </c>
      <c r="T373" s="176">
        <f t="shared" si="133"/>
        <v>6</v>
      </c>
      <c r="U373" s="250">
        <f t="shared" si="134"/>
        <v>0.99911215012730903</v>
      </c>
      <c r="V373" s="382">
        <f t="shared" si="135"/>
        <v>22.530676867466578</v>
      </c>
      <c r="W373" s="400">
        <f t="shared" si="136"/>
        <v>12.213529477467095</v>
      </c>
      <c r="X373" s="157">
        <f t="shared" si="137"/>
        <v>45285</v>
      </c>
      <c r="Y373" s="383">
        <f t="shared" si="138"/>
        <v>11.935336139696878</v>
      </c>
      <c r="Z373" s="383">
        <f t="shared" si="139"/>
        <v>12.355199706487278</v>
      </c>
      <c r="AA373" s="384">
        <f t="shared" si="140"/>
        <v>13.037381754482299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5.2325080360593343E-2</v>
      </c>
      <c r="AD373" s="230">
        <f>(INDEX(Models!$BJ373:$BT373,,AH373)*(1-AF373)+INDEX(Models!$BJ373:$BT373,,AH373+1)*AF373-ERP_i)*AE373*Ramure*Pc/MaxiM</f>
        <v>8.3507446927203275E-3</v>
      </c>
      <c r="AE373" s="304">
        <f t="shared" si="142"/>
        <v>0.6</v>
      </c>
      <c r="AF373" s="177">
        <f t="shared" si="143"/>
        <v>0.99911215012730903</v>
      </c>
      <c r="AG373" s="799">
        <f t="shared" si="149"/>
        <v>0</v>
      </c>
      <c r="AH373" s="176">
        <f t="shared" si="144"/>
        <v>6</v>
      </c>
      <c r="AI373" s="224">
        <f t="shared" si="145"/>
        <v>0.99911215012730903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09">
        <f>'2022'!Wh/'2022'!Env_an*'2023'!Env_an</f>
        <v>21.115013381269318</v>
      </c>
      <c r="C374" s="829"/>
      <c r="D374" s="391">
        <f t="shared" si="127"/>
        <v>21.858220320121855</v>
      </c>
      <c r="E374" s="383">
        <f t="shared" si="150"/>
        <v>22.541599574341792</v>
      </c>
      <c r="F374" s="383">
        <f t="shared" si="128"/>
        <v>22.712394422806437</v>
      </c>
      <c r="G374" s="110">
        <f t="shared" si="151"/>
        <v>0.93375148628480376</v>
      </c>
      <c r="H374" s="412" t="b">
        <f>Wh_hp&gt;='2022'!Maxi_hp</f>
        <v>0</v>
      </c>
      <c r="I374" s="379">
        <f>IF(H374,Wh_hp,'2022'!Maxi_hp)</f>
        <v>22.716928260345419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3.4001255727501789E-2</v>
      </c>
      <c r="M374" s="832"/>
      <c r="N374" s="832"/>
      <c r="O374" s="48">
        <f>IF(t&lt;Tnet,'2022'!Resal+('2022'!Salim-'2022'!Resal)*(1-EXP(('2022'!Tnet-t)/('2022'!Tau_j))),Resal+(Salim-Resal)*(1-EXP((Tnet-t)/(Tau_j))))*Salcycl</f>
        <v>3.0316360290500412E-2</v>
      </c>
      <c r="P374" s="338">
        <f>(INDEX(Models!$BJ374:$BT374,,T374)*(1-R374)+INDEX(Models!$BJ374:$BT374,,T374+1)*R374-ERP_i)*Q374*Ramure*Pc/MaxiM</f>
        <v>8.2964090037842015E-3</v>
      </c>
      <c r="Q374" s="304">
        <f t="shared" si="130"/>
        <v>0.6</v>
      </c>
      <c r="R374" s="177">
        <f t="shared" si="131"/>
        <v>0.99911215012730903</v>
      </c>
      <c r="S374" s="799">
        <f t="shared" si="132"/>
        <v>0</v>
      </c>
      <c r="T374" s="176">
        <f t="shared" si="133"/>
        <v>6</v>
      </c>
      <c r="U374" s="250">
        <f t="shared" si="134"/>
        <v>0.99911215012730903</v>
      </c>
      <c r="V374" s="382">
        <f t="shared" si="135"/>
        <v>22.59540507498097</v>
      </c>
      <c r="W374" s="400">
        <f t="shared" si="136"/>
        <v>21.115013381269318</v>
      </c>
      <c r="X374" s="157">
        <f t="shared" si="137"/>
        <v>45286</v>
      </c>
      <c r="Y374" s="383">
        <f t="shared" si="138"/>
        <v>20.634552119451236</v>
      </c>
      <c r="Z374" s="383">
        <f t="shared" si="139"/>
        <v>21.360847766930888</v>
      </c>
      <c r="AA374" s="384">
        <f t="shared" si="140"/>
        <v>22.541599574341792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5.2381012426239111E-2</v>
      </c>
      <c r="AD374" s="230">
        <f>(INDEX(Models!$BJ374:$BT374,,AH374)*(1-AF374)+INDEX(Models!$BJ374:$BT374,,AH374+1)*AF374-ERP_i)*AE374*Ramure*Pc/MaxiM</f>
        <v>8.2964090037842015E-3</v>
      </c>
      <c r="AE374" s="304">
        <f t="shared" si="142"/>
        <v>0.6</v>
      </c>
      <c r="AF374" s="177">
        <f t="shared" si="143"/>
        <v>0.99911215012730903</v>
      </c>
      <c r="AG374" s="799">
        <f t="shared" si="149"/>
        <v>0</v>
      </c>
      <c r="AH374" s="176">
        <f t="shared" si="144"/>
        <v>6</v>
      </c>
      <c r="AI374" s="224">
        <f t="shared" si="145"/>
        <v>0.99911215012730903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09">
        <f>'2022'!Wh/'2022'!Env_an*'2023'!Env_an</f>
        <v>7.154629478637955</v>
      </c>
      <c r="C375" s="829"/>
      <c r="D375" s="391">
        <f t="shared" si="127"/>
        <v>7.4066003092952863</v>
      </c>
      <c r="E375" s="383">
        <f t="shared" si="150"/>
        <v>7.638792532186911</v>
      </c>
      <c r="F375" s="383">
        <f t="shared" si="128"/>
        <v>7.6401892634730908</v>
      </c>
      <c r="G375" s="110">
        <f t="shared" si="151"/>
        <v>0.31301554709866541</v>
      </c>
      <c r="H375" s="412" t="b">
        <f>Wh_hp&gt;='2022'!Maxi_hp</f>
        <v>0</v>
      </c>
      <c r="I375" s="379">
        <f>IF(H375,Wh_hp,'2022'!Maxi_hp)</f>
        <v>21.290446008401918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3.4019768873056133E-2</v>
      </c>
      <c r="M375" s="832"/>
      <c r="N375" s="832"/>
      <c r="O375" s="48">
        <f>IF(t&lt;Tnet,'2022'!Resal+('2022'!Salim-'2022'!Resal)*(1-EXP(('2022'!Tnet-t)/('2022'!Tau_j))),Resal+(Salim-Resal)*(1-EXP((Tnet-t)/(Tau_j))))*Salcycl</f>
        <v>3.0396456234837735E-2</v>
      </c>
      <c r="P375" s="338">
        <f>(INDEX(Models!$BJ375:$BT375,,T375)*(1-R375)+INDEX(Models!$BJ375:$BT375,,T375+1)*R375-ERP_i)*Q375*Ramure*Pc/MaxiM</f>
        <v>8.2271997024738232E-3</v>
      </c>
      <c r="Q375" s="304">
        <f t="shared" si="130"/>
        <v>0.6</v>
      </c>
      <c r="R375" s="177">
        <f t="shared" si="131"/>
        <v>0.99911215012730903</v>
      </c>
      <c r="S375" s="799">
        <f t="shared" si="132"/>
        <v>0</v>
      </c>
      <c r="T375" s="176">
        <f t="shared" si="133"/>
        <v>6</v>
      </c>
      <c r="U375" s="250">
        <f t="shared" si="134"/>
        <v>0.99911215012730903</v>
      </c>
      <c r="V375" s="382">
        <f t="shared" si="135"/>
        <v>22.673200802685702</v>
      </c>
      <c r="W375" s="400">
        <f t="shared" si="136"/>
        <v>7.154629478637955</v>
      </c>
      <c r="X375" s="157">
        <f t="shared" si="137"/>
        <v>45287</v>
      </c>
      <c r="Y375" s="383">
        <f t="shared" si="138"/>
        <v>6.9919930865687112</v>
      </c>
      <c r="Z375" s="383">
        <f t="shared" si="139"/>
        <v>7.2382362094632366</v>
      </c>
      <c r="AA375" s="384">
        <f t="shared" si="140"/>
        <v>7.638792532186911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5.2437125505881317E-2</v>
      </c>
      <c r="AD375" s="230">
        <f>(INDEX(Models!$BJ375:$BT375,,AH375)*(1-AF375)+INDEX(Models!$BJ375:$BT375,,AH375+1)*AF375-ERP_i)*AE375*Ramure*Pc/MaxiM</f>
        <v>8.2271997024738232E-3</v>
      </c>
      <c r="AE375" s="304">
        <f t="shared" si="142"/>
        <v>0.6</v>
      </c>
      <c r="AF375" s="177">
        <f t="shared" si="143"/>
        <v>0.99911215012730903</v>
      </c>
      <c r="AG375" s="799">
        <f t="shared" si="149"/>
        <v>0</v>
      </c>
      <c r="AH375" s="176">
        <f t="shared" si="144"/>
        <v>6</v>
      </c>
      <c r="AI375" s="224">
        <f t="shared" si="145"/>
        <v>0.99911215012730903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09">
        <f>'2022'!Wh/'2022'!Env_an*'2023'!Env_an</f>
        <v>22.211210832697851</v>
      </c>
      <c r="C376" s="829"/>
      <c r="D376" s="391">
        <f t="shared" si="127"/>
        <v>22.993883102277913</v>
      </c>
      <c r="E376" s="383">
        <f t="shared" si="150"/>
        <v>23.716686832679923</v>
      </c>
      <c r="F376" s="383">
        <f t="shared" si="128"/>
        <v>23.904670701843742</v>
      </c>
      <c r="G376" s="110">
        <f t="shared" si="151"/>
        <v>0.97545954273337299</v>
      </c>
      <c r="H376" s="412" t="b">
        <f>Wh_hp&gt;='2022'!Maxi_hp</f>
        <v>0</v>
      </c>
      <c r="I376" s="379">
        <f>IF(H376,Wh_hp,'2022'!Maxi_hp)</f>
        <v>23.906426698641567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3.4038281663810177E-2</v>
      </c>
      <c r="M376" s="832"/>
      <c r="N376" s="832"/>
      <c r="O376" s="48">
        <f>IF(t&lt;Tnet,'2022'!Resal+('2022'!Salim-'2022'!Resal)*(1-EXP(('2022'!Tnet-t)/('2022'!Tau_j))),Resal+(Salim-Resal)*(1-EXP((Tnet-t)/(Tau_j))))*Salcycl</f>
        <v>3.0476589563346469E-2</v>
      </c>
      <c r="P376" s="338">
        <f>(INDEX(Models!$BJ376:$BT376,,T376)*(1-R376)+INDEX(Models!$BJ376:$BT376,,T376+1)*R376-ERP_i)*Q376*Ramure*Pc/MaxiM</f>
        <v>8.1462551600778848E-3</v>
      </c>
      <c r="Q376" s="304">
        <f t="shared" si="130"/>
        <v>0.6</v>
      </c>
      <c r="R376" s="177">
        <f t="shared" si="131"/>
        <v>0.99911215012730903</v>
      </c>
      <c r="S376" s="799">
        <f t="shared" si="132"/>
        <v>0</v>
      </c>
      <c r="T376" s="176">
        <f t="shared" si="133"/>
        <v>6</v>
      </c>
      <c r="U376" s="250">
        <f t="shared" si="134"/>
        <v>0.99911215012730903</v>
      </c>
      <c r="V376" s="382">
        <f t="shared" si="135"/>
        <v>22.763516716713081</v>
      </c>
      <c r="W376" s="400">
        <f t="shared" si="136"/>
        <v>22.211210832697851</v>
      </c>
      <c r="X376" s="157">
        <f t="shared" si="137"/>
        <v>45288</v>
      </c>
      <c r="Y376" s="383">
        <f t="shared" si="138"/>
        <v>21.706818733240439</v>
      </c>
      <c r="Z376" s="383">
        <f t="shared" si="139"/>
        <v>22.47171737885132</v>
      </c>
      <c r="AA376" s="384">
        <f t="shared" si="140"/>
        <v>23.716686832679923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5.2493396848042051E-2</v>
      </c>
      <c r="AD376" s="230">
        <f>(INDEX(Models!$BJ376:$BT376,,AH376)*(1-AF376)+INDEX(Models!$BJ376:$BT376,,AH376+1)*AF376-ERP_i)*AE376*Ramure*Pc/MaxiM</f>
        <v>8.1462551600778848E-3</v>
      </c>
      <c r="AE376" s="304">
        <f t="shared" si="142"/>
        <v>0.6</v>
      </c>
      <c r="AF376" s="177">
        <f t="shared" si="143"/>
        <v>0.99911215012730903</v>
      </c>
      <c r="AG376" s="799">
        <f t="shared" si="149"/>
        <v>0</v>
      </c>
      <c r="AH376" s="176">
        <f t="shared" si="144"/>
        <v>6</v>
      </c>
      <c r="AI376" s="224">
        <f t="shared" si="145"/>
        <v>0.99911215012730903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09">
        <f>'2022'!Wh/'2022'!Env_an*'2023'!Env_an</f>
        <v>10.549493196763139</v>
      </c>
      <c r="C377" s="829"/>
      <c r="D377" s="391">
        <f t="shared" si="127"/>
        <v>10.921442515796089</v>
      </c>
      <c r="E377" s="383">
        <f t="shared" si="150"/>
        <v>11.265685226629342</v>
      </c>
      <c r="F377" s="383">
        <f t="shared" si="128"/>
        <v>11.286639937967385</v>
      </c>
      <c r="G377" s="110">
        <f t="shared" si="151"/>
        <v>0.45849963541623823</v>
      </c>
      <c r="H377" s="412" t="b">
        <f>Wh_hp&gt;='2022'!Maxi_hp</f>
        <v>0</v>
      </c>
      <c r="I377" s="379">
        <f>IF(H377,Wh_hp,'2022'!Maxi_hp)</f>
        <v>25.022994124609578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3.4056794099770804E-2</v>
      </c>
      <c r="M377" s="832"/>
      <c r="N377" s="832"/>
      <c r="O377" s="48">
        <f>IF(t&lt;Tnet,'2022'!Resal+('2022'!Salim-'2022'!Resal)*(1-EXP(('2022'!Tnet-t)/('2022'!Tau_j))),Resal+(Salim-Resal)*(1-EXP((Tnet-t)/(Tau_j))))*Salcycl</f>
        <v>3.0556748560624351E-2</v>
      </c>
      <c r="P377" s="338">
        <f>(INDEX(Models!$BJ377:$BT377,,T377)*(1-R377)+INDEX(Models!$BJ377:$BT377,,T377+1)*R377-ERP_i)*Q377*Ramure*Pc/MaxiM</f>
        <v>8.0539310771386707E-3</v>
      </c>
      <c r="Q377" s="304">
        <f t="shared" si="130"/>
        <v>0.6</v>
      </c>
      <c r="R377" s="177">
        <f t="shared" si="131"/>
        <v>0.99911215012730903</v>
      </c>
      <c r="S377" s="799">
        <f t="shared" si="132"/>
        <v>0</v>
      </c>
      <c r="T377" s="176">
        <f t="shared" si="133"/>
        <v>6</v>
      </c>
      <c r="U377" s="250">
        <f t="shared" si="134"/>
        <v>0.99911215012730903</v>
      </c>
      <c r="V377" s="382">
        <f t="shared" si="135"/>
        <v>22.865869495031227</v>
      </c>
      <c r="W377" s="400">
        <f t="shared" si="136"/>
        <v>10.549493196763139</v>
      </c>
      <c r="X377" s="157">
        <f t="shared" si="137"/>
        <v>45289</v>
      </c>
      <c r="Y377" s="383">
        <f t="shared" si="138"/>
        <v>10.310164488732347</v>
      </c>
      <c r="Z377" s="383">
        <f t="shared" si="139"/>
        <v>10.673675663077512</v>
      </c>
      <c r="AA377" s="384">
        <f t="shared" si="140"/>
        <v>11.265685226629342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5.2549805150996332E-2</v>
      </c>
      <c r="AD377" s="230">
        <f>(INDEX(Models!$BJ377:$BT377,,AH377)*(1-AF377)+INDEX(Models!$BJ377:$BT377,,AH377+1)*AF377-ERP_i)*AE377*Ramure*Pc/MaxiM</f>
        <v>8.0539310771386707E-3</v>
      </c>
      <c r="AE377" s="304">
        <f t="shared" si="142"/>
        <v>0.6</v>
      </c>
      <c r="AF377" s="177">
        <f t="shared" si="143"/>
        <v>0.99911215012730903</v>
      </c>
      <c r="AG377" s="799">
        <f t="shared" si="149"/>
        <v>0</v>
      </c>
      <c r="AH377" s="176">
        <f t="shared" si="144"/>
        <v>6</v>
      </c>
      <c r="AI377" s="224">
        <f t="shared" si="145"/>
        <v>0.99911215012730903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09">
        <f>'2022'!Wh/'2022'!Env_an*'2023'!Env_an</f>
        <v>14.293373753459765</v>
      </c>
      <c r="C378" s="829"/>
      <c r="D378" s="391">
        <f t="shared" si="127"/>
        <v>14.797606733654243</v>
      </c>
      <c r="E378" s="383">
        <f t="shared" si="150"/>
        <v>15.265288181694991</v>
      </c>
      <c r="F378" s="383">
        <f t="shared" si="128"/>
        <v>15.321322179400493</v>
      </c>
      <c r="G378" s="110">
        <f t="shared" si="151"/>
        <v>0.61931770195489955</v>
      </c>
      <c r="H378" s="412" t="b">
        <f>Wh_hp&gt;='2022'!Maxi_hp</f>
        <v>0</v>
      </c>
      <c r="I378" s="379">
        <f>IF(H378,Wh_hp,'2022'!Maxi_hp)</f>
        <v>25.027651179472095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3.4075306180944787E-2</v>
      </c>
      <c r="M378" s="832"/>
      <c r="N378" s="832"/>
      <c r="O378" s="48">
        <f>IF(t&lt;Tnet,'2022'!Resal+('2022'!Salim-'2022'!Resal)*(1-EXP(('2022'!Tnet-t)/('2022'!Tau_j))),Resal+(Salim-Resal)*(1-EXP((Tnet-t)/(Tau_j))))*Salcycl</f>
        <v>3.0636922308584887E-2</v>
      </c>
      <c r="P378" s="338">
        <f>(INDEX(Models!$BJ378:$BT378,,T378)*(1-R378)+INDEX(Models!$BJ378:$BT378,,T378+1)*R378-ERP_i)*Q378*Ramure*Pc/MaxiM</f>
        <v>7.9506069292810573E-3</v>
      </c>
      <c r="Q378" s="304">
        <f t="shared" si="130"/>
        <v>0.6</v>
      </c>
      <c r="R378" s="177">
        <f t="shared" si="131"/>
        <v>0.99911215012730903</v>
      </c>
      <c r="S378" s="799">
        <f t="shared" si="132"/>
        <v>0</v>
      </c>
      <c r="T378" s="176">
        <f t="shared" si="133"/>
        <v>6</v>
      </c>
      <c r="U378" s="250">
        <f t="shared" si="134"/>
        <v>0.99911215012730903</v>
      </c>
      <c r="V378" s="382">
        <f t="shared" si="135"/>
        <v>22.979775941427739</v>
      </c>
      <c r="W378" s="400">
        <f t="shared" si="136"/>
        <v>14.293373753459765</v>
      </c>
      <c r="X378" s="157">
        <f t="shared" si="137"/>
        <v>45290</v>
      </c>
      <c r="Y378" s="383">
        <f t="shared" si="138"/>
        <v>13.969432217641401</v>
      </c>
      <c r="Z378" s="383">
        <f t="shared" si="139"/>
        <v>14.462237384582558</v>
      </c>
      <c r="AA378" s="384">
        <f t="shared" si="140"/>
        <v>15.265288181694991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5.2606330621087952E-2</v>
      </c>
      <c r="AD378" s="230">
        <f>(INDEX(Models!$BJ378:$BT378,,AH378)*(1-AF378)+INDEX(Models!$BJ378:$BT378,,AH378+1)*AF378-ERP_i)*AE378*Ramure*Pc/MaxiM</f>
        <v>7.9506069292810573E-3</v>
      </c>
      <c r="AE378" s="304">
        <f t="shared" si="142"/>
        <v>0.6</v>
      </c>
      <c r="AF378" s="177">
        <f t="shared" si="143"/>
        <v>0.99911215012730903</v>
      </c>
      <c r="AG378" s="799">
        <f t="shared" si="149"/>
        <v>0</v>
      </c>
      <c r="AH378" s="176">
        <f t="shared" si="144"/>
        <v>6</v>
      </c>
      <c r="AI378" s="224">
        <f t="shared" si="145"/>
        <v>0.99911215012730903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09">
        <f>'2022'!Wh/'2022'!Env_an*'2023'!Env_an</f>
        <v>11.825814930085798</v>
      </c>
      <c r="C379" s="829"/>
      <c r="D379" s="391">
        <f t="shared" si="127"/>
        <v>12.243233503760024</v>
      </c>
      <c r="E379" s="383">
        <f t="shared" si="150"/>
        <v>12.631228212981675</v>
      </c>
      <c r="F379" s="383">
        <f t="shared" si="128"/>
        <v>12.661254946995868</v>
      </c>
      <c r="G379" s="110">
        <f t="shared" si="151"/>
        <v>0.50903083018035888</v>
      </c>
      <c r="H379" s="412" t="b">
        <f>Wh_hp&gt;='2022'!Maxi_hp</f>
        <v>0</v>
      </c>
      <c r="I379" s="379">
        <f>IF(H379,Wh_hp,'2022'!Maxi_hp)</f>
        <v>25.278911318099443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3.4093817907339008E-2</v>
      </c>
      <c r="M379" s="832"/>
      <c r="N379" s="832"/>
      <c r="O379" s="48">
        <f>IF(t&lt;Tnet,'2022'!Resal+('2022'!Salim-'2022'!Resal)*(1-EXP(('2022'!Tnet-t)/('2022'!Tau_j))),Resal+(Salim-Resal)*(1-EXP((Tnet-t)/(Tau_j))))*Salcycl</f>
        <v>3.0717100718906487E-2</v>
      </c>
      <c r="P379" s="338">
        <f>(INDEX(Models!$BJ379:$BT379,,T379)*(1-R379)+INDEX(Models!$BJ379:$BT379,,T379+1)*R379-ERP_i)*Q379*Ramure*Pc/MaxiM</f>
        <v>7.8366820364742275E-3</v>
      </c>
      <c r="Q379" s="305">
        <f t="shared" si="130"/>
        <v>0.6</v>
      </c>
      <c r="R379" s="177">
        <f t="shared" si="131"/>
        <v>0.99911215012730903</v>
      </c>
      <c r="S379" s="799">
        <f t="shared" si="132"/>
        <v>0</v>
      </c>
      <c r="T379" s="176">
        <f t="shared" si="133"/>
        <v>6</v>
      </c>
      <c r="U379" s="306">
        <f t="shared" si="134"/>
        <v>0.99911215012730903</v>
      </c>
      <c r="V379" s="382">
        <f t="shared" si="135"/>
        <v>23.104752984097363</v>
      </c>
      <c r="W379" s="400">
        <f t="shared" si="136"/>
        <v>11.825814930085798</v>
      </c>
      <c r="X379" s="157">
        <f t="shared" si="137"/>
        <v>45291</v>
      </c>
      <c r="Y379" s="383">
        <f t="shared" si="138"/>
        <v>11.55806274794338</v>
      </c>
      <c r="Z379" s="383">
        <f t="shared" si="139"/>
        <v>11.966030409809091</v>
      </c>
      <c r="AA379" s="384">
        <f t="shared" si="140"/>
        <v>12.631228212981675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5.2662955015643644E-2</v>
      </c>
      <c r="AD379" s="230">
        <f>(INDEX(Models!$BJ379:$BT379,,AH379)*(1-AF379)+INDEX(Models!$BJ379:$BT379,,AH379+1)*AF379-ERP_i)*AE379*Ramure*Pc/MaxiM</f>
        <v>7.8366820364742275E-3</v>
      </c>
      <c r="AE379" s="305">
        <f t="shared" si="142"/>
        <v>0.6</v>
      </c>
      <c r="AF379" s="177">
        <f t="shared" si="143"/>
        <v>0.99911215012730903</v>
      </c>
      <c r="AG379" s="799">
        <f t="shared" si="149"/>
        <v>0</v>
      </c>
      <c r="AH379" s="176">
        <f t="shared" si="144"/>
        <v>6</v>
      </c>
      <c r="AI379" s="221">
        <f t="shared" si="145"/>
        <v>0.99911215012730903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14.71093936617153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23.306313645816928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1.8351150824479727</v>
      </c>
      <c r="C381" s="374"/>
      <c r="D381" s="372">
        <f>MIN(D15:D380)</f>
        <v>1.8870074322491601</v>
      </c>
      <c r="E381" s="372">
        <f>MIN(E15:E380)</f>
        <v>1.9435581052493403</v>
      </c>
      <c r="F381" s="373">
        <f>MIN(F15:F380)</f>
        <v>1.9435581052493403</v>
      </c>
      <c r="G381" s="125">
        <f>+MIN(G15:G380)</f>
        <v>7.2640568481251014E-2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52">MIN(L15:L380)</f>
        <v>2.7332056318268183E-2</v>
      </c>
      <c r="M381" s="833"/>
      <c r="N381" s="833"/>
      <c r="O381" s="47">
        <f t="shared" si="152"/>
        <v>8.0885102312609237E-3</v>
      </c>
      <c r="P381" s="340">
        <f t="shared" si="152"/>
        <v>1.3697323055610432E-4</v>
      </c>
      <c r="Q381" s="309">
        <f t="shared" si="152"/>
        <v>0.6</v>
      </c>
      <c r="R381" s="310">
        <f t="shared" si="152"/>
        <v>0.49911342316348012</v>
      </c>
      <c r="S381" s="799">
        <f t="shared" si="152"/>
        <v>0</v>
      </c>
      <c r="T381" s="176">
        <f t="shared" si="152"/>
        <v>6</v>
      </c>
      <c r="U381" s="251">
        <f>+MIN(U15:U380)</f>
        <v>0.49911342316348012</v>
      </c>
      <c r="V381" s="372">
        <f>MIN(V15:V380)</f>
        <v>22.405793260708148</v>
      </c>
      <c r="W381" s="390"/>
      <c r="X381" s="112" t="s">
        <v>7</v>
      </c>
      <c r="Y381" s="372">
        <f>MIN(Y15:Y380)</f>
        <v>1.732766004026693</v>
      </c>
      <c r="Z381" s="372">
        <f>MIN(Z15:Z380)</f>
        <v>1.7817641842850191</v>
      </c>
      <c r="AA381" s="372">
        <f>MIN(AA15:AA380)</f>
        <v>1.9435581052493403</v>
      </c>
      <c r="AB381" s="200" t="s">
        <v>7</v>
      </c>
      <c r="AC381" s="47">
        <f t="shared" ref="AC381:AH381" si="153">MIN(AC15:AC380)</f>
        <v>3.661060330814047E-2</v>
      </c>
      <c r="AD381" s="168">
        <f t="shared" si="153"/>
        <v>1.3697323055610432E-4</v>
      </c>
      <c r="AE381" s="309">
        <f t="shared" si="153"/>
        <v>0.6</v>
      </c>
      <c r="AF381" s="310">
        <f t="shared" si="153"/>
        <v>0.49911342316348012</v>
      </c>
      <c r="AG381" s="799">
        <f t="shared" si="153"/>
        <v>0</v>
      </c>
      <c r="AH381" s="176">
        <f t="shared" si="153"/>
        <v>6</v>
      </c>
      <c r="AI381" s="225">
        <f>MIN(AI15:AI380)</f>
        <v>0.49911342316348012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31.801796714394339</v>
      </c>
      <c r="C382" s="374"/>
      <c r="D382" s="374">
        <f>AVERAGE(D15:D380)</f>
        <v>32.807025413390932</v>
      </c>
      <c r="E382" s="374">
        <f>AVERAGE(E15:E380)</f>
        <v>33.546106076203856</v>
      </c>
      <c r="F382" s="375">
        <f>AVERAGE(F15:F380)</f>
        <v>33.57578957911884</v>
      </c>
      <c r="G382" s="126">
        <f>AVERAGE(G15:G380)</f>
        <v>0.6877929934417335</v>
      </c>
      <c r="H382" s="94"/>
      <c r="I382" s="375">
        <f>AVERAGE(I15:I380)</f>
        <v>43.517694273799925</v>
      </c>
      <c r="J382" s="59">
        <f>AVERAGE(J15:J380)</f>
        <v>2020.4918032786886</v>
      </c>
      <c r="K382" s="200" t="s">
        <v>8</v>
      </c>
      <c r="L382" s="147">
        <f t="shared" ref="L382:V382" si="154">AVERAGE(L15:L380)</f>
        <v>3.0716857172639795E-2</v>
      </c>
      <c r="M382" s="832"/>
      <c r="N382" s="832"/>
      <c r="O382" s="48">
        <f t="shared" si="154"/>
        <v>2.4333375897899554E-2</v>
      </c>
      <c r="P382" s="169">
        <f t="shared" si="154"/>
        <v>2.2340920445445148E-3</v>
      </c>
      <c r="Q382" s="311">
        <f t="shared" si="154"/>
        <v>0.59999999999999631</v>
      </c>
      <c r="R382" s="177">
        <f t="shared" si="154"/>
        <v>0.77899702016262362</v>
      </c>
      <c r="S382" s="799">
        <f t="shared" si="154"/>
        <v>0</v>
      </c>
      <c r="T382" s="176">
        <f t="shared" si="154"/>
        <v>6</v>
      </c>
      <c r="U382" s="250">
        <f t="shared" si="154"/>
        <v>0.77899702016262362</v>
      </c>
      <c r="V382" s="374">
        <f t="shared" si="154"/>
        <v>44.680138010761745</v>
      </c>
      <c r="W382" s="390"/>
      <c r="X382" s="112" t="s">
        <v>8</v>
      </c>
      <c r="Y382" s="374">
        <f>AVERAGE(Y15:Y380)</f>
        <v>30.739551082102476</v>
      </c>
      <c r="Z382" s="374">
        <f>AVERAGE(Z15:Z380)</f>
        <v>31.711699325131654</v>
      </c>
      <c r="AA382" s="374">
        <f>AVERAGE(AA15:AA380)</f>
        <v>33.546106076203856</v>
      </c>
      <c r="AB382" s="200" t="s">
        <v>8</v>
      </c>
      <c r="AC382" s="48">
        <f t="shared" ref="AC382:AH382" si="155">AVERAGE(AC15:AC380)</f>
        <v>5.821105783368994E-2</v>
      </c>
      <c r="AD382" s="169">
        <f t="shared" si="155"/>
        <v>2.2340920445445148E-3</v>
      </c>
      <c r="AE382" s="311">
        <f t="shared" si="155"/>
        <v>0.59999999999999631</v>
      </c>
      <c r="AF382" s="177">
        <f t="shared" si="155"/>
        <v>0.77899702016262362</v>
      </c>
      <c r="AG382" s="799">
        <f t="shared" si="155"/>
        <v>0</v>
      </c>
      <c r="AH382" s="176">
        <f t="shared" si="155"/>
        <v>6</v>
      </c>
      <c r="AI382" s="224">
        <f>AVERAGE(AI15:AI380)</f>
        <v>0.77899702016262362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62.179616692322547</v>
      </c>
      <c r="C383" s="376"/>
      <c r="D383" s="376">
        <f>MAX(D15:D380)</f>
        <v>64.108449916529338</v>
      </c>
      <c r="E383" s="376">
        <f>MAX(E15:E380)</f>
        <v>64.842769791716563</v>
      </c>
      <c r="F383" s="377">
        <f>MAX(F15:F380)</f>
        <v>64.852505396426295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2023</v>
      </c>
      <c r="K383" s="200" t="s">
        <v>9</v>
      </c>
      <c r="L383" s="148">
        <f t="shared" ref="L383:T383" si="156">MAX(L15:L380)</f>
        <v>3.4093817907339008E-2</v>
      </c>
      <c r="M383" s="834"/>
      <c r="N383" s="834"/>
      <c r="O383" s="49">
        <f t="shared" si="156"/>
        <v>3.6531631226483834E-2</v>
      </c>
      <c r="P383" s="170">
        <f t="shared" si="156"/>
        <v>8.4856080030569735E-3</v>
      </c>
      <c r="Q383" s="312">
        <f t="shared" si="156"/>
        <v>0.6</v>
      </c>
      <c r="R383" s="313">
        <f t="shared" si="156"/>
        <v>0.99911215012730903</v>
      </c>
      <c r="S383" s="800">
        <f t="shared" si="156"/>
        <v>0</v>
      </c>
      <c r="T383" s="232">
        <f t="shared" si="156"/>
        <v>6</v>
      </c>
      <c r="U383" s="252">
        <f>+MAX(U15:U380)</f>
        <v>0.99911215012730903</v>
      </c>
      <c r="V383" s="376">
        <f>MAX(V15:V380)</f>
        <v>61.44747320582114</v>
      </c>
      <c r="W383" s="390"/>
      <c r="X383" s="112" t="s">
        <v>9</v>
      </c>
      <c r="Y383" s="376">
        <f>MAX(Y15:Y380)</f>
        <v>60.405765821909888</v>
      </c>
      <c r="Z383" s="376">
        <f>MAX(Z15:Z380)</f>
        <v>62.279573578356562</v>
      </c>
      <c r="AA383" s="376">
        <f>MAX(AA15:AA380)</f>
        <v>64.842769791716563</v>
      </c>
      <c r="AB383" s="200" t="s">
        <v>9</v>
      </c>
      <c r="AC383" s="49">
        <f t="shared" ref="AC383:AH383" si="157">MAX(AC15:AC380)</f>
        <v>8.3650069448247141E-2</v>
      </c>
      <c r="AD383" s="170">
        <f t="shared" si="157"/>
        <v>8.4856080030569735E-3</v>
      </c>
      <c r="AE383" s="312">
        <f t="shared" si="157"/>
        <v>0.6</v>
      </c>
      <c r="AF383" s="313">
        <f t="shared" si="157"/>
        <v>0.99911215012730903</v>
      </c>
      <c r="AG383" s="800">
        <f t="shared" si="157"/>
        <v>0</v>
      </c>
      <c r="AH383" s="232">
        <f t="shared" si="157"/>
        <v>6</v>
      </c>
      <c r="AI383" s="226">
        <f>MAX(AI15:AI380)</f>
        <v>0.99911215012730903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2023-01-18T17:38:57Z</dcterms:modified>
</cp:coreProperties>
</file>